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Kenan Çılman\Desktop\İTÜSEM\Finansal Excel Dökumanları\Şablonlar\"/>
    </mc:Choice>
  </mc:AlternateContent>
  <bookViews>
    <workbookView xWindow="240" yWindow="120" windowWidth="14940" windowHeight="9225" tabRatio="841"/>
  </bookViews>
  <sheets>
    <sheet name="Intro" sheetId="28" r:id="rId1"/>
    <sheet name="Graphs" sheetId="1" r:id="rId2"/>
    <sheet name="Inputs" sheetId="2" r:id="rId3"/>
    <sheet name="IncStmt" sheetId="3" r:id="rId4"/>
    <sheet name="BalSht" sheetId="4" r:id="rId5"/>
    <sheet name="CFStmt" sheetId="5" r:id="rId6"/>
    <sheet name="RatioRpt" sheetId="6" r:id="rId7"/>
    <sheet name="Practices" sheetId="7" r:id="rId8"/>
    <sheet name="Channels" sheetId="8" r:id="rId9"/>
    <sheet name="Engage" sheetId="9" r:id="rId10"/>
    <sheet name="Sales" sheetId="10" r:id="rId11"/>
    <sheet name="GM CostSvcs" sheetId="11" r:id="rId12"/>
    <sheet name="Prof Staff" sheetId="12" r:id="rId13"/>
    <sheet name="OpExp" sheetId="13" r:id="rId14"/>
    <sheet name="Sup Staff" sheetId="14" r:id="rId15"/>
    <sheet name="FinTax" sheetId="15" r:id="rId16"/>
    <sheet name="Assets" sheetId="16" r:id="rId17"/>
    <sheet name="Liab" sheetId="17" r:id="rId18"/>
    <sheet name="Equity" sheetId="18" r:id="rId19"/>
    <sheet name="Value" sheetId="19" r:id="rId20"/>
    <sheet name="Formulas" sheetId="20" r:id="rId21"/>
    <sheet name="Plot Support" sheetId="21" state="hidden" r:id="rId22"/>
    <sheet name="(Compute)" sheetId="22" state="hidden" r:id="rId23"/>
    <sheet name="(FnCalls 1)" sheetId="23" state="hidden" r:id="rId24"/>
    <sheet name="(Tables)" sheetId="24" state="hidden" r:id="rId25"/>
    <sheet name="Labels" sheetId="25" r:id="rId26"/>
    <sheet name="(Ranges)" sheetId="26" state="hidden" r:id="rId27"/>
    <sheet name="(Import)" sheetId="27" state="hidden" r:id="rId28"/>
  </sheets>
  <definedNames>
    <definedName name="Assets_Assets">'(Ranges)'!$A$162:$S$162</definedName>
    <definedName name="Assets_Assets_Long">'(Ranges)'!$A$161:$S$161</definedName>
    <definedName name="Assets_Assets_Short">'(Ranges)'!$A$160:$S$160</definedName>
    <definedName name="Assets_Assets_Short_AcctsRec">'(Ranges)'!$A$158:$S$158</definedName>
    <definedName name="Assets_Assets_Short_Cash">'(Ranges)'!$A$157:$S$157</definedName>
    <definedName name="Assets_Assets_Short_Inventory">'(Ranges)'!$A$159:$S$159</definedName>
    <definedName name="Assets_Date">'(Compute)'!$B$1057:$T$1057</definedName>
    <definedName name="Assets_Time_Period">'(Compute)'!$B$1060:$T$1060</definedName>
    <definedName name="Engage_Billings_Date">'(Compute)'!$B$961:$S$961</definedName>
    <definedName name="Engage_Billings_Engagements">Engage!$B$14:$S$14</definedName>
    <definedName name="Engage_Billings_Engagements_Engage_1">Engage!$B$12:$S$12</definedName>
    <definedName name="Engage_Billings_Engagements_Engage_1_Prof_Staff_Types">Engage!$B$12:$S$12</definedName>
    <definedName name="Engage_Billings_Engagements_Engage_1_Prof_Staff_Types_Prof_Level_1">Engage!$B$48:$S$48</definedName>
    <definedName name="Engage_Billings_Engagements_Engage_1_Prof_Staff_Types_Prof_Level_2">Engage!$B$49:$S$49</definedName>
    <definedName name="Engage_Billings_Engagements_Engage_2">Engage!$B$13:$S$13</definedName>
    <definedName name="Engage_Billings_Engagements_Engage_2_Prof_Staff_Types">Engage!$B$13:$S$13</definedName>
    <definedName name="Engage_Billings_Engagements_Engage_2_Prof_Staff_Types_Prof_Level_1">Engage!$B$52:$S$52</definedName>
    <definedName name="Engage_Billings_Engagements_Engage_2_Prof_Staff_Types_Prof_Level_2">Engage!$B$53:$S$53</definedName>
    <definedName name="Engage_Billings_Time_Period">'(Compute)'!$B$964:$S$964</definedName>
    <definedName name="Engage_Cost_Staff_Date">'(Compute)'!$B$1099:$S$1099</definedName>
    <definedName name="Engage_Cost_Staff_Engagements">Engage!$B$19:$S$19</definedName>
    <definedName name="Engage_Cost_Staff_Engagements_Engage_1">Engage!$B$17:$S$17</definedName>
    <definedName name="Engage_Cost_Staff_Engagements_Engage_1_Prof_Staff_Types">Engage!$B$17:$S$17</definedName>
    <definedName name="Engage_Cost_Staff_Engagements_Engage_1_Prof_Staff_Types_Prof_Level_1">Engage!$B$62:$S$62</definedName>
    <definedName name="Engage_Cost_Staff_Engagements_Engage_1_Prof_Staff_Types_Prof_Level_2">Engage!$B$63:$S$63</definedName>
    <definedName name="Engage_Cost_Staff_Engagements_Engage_2">Engage!$B$18:$S$18</definedName>
    <definedName name="Engage_Cost_Staff_Engagements_Engage_2_Prof_Staff_Types">Engage!$B$18:$S$18</definedName>
    <definedName name="Engage_Cost_Staff_Engagements_Engage_2_Prof_Staff_Types_Prof_Level_1">Engage!$B$66:$S$66</definedName>
    <definedName name="Engage_Cost_Staff_Engagements_Engage_2_Prof_Staff_Types_Prof_Level_2">Engage!$B$67:$S$67</definedName>
    <definedName name="Engage_Cost_Staff_Time_Period">'(Compute)'!$B$1102:$S$1102</definedName>
    <definedName name="Engage_Cost_Supplies_Date">'(Compute)'!$B$1111:$S$1111</definedName>
    <definedName name="Engage_Cost_Supplies_Engagements">Engage!$B$29:$S$29</definedName>
    <definedName name="Engage_Cost_Supplies_Engagements_Engage_1">Engage!$B$27:$S$27</definedName>
    <definedName name="Engage_Cost_Supplies_Engagements_Engage_1_Prof_Staff_Types">Engage!$B$27:$S$27</definedName>
    <definedName name="Engage_Cost_Supplies_Engagements_Engage_1_Prof_Staff_Types_Prof_Level_1">Engage!$B$120:$S$120</definedName>
    <definedName name="Engage_Cost_Supplies_Engagements_Engage_1_Prof_Staff_Types_Prof_Level_1_Supply_Types">Engage!$B$120:$S$120</definedName>
    <definedName name="Engage_Cost_Supplies_Engagements_Engage_1_Prof_Staff_Types_Prof_Level_1_Supply_Types_Supply_Type_1">Engage!$B$118:$S$118</definedName>
    <definedName name="Engage_Cost_Supplies_Engagements_Engage_1_Prof_Staff_Types_Prof_Level_1_Supply_Types_Supply_Type_2">Engage!$B$119:$S$119</definedName>
    <definedName name="Engage_Cost_Supplies_Engagements_Engage_1_Prof_Staff_Types_Prof_Level_2">Engage!$B$124:$S$124</definedName>
    <definedName name="Engage_Cost_Supplies_Engagements_Engage_1_Prof_Staff_Types_Prof_Level_2_Supply_Types">Engage!$B$124:$S$124</definedName>
    <definedName name="Engage_Cost_Supplies_Engagements_Engage_1_Prof_Staff_Types_Prof_Level_2_Supply_Types_Supply_Type_1">Engage!$B$122:$S$122</definedName>
    <definedName name="Engage_Cost_Supplies_Engagements_Engage_1_Prof_Staff_Types_Prof_Level_2_Supply_Types_Supply_Type_2">Engage!$B$123:$S$123</definedName>
    <definedName name="Engage_Cost_Supplies_Engagements_Engage_2">Engage!$B$28:$S$28</definedName>
    <definedName name="Engage_Cost_Supplies_Engagements_Engage_2_Prof_Staff_Types">Engage!$B$28:$S$28</definedName>
    <definedName name="Engage_Cost_Supplies_Engagements_Engage_2_Prof_Staff_Types_Prof_Level_1">Engage!$B$133:$S$133</definedName>
    <definedName name="Engage_Cost_Supplies_Engagements_Engage_2_Prof_Staff_Types_Prof_Level_1_Supply_Types">Engage!$B$133:$S$133</definedName>
    <definedName name="Engage_Cost_Supplies_Engagements_Engage_2_Prof_Staff_Types_Prof_Level_1_Supply_Types_Supply_Type_1">Engage!$B$131:$S$131</definedName>
    <definedName name="Engage_Cost_Supplies_Engagements_Engage_2_Prof_Staff_Types_Prof_Level_1_Supply_Types_Supply_Type_2">Engage!$B$132:$S$132</definedName>
    <definedName name="Engage_Cost_Supplies_Engagements_Engage_2_Prof_Staff_Types_Prof_Level_2">Engage!$B$137:$S$137</definedName>
    <definedName name="Engage_Cost_Supplies_Engagements_Engage_2_Prof_Staff_Types_Prof_Level_2_Supply_Types">Engage!$B$137:$S$137</definedName>
    <definedName name="Engage_Cost_Supplies_Engagements_Engage_2_Prof_Staff_Types_Prof_Level_2_Supply_Types_Supply_Type_1">Engage!$B$135:$S$135</definedName>
    <definedName name="Engage_Cost_Supplies_Engagements_Engage_2_Prof_Staff_Types_Prof_Level_2_Supply_Types_Supply_Type_2">Engage!$B$136:$S$136</definedName>
    <definedName name="Engage_Cost_Supplies_Time_Period">'(Compute)'!$B$1114:$S$1114</definedName>
    <definedName name="Engage_Cost_TandE_Date">'(Compute)'!$B$1105:$S$1105</definedName>
    <definedName name="Engage_Cost_TandE_Engagements">Engage!$B$24:$S$24</definedName>
    <definedName name="Engage_Cost_TandE_Engagements_Engage_1">Engage!$B$22:$S$22</definedName>
    <definedName name="Engage_Cost_TandE_Engagements_Engage_1_Prof_Staff_Types">Engage!$B$22:$S$22</definedName>
    <definedName name="Engage_Cost_TandE_Engagements_Engage_1_Prof_Staff_Types_Prof_Level_1">Engage!$B$79:$S$79</definedName>
    <definedName name="Engage_Cost_TandE_Engagements_Engage_1_Prof_Staff_Types_Prof_Level_1_Supply_Types">Engage!$B$79:$S$79</definedName>
    <definedName name="Engage_Cost_TandE_Engagements_Engage_1_Prof_Staff_Types_Prof_Level_1_Supply_Types_Supply_Type_1">Engage!$B$77:$S$77</definedName>
    <definedName name="Engage_Cost_TandE_Engagements_Engage_1_Prof_Staff_Types_Prof_Level_1_Supply_Types_Supply_Type_2">Engage!$B$78:$S$78</definedName>
    <definedName name="Engage_Cost_TandE_Engagements_Engage_1_Prof_Staff_Types_Prof_Level_2">Engage!$B$83:$S$83</definedName>
    <definedName name="Engage_Cost_TandE_Engagements_Engage_1_Prof_Staff_Types_Prof_Level_2_Supply_Types">Engage!$B$83:$S$83</definedName>
    <definedName name="Engage_Cost_TandE_Engagements_Engage_1_Prof_Staff_Types_Prof_Level_2_Supply_Types_Supply_Type_1">Engage!$B$81:$S$81</definedName>
    <definedName name="Engage_Cost_TandE_Engagements_Engage_1_Prof_Staff_Types_Prof_Level_2_Supply_Types_Supply_Type_2">Engage!$B$82:$S$82</definedName>
    <definedName name="Engage_Cost_TandE_Engagements_Engage_2">Engage!$B$23:$S$23</definedName>
    <definedName name="Engage_Cost_TandE_Engagements_Engage_2_Prof_Staff_Types">Engage!$B$23:$S$23</definedName>
    <definedName name="Engage_Cost_TandE_Engagements_Engage_2_Prof_Staff_Types_Prof_Level_1">Engage!$B$92:$S$92</definedName>
    <definedName name="Engage_Cost_TandE_Engagements_Engage_2_Prof_Staff_Types_Prof_Level_1_Supply_Types">Engage!$B$92:$S$92</definedName>
    <definedName name="Engage_Cost_TandE_Engagements_Engage_2_Prof_Staff_Types_Prof_Level_1_Supply_Types_Supply_Type_1">Engage!$B$90:$S$90</definedName>
    <definedName name="Engage_Cost_TandE_Engagements_Engage_2_Prof_Staff_Types_Prof_Level_1_Supply_Types_Supply_Type_2">Engage!$B$91:$S$91</definedName>
    <definedName name="Engage_Cost_TandE_Engagements_Engage_2_Prof_Staff_Types_Prof_Level_2">Engage!$B$96:$S$96</definedName>
    <definedName name="Engage_Cost_TandE_Engagements_Engage_2_Prof_Staff_Types_Prof_Level_2_Supply_Types">Engage!$B$96:$S$96</definedName>
    <definedName name="Engage_Cost_TandE_Engagements_Engage_2_Prof_Staff_Types_Prof_Level_2_Supply_Types_Supply_Type_1">Engage!$B$94:$S$94</definedName>
    <definedName name="Engage_Cost_TandE_Engagements_Engage_2_Prof_Staff_Types_Prof_Level_2_Supply_Types_Supply_Type_2">Engage!$B$95:$S$95</definedName>
    <definedName name="Engage_Cost_TandE_Time_Period">'(Compute)'!$B$1108:$S$1108</definedName>
    <definedName name="Engage_Gross_Margin_Date">'(Compute)'!$B$1117:$S$1117</definedName>
    <definedName name="Engage_Gross_Margin_Engagements">Engage!$B$38:$S$38</definedName>
    <definedName name="Engage_Gross_Margin_Engagements_Engage_1">Engage!$B$32:$S$32</definedName>
    <definedName name="Engage_Gross_Margin_Engagements_Engage_1_Prof_Staff_Types">Engage!$B$32:$S$32</definedName>
    <definedName name="Engage_Gross_Margin_Engagements_Engage_1_Prof_Staff_Types_Prof_Level_1">'(Tables)'!$B$1469:$S$1469</definedName>
    <definedName name="Engage_Gross_Margin_Engagements_Engage_1_Prof_Staff_Types_Prof_Level_2">'(Tables)'!$B$1470:$S$1470</definedName>
    <definedName name="Engage_Gross_Margin_Engagements_Engage_2">Engage!$B$35:$S$35</definedName>
    <definedName name="Engage_Gross_Margin_Engagements_Engage_2_Prof_Staff_Types">Engage!$B$35:$S$35</definedName>
    <definedName name="Engage_Gross_Margin_Engagements_Engage_2_Prof_Staff_Types_Prof_Level_1">'(Tables)'!$B$1473:$S$1473</definedName>
    <definedName name="Engage_Gross_Margin_Engagements_Engage_2_Prof_Staff_Types_Prof_Level_2">'(Tables)'!$B$1474:$S$1474</definedName>
    <definedName name="Engage_Gross_Margin_pct_Date">'(Compute)'!$B$1123:$S$1123</definedName>
    <definedName name="Engage_Gross_Margin_pct_Engagements">Engage!$B$39:$S$39</definedName>
    <definedName name="Engage_Gross_Margin_pct_Engagements_Engage_1">Engage!$B$33:$S$33</definedName>
    <definedName name="Engage_Gross_Margin_pct_Engagements_Engage_1_Prof_Staff_Types">Engage!$B$33:$S$33</definedName>
    <definedName name="Engage_Gross_Margin_pct_Engagements_Engage_1_Prof_Staff_Types_Prof_Level_1">'(Tables)'!$B$1483:$S$1483</definedName>
    <definedName name="Engage_Gross_Margin_pct_Engagements_Engage_1_Prof_Staff_Types_Prof_Level_2">'(Tables)'!$B$1484:$S$1484</definedName>
    <definedName name="Engage_Gross_Margin_pct_Engagements_Engage_2">Engage!$B$36:$S$36</definedName>
    <definedName name="Engage_Gross_Margin_pct_Engagements_Engage_2_Prof_Staff_Types">Engage!$B$36:$S$36</definedName>
    <definedName name="Engage_Gross_Margin_pct_Engagements_Engage_2_Prof_Staff_Types_Prof_Level_1">'(Tables)'!$B$1487:$S$1487</definedName>
    <definedName name="Engage_Gross_Margin_pct_Engagements_Engage_2_Prof_Staff_Types_Prof_Level_2">'(Tables)'!$B$1488:$S$1488</definedName>
    <definedName name="Engage_Gross_Margin_pct_Time_Period">'(Compute)'!$B$1126:$S$1126</definedName>
    <definedName name="Engage_Gross_Margin_Time_Period">'(Compute)'!$B$1120:$S$1120</definedName>
    <definedName name="Engage_Hrs_Applied_ET_Engage_Time">'(Tables)'!$F$36</definedName>
    <definedName name="Engage_Hrs_Applied_ET_Engage_Time_Period_1">'(Tables)'!$B$36</definedName>
    <definedName name="Engage_Hrs_Applied_ET_Engage_Time_Period_1_Engagements">'(Tables)'!$B$36</definedName>
    <definedName name="Engage_Hrs_Applied_ET_Engage_Time_Period_1_Engagements_Engage_1">'(Tables)'!$B$31</definedName>
    <definedName name="Engage_Hrs_Applied_ET_Engage_Time_Period_1_Engagements_Engage_1_Prof_Staff_Types">'(Tables)'!$B$31</definedName>
    <definedName name="Engage_Hrs_Applied_ET_Engage_Time_Period_1_Engagements_Engage_1_Prof_Staff_Types_Prof_Level_1">Inputs!$F$32</definedName>
    <definedName name="Engage_Hrs_Applied_ET_Engage_Time_Period_1_Engagements_Engage_1_Prof_Staff_Types_Prof_Level_2">Inputs!$F$33</definedName>
    <definedName name="Engage_Hrs_Applied_ET_Engage_Time_Period_1_Engagements_Engage_2">'(Tables)'!$B$35</definedName>
    <definedName name="Engage_Hrs_Applied_ET_Engage_Time_Period_1_Engagements_Engage_2_Prof_Staff_Types">'(Tables)'!$B$35</definedName>
    <definedName name="Engage_Hrs_Applied_ET_Engage_Time_Period_1_Engagements_Engage_2_Prof_Staff_Types_Prof_Level_1">Inputs!$F$34</definedName>
    <definedName name="Engage_Hrs_Applied_ET_Engage_Time_Period_1_Engagements_Engage_2_Prof_Staff_Types_Prof_Level_2">Inputs!$F$35</definedName>
    <definedName name="Engage_Hrs_Applied_ET_Engage_Time_Period_2">'(Tables)'!$C$36</definedName>
    <definedName name="Engage_Hrs_Applied_ET_Engage_Time_Period_2_Engagements">'(Tables)'!$C$36</definedName>
    <definedName name="Engage_Hrs_Applied_ET_Engage_Time_Period_2_Engagements_Engage_1">'(Tables)'!$C$31</definedName>
    <definedName name="Engage_Hrs_Applied_ET_Engage_Time_Period_2_Engagements_Engage_1_Prof_Staff_Types">'(Tables)'!$C$31</definedName>
    <definedName name="Engage_Hrs_Applied_ET_Engage_Time_Period_2_Engagements_Engage_1_Prof_Staff_Types_Prof_Level_1">Inputs!$G$32</definedName>
    <definedName name="Engage_Hrs_Applied_ET_Engage_Time_Period_2_Engagements_Engage_1_Prof_Staff_Types_Prof_Level_2">Inputs!$G$33</definedName>
    <definedName name="Engage_Hrs_Applied_ET_Engage_Time_Period_2_Engagements_Engage_2">'(Tables)'!$C$35</definedName>
    <definedName name="Engage_Hrs_Applied_ET_Engage_Time_Period_2_Engagements_Engage_2_Prof_Staff_Types">'(Tables)'!$C$35</definedName>
    <definedName name="Engage_Hrs_Applied_ET_Engage_Time_Period_2_Engagements_Engage_2_Prof_Staff_Types_Prof_Level_1">Inputs!$G$34</definedName>
    <definedName name="Engage_Hrs_Applied_ET_Engage_Time_Period_2_Engagements_Engage_2_Prof_Staff_Types_Prof_Level_2">Inputs!$G$35</definedName>
    <definedName name="Engage_Hrs_Applied_ET_Engage_Time_Period_3">'(Tables)'!$D$36</definedName>
    <definedName name="Engage_Hrs_Applied_ET_Engage_Time_Period_3_Engagements">'(Tables)'!$D$36</definedName>
    <definedName name="Engage_Hrs_Applied_ET_Engage_Time_Period_3_Engagements_Engage_1">'(Tables)'!$D$31</definedName>
    <definedName name="Engage_Hrs_Applied_ET_Engage_Time_Period_3_Engagements_Engage_1_Prof_Staff_Types">'(Tables)'!$D$31</definedName>
    <definedName name="Engage_Hrs_Applied_ET_Engage_Time_Period_3_Engagements_Engage_1_Prof_Staff_Types_Prof_Level_1">Inputs!$H$32</definedName>
    <definedName name="Engage_Hrs_Applied_ET_Engage_Time_Period_3_Engagements_Engage_1_Prof_Staff_Types_Prof_Level_2">Inputs!$H$33</definedName>
    <definedName name="Engage_Hrs_Applied_ET_Engage_Time_Period_3_Engagements_Engage_2">'(Tables)'!$D$35</definedName>
    <definedName name="Engage_Hrs_Applied_ET_Engage_Time_Period_3_Engagements_Engage_2_Prof_Staff_Types">'(Tables)'!$D$35</definedName>
    <definedName name="Engage_Hrs_Applied_ET_Engage_Time_Period_3_Engagements_Engage_2_Prof_Staff_Types_Prof_Level_1">Inputs!$H$34</definedName>
    <definedName name="Engage_Hrs_Applied_ET_Engage_Time_Period_3_Engagements_Engage_2_Prof_Staff_Types_Prof_Level_2">Inputs!$H$35</definedName>
    <definedName name="Engage_Hrs_Applied_ET_Engage_Time_Period_4">'(Tables)'!$E$36</definedName>
    <definedName name="Engage_Hrs_Applied_ET_Engage_Time_Period_4_Engagements">'(Tables)'!$E$36</definedName>
    <definedName name="Engage_Hrs_Applied_ET_Engage_Time_Period_4_Engagements_Engage_1">'(Tables)'!$E$31</definedName>
    <definedName name="Engage_Hrs_Applied_ET_Engage_Time_Period_4_Engagements_Engage_1_Prof_Staff_Types">'(Tables)'!$E$31</definedName>
    <definedName name="Engage_Hrs_Applied_ET_Engage_Time_Period_4_Engagements_Engage_1_Prof_Staff_Types_Prof_Level_1">Inputs!$I$32</definedName>
    <definedName name="Engage_Hrs_Applied_ET_Engage_Time_Period_4_Engagements_Engage_1_Prof_Staff_Types_Prof_Level_2">Inputs!$I$33</definedName>
    <definedName name="Engage_Hrs_Applied_ET_Engage_Time_Period_4_Engagements_Engage_2">'(Tables)'!$E$35</definedName>
    <definedName name="Engage_Hrs_Applied_ET_Engage_Time_Period_4_Engagements_Engage_2_Prof_Staff_Types">'(Tables)'!$E$35</definedName>
    <definedName name="Engage_Hrs_Applied_ET_Engage_Time_Period_4_Engagements_Engage_2_Prof_Staff_Types_Prof_Level_1">Inputs!$I$34</definedName>
    <definedName name="Engage_Hrs_Applied_ET_Engage_Time_Period_4_Engagements_Engage_2_Prof_Staff_Types_Prof_Level_2">Inputs!$I$35</definedName>
    <definedName name="Engage_Hrs_Applied_Plot_Date">'(Compute)'!$B$1171:$S$1171</definedName>
    <definedName name="Engage_Hrs_Applied_Plot_Prof_Staff_Types">'Plot Support'!$B$26:$S$26</definedName>
    <definedName name="Engage_Hrs_Applied_Plot_Prof_Staff_Types_Prof_Level_1">'Plot Support'!$B$24:$S$24</definedName>
    <definedName name="Engage_Hrs_Applied_Plot_Prof_Staff_Types_Prof_Level_2">'Plot Support'!$B$25:$S$25</definedName>
    <definedName name="Engage_Hrs_Applied_Plot_Time_Period">'(Compute)'!$B$1174:$S$1174</definedName>
    <definedName name="Engage_Hrs_Billed_Date">'(Compute)'!$B$949:$S$949</definedName>
    <definedName name="Engage_Hrs_Billed_Engagements">Engage!$B$184:$S$184</definedName>
    <definedName name="Engage_Hrs_Billed_Engagements_Engage_1">Engage!$B$179:$S$179</definedName>
    <definedName name="Engage_Hrs_Billed_Engagements_Engage_1_Prof_Staff_Types">Engage!$B$179:$S$179</definedName>
    <definedName name="Engage_Hrs_Billed_Engagements_Engage_1_Prof_Staff_Types_Prof_Level_1">Engage!$B$177:$S$177</definedName>
    <definedName name="Engage_Hrs_Billed_Engagements_Engage_1_Prof_Staff_Types_Prof_Level_2">Engage!$B$178:$S$178</definedName>
    <definedName name="Engage_Hrs_Billed_Engagements_Engage_2">Engage!$B$183:$S$183</definedName>
    <definedName name="Engage_Hrs_Billed_Engagements_Engage_2_Prof_Staff_Types">Engage!$B$183:$S$183</definedName>
    <definedName name="Engage_Hrs_Billed_Engagements_Engage_2_Prof_Staff_Types_Prof_Level_1">Engage!$B$181:$S$181</definedName>
    <definedName name="Engage_Hrs_Billed_Engagements_Engage_2_Prof_Staff_Types_Prof_Level_2">Engage!$B$182:$S$182</definedName>
    <definedName name="Engage_Hrs_Billed_Time_Period">'(Compute)'!$B$952:$S$952</definedName>
    <definedName name="Engage_Hrs_pct_Billed_ET_Engage_Time">'(Tables)'!$F$56</definedName>
    <definedName name="Engage_Hrs_pct_Billed_ET_Engage_Time_Period_1">'(Tables)'!$B$56</definedName>
    <definedName name="Engage_Hrs_pct_Billed_ET_Engage_Time_Period_1_Engagements">'(Tables)'!$B$56</definedName>
    <definedName name="Engage_Hrs_pct_Billed_ET_Engage_Time_Period_1_Engagements_Engage_1">'(Tables)'!$B$51</definedName>
    <definedName name="Engage_Hrs_pct_Billed_ET_Engage_Time_Period_1_Engagements_Engage_1_Prof_Staff_Types">'(Tables)'!$B$51</definedName>
    <definedName name="Engage_Hrs_pct_Billed_ET_Engage_Time_Period_1_Engagements_Engage_1_Prof_Staff_Types_Prof_Level_1">Inputs!$F$41</definedName>
    <definedName name="Engage_Hrs_pct_Billed_ET_Engage_Time_Period_1_Engagements_Engage_1_Prof_Staff_Types_Prof_Level_2">Inputs!$F$42</definedName>
    <definedName name="Engage_Hrs_pct_Billed_ET_Engage_Time_Period_1_Engagements_Engage_2">'(Tables)'!$B$55</definedName>
    <definedName name="Engage_Hrs_pct_Billed_ET_Engage_Time_Period_1_Engagements_Engage_2_Prof_Staff_Types">'(Tables)'!$B$55</definedName>
    <definedName name="Engage_Hrs_pct_Billed_ET_Engage_Time_Period_1_Engagements_Engage_2_Prof_Staff_Types_Prof_Level_1">Inputs!$F$43</definedName>
    <definedName name="Engage_Hrs_pct_Billed_ET_Engage_Time_Period_1_Engagements_Engage_2_Prof_Staff_Types_Prof_Level_2">Inputs!$F$44</definedName>
    <definedName name="Engage_Hrs_pct_Billed_ET_Engage_Time_Period_2">'(Tables)'!$C$56</definedName>
    <definedName name="Engage_Hrs_pct_Billed_ET_Engage_Time_Period_2_Engagements">'(Tables)'!$C$56</definedName>
    <definedName name="Engage_Hrs_pct_Billed_ET_Engage_Time_Period_2_Engagements_Engage_1">'(Tables)'!$C$51</definedName>
    <definedName name="Engage_Hrs_pct_Billed_ET_Engage_Time_Period_2_Engagements_Engage_1_Prof_Staff_Types">'(Tables)'!$C$51</definedName>
    <definedName name="Engage_Hrs_pct_Billed_ET_Engage_Time_Period_2_Engagements_Engage_1_Prof_Staff_Types_Prof_Level_1">Inputs!$G$41</definedName>
    <definedName name="Engage_Hrs_pct_Billed_ET_Engage_Time_Period_2_Engagements_Engage_1_Prof_Staff_Types_Prof_Level_2">Inputs!$G$42</definedName>
    <definedName name="Engage_Hrs_pct_Billed_ET_Engage_Time_Period_2_Engagements_Engage_2">'(Tables)'!$C$55</definedName>
    <definedName name="Engage_Hrs_pct_Billed_ET_Engage_Time_Period_2_Engagements_Engage_2_Prof_Staff_Types">'(Tables)'!$C$55</definedName>
    <definedName name="Engage_Hrs_pct_Billed_ET_Engage_Time_Period_2_Engagements_Engage_2_Prof_Staff_Types_Prof_Level_1">Inputs!$G$43</definedName>
    <definedName name="Engage_Hrs_pct_Billed_ET_Engage_Time_Period_2_Engagements_Engage_2_Prof_Staff_Types_Prof_Level_2">Inputs!$G$44</definedName>
    <definedName name="Engage_Hrs_pct_Billed_ET_Engage_Time_Period_3">'(Tables)'!$D$56</definedName>
    <definedName name="Engage_Hrs_pct_Billed_ET_Engage_Time_Period_3_Engagements">'(Tables)'!$D$56</definedName>
    <definedName name="Engage_Hrs_pct_Billed_ET_Engage_Time_Period_3_Engagements_Engage_1">'(Tables)'!$D$51</definedName>
    <definedName name="Engage_Hrs_pct_Billed_ET_Engage_Time_Period_3_Engagements_Engage_1_Prof_Staff_Types">'(Tables)'!$D$51</definedName>
    <definedName name="Engage_Hrs_pct_Billed_ET_Engage_Time_Period_3_Engagements_Engage_1_Prof_Staff_Types_Prof_Level_1">Inputs!$H$41</definedName>
    <definedName name="Engage_Hrs_pct_Billed_ET_Engage_Time_Period_3_Engagements_Engage_1_Prof_Staff_Types_Prof_Level_2">Inputs!$H$42</definedName>
    <definedName name="Engage_Hrs_pct_Billed_ET_Engage_Time_Period_3_Engagements_Engage_2">'(Tables)'!$D$55</definedName>
    <definedName name="Engage_Hrs_pct_Billed_ET_Engage_Time_Period_3_Engagements_Engage_2_Prof_Staff_Types">'(Tables)'!$D$55</definedName>
    <definedName name="Engage_Hrs_pct_Billed_ET_Engage_Time_Period_3_Engagements_Engage_2_Prof_Staff_Types_Prof_Level_1">Inputs!$H$43</definedName>
    <definedName name="Engage_Hrs_pct_Billed_ET_Engage_Time_Period_3_Engagements_Engage_2_Prof_Staff_Types_Prof_Level_2">Inputs!$H$44</definedName>
    <definedName name="Engage_Hrs_pct_Billed_ET_Engage_Time_Period_4">'(Tables)'!$E$56</definedName>
    <definedName name="Engage_Hrs_pct_Billed_ET_Engage_Time_Period_4_Engagements">'(Tables)'!$E$56</definedName>
    <definedName name="Engage_Hrs_pct_Billed_ET_Engage_Time_Period_4_Engagements_Engage_1">'(Tables)'!$E$51</definedName>
    <definedName name="Engage_Hrs_pct_Billed_ET_Engage_Time_Period_4_Engagements_Engage_1_Prof_Staff_Types">'(Tables)'!$E$51</definedName>
    <definedName name="Engage_Hrs_pct_Billed_ET_Engage_Time_Period_4_Engagements_Engage_1_Prof_Staff_Types_Prof_Level_1">Inputs!$I$41</definedName>
    <definedName name="Engage_Hrs_pct_Billed_ET_Engage_Time_Period_4_Engagements_Engage_1_Prof_Staff_Types_Prof_Level_2">Inputs!$I$42</definedName>
    <definedName name="Engage_Hrs_pct_Billed_ET_Engage_Time_Period_4_Engagements_Engage_2">'(Tables)'!$E$55</definedName>
    <definedName name="Engage_Hrs_pct_Billed_ET_Engage_Time_Period_4_Engagements_Engage_2_Prof_Staff_Types">'(Tables)'!$E$55</definedName>
    <definedName name="Engage_Hrs_pct_Billed_ET_Engage_Time_Period_4_Engagements_Engage_2_Prof_Staff_Types_Prof_Level_1">Inputs!$I$43</definedName>
    <definedName name="Engage_Hrs_pct_Billed_ET_Engage_Time_Period_4_Engagements_Engage_2_Prof_Staff_Types_Prof_Level_2">Inputs!$I$44</definedName>
    <definedName name="Engage_Hrs_Unbilled_Date">'(Compute)'!$B$1129:$S$1129</definedName>
    <definedName name="Engage_Hrs_Unbilled_Engagements">Engage!$B$198:$S$198</definedName>
    <definedName name="Engage_Hrs_Unbilled_Engagements_Engage_1">Engage!$B$193:$S$193</definedName>
    <definedName name="Engage_Hrs_Unbilled_Engagements_Engage_1_Prof_Staff_Types">Engage!$B$193:$S$193</definedName>
    <definedName name="Engage_Hrs_Unbilled_Engagements_Engage_1_Prof_Staff_Types_Prof_Level_1">Engage!$B$191:$S$191</definedName>
    <definedName name="Engage_Hrs_Unbilled_Engagements_Engage_1_Prof_Staff_Types_Prof_Level_2">Engage!$B$192:$S$192</definedName>
    <definedName name="Engage_Hrs_Unbilled_Engagements_Engage_2">Engage!$B$197:$S$197</definedName>
    <definedName name="Engage_Hrs_Unbilled_Engagements_Engage_2_Prof_Staff_Types">Engage!$B$197:$S$197</definedName>
    <definedName name="Engage_Hrs_Unbilled_Engagements_Engage_2_Prof_Staff_Types_Prof_Level_1">Engage!$B$195:$S$195</definedName>
    <definedName name="Engage_Hrs_Unbilled_Engagements_Engage_2_Prof_Staff_Types_Prof_Level_2">Engage!$B$196:$S$196</definedName>
    <definedName name="Engage_Hrs_Unbilled_Time_Period">'(Compute)'!$B$1132:$S$1132</definedName>
    <definedName name="Engage_Rev_Nominal_Fees_Date">'(Compute)'!$B$967:$S$967</definedName>
    <definedName name="Engage_Rev_Nominal_Fees_Engagements">'(Tables)'!$B$817:$S$817</definedName>
    <definedName name="Engage_Rev_Nominal_Fees_Engagements_Engage_1">'(Tables)'!$B$812:$S$812</definedName>
    <definedName name="Engage_Rev_Nominal_Fees_Engagements_Engage_1_Prof_Staff_Types">'(Tables)'!$B$812:$S$812</definedName>
    <definedName name="Engage_Rev_Nominal_Fees_Engagements_Engage_1_Prof_Staff_Types_Prof_Level_1">'(Tables)'!$B$810:$S$810</definedName>
    <definedName name="Engage_Rev_Nominal_Fees_Engagements_Engage_1_Prof_Staff_Types_Prof_Level_2">'(Tables)'!$B$811:$S$811</definedName>
    <definedName name="Engage_Rev_Nominal_Fees_Engagements_Engage_2">'(Tables)'!$B$816:$S$816</definedName>
    <definedName name="Engage_Rev_Nominal_Fees_Engagements_Engage_2_Prof_Staff_Types">'(Tables)'!$B$816:$S$816</definedName>
    <definedName name="Engage_Rev_Nominal_Fees_Engagements_Engage_2_Prof_Staff_Types_Prof_Level_1">'(Tables)'!$B$814:$S$814</definedName>
    <definedName name="Engage_Rev_Nominal_Fees_Engagements_Engage_2_Prof_Staff_Types_Prof_Level_2">'(Tables)'!$B$815:$S$815</definedName>
    <definedName name="Engage_Rev_Nominal_Fees_Time_Period">'(Compute)'!$B$970:$S$970</definedName>
    <definedName name="Equity_Date">'(Compute)'!$B$1069:$T$1069</definedName>
    <definedName name="Equity_Equity">'(Ranges)'!$A$172:$S$172</definedName>
    <definedName name="Equity_Equity_PaidinCap">'(Ranges)'!$A$170:$S$170</definedName>
    <definedName name="Equity_Equity_RetainedEarnings">'(Ranges)'!$A$171:$S$171</definedName>
    <definedName name="Equity_Time_Period">'(Compute)'!$B$1072:$T$1072</definedName>
    <definedName name="Gross_Margin_Channel_Channels">'(Ranges)'!$A$203:$R$203</definedName>
    <definedName name="Gross_Margin_Channel_Channels_Channels_1">'(Ranges)'!$A$195:$R$195</definedName>
    <definedName name="Gross_Margin_Channel_Channels_Channels_1_Practice_Areas">'(Ranges)'!$A$195:$R$195</definedName>
    <definedName name="Gross_Margin_Channel_Channels_Channels_1_Practice_Areas_Practice_1">'(Ranges)'!$A$191:$R$191</definedName>
    <definedName name="Gross_Margin_Channel_Channels_Channels_1_Practice_Areas_Practice_1_Prof_Staff_Types">'(Ranges)'!$A$191:$R$191</definedName>
    <definedName name="Gross_Margin_Channel_Channels_Channels_1_Practice_Areas_Practice_1_Prof_Staff_Types_Prof_Level_1">'(Ranges)'!$A$189:$R$189</definedName>
    <definedName name="Gross_Margin_Channel_Channels_Channels_1_Practice_Areas_Practice_1_Prof_Staff_Types_Prof_Level_2">'(Ranges)'!$A$190:$R$190</definedName>
    <definedName name="Gross_Margin_Channel_Channels_Channels_1_Practice_Areas_Practice_2">'(Ranges)'!$A$194:$R$194</definedName>
    <definedName name="Gross_Margin_Channel_Channels_Channels_1_Practice_Areas_Practice_2_Prof_Staff_Types">'(Ranges)'!$A$194:$R$194</definedName>
    <definedName name="Gross_Margin_Channel_Channels_Channels_1_Practice_Areas_Practice_2_Prof_Staff_Types_Prof_Level_1">'(Ranges)'!$A$192:$R$192</definedName>
    <definedName name="Gross_Margin_Channel_Channels_Channels_1_Practice_Areas_Practice_2_Prof_Staff_Types_Prof_Level_2">'(Ranges)'!$A$193:$R$193</definedName>
    <definedName name="Gross_Margin_Channel_Channels_Channels_2">'(Ranges)'!$A$202:$R$202</definedName>
    <definedName name="Gross_Margin_Channel_Channels_Channels_2_Practice_Areas">'(Ranges)'!$A$202:$R$202</definedName>
    <definedName name="Gross_Margin_Channel_Channels_Channels_2_Practice_Areas_Practice_1">'(Ranges)'!$A$198:$R$198</definedName>
    <definedName name="Gross_Margin_Channel_Channels_Channels_2_Practice_Areas_Practice_1_Prof_Staff_Types">'(Ranges)'!$A$198:$R$198</definedName>
    <definedName name="Gross_Margin_Channel_Channels_Channels_2_Practice_Areas_Practice_1_Prof_Staff_Types_Prof_Level_1">'(Ranges)'!$A$196:$R$196</definedName>
    <definedName name="Gross_Margin_Channel_Channels_Channels_2_Practice_Areas_Practice_1_Prof_Staff_Types_Prof_Level_2">'(Ranges)'!$A$197:$R$197</definedName>
    <definedName name="Gross_Margin_Channel_Channels_Channels_2_Practice_Areas_Practice_2">'(Ranges)'!$A$201:$R$201</definedName>
    <definedName name="Gross_Margin_Channel_Channels_Channels_2_Practice_Areas_Practice_2_Prof_Staff_Types">'(Ranges)'!$A$201:$R$201</definedName>
    <definedName name="Gross_Margin_Channel_Channels_Channels_2_Practice_Areas_Practice_2_Prof_Staff_Types_Prof_Level_1">'(Ranges)'!$A$199:$R$199</definedName>
    <definedName name="Gross_Margin_Channel_Channels_Channels_2_Practice_Areas_Practice_2_Prof_Staff_Types_Prof_Level_2">'(Ranges)'!$A$200:$R$200</definedName>
    <definedName name="Gross_Margin_Channel_Date">'(Compute)'!$B$1087:$S$1087</definedName>
    <definedName name="Gross_Margin_Channel_Time_Period">'(Compute)'!$B$1090:$S$1090</definedName>
    <definedName name="Gross_Margin_Date">'(Compute)'!$B$1045:$S$1045</definedName>
    <definedName name="Gross_Margin_Practice_Areas">'(Ranges)'!$A$155:$R$155</definedName>
    <definedName name="Gross_Margin_Practice_Areas_Practice_1">'(Ranges)'!$A$147:$R$147</definedName>
    <definedName name="Gross_Margin_Practice_Areas_Practice_1_Prof_Staff_Types">'(Ranges)'!$A$147:$R$147</definedName>
    <definedName name="Gross_Margin_Practice_Areas_Practice_1_Prof_Staff_Types_Prof_Level_1">'(Ranges)'!$A$143:$R$143</definedName>
    <definedName name="Gross_Margin_Practice_Areas_Practice_1_Prof_Staff_Types_Prof_Level_1_Channels">'(Ranges)'!$A$143:$R$143</definedName>
    <definedName name="Gross_Margin_Practice_Areas_Practice_1_Prof_Staff_Types_Prof_Level_1_Channels_Channels_1">'(Ranges)'!$A$141:$R$141</definedName>
    <definedName name="Gross_Margin_Practice_Areas_Practice_1_Prof_Staff_Types_Prof_Level_1_Channels_Channels_2">'(Ranges)'!$A$142:$R$142</definedName>
    <definedName name="Gross_Margin_Practice_Areas_Practice_1_Prof_Staff_Types_Prof_Level_2">'(Ranges)'!$A$146:$R$146</definedName>
    <definedName name="Gross_Margin_Practice_Areas_Practice_1_Prof_Staff_Types_Prof_Level_2_Channels">'(Ranges)'!$A$146:$R$146</definedName>
    <definedName name="Gross_Margin_Practice_Areas_Practice_1_Prof_Staff_Types_Prof_Level_2_Channels_Channels_1">'(Ranges)'!$A$144:$R$144</definedName>
    <definedName name="Gross_Margin_Practice_Areas_Practice_1_Prof_Staff_Types_Prof_Level_2_Channels_Channels_2">'(Ranges)'!$A$145:$R$145</definedName>
    <definedName name="Gross_Margin_Practice_Areas_Practice_2">'(Ranges)'!$A$154:$R$154</definedName>
    <definedName name="Gross_Margin_Practice_Areas_Practice_2_Prof_Staff_Types">'(Ranges)'!$A$154:$R$154</definedName>
    <definedName name="Gross_Margin_Practice_Areas_Practice_2_Prof_Staff_Types_Prof_Level_1">'(Ranges)'!$A$150:$R$150</definedName>
    <definedName name="Gross_Margin_Practice_Areas_Practice_2_Prof_Staff_Types_Prof_Level_1_Channels">'(Ranges)'!$A$150:$R$150</definedName>
    <definedName name="Gross_Margin_Practice_Areas_Practice_2_Prof_Staff_Types_Prof_Level_1_Channels_Channels_1">'(Ranges)'!$A$148:$R$148</definedName>
    <definedName name="Gross_Margin_Practice_Areas_Practice_2_Prof_Staff_Types_Prof_Level_1_Channels_Channels_2">'(Ranges)'!$A$149:$R$149</definedName>
    <definedName name="Gross_Margin_Practice_Areas_Practice_2_Prof_Staff_Types_Prof_Level_2">'(Ranges)'!$A$153:$R$153</definedName>
    <definedName name="Gross_Margin_Practice_Areas_Practice_2_Prof_Staff_Types_Prof_Level_2_Channels">'(Ranges)'!$A$153:$R$153</definedName>
    <definedName name="Gross_Margin_Practice_Areas_Practice_2_Prof_Staff_Types_Prof_Level_2_Channels_Channels_1">'(Ranges)'!$A$151:$R$151</definedName>
    <definedName name="Gross_Margin_Practice_Areas_Practice_2_Prof_Staff_Types_Prof_Level_2_Channels_Channels_2">'(Ranges)'!$A$152:$R$152</definedName>
    <definedName name="Gross_Margin_Time_Period">'(Compute)'!$B$1048:$S$1048</definedName>
    <definedName name="Liabilities_Date">'(Compute)'!$B$1063:$T$1063</definedName>
    <definedName name="Liabilities_Liabilities">'(Ranges)'!$A$169:$S$169</definedName>
    <definedName name="Liabilities_Liabilities_Long">'(Ranges)'!$A$168:$S$168</definedName>
    <definedName name="Liabilities_Liabilities_Long_Bonds">'(Ranges)'!$A$167:$S$167</definedName>
    <definedName name="Liabilities_Liabilities_Long_Long_Term_Loans">'(Ranges)'!$A$166:$S$166</definedName>
    <definedName name="Liabilities_Liabilities_Short">'(Ranges)'!$A$165:$S$165</definedName>
    <definedName name="Liabilities_Liabilities_Short_AcctsPay">'(Ranges)'!$A$163:$S$163</definedName>
    <definedName name="Liabilities_Liabilities_Short_ShortDebt">'(Ranges)'!$A$164:$S$164</definedName>
    <definedName name="Liabilities_Time_Period">'(Compute)'!$B$1066:$T$1066</definedName>
    <definedName name="Model_Start_Date">Labels!$B$3</definedName>
    <definedName name="Net_Income">'(Ranges)'!$A$156:$R$156</definedName>
    <definedName name="Net_Income_Date">'(Compute)'!$B$1051:$S$1051</definedName>
    <definedName name="Net_Income_Time_Period">'(Compute)'!$B$1054:$S$1054</definedName>
    <definedName name="Operating_Exp_Date">'(Compute)'!$B$1021:$S$1021</definedName>
    <definedName name="Operating_Exp_Depts">'(Ranges)'!$A$125:$R$125</definedName>
    <definedName name="Operating_Exp_Depts_Marketing">'(Ranges)'!$A$117:$R$117</definedName>
    <definedName name="Operating_Exp_Depts_Marketing_OpExpType">'(Ranges)'!$A$117:$R$117</definedName>
    <definedName name="Operating_Exp_Depts_Marketing_OpExpType_Dept_Exp_Accts">'(Ranges)'!$A$114:$R$114</definedName>
    <definedName name="Operating_Exp_Depts_Marketing_OpExpType_Employee_Rel_Exp">'(Ranges)'!$A$112:$R$112</definedName>
    <definedName name="Operating_Exp_Depts_Marketing_OpExpType_Facil_Util_Exp">'(Ranges)'!$A$115:$R$115</definedName>
    <definedName name="Operating_Exp_Depts_Marketing_OpExpType_Gen_Admin_Exp">'(Ranges)'!$A$116:$R$116</definedName>
    <definedName name="Operating_Exp_Depts_Marketing_OpExpType_Indir_Labor_Exp">'(Ranges)'!$A$111:$R$111</definedName>
    <definedName name="Operating_Exp_Depts_Marketing_OpExpType_Programs">'(Ranges)'!$A$113:$R$113</definedName>
    <definedName name="Operating_Exp_Depts_Sales">'(Ranges)'!$A$124:$R$124</definedName>
    <definedName name="Operating_Exp_Depts_Sales_OpExpType">'(Ranges)'!$A$124:$R$124</definedName>
    <definedName name="Operating_Exp_Depts_Sales_OpExpType_Dept_Exp_Accts">'(Ranges)'!$A$121:$R$121</definedName>
    <definedName name="Operating_Exp_Depts_Sales_OpExpType_Employee_Rel_Exp">'(Ranges)'!$A$119:$R$119</definedName>
    <definedName name="Operating_Exp_Depts_Sales_OpExpType_Facil_Util_Exp">'(Ranges)'!$A$122:$R$122</definedName>
    <definedName name="Operating_Exp_Depts_Sales_OpExpType_Gen_Admin_Exp">'(Ranges)'!$A$123:$R$123</definedName>
    <definedName name="Operating_Exp_Depts_Sales_OpExpType_Indir_Labor_Exp">'(Ranges)'!$A$118:$R$118</definedName>
    <definedName name="Operating_Exp_Depts_Sales_OpExpType_Programs">'(Ranges)'!$A$120:$R$120</definedName>
    <definedName name="Operating_Exp_Time_Period">'(Compute)'!$B$1024:$S$1024</definedName>
    <definedName name="Operating_Margin">'(Ranges)'!$A$140:$R$140</definedName>
    <definedName name="Operating_Margin_Date">'(Compute)'!$B$1039:$S$1039</definedName>
    <definedName name="Operating_Margin_Time_Period">'(Compute)'!$B$1042:$S$1042</definedName>
    <definedName name="Orders_Filled_Date">'(Compute)'!$B$973:$S$973</definedName>
    <definedName name="Orders_Filled_Hrs_Plot_Date">'(Compute)'!$B$1177:$S$1177</definedName>
    <definedName name="Orders_Filled_Hrs_Plot_Prof_Staff_Types">'Plot Support'!$B$31:$S$31</definedName>
    <definedName name="Orders_Filled_Hrs_Plot_Prof_Staff_Types_Prof_Level_1">'Plot Support'!$B$29:$S$29</definedName>
    <definedName name="Orders_Filled_Hrs_Plot_Prof_Staff_Types_Prof_Level_2">'Plot Support'!$B$30:$S$30</definedName>
    <definedName name="Orders_Filled_Hrs_Plot_Time_Period">'(Compute)'!$B$1180:$S$1180</definedName>
    <definedName name="Orders_Filled_Practice_Areas">Engage!$B$237:$S$237</definedName>
    <definedName name="Orders_Filled_Practice_Areas_Practice_1">Engage!$B$220:$S$220</definedName>
    <definedName name="Orders_Filled_Practice_Areas_Practice_1_Prof_Staff_Types">Engage!$B$220:$S$220</definedName>
    <definedName name="Orders_Filled_Practice_Areas_Practice_1_Prof_Staff_Types_Prof_Level_1">Engage!$B$215:$S$215</definedName>
    <definedName name="Orders_Filled_Practice_Areas_Practice_1_Prof_Staff_Types_Prof_Level_1_Channels">Engage!$B$215:$S$215</definedName>
    <definedName name="Orders_Filled_Practice_Areas_Practice_1_Prof_Staff_Types_Prof_Level_1_Channels_Channels_1">Engage!$B$213:$S$213</definedName>
    <definedName name="Orders_Filled_Practice_Areas_Practice_1_Prof_Staff_Types_Prof_Level_1_Channels_Channels_2">Engage!$B$214:$S$214</definedName>
    <definedName name="Orders_Filled_Practice_Areas_Practice_1_Prof_Staff_Types_Prof_Level_2">Engage!$B$219:$S$219</definedName>
    <definedName name="Orders_Filled_Practice_Areas_Practice_1_Prof_Staff_Types_Prof_Level_2_Channels">Engage!$B$219:$S$219</definedName>
    <definedName name="Orders_Filled_Practice_Areas_Practice_1_Prof_Staff_Types_Prof_Level_2_Channels_Channels_1">Engage!$B$217:$S$217</definedName>
    <definedName name="Orders_Filled_Practice_Areas_Practice_1_Prof_Staff_Types_Prof_Level_2_Channels_Channels_2">Engage!$B$218:$S$218</definedName>
    <definedName name="Orders_Filled_Practice_Areas_Practice_2">Engage!$B$233:$S$233</definedName>
    <definedName name="Orders_Filled_Practice_Areas_Practice_2_Prof_Staff_Types">Engage!$B$233:$S$233</definedName>
    <definedName name="Orders_Filled_Practice_Areas_Practice_2_Prof_Staff_Types_Prof_Level_1">Engage!$B$228:$S$228</definedName>
    <definedName name="Orders_Filled_Practice_Areas_Practice_2_Prof_Staff_Types_Prof_Level_1_Channels">Engage!$B$228:$S$228</definedName>
    <definedName name="Orders_Filled_Practice_Areas_Practice_2_Prof_Staff_Types_Prof_Level_1_Channels_Channels_1">Engage!$B$226:$S$226</definedName>
    <definedName name="Orders_Filled_Practice_Areas_Practice_2_Prof_Staff_Types_Prof_Level_1_Channels_Channels_2">Engage!$B$227:$S$227</definedName>
    <definedName name="Orders_Filled_Practice_Areas_Practice_2_Prof_Staff_Types_Prof_Level_2">Engage!$B$232:$S$232</definedName>
    <definedName name="Orders_Filled_Practice_Areas_Practice_2_Prof_Staff_Types_Prof_Level_2_Channels">Engage!$B$232:$S$232</definedName>
    <definedName name="Orders_Filled_Practice_Areas_Practice_2_Prof_Staff_Types_Prof_Level_2_Channels_Channels_1">Engage!$B$230:$S$230</definedName>
    <definedName name="Orders_Filled_Practice_Areas_Practice_2_Prof_Staff_Types_Prof_Level_2_Channels_Channels_2">Engage!$B$231:$S$231</definedName>
    <definedName name="Orders_Filled_Time_Period">'(Compute)'!$B$976:$S$976</definedName>
    <definedName name="Practice_Dev_Prof_Staff_Hrs_Date">'(Compute)'!$B$997:$S$997</definedName>
    <definedName name="Practice_Dev_Prof_Staff_Hrs_Practice_Areas">'(Ranges)'!$A$81:$R$81</definedName>
    <definedName name="Practice_Dev_Prof_Staff_Hrs_Practice_Areas_Practice_1">'(Ranges)'!$A$77:$R$77</definedName>
    <definedName name="Practice_Dev_Prof_Staff_Hrs_Practice_Areas_Practice_1_Prof_Staff_Types">'(Ranges)'!$A$77:$R$77</definedName>
    <definedName name="Practice_Dev_Prof_Staff_Hrs_Practice_Areas_Practice_1_Prof_Staff_Types_Prof_Level_1">'(Ranges)'!$A$75:$R$75</definedName>
    <definedName name="Practice_Dev_Prof_Staff_Hrs_Practice_Areas_Practice_1_Prof_Staff_Types_Prof_Level_2">'(Ranges)'!$A$76:$R$76</definedName>
    <definedName name="Practice_Dev_Prof_Staff_Hrs_Practice_Areas_Practice_2">'(Ranges)'!$A$80:$R$80</definedName>
    <definedName name="Practice_Dev_Prof_Staff_Hrs_Practice_Areas_Practice_2_Prof_Staff_Types">'(Ranges)'!$A$80:$R$80</definedName>
    <definedName name="Practice_Dev_Prof_Staff_Hrs_Practice_Areas_Practice_2_Prof_Staff_Types_Prof_Level_1">'(Ranges)'!$A$78:$R$78</definedName>
    <definedName name="Practice_Dev_Prof_Staff_Hrs_Practice_Areas_Practice_2_Prof_Staff_Types_Prof_Level_2">'(Ranges)'!$A$79:$R$79</definedName>
    <definedName name="Practice_Dev_Prof_Staff_Hrs_Time_Period">'(Compute)'!$B$1000:$S$1000</definedName>
    <definedName name="Prof_Staff_Billings_Date">'(Compute)'!$B$955:$S$955</definedName>
    <definedName name="Prof_Staff_Billings_Practice_Areas">'(Tables)'!$B$794:$S$794</definedName>
    <definedName name="Prof_Staff_Billings_Practice_Areas_Practice_1">'(Tables)'!$B$777:$S$777</definedName>
    <definedName name="Prof_Staff_Billings_Practice_Areas_Practice_1_Prof_Staff_Types">'(Tables)'!$B$777:$S$777</definedName>
    <definedName name="Prof_Staff_Billings_Practice_Areas_Practice_1_Prof_Staff_Types_Prof_Level_1">'(Tables)'!$B$772:$S$772</definedName>
    <definedName name="Prof_Staff_Billings_Practice_Areas_Practice_1_Prof_Staff_Types_Prof_Level_1_Channels">'(Tables)'!$B$772:$S$772</definedName>
    <definedName name="Prof_Staff_Billings_Practice_Areas_Practice_1_Prof_Staff_Types_Prof_Level_1_Channels_Channels_1">'(Tables)'!$B$770:$S$770</definedName>
    <definedName name="Prof_Staff_Billings_Practice_Areas_Practice_1_Prof_Staff_Types_Prof_Level_1_Channels_Channels_2">'(Tables)'!$B$771:$S$771</definedName>
    <definedName name="Prof_Staff_Billings_Practice_Areas_Practice_1_Prof_Staff_Types_Prof_Level_2">'(Tables)'!$B$776:$S$776</definedName>
    <definedName name="Prof_Staff_Billings_Practice_Areas_Practice_1_Prof_Staff_Types_Prof_Level_2_Channels">'(Tables)'!$B$776:$S$776</definedName>
    <definedName name="Prof_Staff_Billings_Practice_Areas_Practice_1_Prof_Staff_Types_Prof_Level_2_Channels_Channels_1">'(Tables)'!$B$774:$S$774</definedName>
    <definedName name="Prof_Staff_Billings_Practice_Areas_Practice_1_Prof_Staff_Types_Prof_Level_2_Channels_Channels_2">'(Tables)'!$B$775:$S$775</definedName>
    <definedName name="Prof_Staff_Billings_Practice_Areas_Practice_2">'(Tables)'!$B$790:$S$790</definedName>
    <definedName name="Prof_Staff_Billings_Practice_Areas_Practice_2_Prof_Staff_Types">'(Tables)'!$B$790:$S$790</definedName>
    <definedName name="Prof_Staff_Billings_Practice_Areas_Practice_2_Prof_Staff_Types_Prof_Level_1">'(Tables)'!$B$785:$S$785</definedName>
    <definedName name="Prof_Staff_Billings_Practice_Areas_Practice_2_Prof_Staff_Types_Prof_Level_1_Channels">'(Tables)'!$B$785:$S$785</definedName>
    <definedName name="Prof_Staff_Billings_Practice_Areas_Practice_2_Prof_Staff_Types_Prof_Level_1_Channels_Channels_1">'(Tables)'!$B$783:$S$783</definedName>
    <definedName name="Prof_Staff_Billings_Practice_Areas_Practice_2_Prof_Staff_Types_Prof_Level_1_Channels_Channels_2">'(Tables)'!$B$784:$S$784</definedName>
    <definedName name="Prof_Staff_Billings_Practice_Areas_Practice_2_Prof_Staff_Types_Prof_Level_2">'(Tables)'!$B$789:$S$789</definedName>
    <definedName name="Prof_Staff_Billings_Practice_Areas_Practice_2_Prof_Staff_Types_Prof_Level_2_Channels">'(Tables)'!$B$789:$S$789</definedName>
    <definedName name="Prof_Staff_Billings_Practice_Areas_Practice_2_Prof_Staff_Types_Prof_Level_2_Channels_Channels_1">'(Tables)'!$B$787:$S$787</definedName>
    <definedName name="Prof_Staff_Billings_Practice_Areas_Practice_2_Prof_Staff_Types_Prof_Level_2_Channels_Channels_2">'(Tables)'!$B$788:$S$788</definedName>
    <definedName name="Prof_Staff_Billings_Time_Period">'(Compute)'!$B$958:$S$958</definedName>
    <definedName name="Prof_Staff_Cost_Applied_Date">'(Compute)'!$B$1135:$S$1135</definedName>
    <definedName name="Prof_Staff_Cost_Applied_Practice_Areas">'(Ranges)'!$A$217:$R$217</definedName>
    <definedName name="Prof_Staff_Cost_Applied_Practice_Areas_Practice_1">'(Ranges)'!$A$213:$R$213</definedName>
    <definedName name="Prof_Staff_Cost_Applied_Practice_Areas_Practice_1_Prof_Staff_Types">'(Ranges)'!$A$213:$R$213</definedName>
    <definedName name="Prof_Staff_Cost_Applied_Practice_Areas_Practice_1_Prof_Staff_Types_Prof_Level_1">'(Ranges)'!$A$211:$R$211</definedName>
    <definedName name="Prof_Staff_Cost_Applied_Practice_Areas_Practice_1_Prof_Staff_Types_Prof_Level_2">'(Ranges)'!$A$212:$R$212</definedName>
    <definedName name="Prof_Staff_Cost_Applied_Practice_Areas_Practice_2">'(Ranges)'!$A$216:$R$216</definedName>
    <definedName name="Prof_Staff_Cost_Applied_Practice_Areas_Practice_2_Prof_Staff_Types">'(Ranges)'!$A$216:$R$216</definedName>
    <definedName name="Prof_Staff_Cost_Applied_Practice_Areas_Practice_2_Prof_Staff_Types_Prof_Level_1">'(Ranges)'!$A$214:$R$214</definedName>
    <definedName name="Prof_Staff_Cost_Applied_Practice_Areas_Practice_2_Prof_Staff_Types_Prof_Level_2">'(Ranges)'!$A$215:$R$215</definedName>
    <definedName name="Prof_Staff_Cost_Applied_Time_Period">'(Compute)'!$B$1138:$S$1138</definedName>
    <definedName name="Prof_Staff_Cost_Unapplied_Date">'(Compute)'!$B$1027:$S$1027</definedName>
    <definedName name="Prof_Staff_Cost_Unapplied_Practice_Areas">'(Ranges)'!$A$132:$R$132</definedName>
    <definedName name="Prof_Staff_Cost_Unapplied_Practice_Areas_Practice_1">'(Ranges)'!$A$128:$R$128</definedName>
    <definedName name="Prof_Staff_Cost_Unapplied_Practice_Areas_Practice_1_Prof_Staff_Types">'(Ranges)'!$A$128:$R$128</definedName>
    <definedName name="Prof_Staff_Cost_Unapplied_Practice_Areas_Practice_1_Prof_Staff_Types_Prof_Level_1">'(Ranges)'!$A$126:$R$126</definedName>
    <definedName name="Prof_Staff_Cost_Unapplied_Practice_Areas_Practice_1_Prof_Staff_Types_Prof_Level_2">'(Ranges)'!$A$127:$R$127</definedName>
    <definedName name="Prof_Staff_Cost_Unapplied_Practice_Areas_Practice_2">'(Ranges)'!$A$131:$R$131</definedName>
    <definedName name="Prof_Staff_Cost_Unapplied_Practice_Areas_Practice_2_Prof_Staff_Types">'(Ranges)'!$A$131:$R$131</definedName>
    <definedName name="Prof_Staff_Cost_Unapplied_Practice_Areas_Practice_2_Prof_Staff_Types_Prof_Level_1">'(Ranges)'!$A$129:$R$129</definedName>
    <definedName name="Prof_Staff_Cost_Unapplied_Practice_Areas_Practice_2_Prof_Staff_Types_Prof_Level_2">'(Ranges)'!$A$130:$R$130</definedName>
    <definedName name="Prof_Staff_Cost_Unapplied_Time_Period">'(Compute)'!$B$1030:$S$1030</definedName>
    <definedName name="Prof_Staff_Count_Date">'(Compute)'!$B$979:$S$979</definedName>
    <definedName name="Prof_Staff_Count_plt">'Plot Support'!$B$21:$S$21</definedName>
    <definedName name="Prof_Staff_Count_plt_Date">'(Compute)'!$B$1165:$S$1165</definedName>
    <definedName name="Prof_Staff_Count_plt_Time_Period">'(Compute)'!$B$1168:$S$1168</definedName>
    <definedName name="Prof_Staff_Count_Practice_Areas">'(Ranges)'!$A$74:$R$74</definedName>
    <definedName name="Prof_Staff_Count_Practice_Areas_Practice_1">'(Ranges)'!$A$70:$R$70</definedName>
    <definedName name="Prof_Staff_Count_Practice_Areas_Practice_1_Prof_Staff_Types">'(Ranges)'!$A$70:$R$70</definedName>
    <definedName name="Prof_Staff_Count_Practice_Areas_Practice_1_Prof_Staff_Types_Prof_Level_1">'(Ranges)'!$A$68:$R$68</definedName>
    <definedName name="Prof_Staff_Count_Practice_Areas_Practice_1_Prof_Staff_Types_Prof_Level_2">'(Ranges)'!$A$69:$R$69</definedName>
    <definedName name="Prof_Staff_Count_Practice_Areas_Practice_2">'(Ranges)'!$A$73:$R$73</definedName>
    <definedName name="Prof_Staff_Count_Practice_Areas_Practice_2_Prof_Staff_Types">'(Ranges)'!$A$73:$R$73</definedName>
    <definedName name="Prof_Staff_Count_Practice_Areas_Practice_2_Prof_Staff_Types_Prof_Level_1">'(Ranges)'!$A$71:$R$71</definedName>
    <definedName name="Prof_Staff_Count_Practice_Areas_Practice_2_Prof_Staff_Types_Prof_Level_2">'(Ranges)'!$A$72:$R$72</definedName>
    <definedName name="Prof_Staff_Count_Time_Period">'(Compute)'!$B$982:$S$982</definedName>
    <definedName name="Prof_Staff_Count1_Date">'(Compute)'!$B$985:$S$985</definedName>
    <definedName name="Prof_Staff_Count1_Practice_Areas">'(Tables)'!$B$1075:$S$1075</definedName>
    <definedName name="Prof_Staff_Count1_Practice_Areas_Practice_1">'(Tables)'!$B$1070:$S$1070</definedName>
    <definedName name="Prof_Staff_Count1_Practice_Areas_Practice_1_Prof_Staff_Types">'(Tables)'!$B$1070:$S$1070</definedName>
    <definedName name="Prof_Staff_Count1_Practice_Areas_Practice_1_Prof_Staff_Types_Prof_Level_1">'(Tables)'!$B$1068:$S$1068</definedName>
    <definedName name="Prof_Staff_Count1_Practice_Areas_Practice_1_Prof_Staff_Types_Prof_Level_2">'(Tables)'!$B$1069:$S$1069</definedName>
    <definedName name="Prof_Staff_Count1_Practice_Areas_Practice_2">'(Tables)'!$B$1074:$S$1074</definedName>
    <definedName name="Prof_Staff_Count1_Practice_Areas_Practice_2_Prof_Staff_Types">'(Tables)'!$B$1074:$S$1074</definedName>
    <definedName name="Prof_Staff_Count1_Practice_Areas_Practice_2_Prof_Staff_Types_Prof_Level_1">'(Tables)'!$B$1072:$S$1072</definedName>
    <definedName name="Prof_Staff_Count1_Practice_Areas_Practice_2_Prof_Staff_Types_Prof_Level_2">'(Tables)'!$B$1073:$S$1073</definedName>
    <definedName name="Prof_Staff_Count1_Time_Period">'(Compute)'!$B$988:$S$988</definedName>
    <definedName name="Prof_Staff_Hrs_Applied_Plot_Date">'(Compute)'!$B$1153:$S$1153</definedName>
    <definedName name="Prof_Staff_Hrs_Applied_Plot_Prof_Staff_Types">'Plot Support'!$B$14:$S$14</definedName>
    <definedName name="Prof_Staff_Hrs_Applied_Plot_Prof_Staff_Types_Prof_Level_1">'Plot Support'!$B$12:$S$12</definedName>
    <definedName name="Prof_Staff_Hrs_Applied_Plot_Prof_Staff_Types_Prof_Level_2">'Plot Support'!$B$13:$S$13</definedName>
    <definedName name="Prof_Staff_Hrs_Applied_Plot_Time_Period">'(Compute)'!$B$1156:$S$1156</definedName>
    <definedName name="Prof_Staff_Hrs_Billed_Plot_Date">'(Compute)'!$B$1159:$S$1159</definedName>
    <definedName name="Prof_Staff_Hrs_Billed_Plot_Prof_Staff_Types">'Plot Support'!$B$19:$S$19</definedName>
    <definedName name="Prof_Staff_Hrs_Billed_Plot_Prof_Staff_Types_Prof_Level_1">'Plot Support'!$B$17:$S$17</definedName>
    <definedName name="Prof_Staff_Hrs_Billed_Plot_Prof_Staff_Types_Prof_Level_2">'Plot Support'!$B$18:$S$18</definedName>
    <definedName name="Prof_Staff_Hrs_Billed_Plot_Time_Period">'(Compute)'!$B$1162:$S$1162</definedName>
    <definedName name="Prof_Staff_Hrs_Capacity_Date">'(Compute)'!$B$1015:$S$1015</definedName>
    <definedName name="Prof_Staff_Hrs_Capacity_Plot_Date">'(Compute)'!$B$1147:$S$1147</definedName>
    <definedName name="Prof_Staff_Hrs_Capacity_Plot_Prof_Staff_Types">'Plot Support'!$B$9:$S$9</definedName>
    <definedName name="Prof_Staff_Hrs_Capacity_Plot_Prof_Staff_Types_Prof_Level_1">'Plot Support'!$B$7:$S$7</definedName>
    <definedName name="Prof_Staff_Hrs_Capacity_Plot_Prof_Staff_Types_Prof_Level_2">'Plot Support'!$B$8:$S$8</definedName>
    <definedName name="Prof_Staff_Hrs_Capacity_Plot_Time_Period">'(Compute)'!$B$1150:$S$1150</definedName>
    <definedName name="Prof_Staff_Hrs_Capacity_Practice_Areas">'(Ranges)'!$A$110:$R$110</definedName>
    <definedName name="Prof_Staff_Hrs_Capacity_Practice_Areas_Practice_1">'(Ranges)'!$A$106:$R$106</definedName>
    <definedName name="Prof_Staff_Hrs_Capacity_Practice_Areas_Practice_1_Prof_Staff_Types">'(Ranges)'!$A$106:$R$106</definedName>
    <definedName name="Prof_Staff_Hrs_Capacity_Practice_Areas_Practice_1_Prof_Staff_Types_Prof_Level_1">'(Ranges)'!$A$104:$R$104</definedName>
    <definedName name="Prof_Staff_Hrs_Capacity_Practice_Areas_Practice_1_Prof_Staff_Types_Prof_Level_2">'(Ranges)'!$A$105:$R$105</definedName>
    <definedName name="Prof_Staff_Hrs_Capacity_Practice_Areas_Practice_2">'(Ranges)'!$A$109:$R$109</definedName>
    <definedName name="Prof_Staff_Hrs_Capacity_Practice_Areas_Practice_2_Prof_Staff_Types">'(Ranges)'!$A$109:$R$109</definedName>
    <definedName name="Prof_Staff_Hrs_Capacity_Practice_Areas_Practice_2_Prof_Staff_Types_Prof_Level_1">'(Ranges)'!$A$107:$R$107</definedName>
    <definedName name="Prof_Staff_Hrs_Capacity_Practice_Areas_Practice_2_Prof_Staff_Types_Prof_Level_2">'(Ranges)'!$A$108:$R$108</definedName>
    <definedName name="Prof_Staff_Hrs_Capacity_Time_Period">'(Compute)'!$B$1018:$S$1018</definedName>
    <definedName name="Prof_Staff_Hrs_Engage_Date">'(Compute)'!$B$991:$S$991</definedName>
    <definedName name="Prof_Staff_Hrs_Engage_Practice_Areas">'(Tables)'!$B$1107:$S$1107</definedName>
    <definedName name="Prof_Staff_Hrs_Engage_Practice_Areas_Practice_1">'(Tables)'!$B$1090:$S$1090</definedName>
    <definedName name="Prof_Staff_Hrs_Engage_Practice_Areas_Practice_1_Prof_Staff_Types">'(Tables)'!$B$1090:$S$1090</definedName>
    <definedName name="Prof_Staff_Hrs_Engage_Practice_Areas_Practice_1_Prof_Staff_Types_Prof_Level_1">'(Tables)'!$B$1085:$S$1085</definedName>
    <definedName name="Prof_Staff_Hrs_Engage_Practice_Areas_Practice_1_Prof_Staff_Types_Prof_Level_1_Channels">'(Tables)'!$B$1085:$S$1085</definedName>
    <definedName name="Prof_Staff_Hrs_Engage_Practice_Areas_Practice_1_Prof_Staff_Types_Prof_Level_1_Channels_Channels_1">'(Tables)'!$B$1083:$S$1083</definedName>
    <definedName name="Prof_Staff_Hrs_Engage_Practice_Areas_Practice_1_Prof_Staff_Types_Prof_Level_1_Channels_Channels_2">'(Tables)'!$B$1084:$S$1084</definedName>
    <definedName name="Prof_Staff_Hrs_Engage_Practice_Areas_Practice_1_Prof_Staff_Types_Prof_Level_2">'(Tables)'!$B$1089:$S$1089</definedName>
    <definedName name="Prof_Staff_Hrs_Engage_Practice_Areas_Practice_1_Prof_Staff_Types_Prof_Level_2_Channels">'(Tables)'!$B$1089:$S$1089</definedName>
    <definedName name="Prof_Staff_Hrs_Engage_Practice_Areas_Practice_1_Prof_Staff_Types_Prof_Level_2_Channels_Channels_1">'(Tables)'!$B$1087:$S$1087</definedName>
    <definedName name="Prof_Staff_Hrs_Engage_Practice_Areas_Practice_1_Prof_Staff_Types_Prof_Level_2_Channels_Channels_2">'(Tables)'!$B$1088:$S$1088</definedName>
    <definedName name="Prof_Staff_Hrs_Engage_Practice_Areas_Practice_2">'(Tables)'!$B$1103:$S$1103</definedName>
    <definedName name="Prof_Staff_Hrs_Engage_Practice_Areas_Practice_2_Prof_Staff_Types">'(Tables)'!$B$1103:$S$1103</definedName>
    <definedName name="Prof_Staff_Hrs_Engage_Practice_Areas_Practice_2_Prof_Staff_Types_Prof_Level_1">'(Tables)'!$B$1098:$S$1098</definedName>
    <definedName name="Prof_Staff_Hrs_Engage_Practice_Areas_Practice_2_Prof_Staff_Types_Prof_Level_1_Channels">'(Tables)'!$B$1098:$S$1098</definedName>
    <definedName name="Prof_Staff_Hrs_Engage_Practice_Areas_Practice_2_Prof_Staff_Types_Prof_Level_1_Channels_Channels_1">'(Tables)'!$B$1096:$S$1096</definedName>
    <definedName name="Prof_Staff_Hrs_Engage_Practice_Areas_Practice_2_Prof_Staff_Types_Prof_Level_1_Channels_Channels_2">'(Tables)'!$B$1097:$S$1097</definedName>
    <definedName name="Prof_Staff_Hrs_Engage_Practice_Areas_Practice_2_Prof_Staff_Types_Prof_Level_2">'(Tables)'!$B$1102:$S$1102</definedName>
    <definedName name="Prof_Staff_Hrs_Engage_Practice_Areas_Practice_2_Prof_Staff_Types_Prof_Level_2_Channels">'(Tables)'!$B$1102:$S$1102</definedName>
    <definedName name="Prof_Staff_Hrs_Engage_Practice_Areas_Practice_2_Prof_Staff_Types_Prof_Level_2_Channels_Channels_1">'(Tables)'!$B$1100:$S$1100</definedName>
    <definedName name="Prof_Staff_Hrs_Engage_Practice_Areas_Practice_2_Prof_Staff_Types_Prof_Level_2_Channels_Channels_2">'(Tables)'!$B$1101:$S$1101</definedName>
    <definedName name="Prof_Staff_Hrs_Engage_Time_Period">'(Compute)'!$B$994:$S$994</definedName>
    <definedName name="Prof_Staff_Hrs_Unapplied_Date">'(Compute)'!$B$1033:$S$1033</definedName>
    <definedName name="Prof_Staff_Hrs_Unapplied_Practice_Areas">'(Ranges)'!$A$139:$R$139</definedName>
    <definedName name="Prof_Staff_Hrs_Unapplied_Practice_Areas_Practice_1">'(Ranges)'!$A$135:$R$135</definedName>
    <definedName name="Prof_Staff_Hrs_Unapplied_Practice_Areas_Practice_1_Prof_Staff_Types">'(Ranges)'!$A$135:$R$135</definedName>
    <definedName name="Prof_Staff_Hrs_Unapplied_Practice_Areas_Practice_1_Prof_Staff_Types_Prof_Level_1">'(Ranges)'!$A$133:$R$133</definedName>
    <definedName name="Prof_Staff_Hrs_Unapplied_Practice_Areas_Practice_1_Prof_Staff_Types_Prof_Level_2">'(Ranges)'!$A$134:$R$134</definedName>
    <definedName name="Prof_Staff_Hrs_Unapplied_Practice_Areas_Practice_2">'(Ranges)'!$A$138:$R$138</definedName>
    <definedName name="Prof_Staff_Hrs_Unapplied_Practice_Areas_Practice_2_Prof_Staff_Types">'(Ranges)'!$A$138:$R$138</definedName>
    <definedName name="Prof_Staff_Hrs_Unapplied_Practice_Areas_Practice_2_Prof_Staff_Types_Prof_Level_1">'(Ranges)'!$A$136:$R$136</definedName>
    <definedName name="Prof_Staff_Hrs_Unapplied_Practice_Areas_Practice_2_Prof_Staff_Types_Prof_Level_2">'(Ranges)'!$A$137:$R$137</definedName>
    <definedName name="Prof_Staff_Hrs_Unapplied_Time_Period">'(Compute)'!$B$1036:$S$1036</definedName>
    <definedName name="Prof_Staff_Hrs_Unbilled_Channel_Date">'(Compute)'!$B$1093:$S$1093</definedName>
    <definedName name="Prof_Staff_Hrs_Unbilled_Channel_Practice_Areas">'(Ranges)'!$A$210:$R$210</definedName>
    <definedName name="Prof_Staff_Hrs_Unbilled_Channel_Practice_Areas_Practice_1">'(Ranges)'!$A$206:$R$206</definedName>
    <definedName name="Prof_Staff_Hrs_Unbilled_Channel_Practice_Areas_Practice_1_Prof_Staff_Types">'(Ranges)'!$A$206:$R$206</definedName>
    <definedName name="Prof_Staff_Hrs_Unbilled_Channel_Practice_Areas_Practice_1_Prof_Staff_Types_Prof_Level_1">'(Ranges)'!$A$204:$R$204</definedName>
    <definedName name="Prof_Staff_Hrs_Unbilled_Channel_Practice_Areas_Practice_1_Prof_Staff_Types_Prof_Level_2">'(Ranges)'!$A$205:$R$205</definedName>
    <definedName name="Prof_Staff_Hrs_Unbilled_Channel_Practice_Areas_Practice_2">'(Ranges)'!$A$209:$R$209</definedName>
    <definedName name="Prof_Staff_Hrs_Unbilled_Channel_Practice_Areas_Practice_2_Prof_Staff_Types">'(Ranges)'!$A$209:$R$209</definedName>
    <definedName name="Prof_Staff_Hrs_Unbilled_Channel_Practice_Areas_Practice_2_Prof_Staff_Types_Prof_Level_1">'(Ranges)'!$A$207:$R$207</definedName>
    <definedName name="Prof_Staff_Hrs_Unbilled_Channel_Practice_Areas_Practice_2_Prof_Staff_Types_Prof_Level_2">'(Ranges)'!$A$208:$R$208</definedName>
    <definedName name="Prof_Staff_Hrs_Unbilled_Channel_Time_Period">'(Compute)'!$B$1096:$S$1096</definedName>
    <definedName name="Prof_Staff_Hrs_Unbilled_Date">'(Compute)'!$B$1141:$S$1141</definedName>
    <definedName name="Prof_Staff_Hrs_Unbilled_Practice_Areas">'(Ranges)'!$A$224:$R$224</definedName>
    <definedName name="Prof_Staff_Hrs_Unbilled_Practice_Areas_Practice_1">'(Ranges)'!$A$220:$R$220</definedName>
    <definedName name="Prof_Staff_Hrs_Unbilled_Practice_Areas_Practice_1_Prof_Staff_Types">'(Ranges)'!$A$220:$R$220</definedName>
    <definedName name="Prof_Staff_Hrs_Unbilled_Practice_Areas_Practice_1_Prof_Staff_Types_Prof_Level_1">'(Ranges)'!$A$218:$R$218</definedName>
    <definedName name="Prof_Staff_Hrs_Unbilled_Practice_Areas_Practice_1_Prof_Staff_Types_Prof_Level_2">'(Ranges)'!$A$219:$R$219</definedName>
    <definedName name="Prof_Staff_Hrs_Unbilled_Practice_Areas_Practice_2">'(Ranges)'!$A$223:$R$223</definedName>
    <definedName name="Prof_Staff_Hrs_Unbilled_Practice_Areas_Practice_2_Prof_Staff_Types">'(Ranges)'!$A$223:$R$223</definedName>
    <definedName name="Prof_Staff_Hrs_Unbilled_Practice_Areas_Practice_2_Prof_Staff_Types_Prof_Level_1">'(Ranges)'!$A$221:$R$221</definedName>
    <definedName name="Prof_Staff_Hrs_Unbilled_Practice_Areas_Practice_2_Prof_Staff_Types_Prof_Level_2">'(Ranges)'!$A$222:$R$222</definedName>
    <definedName name="Prof_Staff_Hrs_Unbilled_Time_Period">'(Compute)'!$B$1144:$S$1144</definedName>
    <definedName name="Revenue_Channel_Channels">'(Ranges)'!$A$188:$R$188</definedName>
    <definedName name="Revenue_Channel_Channels_Channels_1">'(Ranges)'!$A$180:$R$180</definedName>
    <definedName name="Revenue_Channel_Channels_Channels_1_Practice_Areas">'(Ranges)'!$A$180:$R$180</definedName>
    <definedName name="Revenue_Channel_Channels_Channels_1_Practice_Areas_Practice_1">'(Ranges)'!$A$176:$R$176</definedName>
    <definedName name="Revenue_Channel_Channels_Channels_1_Practice_Areas_Practice_1_Prof_Staff_Types">'(Ranges)'!$A$176:$R$176</definedName>
    <definedName name="Revenue_Channel_Channels_Channels_1_Practice_Areas_Practice_1_Prof_Staff_Types_Prof_Level_1">'(Ranges)'!$A$174:$R$174</definedName>
    <definedName name="Revenue_Channel_Channels_Channels_1_Practice_Areas_Practice_1_Prof_Staff_Types_Prof_Level_2">'(Ranges)'!$A$175:$R$175</definedName>
    <definedName name="Revenue_Channel_Channels_Channels_1_Practice_Areas_Practice_2">'(Ranges)'!$A$179:$R$179</definedName>
    <definedName name="Revenue_Channel_Channels_Channels_1_Practice_Areas_Practice_2_Prof_Staff_Types">'(Ranges)'!$A$179:$R$179</definedName>
    <definedName name="Revenue_Channel_Channels_Channels_1_Practice_Areas_Practice_2_Prof_Staff_Types_Prof_Level_1">'(Ranges)'!$A$177:$R$177</definedName>
    <definedName name="Revenue_Channel_Channels_Channels_1_Practice_Areas_Practice_2_Prof_Staff_Types_Prof_Level_2">'(Ranges)'!$A$178:$R$178</definedName>
    <definedName name="Revenue_Channel_Channels_Channels_2">'(Ranges)'!$A$187:$R$187</definedName>
    <definedName name="Revenue_Channel_Channels_Channels_2_Practice_Areas">'(Ranges)'!$A$187:$R$187</definedName>
    <definedName name="Revenue_Channel_Channels_Channels_2_Practice_Areas_Practice_1">'(Ranges)'!$A$183:$R$183</definedName>
    <definedName name="Revenue_Channel_Channels_Channels_2_Practice_Areas_Practice_1_Prof_Staff_Types">'(Ranges)'!$A$183:$R$183</definedName>
    <definedName name="Revenue_Channel_Channels_Channels_2_Practice_Areas_Practice_1_Prof_Staff_Types_Prof_Level_1">'(Ranges)'!$A$181:$R$181</definedName>
    <definedName name="Revenue_Channel_Channels_Channels_2_Practice_Areas_Practice_1_Prof_Staff_Types_Prof_Level_2">'(Ranges)'!$A$182:$R$182</definedName>
    <definedName name="Revenue_Channel_Channels_Channels_2_Practice_Areas_Practice_2">'(Ranges)'!$A$186:$R$186</definedName>
    <definedName name="Revenue_Channel_Channels_Channels_2_Practice_Areas_Practice_2_Prof_Staff_Types">'(Ranges)'!$A$186:$R$186</definedName>
    <definedName name="Revenue_Channel_Channels_Channels_2_Practice_Areas_Practice_2_Prof_Staff_Types_Prof_Level_1">'(Ranges)'!$A$184:$R$184</definedName>
    <definedName name="Revenue_Channel_Channels_Channels_2_Practice_Areas_Practice_2_Prof_Staff_Types_Prof_Level_2">'(Ranges)'!$A$185:$R$185</definedName>
    <definedName name="Revenue_Channel_Date">'(Compute)'!$B$1081:$S$1081</definedName>
    <definedName name="Revenue_Channel_Time_Period">'(Compute)'!$B$1084:$S$1084</definedName>
    <definedName name="Revenue_Date">'(Compute)'!$B$1009:$S$1009</definedName>
    <definedName name="Revenue_Practice_Areas">'(Ranges)'!$A$103:$R$103</definedName>
    <definedName name="Revenue_Practice_Areas_Practice_1">'(Ranges)'!$A$95:$R$95</definedName>
    <definedName name="Revenue_Practice_Areas_Practice_1_Prof_Staff_Types">'(Ranges)'!$A$95:$R$95</definedName>
    <definedName name="Revenue_Practice_Areas_Practice_1_Prof_Staff_Types_Prof_Level_1">'(Ranges)'!$A$91:$R$91</definedName>
    <definedName name="Revenue_Practice_Areas_Practice_1_Prof_Staff_Types_Prof_Level_1_Channels">'(Ranges)'!$A$91:$R$91</definedName>
    <definedName name="Revenue_Practice_Areas_Practice_1_Prof_Staff_Types_Prof_Level_1_Channels_Channels_1">'(Ranges)'!$A$89:$R$89</definedName>
    <definedName name="Revenue_Practice_Areas_Practice_1_Prof_Staff_Types_Prof_Level_1_Channels_Channels_2">'(Ranges)'!$A$90:$R$90</definedName>
    <definedName name="Revenue_Practice_Areas_Practice_1_Prof_Staff_Types_Prof_Level_2">'(Ranges)'!$A$94:$R$94</definedName>
    <definedName name="Revenue_Practice_Areas_Practice_1_Prof_Staff_Types_Prof_Level_2_Channels">'(Ranges)'!$A$94:$R$94</definedName>
    <definedName name="Revenue_Practice_Areas_Practice_1_Prof_Staff_Types_Prof_Level_2_Channels_Channels_1">'(Ranges)'!$A$92:$R$92</definedName>
    <definedName name="Revenue_Practice_Areas_Practice_1_Prof_Staff_Types_Prof_Level_2_Channels_Channels_2">'(Ranges)'!$A$93:$R$93</definedName>
    <definedName name="Revenue_Practice_Areas_Practice_2">'(Ranges)'!$A$102:$R$102</definedName>
    <definedName name="Revenue_Practice_Areas_Practice_2_Prof_Staff_Types">'(Ranges)'!$A$102:$R$102</definedName>
    <definedName name="Revenue_Practice_Areas_Practice_2_Prof_Staff_Types_Prof_Level_1">'(Ranges)'!$A$98:$R$98</definedName>
    <definedName name="Revenue_Practice_Areas_Practice_2_Prof_Staff_Types_Prof_Level_1_Channels">'(Ranges)'!$A$98:$R$98</definedName>
    <definedName name="Revenue_Practice_Areas_Practice_2_Prof_Staff_Types_Prof_Level_1_Channels_Channels_1">'(Ranges)'!$A$96:$R$96</definedName>
    <definedName name="Revenue_Practice_Areas_Practice_2_Prof_Staff_Types_Prof_Level_1_Channels_Channels_2">'(Ranges)'!$A$97:$R$97</definedName>
    <definedName name="Revenue_Practice_Areas_Practice_2_Prof_Staff_Types_Prof_Level_2">'(Ranges)'!$A$101:$R$101</definedName>
    <definedName name="Revenue_Practice_Areas_Practice_2_Prof_Staff_Types_Prof_Level_2_Channels">'(Ranges)'!$A$101:$R$101</definedName>
    <definedName name="Revenue_Practice_Areas_Practice_2_Prof_Staff_Types_Prof_Level_2_Channels_Channels_1">'(Ranges)'!$A$99:$R$99</definedName>
    <definedName name="Revenue_Practice_Areas_Practice_2_Prof_Staff_Types_Prof_Level_2_Channels_Channels_2">'(Ranges)'!$A$100:$R$100</definedName>
    <definedName name="Revenue_Time_Period">'(Compute)'!$B$1012:$S$1012</definedName>
    <definedName name="Sup_Staff_Count_Date">'(Compute)'!$B$1003:$S$1003</definedName>
    <definedName name="Sup_Staff_Count_Depts">'(Ranges)'!$A$88:$R$88</definedName>
    <definedName name="Sup_Staff_Count_Depts_Marketing">'(Ranges)'!$A$84:$R$84</definedName>
    <definedName name="Sup_Staff_Count_Depts_Marketing_Sup_Staff_Levels">'(Ranges)'!$A$84:$R$84</definedName>
    <definedName name="Sup_Staff_Count_Depts_Marketing_Sup_Staff_Levels_Contributor">'(Ranges)'!$A$83:$R$83</definedName>
    <definedName name="Sup_Staff_Count_Depts_Marketing_Sup_Staff_Levels_Manager">'(Ranges)'!$A$82:$R$82</definedName>
    <definedName name="Sup_Staff_Count_Depts_Sales">'(Ranges)'!$A$87:$R$87</definedName>
    <definedName name="Sup_Staff_Count_Depts_Sales_Sup_Staff_Levels">'(Ranges)'!$A$87:$R$87</definedName>
    <definedName name="Sup_Staff_Count_Depts_Sales_Sup_Staff_Levels_Contributor">'(Ranges)'!$A$86:$R$86</definedName>
    <definedName name="Sup_Staff_Count_Depts_Sales_Sup_Staff_Levels_Manager">'(Ranges)'!$A$85:$R$85</definedName>
    <definedName name="Sup_Staff_Count_Time_Period">'(Compute)'!$B$1006:$S$1006</definedName>
    <definedName name="Valuation_Equity">'(Ranges)'!$A$173:$S$173</definedName>
    <definedName name="Valuation_Equity_Date">'(Compute)'!$B$1075:$T$1075</definedName>
    <definedName name="Valuation_Equity_Time_Period">'(Compute)'!$B$1078:$T$1078</definedName>
  </definedNames>
  <calcPr calcId="152511"/>
</workbook>
</file>

<file path=xl/calcChain.xml><?xml version="1.0" encoding="utf-8"?>
<calcChain xmlns="http://schemas.openxmlformats.org/spreadsheetml/2006/main">
  <c r="A1" i="2" l="1"/>
  <c r="A3" i="2"/>
  <c r="A4" i="2"/>
  <c r="A5" i="2"/>
  <c r="A6" i="2"/>
  <c r="A7" i="2"/>
  <c r="A10" i="2"/>
  <c r="A11" i="2"/>
  <c r="F12" i="2"/>
  <c r="G12" i="2"/>
  <c r="H12" i="2"/>
  <c r="A13" i="2"/>
  <c r="F13" i="2"/>
  <c r="A14" i="2"/>
  <c r="F14" i="2"/>
  <c r="A16" i="2"/>
  <c r="A17" i="2"/>
  <c r="A18" i="2"/>
  <c r="F19" i="2"/>
  <c r="G19" i="2"/>
  <c r="A20" i="2"/>
  <c r="F20" i="2"/>
  <c r="G20" i="2"/>
  <c r="A21" i="2"/>
  <c r="F21" i="2"/>
  <c r="G21" i="2"/>
  <c r="F23" i="2"/>
  <c r="G23" i="2"/>
  <c r="A24" i="2"/>
  <c r="B24" i="2"/>
  <c r="F24" i="2"/>
  <c r="G24" i="2"/>
  <c r="B25" i="2"/>
  <c r="F25" i="2"/>
  <c r="G25" i="2"/>
  <c r="A26" i="2"/>
  <c r="B26" i="2"/>
  <c r="F26" i="2"/>
  <c r="G26" i="2"/>
  <c r="B27" i="2"/>
  <c r="F27" i="2"/>
  <c r="G27" i="2"/>
  <c r="A29" i="2"/>
  <c r="A30" i="2"/>
  <c r="F31" i="2"/>
  <c r="G31" i="2"/>
  <c r="H31" i="2"/>
  <c r="I31" i="2"/>
  <c r="A32" i="2"/>
  <c r="B32" i="2"/>
  <c r="C32" i="2"/>
  <c r="C33" i="2"/>
  <c r="B34" i="2"/>
  <c r="C34" i="2"/>
  <c r="C35" i="2"/>
  <c r="A38" i="2"/>
  <c r="A39" i="2"/>
  <c r="F40" i="2"/>
  <c r="G40" i="2"/>
  <c r="H40" i="2"/>
  <c r="I40" i="2"/>
  <c r="A41" i="2"/>
  <c r="B41" i="2"/>
  <c r="C41" i="2"/>
  <c r="F41" i="2"/>
  <c r="G41" i="2"/>
  <c r="H41" i="2"/>
  <c r="I41" i="2"/>
  <c r="C42" i="2"/>
  <c r="F42" i="2"/>
  <c r="G42" i="2"/>
  <c r="H42" i="2"/>
  <c r="I42" i="2"/>
  <c r="B43" i="2"/>
  <c r="C43" i="2"/>
  <c r="F43" i="2"/>
  <c r="G43" i="2"/>
  <c r="H43" i="2"/>
  <c r="I43" i="2"/>
  <c r="C44" i="2"/>
  <c r="F44" i="2"/>
  <c r="G44" i="2"/>
  <c r="H44" i="2"/>
  <c r="I44" i="2"/>
  <c r="A46" i="2"/>
  <c r="F46" i="2"/>
  <c r="A51" i="2"/>
  <c r="A52" i="2"/>
  <c r="A53" i="2"/>
  <c r="A54" i="2"/>
  <c r="F55" i="2"/>
  <c r="G55" i="2"/>
  <c r="I55" i="2"/>
  <c r="J55" i="2"/>
  <c r="K55" i="2"/>
  <c r="L55" i="2"/>
  <c r="M55" i="2"/>
  <c r="A56" i="2"/>
  <c r="B56" i="2"/>
  <c r="C56" i="2"/>
  <c r="D56" i="2"/>
  <c r="F56" i="2"/>
  <c r="F57" i="2" s="1"/>
  <c r="B507" i="9" s="1"/>
  <c r="G56" i="2"/>
  <c r="L56" i="2"/>
  <c r="M56" i="2"/>
  <c r="D57" i="2"/>
  <c r="G57" i="2"/>
  <c r="K57" i="2"/>
  <c r="L57" i="2"/>
  <c r="M57" i="2"/>
  <c r="M58" i="2" s="1"/>
  <c r="C58" i="2"/>
  <c r="D58" i="2"/>
  <c r="F58" i="2"/>
  <c r="G58" i="2"/>
  <c r="G62" i="2" s="1"/>
  <c r="G63" i="2" s="1"/>
  <c r="L58" i="2"/>
  <c r="D59" i="2"/>
  <c r="F59" i="2"/>
  <c r="G59" i="2"/>
  <c r="J59" i="2"/>
  <c r="K59" i="2"/>
  <c r="L59" i="2"/>
  <c r="M59" i="2"/>
  <c r="M61" i="2" s="1"/>
  <c r="M62" i="2" s="1"/>
  <c r="B60" i="2"/>
  <c r="C60" i="2"/>
  <c r="D60" i="2"/>
  <c r="F60" i="2"/>
  <c r="F61" i="2" s="1"/>
  <c r="G60" i="2"/>
  <c r="G61" i="2" s="1"/>
  <c r="B560" i="9" s="1"/>
  <c r="L60" i="2"/>
  <c r="D61" i="2"/>
  <c r="K61" i="2"/>
  <c r="L61" i="2"/>
  <c r="C62" i="2"/>
  <c r="D62" i="2"/>
  <c r="F62" i="2"/>
  <c r="F63" i="2" s="1"/>
  <c r="L62" i="2"/>
  <c r="D63" i="2"/>
  <c r="A65" i="2"/>
  <c r="A66" i="2"/>
  <c r="A68" i="2"/>
  <c r="B68" i="2"/>
  <c r="C68" i="2"/>
  <c r="D68" i="2"/>
  <c r="E68" i="2"/>
  <c r="F68" i="2"/>
  <c r="G68" i="2" s="1"/>
  <c r="H68" i="2" s="1"/>
  <c r="I68" i="2" s="1"/>
  <c r="J68" i="2" s="1"/>
  <c r="K68" i="2" s="1"/>
  <c r="L68" i="2" s="1"/>
  <c r="M68" i="2" s="1"/>
  <c r="N68" i="2" s="1"/>
  <c r="O68" i="2" s="1"/>
  <c r="P68" i="2" s="1"/>
  <c r="Q68" i="2" s="1"/>
  <c r="R68" i="2" s="1"/>
  <c r="S68" i="2" s="1"/>
  <c r="T68" i="2" s="1"/>
  <c r="U68" i="2" s="1"/>
  <c r="V68" i="2" s="1"/>
  <c r="W68" i="2" s="1"/>
  <c r="E69" i="2"/>
  <c r="F69" i="2"/>
  <c r="G69" i="2" s="1"/>
  <c r="H69" i="2" s="1"/>
  <c r="I69" i="2" s="1"/>
  <c r="J69" i="2" s="1"/>
  <c r="K69" i="2" s="1"/>
  <c r="L69" i="2" s="1"/>
  <c r="M69" i="2" s="1"/>
  <c r="N69" i="2" s="1"/>
  <c r="O69" i="2" s="1"/>
  <c r="P69" i="2" s="1"/>
  <c r="Q69" i="2" s="1"/>
  <c r="R69" i="2" s="1"/>
  <c r="S69" i="2" s="1"/>
  <c r="T69" i="2" s="1"/>
  <c r="U69" i="2" s="1"/>
  <c r="V69" i="2" s="1"/>
  <c r="W69" i="2" s="1"/>
  <c r="D70" i="2"/>
  <c r="E70" i="2"/>
  <c r="F70" i="2"/>
  <c r="G70" i="2" s="1"/>
  <c r="H70" i="2" s="1"/>
  <c r="I70" i="2" s="1"/>
  <c r="J70" i="2" s="1"/>
  <c r="K70" i="2" s="1"/>
  <c r="L70" i="2" s="1"/>
  <c r="M70" i="2" s="1"/>
  <c r="N70" i="2" s="1"/>
  <c r="O70" i="2" s="1"/>
  <c r="P70" i="2" s="1"/>
  <c r="Q70" i="2" s="1"/>
  <c r="R70" i="2" s="1"/>
  <c r="S70" i="2" s="1"/>
  <c r="T70" i="2" s="1"/>
  <c r="U70" i="2" s="1"/>
  <c r="V70" i="2" s="1"/>
  <c r="W70" i="2" s="1"/>
  <c r="E71" i="2"/>
  <c r="F71" i="2"/>
  <c r="G71" i="2"/>
  <c r="H71" i="2" s="1"/>
  <c r="I71" i="2" s="1"/>
  <c r="J71" i="2" s="1"/>
  <c r="K71" i="2" s="1"/>
  <c r="L71" i="2" s="1"/>
  <c r="M71" i="2" s="1"/>
  <c r="N71" i="2" s="1"/>
  <c r="O71" i="2" s="1"/>
  <c r="P71" i="2" s="1"/>
  <c r="Q71" i="2" s="1"/>
  <c r="R71" i="2" s="1"/>
  <c r="S71" i="2" s="1"/>
  <c r="T71" i="2" s="1"/>
  <c r="U71" i="2" s="1"/>
  <c r="V71" i="2" s="1"/>
  <c r="W71" i="2" s="1"/>
  <c r="C72" i="2"/>
  <c r="D72" i="2"/>
  <c r="E72" i="2"/>
  <c r="F72" i="2"/>
  <c r="G72" i="2" s="1"/>
  <c r="H72" i="2" s="1"/>
  <c r="I72" i="2" s="1"/>
  <c r="J72" i="2" s="1"/>
  <c r="K72" i="2" s="1"/>
  <c r="L72" i="2" s="1"/>
  <c r="M72" i="2" s="1"/>
  <c r="N72" i="2" s="1"/>
  <c r="O72" i="2" s="1"/>
  <c r="P72" i="2" s="1"/>
  <c r="Q72" i="2" s="1"/>
  <c r="R72" i="2" s="1"/>
  <c r="S72" i="2" s="1"/>
  <c r="T72" i="2" s="1"/>
  <c r="U72" i="2" s="1"/>
  <c r="V72" i="2" s="1"/>
  <c r="W72" i="2" s="1"/>
  <c r="E73" i="2"/>
  <c r="F73" i="2"/>
  <c r="G73" i="2" s="1"/>
  <c r="H73" i="2" s="1"/>
  <c r="I73" i="2" s="1"/>
  <c r="J73" i="2" s="1"/>
  <c r="K73" i="2" s="1"/>
  <c r="L73" i="2" s="1"/>
  <c r="M73" i="2" s="1"/>
  <c r="N73" i="2" s="1"/>
  <c r="O73" i="2" s="1"/>
  <c r="P73" i="2" s="1"/>
  <c r="Q73" i="2" s="1"/>
  <c r="R73" i="2" s="1"/>
  <c r="S73" i="2" s="1"/>
  <c r="T73" i="2" s="1"/>
  <c r="U73" i="2" s="1"/>
  <c r="V73" i="2" s="1"/>
  <c r="W73" i="2" s="1"/>
  <c r="D74" i="2"/>
  <c r="E74" i="2"/>
  <c r="F74" i="2"/>
  <c r="G74" i="2" s="1"/>
  <c r="H74" i="2" s="1"/>
  <c r="I74" i="2" s="1"/>
  <c r="J74" i="2" s="1"/>
  <c r="K74" i="2" s="1"/>
  <c r="L74" i="2" s="1"/>
  <c r="M74" i="2" s="1"/>
  <c r="N74" i="2" s="1"/>
  <c r="O74" i="2" s="1"/>
  <c r="P74" i="2" s="1"/>
  <c r="Q74" i="2" s="1"/>
  <c r="R74" i="2" s="1"/>
  <c r="S74" i="2" s="1"/>
  <c r="T74" i="2" s="1"/>
  <c r="U74" i="2" s="1"/>
  <c r="V74" i="2" s="1"/>
  <c r="W74" i="2" s="1"/>
  <c r="E75" i="2"/>
  <c r="F75" i="2"/>
  <c r="G75" i="2" s="1"/>
  <c r="H75" i="2" s="1"/>
  <c r="I75" i="2" s="1"/>
  <c r="J75" i="2" s="1"/>
  <c r="K75" i="2" s="1"/>
  <c r="L75" i="2" s="1"/>
  <c r="M75" i="2" s="1"/>
  <c r="N75" i="2" s="1"/>
  <c r="O75" i="2" s="1"/>
  <c r="P75" i="2" s="1"/>
  <c r="Q75" i="2" s="1"/>
  <c r="R75" i="2" s="1"/>
  <c r="S75" i="2" s="1"/>
  <c r="T75" i="2" s="1"/>
  <c r="U75" i="2" s="1"/>
  <c r="V75" i="2" s="1"/>
  <c r="W75" i="2" s="1"/>
  <c r="B76" i="2"/>
  <c r="C76" i="2"/>
  <c r="D76" i="2"/>
  <c r="E76" i="2"/>
  <c r="F76" i="2"/>
  <c r="G76" i="2" s="1"/>
  <c r="H76" i="2" s="1"/>
  <c r="I76" i="2" s="1"/>
  <c r="J76" i="2" s="1"/>
  <c r="K76" i="2" s="1"/>
  <c r="L76" i="2" s="1"/>
  <c r="M76" i="2" s="1"/>
  <c r="N76" i="2" s="1"/>
  <c r="O76" i="2" s="1"/>
  <c r="P76" i="2" s="1"/>
  <c r="Q76" i="2" s="1"/>
  <c r="R76" i="2" s="1"/>
  <c r="S76" i="2" s="1"/>
  <c r="T76" i="2" s="1"/>
  <c r="U76" i="2" s="1"/>
  <c r="V76" i="2" s="1"/>
  <c r="W76" i="2" s="1"/>
  <c r="E77" i="2"/>
  <c r="F77" i="2"/>
  <c r="G77" i="2" s="1"/>
  <c r="H77" i="2" s="1"/>
  <c r="I77" i="2" s="1"/>
  <c r="J77" i="2" s="1"/>
  <c r="K77" i="2" s="1"/>
  <c r="L77" i="2" s="1"/>
  <c r="M77" i="2" s="1"/>
  <c r="N77" i="2" s="1"/>
  <c r="O77" i="2" s="1"/>
  <c r="P77" i="2" s="1"/>
  <c r="Q77" i="2" s="1"/>
  <c r="R77" i="2" s="1"/>
  <c r="S77" i="2" s="1"/>
  <c r="T77" i="2" s="1"/>
  <c r="U77" i="2" s="1"/>
  <c r="V77" i="2" s="1"/>
  <c r="W77" i="2" s="1"/>
  <c r="D78" i="2"/>
  <c r="E78" i="2"/>
  <c r="F78" i="2"/>
  <c r="G78" i="2" s="1"/>
  <c r="H78" i="2"/>
  <c r="I78" i="2" s="1"/>
  <c r="J78" i="2" s="1"/>
  <c r="K78" i="2" s="1"/>
  <c r="L78" i="2" s="1"/>
  <c r="M78" i="2" s="1"/>
  <c r="N78" i="2"/>
  <c r="O78" i="2" s="1"/>
  <c r="P78" i="2" s="1"/>
  <c r="Q78" i="2" s="1"/>
  <c r="R78" i="2" s="1"/>
  <c r="S78" i="2" s="1"/>
  <c r="T78" i="2" s="1"/>
  <c r="U78" i="2" s="1"/>
  <c r="V78" i="2" s="1"/>
  <c r="W78" i="2" s="1"/>
  <c r="E79" i="2"/>
  <c r="F79" i="2"/>
  <c r="G79" i="2"/>
  <c r="H79" i="2" s="1"/>
  <c r="I79" i="2" s="1"/>
  <c r="J79" i="2" s="1"/>
  <c r="K79" i="2" s="1"/>
  <c r="L79" i="2" s="1"/>
  <c r="M79" i="2" s="1"/>
  <c r="N79" i="2" s="1"/>
  <c r="O79" i="2" s="1"/>
  <c r="P79" i="2" s="1"/>
  <c r="Q79" i="2" s="1"/>
  <c r="R79" i="2" s="1"/>
  <c r="S79" i="2" s="1"/>
  <c r="T79" i="2" s="1"/>
  <c r="U79" i="2" s="1"/>
  <c r="V79" i="2" s="1"/>
  <c r="W79" i="2" s="1"/>
  <c r="C80" i="2"/>
  <c r="D80" i="2"/>
  <c r="E80" i="2"/>
  <c r="F80" i="2"/>
  <c r="G80" i="2" s="1"/>
  <c r="H80" i="2"/>
  <c r="I80" i="2" s="1"/>
  <c r="J80" i="2" s="1"/>
  <c r="K80" i="2" s="1"/>
  <c r="L80" i="2" s="1"/>
  <c r="M80" i="2" s="1"/>
  <c r="N80" i="2" s="1"/>
  <c r="O80" i="2" s="1"/>
  <c r="P80" i="2" s="1"/>
  <c r="Q80" i="2" s="1"/>
  <c r="R80" i="2" s="1"/>
  <c r="S80" i="2" s="1"/>
  <c r="T80" i="2" s="1"/>
  <c r="U80" i="2" s="1"/>
  <c r="V80" i="2" s="1"/>
  <c r="W80" i="2" s="1"/>
  <c r="E81" i="2"/>
  <c r="F81" i="2"/>
  <c r="G81" i="2"/>
  <c r="H81" i="2" s="1"/>
  <c r="I81" i="2" s="1"/>
  <c r="J81" i="2" s="1"/>
  <c r="K81" i="2" s="1"/>
  <c r="L81" i="2" s="1"/>
  <c r="M81" i="2" s="1"/>
  <c r="N81" i="2" s="1"/>
  <c r="O81" i="2" s="1"/>
  <c r="P81" i="2" s="1"/>
  <c r="Q81" i="2" s="1"/>
  <c r="R81" i="2" s="1"/>
  <c r="S81" i="2" s="1"/>
  <c r="T81" i="2" s="1"/>
  <c r="U81" i="2" s="1"/>
  <c r="V81" i="2" s="1"/>
  <c r="W81" i="2" s="1"/>
  <c r="D82" i="2"/>
  <c r="E82" i="2"/>
  <c r="F82" i="2"/>
  <c r="G82" i="2"/>
  <c r="H82" i="2" s="1"/>
  <c r="I82" i="2" s="1"/>
  <c r="J82" i="2" s="1"/>
  <c r="K82" i="2" s="1"/>
  <c r="L82" i="2" s="1"/>
  <c r="M82" i="2" s="1"/>
  <c r="N82" i="2" s="1"/>
  <c r="O82" i="2" s="1"/>
  <c r="P82" i="2" s="1"/>
  <c r="Q82" i="2" s="1"/>
  <c r="R82" i="2" s="1"/>
  <c r="S82" i="2" s="1"/>
  <c r="T82" i="2" s="1"/>
  <c r="U82" i="2" s="1"/>
  <c r="V82" i="2" s="1"/>
  <c r="W82" i="2" s="1"/>
  <c r="E83" i="2"/>
  <c r="F83" i="2"/>
  <c r="G83" i="2" s="1"/>
  <c r="H83" i="2" s="1"/>
  <c r="I83" i="2" s="1"/>
  <c r="J83" i="2" s="1"/>
  <c r="K83" i="2" s="1"/>
  <c r="L83" i="2" s="1"/>
  <c r="M83" i="2" s="1"/>
  <c r="N83" i="2" s="1"/>
  <c r="O83" i="2" s="1"/>
  <c r="P83" i="2" s="1"/>
  <c r="Q83" i="2" s="1"/>
  <c r="R83" i="2" s="1"/>
  <c r="S83" i="2" s="1"/>
  <c r="T83" i="2" s="1"/>
  <c r="U83" i="2" s="1"/>
  <c r="V83" i="2" s="1"/>
  <c r="W83" i="2" s="1"/>
  <c r="A85" i="2"/>
  <c r="A86" i="2"/>
  <c r="A88" i="2"/>
  <c r="B88" i="2"/>
  <c r="C88" i="2"/>
  <c r="D88" i="2"/>
  <c r="E88" i="2"/>
  <c r="F88" i="2"/>
  <c r="G88" i="2" s="1"/>
  <c r="H88" i="2" s="1"/>
  <c r="I88" i="2" s="1"/>
  <c r="J88" i="2" s="1"/>
  <c r="K88" i="2" s="1"/>
  <c r="L88" i="2" s="1"/>
  <c r="M88" i="2" s="1"/>
  <c r="N88" i="2" s="1"/>
  <c r="O88" i="2" s="1"/>
  <c r="P88" i="2" s="1"/>
  <c r="Q88" i="2" s="1"/>
  <c r="R88" i="2" s="1"/>
  <c r="S88" i="2" s="1"/>
  <c r="T88" i="2" s="1"/>
  <c r="U88" i="2" s="1"/>
  <c r="V88" i="2" s="1"/>
  <c r="W88" i="2" s="1"/>
  <c r="E89" i="2"/>
  <c r="F89" i="2"/>
  <c r="G89" i="2" s="1"/>
  <c r="H89" i="2" s="1"/>
  <c r="I89" i="2"/>
  <c r="J89" i="2" s="1"/>
  <c r="K89" i="2" s="1"/>
  <c r="L89" i="2" s="1"/>
  <c r="M89" i="2" s="1"/>
  <c r="N89" i="2" s="1"/>
  <c r="O89" i="2" s="1"/>
  <c r="P89" i="2" s="1"/>
  <c r="Q89" i="2" s="1"/>
  <c r="R89" i="2" s="1"/>
  <c r="S89" i="2" s="1"/>
  <c r="T89" i="2" s="1"/>
  <c r="U89" i="2" s="1"/>
  <c r="V89" i="2" s="1"/>
  <c r="W89" i="2" s="1"/>
  <c r="D90" i="2"/>
  <c r="E90" i="2"/>
  <c r="F90" i="2"/>
  <c r="G90" i="2" s="1"/>
  <c r="H90" i="2" s="1"/>
  <c r="I90" i="2" s="1"/>
  <c r="J90" i="2" s="1"/>
  <c r="K90" i="2" s="1"/>
  <c r="L90" i="2" s="1"/>
  <c r="M90" i="2" s="1"/>
  <c r="N90" i="2" s="1"/>
  <c r="O90" i="2" s="1"/>
  <c r="P90" i="2" s="1"/>
  <c r="Q90" i="2" s="1"/>
  <c r="R90" i="2" s="1"/>
  <c r="S90" i="2" s="1"/>
  <c r="T90" i="2" s="1"/>
  <c r="U90" i="2" s="1"/>
  <c r="V90" i="2" s="1"/>
  <c r="W90" i="2" s="1"/>
  <c r="E91" i="2"/>
  <c r="F91" i="2"/>
  <c r="G91" i="2" s="1"/>
  <c r="H91" i="2" s="1"/>
  <c r="I91" i="2" s="1"/>
  <c r="J91" i="2" s="1"/>
  <c r="K91" i="2" s="1"/>
  <c r="L91" i="2" s="1"/>
  <c r="M91" i="2" s="1"/>
  <c r="N91" i="2" s="1"/>
  <c r="O91" i="2" s="1"/>
  <c r="P91" i="2" s="1"/>
  <c r="Q91" i="2" s="1"/>
  <c r="R91" i="2" s="1"/>
  <c r="S91" i="2" s="1"/>
  <c r="T91" i="2" s="1"/>
  <c r="U91" i="2" s="1"/>
  <c r="V91" i="2" s="1"/>
  <c r="W91" i="2" s="1"/>
  <c r="C92" i="2"/>
  <c r="D92" i="2"/>
  <c r="E92" i="2"/>
  <c r="F92" i="2"/>
  <c r="G92" i="2" s="1"/>
  <c r="H92" i="2" s="1"/>
  <c r="I92" i="2" s="1"/>
  <c r="J92" i="2" s="1"/>
  <c r="K92" i="2" s="1"/>
  <c r="L92" i="2" s="1"/>
  <c r="M92" i="2" s="1"/>
  <c r="N92" i="2" s="1"/>
  <c r="O92" i="2" s="1"/>
  <c r="P92" i="2" s="1"/>
  <c r="Q92" i="2" s="1"/>
  <c r="R92" i="2" s="1"/>
  <c r="S92" i="2" s="1"/>
  <c r="T92" i="2" s="1"/>
  <c r="U92" i="2" s="1"/>
  <c r="V92" i="2" s="1"/>
  <c r="W92" i="2" s="1"/>
  <c r="E93" i="2"/>
  <c r="F93" i="2"/>
  <c r="G93" i="2"/>
  <c r="H93" i="2" s="1"/>
  <c r="I93" i="2" s="1"/>
  <c r="J93" i="2" s="1"/>
  <c r="K93" i="2" s="1"/>
  <c r="L93" i="2" s="1"/>
  <c r="M93" i="2" s="1"/>
  <c r="N93" i="2" s="1"/>
  <c r="O93" i="2" s="1"/>
  <c r="P93" i="2" s="1"/>
  <c r="Q93" i="2" s="1"/>
  <c r="R93" i="2" s="1"/>
  <c r="S93" i="2" s="1"/>
  <c r="T93" i="2" s="1"/>
  <c r="U93" i="2" s="1"/>
  <c r="V93" i="2" s="1"/>
  <c r="W93" i="2" s="1"/>
  <c r="D94" i="2"/>
  <c r="E94" i="2"/>
  <c r="F94" i="2"/>
  <c r="G94" i="2" s="1"/>
  <c r="H94" i="2" s="1"/>
  <c r="I94" i="2" s="1"/>
  <c r="J94" i="2" s="1"/>
  <c r="K94" i="2" s="1"/>
  <c r="L94" i="2" s="1"/>
  <c r="M94" i="2" s="1"/>
  <c r="N94" i="2" s="1"/>
  <c r="O94" i="2" s="1"/>
  <c r="P94" i="2" s="1"/>
  <c r="Q94" i="2" s="1"/>
  <c r="R94" i="2" s="1"/>
  <c r="S94" i="2" s="1"/>
  <c r="T94" i="2" s="1"/>
  <c r="U94" i="2" s="1"/>
  <c r="V94" i="2" s="1"/>
  <c r="W94" i="2" s="1"/>
  <c r="E95" i="2"/>
  <c r="F95" i="2"/>
  <c r="G95" i="2"/>
  <c r="H95" i="2" s="1"/>
  <c r="I95" i="2" s="1"/>
  <c r="J95" i="2" s="1"/>
  <c r="K95" i="2" s="1"/>
  <c r="L95" i="2" s="1"/>
  <c r="M95" i="2" s="1"/>
  <c r="N95" i="2" s="1"/>
  <c r="O95" i="2" s="1"/>
  <c r="P95" i="2" s="1"/>
  <c r="Q95" i="2" s="1"/>
  <c r="R95" i="2" s="1"/>
  <c r="S95" i="2" s="1"/>
  <c r="T95" i="2" s="1"/>
  <c r="U95" i="2" s="1"/>
  <c r="V95" i="2" s="1"/>
  <c r="W95" i="2" s="1"/>
  <c r="B96" i="2"/>
  <c r="C96" i="2"/>
  <c r="D96" i="2"/>
  <c r="E96" i="2"/>
  <c r="F96" i="2"/>
  <c r="G96" i="2" s="1"/>
  <c r="H96" i="2" s="1"/>
  <c r="I96" i="2" s="1"/>
  <c r="J96" i="2" s="1"/>
  <c r="K96" i="2" s="1"/>
  <c r="L96" i="2" s="1"/>
  <c r="M96" i="2" s="1"/>
  <c r="N96" i="2" s="1"/>
  <c r="O96" i="2" s="1"/>
  <c r="P96" i="2" s="1"/>
  <c r="Q96" i="2" s="1"/>
  <c r="R96" i="2" s="1"/>
  <c r="S96" i="2" s="1"/>
  <c r="T96" i="2" s="1"/>
  <c r="U96" i="2" s="1"/>
  <c r="V96" i="2" s="1"/>
  <c r="W96" i="2" s="1"/>
  <c r="E97" i="2"/>
  <c r="F97" i="2"/>
  <c r="G97" i="2" s="1"/>
  <c r="H97" i="2" s="1"/>
  <c r="I97" i="2" s="1"/>
  <c r="J97" i="2" s="1"/>
  <c r="K97" i="2" s="1"/>
  <c r="L97" i="2" s="1"/>
  <c r="M97" i="2" s="1"/>
  <c r="N97" i="2" s="1"/>
  <c r="O97" i="2" s="1"/>
  <c r="P97" i="2" s="1"/>
  <c r="Q97" i="2" s="1"/>
  <c r="R97" i="2" s="1"/>
  <c r="S97" i="2" s="1"/>
  <c r="T97" i="2" s="1"/>
  <c r="U97" i="2" s="1"/>
  <c r="V97" i="2" s="1"/>
  <c r="W97" i="2" s="1"/>
  <c r="D98" i="2"/>
  <c r="E98" i="2"/>
  <c r="F98" i="2"/>
  <c r="G98" i="2" s="1"/>
  <c r="H98" i="2" s="1"/>
  <c r="I98" i="2" s="1"/>
  <c r="J98" i="2" s="1"/>
  <c r="K98" i="2" s="1"/>
  <c r="L98" i="2" s="1"/>
  <c r="M98" i="2" s="1"/>
  <c r="N98" i="2" s="1"/>
  <c r="O98" i="2" s="1"/>
  <c r="P98" i="2" s="1"/>
  <c r="Q98" i="2" s="1"/>
  <c r="R98" i="2" s="1"/>
  <c r="S98" i="2" s="1"/>
  <c r="T98" i="2" s="1"/>
  <c r="U98" i="2" s="1"/>
  <c r="V98" i="2" s="1"/>
  <c r="W98" i="2" s="1"/>
  <c r="E99" i="2"/>
  <c r="F99" i="2"/>
  <c r="G99" i="2" s="1"/>
  <c r="H99" i="2" s="1"/>
  <c r="I99" i="2" s="1"/>
  <c r="J99" i="2" s="1"/>
  <c r="K99" i="2" s="1"/>
  <c r="L99" i="2" s="1"/>
  <c r="M99" i="2" s="1"/>
  <c r="N99" i="2" s="1"/>
  <c r="O99" i="2" s="1"/>
  <c r="P99" i="2" s="1"/>
  <c r="Q99" i="2" s="1"/>
  <c r="R99" i="2" s="1"/>
  <c r="S99" i="2" s="1"/>
  <c r="T99" i="2" s="1"/>
  <c r="U99" i="2" s="1"/>
  <c r="V99" i="2" s="1"/>
  <c r="W99" i="2" s="1"/>
  <c r="C100" i="2"/>
  <c r="D100" i="2"/>
  <c r="E100" i="2"/>
  <c r="F100" i="2"/>
  <c r="G100" i="2" s="1"/>
  <c r="H100" i="2" s="1"/>
  <c r="I100" i="2" s="1"/>
  <c r="J100" i="2" s="1"/>
  <c r="K100" i="2" s="1"/>
  <c r="L100" i="2" s="1"/>
  <c r="M100" i="2" s="1"/>
  <c r="N100" i="2" s="1"/>
  <c r="O100" i="2" s="1"/>
  <c r="P100" i="2" s="1"/>
  <c r="Q100" i="2" s="1"/>
  <c r="R100" i="2" s="1"/>
  <c r="S100" i="2" s="1"/>
  <c r="T100" i="2" s="1"/>
  <c r="U100" i="2" s="1"/>
  <c r="V100" i="2" s="1"/>
  <c r="W100" i="2" s="1"/>
  <c r="E101" i="2"/>
  <c r="F101" i="2"/>
  <c r="G101" i="2" s="1"/>
  <c r="H101" i="2" s="1"/>
  <c r="I101" i="2" s="1"/>
  <c r="J101" i="2" s="1"/>
  <c r="K101" i="2" s="1"/>
  <c r="L101" i="2" s="1"/>
  <c r="M101" i="2" s="1"/>
  <c r="N101" i="2" s="1"/>
  <c r="O101" i="2" s="1"/>
  <c r="P101" i="2" s="1"/>
  <c r="Q101" i="2" s="1"/>
  <c r="R101" i="2" s="1"/>
  <c r="S101" i="2" s="1"/>
  <c r="T101" i="2" s="1"/>
  <c r="U101" i="2" s="1"/>
  <c r="V101" i="2" s="1"/>
  <c r="W101" i="2" s="1"/>
  <c r="D102" i="2"/>
  <c r="E102" i="2"/>
  <c r="F102" i="2"/>
  <c r="G102" i="2"/>
  <c r="H102" i="2" s="1"/>
  <c r="I102" i="2" s="1"/>
  <c r="J102" i="2" s="1"/>
  <c r="K102" i="2" s="1"/>
  <c r="L102" i="2" s="1"/>
  <c r="M102" i="2" s="1"/>
  <c r="N102" i="2" s="1"/>
  <c r="O102" i="2" s="1"/>
  <c r="P102" i="2" s="1"/>
  <c r="Q102" i="2" s="1"/>
  <c r="R102" i="2" s="1"/>
  <c r="S102" i="2" s="1"/>
  <c r="T102" i="2" s="1"/>
  <c r="U102" i="2" s="1"/>
  <c r="V102" i="2" s="1"/>
  <c r="W102" i="2" s="1"/>
  <c r="E103" i="2"/>
  <c r="F103" i="2"/>
  <c r="G103" i="2" s="1"/>
  <c r="H103" i="2" s="1"/>
  <c r="I103" i="2" s="1"/>
  <c r="J103" i="2" s="1"/>
  <c r="K103" i="2" s="1"/>
  <c r="L103" i="2" s="1"/>
  <c r="M103" i="2" s="1"/>
  <c r="N103" i="2" s="1"/>
  <c r="O103" i="2" s="1"/>
  <c r="P103" i="2" s="1"/>
  <c r="Q103" i="2" s="1"/>
  <c r="R103" i="2" s="1"/>
  <c r="S103" i="2" s="1"/>
  <c r="T103" i="2" s="1"/>
  <c r="U103" i="2" s="1"/>
  <c r="V103" i="2" s="1"/>
  <c r="W103" i="2" s="1"/>
  <c r="A105" i="2"/>
  <c r="B105" i="2"/>
  <c r="C105" i="2"/>
  <c r="D105" i="2"/>
  <c r="E105" i="2"/>
  <c r="F105" i="2"/>
  <c r="G105" i="2" s="1"/>
  <c r="H105" i="2" s="1"/>
  <c r="I105" i="2" s="1"/>
  <c r="J105" i="2" s="1"/>
  <c r="K105" i="2" s="1"/>
  <c r="L105" i="2" s="1"/>
  <c r="M105" i="2" s="1"/>
  <c r="N105" i="2" s="1"/>
  <c r="O105" i="2" s="1"/>
  <c r="P105" i="2" s="1"/>
  <c r="Q105" i="2" s="1"/>
  <c r="R105" i="2" s="1"/>
  <c r="S105" i="2" s="1"/>
  <c r="T105" i="2" s="1"/>
  <c r="U105" i="2" s="1"/>
  <c r="V105" i="2" s="1"/>
  <c r="W105" i="2" s="1"/>
  <c r="E106" i="2"/>
  <c r="F106" i="2"/>
  <c r="G106" i="2"/>
  <c r="H106" i="2" s="1"/>
  <c r="I106" i="2" s="1"/>
  <c r="J106" i="2" s="1"/>
  <c r="K106" i="2" s="1"/>
  <c r="L106" i="2" s="1"/>
  <c r="M106" i="2" s="1"/>
  <c r="N106" i="2" s="1"/>
  <c r="O106" i="2" s="1"/>
  <c r="P106" i="2" s="1"/>
  <c r="Q106" i="2" s="1"/>
  <c r="R106" i="2" s="1"/>
  <c r="S106" i="2" s="1"/>
  <c r="T106" i="2" s="1"/>
  <c r="U106" i="2" s="1"/>
  <c r="V106" i="2" s="1"/>
  <c r="W106" i="2" s="1"/>
  <c r="D107" i="2"/>
  <c r="E107" i="2"/>
  <c r="F107" i="2"/>
  <c r="G107" i="2"/>
  <c r="H107" i="2" s="1"/>
  <c r="I107" i="2" s="1"/>
  <c r="J107" i="2" s="1"/>
  <c r="K107" i="2" s="1"/>
  <c r="L107" i="2" s="1"/>
  <c r="M107" i="2" s="1"/>
  <c r="N107" i="2" s="1"/>
  <c r="O107" i="2" s="1"/>
  <c r="P107" i="2" s="1"/>
  <c r="Q107" i="2" s="1"/>
  <c r="R107" i="2" s="1"/>
  <c r="S107" i="2" s="1"/>
  <c r="T107" i="2" s="1"/>
  <c r="U107" i="2" s="1"/>
  <c r="V107" i="2" s="1"/>
  <c r="W107" i="2" s="1"/>
  <c r="E108" i="2"/>
  <c r="F108" i="2"/>
  <c r="G108" i="2"/>
  <c r="H108" i="2" s="1"/>
  <c r="I108" i="2" s="1"/>
  <c r="J108" i="2" s="1"/>
  <c r="K108" i="2" s="1"/>
  <c r="L108" i="2" s="1"/>
  <c r="M108" i="2" s="1"/>
  <c r="N108" i="2" s="1"/>
  <c r="O108" i="2" s="1"/>
  <c r="P108" i="2" s="1"/>
  <c r="Q108" i="2" s="1"/>
  <c r="R108" i="2" s="1"/>
  <c r="S108" i="2" s="1"/>
  <c r="T108" i="2" s="1"/>
  <c r="U108" i="2" s="1"/>
  <c r="V108" i="2" s="1"/>
  <c r="W108" i="2" s="1"/>
  <c r="C109" i="2"/>
  <c r="D109" i="2"/>
  <c r="E109" i="2"/>
  <c r="F109" i="2"/>
  <c r="G109" i="2" s="1"/>
  <c r="H109" i="2" s="1"/>
  <c r="I109" i="2" s="1"/>
  <c r="J109" i="2" s="1"/>
  <c r="K109" i="2" s="1"/>
  <c r="L109" i="2" s="1"/>
  <c r="M109" i="2" s="1"/>
  <c r="N109" i="2" s="1"/>
  <c r="O109" i="2" s="1"/>
  <c r="P109" i="2" s="1"/>
  <c r="Q109" i="2" s="1"/>
  <c r="R109" i="2" s="1"/>
  <c r="S109" i="2" s="1"/>
  <c r="T109" i="2" s="1"/>
  <c r="U109" i="2" s="1"/>
  <c r="V109" i="2" s="1"/>
  <c r="W109" i="2" s="1"/>
  <c r="E110" i="2"/>
  <c r="F110" i="2"/>
  <c r="G110" i="2" s="1"/>
  <c r="H110" i="2" s="1"/>
  <c r="I110" i="2" s="1"/>
  <c r="J110" i="2" s="1"/>
  <c r="K110" i="2" s="1"/>
  <c r="L110" i="2" s="1"/>
  <c r="M110" i="2" s="1"/>
  <c r="N110" i="2" s="1"/>
  <c r="O110" i="2" s="1"/>
  <c r="P110" i="2" s="1"/>
  <c r="Q110" i="2" s="1"/>
  <c r="R110" i="2" s="1"/>
  <c r="S110" i="2" s="1"/>
  <c r="T110" i="2" s="1"/>
  <c r="U110" i="2" s="1"/>
  <c r="V110" i="2" s="1"/>
  <c r="W110" i="2" s="1"/>
  <c r="D111" i="2"/>
  <c r="E111" i="2"/>
  <c r="F111" i="2"/>
  <c r="G111" i="2"/>
  <c r="H111" i="2"/>
  <c r="I111" i="2" s="1"/>
  <c r="J111" i="2" s="1"/>
  <c r="K111" i="2" s="1"/>
  <c r="L111" i="2" s="1"/>
  <c r="M111" i="2" s="1"/>
  <c r="N111" i="2" s="1"/>
  <c r="O111" i="2" s="1"/>
  <c r="P111" i="2" s="1"/>
  <c r="Q111" i="2" s="1"/>
  <c r="R111" i="2" s="1"/>
  <c r="S111" i="2" s="1"/>
  <c r="T111" i="2" s="1"/>
  <c r="U111" i="2" s="1"/>
  <c r="V111" i="2" s="1"/>
  <c r="W111" i="2" s="1"/>
  <c r="E112" i="2"/>
  <c r="F112" i="2"/>
  <c r="G112" i="2" s="1"/>
  <c r="H112" i="2" s="1"/>
  <c r="I112" i="2" s="1"/>
  <c r="J112" i="2" s="1"/>
  <c r="K112" i="2" s="1"/>
  <c r="L112" i="2" s="1"/>
  <c r="M112" i="2" s="1"/>
  <c r="N112" i="2" s="1"/>
  <c r="O112" i="2" s="1"/>
  <c r="P112" i="2" s="1"/>
  <c r="Q112" i="2" s="1"/>
  <c r="R112" i="2" s="1"/>
  <c r="S112" i="2" s="1"/>
  <c r="T112" i="2" s="1"/>
  <c r="U112" i="2" s="1"/>
  <c r="V112" i="2" s="1"/>
  <c r="W112" i="2" s="1"/>
  <c r="B113" i="2"/>
  <c r="C113" i="2"/>
  <c r="D113" i="2"/>
  <c r="E113" i="2"/>
  <c r="F113" i="2"/>
  <c r="G113" i="2" s="1"/>
  <c r="H113" i="2" s="1"/>
  <c r="I113" i="2" s="1"/>
  <c r="J113" i="2" s="1"/>
  <c r="K113" i="2" s="1"/>
  <c r="L113" i="2" s="1"/>
  <c r="M113" i="2" s="1"/>
  <c r="N113" i="2" s="1"/>
  <c r="O113" i="2" s="1"/>
  <c r="P113" i="2" s="1"/>
  <c r="Q113" i="2" s="1"/>
  <c r="R113" i="2" s="1"/>
  <c r="S113" i="2" s="1"/>
  <c r="T113" i="2" s="1"/>
  <c r="U113" i="2" s="1"/>
  <c r="V113" i="2" s="1"/>
  <c r="W113" i="2" s="1"/>
  <c r="E114" i="2"/>
  <c r="F114" i="2"/>
  <c r="G114" i="2"/>
  <c r="H114" i="2" s="1"/>
  <c r="I114" i="2" s="1"/>
  <c r="J114" i="2" s="1"/>
  <c r="K114" i="2" s="1"/>
  <c r="L114" i="2" s="1"/>
  <c r="M114" i="2" s="1"/>
  <c r="N114" i="2" s="1"/>
  <c r="O114" i="2" s="1"/>
  <c r="P114" i="2" s="1"/>
  <c r="Q114" i="2" s="1"/>
  <c r="R114" i="2" s="1"/>
  <c r="S114" i="2" s="1"/>
  <c r="T114" i="2" s="1"/>
  <c r="U114" i="2" s="1"/>
  <c r="V114" i="2" s="1"/>
  <c r="W114" i="2" s="1"/>
  <c r="D115" i="2"/>
  <c r="E115" i="2"/>
  <c r="F115" i="2"/>
  <c r="G115" i="2" s="1"/>
  <c r="H115" i="2" s="1"/>
  <c r="I115" i="2" s="1"/>
  <c r="J115" i="2" s="1"/>
  <c r="K115" i="2" s="1"/>
  <c r="L115" i="2" s="1"/>
  <c r="M115" i="2" s="1"/>
  <c r="N115" i="2" s="1"/>
  <c r="O115" i="2" s="1"/>
  <c r="P115" i="2" s="1"/>
  <c r="Q115" i="2" s="1"/>
  <c r="R115" i="2" s="1"/>
  <c r="S115" i="2" s="1"/>
  <c r="T115" i="2" s="1"/>
  <c r="U115" i="2" s="1"/>
  <c r="V115" i="2" s="1"/>
  <c r="W115" i="2" s="1"/>
  <c r="E116" i="2"/>
  <c r="F116" i="2"/>
  <c r="G116" i="2" s="1"/>
  <c r="H116" i="2" s="1"/>
  <c r="I116" i="2" s="1"/>
  <c r="J116" i="2" s="1"/>
  <c r="K116" i="2" s="1"/>
  <c r="L116" i="2" s="1"/>
  <c r="M116" i="2" s="1"/>
  <c r="N116" i="2" s="1"/>
  <c r="O116" i="2" s="1"/>
  <c r="P116" i="2" s="1"/>
  <c r="Q116" i="2" s="1"/>
  <c r="R116" i="2" s="1"/>
  <c r="S116" i="2" s="1"/>
  <c r="T116" i="2" s="1"/>
  <c r="U116" i="2" s="1"/>
  <c r="V116" i="2" s="1"/>
  <c r="W116" i="2" s="1"/>
  <c r="C117" i="2"/>
  <c r="D117" i="2"/>
  <c r="E117" i="2"/>
  <c r="F117" i="2"/>
  <c r="G117" i="2"/>
  <c r="H117" i="2"/>
  <c r="I117" i="2" s="1"/>
  <c r="J117" i="2" s="1"/>
  <c r="K117" i="2" s="1"/>
  <c r="L117" i="2" s="1"/>
  <c r="M117" i="2" s="1"/>
  <c r="N117" i="2" s="1"/>
  <c r="O117" i="2" s="1"/>
  <c r="P117" i="2" s="1"/>
  <c r="Q117" i="2" s="1"/>
  <c r="R117" i="2" s="1"/>
  <c r="S117" i="2" s="1"/>
  <c r="T117" i="2" s="1"/>
  <c r="U117" i="2" s="1"/>
  <c r="V117" i="2" s="1"/>
  <c r="W117" i="2" s="1"/>
  <c r="E118" i="2"/>
  <c r="F118" i="2"/>
  <c r="G118" i="2" s="1"/>
  <c r="H118" i="2" s="1"/>
  <c r="I118" i="2"/>
  <c r="J118" i="2" s="1"/>
  <c r="K118" i="2" s="1"/>
  <c r="L118" i="2" s="1"/>
  <c r="M118" i="2" s="1"/>
  <c r="N118" i="2" s="1"/>
  <c r="O118" i="2" s="1"/>
  <c r="P118" i="2" s="1"/>
  <c r="Q118" i="2" s="1"/>
  <c r="R118" i="2" s="1"/>
  <c r="S118" i="2" s="1"/>
  <c r="T118" i="2" s="1"/>
  <c r="U118" i="2" s="1"/>
  <c r="V118" i="2" s="1"/>
  <c r="W118" i="2" s="1"/>
  <c r="D119" i="2"/>
  <c r="E119" i="2"/>
  <c r="F119" i="2"/>
  <c r="G119" i="2" s="1"/>
  <c r="H119" i="2" s="1"/>
  <c r="I119" i="2" s="1"/>
  <c r="J119" i="2" s="1"/>
  <c r="K119" i="2" s="1"/>
  <c r="L119" i="2" s="1"/>
  <c r="M119" i="2" s="1"/>
  <c r="N119" i="2" s="1"/>
  <c r="O119" i="2" s="1"/>
  <c r="P119" i="2" s="1"/>
  <c r="Q119" i="2" s="1"/>
  <c r="R119" i="2" s="1"/>
  <c r="S119" i="2" s="1"/>
  <c r="T119" i="2" s="1"/>
  <c r="U119" i="2" s="1"/>
  <c r="V119" i="2" s="1"/>
  <c r="W119" i="2" s="1"/>
  <c r="E120" i="2"/>
  <c r="F120" i="2"/>
  <c r="G120" i="2" s="1"/>
  <c r="H120" i="2" s="1"/>
  <c r="I120" i="2" s="1"/>
  <c r="J120" i="2"/>
  <c r="K120" i="2" s="1"/>
  <c r="L120" i="2" s="1"/>
  <c r="M120" i="2" s="1"/>
  <c r="N120" i="2" s="1"/>
  <c r="O120" i="2" s="1"/>
  <c r="P120" i="2" s="1"/>
  <c r="Q120" i="2" s="1"/>
  <c r="R120" i="2" s="1"/>
  <c r="S120" i="2" s="1"/>
  <c r="T120" i="2" s="1"/>
  <c r="U120" i="2" s="1"/>
  <c r="V120" i="2" s="1"/>
  <c r="W120" i="2" s="1"/>
  <c r="A122" i="2"/>
  <c r="B122" i="2"/>
  <c r="C122" i="2"/>
  <c r="D122" i="2"/>
  <c r="F122" i="2"/>
  <c r="G122" i="2" s="1"/>
  <c r="H122" i="2" s="1"/>
  <c r="I122" i="2" s="1"/>
  <c r="J122" i="2" s="1"/>
  <c r="K122" i="2" s="1"/>
  <c r="L122" i="2" s="1"/>
  <c r="M122" i="2" s="1"/>
  <c r="N122" i="2" s="1"/>
  <c r="O122" i="2" s="1"/>
  <c r="P122" i="2" s="1"/>
  <c r="Q122" i="2" s="1"/>
  <c r="R122" i="2" s="1"/>
  <c r="S122" i="2" s="1"/>
  <c r="T122" i="2" s="1"/>
  <c r="U122" i="2" s="1"/>
  <c r="V122" i="2" s="1"/>
  <c r="W122" i="2" s="1"/>
  <c r="D123" i="2"/>
  <c r="F123" i="2"/>
  <c r="G123" i="2" s="1"/>
  <c r="H123" i="2" s="1"/>
  <c r="I123" i="2"/>
  <c r="J123" i="2" s="1"/>
  <c r="K123" i="2" s="1"/>
  <c r="L123" i="2" s="1"/>
  <c r="M123" i="2" s="1"/>
  <c r="N123" i="2" s="1"/>
  <c r="O123" i="2" s="1"/>
  <c r="P123" i="2" s="1"/>
  <c r="Q123" i="2" s="1"/>
  <c r="R123" i="2" s="1"/>
  <c r="S123" i="2" s="1"/>
  <c r="T123" i="2" s="1"/>
  <c r="U123" i="2" s="1"/>
  <c r="V123" i="2" s="1"/>
  <c r="W123" i="2" s="1"/>
  <c r="C124" i="2"/>
  <c r="D124" i="2"/>
  <c r="F124" i="2"/>
  <c r="G124" i="2" s="1"/>
  <c r="H124" i="2" s="1"/>
  <c r="I124" i="2"/>
  <c r="J124" i="2" s="1"/>
  <c r="K124" i="2" s="1"/>
  <c r="L124" i="2" s="1"/>
  <c r="M124" i="2" s="1"/>
  <c r="N124" i="2" s="1"/>
  <c r="O124" i="2" s="1"/>
  <c r="P124" i="2" s="1"/>
  <c r="Q124" i="2" s="1"/>
  <c r="R124" i="2" s="1"/>
  <c r="S124" i="2" s="1"/>
  <c r="T124" i="2" s="1"/>
  <c r="U124" i="2" s="1"/>
  <c r="V124" i="2" s="1"/>
  <c r="W124" i="2" s="1"/>
  <c r="D125" i="2"/>
  <c r="F125" i="2"/>
  <c r="G125" i="2" s="1"/>
  <c r="H125" i="2" s="1"/>
  <c r="I125" i="2" s="1"/>
  <c r="J125" i="2" s="1"/>
  <c r="K125" i="2" s="1"/>
  <c r="L125" i="2" s="1"/>
  <c r="M125" i="2" s="1"/>
  <c r="N125" i="2" s="1"/>
  <c r="O125" i="2" s="1"/>
  <c r="P125" i="2" s="1"/>
  <c r="Q125" i="2" s="1"/>
  <c r="R125" i="2" s="1"/>
  <c r="S125" i="2" s="1"/>
  <c r="T125" i="2" s="1"/>
  <c r="U125" i="2" s="1"/>
  <c r="V125" i="2"/>
  <c r="W125" i="2" s="1"/>
  <c r="B126" i="2"/>
  <c r="C126" i="2"/>
  <c r="D126" i="2"/>
  <c r="F126" i="2"/>
  <c r="G126" i="2" s="1"/>
  <c r="H126" i="2" s="1"/>
  <c r="I126" i="2" s="1"/>
  <c r="J126" i="2" s="1"/>
  <c r="K126" i="2" s="1"/>
  <c r="L126" i="2" s="1"/>
  <c r="M126" i="2" s="1"/>
  <c r="N126" i="2" s="1"/>
  <c r="O126" i="2" s="1"/>
  <c r="P126" i="2" s="1"/>
  <c r="Q126" i="2" s="1"/>
  <c r="R126" i="2" s="1"/>
  <c r="S126" i="2" s="1"/>
  <c r="T126" i="2" s="1"/>
  <c r="U126" i="2" s="1"/>
  <c r="V126" i="2" s="1"/>
  <c r="W126" i="2" s="1"/>
  <c r="D127" i="2"/>
  <c r="F127" i="2"/>
  <c r="G127" i="2" s="1"/>
  <c r="H127" i="2" s="1"/>
  <c r="I127" i="2" s="1"/>
  <c r="J127" i="2"/>
  <c r="K127" i="2" s="1"/>
  <c r="L127" i="2" s="1"/>
  <c r="M127" i="2" s="1"/>
  <c r="N127" i="2" s="1"/>
  <c r="O127" i="2" s="1"/>
  <c r="P127" i="2" s="1"/>
  <c r="Q127" i="2" s="1"/>
  <c r="R127" i="2" s="1"/>
  <c r="S127" i="2" s="1"/>
  <c r="T127" i="2" s="1"/>
  <c r="U127" i="2" s="1"/>
  <c r="V127" i="2" s="1"/>
  <c r="W127" i="2" s="1"/>
  <c r="C128" i="2"/>
  <c r="D128" i="2"/>
  <c r="F128" i="2"/>
  <c r="G128" i="2" s="1"/>
  <c r="H128" i="2" s="1"/>
  <c r="I128" i="2" s="1"/>
  <c r="J128" i="2" s="1"/>
  <c r="K128" i="2" s="1"/>
  <c r="L128" i="2" s="1"/>
  <c r="M128" i="2" s="1"/>
  <c r="N128" i="2" s="1"/>
  <c r="O128" i="2" s="1"/>
  <c r="P128" i="2" s="1"/>
  <c r="Q128" i="2" s="1"/>
  <c r="R128" i="2" s="1"/>
  <c r="S128" i="2" s="1"/>
  <c r="T128" i="2" s="1"/>
  <c r="U128" i="2" s="1"/>
  <c r="V128" i="2" s="1"/>
  <c r="W128" i="2" s="1"/>
  <c r="D129" i="2"/>
  <c r="F129" i="2"/>
  <c r="G129" i="2"/>
  <c r="H129" i="2" s="1"/>
  <c r="I129" i="2" s="1"/>
  <c r="J129" i="2" s="1"/>
  <c r="K129" i="2" s="1"/>
  <c r="L129" i="2" s="1"/>
  <c r="M129" i="2" s="1"/>
  <c r="N129" i="2" s="1"/>
  <c r="O129" i="2" s="1"/>
  <c r="P129" i="2" s="1"/>
  <c r="Q129" i="2" s="1"/>
  <c r="R129" i="2" s="1"/>
  <c r="S129" i="2" s="1"/>
  <c r="T129" i="2" s="1"/>
  <c r="U129" i="2" s="1"/>
  <c r="V129" i="2" s="1"/>
  <c r="W129" i="2" s="1"/>
  <c r="A133" i="2"/>
  <c r="A134" i="2"/>
  <c r="A135" i="2"/>
  <c r="A136" i="2"/>
  <c r="A138" i="2"/>
  <c r="B138" i="2"/>
  <c r="C138" i="2"/>
  <c r="F138" i="2"/>
  <c r="G138" i="2"/>
  <c r="H138" i="2"/>
  <c r="I138" i="2"/>
  <c r="J138" i="2" s="1"/>
  <c r="K138" i="2" s="1"/>
  <c r="L138" i="2" s="1"/>
  <c r="M138" i="2" s="1"/>
  <c r="N138" i="2" s="1"/>
  <c r="O138" i="2" s="1"/>
  <c r="P138" i="2" s="1"/>
  <c r="Q138" i="2" s="1"/>
  <c r="R138" i="2" s="1"/>
  <c r="S138" i="2" s="1"/>
  <c r="T138" i="2" s="1"/>
  <c r="U138" i="2" s="1"/>
  <c r="V138" i="2" s="1"/>
  <c r="W138" i="2" s="1"/>
  <c r="C139" i="2"/>
  <c r="F139" i="2"/>
  <c r="G139" i="2" s="1"/>
  <c r="H139" i="2" s="1"/>
  <c r="I139" i="2" s="1"/>
  <c r="J139" i="2" s="1"/>
  <c r="K139" i="2" s="1"/>
  <c r="L139" i="2" s="1"/>
  <c r="M139" i="2" s="1"/>
  <c r="N139" i="2" s="1"/>
  <c r="O139" i="2" s="1"/>
  <c r="P139" i="2" s="1"/>
  <c r="Q139" i="2" s="1"/>
  <c r="R139" i="2" s="1"/>
  <c r="S139" i="2" s="1"/>
  <c r="T139" i="2" s="1"/>
  <c r="U139" i="2" s="1"/>
  <c r="V139" i="2" s="1"/>
  <c r="W139" i="2" s="1"/>
  <c r="B140" i="2"/>
  <c r="C140" i="2"/>
  <c r="F140" i="2"/>
  <c r="G140" i="2" s="1"/>
  <c r="H140" i="2" s="1"/>
  <c r="I140" i="2"/>
  <c r="J140" i="2"/>
  <c r="K140" i="2" s="1"/>
  <c r="L140" i="2" s="1"/>
  <c r="M140" i="2" s="1"/>
  <c r="N140" i="2" s="1"/>
  <c r="O140" i="2" s="1"/>
  <c r="P140" i="2" s="1"/>
  <c r="Q140" i="2" s="1"/>
  <c r="R140" i="2" s="1"/>
  <c r="S140" i="2" s="1"/>
  <c r="T140" i="2" s="1"/>
  <c r="U140" i="2" s="1"/>
  <c r="V140" i="2" s="1"/>
  <c r="W140" i="2" s="1"/>
  <c r="C141" i="2"/>
  <c r="F141" i="2"/>
  <c r="G141" i="2" s="1"/>
  <c r="H141" i="2" s="1"/>
  <c r="I141" i="2" s="1"/>
  <c r="J141" i="2" s="1"/>
  <c r="K141" i="2" s="1"/>
  <c r="L141" i="2" s="1"/>
  <c r="M141" i="2" s="1"/>
  <c r="N141" i="2"/>
  <c r="O141" i="2" s="1"/>
  <c r="P141" i="2" s="1"/>
  <c r="Q141" i="2" s="1"/>
  <c r="R141" i="2" s="1"/>
  <c r="S141" i="2" s="1"/>
  <c r="T141" i="2" s="1"/>
  <c r="U141" i="2" s="1"/>
  <c r="V141" i="2" s="1"/>
  <c r="W141" i="2" s="1"/>
  <c r="A143" i="2"/>
  <c r="B143" i="2"/>
  <c r="C143" i="2"/>
  <c r="F143" i="2"/>
  <c r="G143" i="2" s="1"/>
  <c r="H143" i="2" s="1"/>
  <c r="I143" i="2" s="1"/>
  <c r="J143" i="2" s="1"/>
  <c r="K143" i="2" s="1"/>
  <c r="L143" i="2" s="1"/>
  <c r="M143" i="2" s="1"/>
  <c r="N143" i="2" s="1"/>
  <c r="O143" i="2" s="1"/>
  <c r="P143" i="2" s="1"/>
  <c r="Q143" i="2" s="1"/>
  <c r="R143" i="2" s="1"/>
  <c r="S143" i="2" s="1"/>
  <c r="T143" i="2" s="1"/>
  <c r="U143" i="2" s="1"/>
  <c r="V143" i="2" s="1"/>
  <c r="W143" i="2" s="1"/>
  <c r="C144" i="2"/>
  <c r="F144" i="2"/>
  <c r="G144" i="2" s="1"/>
  <c r="H144" i="2" s="1"/>
  <c r="I144" i="2" s="1"/>
  <c r="J144" i="2" s="1"/>
  <c r="K144" i="2" s="1"/>
  <c r="L144" i="2" s="1"/>
  <c r="M144" i="2" s="1"/>
  <c r="N144" i="2" s="1"/>
  <c r="O144" i="2" s="1"/>
  <c r="P144" i="2" s="1"/>
  <c r="Q144" i="2" s="1"/>
  <c r="R144" i="2" s="1"/>
  <c r="S144" i="2" s="1"/>
  <c r="T144" i="2" s="1"/>
  <c r="U144" i="2" s="1"/>
  <c r="V144" i="2" s="1"/>
  <c r="W144" i="2" s="1"/>
  <c r="B145" i="2"/>
  <c r="C145" i="2"/>
  <c r="F145" i="2"/>
  <c r="G145" i="2"/>
  <c r="H145" i="2" s="1"/>
  <c r="I145" i="2" s="1"/>
  <c r="J145" i="2" s="1"/>
  <c r="K145" i="2" s="1"/>
  <c r="L145" i="2" s="1"/>
  <c r="M145" i="2" s="1"/>
  <c r="N145" i="2" s="1"/>
  <c r="O145" i="2" s="1"/>
  <c r="P145" i="2" s="1"/>
  <c r="Q145" i="2" s="1"/>
  <c r="R145" i="2" s="1"/>
  <c r="S145" i="2" s="1"/>
  <c r="T145" i="2" s="1"/>
  <c r="U145" i="2" s="1"/>
  <c r="V145" i="2" s="1"/>
  <c r="W145" i="2" s="1"/>
  <c r="C146" i="2"/>
  <c r="F146" i="2"/>
  <c r="G146" i="2"/>
  <c r="H146" i="2"/>
  <c r="I146" i="2" s="1"/>
  <c r="J146" i="2" s="1"/>
  <c r="K146" i="2" s="1"/>
  <c r="L146" i="2" s="1"/>
  <c r="M146" i="2" s="1"/>
  <c r="N146" i="2" s="1"/>
  <c r="O146" i="2" s="1"/>
  <c r="P146" i="2"/>
  <c r="Q146" i="2" s="1"/>
  <c r="R146" i="2" s="1"/>
  <c r="S146" i="2" s="1"/>
  <c r="T146" i="2" s="1"/>
  <c r="U146" i="2" s="1"/>
  <c r="V146" i="2" s="1"/>
  <c r="W146" i="2" s="1"/>
  <c r="A148" i="2"/>
  <c r="B148" i="2"/>
  <c r="F148" i="2"/>
  <c r="G148" i="2"/>
  <c r="H148" i="2" s="1"/>
  <c r="I148" i="2" s="1"/>
  <c r="J148" i="2" s="1"/>
  <c r="K148" i="2" s="1"/>
  <c r="L148" i="2" s="1"/>
  <c r="M148" i="2" s="1"/>
  <c r="N148" i="2" s="1"/>
  <c r="O148" i="2" s="1"/>
  <c r="P148" i="2" s="1"/>
  <c r="Q148" i="2" s="1"/>
  <c r="R148" i="2" s="1"/>
  <c r="S148" i="2" s="1"/>
  <c r="T148" i="2" s="1"/>
  <c r="U148" i="2" s="1"/>
  <c r="V148" i="2" s="1"/>
  <c r="W148" i="2" s="1"/>
  <c r="B149" i="2"/>
  <c r="F149" i="2"/>
  <c r="G149" i="2"/>
  <c r="H149" i="2" s="1"/>
  <c r="I149" i="2" s="1"/>
  <c r="J149" i="2" s="1"/>
  <c r="K149" i="2" s="1"/>
  <c r="L149" i="2" s="1"/>
  <c r="M149" i="2" s="1"/>
  <c r="N149" i="2" s="1"/>
  <c r="O149" i="2" s="1"/>
  <c r="P149" i="2" s="1"/>
  <c r="Q149" i="2" s="1"/>
  <c r="R149" i="2" s="1"/>
  <c r="S149" i="2" s="1"/>
  <c r="T149" i="2" s="1"/>
  <c r="U149" i="2" s="1"/>
  <c r="V149" i="2" s="1"/>
  <c r="W149" i="2" s="1"/>
  <c r="A151" i="2"/>
  <c r="A153" i="2"/>
  <c r="B153" i="2"/>
  <c r="C153" i="2"/>
  <c r="D153" i="2"/>
  <c r="F153" i="2"/>
  <c r="G153" i="2" s="1"/>
  <c r="H153" i="2" s="1"/>
  <c r="I153" i="2" s="1"/>
  <c r="J153" i="2" s="1"/>
  <c r="K153" i="2" s="1"/>
  <c r="L153" i="2" s="1"/>
  <c r="M153" i="2" s="1"/>
  <c r="N153" i="2" s="1"/>
  <c r="O153" i="2" s="1"/>
  <c r="P153" i="2" s="1"/>
  <c r="Q153" i="2" s="1"/>
  <c r="R153" i="2" s="1"/>
  <c r="S153" i="2" s="1"/>
  <c r="T153" i="2" s="1"/>
  <c r="U153" i="2" s="1"/>
  <c r="V153" i="2" s="1"/>
  <c r="W153" i="2" s="1"/>
  <c r="D154" i="2"/>
  <c r="F154" i="2"/>
  <c r="G154" i="2"/>
  <c r="H154" i="2" s="1"/>
  <c r="I154" i="2" s="1"/>
  <c r="J154" i="2" s="1"/>
  <c r="K154" i="2" s="1"/>
  <c r="L154" i="2" s="1"/>
  <c r="M154" i="2" s="1"/>
  <c r="N154" i="2" s="1"/>
  <c r="O154" i="2" s="1"/>
  <c r="P154" i="2" s="1"/>
  <c r="Q154" i="2" s="1"/>
  <c r="R154" i="2" s="1"/>
  <c r="S154" i="2" s="1"/>
  <c r="T154" i="2" s="1"/>
  <c r="U154" i="2" s="1"/>
  <c r="V154" i="2" s="1"/>
  <c r="W154" i="2" s="1"/>
  <c r="C155" i="2"/>
  <c r="D155" i="2"/>
  <c r="F155" i="2"/>
  <c r="G155" i="2" s="1"/>
  <c r="H155" i="2" s="1"/>
  <c r="I155" i="2" s="1"/>
  <c r="J155" i="2" s="1"/>
  <c r="K155" i="2" s="1"/>
  <c r="L155" i="2" s="1"/>
  <c r="M155" i="2" s="1"/>
  <c r="N155" i="2" s="1"/>
  <c r="O155" i="2" s="1"/>
  <c r="P155" i="2" s="1"/>
  <c r="Q155" i="2" s="1"/>
  <c r="R155" i="2" s="1"/>
  <c r="S155" i="2" s="1"/>
  <c r="T155" i="2" s="1"/>
  <c r="U155" i="2" s="1"/>
  <c r="V155" i="2" s="1"/>
  <c r="W155" i="2" s="1"/>
  <c r="D156" i="2"/>
  <c r="F156" i="2"/>
  <c r="G156" i="2" s="1"/>
  <c r="H156" i="2" s="1"/>
  <c r="I156" i="2" s="1"/>
  <c r="J156" i="2" s="1"/>
  <c r="K156" i="2" s="1"/>
  <c r="L156" i="2" s="1"/>
  <c r="M156" i="2" s="1"/>
  <c r="N156" i="2" s="1"/>
  <c r="O156" i="2" s="1"/>
  <c r="P156" i="2" s="1"/>
  <c r="Q156" i="2" s="1"/>
  <c r="R156" i="2" s="1"/>
  <c r="S156" i="2" s="1"/>
  <c r="T156" i="2" s="1"/>
  <c r="U156" i="2" s="1"/>
  <c r="V156" i="2" s="1"/>
  <c r="W156" i="2" s="1"/>
  <c r="B157" i="2"/>
  <c r="C157" i="2"/>
  <c r="D157" i="2"/>
  <c r="F157" i="2"/>
  <c r="G157" i="2"/>
  <c r="H157" i="2" s="1"/>
  <c r="I157" i="2" s="1"/>
  <c r="J157" i="2" s="1"/>
  <c r="K157" i="2"/>
  <c r="L157" i="2" s="1"/>
  <c r="M157" i="2" s="1"/>
  <c r="N157" i="2" s="1"/>
  <c r="O157" i="2" s="1"/>
  <c r="P157" i="2" s="1"/>
  <c r="Q157" i="2" s="1"/>
  <c r="R157" i="2" s="1"/>
  <c r="S157" i="2" s="1"/>
  <c r="T157" i="2" s="1"/>
  <c r="U157" i="2" s="1"/>
  <c r="V157" i="2" s="1"/>
  <c r="W157" i="2" s="1"/>
  <c r="D158" i="2"/>
  <c r="F158" i="2"/>
  <c r="G158" i="2"/>
  <c r="H158" i="2" s="1"/>
  <c r="I158" i="2" s="1"/>
  <c r="J158" i="2" s="1"/>
  <c r="K158" i="2" s="1"/>
  <c r="L158" i="2" s="1"/>
  <c r="M158" i="2" s="1"/>
  <c r="N158" i="2" s="1"/>
  <c r="O158" i="2" s="1"/>
  <c r="P158" i="2" s="1"/>
  <c r="Q158" i="2" s="1"/>
  <c r="R158" i="2" s="1"/>
  <c r="S158" i="2" s="1"/>
  <c r="T158" i="2" s="1"/>
  <c r="U158" i="2" s="1"/>
  <c r="V158" i="2" s="1"/>
  <c r="W158" i="2" s="1"/>
  <c r="C159" i="2"/>
  <c r="D159" i="2"/>
  <c r="F159" i="2"/>
  <c r="G159" i="2"/>
  <c r="H159" i="2"/>
  <c r="I159" i="2" s="1"/>
  <c r="J159" i="2" s="1"/>
  <c r="K159" i="2" s="1"/>
  <c r="L159" i="2" s="1"/>
  <c r="M159" i="2" s="1"/>
  <c r="N159" i="2" s="1"/>
  <c r="O159" i="2" s="1"/>
  <c r="P159" i="2" s="1"/>
  <c r="Q159" i="2" s="1"/>
  <c r="R159" i="2" s="1"/>
  <c r="S159" i="2" s="1"/>
  <c r="T159" i="2" s="1"/>
  <c r="U159" i="2" s="1"/>
  <c r="V159" i="2" s="1"/>
  <c r="W159" i="2" s="1"/>
  <c r="D160" i="2"/>
  <c r="F160" i="2"/>
  <c r="G160" i="2" s="1"/>
  <c r="H160" i="2" s="1"/>
  <c r="I160" i="2" s="1"/>
  <c r="J160" i="2" s="1"/>
  <c r="K160" i="2" s="1"/>
  <c r="L160" i="2" s="1"/>
  <c r="M160" i="2" s="1"/>
  <c r="N160" i="2" s="1"/>
  <c r="O160" i="2" s="1"/>
  <c r="P160" i="2" s="1"/>
  <c r="Q160" i="2" s="1"/>
  <c r="R160" i="2" s="1"/>
  <c r="S160" i="2" s="1"/>
  <c r="T160" i="2" s="1"/>
  <c r="U160" i="2" s="1"/>
  <c r="V160" i="2" s="1"/>
  <c r="W160" i="2" s="1"/>
  <c r="A161" i="2"/>
  <c r="B161" i="2"/>
  <c r="C161" i="2"/>
  <c r="D161" i="2"/>
  <c r="E161" i="2"/>
  <c r="F161" i="2"/>
  <c r="G161" i="2" s="1"/>
  <c r="H161" i="2" s="1"/>
  <c r="I161" i="2" s="1"/>
  <c r="J161" i="2" s="1"/>
  <c r="K161" i="2" s="1"/>
  <c r="L161" i="2" s="1"/>
  <c r="M161" i="2" s="1"/>
  <c r="N161" i="2" s="1"/>
  <c r="O161" i="2" s="1"/>
  <c r="P161" i="2" s="1"/>
  <c r="Q161" i="2" s="1"/>
  <c r="R161" i="2"/>
  <c r="S161" i="2" s="1"/>
  <c r="T161" i="2" s="1"/>
  <c r="U161" i="2" s="1"/>
  <c r="V161" i="2" s="1"/>
  <c r="W161" i="2" s="1"/>
  <c r="E162" i="2"/>
  <c r="F162" i="2"/>
  <c r="G162" i="2"/>
  <c r="H162" i="2"/>
  <c r="I162" i="2" s="1"/>
  <c r="J162" i="2" s="1"/>
  <c r="K162" i="2" s="1"/>
  <c r="L162" i="2" s="1"/>
  <c r="M162" i="2" s="1"/>
  <c r="N162" i="2" s="1"/>
  <c r="O162" i="2" s="1"/>
  <c r="P162" i="2" s="1"/>
  <c r="Q162" i="2" s="1"/>
  <c r="R162" i="2" s="1"/>
  <c r="S162" i="2" s="1"/>
  <c r="T162" i="2" s="1"/>
  <c r="U162" i="2" s="1"/>
  <c r="V162" i="2" s="1"/>
  <c r="W162" i="2" s="1"/>
  <c r="D163" i="2"/>
  <c r="E163" i="2"/>
  <c r="F163" i="2"/>
  <c r="G163" i="2" s="1"/>
  <c r="H163" i="2" s="1"/>
  <c r="I163" i="2" s="1"/>
  <c r="J163" i="2" s="1"/>
  <c r="K163" i="2" s="1"/>
  <c r="L163" i="2" s="1"/>
  <c r="M163" i="2" s="1"/>
  <c r="N163" i="2" s="1"/>
  <c r="O163" i="2" s="1"/>
  <c r="P163" i="2" s="1"/>
  <c r="Q163" i="2" s="1"/>
  <c r="R163" i="2" s="1"/>
  <c r="S163" i="2" s="1"/>
  <c r="T163" i="2" s="1"/>
  <c r="U163" i="2" s="1"/>
  <c r="V163" i="2" s="1"/>
  <c r="W163" i="2" s="1"/>
  <c r="E164" i="2"/>
  <c r="F164" i="2"/>
  <c r="G164" i="2"/>
  <c r="H164" i="2"/>
  <c r="I164" i="2" s="1"/>
  <c r="J164" i="2" s="1"/>
  <c r="K164" i="2" s="1"/>
  <c r="L164" i="2" s="1"/>
  <c r="M164" i="2" s="1"/>
  <c r="N164" i="2" s="1"/>
  <c r="O164" i="2" s="1"/>
  <c r="P164" i="2" s="1"/>
  <c r="Q164" i="2" s="1"/>
  <c r="R164" i="2" s="1"/>
  <c r="S164" i="2" s="1"/>
  <c r="T164" i="2" s="1"/>
  <c r="U164" i="2" s="1"/>
  <c r="V164" i="2" s="1"/>
  <c r="W164" i="2" s="1"/>
  <c r="C165" i="2"/>
  <c r="D165" i="2"/>
  <c r="E165" i="2"/>
  <c r="F165" i="2"/>
  <c r="G165" i="2"/>
  <c r="H165" i="2" s="1"/>
  <c r="I165" i="2" s="1"/>
  <c r="J165" i="2" s="1"/>
  <c r="K165" i="2" s="1"/>
  <c r="L165" i="2" s="1"/>
  <c r="M165" i="2" s="1"/>
  <c r="N165" i="2" s="1"/>
  <c r="O165" i="2" s="1"/>
  <c r="P165" i="2" s="1"/>
  <c r="Q165" i="2" s="1"/>
  <c r="R165" i="2" s="1"/>
  <c r="S165" i="2" s="1"/>
  <c r="T165" i="2" s="1"/>
  <c r="U165" i="2" s="1"/>
  <c r="V165" i="2" s="1"/>
  <c r="W165" i="2" s="1"/>
  <c r="E166" i="2"/>
  <c r="F166" i="2"/>
  <c r="G166" i="2"/>
  <c r="H166" i="2"/>
  <c r="I166" i="2"/>
  <c r="J166" i="2" s="1"/>
  <c r="K166" i="2" s="1"/>
  <c r="L166" i="2" s="1"/>
  <c r="M166" i="2" s="1"/>
  <c r="N166" i="2" s="1"/>
  <c r="O166" i="2" s="1"/>
  <c r="P166" i="2" s="1"/>
  <c r="Q166" i="2" s="1"/>
  <c r="R166" i="2" s="1"/>
  <c r="S166" i="2" s="1"/>
  <c r="T166" i="2" s="1"/>
  <c r="U166" i="2" s="1"/>
  <c r="V166" i="2" s="1"/>
  <c r="W166" i="2" s="1"/>
  <c r="D167" i="2"/>
  <c r="E167" i="2"/>
  <c r="F167" i="2"/>
  <c r="G167" i="2" s="1"/>
  <c r="H167" i="2" s="1"/>
  <c r="I167" i="2" s="1"/>
  <c r="J167" i="2" s="1"/>
  <c r="K167" i="2" s="1"/>
  <c r="L167" i="2" s="1"/>
  <c r="M167" i="2" s="1"/>
  <c r="N167" i="2" s="1"/>
  <c r="O167" i="2" s="1"/>
  <c r="P167" i="2" s="1"/>
  <c r="Q167" i="2" s="1"/>
  <c r="R167" i="2" s="1"/>
  <c r="S167" i="2" s="1"/>
  <c r="T167" i="2" s="1"/>
  <c r="U167" i="2" s="1"/>
  <c r="V167" i="2" s="1"/>
  <c r="W167" i="2" s="1"/>
  <c r="E168" i="2"/>
  <c r="F168" i="2"/>
  <c r="G168" i="2" s="1"/>
  <c r="H168" i="2" s="1"/>
  <c r="I168" i="2"/>
  <c r="J168" i="2" s="1"/>
  <c r="K168" i="2" s="1"/>
  <c r="L168" i="2" s="1"/>
  <c r="M168" i="2" s="1"/>
  <c r="N168" i="2" s="1"/>
  <c r="O168" i="2" s="1"/>
  <c r="P168" i="2" s="1"/>
  <c r="Q168" i="2" s="1"/>
  <c r="R168" i="2" s="1"/>
  <c r="S168" i="2" s="1"/>
  <c r="T168" i="2" s="1"/>
  <c r="U168" i="2" s="1"/>
  <c r="V168" i="2" s="1"/>
  <c r="W168" i="2" s="1"/>
  <c r="B169" i="2"/>
  <c r="C169" i="2"/>
  <c r="D169" i="2"/>
  <c r="E169" i="2"/>
  <c r="F169" i="2"/>
  <c r="G169" i="2" s="1"/>
  <c r="H169" i="2" s="1"/>
  <c r="I169" i="2" s="1"/>
  <c r="J169" i="2" s="1"/>
  <c r="K169" i="2" s="1"/>
  <c r="L169" i="2" s="1"/>
  <c r="M169" i="2" s="1"/>
  <c r="N169" i="2" s="1"/>
  <c r="O169" i="2" s="1"/>
  <c r="P169" i="2" s="1"/>
  <c r="Q169" i="2" s="1"/>
  <c r="R169" i="2" s="1"/>
  <c r="S169" i="2" s="1"/>
  <c r="T169" i="2" s="1"/>
  <c r="U169" i="2" s="1"/>
  <c r="V169" i="2" s="1"/>
  <c r="W169" i="2" s="1"/>
  <c r="E170" i="2"/>
  <c r="F170" i="2"/>
  <c r="G170" i="2"/>
  <c r="H170" i="2" s="1"/>
  <c r="I170" i="2" s="1"/>
  <c r="J170" i="2" s="1"/>
  <c r="K170" i="2" s="1"/>
  <c r="L170" i="2" s="1"/>
  <c r="M170" i="2" s="1"/>
  <c r="N170" i="2" s="1"/>
  <c r="O170" i="2" s="1"/>
  <c r="P170" i="2" s="1"/>
  <c r="Q170" i="2" s="1"/>
  <c r="R170" i="2" s="1"/>
  <c r="S170" i="2" s="1"/>
  <c r="T170" i="2" s="1"/>
  <c r="U170" i="2" s="1"/>
  <c r="V170" i="2" s="1"/>
  <c r="W170" i="2" s="1"/>
  <c r="D171" i="2"/>
  <c r="E171" i="2"/>
  <c r="F171" i="2"/>
  <c r="G171" i="2"/>
  <c r="H171" i="2"/>
  <c r="I171" i="2" s="1"/>
  <c r="J171" i="2" s="1"/>
  <c r="K171" i="2" s="1"/>
  <c r="L171" i="2" s="1"/>
  <c r="M171" i="2" s="1"/>
  <c r="N171" i="2" s="1"/>
  <c r="O171" i="2" s="1"/>
  <c r="P171" i="2" s="1"/>
  <c r="Q171" i="2" s="1"/>
  <c r="R171" i="2" s="1"/>
  <c r="S171" i="2" s="1"/>
  <c r="T171" i="2" s="1"/>
  <c r="U171" i="2" s="1"/>
  <c r="V171" i="2" s="1"/>
  <c r="W171" i="2" s="1"/>
  <c r="E172" i="2"/>
  <c r="F172" i="2"/>
  <c r="G172" i="2" s="1"/>
  <c r="H172" i="2" s="1"/>
  <c r="I172" i="2"/>
  <c r="J172" i="2"/>
  <c r="K172" i="2" s="1"/>
  <c r="L172" i="2" s="1"/>
  <c r="M172" i="2" s="1"/>
  <c r="N172" i="2" s="1"/>
  <c r="O172" i="2" s="1"/>
  <c r="P172" i="2" s="1"/>
  <c r="Q172" i="2" s="1"/>
  <c r="R172" i="2" s="1"/>
  <c r="S172" i="2" s="1"/>
  <c r="T172" i="2" s="1"/>
  <c r="U172" i="2" s="1"/>
  <c r="V172" i="2" s="1"/>
  <c r="W172" i="2" s="1"/>
  <c r="C173" i="2"/>
  <c r="D173" i="2"/>
  <c r="E173" i="2"/>
  <c r="F173" i="2"/>
  <c r="G173" i="2"/>
  <c r="H173" i="2"/>
  <c r="I173" i="2" s="1"/>
  <c r="J173" i="2" s="1"/>
  <c r="K173" i="2" s="1"/>
  <c r="L173" i="2" s="1"/>
  <c r="M173" i="2" s="1"/>
  <c r="N173" i="2" s="1"/>
  <c r="O173" i="2" s="1"/>
  <c r="P173" i="2"/>
  <c r="Q173" i="2" s="1"/>
  <c r="R173" i="2" s="1"/>
  <c r="S173" i="2" s="1"/>
  <c r="T173" i="2" s="1"/>
  <c r="U173" i="2" s="1"/>
  <c r="V173" i="2" s="1"/>
  <c r="W173" i="2" s="1"/>
  <c r="E174" i="2"/>
  <c r="F174" i="2"/>
  <c r="G174" i="2" s="1"/>
  <c r="H174" i="2" s="1"/>
  <c r="I174" i="2" s="1"/>
  <c r="J174" i="2" s="1"/>
  <c r="K174" i="2" s="1"/>
  <c r="L174" i="2" s="1"/>
  <c r="M174" i="2" s="1"/>
  <c r="N174" i="2" s="1"/>
  <c r="O174" i="2" s="1"/>
  <c r="P174" i="2" s="1"/>
  <c r="Q174" i="2" s="1"/>
  <c r="R174" i="2" s="1"/>
  <c r="S174" i="2" s="1"/>
  <c r="T174" i="2" s="1"/>
  <c r="U174" i="2" s="1"/>
  <c r="V174" i="2" s="1"/>
  <c r="W174" i="2" s="1"/>
  <c r="D175" i="2"/>
  <c r="E175" i="2"/>
  <c r="F175" i="2"/>
  <c r="G175" i="2" s="1"/>
  <c r="H175" i="2" s="1"/>
  <c r="I175" i="2" s="1"/>
  <c r="J175" i="2" s="1"/>
  <c r="K175" i="2" s="1"/>
  <c r="L175" i="2" s="1"/>
  <c r="M175" i="2" s="1"/>
  <c r="N175" i="2"/>
  <c r="O175" i="2" s="1"/>
  <c r="P175" i="2" s="1"/>
  <c r="Q175" i="2" s="1"/>
  <c r="R175" i="2" s="1"/>
  <c r="S175" i="2" s="1"/>
  <c r="T175" i="2" s="1"/>
  <c r="U175" i="2" s="1"/>
  <c r="V175" i="2"/>
  <c r="W175" i="2" s="1"/>
  <c r="E176" i="2"/>
  <c r="F176" i="2"/>
  <c r="G176" i="2"/>
  <c r="H176" i="2" s="1"/>
  <c r="I176" i="2" s="1"/>
  <c r="J176" i="2"/>
  <c r="K176" i="2" s="1"/>
  <c r="L176" i="2" s="1"/>
  <c r="M176" i="2" s="1"/>
  <c r="N176" i="2" s="1"/>
  <c r="O176" i="2" s="1"/>
  <c r="P176" i="2" s="1"/>
  <c r="Q176" i="2" s="1"/>
  <c r="R176" i="2" s="1"/>
  <c r="S176" i="2" s="1"/>
  <c r="T176" i="2" s="1"/>
  <c r="U176" i="2" s="1"/>
  <c r="V176" i="2" s="1"/>
  <c r="W176" i="2" s="1"/>
  <c r="A180" i="2"/>
  <c r="A181" i="2"/>
  <c r="A182" i="2"/>
  <c r="Y183" i="2"/>
  <c r="Z183" i="2"/>
  <c r="A193" i="2" s="1"/>
  <c r="A184" i="2"/>
  <c r="B184" i="2"/>
  <c r="C184" i="2"/>
  <c r="F184" i="2"/>
  <c r="G184" i="2" s="1"/>
  <c r="H184" i="2" s="1"/>
  <c r="I184" i="2" s="1"/>
  <c r="J184" i="2" s="1"/>
  <c r="K184" i="2" s="1"/>
  <c r="L184" i="2" s="1"/>
  <c r="M184" i="2" s="1"/>
  <c r="N184" i="2" s="1"/>
  <c r="O184" i="2" s="1"/>
  <c r="P184" i="2" s="1"/>
  <c r="Q184" i="2" s="1"/>
  <c r="R184" i="2" s="1"/>
  <c r="S184" i="2" s="1"/>
  <c r="T184" i="2" s="1"/>
  <c r="U184" i="2" s="1"/>
  <c r="V184" i="2" s="1"/>
  <c r="W184" i="2" s="1"/>
  <c r="C185" i="2"/>
  <c r="F185" i="2"/>
  <c r="G185" i="2"/>
  <c r="H185" i="2" s="1"/>
  <c r="I185" i="2" s="1"/>
  <c r="J185" i="2" s="1"/>
  <c r="K185" i="2" s="1"/>
  <c r="L185" i="2" s="1"/>
  <c r="M185" i="2" s="1"/>
  <c r="N185" i="2" s="1"/>
  <c r="O185" i="2" s="1"/>
  <c r="P185" i="2" s="1"/>
  <c r="Q185" i="2" s="1"/>
  <c r="R185" i="2" s="1"/>
  <c r="S185" i="2" s="1"/>
  <c r="T185" i="2" s="1"/>
  <c r="U185" i="2" s="1"/>
  <c r="V185" i="2" s="1"/>
  <c r="W185" i="2" s="1"/>
  <c r="B186" i="2"/>
  <c r="C186" i="2"/>
  <c r="F186" i="2"/>
  <c r="G186" i="2"/>
  <c r="H186" i="2" s="1"/>
  <c r="I186" i="2" s="1"/>
  <c r="J186" i="2" s="1"/>
  <c r="K186" i="2" s="1"/>
  <c r="L186" i="2"/>
  <c r="M186" i="2" s="1"/>
  <c r="N186" i="2" s="1"/>
  <c r="O186" i="2" s="1"/>
  <c r="P186" i="2" s="1"/>
  <c r="Q186" i="2" s="1"/>
  <c r="R186" i="2" s="1"/>
  <c r="S186" i="2" s="1"/>
  <c r="T186" i="2" s="1"/>
  <c r="U186" i="2" s="1"/>
  <c r="V186" i="2" s="1"/>
  <c r="W186" i="2" s="1"/>
  <c r="C187" i="2"/>
  <c r="F187" i="2"/>
  <c r="G187" i="2" s="1"/>
  <c r="H187" i="2"/>
  <c r="I187" i="2" s="1"/>
  <c r="J187" i="2" s="1"/>
  <c r="K187" i="2" s="1"/>
  <c r="L187" i="2" s="1"/>
  <c r="M187" i="2" s="1"/>
  <c r="N187" i="2" s="1"/>
  <c r="O187" i="2" s="1"/>
  <c r="P187" i="2" s="1"/>
  <c r="Q187" i="2" s="1"/>
  <c r="R187" i="2" s="1"/>
  <c r="S187" i="2" s="1"/>
  <c r="T187" i="2" s="1"/>
  <c r="U187" i="2" s="1"/>
  <c r="V187" i="2" s="1"/>
  <c r="W187" i="2" s="1"/>
  <c r="A189" i="2"/>
  <c r="B189" i="2"/>
  <c r="C189" i="2"/>
  <c r="F189" i="2"/>
  <c r="G189" i="2"/>
  <c r="H189" i="2" s="1"/>
  <c r="I189" i="2" s="1"/>
  <c r="J189" i="2" s="1"/>
  <c r="K189" i="2" s="1"/>
  <c r="L189" i="2" s="1"/>
  <c r="M189" i="2" s="1"/>
  <c r="N189" i="2" s="1"/>
  <c r="O189" i="2" s="1"/>
  <c r="P189" i="2" s="1"/>
  <c r="Q189" i="2" s="1"/>
  <c r="R189" i="2" s="1"/>
  <c r="S189" i="2" s="1"/>
  <c r="T189" i="2" s="1"/>
  <c r="U189" i="2" s="1"/>
  <c r="V189" i="2" s="1"/>
  <c r="W189" i="2" s="1"/>
  <c r="C190" i="2"/>
  <c r="F190" i="2"/>
  <c r="G190" i="2" s="1"/>
  <c r="H190" i="2" s="1"/>
  <c r="I190" i="2" s="1"/>
  <c r="J190" i="2" s="1"/>
  <c r="K190" i="2" s="1"/>
  <c r="L190" i="2" s="1"/>
  <c r="M190" i="2" s="1"/>
  <c r="N190" i="2" s="1"/>
  <c r="O190" i="2" s="1"/>
  <c r="P190" i="2" s="1"/>
  <c r="Q190" i="2" s="1"/>
  <c r="R190" i="2" s="1"/>
  <c r="S190" i="2" s="1"/>
  <c r="T190" i="2" s="1"/>
  <c r="U190" i="2" s="1"/>
  <c r="V190" i="2" s="1"/>
  <c r="W190" i="2" s="1"/>
  <c r="B191" i="2"/>
  <c r="C191" i="2"/>
  <c r="F191" i="2"/>
  <c r="G191" i="2" s="1"/>
  <c r="H191" i="2" s="1"/>
  <c r="I191" i="2" s="1"/>
  <c r="J191" i="2" s="1"/>
  <c r="K191" i="2" s="1"/>
  <c r="L191" i="2" s="1"/>
  <c r="M191" i="2" s="1"/>
  <c r="N191" i="2" s="1"/>
  <c r="O191" i="2" s="1"/>
  <c r="P191" i="2" s="1"/>
  <c r="Q191" i="2" s="1"/>
  <c r="R191" i="2" s="1"/>
  <c r="S191" i="2" s="1"/>
  <c r="T191" i="2" s="1"/>
  <c r="U191" i="2" s="1"/>
  <c r="V191" i="2" s="1"/>
  <c r="W191" i="2" s="1"/>
  <c r="C192" i="2"/>
  <c r="F192" i="2"/>
  <c r="G192" i="2" s="1"/>
  <c r="H192" i="2" s="1"/>
  <c r="I192" i="2"/>
  <c r="J192" i="2" s="1"/>
  <c r="K192" i="2" s="1"/>
  <c r="L192" i="2" s="1"/>
  <c r="M192" i="2" s="1"/>
  <c r="N192" i="2" s="1"/>
  <c r="O192" i="2" s="1"/>
  <c r="P192" i="2" s="1"/>
  <c r="Q192" i="2" s="1"/>
  <c r="R192" i="2" s="1"/>
  <c r="S192" i="2" s="1"/>
  <c r="T192" i="2" s="1"/>
  <c r="U192" i="2" s="1"/>
  <c r="V192" i="2" s="1"/>
  <c r="W192" i="2" s="1"/>
  <c r="A195" i="2"/>
  <c r="AB196" i="2"/>
  <c r="AC196" i="2"/>
  <c r="AD196" i="2"/>
  <c r="A197" i="2"/>
  <c r="B197" i="2"/>
  <c r="C197" i="2"/>
  <c r="F197" i="2"/>
  <c r="G197" i="2" s="1"/>
  <c r="H197" i="2" s="1"/>
  <c r="I197" i="2" s="1"/>
  <c r="J197" i="2" s="1"/>
  <c r="K197" i="2" s="1"/>
  <c r="L197" i="2" s="1"/>
  <c r="M197" i="2" s="1"/>
  <c r="N197" i="2" s="1"/>
  <c r="O197" i="2" s="1"/>
  <c r="P197" i="2" s="1"/>
  <c r="Q197" i="2" s="1"/>
  <c r="R197" i="2" s="1"/>
  <c r="S197" i="2" s="1"/>
  <c r="T197" i="2" s="1"/>
  <c r="U197" i="2" s="1"/>
  <c r="V197" i="2" s="1"/>
  <c r="W197" i="2" s="1"/>
  <c r="Y197" i="2"/>
  <c r="Z197" i="2"/>
  <c r="AA197" i="2"/>
  <c r="AB197" i="2"/>
  <c r="AC197" i="2"/>
  <c r="AD197" i="2"/>
  <c r="C198" i="2"/>
  <c r="F198" i="2"/>
  <c r="G198" i="2" s="1"/>
  <c r="H198" i="2" s="1"/>
  <c r="I198" i="2" s="1"/>
  <c r="J198" i="2" s="1"/>
  <c r="K198" i="2" s="1"/>
  <c r="L198" i="2" s="1"/>
  <c r="M198" i="2" s="1"/>
  <c r="N198" i="2" s="1"/>
  <c r="O198" i="2" s="1"/>
  <c r="P198" i="2" s="1"/>
  <c r="Q198" i="2" s="1"/>
  <c r="R198" i="2" s="1"/>
  <c r="S198" i="2" s="1"/>
  <c r="T198" i="2" s="1"/>
  <c r="U198" i="2" s="1"/>
  <c r="V198" i="2" s="1"/>
  <c r="W198" i="2" s="1"/>
  <c r="AA198" i="2"/>
  <c r="AB198" i="2"/>
  <c r="AC198" i="2"/>
  <c r="AD198" i="2"/>
  <c r="B199" i="2"/>
  <c r="C199" i="2"/>
  <c r="F199" i="2"/>
  <c r="G199" i="2"/>
  <c r="H199" i="2" s="1"/>
  <c r="I199" i="2" s="1"/>
  <c r="J199" i="2" s="1"/>
  <c r="K199" i="2" s="1"/>
  <c r="L199" i="2" s="1"/>
  <c r="M199" i="2" s="1"/>
  <c r="N199" i="2" s="1"/>
  <c r="O199" i="2" s="1"/>
  <c r="P199" i="2" s="1"/>
  <c r="Q199" i="2" s="1"/>
  <c r="R199" i="2" s="1"/>
  <c r="S199" i="2" s="1"/>
  <c r="T199" i="2" s="1"/>
  <c r="U199" i="2" s="1"/>
  <c r="V199" i="2" s="1"/>
  <c r="W199" i="2" s="1"/>
  <c r="Z199" i="2"/>
  <c r="AA199" i="2"/>
  <c r="AB199" i="2"/>
  <c r="AC199" i="2"/>
  <c r="AD199" i="2"/>
  <c r="C200" i="2"/>
  <c r="F200" i="2"/>
  <c r="G200" i="2" s="1"/>
  <c r="H200" i="2" s="1"/>
  <c r="I200" i="2" s="1"/>
  <c r="J200" i="2" s="1"/>
  <c r="K200" i="2" s="1"/>
  <c r="L200" i="2" s="1"/>
  <c r="M200" i="2" s="1"/>
  <c r="N200" i="2" s="1"/>
  <c r="O200" i="2" s="1"/>
  <c r="P200" i="2" s="1"/>
  <c r="Q200" i="2" s="1"/>
  <c r="R200" i="2" s="1"/>
  <c r="S200" i="2" s="1"/>
  <c r="T200" i="2" s="1"/>
  <c r="U200" i="2" s="1"/>
  <c r="V200" i="2" s="1"/>
  <c r="W200" i="2" s="1"/>
  <c r="AA200" i="2"/>
  <c r="AB200" i="2"/>
  <c r="AC200" i="2"/>
  <c r="AD200" i="2"/>
  <c r="Y202" i="2"/>
  <c r="AB202" i="2"/>
  <c r="A201" i="2" s="1"/>
  <c r="A204" i="2"/>
  <c r="A205" i="2"/>
  <c r="A206" i="2"/>
  <c r="F207" i="2"/>
  <c r="G207" i="2"/>
  <c r="A208" i="2"/>
  <c r="B208" i="2"/>
  <c r="F208" i="2"/>
  <c r="G208" i="2"/>
  <c r="B209" i="2"/>
  <c r="F209" i="2"/>
  <c r="G209" i="2"/>
  <c r="A212" i="2"/>
  <c r="B212" i="2"/>
  <c r="F212" i="2"/>
  <c r="G212" i="2"/>
  <c r="H212" i="2" s="1"/>
  <c r="I212" i="2" s="1"/>
  <c r="J212" i="2" s="1"/>
  <c r="K212" i="2"/>
  <c r="L212" i="2" s="1"/>
  <c r="M212" i="2" s="1"/>
  <c r="N212" i="2" s="1"/>
  <c r="O212" i="2" s="1"/>
  <c r="P212" i="2" s="1"/>
  <c r="Q212" i="2" s="1"/>
  <c r="R212" i="2" s="1"/>
  <c r="S212" i="2" s="1"/>
  <c r="T212" i="2" s="1"/>
  <c r="U212" i="2" s="1"/>
  <c r="V212" i="2" s="1"/>
  <c r="W212" i="2" s="1"/>
  <c r="B213" i="2"/>
  <c r="F213" i="2"/>
  <c r="G213" i="2"/>
  <c r="H213" i="2" s="1"/>
  <c r="I213" i="2" s="1"/>
  <c r="J213" i="2" s="1"/>
  <c r="K213" i="2" s="1"/>
  <c r="L213" i="2" s="1"/>
  <c r="M213" i="2" s="1"/>
  <c r="N213" i="2" s="1"/>
  <c r="O213" i="2" s="1"/>
  <c r="P213" i="2" s="1"/>
  <c r="Q213" i="2" s="1"/>
  <c r="R213" i="2" s="1"/>
  <c r="S213" i="2" s="1"/>
  <c r="T213" i="2" s="1"/>
  <c r="U213" i="2" s="1"/>
  <c r="V213" i="2" s="1"/>
  <c r="W213" i="2" s="1"/>
  <c r="A215" i="2"/>
  <c r="B215" i="2"/>
  <c r="C215" i="2"/>
  <c r="F215" i="2"/>
  <c r="G215" i="2"/>
  <c r="H215" i="2" s="1"/>
  <c r="I215" i="2" s="1"/>
  <c r="J215" i="2" s="1"/>
  <c r="K215" i="2" s="1"/>
  <c r="L215" i="2" s="1"/>
  <c r="M215" i="2" s="1"/>
  <c r="N215" i="2" s="1"/>
  <c r="O215" i="2" s="1"/>
  <c r="P215" i="2" s="1"/>
  <c r="Q215" i="2" s="1"/>
  <c r="R215" i="2" s="1"/>
  <c r="S215" i="2" s="1"/>
  <c r="T215" i="2" s="1"/>
  <c r="U215" i="2" s="1"/>
  <c r="V215" i="2" s="1"/>
  <c r="W215" i="2" s="1"/>
  <c r="C216" i="2"/>
  <c r="F216" i="2"/>
  <c r="G216" i="2" s="1"/>
  <c r="H216" i="2" s="1"/>
  <c r="I216" i="2" s="1"/>
  <c r="J216" i="2" s="1"/>
  <c r="K216" i="2" s="1"/>
  <c r="L216" i="2" s="1"/>
  <c r="M216" i="2" s="1"/>
  <c r="N216" i="2" s="1"/>
  <c r="O216" i="2" s="1"/>
  <c r="P216" i="2" s="1"/>
  <c r="Q216" i="2" s="1"/>
  <c r="R216" i="2" s="1"/>
  <c r="S216" i="2" s="1"/>
  <c r="T216" i="2" s="1"/>
  <c r="U216" i="2" s="1"/>
  <c r="V216" i="2" s="1"/>
  <c r="W216" i="2" s="1"/>
  <c r="B217" i="2"/>
  <c r="C217" i="2"/>
  <c r="F217" i="2"/>
  <c r="G217" i="2"/>
  <c r="H217" i="2" s="1"/>
  <c r="I217" i="2" s="1"/>
  <c r="J217" i="2" s="1"/>
  <c r="K217" i="2" s="1"/>
  <c r="L217" i="2" s="1"/>
  <c r="M217" i="2" s="1"/>
  <c r="N217" i="2" s="1"/>
  <c r="O217" i="2" s="1"/>
  <c r="P217" i="2" s="1"/>
  <c r="Q217" i="2" s="1"/>
  <c r="R217" i="2" s="1"/>
  <c r="S217" i="2" s="1"/>
  <c r="T217" i="2" s="1"/>
  <c r="U217" i="2" s="1"/>
  <c r="V217" i="2" s="1"/>
  <c r="W217" i="2" s="1"/>
  <c r="C218" i="2"/>
  <c r="F218" i="2"/>
  <c r="G218" i="2" s="1"/>
  <c r="H218" i="2" s="1"/>
  <c r="I218" i="2" s="1"/>
  <c r="J218" i="2" s="1"/>
  <c r="K218" i="2" s="1"/>
  <c r="L218" i="2" s="1"/>
  <c r="M218" i="2" s="1"/>
  <c r="N218" i="2" s="1"/>
  <c r="O218" i="2" s="1"/>
  <c r="P218" i="2" s="1"/>
  <c r="Q218" i="2" s="1"/>
  <c r="R218" i="2" s="1"/>
  <c r="S218" i="2" s="1"/>
  <c r="T218" i="2" s="1"/>
  <c r="U218" i="2" s="1"/>
  <c r="V218" i="2" s="1"/>
  <c r="W218" i="2" s="1"/>
  <c r="A220" i="2"/>
  <c r="B220" i="2"/>
  <c r="F220" i="2"/>
  <c r="G220" i="2" s="1"/>
  <c r="H220" i="2" s="1"/>
  <c r="I220" i="2" s="1"/>
  <c r="J220" i="2" s="1"/>
  <c r="K220" i="2" s="1"/>
  <c r="L220" i="2" s="1"/>
  <c r="M220" i="2" s="1"/>
  <c r="N220" i="2" s="1"/>
  <c r="O220" i="2" s="1"/>
  <c r="P220" i="2" s="1"/>
  <c r="Q220" i="2" s="1"/>
  <c r="R220" i="2" s="1"/>
  <c r="S220" i="2" s="1"/>
  <c r="T220" i="2" s="1"/>
  <c r="U220" i="2" s="1"/>
  <c r="V220" i="2" s="1"/>
  <c r="W220" i="2" s="1"/>
  <c r="B221" i="2"/>
  <c r="F221" i="2"/>
  <c r="G221" i="2" s="1"/>
  <c r="H221" i="2" s="1"/>
  <c r="I221" i="2" s="1"/>
  <c r="J221" i="2" s="1"/>
  <c r="K221" i="2" s="1"/>
  <c r="L221" i="2" s="1"/>
  <c r="M221" i="2" s="1"/>
  <c r="N221" i="2" s="1"/>
  <c r="O221" i="2" s="1"/>
  <c r="P221" i="2" s="1"/>
  <c r="Q221" i="2" s="1"/>
  <c r="R221" i="2" s="1"/>
  <c r="S221" i="2" s="1"/>
  <c r="T221" i="2" s="1"/>
  <c r="U221" i="2" s="1"/>
  <c r="V221" i="2" s="1"/>
  <c r="W221" i="2" s="1"/>
  <c r="A224" i="2"/>
  <c r="F225" i="2"/>
  <c r="G225" i="2"/>
  <c r="A226" i="2"/>
  <c r="B226" i="2"/>
  <c r="F226" i="2"/>
  <c r="G226" i="2"/>
  <c r="B227" i="2"/>
  <c r="F227" i="2"/>
  <c r="G227" i="2"/>
  <c r="A230" i="2"/>
  <c r="B230" i="2"/>
  <c r="F230" i="2"/>
  <c r="G230" i="2" s="1"/>
  <c r="H230" i="2" s="1"/>
  <c r="I230" i="2" s="1"/>
  <c r="J230" i="2"/>
  <c r="K230" i="2" s="1"/>
  <c r="L230" i="2" s="1"/>
  <c r="M230" i="2" s="1"/>
  <c r="N230" i="2"/>
  <c r="O230" i="2" s="1"/>
  <c r="P230" i="2" s="1"/>
  <c r="Q230" i="2" s="1"/>
  <c r="R230" i="2" s="1"/>
  <c r="S230" i="2" s="1"/>
  <c r="T230" i="2" s="1"/>
  <c r="U230" i="2" s="1"/>
  <c r="V230" i="2" s="1"/>
  <c r="W230" i="2" s="1"/>
  <c r="B231" i="2"/>
  <c r="F231" i="2"/>
  <c r="G231" i="2"/>
  <c r="H231" i="2" s="1"/>
  <c r="I231" i="2" s="1"/>
  <c r="J231" i="2" s="1"/>
  <c r="K231" i="2" s="1"/>
  <c r="L231" i="2" s="1"/>
  <c r="M231" i="2" s="1"/>
  <c r="N231" i="2" s="1"/>
  <c r="O231" i="2" s="1"/>
  <c r="P231" i="2" s="1"/>
  <c r="Q231" i="2" s="1"/>
  <c r="R231" i="2" s="1"/>
  <c r="S231" i="2" s="1"/>
  <c r="T231" i="2" s="1"/>
  <c r="U231" i="2" s="1"/>
  <c r="V231" i="2" s="1"/>
  <c r="W231" i="2" s="1"/>
  <c r="A233" i="2"/>
  <c r="B233" i="2"/>
  <c r="C233" i="2"/>
  <c r="F233" i="2"/>
  <c r="G233" i="2" s="1"/>
  <c r="H233" i="2" s="1"/>
  <c r="I233" i="2" s="1"/>
  <c r="J233" i="2" s="1"/>
  <c r="K233" i="2" s="1"/>
  <c r="L233" i="2" s="1"/>
  <c r="M233" i="2" s="1"/>
  <c r="N233" i="2" s="1"/>
  <c r="O233" i="2" s="1"/>
  <c r="P233" i="2" s="1"/>
  <c r="Q233" i="2" s="1"/>
  <c r="R233" i="2"/>
  <c r="S233" i="2" s="1"/>
  <c r="T233" i="2" s="1"/>
  <c r="U233" i="2" s="1"/>
  <c r="V233" i="2" s="1"/>
  <c r="W233" i="2" s="1"/>
  <c r="C234" i="2"/>
  <c r="F234" i="2"/>
  <c r="G234" i="2"/>
  <c r="H234" i="2" s="1"/>
  <c r="I234" i="2" s="1"/>
  <c r="J234" i="2" s="1"/>
  <c r="K234" i="2" s="1"/>
  <c r="L234" i="2" s="1"/>
  <c r="M234" i="2" s="1"/>
  <c r="N234" i="2" s="1"/>
  <c r="O234" i="2" s="1"/>
  <c r="P234" i="2" s="1"/>
  <c r="Q234" i="2" s="1"/>
  <c r="R234" i="2" s="1"/>
  <c r="S234" i="2" s="1"/>
  <c r="T234" i="2" s="1"/>
  <c r="U234" i="2" s="1"/>
  <c r="V234" i="2" s="1"/>
  <c r="W234" i="2"/>
  <c r="B235" i="2"/>
  <c r="C235" i="2"/>
  <c r="F235" i="2"/>
  <c r="G235" i="2"/>
  <c r="H235" i="2" s="1"/>
  <c r="I235" i="2" s="1"/>
  <c r="J235" i="2" s="1"/>
  <c r="K235" i="2" s="1"/>
  <c r="L235" i="2" s="1"/>
  <c r="M235" i="2" s="1"/>
  <c r="N235" i="2" s="1"/>
  <c r="O235" i="2" s="1"/>
  <c r="P235" i="2" s="1"/>
  <c r="Q235" i="2" s="1"/>
  <c r="R235" i="2" s="1"/>
  <c r="S235" i="2" s="1"/>
  <c r="T235" i="2" s="1"/>
  <c r="U235" i="2" s="1"/>
  <c r="V235" i="2" s="1"/>
  <c r="W235" i="2" s="1"/>
  <c r="C236" i="2"/>
  <c r="F236" i="2"/>
  <c r="G236" i="2"/>
  <c r="H236" i="2" s="1"/>
  <c r="I236" i="2" s="1"/>
  <c r="J236" i="2" s="1"/>
  <c r="K236" i="2" s="1"/>
  <c r="L236" i="2" s="1"/>
  <c r="M236" i="2" s="1"/>
  <c r="N236" i="2" s="1"/>
  <c r="O236" i="2" s="1"/>
  <c r="P236" i="2" s="1"/>
  <c r="Q236" i="2" s="1"/>
  <c r="R236" i="2" s="1"/>
  <c r="S236" i="2" s="1"/>
  <c r="T236" i="2" s="1"/>
  <c r="U236" i="2" s="1"/>
  <c r="V236" i="2" s="1"/>
  <c r="W236" i="2" s="1"/>
  <c r="A238" i="2"/>
  <c r="F238" i="2"/>
  <c r="G238" i="2" s="1"/>
  <c r="H238" i="2" s="1"/>
  <c r="I238" i="2" s="1"/>
  <c r="J238" i="2" s="1"/>
  <c r="K238" i="2" s="1"/>
  <c r="L238" i="2" s="1"/>
  <c r="M238" i="2" s="1"/>
  <c r="N238" i="2" s="1"/>
  <c r="O238" i="2" s="1"/>
  <c r="P238" i="2" s="1"/>
  <c r="Q238" i="2"/>
  <c r="R238" i="2" s="1"/>
  <c r="S238" i="2" s="1"/>
  <c r="T238" i="2" s="1"/>
  <c r="U238" i="2" s="1"/>
  <c r="V238" i="2" s="1"/>
  <c r="W238" i="2" s="1"/>
  <c r="A241" i="2"/>
  <c r="F241" i="2"/>
  <c r="A244" i="2"/>
  <c r="F244" i="2"/>
  <c r="G244" i="2" s="1"/>
  <c r="H244" i="2" s="1"/>
  <c r="I244" i="2" s="1"/>
  <c r="J244" i="2" s="1"/>
  <c r="K244" i="2" s="1"/>
  <c r="L244" i="2" s="1"/>
  <c r="M244" i="2" s="1"/>
  <c r="N244" i="2" s="1"/>
  <c r="O244" i="2" s="1"/>
  <c r="P244" i="2" s="1"/>
  <c r="Q244" i="2" s="1"/>
  <c r="R244" i="2" s="1"/>
  <c r="S244" i="2" s="1"/>
  <c r="T244" i="2" s="1"/>
  <c r="U244" i="2" s="1"/>
  <c r="V244" i="2" s="1"/>
  <c r="W244" i="2" s="1"/>
  <c r="A246" i="2"/>
  <c r="F246" i="2"/>
  <c r="G246" i="2"/>
  <c r="H246" i="2" s="1"/>
  <c r="I246" i="2" s="1"/>
  <c r="J246" i="2" s="1"/>
  <c r="K246" i="2" s="1"/>
  <c r="L246" i="2" s="1"/>
  <c r="M246" i="2" s="1"/>
  <c r="N246" i="2" s="1"/>
  <c r="O246" i="2" s="1"/>
  <c r="P246" i="2" s="1"/>
  <c r="Q246" i="2" s="1"/>
  <c r="R246" i="2" s="1"/>
  <c r="S246" i="2" s="1"/>
  <c r="T246" i="2" s="1"/>
  <c r="U246" i="2" s="1"/>
  <c r="V246" i="2" s="1"/>
  <c r="W246" i="2" s="1"/>
  <c r="A247" i="2"/>
  <c r="F247" i="2"/>
  <c r="G247" i="2" s="1"/>
  <c r="H247" i="2" s="1"/>
  <c r="I247" i="2" s="1"/>
  <c r="J247" i="2" s="1"/>
  <c r="K247" i="2" s="1"/>
  <c r="L247" i="2" s="1"/>
  <c r="M247" i="2" s="1"/>
  <c r="N247" i="2" s="1"/>
  <c r="O247" i="2" s="1"/>
  <c r="P247" i="2" s="1"/>
  <c r="Q247" i="2" s="1"/>
  <c r="R247" i="2" s="1"/>
  <c r="S247" i="2" s="1"/>
  <c r="T247" i="2" s="1"/>
  <c r="U247" i="2" s="1"/>
  <c r="V247" i="2" s="1"/>
  <c r="W247" i="2" s="1"/>
  <c r="A252" i="2"/>
  <c r="A253" i="2"/>
  <c r="A254" i="2"/>
  <c r="A255" i="2"/>
  <c r="F256" i="2"/>
  <c r="G256" i="2"/>
  <c r="H256" i="2"/>
  <c r="I256" i="2"/>
  <c r="A257" i="2"/>
  <c r="B257" i="2"/>
  <c r="F257" i="2"/>
  <c r="G257" i="2"/>
  <c r="H257" i="2"/>
  <c r="H259" i="2" s="1"/>
  <c r="I257" i="2"/>
  <c r="B258" i="2"/>
  <c r="F258" i="2"/>
  <c r="G258" i="2"/>
  <c r="H258" i="2"/>
  <c r="I258" i="2"/>
  <c r="A259" i="2"/>
  <c r="B259" i="2"/>
  <c r="F259" i="2"/>
  <c r="G259" i="2"/>
  <c r="I259" i="2"/>
  <c r="B260" i="2"/>
  <c r="F260" i="2"/>
  <c r="G260" i="2"/>
  <c r="H260" i="2"/>
  <c r="I260" i="2"/>
  <c r="A262" i="2"/>
  <c r="A263" i="2"/>
  <c r="F264" i="2"/>
  <c r="G264" i="2"/>
  <c r="H264" i="2"/>
  <c r="I264" i="2"/>
  <c r="A265" i="2"/>
  <c r="B265" i="2"/>
  <c r="F265" i="2"/>
  <c r="F266" i="2" s="1"/>
  <c r="G265" i="2"/>
  <c r="H265" i="2"/>
  <c r="H267" i="2" s="1"/>
  <c r="I265" i="2"/>
  <c r="I267" i="2" s="1"/>
  <c r="B266" i="2"/>
  <c r="G266" i="2"/>
  <c r="H266" i="2"/>
  <c r="H268" i="2" s="1"/>
  <c r="I266" i="2"/>
  <c r="A267" i="2"/>
  <c r="B267" i="2"/>
  <c r="F267" i="2"/>
  <c r="F268" i="2" s="1"/>
  <c r="G267" i="2"/>
  <c r="B268" i="2"/>
  <c r="G268" i="2"/>
  <c r="I268" i="2"/>
  <c r="A272" i="2"/>
  <c r="A273" i="2"/>
  <c r="A274" i="2"/>
  <c r="AB275" i="2"/>
  <c r="AC275" i="2"/>
  <c r="AD275" i="2"/>
  <c r="A276" i="2"/>
  <c r="B276" i="2"/>
  <c r="C276" i="2"/>
  <c r="F276" i="2"/>
  <c r="G276" i="2" s="1"/>
  <c r="H276" i="2" s="1"/>
  <c r="I276" i="2" s="1"/>
  <c r="J276" i="2"/>
  <c r="K276" i="2" s="1"/>
  <c r="L276" i="2" s="1"/>
  <c r="M276" i="2" s="1"/>
  <c r="N276" i="2" s="1"/>
  <c r="O276" i="2" s="1"/>
  <c r="P276" i="2"/>
  <c r="Q276" i="2" s="1"/>
  <c r="R276" i="2" s="1"/>
  <c r="S276" i="2" s="1"/>
  <c r="T276" i="2" s="1"/>
  <c r="U276" i="2" s="1"/>
  <c r="V276" i="2" s="1"/>
  <c r="W276" i="2" s="1"/>
  <c r="Y276" i="2"/>
  <c r="Z276" i="2"/>
  <c r="AA276" i="2"/>
  <c r="AB276" i="2"/>
  <c r="AC276" i="2"/>
  <c r="AD276" i="2"/>
  <c r="C277" i="2"/>
  <c r="F277" i="2"/>
  <c r="G277" i="2" s="1"/>
  <c r="H277" i="2" s="1"/>
  <c r="I277" i="2" s="1"/>
  <c r="J277" i="2" s="1"/>
  <c r="K277" i="2" s="1"/>
  <c r="L277" i="2" s="1"/>
  <c r="M277" i="2" s="1"/>
  <c r="N277" i="2" s="1"/>
  <c r="O277" i="2" s="1"/>
  <c r="P277" i="2" s="1"/>
  <c r="Q277" i="2" s="1"/>
  <c r="R277" i="2" s="1"/>
  <c r="S277" i="2" s="1"/>
  <c r="T277" i="2" s="1"/>
  <c r="U277" i="2" s="1"/>
  <c r="V277" i="2" s="1"/>
  <c r="W277" i="2" s="1"/>
  <c r="AA277" i="2"/>
  <c r="AB277" i="2"/>
  <c r="AC277" i="2"/>
  <c r="AD277" i="2"/>
  <c r="B278" i="2"/>
  <c r="C278" i="2"/>
  <c r="F278" i="2"/>
  <c r="G278" i="2"/>
  <c r="H278" i="2"/>
  <c r="I278" i="2" s="1"/>
  <c r="J278" i="2" s="1"/>
  <c r="K278" i="2" s="1"/>
  <c r="L278" i="2" s="1"/>
  <c r="M278" i="2" s="1"/>
  <c r="N278" i="2" s="1"/>
  <c r="O278" i="2" s="1"/>
  <c r="P278" i="2" s="1"/>
  <c r="Q278" i="2" s="1"/>
  <c r="R278" i="2" s="1"/>
  <c r="S278" i="2" s="1"/>
  <c r="T278" i="2" s="1"/>
  <c r="U278" i="2" s="1"/>
  <c r="V278" i="2" s="1"/>
  <c r="W278" i="2" s="1"/>
  <c r="Z278" i="2"/>
  <c r="AA278" i="2"/>
  <c r="AB278" i="2"/>
  <c r="AC278" i="2"/>
  <c r="AD278" i="2"/>
  <c r="C279" i="2"/>
  <c r="F279" i="2"/>
  <c r="G279" i="2" s="1"/>
  <c r="H279" i="2" s="1"/>
  <c r="I279" i="2" s="1"/>
  <c r="J279" i="2" s="1"/>
  <c r="K279" i="2" s="1"/>
  <c r="L279" i="2" s="1"/>
  <c r="M279" i="2" s="1"/>
  <c r="N279" i="2" s="1"/>
  <c r="O279" i="2" s="1"/>
  <c r="P279" i="2" s="1"/>
  <c r="Q279" i="2" s="1"/>
  <c r="R279" i="2" s="1"/>
  <c r="S279" i="2" s="1"/>
  <c r="T279" i="2" s="1"/>
  <c r="U279" i="2" s="1"/>
  <c r="V279" i="2" s="1"/>
  <c r="W279" i="2" s="1"/>
  <c r="AA279" i="2"/>
  <c r="AB279" i="2"/>
  <c r="AC279" i="2"/>
  <c r="AD279" i="2"/>
  <c r="A280" i="2"/>
  <c r="Y281" i="2"/>
  <c r="AB281" i="2"/>
  <c r="A283" i="2"/>
  <c r="A284" i="2"/>
  <c r="A286" i="2"/>
  <c r="B286" i="2"/>
  <c r="C286" i="2"/>
  <c r="F286" i="2"/>
  <c r="G286" i="2" s="1"/>
  <c r="C287" i="2"/>
  <c r="F287" i="2"/>
  <c r="G287" i="2" s="1"/>
  <c r="H287" i="2"/>
  <c r="I287" i="2" s="1"/>
  <c r="J287" i="2" s="1"/>
  <c r="K287" i="2" s="1"/>
  <c r="L287" i="2" s="1"/>
  <c r="M287" i="2" s="1"/>
  <c r="N287" i="2" s="1"/>
  <c r="O287" i="2" s="1"/>
  <c r="P287" i="2" s="1"/>
  <c r="Q287" i="2" s="1"/>
  <c r="R287" i="2" s="1"/>
  <c r="S287" i="2" s="1"/>
  <c r="T287" i="2" s="1"/>
  <c r="U287" i="2" s="1"/>
  <c r="V287" i="2" s="1"/>
  <c r="W287" i="2" s="1"/>
  <c r="B288" i="2"/>
  <c r="C288" i="2"/>
  <c r="F288" i="2"/>
  <c r="G288" i="2" s="1"/>
  <c r="H288" i="2" s="1"/>
  <c r="I288" i="2" s="1"/>
  <c r="J288" i="2" s="1"/>
  <c r="K288" i="2" s="1"/>
  <c r="L288" i="2" s="1"/>
  <c r="M288" i="2" s="1"/>
  <c r="N288" i="2" s="1"/>
  <c r="O288" i="2" s="1"/>
  <c r="P288" i="2" s="1"/>
  <c r="Q288" i="2" s="1"/>
  <c r="R288" i="2" s="1"/>
  <c r="S288" i="2" s="1"/>
  <c r="T288" i="2" s="1"/>
  <c r="U288" i="2" s="1"/>
  <c r="V288" i="2" s="1"/>
  <c r="W288" i="2" s="1"/>
  <c r="C289" i="2"/>
  <c r="F289" i="2"/>
  <c r="G289" i="2" s="1"/>
  <c r="H289" i="2" s="1"/>
  <c r="I289" i="2" s="1"/>
  <c r="J289" i="2" s="1"/>
  <c r="K289" i="2" s="1"/>
  <c r="L289" i="2" s="1"/>
  <c r="M289" i="2" s="1"/>
  <c r="N289" i="2" s="1"/>
  <c r="O289" i="2" s="1"/>
  <c r="P289" i="2" s="1"/>
  <c r="Q289" i="2" s="1"/>
  <c r="R289" i="2" s="1"/>
  <c r="S289" i="2" s="1"/>
  <c r="T289" i="2" s="1"/>
  <c r="U289" i="2" s="1"/>
  <c r="V289" i="2" s="1"/>
  <c r="W289" i="2" s="1"/>
  <c r="A291" i="2"/>
  <c r="B291" i="2"/>
  <c r="C291" i="2"/>
  <c r="D291" i="2"/>
  <c r="F291" i="2"/>
  <c r="G291" i="2"/>
  <c r="H291" i="2" s="1"/>
  <c r="I291" i="2" s="1"/>
  <c r="J291" i="2" s="1"/>
  <c r="K291" i="2" s="1"/>
  <c r="L291" i="2" s="1"/>
  <c r="M291" i="2" s="1"/>
  <c r="N291" i="2" s="1"/>
  <c r="O291" i="2" s="1"/>
  <c r="P291" i="2" s="1"/>
  <c r="Q291" i="2" s="1"/>
  <c r="R291" i="2" s="1"/>
  <c r="S291" i="2" s="1"/>
  <c r="T291" i="2" s="1"/>
  <c r="U291" i="2" s="1"/>
  <c r="V291" i="2" s="1"/>
  <c r="W291" i="2" s="1"/>
  <c r="D292" i="2"/>
  <c r="F292" i="2"/>
  <c r="G292" i="2" s="1"/>
  <c r="H292" i="2" s="1"/>
  <c r="I292" i="2" s="1"/>
  <c r="J292" i="2" s="1"/>
  <c r="K292" i="2" s="1"/>
  <c r="L292" i="2" s="1"/>
  <c r="M292" i="2" s="1"/>
  <c r="N292" i="2" s="1"/>
  <c r="O292" i="2" s="1"/>
  <c r="P292" i="2" s="1"/>
  <c r="Q292" i="2" s="1"/>
  <c r="R292" i="2" s="1"/>
  <c r="S292" i="2" s="1"/>
  <c r="T292" i="2" s="1"/>
  <c r="U292" i="2" s="1"/>
  <c r="V292" i="2" s="1"/>
  <c r="W292" i="2" s="1"/>
  <c r="C293" i="2"/>
  <c r="D293" i="2"/>
  <c r="F293" i="2"/>
  <c r="G293" i="2" s="1"/>
  <c r="H293" i="2" s="1"/>
  <c r="I293" i="2" s="1"/>
  <c r="J293" i="2" s="1"/>
  <c r="K293" i="2" s="1"/>
  <c r="L293" i="2" s="1"/>
  <c r="M293" i="2" s="1"/>
  <c r="N293" i="2" s="1"/>
  <c r="O293" i="2" s="1"/>
  <c r="P293" i="2" s="1"/>
  <c r="Q293" i="2" s="1"/>
  <c r="R293" i="2" s="1"/>
  <c r="S293" i="2" s="1"/>
  <c r="T293" i="2" s="1"/>
  <c r="U293" i="2" s="1"/>
  <c r="V293" i="2" s="1"/>
  <c r="W293" i="2" s="1"/>
  <c r="D294" i="2"/>
  <c r="F294" i="2"/>
  <c r="G294" i="2"/>
  <c r="H294" i="2" s="1"/>
  <c r="I294" i="2"/>
  <c r="J294" i="2" s="1"/>
  <c r="K294" i="2" s="1"/>
  <c r="L294" i="2" s="1"/>
  <c r="M294" i="2" s="1"/>
  <c r="N294" i="2" s="1"/>
  <c r="O294" i="2" s="1"/>
  <c r="P294" i="2" s="1"/>
  <c r="Q294" i="2" s="1"/>
  <c r="R294" i="2" s="1"/>
  <c r="S294" i="2" s="1"/>
  <c r="T294" i="2" s="1"/>
  <c r="U294" i="2" s="1"/>
  <c r="V294" i="2" s="1"/>
  <c r="W294" i="2" s="1"/>
  <c r="B295" i="2"/>
  <c r="C295" i="2"/>
  <c r="D295" i="2"/>
  <c r="F295" i="2"/>
  <c r="G295" i="2" s="1"/>
  <c r="H295" i="2" s="1"/>
  <c r="I295" i="2" s="1"/>
  <c r="J295" i="2" s="1"/>
  <c r="K295" i="2" s="1"/>
  <c r="L295" i="2" s="1"/>
  <c r="M295" i="2" s="1"/>
  <c r="N295" i="2" s="1"/>
  <c r="O295" i="2" s="1"/>
  <c r="P295" i="2" s="1"/>
  <c r="Q295" i="2" s="1"/>
  <c r="R295" i="2" s="1"/>
  <c r="S295" i="2" s="1"/>
  <c r="T295" i="2" s="1"/>
  <c r="U295" i="2" s="1"/>
  <c r="V295" i="2" s="1"/>
  <c r="W295" i="2" s="1"/>
  <c r="D296" i="2"/>
  <c r="F296" i="2"/>
  <c r="G296" i="2" s="1"/>
  <c r="H296" i="2" s="1"/>
  <c r="I296" i="2" s="1"/>
  <c r="J296" i="2" s="1"/>
  <c r="K296" i="2" s="1"/>
  <c r="L296" i="2" s="1"/>
  <c r="M296" i="2" s="1"/>
  <c r="N296" i="2" s="1"/>
  <c r="O296" i="2" s="1"/>
  <c r="P296" i="2" s="1"/>
  <c r="Q296" i="2" s="1"/>
  <c r="R296" i="2" s="1"/>
  <c r="S296" i="2" s="1"/>
  <c r="T296" i="2" s="1"/>
  <c r="U296" i="2" s="1"/>
  <c r="V296" i="2" s="1"/>
  <c r="W296" i="2" s="1"/>
  <c r="C297" i="2"/>
  <c r="D297" i="2"/>
  <c r="F297" i="2"/>
  <c r="G297" i="2" s="1"/>
  <c r="H297" i="2" s="1"/>
  <c r="I297" i="2" s="1"/>
  <c r="J297" i="2" s="1"/>
  <c r="K297" i="2" s="1"/>
  <c r="L297" i="2" s="1"/>
  <c r="M297" i="2" s="1"/>
  <c r="N297" i="2" s="1"/>
  <c r="O297" i="2" s="1"/>
  <c r="P297" i="2" s="1"/>
  <c r="Q297" i="2" s="1"/>
  <c r="R297" i="2" s="1"/>
  <c r="S297" i="2" s="1"/>
  <c r="T297" i="2" s="1"/>
  <c r="U297" i="2" s="1"/>
  <c r="V297" i="2" s="1"/>
  <c r="W297" i="2" s="1"/>
  <c r="D298" i="2"/>
  <c r="F298" i="2"/>
  <c r="G298" i="2" s="1"/>
  <c r="H298" i="2" s="1"/>
  <c r="I298" i="2" s="1"/>
  <c r="J298" i="2" s="1"/>
  <c r="K298" i="2"/>
  <c r="L298" i="2" s="1"/>
  <c r="M298" i="2" s="1"/>
  <c r="N298" i="2" s="1"/>
  <c r="O298" i="2" s="1"/>
  <c r="P298" i="2"/>
  <c r="Q298" i="2" s="1"/>
  <c r="R298" i="2" s="1"/>
  <c r="S298" i="2" s="1"/>
  <c r="T298" i="2" s="1"/>
  <c r="U298" i="2" s="1"/>
  <c r="V298" i="2" s="1"/>
  <c r="W298" i="2" s="1"/>
  <c r="A299" i="2"/>
  <c r="A301" i="2"/>
  <c r="A302" i="2"/>
  <c r="A304" i="2"/>
  <c r="F304" i="2"/>
  <c r="G304" i="2" s="1"/>
  <c r="H304" i="2" s="1"/>
  <c r="I304" i="2" s="1"/>
  <c r="J304" i="2" s="1"/>
  <c r="K304" i="2" s="1"/>
  <c r="L304" i="2" s="1"/>
  <c r="M304" i="2" s="1"/>
  <c r="N304" i="2" s="1"/>
  <c r="O304" i="2" s="1"/>
  <c r="P304" i="2" s="1"/>
  <c r="Q304" i="2" s="1"/>
  <c r="R304" i="2" s="1"/>
  <c r="S304" i="2" s="1"/>
  <c r="T304" i="2" s="1"/>
  <c r="U304" i="2" s="1"/>
  <c r="V304" i="2" s="1"/>
  <c r="W304" i="2" s="1"/>
  <c r="A305" i="2"/>
  <c r="F305" i="2"/>
  <c r="G305" i="2" s="1"/>
  <c r="H305" i="2" s="1"/>
  <c r="I305" i="2" s="1"/>
  <c r="J305" i="2" s="1"/>
  <c r="K305" i="2" s="1"/>
  <c r="L305" i="2" s="1"/>
  <c r="M305" i="2" s="1"/>
  <c r="N305" i="2" s="1"/>
  <c r="O305" i="2" s="1"/>
  <c r="P305" i="2" s="1"/>
  <c r="Q305" i="2" s="1"/>
  <c r="R305" i="2" s="1"/>
  <c r="S305" i="2" s="1"/>
  <c r="T305" i="2" s="1"/>
  <c r="U305" i="2" s="1"/>
  <c r="V305" i="2" s="1"/>
  <c r="W305" i="2" s="1"/>
  <c r="A306" i="2"/>
  <c r="F306" i="2"/>
  <c r="G306" i="2" s="1"/>
  <c r="H306" i="2" s="1"/>
  <c r="I306" i="2" s="1"/>
  <c r="J306" i="2" s="1"/>
  <c r="K306" i="2" s="1"/>
  <c r="L306" i="2" s="1"/>
  <c r="M306" i="2" s="1"/>
  <c r="N306" i="2" s="1"/>
  <c r="O306" i="2" s="1"/>
  <c r="P306" i="2" s="1"/>
  <c r="Q306" i="2" s="1"/>
  <c r="R306" i="2" s="1"/>
  <c r="S306" i="2" s="1"/>
  <c r="T306" i="2" s="1"/>
  <c r="U306" i="2" s="1"/>
  <c r="V306" i="2" s="1"/>
  <c r="W306" i="2" s="1"/>
  <c r="A307" i="2"/>
  <c r="F307" i="2"/>
  <c r="G307" i="2" s="1"/>
  <c r="H307" i="2" s="1"/>
  <c r="I307" i="2" s="1"/>
  <c r="J307" i="2" s="1"/>
  <c r="K307" i="2"/>
  <c r="L307" i="2" s="1"/>
  <c r="M307" i="2" s="1"/>
  <c r="N307" i="2" s="1"/>
  <c r="O307" i="2" s="1"/>
  <c r="P307" i="2" s="1"/>
  <c r="Q307" i="2"/>
  <c r="R307" i="2" s="1"/>
  <c r="S307" i="2" s="1"/>
  <c r="T307" i="2" s="1"/>
  <c r="U307" i="2" s="1"/>
  <c r="V307" i="2" s="1"/>
  <c r="W307" i="2" s="1"/>
  <c r="A308" i="2"/>
  <c r="F308" i="2"/>
  <c r="G308" i="2"/>
  <c r="H308" i="2" s="1"/>
  <c r="I308" i="2" s="1"/>
  <c r="J308" i="2" s="1"/>
  <c r="K308" i="2" s="1"/>
  <c r="L308" i="2" s="1"/>
  <c r="M308" i="2" s="1"/>
  <c r="N308" i="2" s="1"/>
  <c r="O308" i="2" s="1"/>
  <c r="P308" i="2" s="1"/>
  <c r="Q308" i="2" s="1"/>
  <c r="R308" i="2" s="1"/>
  <c r="S308" i="2" s="1"/>
  <c r="T308" i="2" s="1"/>
  <c r="U308" i="2" s="1"/>
  <c r="V308" i="2" s="1"/>
  <c r="W308" i="2" s="1"/>
  <c r="A310" i="2"/>
  <c r="A311" i="2"/>
  <c r="F312" i="2"/>
  <c r="G312" i="2"/>
  <c r="H312" i="2"/>
  <c r="A313" i="2"/>
  <c r="B313" i="2"/>
  <c r="C313" i="2"/>
  <c r="F313" i="2"/>
  <c r="G313" i="2"/>
  <c r="H313" i="2"/>
  <c r="B314" i="2"/>
  <c r="C314" i="2"/>
  <c r="F314" i="2"/>
  <c r="G314" i="2"/>
  <c r="H314" i="2"/>
  <c r="A316" i="2"/>
  <c r="A317" i="2"/>
  <c r="A319" i="2"/>
  <c r="B319" i="2"/>
  <c r="C319" i="2"/>
  <c r="F319" i="2"/>
  <c r="G319" i="2" s="1"/>
  <c r="H319" i="2" s="1"/>
  <c r="I319" i="2" s="1"/>
  <c r="J319" i="2" s="1"/>
  <c r="K319" i="2" s="1"/>
  <c r="L319" i="2" s="1"/>
  <c r="M319" i="2" s="1"/>
  <c r="N319" i="2" s="1"/>
  <c r="O319" i="2" s="1"/>
  <c r="P319" i="2" s="1"/>
  <c r="Q319" i="2" s="1"/>
  <c r="R319" i="2" s="1"/>
  <c r="S319" i="2" s="1"/>
  <c r="T319" i="2" s="1"/>
  <c r="U319" i="2" s="1"/>
  <c r="V319" i="2" s="1"/>
  <c r="W319" i="2" s="1"/>
  <c r="C320" i="2"/>
  <c r="F320" i="2"/>
  <c r="G320" i="2"/>
  <c r="H320" i="2" s="1"/>
  <c r="I320" i="2" s="1"/>
  <c r="J320" i="2" s="1"/>
  <c r="K320" i="2" s="1"/>
  <c r="L320" i="2" s="1"/>
  <c r="M320" i="2" s="1"/>
  <c r="N320" i="2" s="1"/>
  <c r="O320" i="2" s="1"/>
  <c r="P320" i="2" s="1"/>
  <c r="Q320" i="2" s="1"/>
  <c r="R320" i="2" s="1"/>
  <c r="S320" i="2" s="1"/>
  <c r="T320" i="2" s="1"/>
  <c r="U320" i="2" s="1"/>
  <c r="V320" i="2" s="1"/>
  <c r="W320" i="2" s="1"/>
  <c r="C321" i="2"/>
  <c r="F321" i="2"/>
  <c r="G321" i="2"/>
  <c r="H321" i="2"/>
  <c r="I321" i="2" s="1"/>
  <c r="J321" i="2" s="1"/>
  <c r="K321" i="2" s="1"/>
  <c r="L321" i="2" s="1"/>
  <c r="M321" i="2" s="1"/>
  <c r="N321" i="2" s="1"/>
  <c r="O321" i="2" s="1"/>
  <c r="P321" i="2" s="1"/>
  <c r="Q321" i="2" s="1"/>
  <c r="R321" i="2" s="1"/>
  <c r="S321" i="2" s="1"/>
  <c r="T321" i="2" s="1"/>
  <c r="U321" i="2" s="1"/>
  <c r="V321" i="2" s="1"/>
  <c r="W321" i="2" s="1"/>
  <c r="B322" i="2"/>
  <c r="C322" i="2"/>
  <c r="F322" i="2"/>
  <c r="G322" i="2"/>
  <c r="H322" i="2" s="1"/>
  <c r="I322" i="2" s="1"/>
  <c r="J322" i="2" s="1"/>
  <c r="K322" i="2" s="1"/>
  <c r="L322" i="2" s="1"/>
  <c r="M322" i="2" s="1"/>
  <c r="N322" i="2" s="1"/>
  <c r="O322" i="2" s="1"/>
  <c r="P322" i="2" s="1"/>
  <c r="Q322" i="2" s="1"/>
  <c r="R322" i="2" s="1"/>
  <c r="S322" i="2" s="1"/>
  <c r="T322" i="2" s="1"/>
  <c r="U322" i="2" s="1"/>
  <c r="V322" i="2" s="1"/>
  <c r="W322" i="2" s="1"/>
  <c r="C323" i="2"/>
  <c r="F323" i="2"/>
  <c r="G323" i="2" s="1"/>
  <c r="H323" i="2" s="1"/>
  <c r="I323" i="2" s="1"/>
  <c r="J323" i="2" s="1"/>
  <c r="K323" i="2" s="1"/>
  <c r="L323" i="2" s="1"/>
  <c r="M323" i="2" s="1"/>
  <c r="N323" i="2" s="1"/>
  <c r="O323" i="2" s="1"/>
  <c r="P323" i="2" s="1"/>
  <c r="Q323" i="2" s="1"/>
  <c r="R323" i="2" s="1"/>
  <c r="S323" i="2" s="1"/>
  <c r="T323" i="2" s="1"/>
  <c r="U323" i="2" s="1"/>
  <c r="V323" i="2" s="1"/>
  <c r="W323" i="2" s="1"/>
  <c r="C324" i="2"/>
  <c r="F324" i="2"/>
  <c r="G324" i="2" s="1"/>
  <c r="H324" i="2" s="1"/>
  <c r="I324" i="2" s="1"/>
  <c r="J324" i="2" s="1"/>
  <c r="K324" i="2" s="1"/>
  <c r="L324" i="2" s="1"/>
  <c r="M324" i="2" s="1"/>
  <c r="N324" i="2" s="1"/>
  <c r="O324" i="2" s="1"/>
  <c r="P324" i="2" s="1"/>
  <c r="Q324" i="2" s="1"/>
  <c r="R324" i="2" s="1"/>
  <c r="S324" i="2" s="1"/>
  <c r="T324" i="2" s="1"/>
  <c r="U324" i="2" s="1"/>
  <c r="V324" i="2" s="1"/>
  <c r="W324" i="2" s="1"/>
  <c r="A326" i="2"/>
  <c r="B326" i="2"/>
  <c r="C326" i="2"/>
  <c r="F326" i="2"/>
  <c r="G326" i="2" s="1"/>
  <c r="H326" i="2" s="1"/>
  <c r="I326" i="2"/>
  <c r="J326" i="2" s="1"/>
  <c r="K326" i="2" s="1"/>
  <c r="L326" i="2" s="1"/>
  <c r="M326" i="2" s="1"/>
  <c r="N326" i="2" s="1"/>
  <c r="O326" i="2" s="1"/>
  <c r="P326" i="2" s="1"/>
  <c r="Q326" i="2" s="1"/>
  <c r="R326" i="2" s="1"/>
  <c r="S326" i="2" s="1"/>
  <c r="T326" i="2" s="1"/>
  <c r="U326" i="2" s="1"/>
  <c r="V326" i="2" s="1"/>
  <c r="W326" i="2" s="1"/>
  <c r="C327" i="2"/>
  <c r="F327" i="2"/>
  <c r="G327" i="2" s="1"/>
  <c r="H327" i="2" s="1"/>
  <c r="I327" i="2" s="1"/>
  <c r="J327" i="2" s="1"/>
  <c r="K327" i="2" s="1"/>
  <c r="L327" i="2" s="1"/>
  <c r="M327" i="2" s="1"/>
  <c r="N327" i="2" s="1"/>
  <c r="O327" i="2" s="1"/>
  <c r="P327" i="2" s="1"/>
  <c r="Q327" i="2" s="1"/>
  <c r="R327" i="2" s="1"/>
  <c r="S327" i="2" s="1"/>
  <c r="T327" i="2" s="1"/>
  <c r="U327" i="2" s="1"/>
  <c r="V327" i="2" s="1"/>
  <c r="W327" i="2" s="1"/>
  <c r="C328" i="2"/>
  <c r="F328" i="2"/>
  <c r="G328" i="2" s="1"/>
  <c r="H328" i="2" s="1"/>
  <c r="I328" i="2" s="1"/>
  <c r="J328" i="2" s="1"/>
  <c r="K328" i="2" s="1"/>
  <c r="L328" i="2" s="1"/>
  <c r="M328" i="2" s="1"/>
  <c r="N328" i="2" s="1"/>
  <c r="O328" i="2" s="1"/>
  <c r="P328" i="2" s="1"/>
  <c r="Q328" i="2" s="1"/>
  <c r="R328" i="2" s="1"/>
  <c r="S328" i="2" s="1"/>
  <c r="T328" i="2" s="1"/>
  <c r="U328" i="2" s="1"/>
  <c r="V328" i="2" s="1"/>
  <c r="W328" i="2" s="1"/>
  <c r="B329" i="2"/>
  <c r="C329" i="2"/>
  <c r="F329" i="2"/>
  <c r="G329" i="2" s="1"/>
  <c r="H329" i="2" s="1"/>
  <c r="I329" i="2" s="1"/>
  <c r="J329" i="2" s="1"/>
  <c r="K329" i="2" s="1"/>
  <c r="L329" i="2" s="1"/>
  <c r="M329" i="2" s="1"/>
  <c r="N329" i="2" s="1"/>
  <c r="O329" i="2" s="1"/>
  <c r="P329" i="2" s="1"/>
  <c r="Q329" i="2" s="1"/>
  <c r="R329" i="2" s="1"/>
  <c r="S329" i="2" s="1"/>
  <c r="T329" i="2" s="1"/>
  <c r="U329" i="2" s="1"/>
  <c r="V329" i="2" s="1"/>
  <c r="W329" i="2" s="1"/>
  <c r="C330" i="2"/>
  <c r="F330" i="2"/>
  <c r="G330" i="2" s="1"/>
  <c r="H330" i="2" s="1"/>
  <c r="I330" i="2" s="1"/>
  <c r="J330" i="2" s="1"/>
  <c r="K330" i="2" s="1"/>
  <c r="L330" i="2" s="1"/>
  <c r="M330" i="2" s="1"/>
  <c r="N330" i="2" s="1"/>
  <c r="O330" i="2" s="1"/>
  <c r="P330" i="2" s="1"/>
  <c r="Q330" i="2" s="1"/>
  <c r="R330" i="2" s="1"/>
  <c r="S330" i="2" s="1"/>
  <c r="T330" i="2" s="1"/>
  <c r="U330" i="2" s="1"/>
  <c r="V330" i="2" s="1"/>
  <c r="W330" i="2" s="1"/>
  <c r="C331" i="2"/>
  <c r="F331" i="2"/>
  <c r="G331" i="2" s="1"/>
  <c r="H331" i="2" s="1"/>
  <c r="I331" i="2" s="1"/>
  <c r="J331" i="2" s="1"/>
  <c r="K331" i="2" s="1"/>
  <c r="L331" i="2" s="1"/>
  <c r="M331" i="2" s="1"/>
  <c r="N331" i="2" s="1"/>
  <c r="O331" i="2" s="1"/>
  <c r="P331" i="2" s="1"/>
  <c r="Q331" i="2" s="1"/>
  <c r="R331" i="2" s="1"/>
  <c r="S331" i="2" s="1"/>
  <c r="T331" i="2" s="1"/>
  <c r="U331" i="2" s="1"/>
  <c r="V331" i="2" s="1"/>
  <c r="W331" i="2" s="1"/>
  <c r="A335" i="2"/>
  <c r="A336" i="2"/>
  <c r="A337" i="2"/>
  <c r="A339" i="2"/>
  <c r="F339" i="2"/>
  <c r="G339" i="2" s="1"/>
  <c r="H339" i="2" s="1"/>
  <c r="I339" i="2"/>
  <c r="J339" i="2" s="1"/>
  <c r="K339" i="2" s="1"/>
  <c r="L339" i="2" s="1"/>
  <c r="M339" i="2"/>
  <c r="N339" i="2" s="1"/>
  <c r="O339" i="2" s="1"/>
  <c r="P339" i="2" s="1"/>
  <c r="Q339" i="2" s="1"/>
  <c r="R339" i="2" s="1"/>
  <c r="S339" i="2" s="1"/>
  <c r="T339" i="2" s="1"/>
  <c r="U339" i="2" s="1"/>
  <c r="V339" i="2" s="1"/>
  <c r="W339" i="2" s="1"/>
  <c r="A340" i="2"/>
  <c r="F340" i="2"/>
  <c r="G340" i="2" s="1"/>
  <c r="H340" i="2" s="1"/>
  <c r="I340" i="2" s="1"/>
  <c r="J340" i="2" s="1"/>
  <c r="K340" i="2" s="1"/>
  <c r="L340" i="2" s="1"/>
  <c r="M340" i="2" s="1"/>
  <c r="N340" i="2" s="1"/>
  <c r="O340" i="2" s="1"/>
  <c r="P340" i="2" s="1"/>
  <c r="Q340" i="2" s="1"/>
  <c r="R340" i="2" s="1"/>
  <c r="S340" i="2" s="1"/>
  <c r="T340" i="2" s="1"/>
  <c r="U340" i="2" s="1"/>
  <c r="V340" i="2" s="1"/>
  <c r="W340" i="2" s="1"/>
  <c r="A341" i="2"/>
  <c r="F341" i="2"/>
  <c r="G341" i="2" s="1"/>
  <c r="H341" i="2" s="1"/>
  <c r="I341" i="2" s="1"/>
  <c r="J341" i="2" s="1"/>
  <c r="K341" i="2" s="1"/>
  <c r="L341" i="2" s="1"/>
  <c r="M341" i="2" s="1"/>
  <c r="N341" i="2" s="1"/>
  <c r="O341" i="2" s="1"/>
  <c r="P341" i="2" s="1"/>
  <c r="Q341" i="2" s="1"/>
  <c r="R341" i="2" s="1"/>
  <c r="S341" i="2" s="1"/>
  <c r="T341" i="2" s="1"/>
  <c r="U341" i="2" s="1"/>
  <c r="V341" i="2" s="1"/>
  <c r="W341" i="2" s="1"/>
  <c r="A342" i="2"/>
  <c r="F342" i="2"/>
  <c r="G342" i="2" s="1"/>
  <c r="H342" i="2" s="1"/>
  <c r="I342" i="2" s="1"/>
  <c r="J342" i="2" s="1"/>
  <c r="K342" i="2" s="1"/>
  <c r="L342" i="2" s="1"/>
  <c r="M342" i="2" s="1"/>
  <c r="N342" i="2" s="1"/>
  <c r="O342" i="2" s="1"/>
  <c r="P342" i="2" s="1"/>
  <c r="Q342" i="2" s="1"/>
  <c r="R342" i="2" s="1"/>
  <c r="S342" i="2" s="1"/>
  <c r="T342" i="2" s="1"/>
  <c r="U342" i="2" s="1"/>
  <c r="V342" i="2" s="1"/>
  <c r="W342" i="2" s="1"/>
  <c r="A344" i="2"/>
  <c r="A345" i="2"/>
  <c r="F345" i="2"/>
  <c r="G345" i="2"/>
  <c r="H345" i="2"/>
  <c r="I345" i="2" s="1"/>
  <c r="J345" i="2" s="1"/>
  <c r="K345" i="2" s="1"/>
  <c r="L345" i="2" s="1"/>
  <c r="A347" i="2"/>
  <c r="A348" i="2"/>
  <c r="F348" i="2"/>
  <c r="G348" i="2" s="1"/>
  <c r="H348" i="2" s="1"/>
  <c r="I348" i="2" s="1"/>
  <c r="J348" i="2" s="1"/>
  <c r="K348" i="2" s="1"/>
  <c r="L348" i="2" s="1"/>
  <c r="M348" i="2" s="1"/>
  <c r="N348" i="2" s="1"/>
  <c r="O348" i="2" s="1"/>
  <c r="P348" i="2" s="1"/>
  <c r="Q348" i="2" s="1"/>
  <c r="R348" i="2" s="1"/>
  <c r="S348" i="2" s="1"/>
  <c r="T348" i="2" s="1"/>
  <c r="U348" i="2" s="1"/>
  <c r="V348" i="2" s="1"/>
  <c r="W348" i="2" s="1"/>
  <c r="A352" i="2"/>
  <c r="A353" i="2"/>
  <c r="A354" i="2"/>
  <c r="A355" i="2"/>
  <c r="A356" i="2"/>
  <c r="A357" i="2"/>
  <c r="A360" i="2"/>
  <c r="F360" i="2"/>
  <c r="G360" i="2" s="1"/>
  <c r="H360" i="2" s="1"/>
  <c r="I360" i="2"/>
  <c r="J360" i="2" s="1"/>
  <c r="K360" i="2" s="1"/>
  <c r="L360" i="2" s="1"/>
  <c r="M360" i="2" s="1"/>
  <c r="N360" i="2" s="1"/>
  <c r="O360" i="2" s="1"/>
  <c r="P360" i="2" s="1"/>
  <c r="Q360" i="2" s="1"/>
  <c r="R360" i="2" s="1"/>
  <c r="S360" i="2" s="1"/>
  <c r="T360" i="2" s="1"/>
  <c r="U360" i="2" s="1"/>
  <c r="V360" i="2" s="1"/>
  <c r="W360" i="2" s="1"/>
  <c r="A362" i="2"/>
  <c r="A363" i="2"/>
  <c r="A364" i="2"/>
  <c r="A366" i="2"/>
  <c r="F366" i="2"/>
  <c r="G366" i="2" s="1"/>
  <c r="H366" i="2" s="1"/>
  <c r="I366" i="2"/>
  <c r="J366" i="2" s="1"/>
  <c r="K366" i="2" s="1"/>
  <c r="L366" i="2" s="1"/>
  <c r="M366" i="2" s="1"/>
  <c r="N366" i="2" s="1"/>
  <c r="O366" i="2" s="1"/>
  <c r="P366" i="2" s="1"/>
  <c r="Q366" i="2" s="1"/>
  <c r="R366" i="2" s="1"/>
  <c r="S366" i="2" s="1"/>
  <c r="T366" i="2" s="1"/>
  <c r="U366" i="2" s="1"/>
  <c r="V366" i="2" s="1"/>
  <c r="W366" i="2" s="1"/>
  <c r="A369" i="2"/>
  <c r="A370" i="2"/>
  <c r="A371" i="2"/>
  <c r="F372" i="2"/>
  <c r="G372" i="2"/>
  <c r="H372" i="2"/>
  <c r="I372" i="2"/>
  <c r="J372" i="2"/>
  <c r="K372" i="2"/>
  <c r="L372" i="2"/>
  <c r="A373" i="2"/>
  <c r="F373" i="2"/>
  <c r="H373" i="2"/>
  <c r="I373" i="2"/>
  <c r="J373" i="2"/>
  <c r="K373" i="2"/>
  <c r="L373" i="2"/>
  <c r="A374" i="2"/>
  <c r="F374" i="2"/>
  <c r="H374" i="2"/>
  <c r="I374" i="2"/>
  <c r="J374" i="2"/>
  <c r="K374" i="2"/>
  <c r="L374" i="2"/>
  <c r="A376" i="2"/>
  <c r="A377" i="2"/>
  <c r="F378" i="2"/>
  <c r="G378" i="2"/>
  <c r="A379" i="2"/>
  <c r="F379" i="2"/>
  <c r="A380" i="2"/>
  <c r="F380" i="2"/>
  <c r="F382" i="2"/>
  <c r="G382" i="2"/>
  <c r="A383" i="2"/>
  <c r="B383" i="2"/>
  <c r="F383" i="2"/>
  <c r="G383" i="2"/>
  <c r="B384" i="2"/>
  <c r="F384" i="2"/>
  <c r="G384" i="2"/>
  <c r="B385" i="2"/>
  <c r="F385" i="2"/>
  <c r="G385" i="2"/>
  <c r="B386" i="2"/>
  <c r="F386" i="2"/>
  <c r="G386" i="2"/>
  <c r="B387" i="2"/>
  <c r="F387" i="2"/>
  <c r="G387" i="2"/>
  <c r="A390" i="2"/>
  <c r="A391" i="2"/>
  <c r="B391" i="2"/>
  <c r="F391" i="2"/>
  <c r="H391" i="2"/>
  <c r="I391" i="2"/>
  <c r="J391" i="2"/>
  <c r="B392" i="2"/>
  <c r="F392" i="2"/>
  <c r="I392" i="2"/>
  <c r="J392" i="2"/>
  <c r="A395" i="2"/>
  <c r="B395" i="2"/>
  <c r="F395" i="2"/>
  <c r="G395" i="2" s="1"/>
  <c r="H395" i="2" s="1"/>
  <c r="I395" i="2" s="1"/>
  <c r="J395" i="2" s="1"/>
  <c r="K395" i="2" s="1"/>
  <c r="L395" i="2" s="1"/>
  <c r="M395" i="2" s="1"/>
  <c r="N395" i="2" s="1"/>
  <c r="O395" i="2" s="1"/>
  <c r="P395" i="2" s="1"/>
  <c r="Q395" i="2" s="1"/>
  <c r="R395" i="2" s="1"/>
  <c r="S395" i="2" s="1"/>
  <c r="T395" i="2" s="1"/>
  <c r="U395" i="2" s="1"/>
  <c r="V395" i="2" s="1"/>
  <c r="W395" i="2" s="1"/>
  <c r="B396" i="2"/>
  <c r="F396" i="2"/>
  <c r="G396" i="2"/>
  <c r="H396" i="2" s="1"/>
  <c r="I396" i="2" s="1"/>
  <c r="J396" i="2" s="1"/>
  <c r="K396" i="2" s="1"/>
  <c r="L396" i="2" s="1"/>
  <c r="M396" i="2" s="1"/>
  <c r="N396" i="2" s="1"/>
  <c r="O396" i="2" s="1"/>
  <c r="P396" i="2" s="1"/>
  <c r="Q396" i="2" s="1"/>
  <c r="R396" i="2" s="1"/>
  <c r="S396" i="2" s="1"/>
  <c r="T396" i="2" s="1"/>
  <c r="U396" i="2" s="1"/>
  <c r="V396" i="2" s="1"/>
  <c r="W396" i="2" s="1"/>
  <c r="A402" i="2"/>
  <c r="A403" i="2"/>
  <c r="A404" i="2"/>
  <c r="A405" i="2"/>
  <c r="A406" i="2"/>
  <c r="B406" i="2"/>
  <c r="F406" i="2"/>
  <c r="B407" i="2"/>
  <c r="F407" i="2"/>
  <c r="B408" i="2"/>
  <c r="F408" i="2"/>
  <c r="A410" i="2"/>
  <c r="B410" i="2"/>
  <c r="G410" i="2"/>
  <c r="H410" i="2" s="1"/>
  <c r="I410" i="2" s="1"/>
  <c r="J410" i="2" s="1"/>
  <c r="K410" i="2" s="1"/>
  <c r="L410" i="2" s="1"/>
  <c r="M410" i="2" s="1"/>
  <c r="N410" i="2" s="1"/>
  <c r="O410" i="2" s="1"/>
  <c r="P410" i="2" s="1"/>
  <c r="Q410" i="2" s="1"/>
  <c r="R410" i="2" s="1"/>
  <c r="S410" i="2" s="1"/>
  <c r="T410" i="2" s="1"/>
  <c r="U410" i="2" s="1"/>
  <c r="V410" i="2" s="1"/>
  <c r="W410" i="2" s="1"/>
  <c r="X410" i="2" s="1"/>
  <c r="B411" i="2"/>
  <c r="G411" i="2"/>
  <c r="H411" i="2"/>
  <c r="I411" i="2" s="1"/>
  <c r="J411" i="2" s="1"/>
  <c r="K411" i="2" s="1"/>
  <c r="L411" i="2" s="1"/>
  <c r="M411" i="2" s="1"/>
  <c r="N411" i="2" s="1"/>
  <c r="O411" i="2" s="1"/>
  <c r="P411" i="2" s="1"/>
  <c r="Q411" i="2" s="1"/>
  <c r="R411" i="2" s="1"/>
  <c r="S411" i="2" s="1"/>
  <c r="T411" i="2" s="1"/>
  <c r="U411" i="2" s="1"/>
  <c r="V411" i="2" s="1"/>
  <c r="W411" i="2" s="1"/>
  <c r="X411" i="2" s="1"/>
  <c r="B412" i="2"/>
  <c r="G412" i="2"/>
  <c r="H412" i="2"/>
  <c r="I412" i="2"/>
  <c r="J412" i="2" s="1"/>
  <c r="K412" i="2" s="1"/>
  <c r="L412" i="2" s="1"/>
  <c r="M412" i="2" s="1"/>
  <c r="N412" i="2" s="1"/>
  <c r="O412" i="2" s="1"/>
  <c r="P412" i="2" s="1"/>
  <c r="Q412" i="2" s="1"/>
  <c r="R412" i="2" s="1"/>
  <c r="S412" i="2" s="1"/>
  <c r="T412" i="2" s="1"/>
  <c r="U412" i="2" s="1"/>
  <c r="V412" i="2" s="1"/>
  <c r="W412" i="2" s="1"/>
  <c r="X412" i="2" s="1"/>
  <c r="A414" i="2"/>
  <c r="F414" i="2"/>
  <c r="A415" i="2"/>
  <c r="A418" i="2"/>
  <c r="A419" i="2"/>
  <c r="A421" i="2"/>
  <c r="F421" i="2"/>
  <c r="G421" i="2"/>
  <c r="A426" i="2"/>
  <c r="A427" i="2"/>
  <c r="A428" i="2"/>
  <c r="A430" i="2"/>
  <c r="F430" i="2"/>
  <c r="G430" i="2"/>
  <c r="H430" i="2"/>
  <c r="C15" i="5" s="1"/>
  <c r="E15" i="5" s="1"/>
  <c r="I430" i="2"/>
  <c r="J430" i="2"/>
  <c r="K430" i="2"/>
  <c r="L430" i="2"/>
  <c r="H15" i="5" s="1"/>
  <c r="M430" i="2"/>
  <c r="N430" i="2"/>
  <c r="O430" i="2"/>
  <c r="P430" i="2"/>
  <c r="N15" i="5" s="1"/>
  <c r="Q430" i="2"/>
  <c r="R430" i="2"/>
  <c r="S430" i="2"/>
  <c r="T430" i="2"/>
  <c r="S15" i="5" s="1"/>
  <c r="U430" i="2"/>
  <c r="V430" i="2"/>
  <c r="W430" i="2"/>
  <c r="X430" i="2"/>
  <c r="X15" i="5" s="1"/>
  <c r="A432" i="2"/>
  <c r="G432" i="2"/>
  <c r="H432" i="2"/>
  <c r="I432" i="2"/>
  <c r="J432" i="2"/>
  <c r="K432" i="2"/>
  <c r="L432" i="2"/>
  <c r="M432" i="2"/>
  <c r="N432" i="2"/>
  <c r="K29" i="3" s="1"/>
  <c r="O432" i="2"/>
  <c r="P432" i="2"/>
  <c r="Q432" i="2"/>
  <c r="R432" i="2"/>
  <c r="S432" i="2"/>
  <c r="T432" i="2"/>
  <c r="U432" i="2"/>
  <c r="V432" i="2"/>
  <c r="W432" i="2"/>
  <c r="X432" i="2"/>
  <c r="A436" i="2"/>
  <c r="A437" i="2"/>
  <c r="A439" i="2"/>
  <c r="F439" i="2"/>
  <c r="G439" i="2" s="1"/>
  <c r="H439" i="2" s="1"/>
  <c r="I439" i="2" s="1"/>
  <c r="J439" i="2" s="1"/>
  <c r="K439" i="2" s="1"/>
  <c r="L439" i="2" s="1"/>
  <c r="M439" i="2" s="1"/>
  <c r="N439" i="2" s="1"/>
  <c r="O439" i="2" s="1"/>
  <c r="P439" i="2" s="1"/>
  <c r="Q439" i="2" s="1"/>
  <c r="R439" i="2" s="1"/>
  <c r="S439" i="2" s="1"/>
  <c r="T439" i="2" s="1"/>
  <c r="U439" i="2" s="1"/>
  <c r="V439" i="2"/>
  <c r="W439" i="2" s="1"/>
  <c r="A440" i="2"/>
  <c r="A441" i="2"/>
  <c r="A443" i="2"/>
  <c r="A444" i="2"/>
  <c r="A1" i="3"/>
  <c r="A3" i="3"/>
  <c r="A4" i="3"/>
  <c r="A6" i="3"/>
  <c r="A7" i="3"/>
  <c r="A9" i="3"/>
  <c r="A10" i="3"/>
  <c r="A11" i="3"/>
  <c r="A12" i="3"/>
  <c r="A13" i="3"/>
  <c r="A14" i="3"/>
  <c r="A16" i="3"/>
  <c r="A17" i="3"/>
  <c r="A19" i="3"/>
  <c r="A20" i="3"/>
  <c r="A21" i="3"/>
  <c r="A23" i="3"/>
  <c r="A24" i="3"/>
  <c r="A25" i="3"/>
  <c r="A26" i="3"/>
  <c r="A27" i="3"/>
  <c r="A29" i="3"/>
  <c r="B29" i="3"/>
  <c r="C29" i="3"/>
  <c r="F29" i="3"/>
  <c r="G29" i="3"/>
  <c r="H29" i="3"/>
  <c r="I29" i="3" s="1"/>
  <c r="L29" i="3"/>
  <c r="N29" i="3"/>
  <c r="P29" i="3"/>
  <c r="R29" i="3"/>
  <c r="S29" i="3"/>
  <c r="V29" i="3"/>
  <c r="Y29" i="3" s="1"/>
  <c r="W29" i="3"/>
  <c r="X29" i="3"/>
  <c r="A1" i="4"/>
  <c r="A3" i="4"/>
  <c r="A4" i="4"/>
  <c r="A6" i="4"/>
  <c r="A7" i="4"/>
  <c r="A8" i="4"/>
  <c r="A9" i="4"/>
  <c r="A10" i="4"/>
  <c r="B10" i="4"/>
  <c r="C10" i="4"/>
  <c r="D10" i="4"/>
  <c r="E10" i="4"/>
  <c r="F10" i="4" s="1"/>
  <c r="G10" i="4"/>
  <c r="H10" i="4"/>
  <c r="I10" i="4"/>
  <c r="J10" i="4" s="1"/>
  <c r="K10" i="4"/>
  <c r="L10" i="4"/>
  <c r="M10" i="4"/>
  <c r="N10" i="4" s="1"/>
  <c r="O10" i="4"/>
  <c r="P10" i="4"/>
  <c r="Q10" i="4"/>
  <c r="R10" i="4" s="1"/>
  <c r="S10" i="4"/>
  <c r="T10" i="4"/>
  <c r="U10" i="4"/>
  <c r="V10" i="4" s="1"/>
  <c r="W10" i="4"/>
  <c r="X10" i="4"/>
  <c r="Y10" i="4"/>
  <c r="Z10" i="4" s="1"/>
  <c r="A11" i="4"/>
  <c r="A12" i="4"/>
  <c r="A13" i="4"/>
  <c r="A15" i="4"/>
  <c r="A16" i="4"/>
  <c r="A17" i="4"/>
  <c r="A18" i="4"/>
  <c r="B18" i="4"/>
  <c r="A19" i="4"/>
  <c r="A20" i="4"/>
  <c r="A21" i="4"/>
  <c r="B21" i="4"/>
  <c r="A22" i="4"/>
  <c r="B22" i="4"/>
  <c r="B23" i="4" s="1"/>
  <c r="C22" i="4"/>
  <c r="D22" i="4"/>
  <c r="E22" i="4"/>
  <c r="F22" i="4" s="1"/>
  <c r="G22" i="4"/>
  <c r="H22" i="4"/>
  <c r="I22" i="4"/>
  <c r="J22" i="4" s="1"/>
  <c r="K22" i="4"/>
  <c r="L22" i="4"/>
  <c r="M22" i="4"/>
  <c r="N22" i="4"/>
  <c r="O22" i="4"/>
  <c r="P22" i="4"/>
  <c r="Q22" i="4"/>
  <c r="R22" i="4"/>
  <c r="S22" i="4"/>
  <c r="T22" i="4"/>
  <c r="U22" i="4"/>
  <c r="V22" i="4"/>
  <c r="W22" i="4"/>
  <c r="X22" i="4"/>
  <c r="Y22" i="4"/>
  <c r="Z22" i="4"/>
  <c r="A23" i="4"/>
  <c r="A24" i="4"/>
  <c r="A26" i="4"/>
  <c r="A27" i="4"/>
  <c r="A28" i="4"/>
  <c r="A29" i="4"/>
  <c r="A31" i="4"/>
  <c r="A33" i="4"/>
  <c r="A1" i="5"/>
  <c r="A3" i="5"/>
  <c r="A4" i="5"/>
  <c r="A6" i="5"/>
  <c r="A8" i="5"/>
  <c r="A9" i="5"/>
  <c r="A10" i="5"/>
  <c r="A11" i="5"/>
  <c r="A12" i="5"/>
  <c r="A13" i="5"/>
  <c r="A14" i="5"/>
  <c r="A15" i="5"/>
  <c r="B15" i="5"/>
  <c r="D15" i="5"/>
  <c r="F15" i="5"/>
  <c r="G15" i="5"/>
  <c r="J15" i="5"/>
  <c r="M15" i="5" s="1"/>
  <c r="K15" i="5"/>
  <c r="L15" i="5"/>
  <c r="O15" i="5"/>
  <c r="P15" i="5"/>
  <c r="R15" i="5"/>
  <c r="T15" i="5"/>
  <c r="V15" i="5"/>
  <c r="Y15" i="5" s="1"/>
  <c r="W15" i="5"/>
  <c r="A16" i="5"/>
  <c r="A18" i="5"/>
  <c r="A19" i="5"/>
  <c r="A20" i="5"/>
  <c r="A21" i="5"/>
  <c r="A22" i="5"/>
  <c r="A23" i="5"/>
  <c r="B23" i="5"/>
  <c r="C23" i="5"/>
  <c r="F23" i="5"/>
  <c r="G23" i="5"/>
  <c r="H23" i="5"/>
  <c r="K23" i="5"/>
  <c r="L23" i="5"/>
  <c r="N23" i="5"/>
  <c r="P23" i="5"/>
  <c r="R23" i="5"/>
  <c r="S23" i="5"/>
  <c r="V23" i="5"/>
  <c r="W23" i="5"/>
  <c r="X23" i="5"/>
  <c r="A24" i="5"/>
  <c r="A26" i="5"/>
  <c r="A28" i="5"/>
  <c r="A29" i="5"/>
  <c r="A31" i="5"/>
  <c r="A33" i="5"/>
  <c r="A1" i="6"/>
  <c r="A3" i="6"/>
  <c r="A4" i="6"/>
  <c r="A5" i="6"/>
  <c r="A7" i="6"/>
  <c r="A8" i="6"/>
  <c r="A9" i="6"/>
  <c r="A10" i="6"/>
  <c r="A11" i="6"/>
  <c r="A12" i="6"/>
  <c r="A13" i="6"/>
  <c r="A14" i="6"/>
  <c r="A15" i="6"/>
  <c r="A16" i="6"/>
  <c r="A17" i="6"/>
  <c r="A18" i="6"/>
  <c r="A19" i="6"/>
  <c r="A20" i="6"/>
  <c r="A21" i="6"/>
  <c r="A22" i="6"/>
  <c r="A23" i="6"/>
  <c r="A24" i="6"/>
  <c r="A25" i="6"/>
  <c r="A26" i="6"/>
  <c r="A27" i="6"/>
  <c r="A28" i="6"/>
  <c r="B28" i="6"/>
  <c r="C28" i="6"/>
  <c r="E28" i="6" s="1"/>
  <c r="D28" i="6"/>
  <c r="F28" i="6"/>
  <c r="G28" i="6"/>
  <c r="H28" i="6"/>
  <c r="J28" i="6"/>
  <c r="K28" i="6"/>
  <c r="M28" i="6" s="1"/>
  <c r="L28" i="6"/>
  <c r="N28" i="6"/>
  <c r="O28" i="6"/>
  <c r="A29" i="6"/>
  <c r="B29" i="6"/>
  <c r="C29" i="6"/>
  <c r="D29" i="6"/>
  <c r="F29" i="6"/>
  <c r="G29" i="6"/>
  <c r="H29" i="6"/>
  <c r="J29" i="6"/>
  <c r="K29" i="6"/>
  <c r="L29" i="6"/>
  <c r="N29" i="6"/>
  <c r="O29" i="6"/>
  <c r="A30" i="6"/>
  <c r="B30" i="6"/>
  <c r="C30" i="6"/>
  <c r="D30" i="6"/>
  <c r="E30" i="6"/>
  <c r="F30" i="6"/>
  <c r="G30" i="6"/>
  <c r="H30" i="6"/>
  <c r="I30" i="6"/>
  <c r="J30" i="6"/>
  <c r="K30" i="6"/>
  <c r="L30" i="6"/>
  <c r="M30" i="6"/>
  <c r="N30" i="6"/>
  <c r="O30" i="6"/>
  <c r="A31" i="6"/>
  <c r="B31" i="6"/>
  <c r="C31" i="6"/>
  <c r="D31" i="6"/>
  <c r="E31" i="6" s="1"/>
  <c r="F31" i="6"/>
  <c r="G31" i="6"/>
  <c r="H31" i="6"/>
  <c r="I31" i="6" s="1"/>
  <c r="J31" i="6"/>
  <c r="K31" i="6"/>
  <c r="L31" i="6"/>
  <c r="M31" i="6" s="1"/>
  <c r="N31" i="6"/>
  <c r="O31" i="6"/>
  <c r="A32" i="6"/>
  <c r="A33" i="6"/>
  <c r="B33" i="6"/>
  <c r="C33" i="6"/>
  <c r="D33" i="6"/>
  <c r="E33" i="6"/>
  <c r="F33" i="6"/>
  <c r="G33" i="6"/>
  <c r="H33" i="6"/>
  <c r="I33" i="6"/>
  <c r="J33" i="6"/>
  <c r="K33" i="6"/>
  <c r="L33" i="6"/>
  <c r="M33" i="6"/>
  <c r="N33" i="6"/>
  <c r="O33" i="6"/>
  <c r="A34" i="6"/>
  <c r="A35" i="6"/>
  <c r="A36" i="6"/>
  <c r="A1" i="7"/>
  <c r="A3" i="7"/>
  <c r="A4" i="7"/>
  <c r="A5" i="7"/>
  <c r="A6" i="7"/>
  <c r="A8" i="7"/>
  <c r="A9" i="7"/>
  <c r="A10" i="7"/>
  <c r="A11" i="7"/>
  <c r="A13" i="7"/>
  <c r="A14" i="7"/>
  <c r="A15" i="7"/>
  <c r="A16" i="7"/>
  <c r="A18" i="7"/>
  <c r="A19" i="7"/>
  <c r="A20" i="7"/>
  <c r="A21" i="7"/>
  <c r="A22" i="7"/>
  <c r="A23" i="7"/>
  <c r="A24" i="7"/>
  <c r="A25" i="7"/>
  <c r="A26" i="7"/>
  <c r="A28" i="7"/>
  <c r="A29" i="7"/>
  <c r="A31" i="7"/>
  <c r="A32" i="7"/>
  <c r="A33" i="7"/>
  <c r="A34" i="7"/>
  <c r="A36" i="7"/>
  <c r="A37" i="7"/>
  <c r="E37" i="7"/>
  <c r="A38" i="7"/>
  <c r="E38" i="7"/>
  <c r="A39" i="7"/>
  <c r="E39" i="7"/>
  <c r="A43" i="7"/>
  <c r="A44" i="7"/>
  <c r="A46" i="7"/>
  <c r="A47" i="7"/>
  <c r="A48" i="7"/>
  <c r="A49" i="7"/>
  <c r="A50" i="7"/>
  <c r="A51" i="7"/>
  <c r="A52" i="7"/>
  <c r="A53" i="7"/>
  <c r="A54" i="7"/>
  <c r="A55" i="7"/>
  <c r="A56" i="7"/>
  <c r="A57" i="7"/>
  <c r="A58" i="7"/>
  <c r="A60" i="7"/>
  <c r="A61" i="7"/>
  <c r="A62" i="7"/>
  <c r="A63" i="7"/>
  <c r="A64" i="7"/>
  <c r="A65" i="7"/>
  <c r="A66" i="7"/>
  <c r="A67" i="7"/>
  <c r="A68" i="7"/>
  <c r="A69" i="7"/>
  <c r="A70" i="7"/>
  <c r="A71" i="7"/>
  <c r="A72" i="7"/>
  <c r="A73" i="7"/>
  <c r="A74" i="7"/>
  <c r="A75" i="7"/>
  <c r="A76" i="7"/>
  <c r="A77" i="7"/>
  <c r="A78" i="7"/>
  <c r="A79" i="7"/>
  <c r="A80" i="7"/>
  <c r="A81" i="7"/>
  <c r="A82" i="7"/>
  <c r="A83" i="7"/>
  <c r="A84" i="7"/>
  <c r="A85" i="7"/>
  <c r="A86" i="7"/>
  <c r="A87" i="7"/>
  <c r="A88" i="7"/>
  <c r="A89" i="7"/>
  <c r="A90" i="7"/>
  <c r="A91" i="7"/>
  <c r="A92" i="7"/>
  <c r="A93" i="7"/>
  <c r="A94" i="7"/>
  <c r="A95" i="7"/>
  <c r="A96" i="7"/>
  <c r="A97" i="7"/>
  <c r="A98" i="7"/>
  <c r="A99" i="7"/>
  <c r="A100" i="7"/>
  <c r="A101" i="7"/>
  <c r="A102" i="7"/>
  <c r="A103" i="7"/>
  <c r="A104" i="7"/>
  <c r="A105" i="7"/>
  <c r="A106" i="7"/>
  <c r="A107" i="7"/>
  <c r="A108" i="7"/>
  <c r="A110" i="7"/>
  <c r="A111" i="7"/>
  <c r="A112" i="7"/>
  <c r="A113" i="7"/>
  <c r="A114" i="7"/>
  <c r="A115" i="7"/>
  <c r="A116" i="7"/>
  <c r="A117" i="7"/>
  <c r="A118" i="7"/>
  <c r="A119" i="7"/>
  <c r="A120" i="7"/>
  <c r="A121" i="7"/>
  <c r="A122" i="7"/>
  <c r="A123" i="7"/>
  <c r="A124" i="7"/>
  <c r="A125" i="7"/>
  <c r="A126" i="7"/>
  <c r="A127" i="7"/>
  <c r="A128" i="7"/>
  <c r="A129" i="7"/>
  <c r="A130" i="7"/>
  <c r="A131" i="7"/>
  <c r="A132" i="7"/>
  <c r="A133" i="7"/>
  <c r="A134" i="7"/>
  <c r="A135" i="7"/>
  <c r="A136" i="7"/>
  <c r="A137" i="7"/>
  <c r="A138" i="7"/>
  <c r="A139" i="7"/>
  <c r="A141" i="7"/>
  <c r="A142" i="7"/>
  <c r="A144" i="7"/>
  <c r="A145" i="7"/>
  <c r="A146" i="7"/>
  <c r="A147" i="7"/>
  <c r="A148" i="7"/>
  <c r="A149" i="7"/>
  <c r="A150" i="7"/>
  <c r="A151" i="7"/>
  <c r="A152" i="7"/>
  <c r="A153" i="7"/>
  <c r="A154" i="7"/>
  <c r="A155" i="7"/>
  <c r="A156" i="7"/>
  <c r="A158" i="7"/>
  <c r="A159" i="7"/>
  <c r="A160" i="7"/>
  <c r="E160" i="7"/>
  <c r="A161" i="7"/>
  <c r="E161" i="7"/>
  <c r="A162" i="7"/>
  <c r="E162" i="7"/>
  <c r="A163" i="7"/>
  <c r="A164" i="7"/>
  <c r="E164" i="7"/>
  <c r="A165" i="7"/>
  <c r="E165" i="7"/>
  <c r="A166" i="7"/>
  <c r="E166" i="7"/>
  <c r="A167" i="7"/>
  <c r="E167" i="7"/>
  <c r="A168" i="7"/>
  <c r="E168" i="7"/>
  <c r="A169" i="7"/>
  <c r="E169" i="7"/>
  <c r="A170" i="7"/>
  <c r="E170" i="7"/>
  <c r="A174" i="7"/>
  <c r="A175" i="7"/>
  <c r="A177" i="7"/>
  <c r="A178" i="7"/>
  <c r="A179" i="7"/>
  <c r="A180" i="7"/>
  <c r="A181" i="7"/>
  <c r="A182" i="7"/>
  <c r="A183" i="7"/>
  <c r="A184" i="7"/>
  <c r="A185" i="7"/>
  <c r="A186" i="7"/>
  <c r="A187" i="7"/>
  <c r="A188" i="7"/>
  <c r="A189" i="7"/>
  <c r="A191" i="7"/>
  <c r="A192" i="7"/>
  <c r="A193" i="7"/>
  <c r="A194" i="7"/>
  <c r="A195" i="7"/>
  <c r="A196" i="7"/>
  <c r="A197" i="7"/>
  <c r="A198" i="7"/>
  <c r="A199" i="7"/>
  <c r="A200" i="7"/>
  <c r="A201" i="7"/>
  <c r="A202" i="7"/>
  <c r="A203" i="7"/>
  <c r="A205" i="7"/>
  <c r="A206" i="7"/>
  <c r="A207" i="7"/>
  <c r="A208" i="7"/>
  <c r="A209" i="7"/>
  <c r="A210" i="7"/>
  <c r="A211" i="7"/>
  <c r="A212" i="7"/>
  <c r="A213" i="7"/>
  <c r="A214" i="7"/>
  <c r="A215" i="7"/>
  <c r="A216" i="7"/>
  <c r="A217" i="7"/>
  <c r="A219" i="7"/>
  <c r="A220" i="7"/>
  <c r="A221" i="7"/>
  <c r="A222" i="7"/>
  <c r="A223" i="7"/>
  <c r="A224" i="7"/>
  <c r="A225" i="7"/>
  <c r="A226" i="7"/>
  <c r="A227" i="7"/>
  <c r="A228" i="7"/>
  <c r="A229" i="7"/>
  <c r="A230" i="7"/>
  <c r="A231" i="7"/>
  <c r="A232" i="7"/>
  <c r="A233" i="7"/>
  <c r="A234" i="7"/>
  <c r="A235" i="7"/>
  <c r="A236" i="7"/>
  <c r="A237" i="7"/>
  <c r="A238" i="7"/>
  <c r="A239" i="7"/>
  <c r="A240" i="7"/>
  <c r="A241" i="7"/>
  <c r="A242" i="7"/>
  <c r="A243" i="7"/>
  <c r="A244" i="7"/>
  <c r="A245" i="7"/>
  <c r="A246" i="7"/>
  <c r="A247" i="7"/>
  <c r="A248" i="7"/>
  <c r="A249" i="7"/>
  <c r="A250" i="7"/>
  <c r="A251" i="7"/>
  <c r="A252" i="7"/>
  <c r="A253" i="7"/>
  <c r="A254" i="7"/>
  <c r="A255" i="7"/>
  <c r="A256" i="7"/>
  <c r="A257" i="7"/>
  <c r="A258" i="7"/>
  <c r="A260" i="7"/>
  <c r="A261" i="7"/>
  <c r="A262" i="7"/>
  <c r="A263" i="7"/>
  <c r="A264" i="7"/>
  <c r="A265" i="7"/>
  <c r="A266" i="7"/>
  <c r="A267" i="7"/>
  <c r="A268" i="7"/>
  <c r="A269" i="7"/>
  <c r="A270" i="7"/>
  <c r="A271" i="7"/>
  <c r="A272" i="7"/>
  <c r="A273" i="7"/>
  <c r="A274" i="7"/>
  <c r="A275" i="7"/>
  <c r="A276" i="7"/>
  <c r="A277" i="7"/>
  <c r="A278" i="7"/>
  <c r="A279" i="7"/>
  <c r="A280" i="7"/>
  <c r="A281" i="7"/>
  <c r="A282" i="7"/>
  <c r="A283" i="7"/>
  <c r="A284" i="7"/>
  <c r="A285" i="7"/>
  <c r="A286" i="7"/>
  <c r="A287" i="7"/>
  <c r="A288" i="7"/>
  <c r="A289" i="7"/>
  <c r="A291" i="7"/>
  <c r="A292" i="7"/>
  <c r="A294" i="7"/>
  <c r="A295" i="7"/>
  <c r="A296" i="7"/>
  <c r="A297" i="7"/>
  <c r="A298" i="7"/>
  <c r="A299" i="7"/>
  <c r="A300" i="7"/>
  <c r="A301" i="7"/>
  <c r="A302" i="7"/>
  <c r="A303" i="7"/>
  <c r="A304" i="7"/>
  <c r="A305" i="7"/>
  <c r="A306" i="7"/>
  <c r="A308" i="7"/>
  <c r="A309" i="7"/>
  <c r="A310" i="7"/>
  <c r="E310" i="7"/>
  <c r="A311" i="7"/>
  <c r="E311" i="7"/>
  <c r="A312" i="7"/>
  <c r="E312" i="7"/>
  <c r="A313" i="7"/>
  <c r="A314" i="7"/>
  <c r="E314" i="7"/>
  <c r="A315" i="7"/>
  <c r="E315" i="7"/>
  <c r="A316" i="7"/>
  <c r="E316" i="7"/>
  <c r="A317" i="7"/>
  <c r="E317" i="7"/>
  <c r="A318" i="7"/>
  <c r="E318" i="7"/>
  <c r="A319" i="7"/>
  <c r="E319" i="7"/>
  <c r="A320" i="7"/>
  <c r="E320" i="7"/>
  <c r="A322" i="7"/>
  <c r="A323" i="7"/>
  <c r="A324" i="7"/>
  <c r="A325" i="7"/>
  <c r="A326" i="7"/>
  <c r="A328" i="7"/>
  <c r="A329" i="7"/>
  <c r="A330" i="7"/>
  <c r="A331" i="7"/>
  <c r="A333" i="7"/>
  <c r="A334" i="7"/>
  <c r="A335" i="7"/>
  <c r="A336" i="7"/>
  <c r="A338" i="7"/>
  <c r="A339" i="7"/>
  <c r="A340" i="7"/>
  <c r="A341" i="7"/>
  <c r="A342" i="7"/>
  <c r="A343" i="7"/>
  <c r="A344" i="7"/>
  <c r="A345" i="7"/>
  <c r="A346" i="7"/>
  <c r="A347" i="7"/>
  <c r="A348" i="7"/>
  <c r="A349" i="7"/>
  <c r="A350" i="7"/>
  <c r="A352" i="7"/>
  <c r="A353" i="7"/>
  <c r="A354" i="7"/>
  <c r="A355" i="7"/>
  <c r="A356" i="7"/>
  <c r="A357" i="7"/>
  <c r="A358" i="7"/>
  <c r="A359" i="7"/>
  <c r="A360" i="7"/>
  <c r="A361" i="7"/>
  <c r="A362" i="7"/>
  <c r="A363" i="7"/>
  <c r="A364" i="7"/>
  <c r="A365" i="7"/>
  <c r="A366" i="7"/>
  <c r="A367" i="7"/>
  <c r="A368" i="7"/>
  <c r="A369" i="7"/>
  <c r="A370" i="7"/>
  <c r="A371" i="7"/>
  <c r="A372" i="7"/>
  <c r="A373" i="7"/>
  <c r="A374" i="7"/>
  <c r="A375" i="7"/>
  <c r="A376" i="7"/>
  <c r="A377" i="7"/>
  <c r="A378" i="7"/>
  <c r="A379" i="7"/>
  <c r="A380" i="7"/>
  <c r="A381" i="7"/>
  <c r="A382" i="7"/>
  <c r="A383" i="7"/>
  <c r="A384" i="7"/>
  <c r="A385" i="7"/>
  <c r="A386" i="7"/>
  <c r="A387" i="7"/>
  <c r="A388" i="7"/>
  <c r="A389" i="7"/>
  <c r="A390" i="7"/>
  <c r="A391" i="7"/>
  <c r="A393" i="7"/>
  <c r="A394" i="7"/>
  <c r="A395" i="7"/>
  <c r="A396" i="7"/>
  <c r="A397" i="7"/>
  <c r="A398" i="7"/>
  <c r="A399" i="7"/>
  <c r="A400" i="7"/>
  <c r="A401" i="7"/>
  <c r="A402" i="7"/>
  <c r="A403" i="7"/>
  <c r="A404" i="7"/>
  <c r="A405" i="7"/>
  <c r="A406" i="7"/>
  <c r="A407" i="7"/>
  <c r="A409" i="7"/>
  <c r="A410" i="7"/>
  <c r="A411" i="7"/>
  <c r="B411" i="7"/>
  <c r="B413" i="7" s="1"/>
  <c r="A412" i="7"/>
  <c r="B412" i="7"/>
  <c r="E412" i="7" s="1"/>
  <c r="C412" i="7"/>
  <c r="D412" i="7"/>
  <c r="F412" i="7"/>
  <c r="I412" i="7" s="1"/>
  <c r="G412" i="7"/>
  <c r="G420" i="7" s="1"/>
  <c r="H412" i="7"/>
  <c r="J412" i="7"/>
  <c r="M412" i="7" s="1"/>
  <c r="K412" i="7"/>
  <c r="K420" i="7" s="1"/>
  <c r="L412" i="7"/>
  <c r="N412" i="7"/>
  <c r="Q412" i="7" s="1"/>
  <c r="O412" i="7"/>
  <c r="P412" i="7"/>
  <c r="R412" i="7"/>
  <c r="U412" i="7" s="1"/>
  <c r="S412" i="7"/>
  <c r="T412" i="7"/>
  <c r="V412" i="7"/>
  <c r="Y412" i="7" s="1"/>
  <c r="W412" i="7"/>
  <c r="W420" i="7" s="1"/>
  <c r="X412" i="7"/>
  <c r="A413" i="7"/>
  <c r="A414" i="7"/>
  <c r="A415" i="7"/>
  <c r="B415" i="7"/>
  <c r="C415" i="7"/>
  <c r="D415" i="7"/>
  <c r="F415" i="7"/>
  <c r="G415" i="7"/>
  <c r="H415" i="7"/>
  <c r="J415" i="7"/>
  <c r="K415" i="7"/>
  <c r="L415" i="7"/>
  <c r="N415" i="7"/>
  <c r="O415" i="7"/>
  <c r="P415" i="7"/>
  <c r="P417" i="7" s="1"/>
  <c r="R415" i="7"/>
  <c r="S415" i="7"/>
  <c r="T415" i="7"/>
  <c r="V415" i="7"/>
  <c r="W415" i="7"/>
  <c r="X415" i="7"/>
  <c r="A416" i="7"/>
  <c r="B416" i="7"/>
  <c r="E416" i="7" s="1"/>
  <c r="C416" i="7"/>
  <c r="D416" i="7"/>
  <c r="F416" i="7"/>
  <c r="I416" i="7" s="1"/>
  <c r="G416" i="7"/>
  <c r="G417" i="7" s="1"/>
  <c r="H416" i="7"/>
  <c r="J416" i="7"/>
  <c r="K416" i="7"/>
  <c r="L416" i="7"/>
  <c r="L420" i="7" s="1"/>
  <c r="N416" i="7"/>
  <c r="O416" i="7"/>
  <c r="P416" i="7"/>
  <c r="P420" i="7" s="1"/>
  <c r="R416" i="7"/>
  <c r="U416" i="7" s="1"/>
  <c r="S416" i="7"/>
  <c r="T416" i="7"/>
  <c r="V416" i="7"/>
  <c r="Y416" i="7" s="1"/>
  <c r="W416" i="7"/>
  <c r="W417" i="7" s="1"/>
  <c r="X416" i="7"/>
  <c r="A417" i="7"/>
  <c r="D417" i="7"/>
  <c r="H417" i="7"/>
  <c r="T417" i="7"/>
  <c r="X417" i="7"/>
  <c r="A418" i="7"/>
  <c r="A419" i="7"/>
  <c r="B419" i="7"/>
  <c r="A420" i="7"/>
  <c r="C420" i="7"/>
  <c r="D420" i="7"/>
  <c r="H420" i="7"/>
  <c r="N420" i="7"/>
  <c r="O420" i="7"/>
  <c r="S420" i="7"/>
  <c r="T420" i="7"/>
  <c r="X420" i="7"/>
  <c r="A421" i="7"/>
  <c r="A423" i="7"/>
  <c r="A424" i="7"/>
  <c r="A425" i="7"/>
  <c r="A426" i="7"/>
  <c r="B426" i="7"/>
  <c r="B428" i="7" s="1"/>
  <c r="B436" i="7" s="1"/>
  <c r="C426" i="7"/>
  <c r="D426" i="7"/>
  <c r="F426" i="7"/>
  <c r="G426" i="7"/>
  <c r="H426" i="7"/>
  <c r="J426" i="7"/>
  <c r="K426" i="7"/>
  <c r="L426" i="7"/>
  <c r="N426" i="7"/>
  <c r="O426" i="7"/>
  <c r="P426" i="7"/>
  <c r="R426" i="7"/>
  <c r="R428" i="7" s="1"/>
  <c r="R436" i="7" s="1"/>
  <c r="S426" i="7"/>
  <c r="T426" i="7"/>
  <c r="V426" i="7"/>
  <c r="W426" i="7"/>
  <c r="X426" i="7"/>
  <c r="A427" i="7"/>
  <c r="B427" i="7"/>
  <c r="C427" i="7"/>
  <c r="E427" i="7" s="1"/>
  <c r="D427" i="7"/>
  <c r="F427" i="7"/>
  <c r="G427" i="7"/>
  <c r="H427" i="7"/>
  <c r="H453" i="7" s="1"/>
  <c r="J427" i="7"/>
  <c r="K427" i="7"/>
  <c r="L427" i="7"/>
  <c r="N427" i="7"/>
  <c r="N453" i="7" s="1"/>
  <c r="Q453" i="7" s="1"/>
  <c r="O427" i="7"/>
  <c r="P427" i="7"/>
  <c r="R427" i="7"/>
  <c r="S427" i="7"/>
  <c r="U427" i="7" s="1"/>
  <c r="T427" i="7"/>
  <c r="V427" i="7"/>
  <c r="W427" i="7"/>
  <c r="X427" i="7"/>
  <c r="X453" i="7" s="1"/>
  <c r="A428" i="7"/>
  <c r="F428" i="7"/>
  <c r="J428" i="7"/>
  <c r="V428" i="7"/>
  <c r="A429" i="7"/>
  <c r="A430" i="7"/>
  <c r="B430" i="7"/>
  <c r="C430" i="7"/>
  <c r="D430" i="7"/>
  <c r="D434" i="7" s="1"/>
  <c r="D460" i="7" s="1"/>
  <c r="F430" i="7"/>
  <c r="F434" i="7" s="1"/>
  <c r="F460" i="7" s="1"/>
  <c r="G430" i="7"/>
  <c r="H430" i="7"/>
  <c r="J430" i="7"/>
  <c r="J432" i="7" s="1"/>
  <c r="J436" i="7" s="1"/>
  <c r="K430" i="7"/>
  <c r="K434" i="7" s="1"/>
  <c r="K460" i="7" s="1"/>
  <c r="L430" i="7"/>
  <c r="N430" i="7"/>
  <c r="O430" i="7"/>
  <c r="O434" i="7" s="1"/>
  <c r="O460" i="7" s="1"/>
  <c r="P430" i="7"/>
  <c r="P434" i="7" s="1"/>
  <c r="P460" i="7" s="1"/>
  <c r="R430" i="7"/>
  <c r="S430" i="7"/>
  <c r="T430" i="7"/>
  <c r="T434" i="7" s="1"/>
  <c r="T460" i="7" s="1"/>
  <c r="V430" i="7"/>
  <c r="V434" i="7" s="1"/>
  <c r="V460" i="7" s="1"/>
  <c r="W430" i="7"/>
  <c r="X430" i="7"/>
  <c r="A431" i="7"/>
  <c r="B431" i="7"/>
  <c r="B435" i="7" s="1"/>
  <c r="B461" i="7" s="1"/>
  <c r="C431" i="7"/>
  <c r="D431" i="7"/>
  <c r="F431" i="7"/>
  <c r="F432" i="7" s="1"/>
  <c r="F436" i="7" s="1"/>
  <c r="G431" i="7"/>
  <c r="G435" i="7" s="1"/>
  <c r="G461" i="7" s="1"/>
  <c r="H431" i="7"/>
  <c r="J431" i="7"/>
  <c r="K431" i="7"/>
  <c r="M431" i="7" s="1"/>
  <c r="L431" i="7"/>
  <c r="L435" i="7" s="1"/>
  <c r="L461" i="7" s="1"/>
  <c r="N431" i="7"/>
  <c r="O431" i="7"/>
  <c r="P431" i="7"/>
  <c r="P457" i="7" s="1"/>
  <c r="R431" i="7"/>
  <c r="R435" i="7" s="1"/>
  <c r="R461" i="7" s="1"/>
  <c r="S431" i="7"/>
  <c r="T431" i="7"/>
  <c r="V431" i="7"/>
  <c r="V432" i="7" s="1"/>
  <c r="V436" i="7" s="1"/>
  <c r="W431" i="7"/>
  <c r="W435" i="7" s="1"/>
  <c r="W461" i="7" s="1"/>
  <c r="X431" i="7"/>
  <c r="A432" i="7"/>
  <c r="B432" i="7"/>
  <c r="N432" i="7"/>
  <c r="R432" i="7"/>
  <c r="A433" i="7"/>
  <c r="A434" i="7"/>
  <c r="B434" i="7"/>
  <c r="C434" i="7"/>
  <c r="G434" i="7"/>
  <c r="H434" i="7"/>
  <c r="L434" i="7"/>
  <c r="N434" i="7"/>
  <c r="R434" i="7"/>
  <c r="S434" i="7"/>
  <c r="W434" i="7"/>
  <c r="X434" i="7"/>
  <c r="A435" i="7"/>
  <c r="C435" i="7"/>
  <c r="D435" i="7"/>
  <c r="H435" i="7"/>
  <c r="H461" i="7" s="1"/>
  <c r="J435" i="7"/>
  <c r="N435" i="7"/>
  <c r="N461" i="7" s="1"/>
  <c r="O435" i="7"/>
  <c r="S435" i="7"/>
  <c r="T435" i="7"/>
  <c r="X435" i="7"/>
  <c r="X461" i="7" s="1"/>
  <c r="A436" i="7"/>
  <c r="A437" i="7"/>
  <c r="A438" i="7"/>
  <c r="A439" i="7"/>
  <c r="B439" i="7"/>
  <c r="C439" i="7"/>
  <c r="E439" i="7" s="1"/>
  <c r="D439" i="7"/>
  <c r="D452" i="7" s="1"/>
  <c r="F439" i="7"/>
  <c r="G439" i="7"/>
  <c r="H439" i="7"/>
  <c r="H452" i="7" s="1"/>
  <c r="J439" i="7"/>
  <c r="J452" i="7" s="1"/>
  <c r="K439" i="7"/>
  <c r="L439" i="7"/>
  <c r="N439" i="7"/>
  <c r="N452" i="7" s="1"/>
  <c r="O439" i="7"/>
  <c r="O452" i="7" s="1"/>
  <c r="P439" i="7"/>
  <c r="R439" i="7"/>
  <c r="S439" i="7"/>
  <c r="U439" i="7" s="1"/>
  <c r="T439" i="7"/>
  <c r="T452" i="7" s="1"/>
  <c r="V439" i="7"/>
  <c r="W439" i="7"/>
  <c r="X439" i="7"/>
  <c r="X452" i="7" s="1"/>
  <c r="A440" i="7"/>
  <c r="B440" i="7"/>
  <c r="C440" i="7"/>
  <c r="D440" i="7"/>
  <c r="D453" i="7" s="1"/>
  <c r="F440" i="7"/>
  <c r="F453" i="7" s="1"/>
  <c r="I453" i="7" s="1"/>
  <c r="G440" i="7"/>
  <c r="H440" i="7"/>
  <c r="J440" i="7"/>
  <c r="J453" i="7" s="1"/>
  <c r="M453" i="7" s="1"/>
  <c r="K440" i="7"/>
  <c r="L440" i="7"/>
  <c r="N440" i="7"/>
  <c r="O440" i="7"/>
  <c r="P440" i="7"/>
  <c r="R440" i="7"/>
  <c r="S440" i="7"/>
  <c r="T440" i="7"/>
  <c r="T453" i="7" s="1"/>
  <c r="V440" i="7"/>
  <c r="V453" i="7" s="1"/>
  <c r="Y453" i="7" s="1"/>
  <c r="W440" i="7"/>
  <c r="X440" i="7"/>
  <c r="A441" i="7"/>
  <c r="A442" i="7"/>
  <c r="A443" i="7"/>
  <c r="B443" i="7"/>
  <c r="C443" i="7"/>
  <c r="E443" i="7" s="1"/>
  <c r="D443" i="7"/>
  <c r="F443" i="7"/>
  <c r="G443" i="7"/>
  <c r="H443" i="7"/>
  <c r="H456" i="7" s="1"/>
  <c r="J443" i="7"/>
  <c r="K443" i="7"/>
  <c r="L443" i="7"/>
  <c r="N443" i="7"/>
  <c r="N456" i="7" s="1"/>
  <c r="O443" i="7"/>
  <c r="P443" i="7"/>
  <c r="R443" i="7"/>
  <c r="S443" i="7"/>
  <c r="U443" i="7" s="1"/>
  <c r="T443" i="7"/>
  <c r="V443" i="7"/>
  <c r="W443" i="7"/>
  <c r="X443" i="7"/>
  <c r="X456" i="7" s="1"/>
  <c r="A444" i="7"/>
  <c r="B444" i="7"/>
  <c r="C444" i="7"/>
  <c r="D444" i="7"/>
  <c r="D457" i="7" s="1"/>
  <c r="E457" i="7" s="1"/>
  <c r="F444" i="7"/>
  <c r="G444" i="7"/>
  <c r="H444" i="7"/>
  <c r="J444" i="7"/>
  <c r="J457" i="7" s="1"/>
  <c r="K444" i="7"/>
  <c r="L444" i="7"/>
  <c r="N444" i="7"/>
  <c r="O444" i="7"/>
  <c r="O457" i="7" s="1"/>
  <c r="Q457" i="7" s="1"/>
  <c r="P444" i="7"/>
  <c r="R444" i="7"/>
  <c r="S444" i="7"/>
  <c r="T444" i="7"/>
  <c r="T457" i="7" s="1"/>
  <c r="U457" i="7" s="1"/>
  <c r="V444" i="7"/>
  <c r="W444" i="7"/>
  <c r="X444" i="7"/>
  <c r="A445" i="7"/>
  <c r="A446" i="7"/>
  <c r="A447" i="7"/>
  <c r="B447" i="7"/>
  <c r="C447" i="7"/>
  <c r="E447" i="7" s="1"/>
  <c r="D447" i="7"/>
  <c r="F447" i="7"/>
  <c r="G447" i="7"/>
  <c r="H447" i="7"/>
  <c r="H460" i="7" s="1"/>
  <c r="J447" i="7"/>
  <c r="K447" i="7"/>
  <c r="L447" i="7"/>
  <c r="N447" i="7"/>
  <c r="N460" i="7" s="1"/>
  <c r="O447" i="7"/>
  <c r="P447" i="7"/>
  <c r="R447" i="7"/>
  <c r="S447" i="7"/>
  <c r="U447" i="7" s="1"/>
  <c r="T447" i="7"/>
  <c r="V447" i="7"/>
  <c r="W447" i="7"/>
  <c r="X447" i="7"/>
  <c r="X460" i="7" s="1"/>
  <c r="A448" i="7"/>
  <c r="B448" i="7"/>
  <c r="C448" i="7"/>
  <c r="D448" i="7"/>
  <c r="D461" i="7" s="1"/>
  <c r="F448" i="7"/>
  <c r="G448" i="7"/>
  <c r="H448" i="7"/>
  <c r="J448" i="7"/>
  <c r="J461" i="7" s="1"/>
  <c r="K448" i="7"/>
  <c r="L448" i="7"/>
  <c r="N448" i="7"/>
  <c r="O448" i="7"/>
  <c r="P448" i="7"/>
  <c r="R448" i="7"/>
  <c r="S448" i="7"/>
  <c r="T448" i="7"/>
  <c r="T461" i="7" s="1"/>
  <c r="V448" i="7"/>
  <c r="W448" i="7"/>
  <c r="X448" i="7"/>
  <c r="A449" i="7"/>
  <c r="A450" i="7"/>
  <c r="A451" i="7"/>
  <c r="A452" i="7"/>
  <c r="B452" i="7"/>
  <c r="F452" i="7"/>
  <c r="G452" i="7"/>
  <c r="K452" i="7"/>
  <c r="L452" i="7"/>
  <c r="P452" i="7"/>
  <c r="R452" i="7"/>
  <c r="V452" i="7"/>
  <c r="W452" i="7"/>
  <c r="A453" i="7"/>
  <c r="B453" i="7"/>
  <c r="E453" i="7" s="1"/>
  <c r="C453" i="7"/>
  <c r="G453" i="7"/>
  <c r="K453" i="7"/>
  <c r="L453" i="7"/>
  <c r="O453" i="7"/>
  <c r="P453" i="7"/>
  <c r="R453" i="7"/>
  <c r="U453" i="7" s="1"/>
  <c r="S453" i="7"/>
  <c r="W453" i="7"/>
  <c r="A454" i="7"/>
  <c r="A455" i="7"/>
  <c r="A456" i="7"/>
  <c r="B456" i="7"/>
  <c r="D456" i="7"/>
  <c r="F456" i="7"/>
  <c r="G456" i="7"/>
  <c r="J456" i="7"/>
  <c r="K456" i="7"/>
  <c r="L456" i="7"/>
  <c r="O456" i="7"/>
  <c r="P456" i="7"/>
  <c r="R456" i="7"/>
  <c r="T456" i="7"/>
  <c r="V456" i="7"/>
  <c r="W456" i="7"/>
  <c r="A457" i="7"/>
  <c r="B457" i="7"/>
  <c r="C457" i="7"/>
  <c r="G457" i="7"/>
  <c r="H457" i="7"/>
  <c r="L457" i="7"/>
  <c r="N457" i="7"/>
  <c r="R457" i="7"/>
  <c r="S457" i="7"/>
  <c r="W457" i="7"/>
  <c r="X457" i="7"/>
  <c r="A458" i="7"/>
  <c r="A459" i="7"/>
  <c r="A460" i="7"/>
  <c r="B460" i="7"/>
  <c r="G460" i="7"/>
  <c r="L460" i="7"/>
  <c r="R460" i="7"/>
  <c r="W460" i="7"/>
  <c r="A461" i="7"/>
  <c r="C461" i="7"/>
  <c r="O461" i="7"/>
  <c r="S461" i="7"/>
  <c r="A462" i="7"/>
  <c r="A1" i="8"/>
  <c r="A3" i="8"/>
  <c r="A4" i="8"/>
  <c r="A5" i="8"/>
  <c r="A6" i="8"/>
  <c r="A8" i="8"/>
  <c r="A9" i="8"/>
  <c r="A10" i="8"/>
  <c r="A11" i="8"/>
  <c r="A13" i="8"/>
  <c r="A14" i="8"/>
  <c r="A15" i="8"/>
  <c r="A16" i="8"/>
  <c r="A18" i="8"/>
  <c r="A19" i="8"/>
  <c r="A20" i="8"/>
  <c r="A21" i="8"/>
  <c r="A22" i="8"/>
  <c r="A23" i="8"/>
  <c r="A24" i="8"/>
  <c r="A25" i="8"/>
  <c r="A26" i="8"/>
  <c r="A28" i="8"/>
  <c r="A29" i="8"/>
  <c r="A31" i="8"/>
  <c r="A32" i="8"/>
  <c r="A33" i="8"/>
  <c r="A34" i="8"/>
  <c r="A36" i="8"/>
  <c r="A37" i="8"/>
  <c r="E37" i="8"/>
  <c r="A38" i="8"/>
  <c r="E38" i="8"/>
  <c r="A39" i="8"/>
  <c r="E39" i="8"/>
  <c r="A43" i="8"/>
  <c r="A44" i="8"/>
  <c r="A46" i="8"/>
  <c r="A47" i="8"/>
  <c r="A48" i="8"/>
  <c r="A49" i="8"/>
  <c r="A50" i="8"/>
  <c r="A51" i="8"/>
  <c r="A52" i="8"/>
  <c r="A53" i="8"/>
  <c r="A54" i="8"/>
  <c r="A55" i="8"/>
  <c r="A56" i="8"/>
  <c r="A57" i="8"/>
  <c r="A58"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1" i="8"/>
  <c r="A142" i="8"/>
  <c r="A144" i="8"/>
  <c r="A145" i="8"/>
  <c r="A146" i="8"/>
  <c r="A147" i="8"/>
  <c r="A148" i="8"/>
  <c r="A149" i="8"/>
  <c r="A150" i="8"/>
  <c r="A151" i="8"/>
  <c r="A152" i="8"/>
  <c r="A153" i="8"/>
  <c r="A154" i="8"/>
  <c r="A155" i="8"/>
  <c r="A156" i="8"/>
  <c r="A158" i="8"/>
  <c r="A159" i="8"/>
  <c r="A160" i="8"/>
  <c r="E160" i="8"/>
  <c r="A161" i="8"/>
  <c r="E161" i="8"/>
  <c r="A162" i="8"/>
  <c r="E162" i="8"/>
  <c r="A163" i="8"/>
  <c r="A164" i="8"/>
  <c r="E164" i="8"/>
  <c r="A165" i="8"/>
  <c r="E165" i="8"/>
  <c r="A166" i="8"/>
  <c r="E166" i="8"/>
  <c r="A167" i="8"/>
  <c r="E167" i="8"/>
  <c r="A168" i="8"/>
  <c r="E168" i="8"/>
  <c r="A169" i="8"/>
  <c r="E169" i="8"/>
  <c r="A170" i="8"/>
  <c r="E170" i="8"/>
  <c r="A174" i="8"/>
  <c r="A175"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6"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9" i="8"/>
  <c r="A560" i="8"/>
  <c r="A561" i="8"/>
  <c r="A562" i="8"/>
  <c r="A563" i="8"/>
  <c r="A564" i="8"/>
  <c r="A565" i="8"/>
  <c r="A566" i="8"/>
  <c r="A567" i="8"/>
  <c r="A568" i="8"/>
  <c r="A569" i="8"/>
  <c r="A570" i="8"/>
  <c r="A571" i="8"/>
  <c r="A573" i="8"/>
  <c r="A574" i="8"/>
  <c r="A575" i="8"/>
  <c r="A576" i="8"/>
  <c r="E576" i="8"/>
  <c r="A577" i="8"/>
  <c r="E577" i="8"/>
  <c r="A578" i="8"/>
  <c r="E578" i="8"/>
  <c r="A579" i="8"/>
  <c r="A580" i="8"/>
  <c r="E580" i="8"/>
  <c r="A581" i="8"/>
  <c r="E581" i="8"/>
  <c r="A582" i="8"/>
  <c r="E582" i="8"/>
  <c r="A583" i="8"/>
  <c r="E583" i="8"/>
  <c r="A584" i="8"/>
  <c r="E584" i="8"/>
  <c r="A585" i="8"/>
  <c r="E585" i="8"/>
  <c r="A586" i="8"/>
  <c r="E586" i="8"/>
  <c r="A587" i="8"/>
  <c r="A588" i="8"/>
  <c r="A589" i="8"/>
  <c r="E589" i="8"/>
  <c r="A590" i="8"/>
  <c r="E590" i="8"/>
  <c r="A591" i="8"/>
  <c r="E591" i="8"/>
  <c r="A592" i="8"/>
  <c r="A593" i="8"/>
  <c r="E593" i="8"/>
  <c r="A594" i="8"/>
  <c r="E594" i="8"/>
  <c r="A595" i="8"/>
  <c r="E595" i="8"/>
  <c r="A596" i="8"/>
  <c r="E596" i="8"/>
  <c r="A597" i="8"/>
  <c r="E597" i="8"/>
  <c r="A598" i="8"/>
  <c r="E598" i="8"/>
  <c r="A599" i="8"/>
  <c r="E599" i="8"/>
  <c r="A600" i="8"/>
  <c r="E600" i="8"/>
  <c r="A601" i="8"/>
  <c r="A602" i="8"/>
  <c r="E602" i="8"/>
  <c r="A603" i="8"/>
  <c r="E603" i="8"/>
  <c r="A604" i="8"/>
  <c r="E604" i="8"/>
  <c r="A605" i="8"/>
  <c r="A606" i="8"/>
  <c r="E606" i="8"/>
  <c r="A607" i="8"/>
  <c r="E607" i="8"/>
  <c r="A608" i="8"/>
  <c r="E608" i="8"/>
  <c r="A609" i="8"/>
  <c r="E609" i="8"/>
  <c r="A610" i="8"/>
  <c r="E610" i="8"/>
  <c r="A611" i="8"/>
  <c r="E611" i="8"/>
  <c r="A612" i="8"/>
  <c r="E612" i="8"/>
  <c r="A1" i="9"/>
  <c r="A3" i="9"/>
  <c r="A4" i="9"/>
  <c r="A5" i="9"/>
  <c r="A8" i="9"/>
  <c r="A9" i="9"/>
  <c r="A11" i="9"/>
  <c r="A12" i="9"/>
  <c r="A13" i="9"/>
  <c r="A14" i="9"/>
  <c r="A16" i="9"/>
  <c r="A17" i="9"/>
  <c r="A18" i="9"/>
  <c r="A19" i="9"/>
  <c r="A21" i="9"/>
  <c r="A22" i="9"/>
  <c r="A23" i="9"/>
  <c r="A24" i="9"/>
  <c r="A26" i="9"/>
  <c r="A27" i="9"/>
  <c r="A28" i="9"/>
  <c r="A29" i="9"/>
  <c r="A31" i="9"/>
  <c r="A32" i="9"/>
  <c r="A33" i="9"/>
  <c r="A34" i="9"/>
  <c r="A35" i="9"/>
  <c r="A36" i="9"/>
  <c r="A37" i="9"/>
  <c r="A38" i="9"/>
  <c r="A39" i="9"/>
  <c r="A43" i="9"/>
  <c r="A44" i="9"/>
  <c r="A46" i="9"/>
  <c r="A47" i="9"/>
  <c r="A48" i="9"/>
  <c r="A49" i="9"/>
  <c r="A50" i="9"/>
  <c r="A51" i="9"/>
  <c r="A52" i="9"/>
  <c r="A53" i="9"/>
  <c r="A54" i="9"/>
  <c r="A55" i="9"/>
  <c r="A56" i="9"/>
  <c r="A57" i="9"/>
  <c r="A58" i="9"/>
  <c r="A60" i="9"/>
  <c r="A61" i="9"/>
  <c r="A62" i="9"/>
  <c r="A63" i="9"/>
  <c r="A64" i="9"/>
  <c r="A65" i="9"/>
  <c r="A66" i="9"/>
  <c r="A67" i="9"/>
  <c r="A68" i="9"/>
  <c r="A69" i="9"/>
  <c r="A70" i="9"/>
  <c r="A71" i="9"/>
  <c r="A72"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8" i="9"/>
  <c r="A159" i="9"/>
  <c r="A161" i="9"/>
  <c r="A162" i="9"/>
  <c r="A163" i="9"/>
  <c r="A164" i="9"/>
  <c r="A165" i="9"/>
  <c r="A166" i="9"/>
  <c r="A167" i="9"/>
  <c r="A168" i="9"/>
  <c r="A169" i="9"/>
  <c r="A170" i="9"/>
  <c r="A171" i="9"/>
  <c r="A172" i="9"/>
  <c r="A173" i="9"/>
  <c r="A175" i="9"/>
  <c r="A176" i="9"/>
  <c r="A177" i="9"/>
  <c r="A178" i="9"/>
  <c r="A179" i="9"/>
  <c r="A180" i="9"/>
  <c r="A181" i="9"/>
  <c r="A182" i="9"/>
  <c r="A183" i="9"/>
  <c r="A184" i="9"/>
  <c r="A185" i="9"/>
  <c r="A186" i="9"/>
  <c r="A187" i="9"/>
  <c r="A189" i="9"/>
  <c r="A190" i="9"/>
  <c r="A191" i="9"/>
  <c r="A192" i="9"/>
  <c r="A193" i="9"/>
  <c r="A194" i="9"/>
  <c r="A195" i="9"/>
  <c r="A196" i="9"/>
  <c r="A197" i="9"/>
  <c r="A198" i="9"/>
  <c r="A199" i="9"/>
  <c r="A200" i="9"/>
  <c r="A201" i="9"/>
  <c r="A205" i="9"/>
  <c r="A206" i="9"/>
  <c r="A207" i="9"/>
  <c r="A208"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2" i="9"/>
  <c r="A293"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6" i="9"/>
  <c r="A337" i="9"/>
  <c r="A338" i="9"/>
  <c r="A339" i="9"/>
  <c r="B339" i="9"/>
  <c r="A340" i="9"/>
  <c r="B340" i="9"/>
  <c r="B348" i="9" s="1"/>
  <c r="A341" i="9"/>
  <c r="A342" i="9"/>
  <c r="A343" i="9"/>
  <c r="B343" i="9"/>
  <c r="B369" i="9" s="1"/>
  <c r="A344" i="9"/>
  <c r="B344" i="9"/>
  <c r="A345" i="9"/>
  <c r="B345" i="9"/>
  <c r="A346" i="9"/>
  <c r="A347" i="9"/>
  <c r="B347" i="9"/>
  <c r="A348" i="9"/>
  <c r="A349" i="9"/>
  <c r="A350" i="9"/>
  <c r="A351" i="9"/>
  <c r="A352" i="9"/>
  <c r="B352" i="9"/>
  <c r="B365" i="9" s="1"/>
  <c r="A353" i="9"/>
  <c r="A354" i="9"/>
  <c r="A355" i="9"/>
  <c r="A356" i="9"/>
  <c r="B356" i="9"/>
  <c r="A357" i="9"/>
  <c r="B357" i="9"/>
  <c r="B370" i="9" s="1"/>
  <c r="A358" i="9"/>
  <c r="A359" i="9"/>
  <c r="A360" i="9"/>
  <c r="A361" i="9"/>
  <c r="A362" i="9"/>
  <c r="A363" i="9"/>
  <c r="A364" i="9"/>
  <c r="A365" i="9"/>
  <c r="A366" i="9"/>
  <c r="A367" i="9"/>
  <c r="A368" i="9"/>
  <c r="A369" i="9"/>
  <c r="A370" i="9"/>
  <c r="A371" i="9"/>
  <c r="A372" i="9"/>
  <c r="A373" i="9"/>
  <c r="A374" i="9"/>
  <c r="A375" i="9"/>
  <c r="A377" i="9"/>
  <c r="A378" i="9"/>
  <c r="A380" i="9"/>
  <c r="A381" i="9"/>
  <c r="A382" i="9"/>
  <c r="A383" i="9"/>
  <c r="A384" i="9"/>
  <c r="A385" i="9"/>
  <c r="A386" i="9"/>
  <c r="A387" i="9"/>
  <c r="A388" i="9"/>
  <c r="A389" i="9"/>
  <c r="A390" i="9"/>
  <c r="A391" i="9"/>
  <c r="A392" i="9"/>
  <c r="A393" i="9"/>
  <c r="A394" i="9"/>
  <c r="A395" i="9"/>
  <c r="A396" i="9"/>
  <c r="A397" i="9"/>
  <c r="A398" i="9"/>
  <c r="A399" i="9"/>
  <c r="A400" i="9"/>
  <c r="A401" i="9"/>
  <c r="A402" i="9"/>
  <c r="A403" i="9"/>
  <c r="A404" i="9"/>
  <c r="A405" i="9"/>
  <c r="A406" i="9"/>
  <c r="A407" i="9"/>
  <c r="A408" i="9"/>
  <c r="A409" i="9"/>
  <c r="A410" i="9"/>
  <c r="A411" i="9"/>
  <c r="A412" i="9"/>
  <c r="A413" i="9"/>
  <c r="A414" i="9"/>
  <c r="A415" i="9"/>
  <c r="A416" i="9"/>
  <c r="A417" i="9"/>
  <c r="A418" i="9"/>
  <c r="A419" i="9"/>
  <c r="A420" i="9"/>
  <c r="A421" i="9"/>
  <c r="A422" i="9"/>
  <c r="A423" i="9"/>
  <c r="A424" i="9"/>
  <c r="A425" i="9"/>
  <c r="A426" i="9"/>
  <c r="A427" i="9"/>
  <c r="A428" i="9"/>
  <c r="A429" i="9"/>
  <c r="A430" i="9"/>
  <c r="A431" i="9"/>
  <c r="A432" i="9"/>
  <c r="A433" i="9"/>
  <c r="A434" i="9"/>
  <c r="A435" i="9"/>
  <c r="A436" i="9"/>
  <c r="A437" i="9"/>
  <c r="A438" i="9"/>
  <c r="A439" i="9"/>
  <c r="A440" i="9"/>
  <c r="A441" i="9"/>
  <c r="A442" i="9"/>
  <c r="A443" i="9"/>
  <c r="A444" i="9"/>
  <c r="A445" i="9"/>
  <c r="A446" i="9"/>
  <c r="A447" i="9"/>
  <c r="A448" i="9"/>
  <c r="A449" i="9"/>
  <c r="A450" i="9"/>
  <c r="A451" i="9"/>
  <c r="A452" i="9"/>
  <c r="A453" i="9"/>
  <c r="A454" i="9"/>
  <c r="A455" i="9"/>
  <c r="A456" i="9"/>
  <c r="A457" i="9"/>
  <c r="A458" i="9"/>
  <c r="A459" i="9"/>
  <c r="A460" i="9"/>
  <c r="A461" i="9"/>
  <c r="A462" i="9"/>
  <c r="A463" i="9"/>
  <c r="A464" i="9"/>
  <c r="A465" i="9"/>
  <c r="A466" i="9"/>
  <c r="A467" i="9"/>
  <c r="A468" i="9"/>
  <c r="A469" i="9"/>
  <c r="A470" i="9"/>
  <c r="A471" i="9"/>
  <c r="A472" i="9"/>
  <c r="A473" i="9"/>
  <c r="A474" i="9"/>
  <c r="A475" i="9"/>
  <c r="A476" i="9"/>
  <c r="A477" i="9"/>
  <c r="A478" i="9"/>
  <c r="A479" i="9"/>
  <c r="A480" i="9"/>
  <c r="A481" i="9"/>
  <c r="A482" i="9"/>
  <c r="A483" i="9"/>
  <c r="A484" i="9"/>
  <c r="A485" i="9"/>
  <c r="A486" i="9"/>
  <c r="A487" i="9"/>
  <c r="A488" i="9"/>
  <c r="A489" i="9"/>
  <c r="A490" i="9"/>
  <c r="A491" i="9"/>
  <c r="A492" i="9"/>
  <c r="A493" i="9"/>
  <c r="A494" i="9"/>
  <c r="A495" i="9"/>
  <c r="A496" i="9"/>
  <c r="A497" i="9"/>
  <c r="A498" i="9"/>
  <c r="A499" i="9"/>
  <c r="A500" i="9"/>
  <c r="A502" i="9"/>
  <c r="A503" i="9"/>
  <c r="A504" i="9"/>
  <c r="A505" i="9"/>
  <c r="A506" i="9"/>
  <c r="B506" i="9"/>
  <c r="B586" i="9" s="1"/>
  <c r="A507" i="9"/>
  <c r="A508" i="9"/>
  <c r="A509" i="9"/>
  <c r="A510" i="9"/>
  <c r="B510" i="9"/>
  <c r="A511" i="9"/>
  <c r="B511" i="9"/>
  <c r="A512" i="9"/>
  <c r="B512" i="9"/>
  <c r="A513" i="9"/>
  <c r="A514" i="9"/>
  <c r="A515" i="9"/>
  <c r="A516" i="9"/>
  <c r="A517" i="9"/>
  <c r="A518" i="9"/>
  <c r="A519" i="9"/>
  <c r="B519" i="9"/>
  <c r="A520" i="9"/>
  <c r="B520" i="9"/>
  <c r="A521" i="9"/>
  <c r="B521" i="9"/>
  <c r="A522" i="9"/>
  <c r="A523" i="9"/>
  <c r="B523" i="9"/>
  <c r="B603" i="9" s="1"/>
  <c r="A524" i="9"/>
  <c r="B524" i="9"/>
  <c r="A525" i="9"/>
  <c r="B525" i="9"/>
  <c r="B605" i="9" s="1"/>
  <c r="A526" i="9"/>
  <c r="A527" i="9"/>
  <c r="A528" i="9"/>
  <c r="A529" i="9"/>
  <c r="A530" i="9"/>
  <c r="A531" i="9"/>
  <c r="A532" i="9"/>
  <c r="A533" i="9"/>
  <c r="A534" i="9"/>
  <c r="A535" i="9"/>
  <c r="A536" i="9"/>
  <c r="B536" i="9"/>
  <c r="A537" i="9"/>
  <c r="B537" i="9"/>
  <c r="A538" i="9"/>
  <c r="B538" i="9"/>
  <c r="A539" i="9"/>
  <c r="A540" i="9"/>
  <c r="A541" i="9"/>
  <c r="A542" i="9"/>
  <c r="A543" i="9"/>
  <c r="A544" i="9"/>
  <c r="A545" i="9"/>
  <c r="A546" i="9"/>
  <c r="B546" i="9"/>
  <c r="A547" i="9"/>
  <c r="B547" i="9"/>
  <c r="A548" i="9"/>
  <c r="B548" i="9"/>
  <c r="B553" i="9" s="1"/>
  <c r="A549" i="9"/>
  <c r="A550" i="9"/>
  <c r="B550" i="9"/>
  <c r="B576" i="9" s="1"/>
  <c r="A551" i="9"/>
  <c r="B551" i="9"/>
  <c r="A552" i="9"/>
  <c r="B552" i="9"/>
  <c r="B578" i="9" s="1"/>
  <c r="A553" i="9"/>
  <c r="A554" i="9"/>
  <c r="B554" i="9"/>
  <c r="A555" i="9"/>
  <c r="B555" i="9"/>
  <c r="A556" i="9"/>
  <c r="B556" i="9"/>
  <c r="A557" i="9"/>
  <c r="A558" i="9"/>
  <c r="A559" i="9"/>
  <c r="B559" i="9"/>
  <c r="B572" i="9" s="1"/>
  <c r="A560" i="9"/>
  <c r="A561" i="9"/>
  <c r="A562" i="9"/>
  <c r="A563" i="9"/>
  <c r="B563" i="9"/>
  <c r="A564" i="9"/>
  <c r="B564" i="9"/>
  <c r="A565" i="9"/>
  <c r="B565" i="9"/>
  <c r="A566" i="9"/>
  <c r="A567" i="9"/>
  <c r="A568" i="9"/>
  <c r="A569" i="9"/>
  <c r="A570" i="9"/>
  <c r="A571" i="9"/>
  <c r="A572" i="9"/>
  <c r="A573" i="9"/>
  <c r="A574" i="9"/>
  <c r="A575" i="9"/>
  <c r="A576" i="9"/>
  <c r="A577" i="9"/>
  <c r="B577" i="9"/>
  <c r="B617" i="9" s="1"/>
  <c r="A578" i="9"/>
  <c r="A579" i="9"/>
  <c r="A580" i="9"/>
  <c r="A581" i="9"/>
  <c r="A582" i="9"/>
  <c r="A583" i="9"/>
  <c r="A584" i="9"/>
  <c r="A585" i="9"/>
  <c r="A586" i="9"/>
  <c r="A587" i="9"/>
  <c r="A588" i="9"/>
  <c r="A589" i="9"/>
  <c r="A590" i="9"/>
  <c r="B590" i="9"/>
  <c r="A591" i="9"/>
  <c r="B591" i="9"/>
  <c r="A592" i="9"/>
  <c r="B592" i="9"/>
  <c r="A593" i="9"/>
  <c r="A594" i="9"/>
  <c r="A595" i="9"/>
  <c r="A596" i="9"/>
  <c r="A597" i="9"/>
  <c r="A598" i="9"/>
  <c r="A599" i="9"/>
  <c r="B599" i="9"/>
  <c r="A600" i="9"/>
  <c r="A601" i="9"/>
  <c r="A602" i="9"/>
  <c r="A603" i="9"/>
  <c r="A604" i="9"/>
  <c r="B604" i="9"/>
  <c r="A605" i="9"/>
  <c r="A606" i="9"/>
  <c r="A607" i="9"/>
  <c r="A608" i="9"/>
  <c r="A609" i="9"/>
  <c r="A610" i="9"/>
  <c r="A611" i="9"/>
  <c r="A612" i="9"/>
  <c r="A613" i="9"/>
  <c r="A614" i="9"/>
  <c r="A615" i="9"/>
  <c r="A616" i="9"/>
  <c r="A617" i="9"/>
  <c r="A618" i="9"/>
  <c r="A619" i="9"/>
  <c r="A620" i="9"/>
  <c r="A621" i="9"/>
  <c r="A622" i="9"/>
  <c r="A624" i="9"/>
  <c r="A625" i="9"/>
  <c r="A626" i="9"/>
  <c r="A627" i="9"/>
  <c r="A628" i="9"/>
  <c r="C628" i="9"/>
  <c r="A629" i="9"/>
  <c r="C629" i="9"/>
  <c r="A630" i="9"/>
  <c r="A631" i="9"/>
  <c r="A632" i="9"/>
  <c r="C632" i="9"/>
  <c r="A633" i="9"/>
  <c r="C633" i="9"/>
  <c r="A634" i="9"/>
  <c r="C634" i="9"/>
  <c r="A635" i="9"/>
  <c r="A636" i="9"/>
  <c r="A637" i="9"/>
  <c r="C637" i="9"/>
  <c r="A638" i="9"/>
  <c r="A639" i="9"/>
  <c r="A640" i="9"/>
  <c r="A641" i="9"/>
  <c r="C641" i="9"/>
  <c r="A642" i="9"/>
  <c r="C642" i="9"/>
  <c r="C650" i="9" s="1"/>
  <c r="C663" i="9" s="1"/>
  <c r="A643" i="9"/>
  <c r="A644" i="9"/>
  <c r="A645" i="9"/>
  <c r="C645" i="9"/>
  <c r="A646" i="9"/>
  <c r="C646" i="9"/>
  <c r="A647" i="9"/>
  <c r="C647" i="9"/>
  <c r="A648" i="9"/>
  <c r="A649" i="9"/>
  <c r="A650" i="9"/>
  <c r="A651" i="9"/>
  <c r="A652" i="9"/>
  <c r="A653" i="9"/>
  <c r="A654" i="9"/>
  <c r="C654" i="9"/>
  <c r="A655" i="9"/>
  <c r="A656" i="9"/>
  <c r="A657" i="9"/>
  <c r="A658" i="9"/>
  <c r="A659" i="9"/>
  <c r="C659" i="9"/>
  <c r="A660" i="9"/>
  <c r="A661" i="9"/>
  <c r="A662" i="9"/>
  <c r="A663" i="9"/>
  <c r="A664" i="9"/>
  <c r="A665" i="9"/>
  <c r="A666" i="9"/>
  <c r="A667" i="9"/>
  <c r="A668" i="9"/>
  <c r="C668" i="9"/>
  <c r="A669" i="9"/>
  <c r="C669" i="9"/>
  <c r="A670" i="9"/>
  <c r="A671" i="9"/>
  <c r="A672" i="9"/>
  <c r="C672" i="9"/>
  <c r="C674" i="9" s="1"/>
  <c r="A673" i="9"/>
  <c r="C673" i="9"/>
  <c r="A674" i="9"/>
  <c r="A675" i="9"/>
  <c r="A676" i="9"/>
  <c r="A677" i="9"/>
  <c r="A678" i="9"/>
  <c r="A679" i="9"/>
  <c r="A680" i="9"/>
  <c r="A681" i="9"/>
  <c r="C681" i="9"/>
  <c r="C694" i="9" s="1"/>
  <c r="A682" i="9"/>
  <c r="C682" i="9"/>
  <c r="C683" i="9" s="1"/>
  <c r="A683" i="9"/>
  <c r="A684" i="9"/>
  <c r="A685" i="9"/>
  <c r="C685" i="9"/>
  <c r="C687" i="9" s="1"/>
  <c r="A686" i="9"/>
  <c r="C686" i="9"/>
  <c r="C699" i="9" s="1"/>
  <c r="A687" i="9"/>
  <c r="A688" i="9"/>
  <c r="A689" i="9"/>
  <c r="A690" i="9"/>
  <c r="A691" i="9"/>
  <c r="A692" i="9"/>
  <c r="A693" i="9"/>
  <c r="A694" i="9"/>
  <c r="A695" i="9"/>
  <c r="A696" i="9"/>
  <c r="A697" i="9"/>
  <c r="A698" i="9"/>
  <c r="A699" i="9"/>
  <c r="A700" i="9"/>
  <c r="A701" i="9"/>
  <c r="A702" i="9"/>
  <c r="A703" i="9"/>
  <c r="A704" i="9"/>
  <c r="A705" i="9"/>
  <c r="A706" i="9"/>
  <c r="A707" i="9"/>
  <c r="A708" i="9"/>
  <c r="A709" i="9"/>
  <c r="A710" i="9"/>
  <c r="A711" i="9"/>
  <c r="A712" i="9"/>
  <c r="C712" i="9"/>
  <c r="A713" i="9"/>
  <c r="C713" i="9"/>
  <c r="A714" i="9"/>
  <c r="A715" i="9"/>
  <c r="A716" i="9"/>
  <c r="A717" i="9"/>
  <c r="A718" i="9"/>
  <c r="A719" i="9"/>
  <c r="A720" i="9"/>
  <c r="A721" i="9"/>
  <c r="C721" i="9"/>
  <c r="A722" i="9"/>
  <c r="A723" i="9"/>
  <c r="A724" i="9"/>
  <c r="A725" i="9"/>
  <c r="A726" i="9"/>
  <c r="A727" i="9"/>
  <c r="A728" i="9"/>
  <c r="A729" i="9"/>
  <c r="A730" i="9"/>
  <c r="A731" i="9"/>
  <c r="A732" i="9"/>
  <c r="A733" i="9"/>
  <c r="A734" i="9"/>
  <c r="A735" i="9"/>
  <c r="A736" i="9"/>
  <c r="A737" i="9"/>
  <c r="A738" i="9"/>
  <c r="A739" i="9"/>
  <c r="C739" i="9"/>
  <c r="A740" i="9"/>
  <c r="A741" i="9"/>
  <c r="A742" i="9"/>
  <c r="A743" i="9"/>
  <c r="A744" i="9"/>
  <c r="A746" i="9"/>
  <c r="A747" i="9"/>
  <c r="A748" i="9"/>
  <c r="A749" i="9"/>
  <c r="A750" i="9"/>
  <c r="C750" i="9"/>
  <c r="D750" i="9"/>
  <c r="D758" i="9" s="1"/>
  <c r="E750" i="9"/>
  <c r="F750" i="9"/>
  <c r="G750" i="9"/>
  <c r="H750" i="9"/>
  <c r="I750" i="9"/>
  <c r="J750" i="9"/>
  <c r="K750" i="9"/>
  <c r="L750" i="9"/>
  <c r="M750" i="9"/>
  <c r="N750" i="9"/>
  <c r="O750" i="9"/>
  <c r="P750" i="9"/>
  <c r="P758" i="9" s="1"/>
  <c r="Q750" i="9"/>
  <c r="R750" i="9"/>
  <c r="S750" i="9"/>
  <c r="T750" i="9"/>
  <c r="T758" i="9" s="1"/>
  <c r="A751" i="9"/>
  <c r="C751" i="9"/>
  <c r="D751" i="9"/>
  <c r="E751" i="9"/>
  <c r="E752" i="9" s="1"/>
  <c r="F751" i="9"/>
  <c r="G751" i="9"/>
  <c r="H751" i="9"/>
  <c r="I751" i="9"/>
  <c r="I759" i="9" s="1"/>
  <c r="J751" i="9"/>
  <c r="K751" i="9"/>
  <c r="L751" i="9"/>
  <c r="M751" i="9"/>
  <c r="M759" i="9" s="1"/>
  <c r="N751" i="9"/>
  <c r="O751" i="9"/>
  <c r="P751" i="9"/>
  <c r="Q751" i="9"/>
  <c r="Q759" i="9" s="1"/>
  <c r="R751" i="9"/>
  <c r="S751" i="9"/>
  <c r="T751" i="9"/>
  <c r="A752" i="9"/>
  <c r="K752" i="9"/>
  <c r="A753" i="9"/>
  <c r="A754" i="9"/>
  <c r="C754" i="9"/>
  <c r="D754" i="9"/>
  <c r="E754" i="9"/>
  <c r="E756" i="9" s="1"/>
  <c r="F754" i="9"/>
  <c r="G754" i="9"/>
  <c r="H754" i="9"/>
  <c r="I754" i="9"/>
  <c r="I758" i="9" s="1"/>
  <c r="J754" i="9"/>
  <c r="K754" i="9"/>
  <c r="L754" i="9"/>
  <c r="M754" i="9"/>
  <c r="M756" i="9" s="1"/>
  <c r="N754" i="9"/>
  <c r="O754" i="9"/>
  <c r="P754" i="9"/>
  <c r="Q754" i="9"/>
  <c r="Q756" i="9" s="1"/>
  <c r="R754" i="9"/>
  <c r="S754" i="9"/>
  <c r="T754" i="9"/>
  <c r="A755" i="9"/>
  <c r="C755" i="9"/>
  <c r="C756" i="9" s="1"/>
  <c r="D755" i="9"/>
  <c r="E755" i="9"/>
  <c r="F755" i="9"/>
  <c r="F756" i="9" s="1"/>
  <c r="G755" i="9"/>
  <c r="H755" i="9"/>
  <c r="I755" i="9"/>
  <c r="J755" i="9"/>
  <c r="J756" i="9" s="1"/>
  <c r="K755" i="9"/>
  <c r="L755" i="9"/>
  <c r="M755" i="9"/>
  <c r="N755" i="9"/>
  <c r="O755" i="9"/>
  <c r="P755" i="9"/>
  <c r="Q755" i="9"/>
  <c r="R755" i="9"/>
  <c r="R756" i="9" s="1"/>
  <c r="S755" i="9"/>
  <c r="S756" i="9" s="1"/>
  <c r="T755" i="9"/>
  <c r="A756" i="9"/>
  <c r="K756" i="9"/>
  <c r="K757" i="9" s="1"/>
  <c r="A757" i="9"/>
  <c r="A758" i="9"/>
  <c r="G758" i="9"/>
  <c r="L758" i="9"/>
  <c r="A759" i="9"/>
  <c r="D759" i="9"/>
  <c r="N759" i="9"/>
  <c r="T759" i="9"/>
  <c r="A760" i="9"/>
  <c r="K760" i="9"/>
  <c r="A761" i="9"/>
  <c r="A762" i="9"/>
  <c r="A763" i="9"/>
  <c r="C763" i="9"/>
  <c r="C765" i="9" s="1"/>
  <c r="D763" i="9"/>
  <c r="E763" i="9"/>
  <c r="F763" i="9"/>
  <c r="G763" i="9"/>
  <c r="G765" i="9" s="1"/>
  <c r="H763" i="9"/>
  <c r="I763" i="9"/>
  <c r="J763" i="9"/>
  <c r="K763" i="9"/>
  <c r="K765" i="9" s="1"/>
  <c r="K778" i="9" s="1"/>
  <c r="L763" i="9"/>
  <c r="M763" i="9"/>
  <c r="N763" i="9"/>
  <c r="O763" i="9"/>
  <c r="O765" i="9" s="1"/>
  <c r="P763" i="9"/>
  <c r="Q763" i="9"/>
  <c r="R763" i="9"/>
  <c r="S763" i="9"/>
  <c r="T763" i="9"/>
  <c r="A764" i="9"/>
  <c r="C764" i="9"/>
  <c r="D764" i="9"/>
  <c r="E764" i="9"/>
  <c r="F764" i="9"/>
  <c r="G764" i="9"/>
  <c r="H764" i="9"/>
  <c r="H765" i="9" s="1"/>
  <c r="I764" i="9"/>
  <c r="J764" i="9"/>
  <c r="K764" i="9"/>
  <c r="L764" i="9"/>
  <c r="L772" i="9" s="1"/>
  <c r="M764" i="9"/>
  <c r="N764" i="9"/>
  <c r="O764" i="9"/>
  <c r="P764" i="9"/>
  <c r="P765" i="9" s="1"/>
  <c r="Q764" i="9"/>
  <c r="R764" i="9"/>
  <c r="S764" i="9"/>
  <c r="T764" i="9"/>
  <c r="A765" i="9"/>
  <c r="S765" i="9"/>
  <c r="A766" i="9"/>
  <c r="A767" i="9"/>
  <c r="C767" i="9"/>
  <c r="D767" i="9"/>
  <c r="D771" i="9" s="1"/>
  <c r="E767" i="9"/>
  <c r="F767" i="9"/>
  <c r="G767" i="9"/>
  <c r="H767" i="9"/>
  <c r="H771" i="9" s="1"/>
  <c r="H851" i="9" s="1"/>
  <c r="I767" i="9"/>
  <c r="J767" i="9"/>
  <c r="K767" i="9"/>
  <c r="L767" i="9"/>
  <c r="L769" i="9" s="1"/>
  <c r="M767" i="9"/>
  <c r="N767" i="9"/>
  <c r="O767" i="9"/>
  <c r="P767" i="9"/>
  <c r="P771" i="9" s="1"/>
  <c r="P784" i="9" s="1"/>
  <c r="Q767" i="9"/>
  <c r="R767" i="9"/>
  <c r="S767" i="9"/>
  <c r="T767" i="9"/>
  <c r="T771" i="9" s="1"/>
  <c r="A768" i="9"/>
  <c r="C768" i="9"/>
  <c r="C772" i="9" s="1"/>
  <c r="D768" i="9"/>
  <c r="E768" i="9"/>
  <c r="E769" i="9" s="1"/>
  <c r="F768" i="9"/>
  <c r="G768" i="9"/>
  <c r="G781" i="9" s="1"/>
  <c r="H768" i="9"/>
  <c r="I768" i="9"/>
  <c r="I769" i="9" s="1"/>
  <c r="J768" i="9"/>
  <c r="K768" i="9"/>
  <c r="K781" i="9" s="1"/>
  <c r="L768" i="9"/>
  <c r="L781" i="9" s="1"/>
  <c r="M768" i="9"/>
  <c r="M769" i="9" s="1"/>
  <c r="N768" i="9"/>
  <c r="O768" i="9"/>
  <c r="O781" i="9" s="1"/>
  <c r="P768" i="9"/>
  <c r="P781" i="9" s="1"/>
  <c r="Q768" i="9"/>
  <c r="Q772" i="9" s="1"/>
  <c r="R768" i="9"/>
  <c r="S768" i="9"/>
  <c r="S781" i="9" s="1"/>
  <c r="T768" i="9"/>
  <c r="A769" i="9"/>
  <c r="F769" i="9"/>
  <c r="J769" i="9"/>
  <c r="N769" i="9"/>
  <c r="Q769" i="9"/>
  <c r="A770" i="9"/>
  <c r="A771" i="9"/>
  <c r="F771" i="9"/>
  <c r="J771" i="9"/>
  <c r="L771" i="9"/>
  <c r="N771" i="9"/>
  <c r="A772" i="9"/>
  <c r="G772" i="9"/>
  <c r="K772" i="9"/>
  <c r="O772" i="9"/>
  <c r="A773" i="9"/>
  <c r="A774" i="9"/>
  <c r="A775" i="9"/>
  <c r="A776" i="9"/>
  <c r="F776" i="9"/>
  <c r="G776" i="9"/>
  <c r="J776" i="9"/>
  <c r="K776" i="9"/>
  <c r="M776" i="9"/>
  <c r="N776" i="9"/>
  <c r="O776" i="9"/>
  <c r="R776" i="9"/>
  <c r="A777" i="9"/>
  <c r="C777" i="9"/>
  <c r="D777" i="9"/>
  <c r="G777" i="9"/>
  <c r="H777" i="9"/>
  <c r="J777" i="9"/>
  <c r="K777" i="9"/>
  <c r="L777" i="9"/>
  <c r="O777" i="9"/>
  <c r="S777" i="9"/>
  <c r="T777" i="9"/>
  <c r="A778" i="9"/>
  <c r="A779" i="9"/>
  <c r="A780" i="9"/>
  <c r="D780" i="9"/>
  <c r="E780" i="9"/>
  <c r="H780" i="9"/>
  <c r="I780" i="9"/>
  <c r="K780" i="9"/>
  <c r="L780" i="9"/>
  <c r="M780" i="9"/>
  <c r="P780" i="9"/>
  <c r="T780" i="9"/>
  <c r="A781" i="9"/>
  <c r="E781" i="9"/>
  <c r="F781" i="9"/>
  <c r="H781" i="9"/>
  <c r="I781" i="9"/>
  <c r="J781" i="9"/>
  <c r="M781" i="9"/>
  <c r="Q781" i="9"/>
  <c r="R781" i="9"/>
  <c r="A782" i="9"/>
  <c r="A783" i="9"/>
  <c r="A784" i="9"/>
  <c r="L784" i="9"/>
  <c r="A785" i="9"/>
  <c r="A786" i="9"/>
  <c r="A787" i="9"/>
  <c r="A788" i="9"/>
  <c r="A789" i="9"/>
  <c r="A790" i="9"/>
  <c r="C790" i="9"/>
  <c r="C792" i="9" s="1"/>
  <c r="D790" i="9"/>
  <c r="E790" i="9"/>
  <c r="F790" i="9"/>
  <c r="G790" i="9"/>
  <c r="G792" i="9" s="1"/>
  <c r="H790" i="9"/>
  <c r="I790" i="9"/>
  <c r="J790" i="9"/>
  <c r="K790" i="9"/>
  <c r="K798" i="9" s="1"/>
  <c r="L790" i="9"/>
  <c r="M790" i="9"/>
  <c r="M792" i="9" s="1"/>
  <c r="N790" i="9"/>
  <c r="O790" i="9"/>
  <c r="O792" i="9" s="1"/>
  <c r="P790" i="9"/>
  <c r="Q790" i="9"/>
  <c r="Q792" i="9" s="1"/>
  <c r="R790" i="9"/>
  <c r="S790" i="9"/>
  <c r="S792" i="9" s="1"/>
  <c r="T790" i="9"/>
  <c r="A791" i="9"/>
  <c r="C791" i="9"/>
  <c r="D791" i="9"/>
  <c r="E791" i="9"/>
  <c r="F791" i="9"/>
  <c r="F792" i="9" s="1"/>
  <c r="G791" i="9"/>
  <c r="H791" i="9"/>
  <c r="I791" i="9"/>
  <c r="J791" i="9"/>
  <c r="J792" i="9" s="1"/>
  <c r="K791" i="9"/>
  <c r="L791" i="9"/>
  <c r="M791" i="9"/>
  <c r="N791" i="9"/>
  <c r="O791" i="9"/>
  <c r="P791" i="9"/>
  <c r="Q791" i="9"/>
  <c r="R791" i="9"/>
  <c r="S791" i="9"/>
  <c r="T791" i="9"/>
  <c r="A792" i="9"/>
  <c r="I792" i="9"/>
  <c r="K792" i="9"/>
  <c r="A793" i="9"/>
  <c r="A794" i="9"/>
  <c r="C794" i="9"/>
  <c r="C798" i="9" s="1"/>
  <c r="D794" i="9"/>
  <c r="E794" i="9"/>
  <c r="F794" i="9"/>
  <c r="G794" i="9"/>
  <c r="H794" i="9"/>
  <c r="I794" i="9"/>
  <c r="J794" i="9"/>
  <c r="K794" i="9"/>
  <c r="L794" i="9"/>
  <c r="M794" i="9"/>
  <c r="N794" i="9"/>
  <c r="O794" i="9"/>
  <c r="O798" i="9" s="1"/>
  <c r="P794" i="9"/>
  <c r="Q794" i="9"/>
  <c r="R794" i="9"/>
  <c r="S794" i="9"/>
  <c r="T794" i="9"/>
  <c r="A795" i="9"/>
  <c r="C795" i="9"/>
  <c r="D795" i="9"/>
  <c r="D796" i="9" s="1"/>
  <c r="E795" i="9"/>
  <c r="F795" i="9"/>
  <c r="G795" i="9"/>
  <c r="G799" i="9" s="1"/>
  <c r="H795" i="9"/>
  <c r="I795" i="9"/>
  <c r="J795" i="9"/>
  <c r="K795" i="9"/>
  <c r="L795" i="9"/>
  <c r="L799" i="9" s="1"/>
  <c r="M795" i="9"/>
  <c r="N795" i="9"/>
  <c r="O795" i="9"/>
  <c r="O799" i="9" s="1"/>
  <c r="P795" i="9"/>
  <c r="P796" i="9" s="1"/>
  <c r="Q795" i="9"/>
  <c r="R795" i="9"/>
  <c r="S795" i="9"/>
  <c r="S799" i="9" s="1"/>
  <c r="T795" i="9"/>
  <c r="T796" i="9" s="1"/>
  <c r="A796" i="9"/>
  <c r="E796" i="9"/>
  <c r="I796" i="9"/>
  <c r="I800" i="9" s="1"/>
  <c r="M796" i="9"/>
  <c r="A797" i="9"/>
  <c r="A798" i="9"/>
  <c r="F798" i="9"/>
  <c r="N798" i="9"/>
  <c r="Q798" i="9"/>
  <c r="A799" i="9"/>
  <c r="C799" i="9"/>
  <c r="H799" i="9"/>
  <c r="K799" i="9"/>
  <c r="N799" i="9"/>
  <c r="P799" i="9"/>
  <c r="A800" i="9"/>
  <c r="A801" i="9"/>
  <c r="A802" i="9"/>
  <c r="A803" i="9"/>
  <c r="C803" i="9"/>
  <c r="D803" i="9"/>
  <c r="E803" i="9"/>
  <c r="F803" i="9"/>
  <c r="F816" i="9" s="1"/>
  <c r="G803" i="9"/>
  <c r="H803" i="9"/>
  <c r="I803" i="9"/>
  <c r="J803" i="9"/>
  <c r="J816" i="9" s="1"/>
  <c r="K803" i="9"/>
  <c r="L803" i="9"/>
  <c r="M803" i="9"/>
  <c r="M805" i="9" s="1"/>
  <c r="N803" i="9"/>
  <c r="N816" i="9" s="1"/>
  <c r="O803" i="9"/>
  <c r="O816" i="9" s="1"/>
  <c r="O856" i="9" s="1"/>
  <c r="P803" i="9"/>
  <c r="Q803" i="9"/>
  <c r="Q805" i="9" s="1"/>
  <c r="R803" i="9"/>
  <c r="R816" i="9" s="1"/>
  <c r="S803" i="9"/>
  <c r="T803" i="9"/>
  <c r="A804" i="9"/>
  <c r="C804" i="9"/>
  <c r="C817" i="9" s="1"/>
  <c r="D804" i="9"/>
  <c r="E804" i="9"/>
  <c r="F804" i="9"/>
  <c r="G804" i="9"/>
  <c r="G817" i="9" s="1"/>
  <c r="H804" i="9"/>
  <c r="I804" i="9"/>
  <c r="J804" i="9"/>
  <c r="J805" i="9" s="1"/>
  <c r="K804" i="9"/>
  <c r="K817" i="9" s="1"/>
  <c r="L804" i="9"/>
  <c r="M804" i="9"/>
  <c r="N804" i="9"/>
  <c r="O804" i="9"/>
  <c r="O817" i="9" s="1"/>
  <c r="P804" i="9"/>
  <c r="Q804" i="9"/>
  <c r="R804" i="9"/>
  <c r="S804" i="9"/>
  <c r="S817" i="9" s="1"/>
  <c r="T804" i="9"/>
  <c r="A805" i="9"/>
  <c r="F805" i="9"/>
  <c r="A806" i="9"/>
  <c r="A807" i="9"/>
  <c r="C807" i="9"/>
  <c r="D807" i="9"/>
  <c r="D820" i="9" s="1"/>
  <c r="E807" i="9"/>
  <c r="E820" i="9" s="1"/>
  <c r="E860" i="9" s="1"/>
  <c r="F807" i="9"/>
  <c r="F820" i="9" s="1"/>
  <c r="G807" i="9"/>
  <c r="H807" i="9"/>
  <c r="H820" i="9" s="1"/>
  <c r="I807" i="9"/>
  <c r="I811" i="9" s="1"/>
  <c r="J807" i="9"/>
  <c r="J811" i="9" s="1"/>
  <c r="J851" i="9" s="1"/>
  <c r="K807" i="9"/>
  <c r="L807" i="9"/>
  <c r="L820" i="9" s="1"/>
  <c r="M807" i="9"/>
  <c r="N807" i="9"/>
  <c r="O807" i="9"/>
  <c r="P807" i="9"/>
  <c r="P820" i="9" s="1"/>
  <c r="Q807" i="9"/>
  <c r="R807" i="9"/>
  <c r="S807" i="9"/>
  <c r="T807" i="9"/>
  <c r="T820" i="9" s="1"/>
  <c r="A808" i="9"/>
  <c r="C808" i="9"/>
  <c r="C821" i="9" s="1"/>
  <c r="D808" i="9"/>
  <c r="E808" i="9"/>
  <c r="E821" i="9" s="1"/>
  <c r="F808" i="9"/>
  <c r="F812" i="9" s="1"/>
  <c r="G808" i="9"/>
  <c r="G809" i="9" s="1"/>
  <c r="H808" i="9"/>
  <c r="I808" i="9"/>
  <c r="I821" i="9" s="1"/>
  <c r="J808" i="9"/>
  <c r="K808" i="9"/>
  <c r="K809" i="9" s="1"/>
  <c r="L808" i="9"/>
  <c r="M808" i="9"/>
  <c r="M821" i="9" s="1"/>
  <c r="N808" i="9"/>
  <c r="O808" i="9"/>
  <c r="O821" i="9" s="1"/>
  <c r="O861" i="9" s="1"/>
  <c r="P808" i="9"/>
  <c r="Q808" i="9"/>
  <c r="Q812" i="9" s="1"/>
  <c r="R808" i="9"/>
  <c r="S808" i="9"/>
  <c r="S809" i="9" s="1"/>
  <c r="T808" i="9"/>
  <c r="A809" i="9"/>
  <c r="H809" i="9"/>
  <c r="L809" i="9"/>
  <c r="A810" i="9"/>
  <c r="A811" i="9"/>
  <c r="E811" i="9"/>
  <c r="H811" i="9"/>
  <c r="M811" i="9"/>
  <c r="Q811" i="9"/>
  <c r="A812" i="9"/>
  <c r="J812" i="9"/>
  <c r="M812" i="9"/>
  <c r="N812" i="9"/>
  <c r="R812" i="9"/>
  <c r="A813" i="9"/>
  <c r="A814" i="9"/>
  <c r="A815" i="9"/>
  <c r="A816" i="9"/>
  <c r="C816" i="9"/>
  <c r="D816" i="9"/>
  <c r="H816" i="9"/>
  <c r="L816" i="9"/>
  <c r="M816" i="9"/>
  <c r="P816" i="9"/>
  <c r="S816" i="9"/>
  <c r="T816" i="9"/>
  <c r="A817" i="9"/>
  <c r="E817" i="9"/>
  <c r="I817" i="9"/>
  <c r="J817" i="9"/>
  <c r="M817" i="9"/>
  <c r="P817" i="9"/>
  <c r="Q817" i="9"/>
  <c r="A818" i="9"/>
  <c r="A819" i="9"/>
  <c r="A820" i="9"/>
  <c r="C820" i="9"/>
  <c r="G820" i="9"/>
  <c r="I820" i="9"/>
  <c r="K820" i="9"/>
  <c r="M820" i="9"/>
  <c r="N820" i="9"/>
  <c r="O820" i="9"/>
  <c r="Q820" i="9"/>
  <c r="S820" i="9"/>
  <c r="A821" i="9"/>
  <c r="D821" i="9"/>
  <c r="F821" i="9"/>
  <c r="H821" i="9"/>
  <c r="J821" i="9"/>
  <c r="K821" i="9"/>
  <c r="L821" i="9"/>
  <c r="N821" i="9"/>
  <c r="P821" i="9"/>
  <c r="R821" i="9"/>
  <c r="T821" i="9"/>
  <c r="A822" i="9"/>
  <c r="A823" i="9"/>
  <c r="A824" i="9"/>
  <c r="A825" i="9"/>
  <c r="A826" i="9"/>
  <c r="A827" i="9"/>
  <c r="A828" i="9"/>
  <c r="A829" i="9"/>
  <c r="A830" i="9"/>
  <c r="C830" i="9"/>
  <c r="D830" i="9"/>
  <c r="E830" i="9"/>
  <c r="F830" i="9"/>
  <c r="G830" i="9"/>
  <c r="H830" i="9"/>
  <c r="I830" i="9"/>
  <c r="J830" i="9"/>
  <c r="K830" i="9"/>
  <c r="L830" i="9"/>
  <c r="M830" i="9"/>
  <c r="N830" i="9"/>
  <c r="O830" i="9"/>
  <c r="P830" i="9"/>
  <c r="Q830" i="9"/>
  <c r="R830" i="9"/>
  <c r="S830" i="9"/>
  <c r="T830" i="9"/>
  <c r="A831" i="9"/>
  <c r="C831" i="9"/>
  <c r="D831" i="9"/>
  <c r="E831" i="9"/>
  <c r="F831" i="9"/>
  <c r="G831" i="9"/>
  <c r="H831" i="9"/>
  <c r="I831" i="9"/>
  <c r="J831" i="9"/>
  <c r="K831" i="9"/>
  <c r="L831" i="9"/>
  <c r="M831" i="9"/>
  <c r="N831" i="9"/>
  <c r="O831" i="9"/>
  <c r="P831" i="9"/>
  <c r="Q831" i="9"/>
  <c r="R831" i="9"/>
  <c r="S831" i="9"/>
  <c r="T831" i="9"/>
  <c r="A832" i="9"/>
  <c r="K832" i="9"/>
  <c r="A833" i="9"/>
  <c r="A834" i="9"/>
  <c r="C834" i="9"/>
  <c r="D834" i="9"/>
  <c r="E834" i="9"/>
  <c r="F834" i="9"/>
  <c r="G834" i="9"/>
  <c r="H834" i="9"/>
  <c r="I834" i="9"/>
  <c r="J834" i="9"/>
  <c r="K834" i="9"/>
  <c r="L834" i="9"/>
  <c r="M834" i="9"/>
  <c r="N834" i="9"/>
  <c r="O834" i="9"/>
  <c r="P834" i="9"/>
  <c r="Q834" i="9"/>
  <c r="R834" i="9"/>
  <c r="S834" i="9"/>
  <c r="T834" i="9"/>
  <c r="A835" i="9"/>
  <c r="C835" i="9"/>
  <c r="D835" i="9"/>
  <c r="E835" i="9"/>
  <c r="F835" i="9"/>
  <c r="G835" i="9"/>
  <c r="H835" i="9"/>
  <c r="I835" i="9"/>
  <c r="J835" i="9"/>
  <c r="K835" i="9"/>
  <c r="L835" i="9"/>
  <c r="M835" i="9"/>
  <c r="N835" i="9"/>
  <c r="O835" i="9"/>
  <c r="P835" i="9"/>
  <c r="Q835" i="9"/>
  <c r="R835" i="9"/>
  <c r="S835" i="9"/>
  <c r="T835" i="9"/>
  <c r="A836" i="9"/>
  <c r="A837" i="9"/>
  <c r="A838" i="9"/>
  <c r="A839" i="9"/>
  <c r="N839" i="9"/>
  <c r="A840" i="9"/>
  <c r="A841" i="9"/>
  <c r="A842" i="9"/>
  <c r="A843" i="9"/>
  <c r="C843" i="9"/>
  <c r="D843" i="9"/>
  <c r="E843" i="9"/>
  <c r="F843" i="9"/>
  <c r="G843" i="9"/>
  <c r="H843" i="9"/>
  <c r="I843" i="9"/>
  <c r="J843" i="9"/>
  <c r="K843" i="9"/>
  <c r="L843" i="9"/>
  <c r="M843" i="9"/>
  <c r="N843" i="9"/>
  <c r="O843" i="9"/>
  <c r="P843" i="9"/>
  <c r="Q843" i="9"/>
  <c r="R843" i="9"/>
  <c r="S843" i="9"/>
  <c r="T843" i="9"/>
  <c r="A844" i="9"/>
  <c r="C844" i="9"/>
  <c r="D844" i="9"/>
  <c r="E844" i="9"/>
  <c r="F844" i="9"/>
  <c r="G844" i="9"/>
  <c r="H844" i="9"/>
  <c r="I844" i="9"/>
  <c r="J844" i="9"/>
  <c r="K844" i="9"/>
  <c r="L844" i="9"/>
  <c r="M844" i="9"/>
  <c r="N844" i="9"/>
  <c r="O844" i="9"/>
  <c r="P844" i="9"/>
  <c r="Q844" i="9"/>
  <c r="R844" i="9"/>
  <c r="S844" i="9"/>
  <c r="T844" i="9"/>
  <c r="A845" i="9"/>
  <c r="A846" i="9"/>
  <c r="A847" i="9"/>
  <c r="C847" i="9"/>
  <c r="D847" i="9"/>
  <c r="E847" i="9"/>
  <c r="F847" i="9"/>
  <c r="G847" i="9"/>
  <c r="H847" i="9"/>
  <c r="I847" i="9"/>
  <c r="J847" i="9"/>
  <c r="K847" i="9"/>
  <c r="L847" i="9"/>
  <c r="M847" i="9"/>
  <c r="N847" i="9"/>
  <c r="O847" i="9"/>
  <c r="P847" i="9"/>
  <c r="Q847" i="9"/>
  <c r="R847" i="9"/>
  <c r="S847" i="9"/>
  <c r="T847" i="9"/>
  <c r="A848" i="9"/>
  <c r="C848" i="9"/>
  <c r="D848" i="9"/>
  <c r="E848" i="9"/>
  <c r="F848" i="9"/>
  <c r="G848" i="9"/>
  <c r="H848" i="9"/>
  <c r="I848" i="9"/>
  <c r="J848" i="9"/>
  <c r="K848" i="9"/>
  <c r="L848" i="9"/>
  <c r="M848" i="9"/>
  <c r="N848" i="9"/>
  <c r="O848" i="9"/>
  <c r="P848" i="9"/>
  <c r="Q848" i="9"/>
  <c r="R848" i="9"/>
  <c r="S848" i="9"/>
  <c r="T848" i="9"/>
  <c r="A849" i="9"/>
  <c r="A850" i="9"/>
  <c r="A851" i="9"/>
  <c r="A852" i="9"/>
  <c r="A853" i="9"/>
  <c r="A854" i="9"/>
  <c r="A855" i="9"/>
  <c r="A856" i="9"/>
  <c r="F856" i="9"/>
  <c r="J856" i="9"/>
  <c r="M856" i="9"/>
  <c r="N856" i="9"/>
  <c r="R856" i="9"/>
  <c r="A857" i="9"/>
  <c r="C857" i="9"/>
  <c r="G857" i="9"/>
  <c r="J857" i="9"/>
  <c r="K857" i="9"/>
  <c r="O857" i="9"/>
  <c r="S857" i="9"/>
  <c r="A858" i="9"/>
  <c r="A859" i="9"/>
  <c r="A860" i="9"/>
  <c r="D860" i="9"/>
  <c r="H860" i="9"/>
  <c r="I860" i="9"/>
  <c r="K860" i="9"/>
  <c r="L860" i="9"/>
  <c r="M860" i="9"/>
  <c r="P860" i="9"/>
  <c r="T860" i="9"/>
  <c r="A861" i="9"/>
  <c r="E861" i="9"/>
  <c r="F861" i="9"/>
  <c r="H861" i="9"/>
  <c r="I861" i="9"/>
  <c r="J861" i="9"/>
  <c r="K861" i="9"/>
  <c r="M861" i="9"/>
  <c r="R861" i="9"/>
  <c r="A862" i="9"/>
  <c r="A863" i="9"/>
  <c r="A864" i="9"/>
  <c r="A865" i="9"/>
  <c r="A866" i="9"/>
  <c r="A1" i="10"/>
  <c r="A3" i="10"/>
  <c r="A4" i="10"/>
  <c r="A5" i="10"/>
  <c r="A6" i="10"/>
  <c r="A8" i="10"/>
  <c r="A9" i="10"/>
  <c r="A10" i="10"/>
  <c r="A11" i="10"/>
  <c r="A13" i="10"/>
  <c r="A14" i="10"/>
  <c r="A16" i="10"/>
  <c r="A17" i="10"/>
  <c r="A18" i="10"/>
  <c r="A19" i="10"/>
  <c r="A22" i="10"/>
  <c r="A23" i="10"/>
  <c r="A24" i="10"/>
  <c r="A25" i="10"/>
  <c r="A27" i="10"/>
  <c r="A28" i="10"/>
  <c r="A30" i="10"/>
  <c r="A31" i="10"/>
  <c r="D31" i="10"/>
  <c r="A32" i="10"/>
  <c r="D32" i="10"/>
  <c r="A33" i="10"/>
  <c r="D33" i="10"/>
  <c r="A37" i="10"/>
  <c r="A38" i="10"/>
  <c r="A40" i="10"/>
  <c r="A41" i="10"/>
  <c r="A42" i="10"/>
  <c r="A43" i="10"/>
  <c r="A44" i="10"/>
  <c r="A45" i="10"/>
  <c r="A46" i="10"/>
  <c r="A47" i="10"/>
  <c r="A48" i="10"/>
  <c r="A49" i="10"/>
  <c r="A50" i="10"/>
  <c r="A51" i="10"/>
  <c r="A52" i="10"/>
  <c r="A54" i="10"/>
  <c r="A55" i="10"/>
  <c r="A56" i="10"/>
  <c r="A57" i="10"/>
  <c r="A58" i="10"/>
  <c r="A59" i="10"/>
  <c r="A60" i="10"/>
  <c r="A61" i="10"/>
  <c r="A62" i="10"/>
  <c r="A63" i="10"/>
  <c r="A64" i="10"/>
  <c r="A65" i="10"/>
  <c r="A66" i="10"/>
  <c r="A70" i="10"/>
  <c r="A71" i="10"/>
  <c r="A73" i="10"/>
  <c r="A74" i="10"/>
  <c r="A75" i="10"/>
  <c r="A76" i="10"/>
  <c r="A77" i="10"/>
  <c r="A78" i="10"/>
  <c r="A79" i="10"/>
  <c r="A80" i="10"/>
  <c r="A81" i="10"/>
  <c r="A82" i="10"/>
  <c r="A83" i="10"/>
  <c r="A84" i="10"/>
  <c r="A85" i="10"/>
  <c r="A87" i="10"/>
  <c r="A88" i="10"/>
  <c r="A89" i="10"/>
  <c r="A90" i="10"/>
  <c r="A91" i="10"/>
  <c r="A92" i="10"/>
  <c r="A93" i="10"/>
  <c r="A94" i="10"/>
  <c r="A95" i="10"/>
  <c r="A96" i="10"/>
  <c r="A97" i="10"/>
  <c r="A98" i="10"/>
  <c r="A99" i="10"/>
  <c r="A103" i="10"/>
  <c r="A104" i="10"/>
  <c r="A106" i="10"/>
  <c r="A107" i="10"/>
  <c r="A108" i="10"/>
  <c r="A109" i="10"/>
  <c r="A110" i="10"/>
  <c r="A111" i="10"/>
  <c r="A112" i="10"/>
  <c r="A113" i="10"/>
  <c r="A114" i="10"/>
  <c r="A115" i="10"/>
  <c r="A116" i="10"/>
  <c r="A117" i="10"/>
  <c r="A118" i="10"/>
  <c r="A119" i="10"/>
  <c r="A120" i="10"/>
  <c r="A121" i="10"/>
  <c r="A122" i="10"/>
  <c r="A123" i="10"/>
  <c r="A124" i="10"/>
  <c r="A125" i="10"/>
  <c r="A126" i="10"/>
  <c r="A127" i="10"/>
  <c r="A128" i="10"/>
  <c r="A129" i="10"/>
  <c r="A130" i="10"/>
  <c r="A131" i="10"/>
  <c r="A132" i="10"/>
  <c r="A133" i="10"/>
  <c r="A134" i="10"/>
  <c r="A135" i="10"/>
  <c r="A136" i="10"/>
  <c r="A137" i="10"/>
  <c r="A138" i="10"/>
  <c r="A139" i="10"/>
  <c r="A140" i="10"/>
  <c r="A141" i="10"/>
  <c r="A142" i="10"/>
  <c r="A143" i="10"/>
  <c r="A144" i="10"/>
  <c r="A145" i="10"/>
  <c r="A147" i="10"/>
  <c r="A148" i="10"/>
  <c r="A149" i="10"/>
  <c r="A150" i="10"/>
  <c r="A151" i="10"/>
  <c r="A152" i="10"/>
  <c r="A153" i="10"/>
  <c r="A154" i="10"/>
  <c r="A155" i="10"/>
  <c r="A156" i="10"/>
  <c r="A157" i="10"/>
  <c r="A158" i="10"/>
  <c r="A159" i="10"/>
  <c r="B161" i="10"/>
  <c r="C161" i="10"/>
  <c r="D161" i="10"/>
  <c r="A162" i="10"/>
  <c r="A163" i="10"/>
  <c r="A164" i="10"/>
  <c r="A165" i="10"/>
  <c r="A166" i="10"/>
  <c r="A167" i="10"/>
  <c r="A168" i="10"/>
  <c r="A169" i="10"/>
  <c r="A170" i="10"/>
  <c r="A171" i="10"/>
  <c r="A172" i="10"/>
  <c r="A173" i="10"/>
  <c r="A174" i="10"/>
  <c r="A178" i="10"/>
  <c r="A179" i="10"/>
  <c r="A181" i="10"/>
  <c r="A182" i="10"/>
  <c r="A183" i="10"/>
  <c r="A184" i="10"/>
  <c r="A185" i="10"/>
  <c r="A186" i="10"/>
  <c r="A187" i="10"/>
  <c r="A188" i="10"/>
  <c r="A189" i="10"/>
  <c r="A190" i="10"/>
  <c r="A191" i="10"/>
  <c r="A192" i="10"/>
  <c r="A193" i="10"/>
  <c r="A194" i="10"/>
  <c r="A195" i="10"/>
  <c r="A196" i="10"/>
  <c r="A197" i="10"/>
  <c r="A198" i="10"/>
  <c r="A199" i="10"/>
  <c r="A200" i="10"/>
  <c r="A201" i="10"/>
  <c r="A202" i="10"/>
  <c r="A203" i="10"/>
  <c r="A204" i="10"/>
  <c r="A205" i="10"/>
  <c r="A206" i="10"/>
  <c r="A207" i="10"/>
  <c r="A208" i="10"/>
  <c r="A209" i="10"/>
  <c r="A210" i="10"/>
  <c r="A211" i="10"/>
  <c r="A212" i="10"/>
  <c r="A213" i="10"/>
  <c r="A214" i="10"/>
  <c r="A215" i="10"/>
  <c r="A216" i="10"/>
  <c r="A217" i="10"/>
  <c r="A218" i="10"/>
  <c r="A219" i="10"/>
  <c r="A220" i="10"/>
  <c r="A222" i="10"/>
  <c r="A223" i="10"/>
  <c r="A224" i="10"/>
  <c r="A225" i="10"/>
  <c r="E225" i="10"/>
  <c r="A226" i="10"/>
  <c r="E226" i="10"/>
  <c r="A227" i="10"/>
  <c r="E227" i="10"/>
  <c r="A228" i="10"/>
  <c r="A229" i="10"/>
  <c r="E229" i="10"/>
  <c r="A230" i="10"/>
  <c r="E230" i="10"/>
  <c r="A231" i="10"/>
  <c r="E231" i="10"/>
  <c r="A232" i="10"/>
  <c r="E232" i="10"/>
  <c r="A233" i="10"/>
  <c r="E233" i="10"/>
  <c r="A234" i="10"/>
  <c r="E234" i="10"/>
  <c r="A235" i="10"/>
  <c r="E235" i="10"/>
  <c r="A236" i="10"/>
  <c r="A237" i="10"/>
  <c r="A238" i="10"/>
  <c r="E238" i="10"/>
  <c r="A239" i="10"/>
  <c r="E239" i="10"/>
  <c r="A240" i="10"/>
  <c r="E240" i="10"/>
  <c r="A241" i="10"/>
  <c r="A242" i="10"/>
  <c r="E242" i="10"/>
  <c r="A243" i="10"/>
  <c r="E243" i="10"/>
  <c r="A244" i="10"/>
  <c r="E244" i="10"/>
  <c r="A245" i="10"/>
  <c r="E245" i="10"/>
  <c r="A246" i="10"/>
  <c r="E246" i="10"/>
  <c r="A247" i="10"/>
  <c r="E247" i="10"/>
  <c r="A248" i="10"/>
  <c r="E248" i="10"/>
  <c r="A249" i="10"/>
  <c r="E249" i="10"/>
  <c r="A250" i="10"/>
  <c r="A251" i="10"/>
  <c r="E251" i="10"/>
  <c r="A252" i="10"/>
  <c r="E252" i="10"/>
  <c r="A253" i="10"/>
  <c r="E253" i="10"/>
  <c r="A254" i="10"/>
  <c r="A255" i="10"/>
  <c r="E255" i="10"/>
  <c r="A256" i="10"/>
  <c r="E256" i="10"/>
  <c r="A257" i="10"/>
  <c r="E257" i="10"/>
  <c r="A258" i="10"/>
  <c r="E258" i="10"/>
  <c r="A259" i="10"/>
  <c r="E259" i="10"/>
  <c r="A260" i="10"/>
  <c r="E260" i="10"/>
  <c r="A261" i="10"/>
  <c r="E261" i="10"/>
  <c r="A265" i="10"/>
  <c r="A266" i="10"/>
  <c r="A268" i="10"/>
  <c r="A269" i="10"/>
  <c r="A270" i="10"/>
  <c r="B270" i="10"/>
  <c r="C270" i="10"/>
  <c r="D270" i="10"/>
  <c r="F270" i="10"/>
  <c r="G270" i="10"/>
  <c r="H270" i="10"/>
  <c r="J270" i="10"/>
  <c r="K270" i="10"/>
  <c r="L270" i="10"/>
  <c r="N270" i="10"/>
  <c r="O270" i="10"/>
  <c r="P270" i="10"/>
  <c r="R270" i="10"/>
  <c r="S270" i="10"/>
  <c r="T270" i="10"/>
  <c r="V270" i="10"/>
  <c r="W270" i="10"/>
  <c r="X270" i="10"/>
  <c r="A271" i="10"/>
  <c r="B271" i="10"/>
  <c r="C271" i="10"/>
  <c r="D271" i="10"/>
  <c r="F271" i="10"/>
  <c r="G271" i="10"/>
  <c r="H271" i="10"/>
  <c r="J271" i="10"/>
  <c r="K271" i="10"/>
  <c r="L271" i="10"/>
  <c r="N271" i="10"/>
  <c r="O271" i="10"/>
  <c r="P271" i="10"/>
  <c r="R271" i="10"/>
  <c r="S271" i="10"/>
  <c r="T271" i="10"/>
  <c r="V271" i="10"/>
  <c r="W271" i="10"/>
  <c r="X271" i="10"/>
  <c r="A272" i="10"/>
  <c r="A273" i="10"/>
  <c r="B273" i="10"/>
  <c r="C273" i="10"/>
  <c r="D273" i="10"/>
  <c r="F273" i="10"/>
  <c r="G273" i="10"/>
  <c r="H273" i="10"/>
  <c r="J273" i="10"/>
  <c r="K273" i="10"/>
  <c r="L273" i="10"/>
  <c r="N273" i="10"/>
  <c r="O273" i="10"/>
  <c r="P273" i="10"/>
  <c r="R273" i="10"/>
  <c r="S273" i="10"/>
  <c r="T273" i="10"/>
  <c r="V273" i="10"/>
  <c r="W273" i="10"/>
  <c r="X273" i="10"/>
  <c r="A274" i="10"/>
  <c r="B274" i="10"/>
  <c r="C274" i="10"/>
  <c r="D274" i="10"/>
  <c r="F274" i="10"/>
  <c r="G274" i="10"/>
  <c r="H274" i="10"/>
  <c r="J274" i="10"/>
  <c r="K274" i="10"/>
  <c r="L274" i="10"/>
  <c r="N274" i="10"/>
  <c r="O274" i="10"/>
  <c r="P274" i="10"/>
  <c r="R274" i="10"/>
  <c r="S274" i="10"/>
  <c r="T274" i="10"/>
  <c r="V274" i="10"/>
  <c r="W274" i="10"/>
  <c r="X274" i="10"/>
  <c r="A276" i="10"/>
  <c r="A277" i="10"/>
  <c r="A278" i="10"/>
  <c r="A279" i="10"/>
  <c r="A280" i="10"/>
  <c r="A281" i="10"/>
  <c r="A282" i="10"/>
  <c r="A283" i="10"/>
  <c r="A284" i="10"/>
  <c r="A285" i="10"/>
  <c r="A286" i="10"/>
  <c r="A287" i="10"/>
  <c r="A288" i="10"/>
  <c r="A290" i="10"/>
  <c r="A291" i="10"/>
  <c r="A292" i="10"/>
  <c r="B292" i="10"/>
  <c r="B278" i="10" s="1"/>
  <c r="C292" i="10"/>
  <c r="C278" i="10" s="1"/>
  <c r="D292" i="10"/>
  <c r="D278" i="10" s="1"/>
  <c r="F292" i="10"/>
  <c r="F278" i="10" s="1"/>
  <c r="F669" i="9" s="1"/>
  <c r="G292" i="10"/>
  <c r="G278" i="10" s="1"/>
  <c r="H292" i="10"/>
  <c r="H278" i="10" s="1"/>
  <c r="J292" i="10"/>
  <c r="J278" i="10" s="1"/>
  <c r="K292" i="10"/>
  <c r="K278" i="10" s="1"/>
  <c r="L292" i="10"/>
  <c r="L278" i="10" s="1"/>
  <c r="N292" i="10"/>
  <c r="N278" i="10" s="1"/>
  <c r="O292" i="10"/>
  <c r="O278" i="10" s="1"/>
  <c r="P292" i="10"/>
  <c r="P278" i="10" s="1"/>
  <c r="R292" i="10"/>
  <c r="R278" i="10" s="1"/>
  <c r="S292" i="10"/>
  <c r="S278" i="10" s="1"/>
  <c r="T292" i="10"/>
  <c r="T278" i="10" s="1"/>
  <c r="V292" i="10"/>
  <c r="V278" i="10" s="1"/>
  <c r="W292" i="10"/>
  <c r="W278" i="10" s="1"/>
  <c r="X292" i="10"/>
  <c r="X278" i="10" s="1"/>
  <c r="A293" i="10"/>
  <c r="B293" i="10"/>
  <c r="B279" i="10" s="1"/>
  <c r="C293" i="10"/>
  <c r="C279" i="10" s="1"/>
  <c r="D293" i="10"/>
  <c r="D279" i="10" s="1"/>
  <c r="F293" i="10"/>
  <c r="F279" i="10" s="1"/>
  <c r="G293" i="10"/>
  <c r="G279" i="10" s="1"/>
  <c r="H293" i="10"/>
  <c r="H279" i="10" s="1"/>
  <c r="J293" i="10"/>
  <c r="J279" i="10" s="1"/>
  <c r="K293" i="10"/>
  <c r="K279" i="10" s="1"/>
  <c r="L293" i="10"/>
  <c r="L279" i="10" s="1"/>
  <c r="N293" i="10"/>
  <c r="N279" i="10" s="1"/>
  <c r="O293" i="10"/>
  <c r="O279" i="10" s="1"/>
  <c r="P293" i="10"/>
  <c r="P279" i="10" s="1"/>
  <c r="R293" i="10"/>
  <c r="R279" i="10" s="1"/>
  <c r="S293" i="10"/>
  <c r="S279" i="10" s="1"/>
  <c r="T293" i="10"/>
  <c r="T279" i="10" s="1"/>
  <c r="V293" i="10"/>
  <c r="V279" i="10" s="1"/>
  <c r="W293" i="10"/>
  <c r="W279" i="10" s="1"/>
  <c r="X293" i="10"/>
  <c r="X279" i="10" s="1"/>
  <c r="A294" i="10"/>
  <c r="A295" i="10"/>
  <c r="A296" i="10"/>
  <c r="B296" i="10"/>
  <c r="B282" i="10" s="1"/>
  <c r="C296" i="10"/>
  <c r="C282" i="10" s="1"/>
  <c r="D296" i="10"/>
  <c r="D282" i="10" s="1"/>
  <c r="F296" i="10"/>
  <c r="F282" i="10" s="1"/>
  <c r="G296" i="10"/>
  <c r="G282" i="10" s="1"/>
  <c r="H296" i="10"/>
  <c r="H282" i="10" s="1"/>
  <c r="J296" i="10"/>
  <c r="J282" i="10" s="1"/>
  <c r="I682" i="9" s="1"/>
  <c r="K296" i="10"/>
  <c r="K282" i="10" s="1"/>
  <c r="L296" i="10"/>
  <c r="L282" i="10" s="1"/>
  <c r="N296" i="10"/>
  <c r="N282" i="10" s="1"/>
  <c r="O296" i="10"/>
  <c r="O282" i="10" s="1"/>
  <c r="P296" i="10"/>
  <c r="P282" i="10" s="1"/>
  <c r="R296" i="10"/>
  <c r="R282" i="10" s="1"/>
  <c r="S296" i="10"/>
  <c r="S282" i="10" s="1"/>
  <c r="T296" i="10"/>
  <c r="T282" i="10" s="1"/>
  <c r="V296" i="10"/>
  <c r="V282" i="10" s="1"/>
  <c r="W296" i="10"/>
  <c r="W282" i="10" s="1"/>
  <c r="X296" i="10"/>
  <c r="X282" i="10" s="1"/>
  <c r="A297" i="10"/>
  <c r="B297" i="10"/>
  <c r="B283" i="10" s="1"/>
  <c r="C297" i="10"/>
  <c r="C283" i="10" s="1"/>
  <c r="D297" i="10"/>
  <c r="D283" i="10" s="1"/>
  <c r="F297" i="10"/>
  <c r="F283" i="10" s="1"/>
  <c r="G297" i="10"/>
  <c r="G283" i="10" s="1"/>
  <c r="H297" i="10"/>
  <c r="H283" i="10" s="1"/>
  <c r="J297" i="10"/>
  <c r="J283" i="10" s="1"/>
  <c r="K297" i="10"/>
  <c r="K283" i="10" s="1"/>
  <c r="L297" i="10"/>
  <c r="L283" i="10" s="1"/>
  <c r="N297" i="10"/>
  <c r="N283" i="10" s="1"/>
  <c r="O297" i="10"/>
  <c r="O283" i="10" s="1"/>
  <c r="P297" i="10"/>
  <c r="P283" i="10" s="1"/>
  <c r="R297" i="10"/>
  <c r="R283" i="10" s="1"/>
  <c r="S297" i="10"/>
  <c r="S283" i="10" s="1"/>
  <c r="T297" i="10"/>
  <c r="T283" i="10" s="1"/>
  <c r="V297" i="10"/>
  <c r="V283" i="10" s="1"/>
  <c r="W297" i="10"/>
  <c r="W283" i="10" s="1"/>
  <c r="X297" i="10"/>
  <c r="X283" i="10" s="1"/>
  <c r="A298" i="10"/>
  <c r="A299" i="10"/>
  <c r="A300" i="10"/>
  <c r="A301" i="10"/>
  <c r="A302" i="10"/>
  <c r="A1" i="11"/>
  <c r="A3" i="11"/>
  <c r="A4" i="11"/>
  <c r="A5" i="11"/>
  <c r="A6" i="11"/>
  <c r="A7" i="11"/>
  <c r="A8" i="11"/>
  <c r="A10" i="11"/>
  <c r="A11" i="11"/>
  <c r="A12" i="11"/>
  <c r="A13" i="11"/>
  <c r="A14" i="11"/>
  <c r="A15" i="11"/>
  <c r="A16" i="11"/>
  <c r="A17" i="11"/>
  <c r="A18" i="11"/>
  <c r="A19" i="11"/>
  <c r="A20" i="11"/>
  <c r="A21" i="11"/>
  <c r="A22" i="11"/>
  <c r="A23" i="11"/>
  <c r="A24" i="11"/>
  <c r="A25" i="11"/>
  <c r="A26" i="11"/>
  <c r="A27" i="11"/>
  <c r="A28" i="11"/>
  <c r="A29" i="11"/>
  <c r="A30" i="11"/>
  <c r="A31" i="11"/>
  <c r="A32" i="11"/>
  <c r="A33" i="11"/>
  <c r="A34" i="11"/>
  <c r="A35" i="11"/>
  <c r="A36" i="11"/>
  <c r="A37" i="11"/>
  <c r="A38" i="11"/>
  <c r="A39" i="11"/>
  <c r="A40" i="11"/>
  <c r="A41" i="11"/>
  <c r="A42" i="11"/>
  <c r="A43" i="11"/>
  <c r="A44" i="11"/>
  <c r="A45" i="11"/>
  <c r="A46" i="11"/>
  <c r="A47" i="11"/>
  <c r="A48" i="11"/>
  <c r="A49" i="11"/>
  <c r="A51" i="11"/>
  <c r="A52" i="11"/>
  <c r="A53" i="11"/>
  <c r="A54" i="11"/>
  <c r="A55" i="11"/>
  <c r="A56" i="11"/>
  <c r="A57" i="11"/>
  <c r="A58" i="11"/>
  <c r="A59" i="11"/>
  <c r="A60" i="11"/>
  <c r="A61" i="11"/>
  <c r="A62" i="11"/>
  <c r="A63" i="11"/>
  <c r="A64" i="11"/>
  <c r="A65" i="11"/>
  <c r="A66" i="11"/>
  <c r="A67" i="11"/>
  <c r="A68" i="11"/>
  <c r="A69" i="11"/>
  <c r="A70" i="11"/>
  <c r="A71" i="11"/>
  <c r="A72" i="11"/>
  <c r="A73" i="11"/>
  <c r="A74" i="11"/>
  <c r="A75" i="11"/>
  <c r="A76" i="11"/>
  <c r="A77" i="11"/>
  <c r="A78" i="11"/>
  <c r="A79" i="11"/>
  <c r="A80" i="11"/>
  <c r="A81" i="11"/>
  <c r="A82" i="11"/>
  <c r="A83" i="11"/>
  <c r="A84" i="11"/>
  <c r="A85" i="11"/>
  <c r="A86" i="11"/>
  <c r="A87" i="11"/>
  <c r="A88" i="11"/>
  <c r="A89" i="11"/>
  <c r="A90" i="11"/>
  <c r="A92" i="11"/>
  <c r="A93" i="11"/>
  <c r="A94" i="11"/>
  <c r="A95" i="11"/>
  <c r="A96" i="11"/>
  <c r="A97" i="11"/>
  <c r="A98" i="11"/>
  <c r="A99" i="11"/>
  <c r="A100" i="11"/>
  <c r="A101" i="11"/>
  <c r="A102" i="11"/>
  <c r="A103" i="11"/>
  <c r="A104" i="11"/>
  <c r="A105" i="11"/>
  <c r="A106" i="11"/>
  <c r="A107" i="11"/>
  <c r="A108" i="11"/>
  <c r="A109" i="11"/>
  <c r="A110" i="11"/>
  <c r="A111" i="11"/>
  <c r="A112" i="11"/>
  <c r="A113" i="11"/>
  <c r="A114" i="11"/>
  <c r="A115" i="11"/>
  <c r="A116" i="11"/>
  <c r="A117" i="11"/>
  <c r="A118" i="11"/>
  <c r="A119" i="11"/>
  <c r="A120" i="11"/>
  <c r="A121" i="11"/>
  <c r="A122" i="11"/>
  <c r="A123" i="11"/>
  <c r="A124" i="11"/>
  <c r="A125" i="11"/>
  <c r="A126" i="11"/>
  <c r="A127" i="11"/>
  <c r="A128" i="11"/>
  <c r="A129" i="11"/>
  <c r="A130" i="11"/>
  <c r="A131" i="11"/>
  <c r="A132" i="11"/>
  <c r="A133" i="11"/>
  <c r="A134" i="11"/>
  <c r="A135" i="11"/>
  <c r="A136" i="11"/>
  <c r="A137" i="11"/>
  <c r="A138" i="11"/>
  <c r="A139" i="11"/>
  <c r="A140" i="11"/>
  <c r="A141" i="11"/>
  <c r="A142" i="11"/>
  <c r="A143" i="11"/>
  <c r="A144" i="11"/>
  <c r="A145" i="11"/>
  <c r="A146" i="11"/>
  <c r="A147" i="11"/>
  <c r="A148" i="11"/>
  <c r="A149" i="11"/>
  <c r="A150" i="11"/>
  <c r="A151" i="11"/>
  <c r="A152" i="11"/>
  <c r="A153" i="11"/>
  <c r="A154" i="11"/>
  <c r="A155" i="11"/>
  <c r="A156" i="11"/>
  <c r="A157" i="11"/>
  <c r="A158" i="11"/>
  <c r="A159" i="11"/>
  <c r="A160" i="11"/>
  <c r="A161" i="11"/>
  <c r="A162" i="11"/>
  <c r="A163" i="11"/>
  <c r="A164" i="11"/>
  <c r="A165" i="11"/>
  <c r="A166" i="11"/>
  <c r="A167" i="11"/>
  <c r="A168" i="11"/>
  <c r="A169" i="11"/>
  <c r="A170" i="11"/>
  <c r="A171" i="11"/>
  <c r="A172" i="11"/>
  <c r="A173" i="11"/>
  <c r="A174" i="11"/>
  <c r="A175" i="11"/>
  <c r="A176" i="11"/>
  <c r="A177" i="11"/>
  <c r="A178" i="11"/>
  <c r="A179" i="11"/>
  <c r="A180" i="11"/>
  <c r="A181" i="11"/>
  <c r="A182" i="11"/>
  <c r="A183" i="11"/>
  <c r="A184" i="11"/>
  <c r="A185" i="11"/>
  <c r="A186" i="11"/>
  <c r="A187" i="11"/>
  <c r="A188" i="11"/>
  <c r="A189" i="11"/>
  <c r="A190" i="11"/>
  <c r="A191" i="11"/>
  <c r="A192" i="11"/>
  <c r="A193" i="11"/>
  <c r="A194" i="11"/>
  <c r="A195" i="11"/>
  <c r="A196" i="11"/>
  <c r="A197" i="11"/>
  <c r="A198" i="11"/>
  <c r="A199" i="11"/>
  <c r="A200" i="11"/>
  <c r="A201" i="11"/>
  <c r="A202" i="11"/>
  <c r="A203" i="11"/>
  <c r="A204" i="11"/>
  <c r="A205" i="11"/>
  <c r="A206" i="11"/>
  <c r="A207" i="11"/>
  <c r="A208" i="11"/>
  <c r="A209" i="11"/>
  <c r="A210" i="11"/>
  <c r="A211" i="11"/>
  <c r="A212" i="11"/>
  <c r="A214" i="11"/>
  <c r="A216" i="11"/>
  <c r="A217" i="11"/>
  <c r="A218" i="11"/>
  <c r="A219" i="11"/>
  <c r="A220" i="11"/>
  <c r="A221" i="11"/>
  <c r="A222" i="11"/>
  <c r="A223" i="11"/>
  <c r="A224" i="11"/>
  <c r="A225" i="11"/>
  <c r="A226" i="11"/>
  <c r="A227" i="11"/>
  <c r="A228" i="11"/>
  <c r="A229" i="11"/>
  <c r="A230" i="11"/>
  <c r="A231" i="11"/>
  <c r="A232" i="11"/>
  <c r="A233" i="11"/>
  <c r="A234" i="11"/>
  <c r="A235" i="11"/>
  <c r="A236" i="11"/>
  <c r="A237" i="11"/>
  <c r="A238" i="11"/>
  <c r="A239" i="11"/>
  <c r="A240" i="11"/>
  <c r="A241" i="11"/>
  <c r="A242" i="11"/>
  <c r="A243" i="11"/>
  <c r="A244" i="11"/>
  <c r="A245" i="11"/>
  <c r="A246" i="11"/>
  <c r="A247" i="11"/>
  <c r="A248" i="11"/>
  <c r="A249" i="11"/>
  <c r="A250" i="11"/>
  <c r="A251" i="11"/>
  <c r="A252" i="11"/>
  <c r="A253" i="11"/>
  <c r="A254" i="11"/>
  <c r="A255" i="11"/>
  <c r="A256" i="11"/>
  <c r="A257" i="11"/>
  <c r="A258" i="11"/>
  <c r="A259" i="11"/>
  <c r="A260" i="11"/>
  <c r="A261" i="11"/>
  <c r="A262" i="11"/>
  <c r="A263" i="11"/>
  <c r="A264" i="11"/>
  <c r="A265" i="11"/>
  <c r="A266" i="11"/>
  <c r="A267" i="11"/>
  <c r="A268" i="11"/>
  <c r="A269" i="11"/>
  <c r="A270" i="11"/>
  <c r="A271" i="11"/>
  <c r="A272" i="11"/>
  <c r="A273" i="11"/>
  <c r="A274" i="11"/>
  <c r="A275" i="11"/>
  <c r="A276" i="11"/>
  <c r="A277" i="11"/>
  <c r="A278" i="11"/>
  <c r="A279" i="11"/>
  <c r="A280" i="11"/>
  <c r="A281" i="11"/>
  <c r="A282" i="11"/>
  <c r="A283" i="11"/>
  <c r="A284" i="11"/>
  <c r="A285" i="11"/>
  <c r="A286" i="11"/>
  <c r="A287" i="11"/>
  <c r="A288" i="11"/>
  <c r="A289" i="11"/>
  <c r="A290" i="11"/>
  <c r="A291" i="11"/>
  <c r="A292" i="11"/>
  <c r="A293" i="11"/>
  <c r="A294" i="11"/>
  <c r="A295" i="11"/>
  <c r="A296" i="11"/>
  <c r="A297" i="11"/>
  <c r="A298" i="11"/>
  <c r="A299" i="11"/>
  <c r="A300" i="11"/>
  <c r="A301" i="11"/>
  <c r="A302" i="11"/>
  <c r="A303" i="11"/>
  <c r="A304" i="11"/>
  <c r="A305" i="11"/>
  <c r="A306" i="11"/>
  <c r="A307" i="11"/>
  <c r="A308" i="11"/>
  <c r="A312" i="11"/>
  <c r="A313" i="11"/>
  <c r="A314" i="11"/>
  <c r="A315" i="11"/>
  <c r="A317" i="11"/>
  <c r="A318" i="11"/>
  <c r="A319" i="11"/>
  <c r="A320" i="11"/>
  <c r="A321" i="11"/>
  <c r="A322" i="11"/>
  <c r="A323" i="11"/>
  <c r="A324" i="11"/>
  <c r="A325" i="11"/>
  <c r="A326" i="11"/>
  <c r="A327" i="11"/>
  <c r="A328" i="11"/>
  <c r="A329" i="11"/>
  <c r="A331" i="11"/>
  <c r="A332" i="11"/>
  <c r="A333" i="11"/>
  <c r="B333" i="11"/>
  <c r="C333" i="11"/>
  <c r="D333" i="11"/>
  <c r="F333" i="11"/>
  <c r="G333" i="11"/>
  <c r="H333" i="11"/>
  <c r="J333" i="11"/>
  <c r="K333" i="11"/>
  <c r="L333" i="11"/>
  <c r="N333" i="11"/>
  <c r="O333" i="11"/>
  <c r="P333" i="11"/>
  <c r="R333" i="11"/>
  <c r="S333" i="11"/>
  <c r="T333" i="11"/>
  <c r="V333" i="11"/>
  <c r="W333" i="11"/>
  <c r="X333" i="11"/>
  <c r="A334" i="11"/>
  <c r="B334" i="11"/>
  <c r="C334" i="11"/>
  <c r="D334" i="11"/>
  <c r="D335" i="11" s="1"/>
  <c r="F334" i="11"/>
  <c r="G334" i="11"/>
  <c r="H334" i="11"/>
  <c r="H335" i="11" s="1"/>
  <c r="J334" i="11"/>
  <c r="K334" i="11"/>
  <c r="L334" i="11"/>
  <c r="L335" i="11" s="1"/>
  <c r="N334" i="11"/>
  <c r="O334" i="11"/>
  <c r="P334" i="11"/>
  <c r="P335" i="11" s="1"/>
  <c r="R334" i="11"/>
  <c r="S334" i="11"/>
  <c r="T334" i="11"/>
  <c r="T335" i="11" s="1"/>
  <c r="V334" i="11"/>
  <c r="W334" i="11"/>
  <c r="X334" i="11"/>
  <c r="X335" i="11" s="1"/>
  <c r="A335" i="11"/>
  <c r="A336" i="11"/>
  <c r="A337" i="11"/>
  <c r="B337" i="11"/>
  <c r="C337" i="11"/>
  <c r="E337" i="11" s="1"/>
  <c r="D337" i="11"/>
  <c r="F337" i="11"/>
  <c r="G337" i="11"/>
  <c r="H337" i="11"/>
  <c r="J337" i="11"/>
  <c r="K337" i="11"/>
  <c r="L337" i="11"/>
  <c r="N337" i="11"/>
  <c r="O337" i="11"/>
  <c r="P337" i="11"/>
  <c r="R337" i="11"/>
  <c r="S337" i="11"/>
  <c r="U337" i="11" s="1"/>
  <c r="T337" i="11"/>
  <c r="V337" i="11"/>
  <c r="W337" i="11"/>
  <c r="X337" i="11"/>
  <c r="A338" i="11"/>
  <c r="B338" i="11"/>
  <c r="C338" i="11"/>
  <c r="D338" i="11"/>
  <c r="D339" i="11" s="1"/>
  <c r="F338" i="11"/>
  <c r="G338" i="11"/>
  <c r="H338" i="11"/>
  <c r="J338" i="11"/>
  <c r="K338" i="11"/>
  <c r="L338" i="11"/>
  <c r="L339" i="11" s="1"/>
  <c r="N338" i="11"/>
  <c r="O338" i="11"/>
  <c r="P338" i="11"/>
  <c r="P339" i="11" s="1"/>
  <c r="R338" i="11"/>
  <c r="S338" i="11"/>
  <c r="T338" i="11"/>
  <c r="T339" i="11" s="1"/>
  <c r="V338" i="11"/>
  <c r="W338" i="11"/>
  <c r="X338" i="11"/>
  <c r="X339" i="11" s="1"/>
  <c r="A339" i="11"/>
  <c r="A340" i="11"/>
  <c r="A341" i="11"/>
  <c r="B341" i="11"/>
  <c r="C341" i="11"/>
  <c r="E341" i="11" s="1"/>
  <c r="D341" i="11"/>
  <c r="F341" i="11"/>
  <c r="G341" i="11"/>
  <c r="H341" i="11"/>
  <c r="J341" i="11"/>
  <c r="K341" i="11"/>
  <c r="L341" i="11"/>
  <c r="N341" i="11"/>
  <c r="O341" i="11"/>
  <c r="P341" i="11"/>
  <c r="R341" i="11"/>
  <c r="S341" i="11"/>
  <c r="U341" i="11" s="1"/>
  <c r="T341" i="11"/>
  <c r="V341" i="11"/>
  <c r="W341" i="11"/>
  <c r="X341" i="11"/>
  <c r="A342" i="11"/>
  <c r="B342" i="11"/>
  <c r="C342" i="11"/>
  <c r="D342" i="11"/>
  <c r="F342" i="11"/>
  <c r="G342" i="11"/>
  <c r="H342" i="11"/>
  <c r="J342" i="11"/>
  <c r="K342" i="11"/>
  <c r="L342" i="11"/>
  <c r="N342" i="11"/>
  <c r="O342" i="11"/>
  <c r="P342" i="11"/>
  <c r="R342" i="11"/>
  <c r="S342" i="11"/>
  <c r="T342" i="11"/>
  <c r="V342" i="11"/>
  <c r="W342" i="11"/>
  <c r="X342" i="11"/>
  <c r="A343" i="11"/>
  <c r="A346" i="11"/>
  <c r="A347" i="11"/>
  <c r="A349" i="11"/>
  <c r="A350" i="11"/>
  <c r="A351" i="11"/>
  <c r="A352" i="11"/>
  <c r="A353" i="11"/>
  <c r="A354" i="11"/>
  <c r="A355" i="11"/>
  <c r="A356" i="11"/>
  <c r="A357" i="11"/>
  <c r="A358" i="11"/>
  <c r="A359" i="11"/>
  <c r="A360" i="11"/>
  <c r="A361" i="11"/>
  <c r="A362" i="11"/>
  <c r="A363" i="11"/>
  <c r="A364" i="11"/>
  <c r="A365" i="11"/>
  <c r="A366" i="11"/>
  <c r="A367" i="11"/>
  <c r="A368" i="11"/>
  <c r="A369" i="11"/>
  <c r="A370" i="11"/>
  <c r="A371" i="11"/>
  <c r="A372" i="11"/>
  <c r="A373" i="11"/>
  <c r="A374" i="11"/>
  <c r="A375" i="11"/>
  <c r="A376" i="11"/>
  <c r="A377" i="11"/>
  <c r="A378" i="11"/>
  <c r="A379" i="11"/>
  <c r="A380" i="11"/>
  <c r="A381" i="11"/>
  <c r="A382" i="11"/>
  <c r="A383" i="11"/>
  <c r="A384" i="11"/>
  <c r="A385" i="11"/>
  <c r="A386" i="11"/>
  <c r="A387" i="11"/>
  <c r="A388" i="11"/>
  <c r="A389" i="11"/>
  <c r="A390" i="11"/>
  <c r="A391" i="11"/>
  <c r="A392" i="11"/>
  <c r="A393" i="11"/>
  <c r="A394" i="11"/>
  <c r="A395" i="11"/>
  <c r="A396" i="11"/>
  <c r="A397" i="11"/>
  <c r="A398" i="11"/>
  <c r="A399" i="11"/>
  <c r="A400" i="11"/>
  <c r="A402" i="11"/>
  <c r="A403" i="11"/>
  <c r="A405" i="11"/>
  <c r="A406" i="11"/>
  <c r="A407" i="11"/>
  <c r="A408" i="11"/>
  <c r="A409" i="11"/>
  <c r="A410" i="11"/>
  <c r="A411" i="11"/>
  <c r="A412" i="11"/>
  <c r="A413" i="11"/>
  <c r="A414" i="11"/>
  <c r="A415" i="11"/>
  <c r="A416" i="11"/>
  <c r="A417" i="11"/>
  <c r="A418" i="11"/>
  <c r="A419" i="11"/>
  <c r="A420" i="11"/>
  <c r="A421" i="11"/>
  <c r="A422" i="11"/>
  <c r="A423" i="11"/>
  <c r="A424" i="11"/>
  <c r="A425" i="11"/>
  <c r="A426" i="11"/>
  <c r="A427" i="11"/>
  <c r="A428" i="11"/>
  <c r="A429" i="11"/>
  <c r="A430" i="11"/>
  <c r="A431" i="11"/>
  <c r="A432" i="11"/>
  <c r="A433" i="11"/>
  <c r="A434" i="11"/>
  <c r="A435" i="11"/>
  <c r="A436" i="11"/>
  <c r="A437" i="11"/>
  <c r="A438" i="11"/>
  <c r="A439" i="11"/>
  <c r="A440" i="11"/>
  <c r="A441" i="11"/>
  <c r="A442" i="11"/>
  <c r="A443" i="11"/>
  <c r="A444" i="11"/>
  <c r="A446" i="11"/>
  <c r="A447" i="11"/>
  <c r="A448" i="11"/>
  <c r="A449" i="11"/>
  <c r="A450" i="11"/>
  <c r="A451" i="11"/>
  <c r="A452" i="11"/>
  <c r="A453" i="11"/>
  <c r="A454" i="11"/>
  <c r="A455" i="11"/>
  <c r="A456" i="11"/>
  <c r="A457" i="11"/>
  <c r="A458" i="11"/>
  <c r="A460" i="11"/>
  <c r="A461" i="11"/>
  <c r="A462" i="11"/>
  <c r="A463" i="11"/>
  <c r="A464" i="11"/>
  <c r="A465" i="11"/>
  <c r="A466" i="11"/>
  <c r="A467" i="11"/>
  <c r="A468" i="11"/>
  <c r="A469" i="11"/>
  <c r="A470" i="11"/>
  <c r="A471" i="11"/>
  <c r="A472" i="11"/>
  <c r="A474" i="11"/>
  <c r="A475" i="11"/>
  <c r="A477" i="11"/>
  <c r="A478" i="11"/>
  <c r="A479" i="11"/>
  <c r="A480" i="11"/>
  <c r="A481" i="11"/>
  <c r="A482" i="11"/>
  <c r="A483" i="11"/>
  <c r="A484" i="11"/>
  <c r="A485" i="11"/>
  <c r="A486" i="11"/>
  <c r="A487" i="11"/>
  <c r="A488" i="11"/>
  <c r="A489" i="11"/>
  <c r="A491" i="11"/>
  <c r="A492" i="11"/>
  <c r="A493" i="11"/>
  <c r="A494" i="11"/>
  <c r="A495" i="11"/>
  <c r="A496" i="11"/>
  <c r="A497" i="11"/>
  <c r="A498" i="11"/>
  <c r="A499" i="11"/>
  <c r="A500" i="11"/>
  <c r="A501" i="11"/>
  <c r="A502" i="11"/>
  <c r="A503" i="11"/>
  <c r="A505" i="11"/>
  <c r="A506" i="11"/>
  <c r="A507" i="11"/>
  <c r="A508" i="11"/>
  <c r="A509" i="11"/>
  <c r="A510" i="11"/>
  <c r="A511" i="11"/>
  <c r="A512" i="11"/>
  <c r="A513" i="11"/>
  <c r="A514" i="11"/>
  <c r="A515" i="11"/>
  <c r="A516" i="11"/>
  <c r="A517" i="11"/>
  <c r="A519" i="11"/>
  <c r="A520" i="11"/>
  <c r="A521" i="11"/>
  <c r="A522" i="11"/>
  <c r="A523" i="11"/>
  <c r="A524" i="11"/>
  <c r="A525" i="11"/>
  <c r="A526" i="11"/>
  <c r="A527" i="11"/>
  <c r="A528" i="11"/>
  <c r="A529" i="11"/>
  <c r="A530" i="11"/>
  <c r="A531" i="11"/>
  <c r="A1" i="12"/>
  <c r="A3" i="12"/>
  <c r="A4" i="12"/>
  <c r="A5" i="12"/>
  <c r="A6" i="12"/>
  <c r="A8" i="12"/>
  <c r="A9" i="12"/>
  <c r="A10" i="12"/>
  <c r="A11" i="12"/>
  <c r="A12" i="12"/>
  <c r="A13" i="12"/>
  <c r="A14" i="12"/>
  <c r="A15" i="12"/>
  <c r="A16" i="12"/>
  <c r="A17" i="12"/>
  <c r="A18" i="12"/>
  <c r="A19" i="12"/>
  <c r="A20" i="12"/>
  <c r="A22" i="12"/>
  <c r="A23" i="12"/>
  <c r="A24" i="12"/>
  <c r="A25" i="12"/>
  <c r="A26" i="12"/>
  <c r="A27" i="12"/>
  <c r="A28" i="12"/>
  <c r="A29" i="12"/>
  <c r="A30" i="12"/>
  <c r="A31" i="12"/>
  <c r="A32" i="12"/>
  <c r="A33" i="12"/>
  <c r="A34" i="12"/>
  <c r="A36" i="12"/>
  <c r="A37" i="12"/>
  <c r="A38" i="12"/>
  <c r="A39" i="12"/>
  <c r="A40" i="12"/>
  <c r="A41" i="12"/>
  <c r="A42" i="12"/>
  <c r="A43" i="12"/>
  <c r="A44" i="12"/>
  <c r="A45" i="12"/>
  <c r="A46" i="12"/>
  <c r="A47" i="12"/>
  <c r="A48" i="12"/>
  <c r="A50" i="12"/>
  <c r="A51" i="12"/>
  <c r="A52" i="12"/>
  <c r="A53" i="12"/>
  <c r="A54" i="12"/>
  <c r="A55" i="12"/>
  <c r="A56" i="12"/>
  <c r="A57" i="12"/>
  <c r="A58" i="12"/>
  <c r="A59" i="12"/>
  <c r="A60" i="12"/>
  <c r="A61" i="12"/>
  <c r="A62" i="12"/>
  <c r="A65" i="12"/>
  <c r="A66" i="12"/>
  <c r="A68" i="12"/>
  <c r="A69" i="12"/>
  <c r="A70" i="12"/>
  <c r="A71" i="12"/>
  <c r="A72" i="12"/>
  <c r="A73" i="12"/>
  <c r="A74" i="12"/>
  <c r="A75" i="12"/>
  <c r="A76" i="12"/>
  <c r="A77" i="12"/>
  <c r="A78" i="12"/>
  <c r="A79" i="12"/>
  <c r="A80" i="12"/>
  <c r="A82" i="12"/>
  <c r="A83" i="12"/>
  <c r="A84" i="12"/>
  <c r="B84" i="12"/>
  <c r="C84" i="12"/>
  <c r="E84" i="12" s="1"/>
  <c r="D84" i="12"/>
  <c r="F84" i="12"/>
  <c r="G84" i="12"/>
  <c r="H84" i="12"/>
  <c r="I84" i="12"/>
  <c r="J84" i="12"/>
  <c r="K84" i="12"/>
  <c r="L84" i="12"/>
  <c r="M84" i="12"/>
  <c r="N84" i="12"/>
  <c r="O84" i="12"/>
  <c r="P84" i="12"/>
  <c r="Q84" i="12"/>
  <c r="R84" i="12"/>
  <c r="S84" i="12"/>
  <c r="T84" i="12"/>
  <c r="U84" i="12"/>
  <c r="V84" i="12"/>
  <c r="W84" i="12"/>
  <c r="X84" i="12"/>
  <c r="Y84" i="12"/>
  <c r="A85" i="12"/>
  <c r="B85" i="12"/>
  <c r="B86" i="12" s="1"/>
  <c r="C85" i="12"/>
  <c r="D85" i="12"/>
  <c r="F85" i="12"/>
  <c r="G85" i="12"/>
  <c r="H85" i="12"/>
  <c r="J85" i="12"/>
  <c r="K85" i="12"/>
  <c r="L85" i="12"/>
  <c r="N85" i="12"/>
  <c r="O85" i="12"/>
  <c r="P85" i="12"/>
  <c r="R85" i="12"/>
  <c r="S85" i="12"/>
  <c r="T85" i="12"/>
  <c r="V85" i="12"/>
  <c r="W85" i="12"/>
  <c r="X85" i="12"/>
  <c r="A86" i="12"/>
  <c r="C86" i="12"/>
  <c r="F86" i="12"/>
  <c r="G86" i="12"/>
  <c r="J86" i="12"/>
  <c r="K86" i="12"/>
  <c r="N86" i="12"/>
  <c r="O86" i="12"/>
  <c r="R86" i="12"/>
  <c r="S86" i="12"/>
  <c r="V86" i="12"/>
  <c r="W86" i="12"/>
  <c r="A87" i="12"/>
  <c r="A88" i="12"/>
  <c r="B88" i="12"/>
  <c r="E88" i="12" s="1"/>
  <c r="C88" i="12"/>
  <c r="D88" i="12"/>
  <c r="F88" i="12"/>
  <c r="G88" i="12"/>
  <c r="H88" i="12"/>
  <c r="I88" i="12" s="1"/>
  <c r="J88" i="12"/>
  <c r="K88" i="12"/>
  <c r="L88" i="12"/>
  <c r="M88" i="12" s="1"/>
  <c r="N88" i="12"/>
  <c r="O88" i="12"/>
  <c r="P88" i="12"/>
  <c r="Q88" i="12" s="1"/>
  <c r="R88" i="12"/>
  <c r="S88" i="12"/>
  <c r="T88" i="12"/>
  <c r="U88" i="12"/>
  <c r="V88" i="12"/>
  <c r="W88" i="12"/>
  <c r="X88" i="12"/>
  <c r="Y88" i="12"/>
  <c r="A89" i="12"/>
  <c r="B89" i="12"/>
  <c r="B90" i="12" s="1"/>
  <c r="C89" i="12"/>
  <c r="D89" i="12"/>
  <c r="F89" i="12"/>
  <c r="G89" i="12"/>
  <c r="H89" i="12"/>
  <c r="J89" i="12"/>
  <c r="J90" i="12" s="1"/>
  <c r="K89" i="12"/>
  <c r="L89" i="12"/>
  <c r="N89" i="12"/>
  <c r="O89" i="12"/>
  <c r="O90" i="12" s="1"/>
  <c r="O94" i="12" s="1"/>
  <c r="P89" i="12"/>
  <c r="R89" i="12"/>
  <c r="R90" i="12" s="1"/>
  <c r="S89" i="12"/>
  <c r="T89" i="12"/>
  <c r="V89" i="12"/>
  <c r="W89" i="12"/>
  <c r="X89" i="12"/>
  <c r="A90" i="12"/>
  <c r="C90" i="12"/>
  <c r="F90" i="12"/>
  <c r="G90" i="12"/>
  <c r="K90" i="12"/>
  <c r="N90" i="12"/>
  <c r="S90" i="12"/>
  <c r="V90" i="12"/>
  <c r="V91" i="12" s="1"/>
  <c r="W90" i="12"/>
  <c r="A91" i="12"/>
  <c r="F91" i="12"/>
  <c r="N91" i="12"/>
  <c r="A92" i="12"/>
  <c r="B92" i="12"/>
  <c r="C92" i="12"/>
  <c r="E92" i="12" s="1"/>
  <c r="D92" i="12"/>
  <c r="F92" i="12"/>
  <c r="G92" i="12"/>
  <c r="I92" i="12" s="1"/>
  <c r="H92" i="12"/>
  <c r="J92" i="12"/>
  <c r="K92" i="12"/>
  <c r="M92" i="12" s="1"/>
  <c r="L92" i="12"/>
  <c r="N92" i="12"/>
  <c r="O92" i="12"/>
  <c r="Q92" i="12" s="1"/>
  <c r="P92" i="12"/>
  <c r="R92" i="12"/>
  <c r="U92" i="12" s="1"/>
  <c r="S92" i="12"/>
  <c r="T92" i="12"/>
  <c r="V92" i="12"/>
  <c r="Y92" i="12" s="1"/>
  <c r="W92" i="12"/>
  <c r="X92" i="12"/>
  <c r="A93" i="12"/>
  <c r="B93" i="12"/>
  <c r="C93" i="12"/>
  <c r="D93" i="12"/>
  <c r="F93" i="12"/>
  <c r="G93" i="12"/>
  <c r="H93" i="12"/>
  <c r="J93" i="12"/>
  <c r="K93" i="12"/>
  <c r="L93" i="12"/>
  <c r="M93" i="12" s="1"/>
  <c r="N93" i="12"/>
  <c r="O93" i="12"/>
  <c r="P93" i="12"/>
  <c r="R93" i="12"/>
  <c r="S93" i="12"/>
  <c r="T93" i="12"/>
  <c r="V93" i="12"/>
  <c r="W93" i="12"/>
  <c r="X93" i="12"/>
  <c r="A94" i="12"/>
  <c r="C94" i="12"/>
  <c r="F94" i="12"/>
  <c r="G94" i="12"/>
  <c r="K94" i="12"/>
  <c r="N94" i="12"/>
  <c r="S94" i="12"/>
  <c r="V94" i="12"/>
  <c r="W94" i="12"/>
  <c r="A97" i="12"/>
  <c r="A98" i="12"/>
  <c r="A100" i="12"/>
  <c r="A101" i="12"/>
  <c r="A102" i="12"/>
  <c r="A103" i="12"/>
  <c r="A104" i="12"/>
  <c r="A105" i="12"/>
  <c r="A106" i="12"/>
  <c r="A107" i="12"/>
  <c r="A108" i="12"/>
  <c r="A109" i="12"/>
  <c r="A110" i="12"/>
  <c r="A111" i="12"/>
  <c r="A112" i="12"/>
  <c r="A113" i="12"/>
  <c r="A114" i="12"/>
  <c r="A115" i="12"/>
  <c r="A116" i="12"/>
  <c r="A117" i="12"/>
  <c r="A118" i="12"/>
  <c r="A119" i="12"/>
  <c r="A120" i="12"/>
  <c r="A121" i="12"/>
  <c r="A122" i="12"/>
  <c r="A123" i="12"/>
  <c r="A124" i="12"/>
  <c r="A125" i="12"/>
  <c r="A126" i="12"/>
  <c r="A127" i="12"/>
  <c r="A128" i="12"/>
  <c r="A129" i="12"/>
  <c r="A130" i="12"/>
  <c r="A131" i="12"/>
  <c r="A132" i="12"/>
  <c r="A133" i="12"/>
  <c r="A134" i="12"/>
  <c r="A135" i="12"/>
  <c r="A136" i="12"/>
  <c r="A137" i="12"/>
  <c r="A138" i="12"/>
  <c r="A139" i="12"/>
  <c r="A141" i="12"/>
  <c r="A142" i="12"/>
  <c r="A143" i="12"/>
  <c r="A144" i="12"/>
  <c r="A145" i="12"/>
  <c r="A146" i="12"/>
  <c r="A147" i="12"/>
  <c r="A148" i="12"/>
  <c r="A149" i="12"/>
  <c r="A150" i="12"/>
  <c r="A151" i="12"/>
  <c r="A152" i="12"/>
  <c r="A153" i="12"/>
  <c r="A155" i="12"/>
  <c r="A156" i="12"/>
  <c r="A157" i="12"/>
  <c r="A158" i="12"/>
  <c r="A159" i="12"/>
  <c r="A160" i="12"/>
  <c r="A161" i="12"/>
  <c r="A162" i="12"/>
  <c r="A163" i="12"/>
  <c r="A164" i="12"/>
  <c r="A165" i="12"/>
  <c r="A166" i="12"/>
  <c r="A167" i="12"/>
  <c r="A170" i="12"/>
  <c r="A171" i="12"/>
  <c r="A173" i="12"/>
  <c r="A174" i="12"/>
  <c r="A175" i="12"/>
  <c r="A176" i="12"/>
  <c r="A177" i="12"/>
  <c r="A178" i="12"/>
  <c r="A179" i="12"/>
  <c r="A180" i="12"/>
  <c r="A181" i="12"/>
  <c r="A182" i="12"/>
  <c r="A183" i="12"/>
  <c r="A184" i="12"/>
  <c r="A185" i="12"/>
  <c r="A186" i="12"/>
  <c r="A187" i="12"/>
  <c r="A188" i="12"/>
  <c r="A189" i="12"/>
  <c r="A190" i="12"/>
  <c r="A191" i="12"/>
  <c r="A192" i="12"/>
  <c r="A193" i="12"/>
  <c r="A194" i="12"/>
  <c r="A195" i="12"/>
  <c r="A196" i="12"/>
  <c r="A197" i="12"/>
  <c r="A198" i="12"/>
  <c r="A199" i="12"/>
  <c r="A200" i="12"/>
  <c r="A201" i="12"/>
  <c r="A202" i="12"/>
  <c r="A203" i="12"/>
  <c r="A204" i="12"/>
  <c r="A205" i="12"/>
  <c r="A206" i="12"/>
  <c r="A207" i="12"/>
  <c r="A208" i="12"/>
  <c r="A209" i="12"/>
  <c r="A210" i="12"/>
  <c r="A211" i="12"/>
  <c r="A212" i="12"/>
  <c r="A213" i="12"/>
  <c r="A214" i="12"/>
  <c r="A215" i="12"/>
  <c r="A216" i="12"/>
  <c r="A217" i="12"/>
  <c r="A218" i="12"/>
  <c r="A219" i="12"/>
  <c r="A220" i="12"/>
  <c r="A221" i="12"/>
  <c r="A222" i="12"/>
  <c r="A223" i="12"/>
  <c r="A224" i="12"/>
  <c r="A1" i="13"/>
  <c r="A3" i="13"/>
  <c r="A4" i="13"/>
  <c r="A5" i="13"/>
  <c r="A7" i="13"/>
  <c r="A8" i="13"/>
  <c r="A9" i="13"/>
  <c r="A10" i="13"/>
  <c r="A13" i="13"/>
  <c r="A14" i="13"/>
  <c r="A16" i="13"/>
  <c r="A17" i="13"/>
  <c r="A18" i="13"/>
  <c r="A19" i="13"/>
  <c r="A20" i="13"/>
  <c r="A21" i="13"/>
  <c r="B21" i="13"/>
  <c r="C21" i="13"/>
  <c r="E21" i="13" s="1"/>
  <c r="D21" i="13"/>
  <c r="F21" i="13"/>
  <c r="G21" i="13"/>
  <c r="H21" i="13"/>
  <c r="J21" i="13"/>
  <c r="K21" i="13"/>
  <c r="M21" i="13" s="1"/>
  <c r="L21" i="13"/>
  <c r="N21" i="13"/>
  <c r="O21" i="13"/>
  <c r="P21" i="13"/>
  <c r="R21" i="13"/>
  <c r="S21" i="13"/>
  <c r="U21" i="13" s="1"/>
  <c r="T21" i="13"/>
  <c r="V21" i="13"/>
  <c r="W21" i="13"/>
  <c r="X21" i="13"/>
  <c r="A22" i="13"/>
  <c r="A23" i="13"/>
  <c r="A24" i="13"/>
  <c r="A25" i="13"/>
  <c r="A26" i="13"/>
  <c r="A27" i="13"/>
  <c r="A28" i="13"/>
  <c r="A29" i="13"/>
  <c r="B29" i="13"/>
  <c r="C29" i="13"/>
  <c r="E29" i="13" s="1"/>
  <c r="D29" i="13"/>
  <c r="F29" i="13"/>
  <c r="G29" i="13"/>
  <c r="H29" i="13"/>
  <c r="J29" i="13"/>
  <c r="K29" i="13"/>
  <c r="M29" i="13" s="1"/>
  <c r="L29" i="13"/>
  <c r="N29" i="13"/>
  <c r="O29" i="13"/>
  <c r="P29" i="13"/>
  <c r="R29" i="13"/>
  <c r="S29" i="13"/>
  <c r="U29" i="13" s="1"/>
  <c r="T29" i="13"/>
  <c r="V29" i="13"/>
  <c r="W29" i="13"/>
  <c r="X29" i="13"/>
  <c r="A30" i="13"/>
  <c r="A31" i="13"/>
  <c r="A32" i="13"/>
  <c r="A33" i="13"/>
  <c r="A34" i="13"/>
  <c r="A35" i="13"/>
  <c r="A36" i="13"/>
  <c r="A37" i="13"/>
  <c r="B37" i="13"/>
  <c r="C37" i="13"/>
  <c r="E37" i="13" s="1"/>
  <c r="D37" i="13"/>
  <c r="F37" i="13"/>
  <c r="G37" i="13"/>
  <c r="H37" i="13"/>
  <c r="J37" i="13"/>
  <c r="K37" i="13"/>
  <c r="M37" i="13" s="1"/>
  <c r="L37" i="13"/>
  <c r="N37" i="13"/>
  <c r="O37" i="13"/>
  <c r="P37" i="13"/>
  <c r="R37" i="13"/>
  <c r="S37" i="13"/>
  <c r="U37" i="13" s="1"/>
  <c r="T37" i="13"/>
  <c r="V37" i="13"/>
  <c r="W37" i="13"/>
  <c r="X37" i="13"/>
  <c r="A38" i="13"/>
  <c r="A39" i="13"/>
  <c r="A40" i="13"/>
  <c r="A44" i="13"/>
  <c r="A45" i="13"/>
  <c r="A47" i="13"/>
  <c r="A49" i="13"/>
  <c r="A50" i="13"/>
  <c r="A51" i="13"/>
  <c r="A52" i="13"/>
  <c r="A53" i="13"/>
  <c r="A54" i="13"/>
  <c r="A55" i="13"/>
  <c r="A56" i="13"/>
  <c r="A57" i="13"/>
  <c r="A58" i="13"/>
  <c r="A59" i="13"/>
  <c r="A60" i="13"/>
  <c r="A61" i="13"/>
  <c r="A65" i="13"/>
  <c r="A66" i="13"/>
  <c r="A68" i="13"/>
  <c r="A69" i="13"/>
  <c r="A70" i="13"/>
  <c r="A71" i="13"/>
  <c r="A75" i="13"/>
  <c r="A76" i="13"/>
  <c r="A78" i="13"/>
  <c r="A79" i="13"/>
  <c r="A80" i="13"/>
  <c r="A81" i="13"/>
  <c r="A83" i="13"/>
  <c r="B83" i="13"/>
  <c r="C83" i="13"/>
  <c r="E83" i="13" s="1"/>
  <c r="D83" i="13"/>
  <c r="F83" i="13"/>
  <c r="G83" i="13"/>
  <c r="H83" i="13"/>
  <c r="J83" i="13"/>
  <c r="K83" i="13"/>
  <c r="M83" i="13" s="1"/>
  <c r="L83" i="13"/>
  <c r="N83" i="13"/>
  <c r="O83" i="13"/>
  <c r="P83" i="13"/>
  <c r="R83" i="13"/>
  <c r="S83" i="13"/>
  <c r="U83" i="13" s="1"/>
  <c r="T83" i="13"/>
  <c r="V83" i="13"/>
  <c r="W83" i="13"/>
  <c r="X83" i="13"/>
  <c r="A85" i="13"/>
  <c r="B85" i="13"/>
  <c r="C85" i="13"/>
  <c r="D85" i="13"/>
  <c r="F85" i="13"/>
  <c r="G85" i="13"/>
  <c r="H85" i="13"/>
  <c r="J85" i="13"/>
  <c r="K85" i="13"/>
  <c r="L85" i="13"/>
  <c r="N85" i="13"/>
  <c r="O85" i="13"/>
  <c r="P85" i="13"/>
  <c r="R85" i="13"/>
  <c r="S85" i="13"/>
  <c r="T85" i="13"/>
  <c r="V85" i="13"/>
  <c r="W85" i="13"/>
  <c r="X85" i="13"/>
  <c r="A87" i="13"/>
  <c r="B87" i="13"/>
  <c r="C87" i="13"/>
  <c r="D87" i="13"/>
  <c r="E87" i="13"/>
  <c r="F87" i="13"/>
  <c r="G87" i="13"/>
  <c r="H87" i="13"/>
  <c r="I87" i="13"/>
  <c r="J87" i="13"/>
  <c r="K87" i="13"/>
  <c r="L87" i="13"/>
  <c r="M87" i="13"/>
  <c r="N87" i="13"/>
  <c r="O87" i="13"/>
  <c r="P87" i="13"/>
  <c r="Q87" i="13"/>
  <c r="R87" i="13"/>
  <c r="S87" i="13"/>
  <c r="T87" i="13"/>
  <c r="U87" i="13"/>
  <c r="V87" i="13"/>
  <c r="W87" i="13"/>
  <c r="X87" i="13"/>
  <c r="Y87" i="13"/>
  <c r="A89" i="13"/>
  <c r="B89" i="13"/>
  <c r="C89" i="13"/>
  <c r="D89" i="13"/>
  <c r="F89" i="13"/>
  <c r="G89" i="13"/>
  <c r="H89" i="13"/>
  <c r="J89" i="13"/>
  <c r="K89" i="13"/>
  <c r="L89" i="13"/>
  <c r="N89" i="13"/>
  <c r="O89" i="13"/>
  <c r="P89" i="13"/>
  <c r="R89" i="13"/>
  <c r="S89" i="13"/>
  <c r="T89" i="13"/>
  <c r="V89" i="13"/>
  <c r="W89" i="13"/>
  <c r="X89" i="13"/>
  <c r="A93" i="13"/>
  <c r="A94"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6" i="13"/>
  <c r="A147" i="13"/>
  <c r="A148" i="13"/>
  <c r="A149" i="13"/>
  <c r="A150" i="13"/>
  <c r="A151" i="13"/>
  <c r="A152" i="13"/>
  <c r="A153" i="13"/>
  <c r="A154" i="13"/>
  <c r="A155" i="13"/>
  <c r="A156" i="13"/>
  <c r="A157" i="13"/>
  <c r="A158" i="13"/>
  <c r="A159" i="13"/>
  <c r="A160" i="13"/>
  <c r="A161" i="13"/>
  <c r="A163" i="13"/>
  <c r="A164" i="13"/>
  <c r="A165" i="13"/>
  <c r="A166" i="13"/>
  <c r="A167" i="13"/>
  <c r="A168" i="13"/>
  <c r="A169" i="13"/>
  <c r="A170" i="13"/>
  <c r="A171" i="13"/>
  <c r="A172" i="13"/>
  <c r="A174" i="13"/>
  <c r="A175" i="13"/>
  <c r="A176" i="13"/>
  <c r="A177" i="13"/>
  <c r="A178" i="13"/>
  <c r="A182" i="13"/>
  <c r="A183" i="13"/>
  <c r="A185" i="13"/>
  <c r="A187" i="13"/>
  <c r="A188" i="13"/>
  <c r="A190" i="13"/>
  <c r="A191" i="13"/>
  <c r="A192" i="13"/>
  <c r="A193" i="13"/>
  <c r="A194" i="13"/>
  <c r="A195" i="13"/>
  <c r="A196" i="13"/>
  <c r="A197" i="13"/>
  <c r="A198" i="13"/>
  <c r="A199" i="13"/>
  <c r="A200" i="13"/>
  <c r="A201" i="13"/>
  <c r="A202" i="13"/>
  <c r="A204" i="13"/>
  <c r="A205" i="13"/>
  <c r="A207" i="13"/>
  <c r="A208" i="13"/>
  <c r="A209" i="13"/>
  <c r="A210" i="13"/>
  <c r="A211" i="13"/>
  <c r="A212" i="13"/>
  <c r="A213" i="13"/>
  <c r="A214" i="13"/>
  <c r="A215" i="13"/>
  <c r="A216" i="13"/>
  <c r="A217" i="13"/>
  <c r="A218" i="13"/>
  <c r="A219" i="13"/>
  <c r="A1" i="14"/>
  <c r="A3" i="14"/>
  <c r="A4" i="14"/>
  <c r="A5" i="14"/>
  <c r="A7" i="14"/>
  <c r="A8" i="14"/>
  <c r="A9" i="14"/>
  <c r="A10" i="14"/>
  <c r="A12" i="14"/>
  <c r="A13" i="14"/>
  <c r="A14" i="14"/>
  <c r="A15" i="14"/>
  <c r="A17" i="14"/>
  <c r="A18" i="14"/>
  <c r="A19" i="14"/>
  <c r="A21" i="14"/>
  <c r="A22" i="14"/>
  <c r="A23" i="14"/>
  <c r="A24" i="14"/>
  <c r="A25" i="14"/>
  <c r="A26" i="14"/>
  <c r="A27" i="14"/>
  <c r="A28" i="14"/>
  <c r="A29" i="14"/>
  <c r="A30" i="14"/>
  <c r="A31" i="14"/>
  <c r="A32" i="14"/>
  <c r="A33" i="14"/>
  <c r="A35" i="14"/>
  <c r="A36" i="14"/>
  <c r="A37" i="14"/>
  <c r="A38" i="14"/>
  <c r="A39" i="14"/>
  <c r="A40" i="14"/>
  <c r="A41" i="14"/>
  <c r="A42" i="14"/>
  <c r="A43" i="14"/>
  <c r="A44" i="14"/>
  <c r="A45" i="14"/>
  <c r="A46" i="14"/>
  <c r="A47" i="14"/>
  <c r="A49" i="14"/>
  <c r="A50" i="14"/>
  <c r="A51" i="14"/>
  <c r="A52" i="14"/>
  <c r="A53" i="14"/>
  <c r="A54" i="14"/>
  <c r="A55" i="14"/>
  <c r="A56" i="14"/>
  <c r="A57" i="14"/>
  <c r="A58" i="14"/>
  <c r="A59" i="14"/>
  <c r="A60" i="14"/>
  <c r="A61" i="14"/>
  <c r="A63" i="14"/>
  <c r="A65" i="14"/>
  <c r="A66" i="14"/>
  <c r="A67" i="14"/>
  <c r="A68" i="14"/>
  <c r="A69" i="14"/>
  <c r="A70" i="14"/>
  <c r="A71" i="14"/>
  <c r="A72" i="14"/>
  <c r="A73" i="14"/>
  <c r="A74" i="14"/>
  <c r="A75" i="14"/>
  <c r="A76" i="14"/>
  <c r="A77" i="14"/>
  <c r="A79" i="14"/>
  <c r="A80" i="14"/>
  <c r="A81" i="14"/>
  <c r="A82" i="14"/>
  <c r="A83" i="14"/>
  <c r="A84" i="14"/>
  <c r="A85" i="14"/>
  <c r="A86" i="14"/>
  <c r="A87" i="14"/>
  <c r="A88" i="14"/>
  <c r="A89" i="14"/>
  <c r="A90" i="14"/>
  <c r="A91" i="14"/>
  <c r="A93" i="14"/>
  <c r="A94" i="14"/>
  <c r="A95" i="14"/>
  <c r="A96" i="14"/>
  <c r="A97" i="14"/>
  <c r="A98" i="14"/>
  <c r="A99" i="14"/>
  <c r="A100" i="14"/>
  <c r="A101" i="14"/>
  <c r="A102" i="14"/>
  <c r="A103" i="14"/>
  <c r="A104" i="14"/>
  <c r="A105" i="14"/>
  <c r="A107" i="14"/>
  <c r="A108" i="14"/>
  <c r="B108" i="14"/>
  <c r="C108" i="14"/>
  <c r="D108" i="14"/>
  <c r="F108" i="14"/>
  <c r="G108" i="14"/>
  <c r="H108" i="14"/>
  <c r="J108" i="14"/>
  <c r="K108" i="14"/>
  <c r="L108" i="14"/>
  <c r="N108" i="14"/>
  <c r="O108" i="14"/>
  <c r="P108" i="14"/>
  <c r="R108" i="14"/>
  <c r="S108" i="14"/>
  <c r="T108" i="14"/>
  <c r="V108" i="14"/>
  <c r="W108" i="14"/>
  <c r="X108" i="14"/>
  <c r="A109" i="14"/>
  <c r="B109" i="14"/>
  <c r="C109" i="14"/>
  <c r="D109" i="14"/>
  <c r="F109" i="14"/>
  <c r="G109" i="14"/>
  <c r="G110" i="14" s="1"/>
  <c r="H109" i="14"/>
  <c r="J109" i="14"/>
  <c r="K109" i="14"/>
  <c r="K110" i="14" s="1"/>
  <c r="L109" i="14"/>
  <c r="N109" i="14"/>
  <c r="O109" i="14"/>
  <c r="O110" i="14" s="1"/>
  <c r="P109" i="14"/>
  <c r="R109" i="14"/>
  <c r="S109" i="14"/>
  <c r="S110" i="14" s="1"/>
  <c r="T109" i="14"/>
  <c r="V109" i="14"/>
  <c r="W109" i="14"/>
  <c r="W110" i="14" s="1"/>
  <c r="X109" i="14"/>
  <c r="A110" i="14"/>
  <c r="B110" i="14"/>
  <c r="F110" i="14"/>
  <c r="J110" i="14"/>
  <c r="N110" i="14"/>
  <c r="R110" i="14"/>
  <c r="V110" i="14"/>
  <c r="A112" i="14"/>
  <c r="A113" i="14"/>
  <c r="A114" i="14"/>
  <c r="A115" i="14"/>
  <c r="A116" i="14"/>
  <c r="A117" i="14"/>
  <c r="A118" i="14"/>
  <c r="A119" i="14"/>
  <c r="A120" i="14"/>
  <c r="A121" i="14"/>
  <c r="A122" i="14"/>
  <c r="A123" i="14"/>
  <c r="A124" i="14"/>
  <c r="A126" i="14"/>
  <c r="A127" i="14"/>
  <c r="A128" i="14"/>
  <c r="A129" i="14"/>
  <c r="A130" i="14"/>
  <c r="A131" i="14"/>
  <c r="A132" i="14"/>
  <c r="A133" i="14"/>
  <c r="A134" i="14"/>
  <c r="A135" i="14"/>
  <c r="A136" i="14"/>
  <c r="A137" i="14"/>
  <c r="A138" i="14"/>
  <c r="A139" i="14"/>
  <c r="A140" i="14"/>
  <c r="A141" i="14"/>
  <c r="A1" i="15"/>
  <c r="A3" i="15"/>
  <c r="A4" i="15"/>
  <c r="A5" i="15"/>
  <c r="A6" i="15"/>
  <c r="A8" i="15"/>
  <c r="A10" i="15"/>
  <c r="A11" i="15"/>
  <c r="B11" i="15"/>
  <c r="C11" i="15"/>
  <c r="D11" i="15"/>
  <c r="F11" i="15"/>
  <c r="G11" i="15"/>
  <c r="H11" i="15"/>
  <c r="J11" i="15"/>
  <c r="K11" i="15"/>
  <c r="L11" i="15"/>
  <c r="N11" i="15"/>
  <c r="O11" i="15"/>
  <c r="P11" i="15"/>
  <c r="R11" i="15"/>
  <c r="S11" i="15"/>
  <c r="T11" i="15"/>
  <c r="V11" i="15"/>
  <c r="W11" i="15"/>
  <c r="X11" i="15"/>
  <c r="A13" i="15"/>
  <c r="A14" i="15"/>
  <c r="B14" i="15"/>
  <c r="C14" i="15"/>
  <c r="D14" i="15"/>
  <c r="F14" i="15"/>
  <c r="G14" i="15"/>
  <c r="H14" i="15"/>
  <c r="J14" i="15"/>
  <c r="K14" i="15"/>
  <c r="L14" i="15"/>
  <c r="N14" i="15"/>
  <c r="O14" i="15"/>
  <c r="P14" i="15"/>
  <c r="R14" i="15"/>
  <c r="S14" i="15"/>
  <c r="T14" i="15"/>
  <c r="V14" i="15"/>
  <c r="W14" i="15"/>
  <c r="X14" i="15"/>
  <c r="A15" i="15"/>
  <c r="B15" i="15"/>
  <c r="C15" i="15"/>
  <c r="D15" i="15"/>
  <c r="E15" i="15"/>
  <c r="F15" i="15"/>
  <c r="G15" i="15"/>
  <c r="H15" i="15"/>
  <c r="I15" i="15"/>
  <c r="J15" i="15"/>
  <c r="K15" i="15"/>
  <c r="L15" i="15"/>
  <c r="M15" i="15"/>
  <c r="N15" i="15"/>
  <c r="O15" i="15"/>
  <c r="P15" i="15"/>
  <c r="Q15" i="15"/>
  <c r="R15" i="15"/>
  <c r="S15" i="15"/>
  <c r="T15" i="15"/>
  <c r="U15" i="15"/>
  <c r="V15" i="15"/>
  <c r="W15" i="15"/>
  <c r="X15" i="15"/>
  <c r="Y15" i="15"/>
  <c r="A16" i="15"/>
  <c r="B16" i="15"/>
  <c r="C16" i="15"/>
  <c r="D16" i="15"/>
  <c r="E16" i="15" s="1"/>
  <c r="F16" i="15"/>
  <c r="G16" i="15"/>
  <c r="H16" i="15"/>
  <c r="J16" i="15"/>
  <c r="K16" i="15"/>
  <c r="L16" i="15"/>
  <c r="N16" i="15"/>
  <c r="O16" i="15"/>
  <c r="P16" i="15"/>
  <c r="R16" i="15"/>
  <c r="S16" i="15"/>
  <c r="T16" i="15"/>
  <c r="U16" i="15" s="1"/>
  <c r="V16" i="15"/>
  <c r="W16" i="15"/>
  <c r="X16" i="15"/>
  <c r="A19" i="15"/>
  <c r="A20" i="15"/>
  <c r="A22" i="15"/>
  <c r="A23" i="15"/>
  <c r="A24" i="15"/>
  <c r="B24" i="15"/>
  <c r="C24" i="15"/>
  <c r="D24" i="15"/>
  <c r="F24" i="15"/>
  <c r="G24" i="15"/>
  <c r="H24" i="15"/>
  <c r="J24" i="15"/>
  <c r="A25" i="15"/>
  <c r="A1" i="16"/>
  <c r="A3" i="16"/>
  <c r="A4" i="16"/>
  <c r="A5" i="16"/>
  <c r="A6" i="16"/>
  <c r="A8" i="16"/>
  <c r="A9" i="16"/>
  <c r="A10" i="16"/>
  <c r="C10" i="16"/>
  <c r="D10" i="16"/>
  <c r="E10" i="16"/>
  <c r="F10" i="16"/>
  <c r="G10" i="16"/>
  <c r="H10" i="16"/>
  <c r="I10" i="16"/>
  <c r="J10" i="16"/>
  <c r="K10" i="16"/>
  <c r="L10" i="16"/>
  <c r="M10" i="16"/>
  <c r="N10" i="16"/>
  <c r="O10" i="16"/>
  <c r="P10" i="16"/>
  <c r="Q10" i="16"/>
  <c r="R10" i="16"/>
  <c r="S10" i="16"/>
  <c r="T10" i="16"/>
  <c r="U10" i="16"/>
  <c r="V10" i="16"/>
  <c r="W10" i="16"/>
  <c r="X10" i="16"/>
  <c r="Y10" i="16"/>
  <c r="Z10" i="16"/>
  <c r="A12" i="16"/>
  <c r="B12" i="16"/>
  <c r="B9" i="4" s="1"/>
  <c r="A13" i="16"/>
  <c r="C13" i="16"/>
  <c r="D13" i="16"/>
  <c r="E13" i="16"/>
  <c r="F13" i="16"/>
  <c r="G13" i="16"/>
  <c r="H13" i="16"/>
  <c r="I13" i="16"/>
  <c r="J13" i="16"/>
  <c r="K13" i="16"/>
  <c r="L13" i="16"/>
  <c r="M13" i="16"/>
  <c r="N13" i="16"/>
  <c r="O13" i="16"/>
  <c r="P13" i="16"/>
  <c r="Q13" i="16"/>
  <c r="R13" i="16"/>
  <c r="S13" i="16"/>
  <c r="T13" i="16"/>
  <c r="U13" i="16"/>
  <c r="V13" i="16"/>
  <c r="W13" i="16"/>
  <c r="X13" i="16"/>
  <c r="Y13" i="16"/>
  <c r="Z13" i="16"/>
  <c r="A17" i="16"/>
  <c r="A18" i="16"/>
  <c r="A20" i="16"/>
  <c r="A21" i="16"/>
  <c r="A22" i="16"/>
  <c r="A24" i="16"/>
  <c r="B25" i="16"/>
  <c r="C25" i="16"/>
  <c r="D25" i="16"/>
  <c r="E25" i="16"/>
  <c r="F25" i="16"/>
  <c r="G25" i="16"/>
  <c r="H25" i="16"/>
  <c r="A26" i="16"/>
  <c r="B26" i="16"/>
  <c r="D26" i="16"/>
  <c r="E26" i="16"/>
  <c r="F26" i="16"/>
  <c r="G26" i="16"/>
  <c r="H26" i="16"/>
  <c r="A27" i="16"/>
  <c r="B27" i="16"/>
  <c r="D27" i="16"/>
  <c r="E27" i="16"/>
  <c r="F27" i="16"/>
  <c r="G27" i="16"/>
  <c r="H27" i="16"/>
  <c r="A30" i="16"/>
  <c r="A31" i="16"/>
  <c r="A32" i="16"/>
  <c r="A33" i="16"/>
  <c r="A35" i="16"/>
  <c r="A36" i="16"/>
  <c r="A37" i="16"/>
  <c r="A38" i="16"/>
  <c r="A40" i="16"/>
  <c r="A41" i="16"/>
  <c r="A42" i="16"/>
  <c r="A43" i="16"/>
  <c r="A45" i="16"/>
  <c r="A46" i="16"/>
  <c r="A47" i="16"/>
  <c r="A48" i="16"/>
  <c r="A51" i="16"/>
  <c r="A52" i="16"/>
  <c r="B53" i="16"/>
  <c r="C53" i="16"/>
  <c r="A54" i="16"/>
  <c r="B54" i="16"/>
  <c r="A55" i="16"/>
  <c r="B55" i="16"/>
  <c r="A58" i="16"/>
  <c r="A59" i="16"/>
  <c r="A60" i="16"/>
  <c r="A61" i="16"/>
  <c r="A63" i="16"/>
  <c r="A64" i="16"/>
  <c r="B64" i="16"/>
  <c r="B59" i="16" s="1"/>
  <c r="A65" i="16"/>
  <c r="B65" i="16"/>
  <c r="B60" i="16" s="1"/>
  <c r="A66" i="16"/>
  <c r="B66" i="16"/>
  <c r="A68" i="16"/>
  <c r="A69" i="16"/>
  <c r="A70" i="16"/>
  <c r="A71" i="16"/>
  <c r="A75" i="16"/>
  <c r="A76" i="16"/>
  <c r="A78" i="16"/>
  <c r="A79" i="16"/>
  <c r="B79" i="16"/>
  <c r="A80" i="16"/>
  <c r="B80" i="16"/>
  <c r="B81" i="16" s="1"/>
  <c r="A81" i="16"/>
  <c r="A83" i="16"/>
  <c r="A84" i="16"/>
  <c r="B84" i="16"/>
  <c r="A85" i="16"/>
  <c r="B85" i="16"/>
  <c r="A86" i="16"/>
  <c r="B86" i="16"/>
  <c r="A88" i="16"/>
  <c r="A89" i="16"/>
  <c r="A90" i="16"/>
  <c r="A91" i="16"/>
  <c r="A1" i="17"/>
  <c r="A3" i="17"/>
  <c r="A4" i="17"/>
  <c r="A5" i="17"/>
  <c r="A6" i="17"/>
  <c r="A8" i="17"/>
  <c r="A9" i="17"/>
  <c r="B9" i="17"/>
  <c r="A10" i="17"/>
  <c r="B10" i="17"/>
  <c r="A11" i="17"/>
  <c r="B11" i="17"/>
  <c r="A12" i="17"/>
  <c r="B12" i="17"/>
  <c r="B17" i="4" s="1"/>
  <c r="B19" i="4" s="1"/>
  <c r="B24" i="4" s="1"/>
  <c r="A14" i="17"/>
  <c r="A15" i="17"/>
  <c r="A16" i="17"/>
  <c r="A17" i="17"/>
  <c r="A18" i="17"/>
  <c r="A20" i="17"/>
  <c r="B20" i="17"/>
  <c r="A23" i="17"/>
  <c r="A24" i="17"/>
  <c r="A26" i="17"/>
  <c r="B26" i="17"/>
  <c r="C26" i="17"/>
  <c r="A1" i="18"/>
  <c r="A3" i="18"/>
  <c r="A4" i="18"/>
  <c r="A6" i="18"/>
  <c r="A7" i="18"/>
  <c r="A8" i="18"/>
  <c r="A9" i="18"/>
  <c r="A11" i="18"/>
  <c r="B11" i="18"/>
  <c r="C11" i="18"/>
  <c r="D11" i="18"/>
  <c r="E11" i="18"/>
  <c r="G11" i="18"/>
  <c r="H11" i="18"/>
  <c r="I11" i="18"/>
  <c r="K11" i="18"/>
  <c r="L11" i="18"/>
  <c r="M11" i="18"/>
  <c r="O11" i="18"/>
  <c r="P11" i="18"/>
  <c r="Q11" i="18"/>
  <c r="S11" i="18"/>
  <c r="T11" i="18"/>
  <c r="U11" i="18"/>
  <c r="W11" i="18"/>
  <c r="X11" i="18"/>
  <c r="Y11" i="18"/>
  <c r="A13" i="18"/>
  <c r="C13" i="18"/>
  <c r="D13" i="18"/>
  <c r="E13" i="18"/>
  <c r="G13" i="18"/>
  <c r="H13" i="18"/>
  <c r="I13" i="18"/>
  <c r="K13" i="18"/>
  <c r="L13" i="18"/>
  <c r="M13" i="18"/>
  <c r="O13" i="18"/>
  <c r="P13" i="18"/>
  <c r="Q13" i="18"/>
  <c r="S13" i="18"/>
  <c r="T13" i="18"/>
  <c r="U13" i="18"/>
  <c r="W13" i="18"/>
  <c r="X13" i="18"/>
  <c r="Y13" i="18"/>
  <c r="A14" i="18"/>
  <c r="C14" i="18"/>
  <c r="D14" i="18"/>
  <c r="E14" i="18"/>
  <c r="F14" i="18"/>
  <c r="G14" i="18"/>
  <c r="H14" i="18"/>
  <c r="I14" i="18"/>
  <c r="J14" i="18"/>
  <c r="K14" i="18"/>
  <c r="L14" i="18"/>
  <c r="M14" i="18"/>
  <c r="N14" i="18"/>
  <c r="O14" i="18"/>
  <c r="P14" i="18"/>
  <c r="A16" i="18"/>
  <c r="A17" i="18"/>
  <c r="A1" i="19"/>
  <c r="A3" i="19"/>
  <c r="A4" i="19"/>
  <c r="A6" i="19"/>
  <c r="A8" i="19"/>
  <c r="A10" i="19"/>
  <c r="A11" i="19"/>
  <c r="A12" i="19"/>
  <c r="B12" i="19"/>
  <c r="A13" i="19"/>
  <c r="B13" i="19"/>
  <c r="A15" i="19"/>
  <c r="A17" i="19"/>
  <c r="B17" i="19"/>
  <c r="C17" i="19"/>
  <c r="D17" i="19"/>
  <c r="F17" i="19"/>
  <c r="G17" i="19"/>
  <c r="H17" i="19"/>
  <c r="J17" i="19"/>
  <c r="K17" i="19"/>
  <c r="L17" i="19"/>
  <c r="N17" i="19"/>
  <c r="O17" i="19"/>
  <c r="P17" i="19"/>
  <c r="R17" i="19"/>
  <c r="S17" i="19"/>
  <c r="T17" i="19"/>
  <c r="V17" i="19"/>
  <c r="W17" i="19"/>
  <c r="X17" i="19"/>
  <c r="A18" i="19"/>
  <c r="A1" i="20"/>
  <c r="A3" i="20"/>
  <c r="A4" i="20"/>
  <c r="B6" i="20"/>
  <c r="B8" i="20"/>
  <c r="B10" i="20"/>
  <c r="B12" i="20"/>
  <c r="B14" i="20"/>
  <c r="B16" i="20"/>
  <c r="B18" i="20"/>
  <c r="B20" i="20"/>
  <c r="B22" i="20"/>
  <c r="B27" i="20"/>
  <c r="B29" i="20"/>
  <c r="B31" i="20"/>
  <c r="B33" i="20"/>
  <c r="B35" i="20"/>
  <c r="B37" i="20"/>
  <c r="B39" i="20"/>
  <c r="B41" i="20"/>
  <c r="B43" i="20"/>
  <c r="B45" i="20"/>
  <c r="B47" i="20"/>
  <c r="B49" i="20"/>
  <c r="B51" i="20"/>
  <c r="B53" i="20"/>
  <c r="B55" i="20"/>
  <c r="B57" i="20"/>
  <c r="B59" i="20"/>
  <c r="B61" i="20"/>
  <c r="B63" i="20"/>
  <c r="B65" i="20"/>
  <c r="B67" i="20"/>
  <c r="B69" i="20"/>
  <c r="B71" i="20"/>
  <c r="B73" i="20"/>
  <c r="B75" i="20"/>
  <c r="B77" i="20"/>
  <c r="B79" i="20"/>
  <c r="B81" i="20"/>
  <c r="B85" i="20"/>
  <c r="B89" i="20"/>
  <c r="B91" i="20"/>
  <c r="B93" i="20"/>
  <c r="B95" i="20"/>
  <c r="B97" i="20"/>
  <c r="B99" i="20"/>
  <c r="B101" i="20"/>
  <c r="B103" i="20"/>
  <c r="B105" i="20"/>
  <c r="B107" i="20"/>
  <c r="B109" i="20"/>
  <c r="B111" i="20"/>
  <c r="B113" i="20"/>
  <c r="B115" i="20"/>
  <c r="B117" i="20"/>
  <c r="B119" i="20"/>
  <c r="B121" i="20"/>
  <c r="B123" i="20"/>
  <c r="B125" i="20"/>
  <c r="B127" i="20"/>
  <c r="B129" i="20"/>
  <c r="B131" i="20"/>
  <c r="B133" i="20"/>
  <c r="B135" i="20"/>
  <c r="B137" i="20"/>
  <c r="B139" i="20"/>
  <c r="B141" i="20"/>
  <c r="B143" i="20"/>
  <c r="B145" i="20"/>
  <c r="B148" i="20"/>
  <c r="B150" i="20"/>
  <c r="B152" i="20"/>
  <c r="B154" i="20"/>
  <c r="B156" i="20"/>
  <c r="B158" i="20"/>
  <c r="B160" i="20"/>
  <c r="B162" i="20"/>
  <c r="B164" i="20"/>
  <c r="B166" i="20"/>
  <c r="B168" i="20"/>
  <c r="B170" i="20"/>
  <c r="B172" i="20"/>
  <c r="B174" i="20"/>
  <c r="B176" i="20"/>
  <c r="B178" i="20"/>
  <c r="B180" i="20"/>
  <c r="B182" i="20"/>
  <c r="B184" i="20"/>
  <c r="B187" i="20"/>
  <c r="B189" i="20"/>
  <c r="B191" i="20"/>
  <c r="B193" i="20"/>
  <c r="B195" i="20"/>
  <c r="B197" i="20"/>
  <c r="B199" i="20"/>
  <c r="B201" i="20"/>
  <c r="B203" i="20"/>
  <c r="B205" i="20"/>
  <c r="B207" i="20"/>
  <c r="B209" i="20"/>
  <c r="B211" i="20"/>
  <c r="B213" i="20"/>
  <c r="B215" i="20"/>
  <c r="B217" i="20"/>
  <c r="B219" i="20"/>
  <c r="B221" i="20"/>
  <c r="B223" i="20"/>
  <c r="B225" i="20"/>
  <c r="B227" i="20"/>
  <c r="B229" i="20"/>
  <c r="B231" i="20"/>
  <c r="B233" i="20"/>
  <c r="B235" i="20"/>
  <c r="B240" i="20"/>
  <c r="B242" i="20"/>
  <c r="B244" i="20"/>
  <c r="B246" i="20"/>
  <c r="B248" i="20"/>
  <c r="B250" i="20"/>
  <c r="B252" i="20"/>
  <c r="B254" i="20"/>
  <c r="B256" i="20"/>
  <c r="B258" i="20"/>
  <c r="B260" i="20"/>
  <c r="B262" i="20"/>
  <c r="B264" i="20"/>
  <c r="B266" i="20"/>
  <c r="B268" i="20"/>
  <c r="B270" i="20"/>
  <c r="B272" i="20"/>
  <c r="B274" i="20"/>
  <c r="B276" i="20"/>
  <c r="B283" i="20"/>
  <c r="B285" i="20"/>
  <c r="B287" i="20"/>
  <c r="B289" i="20"/>
  <c r="B291" i="20"/>
  <c r="B293" i="20"/>
  <c r="B295" i="20"/>
  <c r="B297" i="20"/>
  <c r="B299" i="20"/>
  <c r="B301" i="20"/>
  <c r="B303" i="20"/>
  <c r="B305" i="20"/>
  <c r="B308" i="20"/>
  <c r="B311" i="20"/>
  <c r="B313" i="20"/>
  <c r="B315" i="20"/>
  <c r="B317" i="20"/>
  <c r="B319" i="20"/>
  <c r="B321" i="20"/>
  <c r="B323" i="20"/>
  <c r="B325" i="20"/>
  <c r="B327" i="20"/>
  <c r="B329" i="20"/>
  <c r="B331" i="20"/>
  <c r="B333" i="20"/>
  <c r="B335" i="20"/>
  <c r="B339" i="20"/>
  <c r="B342" i="20"/>
  <c r="B345" i="20"/>
  <c r="B347" i="20"/>
  <c r="B349" i="20"/>
  <c r="B351" i="20"/>
  <c r="B353" i="20"/>
  <c r="B355" i="20"/>
  <c r="B357" i="20"/>
  <c r="B359" i="20"/>
  <c r="B361" i="20"/>
  <c r="B363" i="20"/>
  <c r="B365" i="20"/>
  <c r="B367" i="20"/>
  <c r="B369" i="20"/>
  <c r="B371" i="20"/>
  <c r="B373" i="20"/>
  <c r="B375" i="20"/>
  <c r="B377" i="20"/>
  <c r="B379" i="20"/>
  <c r="B381" i="20"/>
  <c r="B383" i="20"/>
  <c r="B385" i="20"/>
  <c r="B387" i="20"/>
  <c r="B389" i="20"/>
  <c r="B391" i="20"/>
  <c r="B393" i="20"/>
  <c r="B395" i="20"/>
  <c r="B397" i="20"/>
  <c r="B399" i="20"/>
  <c r="B401" i="20"/>
  <c r="B403" i="20"/>
  <c r="B405" i="20"/>
  <c r="B407" i="20"/>
  <c r="B409" i="20"/>
  <c r="B411" i="20"/>
  <c r="B413" i="20"/>
  <c r="B415" i="20"/>
  <c r="B417" i="20"/>
  <c r="B419" i="20"/>
  <c r="B422" i="20"/>
  <c r="B424" i="20"/>
  <c r="B426" i="20"/>
  <c r="B428" i="20"/>
  <c r="B430" i="20"/>
  <c r="B432" i="20"/>
  <c r="B434" i="20"/>
  <c r="B436" i="20"/>
  <c r="B438" i="20"/>
  <c r="B442" i="20"/>
  <c r="B444" i="20"/>
  <c r="B446" i="20"/>
  <c r="B449" i="20"/>
  <c r="B452" i="20"/>
  <c r="B454" i="20"/>
  <c r="B456" i="20"/>
  <c r="B458" i="20"/>
  <c r="B460" i="20"/>
  <c r="B462" i="20"/>
  <c r="B465" i="20"/>
  <c r="B468" i="20"/>
  <c r="B470" i="20"/>
  <c r="B472" i="20"/>
  <c r="B474" i="20"/>
  <c r="B476" i="20"/>
  <c r="B478" i="20"/>
  <c r="B480" i="20"/>
  <c r="B482" i="20"/>
  <c r="B484" i="20"/>
  <c r="B486" i="20"/>
  <c r="B488" i="20"/>
  <c r="B490" i="20"/>
  <c r="B492" i="20"/>
  <c r="B494" i="20"/>
  <c r="B496" i="20"/>
  <c r="B498" i="20"/>
  <c r="B500" i="20"/>
  <c r="B502" i="20"/>
  <c r="B504" i="20"/>
  <c r="B506" i="20"/>
  <c r="B508" i="20"/>
  <c r="B510" i="20"/>
  <c r="B512" i="20"/>
  <c r="B514" i="20"/>
  <c r="B516" i="20"/>
  <c r="B518" i="20"/>
  <c r="B520" i="20"/>
  <c r="B522" i="20"/>
  <c r="B524" i="20"/>
  <c r="B526" i="20"/>
  <c r="B528" i="20"/>
  <c r="B530" i="20"/>
  <c r="B532" i="20"/>
  <c r="B534" i="20"/>
  <c r="B536" i="20"/>
  <c r="B538" i="20"/>
  <c r="B540" i="20"/>
  <c r="B542" i="20"/>
  <c r="B544" i="20"/>
  <c r="B547" i="20"/>
  <c r="B550" i="20"/>
  <c r="B552" i="20"/>
  <c r="B554" i="20"/>
  <c r="B556" i="20"/>
  <c r="B558" i="20"/>
  <c r="B560" i="20"/>
  <c r="B562" i="20"/>
  <c r="B564" i="20"/>
  <c r="B566" i="20"/>
  <c r="B568" i="20"/>
  <c r="B570" i="20"/>
  <c r="B572" i="20"/>
  <c r="B574" i="20"/>
  <c r="B576" i="20"/>
  <c r="B578" i="20"/>
  <c r="B580" i="20"/>
  <c r="B582" i="20"/>
  <c r="B584" i="20"/>
  <c r="B586" i="20"/>
  <c r="B588" i="20"/>
  <c r="B590" i="20"/>
  <c r="B592" i="20"/>
  <c r="B594" i="20"/>
  <c r="B596" i="20"/>
  <c r="B598" i="20"/>
  <c r="B600" i="20"/>
  <c r="B602" i="20"/>
  <c r="B604" i="20"/>
  <c r="B606" i="20"/>
  <c r="B608" i="20"/>
  <c r="B610" i="20"/>
  <c r="B612" i="20"/>
  <c r="B614" i="20"/>
  <c r="B616" i="20"/>
  <c r="B618" i="20"/>
  <c r="B620" i="20"/>
  <c r="A1" i="21"/>
  <c r="A3" i="21"/>
  <c r="A4" i="21"/>
  <c r="A6" i="21"/>
  <c r="A7" i="21"/>
  <c r="A8" i="21"/>
  <c r="A9" i="21"/>
  <c r="A11" i="21"/>
  <c r="A12" i="21"/>
  <c r="A13" i="21"/>
  <c r="A14" i="21"/>
  <c r="A16" i="21"/>
  <c r="A17" i="21"/>
  <c r="A18" i="21"/>
  <c r="A19" i="21"/>
  <c r="A21" i="21"/>
  <c r="A23" i="21"/>
  <c r="A24" i="21"/>
  <c r="A25" i="21"/>
  <c r="A26" i="21"/>
  <c r="A28" i="21"/>
  <c r="A29" i="21"/>
  <c r="A30" i="21"/>
  <c r="A31" i="21"/>
  <c r="A1" i="22"/>
  <c r="A3" i="22"/>
  <c r="A5" i="22"/>
  <c r="A6" i="22"/>
  <c r="A7" i="22"/>
  <c r="A8" i="22"/>
  <c r="A9" i="22"/>
  <c r="B9" i="22"/>
  <c r="A10" i="22"/>
  <c r="A11" i="22"/>
  <c r="A12" i="22"/>
  <c r="A13" i="22"/>
  <c r="B13" i="22"/>
  <c r="A14" i="22"/>
  <c r="A15" i="22"/>
  <c r="B15" i="22"/>
  <c r="A16" i="22"/>
  <c r="B16" i="22"/>
  <c r="A17" i="22"/>
  <c r="A18" i="22"/>
  <c r="A19" i="22"/>
  <c r="A20" i="22"/>
  <c r="A21" i="22"/>
  <c r="A22" i="22"/>
  <c r="B22" i="22"/>
  <c r="B27" i="22" s="1"/>
  <c r="A23" i="22"/>
  <c r="A24" i="22"/>
  <c r="A25" i="22"/>
  <c r="A26" i="22"/>
  <c r="B26" i="22"/>
  <c r="A27" i="22"/>
  <c r="A28" i="22"/>
  <c r="B28" i="22"/>
  <c r="A29" i="22"/>
  <c r="B29" i="22"/>
  <c r="A30" i="22"/>
  <c r="B30" i="22"/>
  <c r="A31" i="22"/>
  <c r="A32" i="22"/>
  <c r="A33" i="22"/>
  <c r="B33" i="22"/>
  <c r="A34" i="22"/>
  <c r="B34" i="22"/>
  <c r="A35" i="22"/>
  <c r="A36" i="22"/>
  <c r="A37" i="22"/>
  <c r="B37" i="22"/>
  <c r="A38" i="22"/>
  <c r="B38" i="22"/>
  <c r="A39" i="22"/>
  <c r="B39" i="22"/>
  <c r="A40" i="22"/>
  <c r="A41" i="22"/>
  <c r="B41" i="22"/>
  <c r="A42" i="22"/>
  <c r="B42" i="22"/>
  <c r="A43" i="22"/>
  <c r="A44" i="22"/>
  <c r="A46" i="22"/>
  <c r="A47" i="22"/>
  <c r="A48" i="22"/>
  <c r="A49" i="22"/>
  <c r="A50" i="22"/>
  <c r="A51" i="22"/>
  <c r="A52" i="22"/>
  <c r="A53" i="22"/>
  <c r="A54" i="22"/>
  <c r="A55" i="22"/>
  <c r="A56" i="22"/>
  <c r="A57" i="22"/>
  <c r="A58" i="22"/>
  <c r="A59" i="22"/>
  <c r="A60" i="22"/>
  <c r="A61" i="22"/>
  <c r="A62" i="22"/>
  <c r="A63" i="22"/>
  <c r="A64" i="22"/>
  <c r="A65" i="22"/>
  <c r="A66" i="22"/>
  <c r="A67" i="22"/>
  <c r="A68" i="22"/>
  <c r="A69" i="22"/>
  <c r="A70" i="22"/>
  <c r="A71" i="22"/>
  <c r="A72" i="22"/>
  <c r="A73" i="22"/>
  <c r="A74" i="22"/>
  <c r="A75" i="22"/>
  <c r="A76" i="22"/>
  <c r="A77" i="22"/>
  <c r="A78" i="22"/>
  <c r="A79" i="22"/>
  <c r="A80" i="22"/>
  <c r="A81" i="22"/>
  <c r="A82" i="22"/>
  <c r="A83" i="22"/>
  <c r="A84" i="22"/>
  <c r="A85" i="22"/>
  <c r="A86" i="22"/>
  <c r="A87" i="22"/>
  <c r="A88" i="22"/>
  <c r="A89" i="22"/>
  <c r="A90" i="22"/>
  <c r="A91" i="22"/>
  <c r="A92" i="22"/>
  <c r="A93" i="22"/>
  <c r="A94" i="22"/>
  <c r="A95" i="22"/>
  <c r="A96" i="22"/>
  <c r="A97" i="22"/>
  <c r="A99" i="22"/>
  <c r="A100" i="22"/>
  <c r="A101" i="22"/>
  <c r="A102" i="22"/>
  <c r="A103" i="22"/>
  <c r="B103" i="22"/>
  <c r="A104" i="22"/>
  <c r="A105" i="22"/>
  <c r="A106" i="22"/>
  <c r="A107" i="22"/>
  <c r="B107" i="22"/>
  <c r="A108" i="22"/>
  <c r="A109" i="22"/>
  <c r="B109" i="22"/>
  <c r="A110" i="22"/>
  <c r="B110" i="22"/>
  <c r="A111" i="22"/>
  <c r="B111" i="22"/>
  <c r="A112" i="22"/>
  <c r="A113" i="22"/>
  <c r="A114" i="22"/>
  <c r="A115" i="22"/>
  <c r="A116" i="22"/>
  <c r="B116" i="22"/>
  <c r="A117" i="22"/>
  <c r="A118" i="22"/>
  <c r="A119" i="22"/>
  <c r="A120" i="22"/>
  <c r="B120" i="22"/>
  <c r="A121" i="22"/>
  <c r="A122" i="22"/>
  <c r="B122" i="22"/>
  <c r="A123" i="22"/>
  <c r="B123" i="22"/>
  <c r="A124" i="22"/>
  <c r="A125" i="22"/>
  <c r="A126" i="22"/>
  <c r="A127" i="22"/>
  <c r="B127" i="22"/>
  <c r="A128" i="22"/>
  <c r="B128" i="22"/>
  <c r="A129" i="22"/>
  <c r="B129" i="22"/>
  <c r="A130" i="22"/>
  <c r="A131" i="22"/>
  <c r="B131" i="22"/>
  <c r="A132" i="22"/>
  <c r="B132" i="22"/>
  <c r="A133" i="22"/>
  <c r="A134" i="22"/>
  <c r="A135" i="22"/>
  <c r="A136" i="22"/>
  <c r="B136" i="22"/>
  <c r="A137" i="22"/>
  <c r="A138" i="22"/>
  <c r="A140" i="22"/>
  <c r="A141" i="22"/>
  <c r="A142" i="22"/>
  <c r="B142" i="22"/>
  <c r="C142" i="22"/>
  <c r="A143" i="22"/>
  <c r="B143" i="22"/>
  <c r="C143" i="22"/>
  <c r="A144" i="22"/>
  <c r="B144" i="22"/>
  <c r="C144" i="22"/>
  <c r="A145" i="22"/>
  <c r="A146" i="22"/>
  <c r="B146" i="22"/>
  <c r="C146" i="22"/>
  <c r="A147" i="22"/>
  <c r="B147" i="22"/>
  <c r="C147" i="22"/>
  <c r="A148" i="22"/>
  <c r="A149" i="22"/>
  <c r="A150" i="22"/>
  <c r="B150" i="22"/>
  <c r="C150" i="22"/>
  <c r="A151" i="22"/>
  <c r="B151" i="22"/>
  <c r="C151" i="22"/>
  <c r="A152" i="22"/>
  <c r="A153" i="22"/>
  <c r="A154" i="22"/>
  <c r="A155" i="22"/>
  <c r="B155" i="22"/>
  <c r="C155" i="22"/>
  <c r="C168" i="22" s="1"/>
  <c r="A156" i="22"/>
  <c r="B156" i="22"/>
  <c r="C156" i="22"/>
  <c r="A157" i="22"/>
  <c r="B157" i="22"/>
  <c r="C157" i="22"/>
  <c r="A158" i="22"/>
  <c r="A159" i="22"/>
  <c r="B159" i="22"/>
  <c r="B172" i="22" s="1"/>
  <c r="C159" i="22"/>
  <c r="A160" i="22"/>
  <c r="B160" i="22"/>
  <c r="B173" i="22" s="1"/>
  <c r="C160" i="22"/>
  <c r="A161" i="22"/>
  <c r="C161" i="22"/>
  <c r="A162" i="22"/>
  <c r="A163" i="22"/>
  <c r="B163" i="22"/>
  <c r="A164" i="22"/>
  <c r="B164" i="22"/>
  <c r="B177" i="22" s="1"/>
  <c r="A165" i="22"/>
  <c r="A166" i="22"/>
  <c r="A167" i="22"/>
  <c r="A168" i="22"/>
  <c r="B168" i="22"/>
  <c r="A169" i="22"/>
  <c r="B169" i="22"/>
  <c r="C169" i="22"/>
  <c r="A170" i="22"/>
  <c r="B170" i="22"/>
  <c r="C170" i="22"/>
  <c r="A171" i="22"/>
  <c r="A172" i="22"/>
  <c r="A173" i="22"/>
  <c r="A174" i="22"/>
  <c r="A175" i="22"/>
  <c r="A176" i="22"/>
  <c r="B176" i="22"/>
  <c r="A177" i="22"/>
  <c r="A178" i="22"/>
  <c r="A179" i="22"/>
  <c r="A181" i="22"/>
  <c r="A182" i="22"/>
  <c r="A183" i="22"/>
  <c r="A184" i="22"/>
  <c r="A185" i="22"/>
  <c r="B185" i="22"/>
  <c r="A186" i="22"/>
  <c r="A187" i="22"/>
  <c r="A188" i="22"/>
  <c r="A189" i="22"/>
  <c r="B189" i="22"/>
  <c r="A190" i="22"/>
  <c r="B190" i="22"/>
  <c r="A191" i="22"/>
  <c r="B191" i="22"/>
  <c r="A192" i="22"/>
  <c r="B192" i="22"/>
  <c r="A193" i="22"/>
  <c r="B193" i="22"/>
  <c r="A194" i="22"/>
  <c r="A195" i="22"/>
  <c r="A196" i="22"/>
  <c r="A197" i="22"/>
  <c r="A198" i="22"/>
  <c r="B198" i="22"/>
  <c r="A199" i="22"/>
  <c r="A200" i="22"/>
  <c r="A201" i="22"/>
  <c r="A202" i="22"/>
  <c r="B202" i="22"/>
  <c r="A203" i="22"/>
  <c r="B203" i="22"/>
  <c r="A204" i="22"/>
  <c r="B204" i="22"/>
  <c r="B217" i="22" s="1"/>
  <c r="A205" i="22"/>
  <c r="B205" i="22"/>
  <c r="B218" i="22" s="1"/>
  <c r="A206" i="22"/>
  <c r="B206" i="22"/>
  <c r="A207" i="22"/>
  <c r="B207" i="22"/>
  <c r="A208" i="22"/>
  <c r="A209" i="22"/>
  <c r="B209" i="22"/>
  <c r="A210" i="22"/>
  <c r="B210" i="22"/>
  <c r="A211" i="22"/>
  <c r="B211" i="22"/>
  <c r="A212" i="22"/>
  <c r="A213" i="22"/>
  <c r="B213" i="22"/>
  <c r="A214" i="22"/>
  <c r="B214" i="22"/>
  <c r="A215" i="22"/>
  <c r="B215" i="22"/>
  <c r="A216" i="22"/>
  <c r="B216" i="22"/>
  <c r="A217" i="22"/>
  <c r="A218" i="22"/>
  <c r="A219" i="22"/>
  <c r="B219" i="22"/>
  <c r="A220" i="22"/>
  <c r="A222" i="22"/>
  <c r="A223" i="22"/>
  <c r="A224" i="22"/>
  <c r="B224" i="22"/>
  <c r="C224" i="22"/>
  <c r="A225" i="22"/>
  <c r="B225" i="22"/>
  <c r="C225" i="22"/>
  <c r="A226" i="22"/>
  <c r="B226" i="22"/>
  <c r="C226" i="22"/>
  <c r="A227" i="22"/>
  <c r="A228" i="22"/>
  <c r="B228" i="22"/>
  <c r="C228" i="22"/>
  <c r="A229" i="22"/>
  <c r="B229" i="22"/>
  <c r="C229" i="22"/>
  <c r="A230" i="22"/>
  <c r="B230" i="22"/>
  <c r="C230" i="22"/>
  <c r="A231" i="22"/>
  <c r="C231" i="22"/>
  <c r="A232" i="22"/>
  <c r="C232" i="22"/>
  <c r="A233" i="22"/>
  <c r="B233" i="22"/>
  <c r="C233" i="22"/>
  <c r="A234" i="22"/>
  <c r="B234" i="22"/>
  <c r="C234" i="22"/>
  <c r="A235" i="22"/>
  <c r="A236" i="22"/>
  <c r="A237" i="22"/>
  <c r="B237" i="22"/>
  <c r="C237" i="22"/>
  <c r="A238" i="22"/>
  <c r="B238" i="22"/>
  <c r="B239" i="22" s="1"/>
  <c r="C238" i="22"/>
  <c r="A239" i="22"/>
  <c r="C239" i="22"/>
  <c r="A240" i="22"/>
  <c r="A241" i="22"/>
  <c r="B241" i="22"/>
  <c r="C241" i="22"/>
  <c r="A242" i="22"/>
  <c r="B242" i="22"/>
  <c r="B243" i="22" s="1"/>
  <c r="C242" i="22"/>
  <c r="A243" i="22"/>
  <c r="C243" i="22"/>
  <c r="C244" i="22" s="1"/>
  <c r="A244" i="22"/>
  <c r="A245" i="22"/>
  <c r="B245" i="22"/>
  <c r="C245" i="22"/>
  <c r="A246" i="22"/>
  <c r="B246" i="22"/>
  <c r="C246" i="22"/>
  <c r="A247" i="22"/>
  <c r="C247" i="22"/>
  <c r="A248" i="22"/>
  <c r="A249" i="22"/>
  <c r="A250" i="22"/>
  <c r="B250" i="22"/>
  <c r="C250" i="22"/>
  <c r="A251" i="22"/>
  <c r="C251" i="22"/>
  <c r="A252" i="22"/>
  <c r="C252" i="22"/>
  <c r="A253" i="22"/>
  <c r="A254" i="22"/>
  <c r="B254" i="22"/>
  <c r="A255" i="22"/>
  <c r="B255" i="22"/>
  <c r="A256" i="22"/>
  <c r="A257" i="22"/>
  <c r="A258" i="22"/>
  <c r="A259" i="22"/>
  <c r="B259" i="22"/>
  <c r="A260" i="22"/>
  <c r="A261" i="22"/>
  <c r="A263" i="22"/>
  <c r="A264" i="22"/>
  <c r="A265" i="22"/>
  <c r="B265" i="22"/>
  <c r="C265" i="22"/>
  <c r="A266" i="22"/>
  <c r="B266" i="22"/>
  <c r="C266" i="22"/>
  <c r="A267" i="22"/>
  <c r="B267" i="22"/>
  <c r="C267" i="22"/>
  <c r="A268" i="22"/>
  <c r="A269" i="22"/>
  <c r="B269" i="22"/>
  <c r="C269" i="22"/>
  <c r="A270" i="22"/>
  <c r="B270" i="22"/>
  <c r="C270" i="22"/>
  <c r="A271" i="22"/>
  <c r="A272" i="22"/>
  <c r="A273" i="22"/>
  <c r="A274" i="22"/>
  <c r="B274" i="22"/>
  <c r="A275" i="22"/>
  <c r="A276" i="22"/>
  <c r="A277" i="22"/>
  <c r="A278" i="22"/>
  <c r="B278" i="22"/>
  <c r="C278" i="22"/>
  <c r="A279" i="22"/>
  <c r="B279" i="22"/>
  <c r="C279" i="22"/>
  <c r="A280" i="22"/>
  <c r="B280" i="22"/>
  <c r="C280" i="22"/>
  <c r="A281" i="22"/>
  <c r="A282" i="22"/>
  <c r="B282" i="22"/>
  <c r="B284" i="22" s="1"/>
  <c r="C282" i="22"/>
  <c r="A283" i="22"/>
  <c r="B283" i="22"/>
  <c r="B296" i="22" s="1"/>
  <c r="C283" i="22"/>
  <c r="A284" i="22"/>
  <c r="C284" i="22"/>
  <c r="A285" i="22"/>
  <c r="A286" i="22"/>
  <c r="B286" i="22"/>
  <c r="A287" i="22"/>
  <c r="B287" i="22"/>
  <c r="A288" i="22"/>
  <c r="A289" i="22"/>
  <c r="A290" i="22"/>
  <c r="A291" i="22"/>
  <c r="B291" i="22"/>
  <c r="A292" i="22"/>
  <c r="B292" i="22"/>
  <c r="A293" i="22"/>
  <c r="B293" i="22"/>
  <c r="A294" i="22"/>
  <c r="A295" i="22"/>
  <c r="C295" i="22"/>
  <c r="A296" i="22"/>
  <c r="A297" i="22"/>
  <c r="A298" i="22"/>
  <c r="A299" i="22"/>
  <c r="A300" i="22"/>
  <c r="A301" i="22"/>
  <c r="A302" i="22"/>
  <c r="A304" i="22"/>
  <c r="A305" i="22"/>
  <c r="A306" i="22"/>
  <c r="B306" i="22"/>
  <c r="C306" i="22"/>
  <c r="A307" i="22"/>
  <c r="B307" i="22"/>
  <c r="B308" i="22" s="1"/>
  <c r="C307" i="22"/>
  <c r="A308" i="22"/>
  <c r="C308" i="22"/>
  <c r="A309" i="22"/>
  <c r="A310" i="22"/>
  <c r="B310" i="22"/>
  <c r="C310" i="22"/>
  <c r="A311" i="22"/>
  <c r="B311" i="22"/>
  <c r="C311" i="22"/>
  <c r="A312" i="22"/>
  <c r="B312" i="22"/>
  <c r="C312" i="22"/>
  <c r="A313" i="22"/>
  <c r="A314" i="22"/>
  <c r="A315" i="22"/>
  <c r="A316" i="22"/>
  <c r="A317" i="22"/>
  <c r="A318" i="22"/>
  <c r="A319" i="22"/>
  <c r="B319" i="22"/>
  <c r="C319" i="22"/>
  <c r="A320" i="22"/>
  <c r="B320" i="22"/>
  <c r="C320" i="22"/>
  <c r="A321" i="22"/>
  <c r="B321" i="22"/>
  <c r="C321" i="22"/>
  <c r="A322" i="22"/>
  <c r="A323" i="22"/>
  <c r="B323" i="22"/>
  <c r="C323" i="22"/>
  <c r="A324" i="22"/>
  <c r="B324" i="22"/>
  <c r="C324" i="22"/>
  <c r="A325" i="22"/>
  <c r="B325" i="22"/>
  <c r="C325" i="22"/>
  <c r="A326" i="22"/>
  <c r="B326" i="22"/>
  <c r="A327" i="22"/>
  <c r="B327" i="22"/>
  <c r="A328" i="22"/>
  <c r="B328" i="22"/>
  <c r="A329" i="22"/>
  <c r="B329" i="22"/>
  <c r="A330" i="22"/>
  <c r="A331" i="22"/>
  <c r="A332" i="22"/>
  <c r="A333" i="22"/>
  <c r="A334" i="22"/>
  <c r="A335" i="22"/>
  <c r="A336" i="22"/>
  <c r="C336" i="22"/>
  <c r="A337" i="22"/>
  <c r="C337" i="22"/>
  <c r="A338" i="22"/>
  <c r="C338" i="22"/>
  <c r="A339" i="22"/>
  <c r="A340" i="22"/>
  <c r="A341" i="22"/>
  <c r="A342" i="22"/>
  <c r="A343" i="22"/>
  <c r="A345" i="22"/>
  <c r="A346" i="22"/>
  <c r="A347" i="22"/>
  <c r="A348" i="22"/>
  <c r="A349" i="22"/>
  <c r="A350" i="22"/>
  <c r="A351" i="22"/>
  <c r="A352" i="22"/>
  <c r="A353" i="22"/>
  <c r="A354" i="22"/>
  <c r="A355" i="22"/>
  <c r="A356" i="22"/>
  <c r="A357" i="22"/>
  <c r="A359" i="22"/>
  <c r="A360" i="22"/>
  <c r="A361" i="22"/>
  <c r="A362" i="22"/>
  <c r="A363" i="22"/>
  <c r="A364" i="22"/>
  <c r="A365" i="22"/>
  <c r="A366" i="22"/>
  <c r="A367" i="22"/>
  <c r="A368" i="22"/>
  <c r="A369" i="22"/>
  <c r="A370" i="22"/>
  <c r="A371" i="22"/>
  <c r="A373" i="22"/>
  <c r="A374" i="22"/>
  <c r="A375" i="22"/>
  <c r="A376" i="22"/>
  <c r="A377" i="22"/>
  <c r="A378" i="22"/>
  <c r="A379" i="22"/>
  <c r="A380" i="22"/>
  <c r="A381" i="22"/>
  <c r="A382" i="22"/>
  <c r="A383" i="22"/>
  <c r="A384" i="22"/>
  <c r="A385" i="22"/>
  <c r="A387" i="22"/>
  <c r="A388" i="22"/>
  <c r="A389" i="22"/>
  <c r="A390" i="22"/>
  <c r="A391" i="22"/>
  <c r="A392" i="22"/>
  <c r="A393" i="22"/>
  <c r="A394" i="22"/>
  <c r="A395" i="22"/>
  <c r="A396" i="22"/>
  <c r="A397" i="22"/>
  <c r="A398" i="22"/>
  <c r="A399" i="22"/>
  <c r="A400" i="22"/>
  <c r="A401" i="22"/>
  <c r="A402" i="22"/>
  <c r="A403" i="22"/>
  <c r="A404" i="22"/>
  <c r="A405" i="22"/>
  <c r="A406" i="22"/>
  <c r="A407" i="22"/>
  <c r="A408" i="22"/>
  <c r="A409" i="22"/>
  <c r="A410" i="22"/>
  <c r="A411" i="22"/>
  <c r="A412" i="22"/>
  <c r="A413" i="22"/>
  <c r="A414" i="22"/>
  <c r="A415" i="22"/>
  <c r="A416" i="22"/>
  <c r="A417" i="22"/>
  <c r="A418" i="22"/>
  <c r="A419" i="22"/>
  <c r="A420" i="22"/>
  <c r="A421" i="22"/>
  <c r="A422" i="22"/>
  <c r="A423" i="22"/>
  <c r="A424" i="22"/>
  <c r="A425" i="22"/>
  <c r="A426" i="22"/>
  <c r="A428" i="22"/>
  <c r="A429" i="22"/>
  <c r="A430" i="22"/>
  <c r="A431" i="22"/>
  <c r="A432" i="22"/>
  <c r="A433" i="22"/>
  <c r="A434" i="22"/>
  <c r="A435" i="22"/>
  <c r="A436" i="22"/>
  <c r="A437" i="22"/>
  <c r="A438" i="22"/>
  <c r="A439" i="22"/>
  <c r="A440" i="22"/>
  <c r="A441" i="22"/>
  <c r="A442" i="22"/>
  <c r="A443" i="22"/>
  <c r="A444" i="22"/>
  <c r="A445" i="22"/>
  <c r="A446" i="22"/>
  <c r="A447" i="22"/>
  <c r="A448" i="22"/>
  <c r="A449" i="22"/>
  <c r="A450" i="22"/>
  <c r="A451" i="22"/>
  <c r="A452" i="22"/>
  <c r="A453" i="22"/>
  <c r="A454" i="22"/>
  <c r="A455" i="22"/>
  <c r="A456" i="22"/>
  <c r="A457" i="22"/>
  <c r="A458" i="22"/>
  <c r="A459" i="22"/>
  <c r="A460" i="22"/>
  <c r="A461" i="22"/>
  <c r="A462" i="22"/>
  <c r="A463" i="22"/>
  <c r="A464" i="22"/>
  <c r="A465" i="22"/>
  <c r="A466" i="22"/>
  <c r="A467" i="22"/>
  <c r="A468" i="22"/>
  <c r="A469" i="22"/>
  <c r="A470" i="22"/>
  <c r="A471" i="22"/>
  <c r="A472" i="22"/>
  <c r="A473" i="22"/>
  <c r="A474" i="22"/>
  <c r="A475" i="22"/>
  <c r="A476" i="22"/>
  <c r="A477" i="22"/>
  <c r="A478" i="22"/>
  <c r="A479" i="22"/>
  <c r="A480" i="22"/>
  <c r="A481" i="22"/>
  <c r="A482" i="22"/>
  <c r="A483" i="22"/>
  <c r="A484" i="22"/>
  <c r="A485" i="22"/>
  <c r="A486" i="22"/>
  <c r="A487" i="22"/>
  <c r="A488" i="22"/>
  <c r="A489" i="22"/>
  <c r="A490" i="22"/>
  <c r="A491" i="22"/>
  <c r="A492" i="22"/>
  <c r="A493" i="22"/>
  <c r="A494" i="22"/>
  <c r="A495" i="22"/>
  <c r="A496" i="22"/>
  <c r="A497" i="22"/>
  <c r="A498" i="22"/>
  <c r="A499" i="22"/>
  <c r="A500" i="22"/>
  <c r="A501" i="22"/>
  <c r="A502" i="22"/>
  <c r="A503" i="22"/>
  <c r="A504" i="22"/>
  <c r="A505" i="22"/>
  <c r="A506" i="22"/>
  <c r="A507" i="22"/>
  <c r="A508" i="22"/>
  <c r="A509" i="22"/>
  <c r="A510" i="22"/>
  <c r="A511" i="22"/>
  <c r="A512" i="22"/>
  <c r="A513" i="22"/>
  <c r="A514" i="22"/>
  <c r="A515" i="22"/>
  <c r="A516" i="22"/>
  <c r="A517" i="22"/>
  <c r="A518" i="22"/>
  <c r="A519" i="22"/>
  <c r="A520" i="22"/>
  <c r="A521" i="22"/>
  <c r="A522" i="22"/>
  <c r="A523" i="22"/>
  <c r="A524" i="22"/>
  <c r="A525" i="22"/>
  <c r="A526" i="22"/>
  <c r="A527" i="22"/>
  <c r="A528" i="22"/>
  <c r="A529" i="22"/>
  <c r="A530" i="22"/>
  <c r="A531" i="22"/>
  <c r="A532" i="22"/>
  <c r="A533" i="22"/>
  <c r="A534" i="22"/>
  <c r="A535" i="22"/>
  <c r="A536" i="22"/>
  <c r="A537" i="22"/>
  <c r="A538" i="22"/>
  <c r="A539" i="22"/>
  <c r="A540" i="22"/>
  <c r="A541" i="22"/>
  <c r="A542" i="22"/>
  <c r="A543" i="22"/>
  <c r="A544" i="22"/>
  <c r="A545" i="22"/>
  <c r="A546" i="22"/>
  <c r="A547" i="22"/>
  <c r="A548" i="22"/>
  <c r="A549" i="22"/>
  <c r="A550" i="22"/>
  <c r="A551" i="22"/>
  <c r="A552" i="22"/>
  <c r="A553" i="22"/>
  <c r="A554" i="22"/>
  <c r="A555" i="22"/>
  <c r="A556" i="22"/>
  <c r="A557" i="22"/>
  <c r="A558" i="22"/>
  <c r="A559" i="22"/>
  <c r="A560" i="22"/>
  <c r="A561" i="22"/>
  <c r="A562" i="22"/>
  <c r="A563" i="22"/>
  <c r="A564" i="22"/>
  <c r="A565" i="22"/>
  <c r="A566" i="22"/>
  <c r="A567" i="22"/>
  <c r="A568" i="22"/>
  <c r="A569" i="22"/>
  <c r="A570" i="22"/>
  <c r="A571" i="22"/>
  <c r="A572" i="22"/>
  <c r="A573" i="22"/>
  <c r="A574" i="22"/>
  <c r="A575" i="22"/>
  <c r="A576" i="22"/>
  <c r="A577" i="22"/>
  <c r="A578" i="22"/>
  <c r="A579" i="22"/>
  <c r="A580" i="22"/>
  <c r="A581" i="22"/>
  <c r="A582" i="22"/>
  <c r="A583" i="22"/>
  <c r="A584" i="22"/>
  <c r="A585" i="22"/>
  <c r="A586" i="22"/>
  <c r="A587" i="22"/>
  <c r="A588" i="22"/>
  <c r="A589" i="22"/>
  <c r="A590" i="22"/>
  <c r="A591" i="22"/>
  <c r="A592" i="22"/>
  <c r="A593" i="22"/>
  <c r="A594" i="22"/>
  <c r="A595" i="22"/>
  <c r="A596" i="22"/>
  <c r="A597" i="22"/>
  <c r="A598" i="22"/>
  <c r="A599" i="22"/>
  <c r="A600" i="22"/>
  <c r="A601" i="22"/>
  <c r="A602" i="22"/>
  <c r="A603" i="22"/>
  <c r="A604" i="22"/>
  <c r="A605" i="22"/>
  <c r="A606" i="22"/>
  <c r="A607" i="22"/>
  <c r="A608" i="22"/>
  <c r="A609" i="22"/>
  <c r="A610" i="22"/>
  <c r="A611" i="22"/>
  <c r="A612" i="22"/>
  <c r="A613" i="22"/>
  <c r="A614" i="22"/>
  <c r="A615" i="22"/>
  <c r="A616" i="22"/>
  <c r="A617" i="22"/>
  <c r="A618" i="22"/>
  <c r="A619" i="22"/>
  <c r="A620" i="22"/>
  <c r="A621" i="22"/>
  <c r="A622" i="22"/>
  <c r="A623" i="22"/>
  <c r="A624" i="22"/>
  <c r="A625" i="22"/>
  <c r="A626" i="22"/>
  <c r="A627" i="22"/>
  <c r="A628" i="22"/>
  <c r="A629" i="22"/>
  <c r="A630" i="22"/>
  <c r="A631" i="22"/>
  <c r="A632" i="22"/>
  <c r="A633" i="22"/>
  <c r="A634" i="22"/>
  <c r="A635" i="22"/>
  <c r="A636" i="22"/>
  <c r="A637" i="22"/>
  <c r="A638" i="22"/>
  <c r="A639" i="22"/>
  <c r="A640" i="22"/>
  <c r="A641" i="22"/>
  <c r="A642" i="22"/>
  <c r="A643" i="22"/>
  <c r="A644" i="22"/>
  <c r="A645" i="22"/>
  <c r="A646" i="22"/>
  <c r="A647" i="22"/>
  <c r="A648" i="22"/>
  <c r="A649" i="22"/>
  <c r="A650" i="22"/>
  <c r="A651" i="22"/>
  <c r="A652" i="22"/>
  <c r="A653" i="22"/>
  <c r="A654" i="22"/>
  <c r="A655" i="22"/>
  <c r="A656" i="22"/>
  <c r="A657" i="22"/>
  <c r="A658" i="22"/>
  <c r="A659" i="22"/>
  <c r="A660" i="22"/>
  <c r="A661" i="22"/>
  <c r="A662" i="22"/>
  <c r="A663" i="22"/>
  <c r="A664" i="22"/>
  <c r="A665" i="22"/>
  <c r="A666" i="22"/>
  <c r="A667" i="22"/>
  <c r="A668" i="22"/>
  <c r="A669" i="22"/>
  <c r="A670" i="22"/>
  <c r="A671" i="22"/>
  <c r="A673" i="22"/>
  <c r="A674" i="22"/>
  <c r="A675" i="22"/>
  <c r="A676" i="22"/>
  <c r="A677" i="22"/>
  <c r="B677" i="22"/>
  <c r="A678" i="22"/>
  <c r="A679" i="22"/>
  <c r="A680" i="22"/>
  <c r="A681" i="22"/>
  <c r="B681" i="22"/>
  <c r="A682" i="22"/>
  <c r="B682" i="22"/>
  <c r="A683" i="22"/>
  <c r="B683" i="22"/>
  <c r="A684" i="22"/>
  <c r="B684" i="22"/>
  <c r="A685" i="22"/>
  <c r="B685" i="22"/>
  <c r="A686" i="22"/>
  <c r="A687" i="22"/>
  <c r="A688" i="22"/>
  <c r="A689" i="22"/>
  <c r="A690" i="22"/>
  <c r="B690" i="22"/>
  <c r="A691" i="22"/>
  <c r="A692" i="22"/>
  <c r="A693" i="22"/>
  <c r="A694" i="22"/>
  <c r="B694" i="22"/>
  <c r="A695" i="22"/>
  <c r="A696" i="22"/>
  <c r="B696" i="22"/>
  <c r="A697" i="22"/>
  <c r="B697" i="22"/>
  <c r="A698" i="22"/>
  <c r="A699" i="22"/>
  <c r="A700" i="22"/>
  <c r="A701" i="22"/>
  <c r="B701" i="22"/>
  <c r="A702" i="22"/>
  <c r="B702" i="22"/>
  <c r="A703" i="22"/>
  <c r="B703" i="22"/>
  <c r="A704" i="22"/>
  <c r="A705" i="22"/>
  <c r="B705" i="22"/>
  <c r="A706" i="22"/>
  <c r="B706" i="22"/>
  <c r="A707" i="22"/>
  <c r="A708" i="22"/>
  <c r="A709" i="22"/>
  <c r="A710" i="22"/>
  <c r="A711" i="22"/>
  <c r="A712" i="22"/>
  <c r="A714" i="22"/>
  <c r="B714" i="22"/>
  <c r="A715" i="22"/>
  <c r="B715" i="22"/>
  <c r="A716" i="22"/>
  <c r="B716" i="22"/>
  <c r="A717" i="22"/>
  <c r="A718" i="22"/>
  <c r="B720" i="22"/>
  <c r="C720" i="22"/>
  <c r="D720" i="22"/>
  <c r="E720" i="22"/>
  <c r="F720" i="22"/>
  <c r="G720" i="22"/>
  <c r="H720" i="22"/>
  <c r="I720" i="22"/>
  <c r="J720" i="22"/>
  <c r="K720" i="22"/>
  <c r="L720" i="22"/>
  <c r="M720" i="22"/>
  <c r="N720" i="22"/>
  <c r="O720" i="22"/>
  <c r="P720" i="22"/>
  <c r="Q720" i="22"/>
  <c r="R720" i="22"/>
  <c r="S720" i="22"/>
  <c r="T720" i="22"/>
  <c r="A721" i="22"/>
  <c r="A723" i="22"/>
  <c r="B723" i="22"/>
  <c r="C723" i="22"/>
  <c r="D723" i="22"/>
  <c r="E723" i="22"/>
  <c r="F723" i="22"/>
  <c r="G723" i="22"/>
  <c r="H723" i="22"/>
  <c r="H725" i="22" s="1"/>
  <c r="J20" i="5" s="1"/>
  <c r="I723" i="22"/>
  <c r="J723" i="22"/>
  <c r="K723" i="22"/>
  <c r="L723" i="22"/>
  <c r="L725" i="22" s="1"/>
  <c r="O20" i="5" s="1"/>
  <c r="M723" i="22"/>
  <c r="N723" i="22"/>
  <c r="O723" i="22"/>
  <c r="P723" i="22"/>
  <c r="P725" i="22" s="1"/>
  <c r="T20" i="5" s="1"/>
  <c r="Q723" i="22"/>
  <c r="R723" i="22"/>
  <c r="S723" i="22"/>
  <c r="A724" i="22"/>
  <c r="B724" i="22"/>
  <c r="C724" i="22"/>
  <c r="D724" i="22"/>
  <c r="E724" i="22"/>
  <c r="F724" i="22"/>
  <c r="F725" i="22" s="1"/>
  <c r="G20" i="5" s="1"/>
  <c r="G724" i="22"/>
  <c r="H724" i="22"/>
  <c r="I724" i="22"/>
  <c r="J724" i="22"/>
  <c r="K724" i="22"/>
  <c r="L724" i="22"/>
  <c r="M724" i="22"/>
  <c r="N724" i="22"/>
  <c r="N725" i="22" s="1"/>
  <c r="R20" i="5" s="1"/>
  <c r="O724" i="22"/>
  <c r="P724" i="22"/>
  <c r="Q724" i="22"/>
  <c r="R724" i="22"/>
  <c r="S724" i="22"/>
  <c r="A725" i="22"/>
  <c r="B725" i="22"/>
  <c r="B20" i="5" s="1"/>
  <c r="C725" i="22"/>
  <c r="C20" i="5" s="1"/>
  <c r="G725" i="22"/>
  <c r="H20" i="5" s="1"/>
  <c r="J725" i="22"/>
  <c r="L20" i="5" s="1"/>
  <c r="K725" i="22"/>
  <c r="N20" i="5" s="1"/>
  <c r="O725" i="22"/>
  <c r="S20" i="5" s="1"/>
  <c r="R725" i="22"/>
  <c r="W20" i="5" s="1"/>
  <c r="S725" i="22"/>
  <c r="X20" i="5" s="1"/>
  <c r="A726" i="22"/>
  <c r="B728" i="22"/>
  <c r="C728" i="22"/>
  <c r="D728" i="22"/>
  <c r="E728" i="22"/>
  <c r="F728" i="22"/>
  <c r="G728" i="22"/>
  <c r="H728" i="22"/>
  <c r="I728" i="22"/>
  <c r="J728" i="22"/>
  <c r="K728" i="22"/>
  <c r="L728" i="22"/>
  <c r="M728" i="22"/>
  <c r="N728" i="22"/>
  <c r="O728" i="22"/>
  <c r="P728" i="22"/>
  <c r="Q728" i="22"/>
  <c r="R728" i="22"/>
  <c r="S728" i="22"/>
  <c r="A729" i="22"/>
  <c r="A731" i="22"/>
  <c r="A732" i="22"/>
  <c r="A733" i="22"/>
  <c r="A734" i="22"/>
  <c r="A735" i="22"/>
  <c r="A736" i="22"/>
  <c r="A737" i="22"/>
  <c r="A738" i="22"/>
  <c r="A739" i="22"/>
  <c r="A740" i="22"/>
  <c r="A741" i="22"/>
  <c r="A742" i="22"/>
  <c r="A743" i="22"/>
  <c r="A744" i="22"/>
  <c r="A745" i="22"/>
  <c r="A746" i="22"/>
  <c r="A747" i="22"/>
  <c r="A748" i="22"/>
  <c r="A749" i="22"/>
  <c r="A750" i="22"/>
  <c r="A751" i="22"/>
  <c r="A752" i="22"/>
  <c r="A753" i="22"/>
  <c r="A754" i="22"/>
  <c r="A755" i="22"/>
  <c r="A756" i="22"/>
  <c r="A757" i="22"/>
  <c r="A758" i="22"/>
  <c r="A759" i="22"/>
  <c r="A760" i="22"/>
  <c r="A761" i="22"/>
  <c r="A762" i="22"/>
  <c r="A763" i="22"/>
  <c r="A764" i="22"/>
  <c r="A765" i="22"/>
  <c r="A766" i="22"/>
  <c r="A767" i="22"/>
  <c r="A768" i="22"/>
  <c r="A769" i="22"/>
  <c r="A770" i="22"/>
  <c r="A772" i="22"/>
  <c r="A773" i="22"/>
  <c r="A774" i="22"/>
  <c r="A775" i="22"/>
  <c r="A776" i="22"/>
  <c r="A777" i="22"/>
  <c r="A778" i="22"/>
  <c r="A779" i="22"/>
  <c r="A780" i="22"/>
  <c r="A781" i="22"/>
  <c r="A782" i="22"/>
  <c r="A783" i="22"/>
  <c r="A784" i="22"/>
  <c r="A785" i="22"/>
  <c r="A786" i="22"/>
  <c r="A787" i="22"/>
  <c r="A788" i="22"/>
  <c r="A789" i="22"/>
  <c r="A790" i="22"/>
  <c r="A791" i="22"/>
  <c r="A792" i="22"/>
  <c r="A793" i="22"/>
  <c r="A794" i="22"/>
  <c r="A795" i="22"/>
  <c r="A796" i="22"/>
  <c r="A797" i="22"/>
  <c r="A798" i="22"/>
  <c r="A799" i="22"/>
  <c r="A800" i="22"/>
  <c r="A801" i="22"/>
  <c r="A802" i="22"/>
  <c r="A803" i="22"/>
  <c r="A804" i="22"/>
  <c r="A805" i="22"/>
  <c r="A806" i="22"/>
  <c r="A807" i="22"/>
  <c r="A808" i="22"/>
  <c r="A809" i="22"/>
  <c r="A810" i="22"/>
  <c r="A811" i="22"/>
  <c r="A812" i="22"/>
  <c r="A813" i="22"/>
  <c r="A814" i="22"/>
  <c r="A815" i="22"/>
  <c r="A816" i="22"/>
  <c r="A817" i="22"/>
  <c r="A818" i="22"/>
  <c r="A819" i="22"/>
  <c r="A820" i="22"/>
  <c r="A821" i="22"/>
  <c r="A822" i="22"/>
  <c r="A823" i="22"/>
  <c r="A824" i="22"/>
  <c r="A825" i="22"/>
  <c r="A826" i="22"/>
  <c r="A827" i="22"/>
  <c r="A828" i="22"/>
  <c r="A829" i="22"/>
  <c r="A830" i="22"/>
  <c r="A831" i="22"/>
  <c r="A832" i="22"/>
  <c r="A833" i="22"/>
  <c r="A834" i="22"/>
  <c r="A835" i="22"/>
  <c r="A836" i="22"/>
  <c r="A837" i="22"/>
  <c r="A838" i="22"/>
  <c r="A839" i="22"/>
  <c r="A840" i="22"/>
  <c r="A841" i="22"/>
  <c r="A842" i="22"/>
  <c r="A843" i="22"/>
  <c r="A844" i="22"/>
  <c r="A845" i="22"/>
  <c r="A846" i="22"/>
  <c r="A847" i="22"/>
  <c r="A848" i="22"/>
  <c r="A849" i="22"/>
  <c r="A850" i="22"/>
  <c r="A851" i="22"/>
  <c r="A852" i="22"/>
  <c r="A853" i="22"/>
  <c r="A854" i="22"/>
  <c r="A855" i="22"/>
  <c r="A856" i="22"/>
  <c r="A857" i="22"/>
  <c r="A858" i="22"/>
  <c r="A859" i="22"/>
  <c r="A860" i="22"/>
  <c r="A861" i="22"/>
  <c r="A862" i="22"/>
  <c r="A863" i="22"/>
  <c r="A864" i="22"/>
  <c r="A865" i="22"/>
  <c r="A866" i="22"/>
  <c r="A867" i="22"/>
  <c r="A868" i="22"/>
  <c r="A869" i="22"/>
  <c r="A870" i="22"/>
  <c r="A871" i="22"/>
  <c r="A872" i="22"/>
  <c r="A873" i="22"/>
  <c r="A874" i="22"/>
  <c r="A875" i="22"/>
  <c r="A876" i="22"/>
  <c r="A877" i="22"/>
  <c r="A878" i="22"/>
  <c r="A879" i="22"/>
  <c r="A880" i="22"/>
  <c r="A881" i="22"/>
  <c r="A882" i="22"/>
  <c r="A883" i="22"/>
  <c r="A884" i="22"/>
  <c r="A885" i="22"/>
  <c r="A886" i="22"/>
  <c r="A887" i="22"/>
  <c r="A888" i="22"/>
  <c r="A889" i="22"/>
  <c r="A890" i="22"/>
  <c r="A891" i="22"/>
  <c r="A892" i="22"/>
  <c r="A894" i="22"/>
  <c r="A895" i="22"/>
  <c r="A896" i="22"/>
  <c r="A897" i="22"/>
  <c r="A898" i="22"/>
  <c r="A899" i="22"/>
  <c r="A900" i="22"/>
  <c r="A901" i="22"/>
  <c r="A902" i="22"/>
  <c r="A903" i="22"/>
  <c r="A904" i="22"/>
  <c r="A905" i="22"/>
  <c r="A906" i="22"/>
  <c r="A908" i="22"/>
  <c r="A909" i="22"/>
  <c r="A910" i="22"/>
  <c r="A911" i="22"/>
  <c r="A912" i="22"/>
  <c r="A913" i="22"/>
  <c r="A914" i="22"/>
  <c r="A915" i="22"/>
  <c r="A916" i="22"/>
  <c r="A917" i="22"/>
  <c r="A918" i="22"/>
  <c r="A919" i="22"/>
  <c r="A920" i="22"/>
  <c r="A921" i="22"/>
  <c r="A922" i="22"/>
  <c r="A923" i="22"/>
  <c r="A924" i="22"/>
  <c r="A925" i="22"/>
  <c r="A926" i="22"/>
  <c r="A927" i="22"/>
  <c r="A928" i="22"/>
  <c r="A929" i="22"/>
  <c r="A930" i="22"/>
  <c r="A931" i="22"/>
  <c r="A932" i="22"/>
  <c r="A933" i="22"/>
  <c r="A934" i="22"/>
  <c r="A935" i="22"/>
  <c r="A936" i="22"/>
  <c r="A937" i="22"/>
  <c r="A938" i="22"/>
  <c r="A939" i="22"/>
  <c r="A940" i="22"/>
  <c r="A941" i="22"/>
  <c r="A942" i="22"/>
  <c r="A943" i="22"/>
  <c r="A944" i="22"/>
  <c r="A945" i="22"/>
  <c r="A946" i="22"/>
  <c r="A947" i="22"/>
  <c r="A950" i="22"/>
  <c r="A953" i="22"/>
  <c r="A956" i="22"/>
  <c r="A959" i="22"/>
  <c r="A962" i="22"/>
  <c r="A965" i="22"/>
  <c r="A968" i="22"/>
  <c r="A971" i="22"/>
  <c r="A974" i="22"/>
  <c r="A977" i="22"/>
  <c r="A980" i="22"/>
  <c r="A983" i="22"/>
  <c r="A986" i="22"/>
  <c r="A989" i="22"/>
  <c r="A992" i="22"/>
  <c r="A995" i="22"/>
  <c r="A998" i="22"/>
  <c r="A1001" i="22"/>
  <c r="A1004" i="22"/>
  <c r="A1007" i="22"/>
  <c r="A1010" i="22"/>
  <c r="A1013" i="22"/>
  <c r="A1016" i="22"/>
  <c r="A1019" i="22"/>
  <c r="A1022" i="22"/>
  <c r="A1025" i="22"/>
  <c r="A1028" i="22"/>
  <c r="A1031" i="22"/>
  <c r="A1034" i="22"/>
  <c r="A1037" i="22"/>
  <c r="A1040" i="22"/>
  <c r="A1043" i="22"/>
  <c r="A1046" i="22"/>
  <c r="A1049" i="22"/>
  <c r="A1052" i="22"/>
  <c r="A1055" i="22"/>
  <c r="A1058" i="22"/>
  <c r="A1061" i="22"/>
  <c r="A1064" i="22"/>
  <c r="A1067" i="22"/>
  <c r="A1070" i="22"/>
  <c r="A1073" i="22"/>
  <c r="A1076" i="22"/>
  <c r="A1079" i="22"/>
  <c r="A1082" i="22"/>
  <c r="A1085" i="22"/>
  <c r="A1088" i="22"/>
  <c r="A1091" i="22"/>
  <c r="A1094" i="22"/>
  <c r="A1097" i="22"/>
  <c r="A1100" i="22"/>
  <c r="A1103" i="22"/>
  <c r="A1106" i="22"/>
  <c r="A1109" i="22"/>
  <c r="A1112" i="22"/>
  <c r="A1115" i="22"/>
  <c r="A1118" i="22"/>
  <c r="A1121" i="22"/>
  <c r="A1124" i="22"/>
  <c r="A1127" i="22"/>
  <c r="A1130" i="22"/>
  <c r="A1133" i="22"/>
  <c r="A1136" i="22"/>
  <c r="A1139" i="22"/>
  <c r="A1142" i="22"/>
  <c r="A1145" i="22"/>
  <c r="A1148" i="22"/>
  <c r="A1151" i="22"/>
  <c r="A1154" i="22"/>
  <c r="A1157" i="22"/>
  <c r="A1160" i="22"/>
  <c r="A1163" i="22"/>
  <c r="A1166" i="22"/>
  <c r="A1169" i="22"/>
  <c r="A1172" i="22"/>
  <c r="A1175" i="22"/>
  <c r="A1178" i="22"/>
  <c r="A1" i="23"/>
  <c r="A3" i="23"/>
  <c r="B48" i="23" s="1"/>
  <c r="A4" i="23"/>
  <c r="F4" i="23" s="1"/>
  <c r="C4" i="23"/>
  <c r="D4" i="23" s="1"/>
  <c r="A5" i="23"/>
  <c r="G5" i="23" s="1"/>
  <c r="C5" i="23"/>
  <c r="D5" i="23" s="1"/>
  <c r="F5" i="23"/>
  <c r="H5" i="23"/>
  <c r="A6" i="23"/>
  <c r="F6" i="23" s="1"/>
  <c r="C6" i="23"/>
  <c r="D6" i="23" s="1"/>
  <c r="A7" i="23"/>
  <c r="C7" i="23"/>
  <c r="D7" i="23" s="1"/>
  <c r="F7" i="23"/>
  <c r="A8" i="23"/>
  <c r="G8" i="23" s="1"/>
  <c r="B8" i="23"/>
  <c r="C8" i="23"/>
  <c r="D8" i="23" s="1"/>
  <c r="E8" i="23"/>
  <c r="A9" i="23"/>
  <c r="F9" i="23" s="1"/>
  <c r="C9" i="23"/>
  <c r="D9" i="23" s="1"/>
  <c r="A10" i="23"/>
  <c r="F10" i="23" s="1"/>
  <c r="C10" i="23"/>
  <c r="D10" i="23" s="1"/>
  <c r="A11" i="23"/>
  <c r="G11" i="23" s="1"/>
  <c r="B11" i="23"/>
  <c r="C11" i="23"/>
  <c r="D11" i="23" s="1"/>
  <c r="E11" i="23"/>
  <c r="F11" i="23"/>
  <c r="A12" i="23"/>
  <c r="C12" i="23"/>
  <c r="D12" i="23" s="1"/>
  <c r="F12" i="23"/>
  <c r="A13" i="23"/>
  <c r="F13" i="23" s="1"/>
  <c r="C13" i="23"/>
  <c r="D13" i="23" s="1"/>
  <c r="A14" i="23"/>
  <c r="G14" i="23" s="1"/>
  <c r="C14" i="23"/>
  <c r="D14" i="23" s="1"/>
  <c r="A15" i="23"/>
  <c r="F15" i="23" s="1"/>
  <c r="C15" i="23"/>
  <c r="D15" i="23" s="1"/>
  <c r="A16" i="23"/>
  <c r="F16" i="23" s="1"/>
  <c r="C16" i="23"/>
  <c r="D16" i="23"/>
  <c r="A17" i="23"/>
  <c r="F17" i="23" s="1"/>
  <c r="C17" i="23"/>
  <c r="D17" i="23" s="1"/>
  <c r="A18" i="23"/>
  <c r="F18" i="23" s="1"/>
  <c r="C18" i="23"/>
  <c r="D18" i="23" s="1"/>
  <c r="A19" i="23"/>
  <c r="F19" i="23" s="1"/>
  <c r="C19" i="23"/>
  <c r="D19" i="23"/>
  <c r="A20" i="23"/>
  <c r="F20" i="23" s="1"/>
  <c r="C20" i="23"/>
  <c r="D20" i="23" s="1"/>
  <c r="G20" i="23"/>
  <c r="A21" i="23"/>
  <c r="F21" i="23" s="1"/>
  <c r="C21" i="23"/>
  <c r="D21" i="23" s="1"/>
  <c r="A22" i="23"/>
  <c r="F22" i="23" s="1"/>
  <c r="B22" i="23"/>
  <c r="E22" i="23" s="1"/>
  <c r="C22" i="23"/>
  <c r="D22" i="23" s="1"/>
  <c r="A23" i="23"/>
  <c r="F23" i="23" s="1"/>
  <c r="C23" i="23"/>
  <c r="D23" i="23" s="1"/>
  <c r="A24" i="23"/>
  <c r="F24" i="23" s="1"/>
  <c r="C24" i="23"/>
  <c r="D24" i="23" s="1"/>
  <c r="A25" i="23"/>
  <c r="F25" i="23" s="1"/>
  <c r="C25" i="23"/>
  <c r="D25" i="23" s="1"/>
  <c r="A26" i="23"/>
  <c r="F26" i="23" s="1"/>
  <c r="C26" i="23"/>
  <c r="D26" i="23" s="1"/>
  <c r="G26" i="23"/>
  <c r="A27" i="23"/>
  <c r="C27" i="23"/>
  <c r="D27" i="23" s="1"/>
  <c r="F27" i="23"/>
  <c r="A28" i="23"/>
  <c r="F28" i="23" s="1"/>
  <c r="C28" i="23"/>
  <c r="D28" i="23" s="1"/>
  <c r="A29" i="23"/>
  <c r="C29" i="23"/>
  <c r="D29" i="23" s="1"/>
  <c r="H29" i="23"/>
  <c r="A30" i="23"/>
  <c r="F30" i="23" s="1"/>
  <c r="B30" i="23"/>
  <c r="E30" i="23" s="1"/>
  <c r="C30" i="23"/>
  <c r="D30" i="23" s="1"/>
  <c r="A31" i="23"/>
  <c r="B31" i="23"/>
  <c r="E31" i="23" s="1"/>
  <c r="C31" i="23"/>
  <c r="D31" i="23"/>
  <c r="F31" i="23"/>
  <c r="A32" i="23"/>
  <c r="G32" i="23" s="1"/>
  <c r="C32" i="23"/>
  <c r="D32" i="23" s="1"/>
  <c r="F32" i="23"/>
  <c r="A33" i="23"/>
  <c r="F33" i="23" s="1"/>
  <c r="C33" i="23"/>
  <c r="D33" i="23" s="1"/>
  <c r="A34" i="23"/>
  <c r="F34" i="23" s="1"/>
  <c r="C34" i="23"/>
  <c r="D34" i="23"/>
  <c r="A35" i="23"/>
  <c r="F35" i="23" s="1"/>
  <c r="C35" i="23"/>
  <c r="D35" i="23" s="1"/>
  <c r="G35" i="23"/>
  <c r="A36" i="23"/>
  <c r="F36" i="23" s="1"/>
  <c r="C36" i="23"/>
  <c r="D36" i="23" s="1"/>
  <c r="A37" i="23"/>
  <c r="F37" i="23" s="1"/>
  <c r="C37" i="23"/>
  <c r="D37" i="23" s="1"/>
  <c r="A38" i="23"/>
  <c r="C38" i="23"/>
  <c r="D38" i="23" s="1"/>
  <c r="F38" i="23"/>
  <c r="G38" i="23"/>
  <c r="A39" i="23"/>
  <c r="B39" i="23"/>
  <c r="E39" i="23" s="1"/>
  <c r="C39" i="23"/>
  <c r="D39" i="23" s="1"/>
  <c r="F39" i="23"/>
  <c r="A40" i="23"/>
  <c r="C40" i="23"/>
  <c r="D40" i="23" s="1"/>
  <c r="F40" i="23"/>
  <c r="B1060" i="22" s="1"/>
  <c r="A41" i="23"/>
  <c r="C41" i="23"/>
  <c r="D41" i="23" s="1"/>
  <c r="F41" i="23"/>
  <c r="G41" i="23"/>
  <c r="A42" i="23"/>
  <c r="D1069" i="22" s="1"/>
  <c r="C42" i="23"/>
  <c r="D42" i="23"/>
  <c r="A43" i="23"/>
  <c r="C43" i="23"/>
  <c r="D43" i="23" s="1"/>
  <c r="A44" i="23"/>
  <c r="E949" i="22" s="1"/>
  <c r="C44" i="23"/>
  <c r="D44" i="23" s="1"/>
  <c r="A45" i="23"/>
  <c r="C45" i="23"/>
  <c r="D45" i="23" s="1"/>
  <c r="A46" i="23"/>
  <c r="H1057" i="22" s="1"/>
  <c r="C46" i="23"/>
  <c r="D46" i="23" s="1"/>
  <c r="F46" i="23"/>
  <c r="A47" i="23"/>
  <c r="I1069" i="22" s="1"/>
  <c r="C47" i="23"/>
  <c r="D47" i="23" s="1"/>
  <c r="F47" i="23"/>
  <c r="H360" i="24" s="1"/>
  <c r="A48" i="23"/>
  <c r="I949" i="22" s="1"/>
  <c r="C48" i="23"/>
  <c r="D48" i="23" s="1"/>
  <c r="E48" i="23"/>
  <c r="A49" i="23"/>
  <c r="K1075" i="22" s="1"/>
  <c r="C49" i="23"/>
  <c r="D49" i="23" s="1"/>
  <c r="A50" i="23"/>
  <c r="C50" i="23"/>
  <c r="D50" i="23" s="1"/>
  <c r="G50" i="23"/>
  <c r="A51" i="23"/>
  <c r="C51" i="23"/>
  <c r="D51" i="23" s="1"/>
  <c r="A52" i="23"/>
  <c r="N1057" i="22" s="1"/>
  <c r="C52" i="23"/>
  <c r="D52" i="23" s="1"/>
  <c r="A53" i="23"/>
  <c r="N949" i="22" s="1"/>
  <c r="C53" i="23"/>
  <c r="D53" i="23" s="1"/>
  <c r="F53" i="23"/>
  <c r="O11" i="24" s="1"/>
  <c r="H53" i="23"/>
  <c r="A54" i="23"/>
  <c r="O961" i="22" s="1"/>
  <c r="C54" i="23"/>
  <c r="D54" i="23" s="1"/>
  <c r="F54" i="23"/>
  <c r="O951" i="22" s="1"/>
  <c r="A55" i="23"/>
  <c r="C55" i="23"/>
  <c r="D55" i="23" s="1"/>
  <c r="A56" i="23"/>
  <c r="G56" i="23" s="1"/>
  <c r="C56" i="23"/>
  <c r="D56" i="23" s="1"/>
  <c r="A57" i="23"/>
  <c r="B57" i="23"/>
  <c r="E57" i="23" s="1"/>
  <c r="C57" i="23"/>
  <c r="D57" i="23" s="1"/>
  <c r="F57" i="23"/>
  <c r="A58" i="23"/>
  <c r="T1069" i="22" s="1"/>
  <c r="C58" i="23"/>
  <c r="D58" i="23" s="1"/>
  <c r="A59" i="23"/>
  <c r="C59" i="23"/>
  <c r="D59" i="23"/>
  <c r="A60" i="23"/>
  <c r="G60" i="23" s="1"/>
  <c r="B60" i="23"/>
  <c r="E60" i="23" s="1"/>
  <c r="C60" i="23"/>
  <c r="D60" i="23" s="1"/>
  <c r="H60" i="23"/>
  <c r="A1" i="24"/>
  <c r="A2" i="24"/>
  <c r="A3" i="24"/>
  <c r="A5" i="24"/>
  <c r="B5" i="24"/>
  <c r="A6" i="24"/>
  <c r="B6" i="24"/>
  <c r="A7" i="24"/>
  <c r="H8" i="24"/>
  <c r="P8" i="24"/>
  <c r="S8" i="24"/>
  <c r="A10" i="24"/>
  <c r="H11" i="24"/>
  <c r="B12" i="24"/>
  <c r="A13" i="24"/>
  <c r="A15" i="24"/>
  <c r="B15" i="24"/>
  <c r="A16" i="24"/>
  <c r="B16" i="24"/>
  <c r="B17" i="24" s="1"/>
  <c r="A17" i="24"/>
  <c r="A18" i="24"/>
  <c r="A20" i="24"/>
  <c r="B20" i="24"/>
  <c r="A21" i="24"/>
  <c r="B21" i="24"/>
  <c r="A22" i="24"/>
  <c r="B23" i="24"/>
  <c r="C23" i="24"/>
  <c r="A24" i="24"/>
  <c r="B24" i="24"/>
  <c r="C24" i="24"/>
  <c r="A25" i="24"/>
  <c r="B25" i="24"/>
  <c r="C25" i="24"/>
  <c r="A26" i="24"/>
  <c r="B27" i="24"/>
  <c r="C27" i="24"/>
  <c r="D27" i="24"/>
  <c r="E27" i="24"/>
  <c r="F27" i="24"/>
  <c r="A28" i="24"/>
  <c r="A29" i="24"/>
  <c r="A30" i="24"/>
  <c r="A31" i="24"/>
  <c r="A32" i="24"/>
  <c r="A33" i="24"/>
  <c r="A34" i="24"/>
  <c r="A35" i="24"/>
  <c r="A36" i="24"/>
  <c r="A37" i="24"/>
  <c r="A38" i="24"/>
  <c r="A39" i="24"/>
  <c r="A40" i="24"/>
  <c r="A42" i="24"/>
  <c r="B42" i="24"/>
  <c r="A43" i="24"/>
  <c r="A44" i="24"/>
  <c r="A45" i="24"/>
  <c r="A46" i="24"/>
  <c r="B47" i="24"/>
  <c r="C47" i="24"/>
  <c r="D47" i="24"/>
  <c r="E47" i="24"/>
  <c r="F47" i="24"/>
  <c r="A48" i="24"/>
  <c r="A49" i="24"/>
  <c r="B49" i="24"/>
  <c r="B57" i="24" s="1"/>
  <c r="C49" i="24"/>
  <c r="D49" i="24"/>
  <c r="E49" i="24"/>
  <c r="A50" i="24"/>
  <c r="B50" i="24"/>
  <c r="C50" i="24"/>
  <c r="D50" i="24"/>
  <c r="E50" i="24"/>
  <c r="E51" i="24" s="1"/>
  <c r="A51" i="24"/>
  <c r="A52" i="24"/>
  <c r="A53" i="24"/>
  <c r="B53" i="24"/>
  <c r="C53" i="24"/>
  <c r="D53" i="24"/>
  <c r="D57" i="24" s="1"/>
  <c r="E53" i="24"/>
  <c r="E55" i="24" s="1"/>
  <c r="A54" i="24"/>
  <c r="B54" i="24"/>
  <c r="B55" i="24" s="1"/>
  <c r="C54" i="24"/>
  <c r="D54" i="24"/>
  <c r="E54" i="24"/>
  <c r="A55" i="24"/>
  <c r="A56" i="24"/>
  <c r="A57" i="24"/>
  <c r="A58" i="24"/>
  <c r="A59" i="24"/>
  <c r="A60" i="24"/>
  <c r="B61" i="24"/>
  <c r="C61" i="24"/>
  <c r="D61" i="24"/>
  <c r="A62" i="24"/>
  <c r="A63" i="24"/>
  <c r="A64" i="24"/>
  <c r="B64" i="24"/>
  <c r="C64" i="24"/>
  <c r="A65" i="24"/>
  <c r="B65" i="24"/>
  <c r="D65" i="24" s="1"/>
  <c r="C65" i="24"/>
  <c r="A66" i="24"/>
  <c r="C66" i="24"/>
  <c r="A67" i="24"/>
  <c r="A68" i="24"/>
  <c r="B68" i="24"/>
  <c r="C68" i="24"/>
  <c r="C72" i="24" s="1"/>
  <c r="A69" i="24"/>
  <c r="B69" i="24"/>
  <c r="C69" i="24"/>
  <c r="A70" i="24"/>
  <c r="A71" i="24"/>
  <c r="A72" i="24"/>
  <c r="A73" i="24"/>
  <c r="A74" i="24"/>
  <c r="A75" i="24"/>
  <c r="A76" i="24"/>
  <c r="A77" i="24"/>
  <c r="B77" i="24"/>
  <c r="C77" i="24"/>
  <c r="A78" i="24"/>
  <c r="B78" i="24"/>
  <c r="C78" i="24"/>
  <c r="C91" i="24" s="1"/>
  <c r="A79" i="24"/>
  <c r="A80" i="24"/>
  <c r="A81" i="24"/>
  <c r="B81" i="24"/>
  <c r="C81" i="24"/>
  <c r="D81" i="24"/>
  <c r="A82" i="24"/>
  <c r="B82" i="24"/>
  <c r="C82" i="24"/>
  <c r="D82" i="24"/>
  <c r="A83" i="24"/>
  <c r="B83" i="24"/>
  <c r="C83" i="24"/>
  <c r="D83" i="24"/>
  <c r="A84" i="24"/>
  <c r="A85" i="24"/>
  <c r="A86" i="24"/>
  <c r="A87" i="24"/>
  <c r="A88" i="24"/>
  <c r="A89" i="24"/>
  <c r="A90" i="24"/>
  <c r="A91" i="24"/>
  <c r="A92" i="24"/>
  <c r="A93" i="24"/>
  <c r="A94" i="24"/>
  <c r="A95" i="24"/>
  <c r="A96" i="24"/>
  <c r="A97" i="24"/>
  <c r="A98" i="24"/>
  <c r="A99" i="24"/>
  <c r="A100" i="24"/>
  <c r="A101" i="24"/>
  <c r="B102" i="24"/>
  <c r="C102" i="24"/>
  <c r="D102" i="24"/>
  <c r="A103" i="24"/>
  <c r="A104" i="24"/>
  <c r="B104" i="24"/>
  <c r="C104" i="24"/>
  <c r="A105" i="24"/>
  <c r="B105" i="24"/>
  <c r="A106" i="24"/>
  <c r="A107" i="24"/>
  <c r="A108" i="24"/>
  <c r="B108" i="24"/>
  <c r="C108" i="24"/>
  <c r="A109" i="24"/>
  <c r="B109" i="24"/>
  <c r="C109" i="24"/>
  <c r="A110" i="24"/>
  <c r="A111" i="24"/>
  <c r="A112" i="24"/>
  <c r="A113" i="24"/>
  <c r="A114" i="24"/>
  <c r="A115" i="24"/>
  <c r="B116" i="24"/>
  <c r="H116" i="24"/>
  <c r="R116" i="24"/>
  <c r="A117" i="24"/>
  <c r="A118" i="24"/>
  <c r="A119" i="24"/>
  <c r="A120" i="24"/>
  <c r="B120" i="24"/>
  <c r="C120" i="24"/>
  <c r="D120" i="24"/>
  <c r="E120" i="24"/>
  <c r="F120" i="24"/>
  <c r="F122" i="24" s="1"/>
  <c r="F130" i="24" s="1"/>
  <c r="G120" i="24"/>
  <c r="H120" i="24"/>
  <c r="H146" i="24" s="1"/>
  <c r="I120" i="24"/>
  <c r="J120" i="24"/>
  <c r="K120" i="24"/>
  <c r="L120" i="24"/>
  <c r="M120" i="24"/>
  <c r="M128" i="24" s="1"/>
  <c r="N120" i="24"/>
  <c r="O120" i="24"/>
  <c r="P120" i="24"/>
  <c r="Q120" i="24"/>
  <c r="R120" i="24"/>
  <c r="R146" i="24" s="1"/>
  <c r="S120" i="24"/>
  <c r="A121" i="24"/>
  <c r="B121" i="24"/>
  <c r="C121" i="24"/>
  <c r="C129" i="24" s="1"/>
  <c r="D121" i="24"/>
  <c r="E121" i="24"/>
  <c r="F121" i="24"/>
  <c r="F129" i="24" s="1"/>
  <c r="G121" i="24"/>
  <c r="G147" i="24" s="1"/>
  <c r="H121" i="24"/>
  <c r="I121" i="24"/>
  <c r="J121" i="24"/>
  <c r="J129" i="24" s="1"/>
  <c r="K121" i="24"/>
  <c r="L121" i="24"/>
  <c r="M121" i="24"/>
  <c r="M122" i="24" s="1"/>
  <c r="N121" i="24"/>
  <c r="O121" i="24"/>
  <c r="P121" i="24"/>
  <c r="Q121" i="24"/>
  <c r="R121" i="24"/>
  <c r="S121" i="24"/>
  <c r="S147" i="24" s="1"/>
  <c r="A122" i="24"/>
  <c r="A123" i="24"/>
  <c r="A124" i="24"/>
  <c r="B124" i="24"/>
  <c r="B150" i="24" s="1"/>
  <c r="C124" i="24"/>
  <c r="C204" i="24" s="1"/>
  <c r="D124" i="24"/>
  <c r="D126" i="24" s="1"/>
  <c r="E124" i="24"/>
  <c r="F124" i="24"/>
  <c r="F126" i="24" s="1"/>
  <c r="G124" i="24"/>
  <c r="G204" i="24" s="1"/>
  <c r="H124" i="24"/>
  <c r="I124" i="24"/>
  <c r="J124" i="24"/>
  <c r="K124" i="24"/>
  <c r="K204" i="24" s="1"/>
  <c r="L124" i="24"/>
  <c r="L126" i="24" s="1"/>
  <c r="M124" i="24"/>
  <c r="N124" i="24"/>
  <c r="O124" i="24"/>
  <c r="O204" i="24" s="1"/>
  <c r="P124" i="24"/>
  <c r="Q124" i="24"/>
  <c r="R124" i="24"/>
  <c r="S124" i="24"/>
  <c r="S204" i="24" s="1"/>
  <c r="A125" i="24"/>
  <c r="B125" i="24"/>
  <c r="C125" i="24"/>
  <c r="C126" i="24" s="1"/>
  <c r="D125" i="24"/>
  <c r="D205" i="24" s="1"/>
  <c r="E125" i="24"/>
  <c r="F125" i="24"/>
  <c r="G125" i="24"/>
  <c r="G151" i="24" s="1"/>
  <c r="H125" i="24"/>
  <c r="H205" i="24" s="1"/>
  <c r="I125" i="24"/>
  <c r="I126" i="24" s="1"/>
  <c r="J125" i="24"/>
  <c r="K125" i="24"/>
  <c r="K126" i="24" s="1"/>
  <c r="L125" i="24"/>
  <c r="L205" i="24" s="1"/>
  <c r="M125" i="24"/>
  <c r="N125" i="24"/>
  <c r="O125" i="24"/>
  <c r="P125" i="24"/>
  <c r="P205" i="24" s="1"/>
  <c r="Q125" i="24"/>
  <c r="Q126" i="24" s="1"/>
  <c r="R125" i="24"/>
  <c r="S125" i="24"/>
  <c r="S126" i="24" s="1"/>
  <c r="A126" i="24"/>
  <c r="B126" i="24"/>
  <c r="A127" i="24"/>
  <c r="A128" i="24"/>
  <c r="Q128" i="24"/>
  <c r="A129" i="24"/>
  <c r="N129" i="24"/>
  <c r="R129" i="24"/>
  <c r="A130" i="24"/>
  <c r="A131" i="24"/>
  <c r="A132" i="24"/>
  <c r="A133" i="24"/>
  <c r="B133" i="24"/>
  <c r="C133" i="24"/>
  <c r="D133" i="24"/>
  <c r="D141" i="24" s="1"/>
  <c r="E133" i="24"/>
  <c r="F133" i="24"/>
  <c r="G133" i="24"/>
  <c r="H133" i="24"/>
  <c r="I133" i="24"/>
  <c r="J133" i="24"/>
  <c r="J141" i="24" s="1"/>
  <c r="K133" i="24"/>
  <c r="L133" i="24"/>
  <c r="M133" i="24"/>
  <c r="N133" i="24"/>
  <c r="O133" i="24"/>
  <c r="P133" i="24"/>
  <c r="P146" i="24" s="1"/>
  <c r="Q133" i="24"/>
  <c r="R133" i="24"/>
  <c r="S133" i="24"/>
  <c r="A134" i="24"/>
  <c r="B134" i="24"/>
  <c r="C134" i="24"/>
  <c r="D134" i="24"/>
  <c r="E134" i="24"/>
  <c r="E147" i="24" s="1"/>
  <c r="F134" i="24"/>
  <c r="G134" i="24"/>
  <c r="H134" i="24"/>
  <c r="I134" i="24"/>
  <c r="I142" i="24" s="1"/>
  <c r="J134" i="24"/>
  <c r="K134" i="24"/>
  <c r="L134" i="24"/>
  <c r="M134" i="24"/>
  <c r="N134" i="24"/>
  <c r="O134" i="24"/>
  <c r="O142" i="24" s="1"/>
  <c r="P134" i="24"/>
  <c r="Q134" i="24"/>
  <c r="R134" i="24"/>
  <c r="S134" i="24"/>
  <c r="A135" i="24"/>
  <c r="G135" i="24"/>
  <c r="A136" i="24"/>
  <c r="A137" i="24"/>
  <c r="B137" i="24"/>
  <c r="C137" i="24"/>
  <c r="D137" i="24"/>
  <c r="E137" i="24"/>
  <c r="F137" i="24"/>
  <c r="G137" i="24"/>
  <c r="H137" i="24"/>
  <c r="H141" i="24" s="1"/>
  <c r="I137" i="24"/>
  <c r="I150" i="24" s="1"/>
  <c r="J137" i="24"/>
  <c r="K137" i="24"/>
  <c r="L137" i="24"/>
  <c r="L141" i="24" s="1"/>
  <c r="M137" i="24"/>
  <c r="N137" i="24"/>
  <c r="O137" i="24"/>
  <c r="P137" i="24"/>
  <c r="P141" i="24" s="1"/>
  <c r="Q137" i="24"/>
  <c r="Q150" i="24" s="1"/>
  <c r="R137" i="24"/>
  <c r="S137" i="24"/>
  <c r="A138" i="24"/>
  <c r="B138" i="24"/>
  <c r="C138" i="24"/>
  <c r="D138" i="24"/>
  <c r="E138" i="24"/>
  <c r="E142" i="24" s="1"/>
  <c r="F138" i="24"/>
  <c r="G138" i="24"/>
  <c r="H138" i="24"/>
  <c r="I138" i="24"/>
  <c r="I139" i="24" s="1"/>
  <c r="J138" i="24"/>
  <c r="K138" i="24"/>
  <c r="L138" i="24"/>
  <c r="M138" i="24"/>
  <c r="N138" i="24"/>
  <c r="O138" i="24"/>
  <c r="P138" i="24"/>
  <c r="Q138" i="24"/>
  <c r="R138" i="24"/>
  <c r="S138" i="24"/>
  <c r="A139" i="24"/>
  <c r="E139" i="24"/>
  <c r="A140" i="24"/>
  <c r="A141" i="24"/>
  <c r="B141" i="24"/>
  <c r="G141" i="24"/>
  <c r="O141" i="24"/>
  <c r="R141" i="24"/>
  <c r="A142" i="24"/>
  <c r="D142" i="24"/>
  <c r="G142" i="24"/>
  <c r="A143" i="24"/>
  <c r="A144" i="24"/>
  <c r="A145" i="24"/>
  <c r="A146" i="24"/>
  <c r="B146" i="24"/>
  <c r="F146" i="24"/>
  <c r="J146" i="24"/>
  <c r="N146" i="24"/>
  <c r="A147" i="24"/>
  <c r="C147" i="24"/>
  <c r="K147" i="24"/>
  <c r="M147" i="24"/>
  <c r="O147" i="24"/>
  <c r="A148" i="24"/>
  <c r="A149" i="24"/>
  <c r="A150" i="24"/>
  <c r="F150" i="24"/>
  <c r="J150" i="24"/>
  <c r="R150" i="24"/>
  <c r="A151" i="24"/>
  <c r="C151" i="24"/>
  <c r="K151" i="24"/>
  <c r="O151" i="24"/>
  <c r="A152" i="24"/>
  <c r="A153" i="24"/>
  <c r="A154" i="24"/>
  <c r="A155" i="24"/>
  <c r="A156" i="24"/>
  <c r="A157" i="24"/>
  <c r="A158" i="24"/>
  <c r="A159" i="24"/>
  <c r="A160" i="24"/>
  <c r="B160" i="24"/>
  <c r="C160" i="24"/>
  <c r="C168" i="24" s="1"/>
  <c r="D160" i="24"/>
  <c r="E160" i="24"/>
  <c r="F160" i="24"/>
  <c r="G160" i="24"/>
  <c r="H160" i="24"/>
  <c r="I160" i="24"/>
  <c r="J160" i="24"/>
  <c r="K160" i="24"/>
  <c r="K168" i="24" s="1"/>
  <c r="L160" i="24"/>
  <c r="M160" i="24"/>
  <c r="N160" i="24"/>
  <c r="O160" i="24"/>
  <c r="P160" i="24"/>
  <c r="P162" i="24" s="1"/>
  <c r="Q160" i="24"/>
  <c r="Q168" i="24" s="1"/>
  <c r="R160" i="24"/>
  <c r="S160" i="24"/>
  <c r="A161" i="24"/>
  <c r="B161" i="24"/>
  <c r="C161" i="24"/>
  <c r="D161" i="24"/>
  <c r="D169" i="24" s="1"/>
  <c r="E161" i="24"/>
  <c r="F161" i="24"/>
  <c r="F201" i="24" s="1"/>
  <c r="G161" i="24"/>
  <c r="H161" i="24"/>
  <c r="I161" i="24"/>
  <c r="J161" i="24"/>
  <c r="K161" i="24"/>
  <c r="L161" i="24"/>
  <c r="M161" i="24"/>
  <c r="M169" i="24" s="1"/>
  <c r="N161" i="24"/>
  <c r="O161" i="24"/>
  <c r="P161" i="24"/>
  <c r="Q161" i="24"/>
  <c r="R161" i="24"/>
  <c r="R162" i="24" s="1"/>
  <c r="S161" i="24"/>
  <c r="A162" i="24"/>
  <c r="B162" i="24"/>
  <c r="J162" i="24"/>
  <c r="A163" i="24"/>
  <c r="A164" i="24"/>
  <c r="B164" i="24"/>
  <c r="B204" i="24" s="1"/>
  <c r="C164" i="24"/>
  <c r="D164" i="24"/>
  <c r="D190" i="24" s="1"/>
  <c r="E164" i="24"/>
  <c r="E168" i="24" s="1"/>
  <c r="F164" i="24"/>
  <c r="F168" i="24" s="1"/>
  <c r="G164" i="24"/>
  <c r="H164" i="24"/>
  <c r="I164" i="24"/>
  <c r="J164" i="24"/>
  <c r="J204" i="24" s="1"/>
  <c r="K164" i="24"/>
  <c r="L164" i="24"/>
  <c r="M164" i="24"/>
  <c r="M168" i="24" s="1"/>
  <c r="M208" i="24" s="1"/>
  <c r="N164" i="24"/>
  <c r="N168" i="24" s="1"/>
  <c r="O164" i="24"/>
  <c r="P164" i="24"/>
  <c r="Q164" i="24"/>
  <c r="Q204" i="24" s="1"/>
  <c r="R164" i="24"/>
  <c r="R204" i="24" s="1"/>
  <c r="S164" i="24"/>
  <c r="A165" i="24"/>
  <c r="B165" i="24"/>
  <c r="B169" i="24" s="1"/>
  <c r="C165" i="24"/>
  <c r="D165" i="24"/>
  <c r="E165" i="24"/>
  <c r="F165" i="24"/>
  <c r="F169" i="24" s="1"/>
  <c r="G165" i="24"/>
  <c r="H165" i="24"/>
  <c r="I165" i="24"/>
  <c r="J165" i="24"/>
  <c r="K165" i="24"/>
  <c r="L165" i="24"/>
  <c r="M165" i="24"/>
  <c r="N165" i="24"/>
  <c r="N169" i="24" s="1"/>
  <c r="N209" i="24" s="1"/>
  <c r="O165" i="24"/>
  <c r="P165" i="24"/>
  <c r="Q165" i="24"/>
  <c r="Q191" i="24" s="1"/>
  <c r="R165" i="24"/>
  <c r="S165" i="24"/>
  <c r="A166" i="24"/>
  <c r="H166" i="24"/>
  <c r="P166" i="24"/>
  <c r="A167" i="24"/>
  <c r="A168" i="24"/>
  <c r="I168" i="24"/>
  <c r="S168" i="24"/>
  <c r="A169" i="24"/>
  <c r="L169" i="24"/>
  <c r="A170" i="24"/>
  <c r="A171" i="24"/>
  <c r="A172" i="24"/>
  <c r="A173" i="24"/>
  <c r="B173" i="24"/>
  <c r="C173" i="24"/>
  <c r="D173" i="24"/>
  <c r="D213" i="24" s="1"/>
  <c r="E173" i="24"/>
  <c r="F173" i="24"/>
  <c r="G173" i="24"/>
  <c r="G213" i="24" s="1"/>
  <c r="H173" i="24"/>
  <c r="H181" i="24" s="1"/>
  <c r="I173" i="24"/>
  <c r="J173" i="24"/>
  <c r="K173" i="24"/>
  <c r="K213" i="24" s="1"/>
  <c r="L173" i="24"/>
  <c r="L213" i="24" s="1"/>
  <c r="M173" i="24"/>
  <c r="N173" i="24"/>
  <c r="O173" i="24"/>
  <c r="O213" i="24" s="1"/>
  <c r="P173" i="24"/>
  <c r="P181" i="24" s="1"/>
  <c r="Q173" i="24"/>
  <c r="R173" i="24"/>
  <c r="S173" i="24"/>
  <c r="S213" i="24" s="1"/>
  <c r="A174" i="24"/>
  <c r="B174" i="24"/>
  <c r="C174" i="24"/>
  <c r="D174" i="24"/>
  <c r="E174" i="24"/>
  <c r="E182" i="24" s="1"/>
  <c r="F174" i="24"/>
  <c r="G174" i="24"/>
  <c r="H174" i="24"/>
  <c r="H214" i="24" s="1"/>
  <c r="I174" i="24"/>
  <c r="I175" i="24" s="1"/>
  <c r="J174" i="24"/>
  <c r="K174" i="24"/>
  <c r="L174" i="24"/>
  <c r="M174" i="24"/>
  <c r="M182" i="24" s="1"/>
  <c r="N174" i="24"/>
  <c r="O174" i="24"/>
  <c r="P174" i="24"/>
  <c r="P214" i="24" s="1"/>
  <c r="Q174" i="24"/>
  <c r="Q175" i="24" s="1"/>
  <c r="R174" i="24"/>
  <c r="S174" i="24"/>
  <c r="A175" i="24"/>
  <c r="E175" i="24"/>
  <c r="A176" i="24"/>
  <c r="A177" i="24"/>
  <c r="B177" i="24"/>
  <c r="C177" i="24"/>
  <c r="D177" i="24"/>
  <c r="E177" i="24"/>
  <c r="E543" i="24" s="1"/>
  <c r="E545" i="24" s="1"/>
  <c r="F177" i="24"/>
  <c r="G177" i="24"/>
  <c r="H177" i="24"/>
  <c r="I177" i="24"/>
  <c r="I217" i="24" s="1"/>
  <c r="J177" i="24"/>
  <c r="K177" i="24"/>
  <c r="L177" i="24"/>
  <c r="M177" i="24"/>
  <c r="M181" i="24" s="1"/>
  <c r="N177" i="24"/>
  <c r="O177" i="24"/>
  <c r="P177" i="24"/>
  <c r="Q177" i="24"/>
  <c r="Q217" i="24" s="1"/>
  <c r="R177" i="24"/>
  <c r="S177" i="24"/>
  <c r="A178" i="24"/>
  <c r="B178" i="24"/>
  <c r="B182" i="24" s="1"/>
  <c r="C178" i="24"/>
  <c r="D178" i="24"/>
  <c r="E178" i="24"/>
  <c r="F178" i="24"/>
  <c r="F218" i="24" s="1"/>
  <c r="G178" i="24"/>
  <c r="G179" i="24" s="1"/>
  <c r="H178" i="24"/>
  <c r="H218" i="24" s="1"/>
  <c r="I178" i="24"/>
  <c r="J178" i="24"/>
  <c r="K178" i="24"/>
  <c r="K182" i="24" s="1"/>
  <c r="L178" i="24"/>
  <c r="M178" i="24"/>
  <c r="N178" i="24"/>
  <c r="N218" i="24" s="1"/>
  <c r="O178" i="24"/>
  <c r="O179" i="24" s="1"/>
  <c r="P178" i="24"/>
  <c r="P218" i="24" s="1"/>
  <c r="Q178" i="24"/>
  <c r="R178" i="24"/>
  <c r="S178" i="24"/>
  <c r="A179" i="24"/>
  <c r="K179" i="24"/>
  <c r="S179" i="24"/>
  <c r="A180" i="24"/>
  <c r="A181" i="24"/>
  <c r="D181" i="24"/>
  <c r="E181" i="24"/>
  <c r="F181" i="24"/>
  <c r="N181" i="24"/>
  <c r="A182" i="24"/>
  <c r="C182" i="24"/>
  <c r="I182" i="24"/>
  <c r="Q182" i="24"/>
  <c r="S182" i="24"/>
  <c r="A183" i="24"/>
  <c r="A184" i="24"/>
  <c r="A185" i="24"/>
  <c r="A186" i="24"/>
  <c r="P186" i="24"/>
  <c r="P226" i="24" s="1"/>
  <c r="A187" i="24"/>
  <c r="M187" i="24"/>
  <c r="M227" i="24" s="1"/>
  <c r="A188" i="24"/>
  <c r="A189" i="24"/>
  <c r="A190" i="24"/>
  <c r="H190" i="24"/>
  <c r="L190" i="24"/>
  <c r="P190" i="24"/>
  <c r="A191" i="24"/>
  <c r="E191" i="24"/>
  <c r="I191" i="24"/>
  <c r="M191" i="24"/>
  <c r="A192" i="24"/>
  <c r="A193" i="24"/>
  <c r="A194" i="24"/>
  <c r="A195" i="24"/>
  <c r="A196" i="24"/>
  <c r="A197" i="24"/>
  <c r="A198" i="24"/>
  <c r="A199" i="24"/>
  <c r="A200" i="24"/>
  <c r="E200" i="24"/>
  <c r="I200" i="24"/>
  <c r="M200" i="24"/>
  <c r="N200" i="24"/>
  <c r="A201" i="24"/>
  <c r="B201" i="24"/>
  <c r="C201" i="24"/>
  <c r="J201" i="24"/>
  <c r="K201" i="24"/>
  <c r="N201" i="24"/>
  <c r="S201" i="24"/>
  <c r="A202" i="24"/>
  <c r="A203" i="24"/>
  <c r="A204" i="24"/>
  <c r="D204" i="24"/>
  <c r="E204" i="24"/>
  <c r="H204" i="24"/>
  <c r="I204" i="24"/>
  <c r="M204" i="24"/>
  <c r="N204" i="24"/>
  <c r="P204" i="24"/>
  <c r="A205" i="24"/>
  <c r="B205" i="24"/>
  <c r="E205" i="24"/>
  <c r="F205" i="24"/>
  <c r="J205" i="24"/>
  <c r="K205" i="24"/>
  <c r="M205" i="24"/>
  <c r="Q205" i="24"/>
  <c r="R205" i="24"/>
  <c r="A206" i="24"/>
  <c r="A207" i="24"/>
  <c r="A208" i="24"/>
  <c r="A209" i="24"/>
  <c r="A210" i="24"/>
  <c r="A211" i="24"/>
  <c r="A212" i="24"/>
  <c r="A213" i="24"/>
  <c r="C213" i="24"/>
  <c r="E213" i="24"/>
  <c r="M213" i="24"/>
  <c r="A214" i="24"/>
  <c r="B214" i="24"/>
  <c r="F214" i="24"/>
  <c r="J214" i="24"/>
  <c r="N214" i="24"/>
  <c r="R214" i="24"/>
  <c r="A215" i="24"/>
  <c r="A216" i="24"/>
  <c r="A217" i="24"/>
  <c r="C217" i="24"/>
  <c r="G217" i="24"/>
  <c r="K217" i="24"/>
  <c r="O217" i="24"/>
  <c r="S217" i="24"/>
  <c r="A218" i="24"/>
  <c r="D218" i="24"/>
  <c r="L218" i="24"/>
  <c r="A219" i="24"/>
  <c r="A220" i="24"/>
  <c r="A221" i="24"/>
  <c r="D221" i="24"/>
  <c r="A222" i="24"/>
  <c r="A223" i="24"/>
  <c r="A224" i="24"/>
  <c r="A225" i="24"/>
  <c r="A226" i="24"/>
  <c r="A227" i="24"/>
  <c r="A228" i="24"/>
  <c r="A229" i="24"/>
  <c r="A230" i="24"/>
  <c r="A231" i="24"/>
  <c r="A232" i="24"/>
  <c r="A233" i="24"/>
  <c r="A234" i="24"/>
  <c r="A235" i="24"/>
  <c r="A236" i="24"/>
  <c r="A237" i="24"/>
  <c r="B238" i="24"/>
  <c r="G238" i="24"/>
  <c r="O238" i="24"/>
  <c r="A239" i="24"/>
  <c r="A240" i="24"/>
  <c r="A241" i="24"/>
  <c r="A242" i="24"/>
  <c r="B242" i="24"/>
  <c r="B250" i="24" s="1"/>
  <c r="C242" i="24"/>
  <c r="D242" i="24"/>
  <c r="D250" i="24" s="1"/>
  <c r="E242" i="24"/>
  <c r="F242" i="24"/>
  <c r="G242" i="24"/>
  <c r="H242" i="24"/>
  <c r="I242" i="24"/>
  <c r="J242" i="24"/>
  <c r="K242" i="24"/>
  <c r="L242" i="24"/>
  <c r="L250" i="24" s="1"/>
  <c r="M242" i="24"/>
  <c r="N242" i="24"/>
  <c r="O242" i="24"/>
  <c r="P242" i="24"/>
  <c r="Q242" i="24"/>
  <c r="R242" i="24"/>
  <c r="R250" i="24" s="1"/>
  <c r="S242" i="24"/>
  <c r="A243" i="24"/>
  <c r="B243" i="24"/>
  <c r="C243" i="24"/>
  <c r="C251" i="24" s="1"/>
  <c r="D243" i="24"/>
  <c r="E243" i="24"/>
  <c r="F243" i="24"/>
  <c r="G243" i="24"/>
  <c r="G251" i="24" s="1"/>
  <c r="H243" i="24"/>
  <c r="I243" i="24"/>
  <c r="J243" i="24"/>
  <c r="K243" i="24"/>
  <c r="K251" i="24" s="1"/>
  <c r="L243" i="24"/>
  <c r="M243" i="24"/>
  <c r="M251" i="24" s="1"/>
  <c r="N243" i="24"/>
  <c r="O243" i="24"/>
  <c r="P243" i="24"/>
  <c r="Q243" i="24"/>
  <c r="R243" i="24"/>
  <c r="S243" i="24"/>
  <c r="A244" i="24"/>
  <c r="Q244" i="24"/>
  <c r="A245" i="24"/>
  <c r="A246" i="24"/>
  <c r="B246" i="24"/>
  <c r="C246" i="24"/>
  <c r="C248" i="24" s="1"/>
  <c r="D246" i="24"/>
  <c r="E246" i="24"/>
  <c r="F246" i="24"/>
  <c r="G246" i="24"/>
  <c r="H246" i="24"/>
  <c r="I246" i="24"/>
  <c r="J246" i="24"/>
  <c r="K246" i="24"/>
  <c r="L246" i="24"/>
  <c r="M246" i="24"/>
  <c r="M250" i="24" s="1"/>
  <c r="N246" i="24"/>
  <c r="O246" i="24"/>
  <c r="O248" i="24" s="1"/>
  <c r="P246" i="24"/>
  <c r="Q246" i="24"/>
  <c r="R246" i="24"/>
  <c r="S246" i="24"/>
  <c r="S248" i="24" s="1"/>
  <c r="A247" i="24"/>
  <c r="B247" i="24"/>
  <c r="C247" i="24"/>
  <c r="D247" i="24"/>
  <c r="E247" i="24"/>
  <c r="F247" i="24"/>
  <c r="G247" i="24"/>
  <c r="H247" i="24"/>
  <c r="I247" i="24"/>
  <c r="J247" i="24"/>
  <c r="K247" i="24"/>
  <c r="L247" i="24"/>
  <c r="M247" i="24"/>
  <c r="N247" i="24"/>
  <c r="O247" i="24"/>
  <c r="P247" i="24"/>
  <c r="Q247" i="24"/>
  <c r="R247" i="24"/>
  <c r="S247" i="24"/>
  <c r="A248" i="24"/>
  <c r="A249" i="24"/>
  <c r="A250" i="24"/>
  <c r="F250" i="24"/>
  <c r="H250" i="24"/>
  <c r="J250" i="24"/>
  <c r="J330" i="24" s="1"/>
  <c r="N250" i="24"/>
  <c r="P250" i="24"/>
  <c r="A251" i="24"/>
  <c r="E251" i="24"/>
  <c r="I251" i="24"/>
  <c r="O251" i="24"/>
  <c r="Q251" i="24"/>
  <c r="S251" i="24"/>
  <c r="A252" i="24"/>
  <c r="A253" i="24"/>
  <c r="A254" i="24"/>
  <c r="A255" i="24"/>
  <c r="B255" i="24"/>
  <c r="C255" i="24"/>
  <c r="C268" i="24" s="1"/>
  <c r="D255" i="24"/>
  <c r="E255" i="24"/>
  <c r="E335" i="24" s="1"/>
  <c r="F255" i="24"/>
  <c r="G255" i="24"/>
  <c r="H255" i="24"/>
  <c r="I255" i="24"/>
  <c r="I335" i="24" s="1"/>
  <c r="J255" i="24"/>
  <c r="K255" i="24"/>
  <c r="L255" i="24"/>
  <c r="M255" i="24"/>
  <c r="M263" i="24" s="1"/>
  <c r="N255" i="24"/>
  <c r="O255" i="24"/>
  <c r="P255" i="24"/>
  <c r="Q255" i="24"/>
  <c r="Q335" i="24" s="1"/>
  <c r="R255" i="24"/>
  <c r="S255" i="24"/>
  <c r="S268" i="24" s="1"/>
  <c r="A256" i="24"/>
  <c r="B256" i="24"/>
  <c r="B336" i="24" s="1"/>
  <c r="C256" i="24"/>
  <c r="D256" i="24"/>
  <c r="E256" i="24"/>
  <c r="F256" i="24"/>
  <c r="G256" i="24"/>
  <c r="H256" i="24"/>
  <c r="I256" i="24"/>
  <c r="J256" i="24"/>
  <c r="J269" i="24" s="1"/>
  <c r="K256" i="24"/>
  <c r="L256" i="24"/>
  <c r="M256" i="24"/>
  <c r="N256" i="24"/>
  <c r="O256" i="24"/>
  <c r="P256" i="24"/>
  <c r="Q256" i="24"/>
  <c r="R256" i="24"/>
  <c r="R336" i="24" s="1"/>
  <c r="S256" i="24"/>
  <c r="A257" i="24"/>
  <c r="D257" i="24"/>
  <c r="L257" i="24"/>
  <c r="A258" i="24"/>
  <c r="A259" i="24"/>
  <c r="B259" i="24"/>
  <c r="C259" i="24"/>
  <c r="C263" i="24" s="1"/>
  <c r="D259" i="24"/>
  <c r="E259" i="24"/>
  <c r="F259" i="24"/>
  <c r="G259" i="24"/>
  <c r="G339" i="24" s="1"/>
  <c r="H259" i="24"/>
  <c r="I259" i="24"/>
  <c r="J259" i="24"/>
  <c r="K259" i="24"/>
  <c r="L259" i="24"/>
  <c r="M259" i="24"/>
  <c r="N259" i="24"/>
  <c r="O259" i="24"/>
  <c r="O272" i="24" s="1"/>
  <c r="P259" i="24"/>
  <c r="Q259" i="24"/>
  <c r="R259" i="24"/>
  <c r="S259" i="24"/>
  <c r="A260" i="24"/>
  <c r="B260" i="24"/>
  <c r="C260" i="24"/>
  <c r="D260" i="24"/>
  <c r="D264" i="24" s="1"/>
  <c r="E260" i="24"/>
  <c r="F260" i="24"/>
  <c r="G260" i="24"/>
  <c r="H260" i="24"/>
  <c r="H340" i="24" s="1"/>
  <c r="I260" i="24"/>
  <c r="J260" i="24"/>
  <c r="K260" i="24"/>
  <c r="L260" i="24"/>
  <c r="L340" i="24" s="1"/>
  <c r="M260" i="24"/>
  <c r="N260" i="24"/>
  <c r="O260" i="24"/>
  <c r="P260" i="24"/>
  <c r="P264" i="24" s="1"/>
  <c r="P344" i="24" s="1"/>
  <c r="Q260" i="24"/>
  <c r="R260" i="24"/>
  <c r="S260" i="24"/>
  <c r="A261" i="24"/>
  <c r="A262" i="24"/>
  <c r="A263" i="24"/>
  <c r="I263" i="24"/>
  <c r="Q263" i="24"/>
  <c r="Q343" i="24" s="1"/>
  <c r="A264" i="24"/>
  <c r="B264" i="24"/>
  <c r="B344" i="24" s="1"/>
  <c r="J264" i="24"/>
  <c r="J344" i="24" s="1"/>
  <c r="R264" i="24"/>
  <c r="R344" i="24" s="1"/>
  <c r="A265" i="24"/>
  <c r="A266" i="24"/>
  <c r="A267" i="24"/>
  <c r="A268" i="24"/>
  <c r="G268" i="24"/>
  <c r="K268" i="24"/>
  <c r="O268" i="24"/>
  <c r="A269" i="24"/>
  <c r="R269" i="24"/>
  <c r="A270" i="24"/>
  <c r="A271" i="24"/>
  <c r="A272" i="24"/>
  <c r="C272" i="24"/>
  <c r="C352" i="24" s="1"/>
  <c r="A273" i="24"/>
  <c r="F273" i="24"/>
  <c r="A274" i="24"/>
  <c r="A275" i="24"/>
  <c r="A276" i="24"/>
  <c r="A277" i="24"/>
  <c r="A278" i="24"/>
  <c r="A279" i="24"/>
  <c r="A280" i="24"/>
  <c r="A281" i="24"/>
  <c r="A282" i="24"/>
  <c r="B282" i="24"/>
  <c r="B290" i="24" s="1"/>
  <c r="C282" i="24"/>
  <c r="D282" i="24"/>
  <c r="E282" i="24"/>
  <c r="F282" i="24"/>
  <c r="G282" i="24"/>
  <c r="H282" i="24"/>
  <c r="I282" i="24"/>
  <c r="J282" i="24"/>
  <c r="J290" i="24" s="1"/>
  <c r="K282" i="24"/>
  <c r="L282" i="24"/>
  <c r="M282" i="24"/>
  <c r="N282" i="24"/>
  <c r="N322" i="24" s="1"/>
  <c r="O282" i="24"/>
  <c r="P282" i="24"/>
  <c r="Q282" i="24"/>
  <c r="R282" i="24"/>
  <c r="R290" i="24" s="1"/>
  <c r="S282" i="24"/>
  <c r="A283" i="24"/>
  <c r="B283" i="24"/>
  <c r="C283" i="24"/>
  <c r="D283" i="24"/>
  <c r="E283" i="24"/>
  <c r="F283" i="24"/>
  <c r="G283" i="24"/>
  <c r="H283" i="24"/>
  <c r="I283" i="24"/>
  <c r="J283" i="24"/>
  <c r="K283" i="24"/>
  <c r="L283" i="24"/>
  <c r="M283" i="24"/>
  <c r="N283" i="24"/>
  <c r="O283" i="24"/>
  <c r="P283" i="24"/>
  <c r="Q283" i="24"/>
  <c r="R283" i="24"/>
  <c r="S283" i="24"/>
  <c r="A284" i="24"/>
  <c r="A285" i="24"/>
  <c r="A286" i="24"/>
  <c r="B286" i="24"/>
  <c r="C286" i="24"/>
  <c r="D286" i="24"/>
  <c r="D326" i="24" s="1"/>
  <c r="E286" i="24"/>
  <c r="F286" i="24"/>
  <c r="G286" i="24"/>
  <c r="G290" i="24" s="1"/>
  <c r="H286" i="24"/>
  <c r="H290" i="24" s="1"/>
  <c r="I286" i="24"/>
  <c r="J286" i="24"/>
  <c r="K286" i="24"/>
  <c r="L286" i="24"/>
  <c r="M286" i="24"/>
  <c r="N286" i="24"/>
  <c r="O286" i="24"/>
  <c r="P286" i="24"/>
  <c r="P290" i="24" s="1"/>
  <c r="Q286" i="24"/>
  <c r="R286" i="24"/>
  <c r="S286" i="24"/>
  <c r="A287" i="24"/>
  <c r="B287" i="24"/>
  <c r="C287" i="24"/>
  <c r="D287" i="24"/>
  <c r="E287" i="24"/>
  <c r="F287" i="24"/>
  <c r="F653" i="24" s="1"/>
  <c r="G287" i="24"/>
  <c r="H287" i="24"/>
  <c r="I287" i="24"/>
  <c r="J287" i="24"/>
  <c r="K287" i="24"/>
  <c r="L287" i="24"/>
  <c r="M287" i="24"/>
  <c r="N287" i="24"/>
  <c r="O287" i="24"/>
  <c r="P287" i="24"/>
  <c r="Q287" i="24"/>
  <c r="R287" i="24"/>
  <c r="S287" i="24"/>
  <c r="A288" i="24"/>
  <c r="A289" i="24"/>
  <c r="A290" i="24"/>
  <c r="D290" i="24"/>
  <c r="O290" i="24"/>
  <c r="A291" i="24"/>
  <c r="D291" i="24"/>
  <c r="L291" i="24"/>
  <c r="L317" i="24" s="1"/>
  <c r="O291" i="24"/>
  <c r="A292" i="24"/>
  <c r="A293" i="24"/>
  <c r="A294" i="24"/>
  <c r="A295" i="24"/>
  <c r="B295" i="24"/>
  <c r="C295" i="24"/>
  <c r="D295" i="24"/>
  <c r="E295" i="24"/>
  <c r="F295" i="24"/>
  <c r="G295" i="24"/>
  <c r="G308" i="24" s="1"/>
  <c r="H295" i="24"/>
  <c r="I295" i="24"/>
  <c r="J295" i="24"/>
  <c r="K295" i="24"/>
  <c r="K308" i="24" s="1"/>
  <c r="L295" i="24"/>
  <c r="M295" i="24"/>
  <c r="N295" i="24"/>
  <c r="O295" i="24"/>
  <c r="P295" i="24"/>
  <c r="Q295" i="24"/>
  <c r="R295" i="24"/>
  <c r="S295" i="24"/>
  <c r="A296" i="24"/>
  <c r="B296" i="24"/>
  <c r="C296" i="24"/>
  <c r="D296" i="24"/>
  <c r="E296" i="24"/>
  <c r="F296" i="24"/>
  <c r="G296" i="24"/>
  <c r="H296" i="24"/>
  <c r="I296" i="24"/>
  <c r="J296" i="24"/>
  <c r="K296" i="24"/>
  <c r="L296" i="24"/>
  <c r="M296" i="24"/>
  <c r="N296" i="24"/>
  <c r="O296" i="24"/>
  <c r="P296" i="24"/>
  <c r="P304" i="24" s="1"/>
  <c r="Q296" i="24"/>
  <c r="R296" i="24"/>
  <c r="S296" i="24"/>
  <c r="A297" i="24"/>
  <c r="B297" i="24"/>
  <c r="R297" i="24"/>
  <c r="A298" i="24"/>
  <c r="A299" i="24"/>
  <c r="B299" i="24"/>
  <c r="C299" i="24"/>
  <c r="D299" i="24"/>
  <c r="E299" i="24"/>
  <c r="F299" i="24"/>
  <c r="G299" i="24"/>
  <c r="H299" i="24"/>
  <c r="I299" i="24"/>
  <c r="J299" i="24"/>
  <c r="K299" i="24"/>
  <c r="L299" i="24"/>
  <c r="M299" i="24"/>
  <c r="M303" i="24" s="1"/>
  <c r="N299" i="24"/>
  <c r="O299" i="24"/>
  <c r="P299" i="24"/>
  <c r="Q299" i="24"/>
  <c r="Q303" i="24" s="1"/>
  <c r="R299" i="24"/>
  <c r="S299" i="24"/>
  <c r="A300" i="24"/>
  <c r="B300" i="24"/>
  <c r="B304" i="24" s="1"/>
  <c r="C300" i="24"/>
  <c r="D300" i="24"/>
  <c r="D301" i="24" s="1"/>
  <c r="E300" i="24"/>
  <c r="F300" i="24"/>
  <c r="F340" i="24" s="1"/>
  <c r="G300" i="24"/>
  <c r="H300" i="24"/>
  <c r="H301" i="24" s="1"/>
  <c r="I300" i="24"/>
  <c r="J300" i="24"/>
  <c r="J304" i="24" s="1"/>
  <c r="K300" i="24"/>
  <c r="L300" i="24"/>
  <c r="L301" i="24" s="1"/>
  <c r="M300" i="24"/>
  <c r="N300" i="24"/>
  <c r="O300" i="24"/>
  <c r="P300" i="24"/>
  <c r="P301" i="24" s="1"/>
  <c r="Q300" i="24"/>
  <c r="R300" i="24"/>
  <c r="R304" i="24" s="1"/>
  <c r="S300" i="24"/>
  <c r="A301" i="24"/>
  <c r="A302" i="24"/>
  <c r="A303" i="24"/>
  <c r="I303" i="24"/>
  <c r="K303" i="24"/>
  <c r="S303" i="24"/>
  <c r="A304" i="24"/>
  <c r="F304" i="24"/>
  <c r="L304" i="24"/>
  <c r="A305" i="24"/>
  <c r="A306" i="24"/>
  <c r="A307" i="24"/>
  <c r="A308" i="24"/>
  <c r="C308" i="24"/>
  <c r="O308" i="24"/>
  <c r="A309" i="24"/>
  <c r="P309" i="24"/>
  <c r="A310" i="24"/>
  <c r="A311" i="24"/>
  <c r="A312" i="24"/>
  <c r="C312" i="24"/>
  <c r="G312" i="24"/>
  <c r="K312" i="24"/>
  <c r="O312" i="24"/>
  <c r="S312" i="24"/>
  <c r="A313" i="24"/>
  <c r="D313" i="24"/>
  <c r="F313" i="24"/>
  <c r="L313" i="24"/>
  <c r="A314" i="24"/>
  <c r="A315" i="24"/>
  <c r="A316" i="24"/>
  <c r="A317" i="24"/>
  <c r="A318" i="24"/>
  <c r="A319" i="24"/>
  <c r="A320" i="24"/>
  <c r="A321" i="24"/>
  <c r="A322" i="24"/>
  <c r="B322" i="24"/>
  <c r="D322" i="24"/>
  <c r="H322" i="24"/>
  <c r="J322" i="24"/>
  <c r="P322" i="24"/>
  <c r="R322" i="24"/>
  <c r="A323" i="24"/>
  <c r="E323" i="24"/>
  <c r="K323" i="24"/>
  <c r="M323" i="24"/>
  <c r="Q323" i="24"/>
  <c r="A324" i="24"/>
  <c r="A325" i="24"/>
  <c r="A326" i="24"/>
  <c r="B326" i="24"/>
  <c r="C326" i="24"/>
  <c r="F326" i="24"/>
  <c r="H326" i="24"/>
  <c r="J326" i="24"/>
  <c r="K326" i="24"/>
  <c r="N326" i="24"/>
  <c r="O326" i="24"/>
  <c r="P326" i="24"/>
  <c r="R326" i="24"/>
  <c r="S326" i="24"/>
  <c r="A327" i="24"/>
  <c r="C327" i="24"/>
  <c r="G327" i="24"/>
  <c r="H327" i="24"/>
  <c r="K327" i="24"/>
  <c r="L327" i="24"/>
  <c r="O327" i="24"/>
  <c r="P327" i="24"/>
  <c r="S327" i="24"/>
  <c r="A328" i="24"/>
  <c r="A329" i="24"/>
  <c r="A330" i="24"/>
  <c r="H330" i="24"/>
  <c r="P330" i="24"/>
  <c r="R330" i="24"/>
  <c r="A331" i="24"/>
  <c r="O331" i="24"/>
  <c r="A332" i="24"/>
  <c r="A333" i="24"/>
  <c r="A334" i="24"/>
  <c r="A335" i="24"/>
  <c r="G335" i="24"/>
  <c r="O335" i="24"/>
  <c r="A336" i="24"/>
  <c r="D336" i="24"/>
  <c r="J336" i="24"/>
  <c r="P336" i="24"/>
  <c r="A337" i="24"/>
  <c r="A338" i="24"/>
  <c r="A339" i="24"/>
  <c r="C339" i="24"/>
  <c r="I339" i="24"/>
  <c r="Q339" i="24"/>
  <c r="A340" i="24"/>
  <c r="B340" i="24"/>
  <c r="J340" i="24"/>
  <c r="P340" i="24"/>
  <c r="R340" i="24"/>
  <c r="A341" i="24"/>
  <c r="A342" i="24"/>
  <c r="A343" i="24"/>
  <c r="A344" i="24"/>
  <c r="A345" i="24"/>
  <c r="A346" i="24"/>
  <c r="A347" i="24"/>
  <c r="A348" i="24"/>
  <c r="A349" i="24"/>
  <c r="A350" i="24"/>
  <c r="A351" i="24"/>
  <c r="A352" i="24"/>
  <c r="O352" i="24"/>
  <c r="A353" i="24"/>
  <c r="A354" i="24"/>
  <c r="A355" i="24"/>
  <c r="A356" i="24"/>
  <c r="A357" i="24"/>
  <c r="A358" i="24"/>
  <c r="A359" i="24"/>
  <c r="B360" i="24"/>
  <c r="G360" i="24"/>
  <c r="N360" i="24"/>
  <c r="O360" i="24"/>
  <c r="R360" i="24"/>
  <c r="A361" i="24"/>
  <c r="A362" i="24"/>
  <c r="A363" i="24"/>
  <c r="B363" i="24"/>
  <c r="C363" i="24"/>
  <c r="D363" i="24"/>
  <c r="D371" i="24" s="1"/>
  <c r="E363" i="24"/>
  <c r="F363" i="24"/>
  <c r="F371" i="24" s="1"/>
  <c r="G363" i="24"/>
  <c r="H363" i="24"/>
  <c r="I363" i="24"/>
  <c r="J363" i="24"/>
  <c r="J371" i="24" s="1"/>
  <c r="K363" i="24"/>
  <c r="L363" i="24"/>
  <c r="M363" i="24"/>
  <c r="N363" i="24"/>
  <c r="N371" i="24" s="1"/>
  <c r="O363" i="24"/>
  <c r="P363" i="24"/>
  <c r="Q363" i="24"/>
  <c r="R363" i="24"/>
  <c r="S363" i="24"/>
  <c r="A364" i="24"/>
  <c r="B364" i="24"/>
  <c r="C364" i="24"/>
  <c r="C365" i="24" s="1"/>
  <c r="D364" i="24"/>
  <c r="E364" i="24"/>
  <c r="F364" i="24"/>
  <c r="G364" i="24"/>
  <c r="H364" i="24"/>
  <c r="I364" i="24"/>
  <c r="J364" i="24"/>
  <c r="K364" i="24"/>
  <c r="K372" i="24" s="1"/>
  <c r="L364" i="24"/>
  <c r="M364" i="24"/>
  <c r="N364" i="24"/>
  <c r="O364" i="24"/>
  <c r="O372" i="24" s="1"/>
  <c r="P364" i="24"/>
  <c r="Q364" i="24"/>
  <c r="Q372" i="24" s="1"/>
  <c r="R364" i="24"/>
  <c r="S364" i="24"/>
  <c r="A365" i="24"/>
  <c r="O365" i="24"/>
  <c r="A366" i="24"/>
  <c r="A367" i="24"/>
  <c r="B367" i="24"/>
  <c r="C367" i="24"/>
  <c r="D367" i="24"/>
  <c r="E367" i="24"/>
  <c r="F367" i="24"/>
  <c r="G367" i="24"/>
  <c r="H367" i="24"/>
  <c r="H371" i="24" s="1"/>
  <c r="I367" i="24"/>
  <c r="J367" i="24"/>
  <c r="K367" i="24"/>
  <c r="L367" i="24"/>
  <c r="M367" i="24"/>
  <c r="N367" i="24"/>
  <c r="O367" i="24"/>
  <c r="P367" i="24"/>
  <c r="Q367" i="24"/>
  <c r="R367" i="24"/>
  <c r="S367" i="24"/>
  <c r="A368" i="24"/>
  <c r="B368" i="24"/>
  <c r="C368" i="24"/>
  <c r="D368" i="24"/>
  <c r="E368" i="24"/>
  <c r="E372" i="24" s="1"/>
  <c r="F368" i="24"/>
  <c r="G368" i="24"/>
  <c r="H368" i="24"/>
  <c r="I368" i="24"/>
  <c r="I369" i="24" s="1"/>
  <c r="J368" i="24"/>
  <c r="K368" i="24"/>
  <c r="L368" i="24"/>
  <c r="M368" i="24"/>
  <c r="M369" i="24" s="1"/>
  <c r="N368" i="24"/>
  <c r="O368" i="24"/>
  <c r="P368" i="24"/>
  <c r="Q368" i="24"/>
  <c r="Q369" i="24" s="1"/>
  <c r="R368" i="24"/>
  <c r="S368" i="24"/>
  <c r="A369" i="24"/>
  <c r="E369" i="24"/>
  <c r="A370" i="24"/>
  <c r="A371" i="24"/>
  <c r="B371" i="24"/>
  <c r="L371" i="24"/>
  <c r="P371" i="24"/>
  <c r="R371" i="24"/>
  <c r="A372" i="24"/>
  <c r="C372" i="24"/>
  <c r="M372" i="24"/>
  <c r="S372" i="24"/>
  <c r="A373" i="24"/>
  <c r="A374" i="24"/>
  <c r="A375" i="24"/>
  <c r="A376" i="24"/>
  <c r="B376" i="24"/>
  <c r="C376" i="24"/>
  <c r="D376" i="24"/>
  <c r="E376" i="24"/>
  <c r="E389" i="24" s="1"/>
  <c r="F376" i="24"/>
  <c r="G376" i="24"/>
  <c r="H376" i="24"/>
  <c r="I376" i="24"/>
  <c r="I384" i="24" s="1"/>
  <c r="J376" i="24"/>
  <c r="K376" i="24"/>
  <c r="L376" i="24"/>
  <c r="M376" i="24"/>
  <c r="M389" i="24" s="1"/>
  <c r="N376" i="24"/>
  <c r="O376" i="24"/>
  <c r="P376" i="24"/>
  <c r="Q376" i="24"/>
  <c r="Q389" i="24" s="1"/>
  <c r="R376" i="24"/>
  <c r="S376" i="24"/>
  <c r="A377" i="24"/>
  <c r="B377" i="24"/>
  <c r="C377" i="24"/>
  <c r="C378" i="24" s="1"/>
  <c r="D377" i="24"/>
  <c r="E377" i="24"/>
  <c r="F377" i="24"/>
  <c r="F385" i="24" s="1"/>
  <c r="G377" i="24"/>
  <c r="G378" i="24" s="1"/>
  <c r="H377" i="24"/>
  <c r="I377" i="24"/>
  <c r="J377" i="24"/>
  <c r="J378" i="24" s="1"/>
  <c r="K377" i="24"/>
  <c r="K378" i="24" s="1"/>
  <c r="L377" i="24"/>
  <c r="M377" i="24"/>
  <c r="N377" i="24"/>
  <c r="N385" i="24" s="1"/>
  <c r="O377" i="24"/>
  <c r="O378" i="24" s="1"/>
  <c r="P377" i="24"/>
  <c r="Q377" i="24"/>
  <c r="R377" i="24"/>
  <c r="S377" i="24"/>
  <c r="S378" i="24" s="1"/>
  <c r="A378" i="24"/>
  <c r="R378" i="24"/>
  <c r="A379" i="24"/>
  <c r="A380" i="24"/>
  <c r="B380" i="24"/>
  <c r="C380" i="24"/>
  <c r="C384" i="24" s="1"/>
  <c r="D380" i="24"/>
  <c r="D393" i="24" s="1"/>
  <c r="E380" i="24"/>
  <c r="F380" i="24"/>
  <c r="G380" i="24"/>
  <c r="G384" i="24" s="1"/>
  <c r="H380" i="24"/>
  <c r="H393" i="24" s="1"/>
  <c r="I380" i="24"/>
  <c r="J380" i="24"/>
  <c r="K380" i="24"/>
  <c r="K384" i="24" s="1"/>
  <c r="L380" i="24"/>
  <c r="L393" i="24" s="1"/>
  <c r="M380" i="24"/>
  <c r="N380" i="24"/>
  <c r="O380" i="24"/>
  <c r="O384" i="24" s="1"/>
  <c r="P380" i="24"/>
  <c r="Q380" i="24"/>
  <c r="R380" i="24"/>
  <c r="S380" i="24"/>
  <c r="A381" i="24"/>
  <c r="B381" i="24"/>
  <c r="C381" i="24"/>
  <c r="D381" i="24"/>
  <c r="D382" i="24" s="1"/>
  <c r="E381" i="24"/>
  <c r="F381" i="24"/>
  <c r="G381" i="24"/>
  <c r="H381" i="24"/>
  <c r="H382" i="24" s="1"/>
  <c r="I381" i="24"/>
  <c r="J381" i="24"/>
  <c r="K381" i="24"/>
  <c r="L381" i="24"/>
  <c r="L382" i="24" s="1"/>
  <c r="M381" i="24"/>
  <c r="N381" i="24"/>
  <c r="O381" i="24"/>
  <c r="P381" i="24"/>
  <c r="P385" i="24" s="1"/>
  <c r="Q381" i="24"/>
  <c r="R381" i="24"/>
  <c r="S381" i="24"/>
  <c r="A382" i="24"/>
  <c r="A383" i="24"/>
  <c r="A384" i="24"/>
  <c r="B384" i="24"/>
  <c r="F384" i="24"/>
  <c r="F397" i="24" s="1"/>
  <c r="J384" i="24"/>
  <c r="J397" i="24" s="1"/>
  <c r="M384" i="24"/>
  <c r="Q384" i="24"/>
  <c r="R384" i="24"/>
  <c r="S384" i="24"/>
  <c r="A385" i="24"/>
  <c r="B385" i="24"/>
  <c r="C385" i="24"/>
  <c r="D385" i="24"/>
  <c r="G385" i="24"/>
  <c r="J385" i="24"/>
  <c r="K385" i="24"/>
  <c r="L385" i="24"/>
  <c r="O385" i="24"/>
  <c r="O398" i="24" s="1"/>
  <c r="R385" i="24"/>
  <c r="S385" i="24"/>
  <c r="A386" i="24"/>
  <c r="A387" i="24"/>
  <c r="A388" i="24"/>
  <c r="A389" i="24"/>
  <c r="C389" i="24"/>
  <c r="G389" i="24"/>
  <c r="K389" i="24"/>
  <c r="O389" i="24"/>
  <c r="S389" i="24"/>
  <c r="A390" i="24"/>
  <c r="B390" i="24"/>
  <c r="D390" i="24"/>
  <c r="F390" i="24"/>
  <c r="H390" i="24"/>
  <c r="J390" i="24"/>
  <c r="L390" i="24"/>
  <c r="N390" i="24"/>
  <c r="P390" i="24"/>
  <c r="R390" i="24"/>
  <c r="A391" i="24"/>
  <c r="A392" i="24"/>
  <c r="A393" i="24"/>
  <c r="E393" i="24"/>
  <c r="I393" i="24"/>
  <c r="M393" i="24"/>
  <c r="Q393" i="24"/>
  <c r="A394" i="24"/>
  <c r="B394" i="24"/>
  <c r="F394" i="24"/>
  <c r="J394" i="24"/>
  <c r="N394" i="24"/>
  <c r="R394" i="24"/>
  <c r="A395" i="24"/>
  <c r="A396" i="24"/>
  <c r="A397" i="24"/>
  <c r="A398" i="24"/>
  <c r="A399" i="24"/>
  <c r="A400" i="24"/>
  <c r="B401" i="24"/>
  <c r="G401" i="24"/>
  <c r="H401" i="24"/>
  <c r="N401" i="24"/>
  <c r="O401" i="24"/>
  <c r="R401" i="24"/>
  <c r="A402" i="24"/>
  <c r="A403" i="24"/>
  <c r="B403" i="24"/>
  <c r="C403" i="24"/>
  <c r="D403" i="24"/>
  <c r="E403" i="24"/>
  <c r="F403" i="24"/>
  <c r="G403" i="24"/>
  <c r="H403" i="24"/>
  <c r="I403" i="24"/>
  <c r="J403" i="24"/>
  <c r="K403" i="24"/>
  <c r="L403" i="24"/>
  <c r="M403" i="24"/>
  <c r="N403" i="24"/>
  <c r="O403" i="24"/>
  <c r="P403" i="24"/>
  <c r="Q403" i="24"/>
  <c r="R403" i="24"/>
  <c r="S403" i="24"/>
  <c r="A404" i="24"/>
  <c r="B404" i="24"/>
  <c r="C404" i="24"/>
  <c r="D404" i="24"/>
  <c r="E404" i="24"/>
  <c r="F404" i="24"/>
  <c r="G404" i="24"/>
  <c r="H404" i="24"/>
  <c r="I404" i="24"/>
  <c r="J404" i="24"/>
  <c r="K404" i="24"/>
  <c r="L404" i="24"/>
  <c r="M404" i="24"/>
  <c r="N404" i="24"/>
  <c r="O404" i="24"/>
  <c r="P404" i="24"/>
  <c r="Q404" i="24"/>
  <c r="R404" i="24"/>
  <c r="S404" i="24"/>
  <c r="A405" i="24"/>
  <c r="A406" i="24"/>
  <c r="B406" i="24"/>
  <c r="C406" i="24"/>
  <c r="D406" i="24"/>
  <c r="E406" i="24"/>
  <c r="F406" i="24"/>
  <c r="G406" i="24"/>
  <c r="H406" i="24"/>
  <c r="I406" i="24"/>
  <c r="J406" i="24"/>
  <c r="K406" i="24"/>
  <c r="L406" i="24"/>
  <c r="M406" i="24"/>
  <c r="N406" i="24"/>
  <c r="O406" i="24"/>
  <c r="P406" i="24"/>
  <c r="Q406" i="24"/>
  <c r="R406" i="24"/>
  <c r="S406" i="24"/>
  <c r="A407" i="24"/>
  <c r="B407" i="24"/>
  <c r="C407" i="24"/>
  <c r="D407" i="24"/>
  <c r="E407" i="24"/>
  <c r="F407" i="24"/>
  <c r="G407" i="24"/>
  <c r="H407" i="24"/>
  <c r="I407" i="24"/>
  <c r="J407" i="24"/>
  <c r="K407" i="24"/>
  <c r="L407" i="24"/>
  <c r="M407" i="24"/>
  <c r="N407" i="24"/>
  <c r="O407" i="24"/>
  <c r="P407" i="24"/>
  <c r="Q407" i="24"/>
  <c r="R407" i="24"/>
  <c r="S407" i="24"/>
  <c r="A408" i="24"/>
  <c r="B409" i="24"/>
  <c r="C409" i="24"/>
  <c r="A410" i="24"/>
  <c r="B410" i="24"/>
  <c r="C410" i="24"/>
  <c r="A411" i="24"/>
  <c r="B411" i="24"/>
  <c r="C411" i="24"/>
  <c r="A412" i="24"/>
  <c r="B413" i="24"/>
  <c r="C413" i="24"/>
  <c r="D413" i="24"/>
  <c r="E413" i="24"/>
  <c r="F413" i="24"/>
  <c r="A414" i="24"/>
  <c r="A415" i="24"/>
  <c r="A416" i="24"/>
  <c r="A417" i="24"/>
  <c r="A418" i="24"/>
  <c r="A419" i="24"/>
  <c r="A420" i="24"/>
  <c r="A421" i="24"/>
  <c r="A422" i="24"/>
  <c r="A423" i="24"/>
  <c r="A424" i="24"/>
  <c r="A425" i="24"/>
  <c r="A426" i="24"/>
  <c r="B427" i="24"/>
  <c r="C427" i="24"/>
  <c r="D427" i="24"/>
  <c r="E427" i="24"/>
  <c r="F427" i="24"/>
  <c r="A428" i="24"/>
  <c r="A429" i="24"/>
  <c r="A430" i="24"/>
  <c r="A431" i="24"/>
  <c r="A432" i="24"/>
  <c r="A433" i="24"/>
  <c r="A434" i="24"/>
  <c r="A435" i="24"/>
  <c r="A436" i="24"/>
  <c r="A437" i="24"/>
  <c r="A438" i="24"/>
  <c r="A439" i="24"/>
  <c r="A440" i="24"/>
  <c r="B441" i="24"/>
  <c r="G441" i="24"/>
  <c r="H441" i="24"/>
  <c r="N441" i="24"/>
  <c r="O441" i="24"/>
  <c r="R441" i="24"/>
  <c r="A442" i="24"/>
  <c r="A443" i="24"/>
  <c r="A444" i="24"/>
  <c r="A445" i="24"/>
  <c r="A446" i="24"/>
  <c r="A447" i="24"/>
  <c r="A448" i="24"/>
  <c r="A449" i="24"/>
  <c r="A450" i="24"/>
  <c r="A451" i="24"/>
  <c r="A452" i="24"/>
  <c r="A453" i="24"/>
  <c r="A454" i="24"/>
  <c r="A455" i="24"/>
  <c r="A456" i="24"/>
  <c r="A457" i="24"/>
  <c r="A458" i="24"/>
  <c r="A459" i="24"/>
  <c r="A460" i="24"/>
  <c r="A461" i="24"/>
  <c r="A462" i="24"/>
  <c r="A463" i="24"/>
  <c r="A464" i="24"/>
  <c r="A465" i="24"/>
  <c r="A466" i="24"/>
  <c r="A467" i="24"/>
  <c r="A468" i="24"/>
  <c r="A469" i="24"/>
  <c r="A470" i="24"/>
  <c r="A471" i="24"/>
  <c r="A472" i="24"/>
  <c r="A473" i="24"/>
  <c r="A474" i="24"/>
  <c r="A475" i="24"/>
  <c r="A476" i="24"/>
  <c r="A477" i="24"/>
  <c r="A478" i="24"/>
  <c r="A479" i="24"/>
  <c r="A480" i="24"/>
  <c r="A481" i="24"/>
  <c r="B482" i="24"/>
  <c r="G482" i="24"/>
  <c r="H482" i="24"/>
  <c r="N482" i="24"/>
  <c r="O482" i="24"/>
  <c r="R482" i="24"/>
  <c r="A483" i="24"/>
  <c r="A484" i="24"/>
  <c r="A485" i="24"/>
  <c r="A486" i="24"/>
  <c r="B486" i="24"/>
  <c r="B512" i="24" s="1"/>
  <c r="C486" i="24"/>
  <c r="D486" i="24"/>
  <c r="E486" i="24"/>
  <c r="F486" i="24"/>
  <c r="F512" i="24" s="1"/>
  <c r="G486" i="24"/>
  <c r="H486" i="24"/>
  <c r="H494" i="24" s="1"/>
  <c r="H520" i="24" s="1"/>
  <c r="I486" i="24"/>
  <c r="J486" i="24"/>
  <c r="J512" i="24" s="1"/>
  <c r="K486" i="24"/>
  <c r="L486" i="24"/>
  <c r="M486" i="24"/>
  <c r="N486" i="24"/>
  <c r="N512" i="24" s="1"/>
  <c r="O486" i="24"/>
  <c r="P486" i="24"/>
  <c r="P488" i="24" s="1"/>
  <c r="Q486" i="24"/>
  <c r="R486" i="24"/>
  <c r="R512" i="24" s="1"/>
  <c r="S486" i="24"/>
  <c r="A487" i="24"/>
  <c r="B487" i="24"/>
  <c r="C487" i="24"/>
  <c r="C513" i="24" s="1"/>
  <c r="D487" i="24"/>
  <c r="E487" i="24"/>
  <c r="E488" i="24" s="1"/>
  <c r="F487" i="24"/>
  <c r="G487" i="24"/>
  <c r="G513" i="24" s="1"/>
  <c r="H487" i="24"/>
  <c r="I487" i="24"/>
  <c r="I488" i="24" s="1"/>
  <c r="J487" i="24"/>
  <c r="K487" i="24"/>
  <c r="K513" i="24" s="1"/>
  <c r="L487" i="24"/>
  <c r="M487" i="24"/>
  <c r="M488" i="24" s="1"/>
  <c r="N487" i="24"/>
  <c r="O487" i="24"/>
  <c r="O513" i="24" s="1"/>
  <c r="P487" i="24"/>
  <c r="Q487" i="24"/>
  <c r="Q488" i="24" s="1"/>
  <c r="R487" i="24"/>
  <c r="S487" i="24"/>
  <c r="S513" i="24" s="1"/>
  <c r="A488" i="24"/>
  <c r="D488" i="24"/>
  <c r="L488" i="24"/>
  <c r="A489" i="24"/>
  <c r="A490" i="24"/>
  <c r="B490" i="24"/>
  <c r="C490" i="24"/>
  <c r="D490" i="24"/>
  <c r="E490" i="24"/>
  <c r="F490" i="24"/>
  <c r="G490" i="24"/>
  <c r="H490" i="24"/>
  <c r="I490" i="24"/>
  <c r="J490" i="24"/>
  <c r="K490" i="24"/>
  <c r="L490" i="24"/>
  <c r="M490" i="24"/>
  <c r="N490" i="24"/>
  <c r="O490" i="24"/>
  <c r="P490" i="24"/>
  <c r="P492" i="24" s="1"/>
  <c r="Q490" i="24"/>
  <c r="R490" i="24"/>
  <c r="S490" i="24"/>
  <c r="A491" i="24"/>
  <c r="B491" i="24"/>
  <c r="C491" i="24"/>
  <c r="D491" i="24"/>
  <c r="E491" i="24"/>
  <c r="F491" i="24"/>
  <c r="G491" i="24"/>
  <c r="H491" i="24"/>
  <c r="I491" i="24"/>
  <c r="J491" i="24"/>
  <c r="K491" i="24"/>
  <c r="L491" i="24"/>
  <c r="M491" i="24"/>
  <c r="N491" i="24"/>
  <c r="O491" i="24"/>
  <c r="P491" i="24"/>
  <c r="Q491" i="24"/>
  <c r="R491" i="24"/>
  <c r="S491" i="24"/>
  <c r="A492" i="24"/>
  <c r="J492" i="24"/>
  <c r="A493" i="24"/>
  <c r="A494" i="24"/>
  <c r="C494" i="24"/>
  <c r="D494" i="24"/>
  <c r="E494" i="24"/>
  <c r="G494" i="24"/>
  <c r="I494" i="24"/>
  <c r="K494" i="24"/>
  <c r="L494" i="24"/>
  <c r="M494" i="24"/>
  <c r="O494" i="24"/>
  <c r="Q494" i="24"/>
  <c r="S494" i="24"/>
  <c r="A495" i="24"/>
  <c r="B495" i="24"/>
  <c r="D495" i="24"/>
  <c r="F495" i="24"/>
  <c r="F575" i="24" s="1"/>
  <c r="H495" i="24"/>
  <c r="I495" i="24"/>
  <c r="J495" i="24"/>
  <c r="L495" i="24"/>
  <c r="N495" i="24"/>
  <c r="P495" i="24"/>
  <c r="Q495" i="24"/>
  <c r="R495" i="24"/>
  <c r="A496" i="24"/>
  <c r="A497" i="24"/>
  <c r="A498" i="24"/>
  <c r="A499" i="24"/>
  <c r="B499" i="24"/>
  <c r="B507" i="24" s="1"/>
  <c r="C499" i="24"/>
  <c r="C512" i="24" s="1"/>
  <c r="D499" i="24"/>
  <c r="D507" i="24" s="1"/>
  <c r="D587" i="24" s="1"/>
  <c r="E499" i="24"/>
  <c r="F499" i="24"/>
  <c r="F579" i="24" s="1"/>
  <c r="G499" i="24"/>
  <c r="G512" i="24" s="1"/>
  <c r="H499" i="24"/>
  <c r="H579" i="24" s="1"/>
  <c r="I499" i="24"/>
  <c r="J499" i="24"/>
  <c r="K499" i="24"/>
  <c r="K512" i="24" s="1"/>
  <c r="L499" i="24"/>
  <c r="L507" i="24" s="1"/>
  <c r="L587" i="24" s="1"/>
  <c r="M499" i="24"/>
  <c r="N499" i="24"/>
  <c r="O499" i="24"/>
  <c r="O512" i="24" s="1"/>
  <c r="P499" i="24"/>
  <c r="Q499" i="24"/>
  <c r="R499" i="24"/>
  <c r="R507" i="24" s="1"/>
  <c r="R587" i="24" s="1"/>
  <c r="S499" i="24"/>
  <c r="S512" i="24" s="1"/>
  <c r="A500" i="24"/>
  <c r="B500" i="24"/>
  <c r="C500" i="24"/>
  <c r="C508" i="24" s="1"/>
  <c r="D500" i="24"/>
  <c r="E500" i="24"/>
  <c r="E580" i="24" s="1"/>
  <c r="F500" i="24"/>
  <c r="G500" i="24"/>
  <c r="H500" i="24"/>
  <c r="I500" i="24"/>
  <c r="I508" i="24" s="1"/>
  <c r="I588" i="24" s="1"/>
  <c r="J500" i="24"/>
  <c r="K500" i="24"/>
  <c r="L500" i="24"/>
  <c r="M500" i="24"/>
  <c r="N500" i="24"/>
  <c r="O500" i="24"/>
  <c r="P500" i="24"/>
  <c r="Q500" i="24"/>
  <c r="Q508" i="24" s="1"/>
  <c r="Q588" i="24" s="1"/>
  <c r="R500" i="24"/>
  <c r="S500" i="24"/>
  <c r="A501" i="24"/>
  <c r="K501" i="24"/>
  <c r="A502" i="24"/>
  <c r="A503" i="24"/>
  <c r="B503" i="24"/>
  <c r="C503" i="24"/>
  <c r="D503" i="24"/>
  <c r="E503" i="24"/>
  <c r="F503" i="24"/>
  <c r="G503" i="24"/>
  <c r="G507" i="24" s="1"/>
  <c r="H503" i="24"/>
  <c r="I503" i="24"/>
  <c r="I516" i="24" s="1"/>
  <c r="J503" i="24"/>
  <c r="K503" i="24"/>
  <c r="L503" i="24"/>
  <c r="M503" i="24"/>
  <c r="N503" i="24"/>
  <c r="O503" i="24"/>
  <c r="O507" i="24" s="1"/>
  <c r="P503" i="24"/>
  <c r="Q503" i="24"/>
  <c r="R503" i="24"/>
  <c r="S503" i="24"/>
  <c r="A504" i="24"/>
  <c r="B504" i="24"/>
  <c r="C504" i="24"/>
  <c r="D504" i="24"/>
  <c r="D508" i="24" s="1"/>
  <c r="E504" i="24"/>
  <c r="F504" i="24"/>
  <c r="F505" i="24" s="1"/>
  <c r="G504" i="24"/>
  <c r="H504" i="24"/>
  <c r="I504" i="24"/>
  <c r="J504" i="24"/>
  <c r="K504" i="24"/>
  <c r="L504" i="24"/>
  <c r="L508" i="24" s="1"/>
  <c r="M504" i="24"/>
  <c r="N504" i="24"/>
  <c r="O504" i="24"/>
  <c r="P504" i="24"/>
  <c r="Q504" i="24"/>
  <c r="R504" i="24"/>
  <c r="S504" i="24"/>
  <c r="A505" i="24"/>
  <c r="A506" i="24"/>
  <c r="A507" i="24"/>
  <c r="C507" i="24"/>
  <c r="H507" i="24"/>
  <c r="H587" i="24" s="1"/>
  <c r="K507" i="24"/>
  <c r="P507" i="24"/>
  <c r="P587" i="24" s="1"/>
  <c r="S507" i="24"/>
  <c r="A508" i="24"/>
  <c r="E508" i="24"/>
  <c r="E588" i="24" s="1"/>
  <c r="H508" i="24"/>
  <c r="M508" i="24"/>
  <c r="P508" i="24"/>
  <c r="S508" i="24"/>
  <c r="S588" i="24" s="1"/>
  <c r="A509" i="24"/>
  <c r="A510" i="24"/>
  <c r="A511" i="24"/>
  <c r="A512" i="24"/>
  <c r="D512" i="24"/>
  <c r="D592" i="24" s="1"/>
  <c r="H512" i="24"/>
  <c r="H592" i="24" s="1"/>
  <c r="L512" i="24"/>
  <c r="P512" i="24"/>
  <c r="P592" i="24" s="1"/>
  <c r="A513" i="24"/>
  <c r="E513" i="24"/>
  <c r="E593" i="24" s="1"/>
  <c r="I513" i="24"/>
  <c r="M513" i="24"/>
  <c r="M593" i="24" s="1"/>
  <c r="Q513" i="24"/>
  <c r="Q593" i="24" s="1"/>
  <c r="A514" i="24"/>
  <c r="A515" i="24"/>
  <c r="A516" i="24"/>
  <c r="D516" i="24"/>
  <c r="H516" i="24"/>
  <c r="L516" i="24"/>
  <c r="P516" i="24"/>
  <c r="A517" i="24"/>
  <c r="E517" i="24"/>
  <c r="I517" i="24"/>
  <c r="M517" i="24"/>
  <c r="Q517" i="24"/>
  <c r="A518" i="24"/>
  <c r="A519" i="24"/>
  <c r="A520" i="24"/>
  <c r="A521" i="24"/>
  <c r="A522" i="24"/>
  <c r="A523" i="24"/>
  <c r="A524" i="24"/>
  <c r="A525" i="24"/>
  <c r="A526" i="24"/>
  <c r="B526" i="24"/>
  <c r="B444" i="24" s="1"/>
  <c r="C526" i="24"/>
  <c r="D526" i="24"/>
  <c r="E526" i="24"/>
  <c r="E566" i="24" s="1"/>
  <c r="F526" i="24"/>
  <c r="G526" i="24"/>
  <c r="G566" i="24" s="1"/>
  <c r="H526" i="24"/>
  <c r="I526" i="24"/>
  <c r="I534" i="24" s="1"/>
  <c r="I574" i="24" s="1"/>
  <c r="J526" i="24"/>
  <c r="K526" i="24"/>
  <c r="L526" i="24"/>
  <c r="M526" i="24"/>
  <c r="M566" i="24" s="1"/>
  <c r="N526" i="24"/>
  <c r="O526" i="24"/>
  <c r="O534" i="24" s="1"/>
  <c r="O574" i="24" s="1"/>
  <c r="P526" i="24"/>
  <c r="Q526" i="24"/>
  <c r="Q534" i="24" s="1"/>
  <c r="R526" i="24"/>
  <c r="S526" i="24"/>
  <c r="A527" i="24"/>
  <c r="B527" i="24"/>
  <c r="B445" i="24" s="1"/>
  <c r="C527" i="24"/>
  <c r="D527" i="24"/>
  <c r="E527" i="24"/>
  <c r="F527" i="24"/>
  <c r="G527" i="24"/>
  <c r="H527" i="24"/>
  <c r="H567" i="24" s="1"/>
  <c r="I527" i="24"/>
  <c r="J527" i="24"/>
  <c r="J535" i="24" s="1"/>
  <c r="J575" i="24" s="1"/>
  <c r="K527" i="24"/>
  <c r="L527" i="24"/>
  <c r="L535" i="24" s="1"/>
  <c r="L575" i="24" s="1"/>
  <c r="M527" i="24"/>
  <c r="N527" i="24"/>
  <c r="O527" i="24"/>
  <c r="P527" i="24"/>
  <c r="Q527" i="24"/>
  <c r="R527" i="24"/>
  <c r="R528" i="24" s="1"/>
  <c r="S527" i="24"/>
  <c r="A528" i="24"/>
  <c r="F528" i="24"/>
  <c r="N528" i="24"/>
  <c r="A529" i="24"/>
  <c r="A530" i="24"/>
  <c r="B530" i="24"/>
  <c r="B556" i="24" s="1"/>
  <c r="C530" i="24"/>
  <c r="D530" i="24"/>
  <c r="E530" i="24"/>
  <c r="F530" i="24"/>
  <c r="G530" i="24"/>
  <c r="H530" i="24"/>
  <c r="H532" i="24" s="1"/>
  <c r="I530" i="24"/>
  <c r="J530" i="24"/>
  <c r="K530" i="24"/>
  <c r="L530" i="24"/>
  <c r="M530" i="24"/>
  <c r="N530" i="24"/>
  <c r="O530" i="24"/>
  <c r="P530" i="24"/>
  <c r="P532" i="24" s="1"/>
  <c r="Q530" i="24"/>
  <c r="R530" i="24"/>
  <c r="R556" i="24" s="1"/>
  <c r="S530" i="24"/>
  <c r="A531" i="24"/>
  <c r="B531" i="24"/>
  <c r="B449" i="24" s="1"/>
  <c r="B259" i="9" s="1"/>
  <c r="C531" i="24"/>
  <c r="D531" i="24"/>
  <c r="E531" i="24"/>
  <c r="E532" i="24" s="1"/>
  <c r="F531" i="24"/>
  <c r="G531" i="24"/>
  <c r="H531" i="24"/>
  <c r="I531" i="24"/>
  <c r="I532" i="24" s="1"/>
  <c r="J531" i="24"/>
  <c r="K531" i="24"/>
  <c r="L531" i="24"/>
  <c r="M531" i="24"/>
  <c r="M532" i="24" s="1"/>
  <c r="N531" i="24"/>
  <c r="O531" i="24"/>
  <c r="P531" i="24"/>
  <c r="Q531" i="24"/>
  <c r="Q532" i="24" s="1"/>
  <c r="R531" i="24"/>
  <c r="S531" i="24"/>
  <c r="A532" i="24"/>
  <c r="D532" i="24"/>
  <c r="L532" i="24"/>
  <c r="A533" i="24"/>
  <c r="A534" i="24"/>
  <c r="E534" i="24"/>
  <c r="M534" i="24"/>
  <c r="M574" i="24" s="1"/>
  <c r="A535" i="24"/>
  <c r="C535" i="24"/>
  <c r="C561" i="24" s="1"/>
  <c r="F535" i="24"/>
  <c r="N535" i="24"/>
  <c r="S535" i="24"/>
  <c r="S561" i="24" s="1"/>
  <c r="A536" i="24"/>
  <c r="A537" i="24"/>
  <c r="A538" i="24"/>
  <c r="A539" i="24"/>
  <c r="B539" i="24"/>
  <c r="B457" i="24" s="1"/>
  <c r="C539" i="24"/>
  <c r="C541" i="24" s="1"/>
  <c r="D539" i="24"/>
  <c r="E539" i="24"/>
  <c r="F539" i="24"/>
  <c r="G539" i="24"/>
  <c r="G541" i="24" s="1"/>
  <c r="H539" i="24"/>
  <c r="I539" i="24"/>
  <c r="J539" i="24"/>
  <c r="K539" i="24"/>
  <c r="K541" i="24" s="1"/>
  <c r="L539" i="24"/>
  <c r="M539" i="24"/>
  <c r="N539" i="24"/>
  <c r="O539" i="24"/>
  <c r="O541" i="24" s="1"/>
  <c r="P539" i="24"/>
  <c r="Q539" i="24"/>
  <c r="R539" i="24"/>
  <c r="S539" i="24"/>
  <c r="S541" i="24" s="1"/>
  <c r="A540" i="24"/>
  <c r="B540" i="24"/>
  <c r="C540" i="24"/>
  <c r="D540" i="24"/>
  <c r="E540" i="24"/>
  <c r="F540" i="24"/>
  <c r="F541" i="24" s="1"/>
  <c r="G540" i="24"/>
  <c r="H540" i="24"/>
  <c r="H580" i="24" s="1"/>
  <c r="I540" i="24"/>
  <c r="J540" i="24"/>
  <c r="K540" i="24"/>
  <c r="L540" i="24"/>
  <c r="M540" i="24"/>
  <c r="N540" i="24"/>
  <c r="N541" i="24" s="1"/>
  <c r="O540" i="24"/>
  <c r="P540" i="24"/>
  <c r="P580" i="24" s="1"/>
  <c r="Q540" i="24"/>
  <c r="R540" i="24"/>
  <c r="S540" i="24"/>
  <c r="A541" i="24"/>
  <c r="I541" i="24"/>
  <c r="A542" i="24"/>
  <c r="A543" i="24"/>
  <c r="B543" i="24"/>
  <c r="B461" i="24" s="1"/>
  <c r="C543" i="24"/>
  <c r="C556" i="24" s="1"/>
  <c r="D543" i="24"/>
  <c r="F543" i="24"/>
  <c r="G543" i="24"/>
  <c r="G556" i="24" s="1"/>
  <c r="H543" i="24"/>
  <c r="J543" i="24"/>
  <c r="K543" i="24"/>
  <c r="K556" i="24" s="1"/>
  <c r="L543" i="24"/>
  <c r="N543" i="24"/>
  <c r="O543" i="24"/>
  <c r="O556" i="24" s="1"/>
  <c r="P543" i="24"/>
  <c r="R543" i="24"/>
  <c r="S543" i="24"/>
  <c r="S556" i="24" s="1"/>
  <c r="A544" i="24"/>
  <c r="C544" i="24"/>
  <c r="D544" i="24"/>
  <c r="D545" i="24" s="1"/>
  <c r="D558" i="24" s="1"/>
  <c r="E544" i="24"/>
  <c r="G544" i="24"/>
  <c r="H544" i="24"/>
  <c r="H545" i="24" s="1"/>
  <c r="I544" i="24"/>
  <c r="K544" i="24"/>
  <c r="L544" i="24"/>
  <c r="L545" i="24" s="1"/>
  <c r="M544" i="24"/>
  <c r="O544" i="24"/>
  <c r="P544" i="24"/>
  <c r="P545" i="24" s="1"/>
  <c r="Q544" i="24"/>
  <c r="S544" i="24"/>
  <c r="A545" i="24"/>
  <c r="G545" i="24"/>
  <c r="A546" i="24"/>
  <c r="A547" i="24"/>
  <c r="B547" i="24"/>
  <c r="D547" i="24"/>
  <c r="F547" i="24"/>
  <c r="H547" i="24"/>
  <c r="J547" i="24"/>
  <c r="L547" i="24"/>
  <c r="N547" i="24"/>
  <c r="P547" i="24"/>
  <c r="R547" i="24"/>
  <c r="A548" i="24"/>
  <c r="C548" i="24"/>
  <c r="E548" i="24"/>
  <c r="G548" i="24"/>
  <c r="I548" i="24"/>
  <c r="K548" i="24"/>
  <c r="M548" i="24"/>
  <c r="O548" i="24"/>
  <c r="Q548" i="24"/>
  <c r="S548" i="24"/>
  <c r="A549" i="24"/>
  <c r="A550" i="24"/>
  <c r="A551" i="24"/>
  <c r="A552" i="24"/>
  <c r="B552" i="24"/>
  <c r="D552" i="24"/>
  <c r="F552" i="24"/>
  <c r="H552" i="24"/>
  <c r="J552" i="24"/>
  <c r="L552" i="24"/>
  <c r="L592" i="24" s="1"/>
  <c r="N552" i="24"/>
  <c r="P552" i="24"/>
  <c r="R552" i="24"/>
  <c r="A553" i="24"/>
  <c r="C553" i="24"/>
  <c r="E553" i="24"/>
  <c r="G553" i="24"/>
  <c r="I553" i="24"/>
  <c r="I593" i="24" s="1"/>
  <c r="K553" i="24"/>
  <c r="M553" i="24"/>
  <c r="O553" i="24"/>
  <c r="Q553" i="24"/>
  <c r="S553" i="24"/>
  <c r="A554" i="24"/>
  <c r="A555" i="24"/>
  <c r="A556" i="24"/>
  <c r="D556" i="24"/>
  <c r="H556" i="24"/>
  <c r="L556" i="24"/>
  <c r="P556" i="24"/>
  <c r="A557" i="24"/>
  <c r="E557" i="24"/>
  <c r="I557" i="24"/>
  <c r="M557" i="24"/>
  <c r="Q557" i="24"/>
  <c r="A558" i="24"/>
  <c r="A559" i="24"/>
  <c r="A560" i="24"/>
  <c r="A561" i="24"/>
  <c r="A562" i="24"/>
  <c r="A563" i="24"/>
  <c r="A564" i="24"/>
  <c r="A565" i="24"/>
  <c r="A566" i="24"/>
  <c r="D566" i="24"/>
  <c r="H566" i="24"/>
  <c r="I566" i="24"/>
  <c r="L566" i="24"/>
  <c r="O566" i="24"/>
  <c r="P566" i="24"/>
  <c r="Q566" i="24"/>
  <c r="A567" i="24"/>
  <c r="E567" i="24"/>
  <c r="F567" i="24"/>
  <c r="I567" i="24"/>
  <c r="M567" i="24"/>
  <c r="N567" i="24"/>
  <c r="Q567" i="24"/>
  <c r="A568" i="24"/>
  <c r="A569" i="24"/>
  <c r="A570" i="24"/>
  <c r="C570" i="24"/>
  <c r="E570" i="24"/>
  <c r="F570" i="24"/>
  <c r="G570" i="24"/>
  <c r="I570" i="24"/>
  <c r="K570" i="24"/>
  <c r="M570" i="24"/>
  <c r="O570" i="24"/>
  <c r="Q570" i="24"/>
  <c r="S570" i="24"/>
  <c r="A571" i="24"/>
  <c r="B571" i="24"/>
  <c r="D571" i="24"/>
  <c r="F571" i="24"/>
  <c r="G571" i="24"/>
  <c r="H571" i="24"/>
  <c r="J571" i="24"/>
  <c r="L571" i="24"/>
  <c r="N571" i="24"/>
  <c r="P571" i="24"/>
  <c r="R571" i="24"/>
  <c r="A572" i="24"/>
  <c r="A573" i="24"/>
  <c r="A574" i="24"/>
  <c r="E574" i="24"/>
  <c r="Q574" i="24"/>
  <c r="A575" i="24"/>
  <c r="A576" i="24"/>
  <c r="A577" i="24"/>
  <c r="A578" i="24"/>
  <c r="A579" i="24"/>
  <c r="B579" i="24"/>
  <c r="D579" i="24"/>
  <c r="G579" i="24"/>
  <c r="L579" i="24"/>
  <c r="O579" i="24"/>
  <c r="P579" i="24"/>
  <c r="R579" i="24"/>
  <c r="A580" i="24"/>
  <c r="D580" i="24"/>
  <c r="I580" i="24"/>
  <c r="L580" i="24"/>
  <c r="M580" i="24"/>
  <c r="O580" i="24"/>
  <c r="Q580" i="24"/>
  <c r="A581" i="24"/>
  <c r="A582" i="24"/>
  <c r="A583" i="24"/>
  <c r="B583" i="24"/>
  <c r="D583" i="24"/>
  <c r="F583" i="24"/>
  <c r="H583" i="24"/>
  <c r="J583" i="24"/>
  <c r="L583" i="24"/>
  <c r="N583" i="24"/>
  <c r="P583" i="24"/>
  <c r="R583" i="24"/>
  <c r="A584" i="24"/>
  <c r="C584" i="24"/>
  <c r="E584" i="24"/>
  <c r="G584" i="24"/>
  <c r="I584" i="24"/>
  <c r="K584" i="24"/>
  <c r="M584" i="24"/>
  <c r="O584" i="24"/>
  <c r="Q584" i="24"/>
  <c r="S584" i="24"/>
  <c r="A585" i="24"/>
  <c r="A586" i="24"/>
  <c r="A587" i="24"/>
  <c r="A588" i="24"/>
  <c r="C588" i="24"/>
  <c r="A589" i="24"/>
  <c r="A590" i="24"/>
  <c r="A591" i="24"/>
  <c r="A592" i="24"/>
  <c r="A593" i="24"/>
  <c r="A594" i="24"/>
  <c r="A595" i="24"/>
  <c r="A596" i="24"/>
  <c r="A597" i="24"/>
  <c r="A598" i="24"/>
  <c r="A599" i="24"/>
  <c r="A600" i="24"/>
  <c r="A601" i="24"/>
  <c r="A602" i="24"/>
  <c r="A603" i="24"/>
  <c r="B604" i="24"/>
  <c r="G604" i="24"/>
  <c r="H604" i="24"/>
  <c r="N604" i="24"/>
  <c r="O604" i="24"/>
  <c r="R604" i="24"/>
  <c r="A605" i="24"/>
  <c r="A606" i="24"/>
  <c r="A607" i="24"/>
  <c r="A608" i="24"/>
  <c r="B608" i="24"/>
  <c r="C608" i="24"/>
  <c r="D608" i="24"/>
  <c r="E608" i="24"/>
  <c r="F608" i="24"/>
  <c r="G608" i="24"/>
  <c r="H608" i="24"/>
  <c r="H616" i="24" s="1"/>
  <c r="I608" i="24"/>
  <c r="J608" i="24"/>
  <c r="K608" i="24"/>
  <c r="L608" i="24"/>
  <c r="M608" i="24"/>
  <c r="N608" i="24"/>
  <c r="O608" i="24"/>
  <c r="P608" i="24"/>
  <c r="P616" i="24" s="1"/>
  <c r="Q608" i="24"/>
  <c r="R608" i="24"/>
  <c r="S608" i="24"/>
  <c r="A609" i="24"/>
  <c r="B609" i="24"/>
  <c r="C609" i="24"/>
  <c r="D609" i="24"/>
  <c r="E609" i="24"/>
  <c r="F609" i="24"/>
  <c r="G609" i="24"/>
  <c r="H609" i="24"/>
  <c r="I609" i="24"/>
  <c r="I617" i="24" s="1"/>
  <c r="J609" i="24"/>
  <c r="K609" i="24"/>
  <c r="L609" i="24"/>
  <c r="M609" i="24"/>
  <c r="M617" i="24" s="1"/>
  <c r="N609" i="24"/>
  <c r="O609" i="24"/>
  <c r="P609" i="24"/>
  <c r="Q609" i="24"/>
  <c r="R609" i="24"/>
  <c r="S609" i="24"/>
  <c r="A610" i="24"/>
  <c r="I610" i="24"/>
  <c r="A611" i="24"/>
  <c r="A612" i="24"/>
  <c r="B612" i="24"/>
  <c r="B616" i="24" s="1"/>
  <c r="B696" i="24" s="1"/>
  <c r="C612" i="24"/>
  <c r="D612" i="24"/>
  <c r="E612" i="24"/>
  <c r="F612" i="24"/>
  <c r="G612" i="24"/>
  <c r="H612" i="24"/>
  <c r="I612" i="24"/>
  <c r="J612" i="24"/>
  <c r="K612" i="24"/>
  <c r="L612" i="24"/>
  <c r="M612" i="24"/>
  <c r="N612" i="24"/>
  <c r="N616" i="24" s="1"/>
  <c r="O612" i="24"/>
  <c r="P612" i="24"/>
  <c r="Q612" i="24"/>
  <c r="R612" i="24"/>
  <c r="S612" i="24"/>
  <c r="A613" i="24"/>
  <c r="B613" i="24"/>
  <c r="C613" i="24"/>
  <c r="D613" i="24"/>
  <c r="E613" i="24"/>
  <c r="F613" i="24"/>
  <c r="G613" i="24"/>
  <c r="G614" i="24" s="1"/>
  <c r="H613" i="24"/>
  <c r="I613" i="24"/>
  <c r="J613" i="24"/>
  <c r="K613" i="24"/>
  <c r="K617" i="24" s="1"/>
  <c r="L613" i="24"/>
  <c r="M613" i="24"/>
  <c r="N613" i="24"/>
  <c r="O613" i="24"/>
  <c r="P613" i="24"/>
  <c r="Q613" i="24"/>
  <c r="R613" i="24"/>
  <c r="S613" i="24"/>
  <c r="A614" i="24"/>
  <c r="A615" i="24"/>
  <c r="A616" i="24"/>
  <c r="E616" i="24"/>
  <c r="E642" i="24" s="1"/>
  <c r="L616" i="24"/>
  <c r="R616" i="24"/>
  <c r="R696" i="24" s="1"/>
  <c r="A617" i="24"/>
  <c r="B617" i="24"/>
  <c r="E617" i="24"/>
  <c r="J617" i="24"/>
  <c r="R617" i="24"/>
  <c r="R643" i="24" s="1"/>
  <c r="A618" i="24"/>
  <c r="A619" i="24"/>
  <c r="A620" i="24"/>
  <c r="A621" i="24"/>
  <c r="B621" i="24"/>
  <c r="B623" i="24" s="1"/>
  <c r="C621" i="24"/>
  <c r="D621" i="24"/>
  <c r="D634" i="24" s="1"/>
  <c r="E621" i="24"/>
  <c r="F621" i="24"/>
  <c r="F623" i="24" s="1"/>
  <c r="G621" i="24"/>
  <c r="H621" i="24"/>
  <c r="H634" i="24" s="1"/>
  <c r="I621" i="24"/>
  <c r="J621" i="24"/>
  <c r="J623" i="24" s="1"/>
  <c r="K621" i="24"/>
  <c r="L621" i="24"/>
  <c r="M621" i="24"/>
  <c r="N621" i="24"/>
  <c r="N623" i="24" s="1"/>
  <c r="O621" i="24"/>
  <c r="P621" i="24"/>
  <c r="P634" i="24" s="1"/>
  <c r="Q621" i="24"/>
  <c r="R621" i="24"/>
  <c r="R623" i="24" s="1"/>
  <c r="S621" i="24"/>
  <c r="A622" i="24"/>
  <c r="B622" i="24"/>
  <c r="C622" i="24"/>
  <c r="D622" i="24"/>
  <c r="E622" i="24"/>
  <c r="E623" i="24" s="1"/>
  <c r="F622" i="24"/>
  <c r="G622" i="24"/>
  <c r="H622" i="24"/>
  <c r="I622" i="24"/>
  <c r="I623" i="24" s="1"/>
  <c r="J622" i="24"/>
  <c r="K622" i="24"/>
  <c r="L622" i="24"/>
  <c r="M622" i="24"/>
  <c r="M623" i="24" s="1"/>
  <c r="N622" i="24"/>
  <c r="O622" i="24"/>
  <c r="P622" i="24"/>
  <c r="Q622" i="24"/>
  <c r="R622" i="24"/>
  <c r="S622" i="24"/>
  <c r="A623" i="24"/>
  <c r="D623" i="24"/>
  <c r="A624" i="24"/>
  <c r="A625" i="24"/>
  <c r="B625" i="24"/>
  <c r="C625" i="24"/>
  <c r="D625" i="24"/>
  <c r="D627" i="24" s="1"/>
  <c r="E625" i="24"/>
  <c r="E629" i="24" s="1"/>
  <c r="F625" i="24"/>
  <c r="G625" i="24"/>
  <c r="H625" i="24"/>
  <c r="H627" i="24" s="1"/>
  <c r="I625" i="24"/>
  <c r="J625" i="24"/>
  <c r="K625" i="24"/>
  <c r="L625" i="24"/>
  <c r="L627" i="24" s="1"/>
  <c r="M625" i="24"/>
  <c r="N625" i="24"/>
  <c r="O625" i="24"/>
  <c r="P625" i="24"/>
  <c r="P627" i="24" s="1"/>
  <c r="Q625" i="24"/>
  <c r="R625" i="24"/>
  <c r="S625" i="24"/>
  <c r="A626" i="24"/>
  <c r="B626" i="24"/>
  <c r="C626" i="24"/>
  <c r="D626" i="24"/>
  <c r="E626" i="24"/>
  <c r="F626" i="24"/>
  <c r="F630" i="24" s="1"/>
  <c r="G626" i="24"/>
  <c r="H626" i="24"/>
  <c r="I626" i="24"/>
  <c r="I630" i="24" s="1"/>
  <c r="J626" i="24"/>
  <c r="K626" i="24"/>
  <c r="L626" i="24"/>
  <c r="M626" i="24"/>
  <c r="N626" i="24"/>
  <c r="N630" i="24" s="1"/>
  <c r="O626" i="24"/>
  <c r="O627" i="24" s="1"/>
  <c r="P626" i="24"/>
  <c r="Q626" i="24"/>
  <c r="R626" i="24"/>
  <c r="S626" i="24"/>
  <c r="A627" i="24"/>
  <c r="A628" i="24"/>
  <c r="A629" i="24"/>
  <c r="C629" i="24"/>
  <c r="G629" i="24"/>
  <c r="I629" i="24"/>
  <c r="K629" i="24"/>
  <c r="M629" i="24"/>
  <c r="O629" i="24"/>
  <c r="Q629" i="24"/>
  <c r="S629" i="24"/>
  <c r="A630" i="24"/>
  <c r="B630" i="24"/>
  <c r="D630" i="24"/>
  <c r="H630" i="24"/>
  <c r="J630" i="24"/>
  <c r="L630" i="24"/>
  <c r="P630" i="24"/>
  <c r="R630" i="24"/>
  <c r="R710" i="24" s="1"/>
  <c r="A631" i="24"/>
  <c r="A632" i="24"/>
  <c r="A633" i="24"/>
  <c r="A634" i="24"/>
  <c r="C634" i="24"/>
  <c r="E634" i="24"/>
  <c r="G634" i="24"/>
  <c r="I634" i="24"/>
  <c r="K634" i="24"/>
  <c r="M634" i="24"/>
  <c r="O634" i="24"/>
  <c r="Q634" i="24"/>
  <c r="S634" i="24"/>
  <c r="A635" i="24"/>
  <c r="B635" i="24"/>
  <c r="D635" i="24"/>
  <c r="F635" i="24"/>
  <c r="H635" i="24"/>
  <c r="J635" i="24"/>
  <c r="L635" i="24"/>
  <c r="N635" i="24"/>
  <c r="P635" i="24"/>
  <c r="R635" i="24"/>
  <c r="A636" i="24"/>
  <c r="A637" i="24"/>
  <c r="A638" i="24"/>
  <c r="C638" i="24"/>
  <c r="E638" i="24"/>
  <c r="G638" i="24"/>
  <c r="I638" i="24"/>
  <c r="K638" i="24"/>
  <c r="M638" i="24"/>
  <c r="O638" i="24"/>
  <c r="Q638" i="24"/>
  <c r="S638" i="24"/>
  <c r="A639" i="24"/>
  <c r="B639" i="24"/>
  <c r="D639" i="24"/>
  <c r="F639" i="24"/>
  <c r="H639" i="24"/>
  <c r="J639" i="24"/>
  <c r="L639" i="24"/>
  <c r="N639" i="24"/>
  <c r="P639" i="24"/>
  <c r="R639" i="24"/>
  <c r="A640" i="24"/>
  <c r="A641" i="24"/>
  <c r="A642" i="24"/>
  <c r="A643" i="24"/>
  <c r="B643" i="24"/>
  <c r="J643" i="24"/>
  <c r="A644" i="24"/>
  <c r="A645" i="24"/>
  <c r="A646" i="24"/>
  <c r="A647" i="24"/>
  <c r="A648" i="24"/>
  <c r="B648" i="24"/>
  <c r="C648" i="24"/>
  <c r="D648" i="24"/>
  <c r="F648" i="24"/>
  <c r="G648" i="24"/>
  <c r="H648" i="24"/>
  <c r="H688" i="24" s="1"/>
  <c r="J648" i="24"/>
  <c r="K648" i="24"/>
  <c r="L648" i="24"/>
  <c r="N648" i="24"/>
  <c r="O648" i="24"/>
  <c r="P648" i="24"/>
  <c r="P688" i="24" s="1"/>
  <c r="R648" i="24"/>
  <c r="S648" i="24"/>
  <c r="A649" i="24"/>
  <c r="C649" i="24"/>
  <c r="D649" i="24"/>
  <c r="E649" i="24"/>
  <c r="E689" i="24" s="1"/>
  <c r="G649" i="24"/>
  <c r="H649" i="24"/>
  <c r="I649" i="24"/>
  <c r="K649" i="24"/>
  <c r="L649" i="24"/>
  <c r="M649" i="24"/>
  <c r="M689" i="24" s="1"/>
  <c r="O649" i="24"/>
  <c r="P649" i="24"/>
  <c r="Q649" i="24"/>
  <c r="S649" i="24"/>
  <c r="A650" i="24"/>
  <c r="G650" i="24"/>
  <c r="A651" i="24"/>
  <c r="A652" i="24"/>
  <c r="B652" i="24"/>
  <c r="C652" i="24"/>
  <c r="D652" i="24"/>
  <c r="F652" i="24"/>
  <c r="F656" i="24" s="1"/>
  <c r="G652" i="24"/>
  <c r="H652" i="24"/>
  <c r="H656" i="24" s="1"/>
  <c r="H696" i="24" s="1"/>
  <c r="J652" i="24"/>
  <c r="K652" i="24"/>
  <c r="L652" i="24"/>
  <c r="N652" i="24"/>
  <c r="N656" i="24" s="1"/>
  <c r="N696" i="24" s="1"/>
  <c r="O652" i="24"/>
  <c r="P652" i="24"/>
  <c r="R652" i="24"/>
  <c r="S652" i="24"/>
  <c r="A653" i="24"/>
  <c r="C653" i="24"/>
  <c r="C657" i="24" s="1"/>
  <c r="D653" i="24"/>
  <c r="E653" i="24"/>
  <c r="E657" i="24" s="1"/>
  <c r="E697" i="24" s="1"/>
  <c r="G653" i="24"/>
  <c r="H653" i="24"/>
  <c r="I653" i="24"/>
  <c r="K653" i="24"/>
  <c r="K657" i="24" s="1"/>
  <c r="L653" i="24"/>
  <c r="M653" i="24"/>
  <c r="O653" i="24"/>
  <c r="P653" i="24"/>
  <c r="Q653" i="24"/>
  <c r="S653" i="24"/>
  <c r="S657" i="24" s="1"/>
  <c r="A654" i="24"/>
  <c r="A655" i="24"/>
  <c r="A656" i="24"/>
  <c r="B656" i="24"/>
  <c r="G656" i="24"/>
  <c r="L656" i="24"/>
  <c r="O656" i="24"/>
  <c r="R656" i="24"/>
  <c r="A657" i="24"/>
  <c r="D657" i="24"/>
  <c r="I657" i="24"/>
  <c r="I697" i="24" s="1"/>
  <c r="L657" i="24"/>
  <c r="O657" i="24"/>
  <c r="A658" i="24"/>
  <c r="A659" i="24"/>
  <c r="A660" i="24"/>
  <c r="A661" i="24"/>
  <c r="B661" i="24"/>
  <c r="B674" i="24" s="1"/>
  <c r="C661" i="24"/>
  <c r="E661" i="24"/>
  <c r="F661" i="24"/>
  <c r="G661" i="24"/>
  <c r="I661" i="24"/>
  <c r="J661" i="24"/>
  <c r="K661" i="24"/>
  <c r="M661" i="24"/>
  <c r="N661" i="24"/>
  <c r="O661" i="24"/>
  <c r="Q661" i="24"/>
  <c r="R661" i="24"/>
  <c r="R674" i="24" s="1"/>
  <c r="S661" i="24"/>
  <c r="A662" i="24"/>
  <c r="B662" i="24"/>
  <c r="C662" i="24"/>
  <c r="C663" i="24" s="1"/>
  <c r="D662" i="24"/>
  <c r="F662" i="24"/>
  <c r="G662" i="24"/>
  <c r="H662" i="24"/>
  <c r="J662" i="24"/>
  <c r="K662" i="24"/>
  <c r="K663" i="24" s="1"/>
  <c r="L662" i="24"/>
  <c r="N662" i="24"/>
  <c r="O662" i="24"/>
  <c r="O663" i="24" s="1"/>
  <c r="P662" i="24"/>
  <c r="R662" i="24"/>
  <c r="S662" i="24"/>
  <c r="S663" i="24" s="1"/>
  <c r="A663" i="24"/>
  <c r="R663" i="24"/>
  <c r="A664" i="24"/>
  <c r="A665" i="24"/>
  <c r="C665" i="24"/>
  <c r="C669" i="24" s="1"/>
  <c r="D665" i="24"/>
  <c r="E665" i="24"/>
  <c r="E669" i="24" s="1"/>
  <c r="E709" i="24" s="1"/>
  <c r="G665" i="24"/>
  <c r="H665" i="24"/>
  <c r="I665" i="24"/>
  <c r="K665" i="24"/>
  <c r="K669" i="24" s="1"/>
  <c r="L665" i="24"/>
  <c r="M665" i="24"/>
  <c r="M669" i="24" s="1"/>
  <c r="M709" i="24" s="1"/>
  <c r="O665" i="24"/>
  <c r="P665" i="24"/>
  <c r="Q665" i="24"/>
  <c r="S665" i="24"/>
  <c r="S669" i="24" s="1"/>
  <c r="A666" i="24"/>
  <c r="B666" i="24"/>
  <c r="B670" i="24" s="1"/>
  <c r="D666" i="24"/>
  <c r="D667" i="24" s="1"/>
  <c r="E666" i="24"/>
  <c r="F666" i="24"/>
  <c r="F670" i="24" s="1"/>
  <c r="F710" i="24" s="1"/>
  <c r="H666" i="24"/>
  <c r="I666" i="24"/>
  <c r="J666" i="24"/>
  <c r="L666" i="24"/>
  <c r="M666" i="24"/>
  <c r="N666" i="24"/>
  <c r="P666" i="24"/>
  <c r="P670" i="24" s="1"/>
  <c r="P710" i="24" s="1"/>
  <c r="Q666" i="24"/>
  <c r="R666" i="24"/>
  <c r="R670" i="24" s="1"/>
  <c r="A667" i="24"/>
  <c r="P667" i="24"/>
  <c r="A668" i="24"/>
  <c r="A669" i="24"/>
  <c r="A670" i="24"/>
  <c r="J670" i="24"/>
  <c r="A671" i="24"/>
  <c r="A672" i="24"/>
  <c r="A673" i="24"/>
  <c r="A674" i="24"/>
  <c r="C674" i="24"/>
  <c r="G674" i="24"/>
  <c r="K674" i="24"/>
  <c r="O674" i="24"/>
  <c r="S674" i="24"/>
  <c r="A675" i="24"/>
  <c r="D675" i="24"/>
  <c r="H675" i="24"/>
  <c r="L675" i="24"/>
  <c r="P675" i="24"/>
  <c r="A676" i="24"/>
  <c r="A677" i="24"/>
  <c r="A678" i="24"/>
  <c r="C678" i="24"/>
  <c r="K678" i="24"/>
  <c r="K718" i="24" s="1"/>
  <c r="S678" i="24"/>
  <c r="A679" i="24"/>
  <c r="A680" i="24"/>
  <c r="A681" i="24"/>
  <c r="A682" i="24"/>
  <c r="A683" i="24"/>
  <c r="A684" i="24"/>
  <c r="A685" i="24"/>
  <c r="A686" i="24"/>
  <c r="A687" i="24"/>
  <c r="A688" i="24"/>
  <c r="B688" i="24"/>
  <c r="F688" i="24"/>
  <c r="J688" i="24"/>
  <c r="L688" i="24"/>
  <c r="N688" i="24"/>
  <c r="R688" i="24"/>
  <c r="A689" i="24"/>
  <c r="C689" i="24"/>
  <c r="G689" i="24"/>
  <c r="I689" i="24"/>
  <c r="K689" i="24"/>
  <c r="O689" i="24"/>
  <c r="Q689" i="24"/>
  <c r="S689" i="24"/>
  <c r="A690" i="24"/>
  <c r="A691" i="24"/>
  <c r="A692" i="24"/>
  <c r="B692" i="24"/>
  <c r="C692" i="24"/>
  <c r="D692" i="24"/>
  <c r="G692" i="24"/>
  <c r="J692" i="24"/>
  <c r="K692" i="24"/>
  <c r="L692" i="24"/>
  <c r="O692" i="24"/>
  <c r="R692" i="24"/>
  <c r="S692" i="24"/>
  <c r="A693" i="24"/>
  <c r="D693" i="24"/>
  <c r="G693" i="24"/>
  <c r="H693" i="24"/>
  <c r="I693" i="24"/>
  <c r="L693" i="24"/>
  <c r="O693" i="24"/>
  <c r="P693" i="24"/>
  <c r="Q693" i="24"/>
  <c r="A694" i="24"/>
  <c r="A695" i="24"/>
  <c r="A696" i="24"/>
  <c r="L696" i="24"/>
  <c r="A697" i="24"/>
  <c r="A698" i="24"/>
  <c r="A699" i="24"/>
  <c r="A700" i="24"/>
  <c r="A701" i="24"/>
  <c r="C701" i="24"/>
  <c r="E701" i="24"/>
  <c r="G701" i="24"/>
  <c r="I701" i="24"/>
  <c r="K701" i="24"/>
  <c r="M701" i="24"/>
  <c r="O701" i="24"/>
  <c r="Q701" i="24"/>
  <c r="S701" i="24"/>
  <c r="A702" i="24"/>
  <c r="B702" i="24"/>
  <c r="D702" i="24"/>
  <c r="F702" i="24"/>
  <c r="H702" i="24"/>
  <c r="J702" i="24"/>
  <c r="L702" i="24"/>
  <c r="N702" i="24"/>
  <c r="P702" i="24"/>
  <c r="R702" i="24"/>
  <c r="A703" i="24"/>
  <c r="A704" i="24"/>
  <c r="A705" i="24"/>
  <c r="C705" i="24"/>
  <c r="E705" i="24"/>
  <c r="I705" i="24"/>
  <c r="K705" i="24"/>
  <c r="M705" i="24"/>
  <c r="S705" i="24"/>
  <c r="A706" i="24"/>
  <c r="B706" i="24"/>
  <c r="D706" i="24"/>
  <c r="H706" i="24"/>
  <c r="J706" i="24"/>
  <c r="L706" i="24"/>
  <c r="P706" i="24"/>
  <c r="R706" i="24"/>
  <c r="A707" i="24"/>
  <c r="A708" i="24"/>
  <c r="A709" i="24"/>
  <c r="C709" i="24"/>
  <c r="S709" i="24"/>
  <c r="A710" i="24"/>
  <c r="B710" i="24"/>
  <c r="J710" i="24"/>
  <c r="A711" i="24"/>
  <c r="A712" i="24"/>
  <c r="A713" i="24"/>
  <c r="A714" i="24"/>
  <c r="A715" i="24"/>
  <c r="A716" i="24"/>
  <c r="A717" i="24"/>
  <c r="A718" i="24"/>
  <c r="C718" i="24"/>
  <c r="S718" i="24"/>
  <c r="A719" i="24"/>
  <c r="A720" i="24"/>
  <c r="A721" i="24"/>
  <c r="A722" i="24"/>
  <c r="A723" i="24"/>
  <c r="A724" i="24"/>
  <c r="A725" i="24"/>
  <c r="B726" i="24"/>
  <c r="G726" i="24"/>
  <c r="H726" i="24"/>
  <c r="N726" i="24"/>
  <c r="O726" i="24"/>
  <c r="R726" i="24"/>
  <c r="A727" i="24"/>
  <c r="A728" i="24"/>
  <c r="A729" i="24"/>
  <c r="A730" i="24"/>
  <c r="A731" i="24"/>
  <c r="A732" i="24"/>
  <c r="A733" i="24"/>
  <c r="A734" i="24"/>
  <c r="A735" i="24"/>
  <c r="A736" i="24"/>
  <c r="A737" i="24"/>
  <c r="A738" i="24"/>
  <c r="A739" i="24"/>
  <c r="A740" i="24"/>
  <c r="A741" i="24"/>
  <c r="A742" i="24"/>
  <c r="A743" i="24"/>
  <c r="A744" i="24"/>
  <c r="A745" i="24"/>
  <c r="A746" i="24"/>
  <c r="A747" i="24"/>
  <c r="A748" i="24"/>
  <c r="A749" i="24"/>
  <c r="A750" i="24"/>
  <c r="A751" i="24"/>
  <c r="A752" i="24"/>
  <c r="A753" i="24"/>
  <c r="A754" i="24"/>
  <c r="A755" i="24"/>
  <c r="A756" i="24"/>
  <c r="A757" i="24"/>
  <c r="A758" i="24"/>
  <c r="A759" i="24"/>
  <c r="A760" i="24"/>
  <c r="A761" i="24"/>
  <c r="A762" i="24"/>
  <c r="A763" i="24"/>
  <c r="A764" i="24"/>
  <c r="A765" i="24"/>
  <c r="A766" i="24"/>
  <c r="B767" i="24"/>
  <c r="G767" i="24"/>
  <c r="H767" i="24"/>
  <c r="N767" i="24"/>
  <c r="O767" i="24"/>
  <c r="R767" i="24"/>
  <c r="A768" i="24"/>
  <c r="A769" i="24"/>
  <c r="A770" i="24"/>
  <c r="A771" i="24"/>
  <c r="A772" i="24"/>
  <c r="A773" i="24"/>
  <c r="A774" i="24"/>
  <c r="A775" i="24"/>
  <c r="A776" i="24"/>
  <c r="A777" i="24"/>
  <c r="A778" i="24"/>
  <c r="A779" i="24"/>
  <c r="A780" i="24"/>
  <c r="A781" i="24"/>
  <c r="A782" i="24"/>
  <c r="A783" i="24"/>
  <c r="A784" i="24"/>
  <c r="A785" i="24"/>
  <c r="A786" i="24"/>
  <c r="A787" i="24"/>
  <c r="A788" i="24"/>
  <c r="A789" i="24"/>
  <c r="A790" i="24"/>
  <c r="A791" i="24"/>
  <c r="A792" i="24"/>
  <c r="A793" i="24"/>
  <c r="A794" i="24"/>
  <c r="A795" i="24"/>
  <c r="A796" i="24"/>
  <c r="A797" i="24"/>
  <c r="A798" i="24"/>
  <c r="A799" i="24"/>
  <c r="A800" i="24"/>
  <c r="A801" i="24"/>
  <c r="A802" i="24"/>
  <c r="A803" i="24"/>
  <c r="A804" i="24"/>
  <c r="A805" i="24"/>
  <c r="A806" i="24"/>
  <c r="A807" i="24"/>
  <c r="B808" i="24"/>
  <c r="G808" i="24"/>
  <c r="H808" i="24"/>
  <c r="N808" i="24"/>
  <c r="O808" i="24"/>
  <c r="R808" i="24"/>
  <c r="A809" i="24"/>
  <c r="A810" i="24"/>
  <c r="A811" i="24"/>
  <c r="A812" i="24"/>
  <c r="A813" i="24"/>
  <c r="A814" i="24"/>
  <c r="A815" i="24"/>
  <c r="A816" i="24"/>
  <c r="A817" i="24"/>
  <c r="A818" i="24"/>
  <c r="A819" i="24"/>
  <c r="A820" i="24"/>
  <c r="A821" i="24"/>
  <c r="B822" i="24"/>
  <c r="G822" i="24"/>
  <c r="H822" i="24"/>
  <c r="N822" i="24"/>
  <c r="O822" i="24"/>
  <c r="R822" i="24"/>
  <c r="A823" i="24"/>
  <c r="A824" i="24"/>
  <c r="A825" i="24"/>
  <c r="B825" i="24"/>
  <c r="C825" i="24"/>
  <c r="D825" i="24"/>
  <c r="E825" i="24"/>
  <c r="F825" i="24"/>
  <c r="G825" i="24"/>
  <c r="H825" i="24"/>
  <c r="I825" i="24"/>
  <c r="J825" i="24"/>
  <c r="K825" i="24"/>
  <c r="L825" i="24"/>
  <c r="M825" i="24"/>
  <c r="N825" i="24"/>
  <c r="O825" i="24"/>
  <c r="O833" i="24" s="1"/>
  <c r="P825" i="24"/>
  <c r="Q825" i="24"/>
  <c r="R825" i="24"/>
  <c r="S825" i="24"/>
  <c r="A826" i="24"/>
  <c r="B826" i="24"/>
  <c r="C826" i="24"/>
  <c r="D826" i="24"/>
  <c r="E826" i="24"/>
  <c r="F826" i="24"/>
  <c r="G826" i="24"/>
  <c r="H826" i="24"/>
  <c r="I826" i="24"/>
  <c r="J826" i="24"/>
  <c r="K826" i="24"/>
  <c r="L826" i="24"/>
  <c r="L827" i="24" s="1"/>
  <c r="M826" i="24"/>
  <c r="N826" i="24"/>
  <c r="O826" i="24"/>
  <c r="P826" i="24"/>
  <c r="Q826" i="24"/>
  <c r="R826" i="24"/>
  <c r="S826" i="24"/>
  <c r="A827" i="24"/>
  <c r="A828" i="24"/>
  <c r="A829" i="24"/>
  <c r="B829" i="24"/>
  <c r="C829" i="24"/>
  <c r="D829" i="24"/>
  <c r="E829" i="24"/>
  <c r="F829" i="24"/>
  <c r="G829" i="24"/>
  <c r="H829" i="24"/>
  <c r="I829" i="24"/>
  <c r="J829" i="24"/>
  <c r="K829" i="24"/>
  <c r="L829" i="24"/>
  <c r="M829" i="24"/>
  <c r="N829" i="24"/>
  <c r="O829" i="24"/>
  <c r="P829" i="24"/>
  <c r="Q829" i="24"/>
  <c r="R829" i="24"/>
  <c r="S829" i="24"/>
  <c r="A830" i="24"/>
  <c r="B830" i="24"/>
  <c r="C830" i="24"/>
  <c r="D830" i="24"/>
  <c r="E830" i="24"/>
  <c r="F830" i="24"/>
  <c r="G830" i="24"/>
  <c r="H830" i="24"/>
  <c r="I830" i="24"/>
  <c r="J830" i="24"/>
  <c r="J831" i="24" s="1"/>
  <c r="K830" i="24"/>
  <c r="L830" i="24"/>
  <c r="M830" i="24"/>
  <c r="N830" i="24"/>
  <c r="O830" i="24"/>
  <c r="P830" i="24"/>
  <c r="Q830" i="24"/>
  <c r="R830" i="24"/>
  <c r="R831" i="24" s="1"/>
  <c r="S830" i="24"/>
  <c r="A831" i="24"/>
  <c r="A832" i="24"/>
  <c r="A833" i="24"/>
  <c r="G833" i="24"/>
  <c r="H833" i="24"/>
  <c r="M833" i="24"/>
  <c r="P833" i="24"/>
  <c r="S833" i="24"/>
  <c r="A834" i="24"/>
  <c r="E834" i="24"/>
  <c r="L834" i="24"/>
  <c r="M834" i="24"/>
  <c r="A835" i="24"/>
  <c r="A836" i="24"/>
  <c r="A837" i="24"/>
  <c r="A838" i="24"/>
  <c r="B838" i="24"/>
  <c r="C838" i="24"/>
  <c r="C840" i="24" s="1"/>
  <c r="D838" i="24"/>
  <c r="E838" i="24"/>
  <c r="E840" i="24" s="1"/>
  <c r="F838" i="24"/>
  <c r="G838" i="24"/>
  <c r="G840" i="24" s="1"/>
  <c r="H838" i="24"/>
  <c r="I838" i="24"/>
  <c r="I840" i="24" s="1"/>
  <c r="J838" i="24"/>
  <c r="K838" i="24"/>
  <c r="K840" i="24" s="1"/>
  <c r="L838" i="24"/>
  <c r="M838" i="24"/>
  <c r="M840" i="24" s="1"/>
  <c r="N838" i="24"/>
  <c r="O838" i="24"/>
  <c r="O840" i="24" s="1"/>
  <c r="P838" i="24"/>
  <c r="Q838" i="24"/>
  <c r="Q840" i="24" s="1"/>
  <c r="R838" i="24"/>
  <c r="S838" i="24"/>
  <c r="S840" i="24" s="1"/>
  <c r="A839" i="24"/>
  <c r="B839" i="24"/>
  <c r="C839" i="24"/>
  <c r="D839" i="24"/>
  <c r="D840" i="24" s="1"/>
  <c r="E839" i="24"/>
  <c r="F839" i="24"/>
  <c r="G839" i="24"/>
  <c r="H839" i="24"/>
  <c r="I839" i="24"/>
  <c r="J839" i="24"/>
  <c r="K839" i="24"/>
  <c r="L839" i="24"/>
  <c r="M839" i="24"/>
  <c r="N839" i="24"/>
  <c r="O839" i="24"/>
  <c r="P839" i="24"/>
  <c r="P847" i="24" s="1"/>
  <c r="Q839" i="24"/>
  <c r="R839" i="24"/>
  <c r="S839" i="24"/>
  <c r="A840" i="24"/>
  <c r="H840" i="24"/>
  <c r="P840" i="24"/>
  <c r="A841" i="24"/>
  <c r="A842" i="24"/>
  <c r="B842" i="24"/>
  <c r="B846" i="24" s="1"/>
  <c r="C842" i="24"/>
  <c r="D842" i="24"/>
  <c r="D846" i="24" s="1"/>
  <c r="E842" i="24"/>
  <c r="F842" i="24"/>
  <c r="F855" i="24" s="1"/>
  <c r="G842" i="24"/>
  <c r="H842" i="24"/>
  <c r="I842" i="24"/>
  <c r="J842" i="24"/>
  <c r="J846" i="24" s="1"/>
  <c r="K842" i="24"/>
  <c r="L842" i="24"/>
  <c r="L846" i="24" s="1"/>
  <c r="M842" i="24"/>
  <c r="N842" i="24"/>
  <c r="N855" i="24" s="1"/>
  <c r="O842" i="24"/>
  <c r="P842" i="24"/>
  <c r="Q842" i="24"/>
  <c r="R842" i="24"/>
  <c r="R846" i="24" s="1"/>
  <c r="S842" i="24"/>
  <c r="A843" i="24"/>
  <c r="B843" i="24"/>
  <c r="B844" i="24" s="1"/>
  <c r="C843" i="24"/>
  <c r="C856" i="24" s="1"/>
  <c r="D843" i="24"/>
  <c r="E843" i="24"/>
  <c r="F843" i="24"/>
  <c r="F844" i="24" s="1"/>
  <c r="G843" i="24"/>
  <c r="G847" i="24" s="1"/>
  <c r="H843" i="24"/>
  <c r="I843" i="24"/>
  <c r="J843" i="24"/>
  <c r="J844" i="24" s="1"/>
  <c r="J857" i="24" s="1"/>
  <c r="K843" i="24"/>
  <c r="K856" i="24" s="1"/>
  <c r="L843" i="24"/>
  <c r="M843" i="24"/>
  <c r="N843" i="24"/>
  <c r="N844" i="24" s="1"/>
  <c r="O843" i="24"/>
  <c r="O847" i="24" s="1"/>
  <c r="P843" i="24"/>
  <c r="Q843" i="24"/>
  <c r="R843" i="24"/>
  <c r="R844" i="24" s="1"/>
  <c r="R857" i="24" s="1"/>
  <c r="S843" i="24"/>
  <c r="S856" i="24" s="1"/>
  <c r="A844" i="24"/>
  <c r="A845" i="24"/>
  <c r="A846" i="24"/>
  <c r="C846" i="24"/>
  <c r="F846" i="24"/>
  <c r="H846" i="24"/>
  <c r="H859" i="24" s="1"/>
  <c r="N846" i="24"/>
  <c r="P846" i="24"/>
  <c r="S846" i="24"/>
  <c r="S859" i="24" s="1"/>
  <c r="A847" i="24"/>
  <c r="C847" i="24"/>
  <c r="E847" i="24"/>
  <c r="H847" i="24"/>
  <c r="K847" i="24"/>
  <c r="M847" i="24"/>
  <c r="M860" i="24" s="1"/>
  <c r="S847" i="24"/>
  <c r="A848" i="24"/>
  <c r="A849" i="24"/>
  <c r="A850" i="24"/>
  <c r="A851" i="24"/>
  <c r="B851" i="24"/>
  <c r="D851" i="24"/>
  <c r="F851" i="24"/>
  <c r="H851" i="24"/>
  <c r="J851" i="24"/>
  <c r="L851" i="24"/>
  <c r="N851" i="24"/>
  <c r="P851" i="24"/>
  <c r="R851" i="24"/>
  <c r="S851" i="24"/>
  <c r="A852" i="24"/>
  <c r="C852" i="24"/>
  <c r="E852" i="24"/>
  <c r="G852" i="24"/>
  <c r="I852" i="24"/>
  <c r="K852" i="24"/>
  <c r="M852" i="24"/>
  <c r="O852" i="24"/>
  <c r="Q852" i="24"/>
  <c r="S852" i="24"/>
  <c r="A853" i="24"/>
  <c r="A854" i="24"/>
  <c r="A855" i="24"/>
  <c r="B855" i="24"/>
  <c r="H855" i="24"/>
  <c r="J855" i="24"/>
  <c r="P855" i="24"/>
  <c r="R855" i="24"/>
  <c r="A856" i="24"/>
  <c r="B856" i="24"/>
  <c r="E856" i="24"/>
  <c r="G856" i="24"/>
  <c r="M856" i="24"/>
  <c r="O856" i="24"/>
  <c r="A857" i="24"/>
  <c r="A858" i="24"/>
  <c r="A859" i="24"/>
  <c r="A860" i="24"/>
  <c r="A861" i="24"/>
  <c r="A862" i="24"/>
  <c r="B863" i="24"/>
  <c r="G863" i="24"/>
  <c r="H863" i="24"/>
  <c r="N863" i="24"/>
  <c r="O863" i="24"/>
  <c r="R863" i="24"/>
  <c r="A864" i="24"/>
  <c r="A865" i="24"/>
  <c r="A866" i="24"/>
  <c r="A867" i="24"/>
  <c r="B867" i="24"/>
  <c r="C867" i="24"/>
  <c r="C869" i="24" s="1"/>
  <c r="D867" i="24"/>
  <c r="E867" i="24"/>
  <c r="E869" i="24" s="1"/>
  <c r="F867" i="24"/>
  <c r="G867" i="24"/>
  <c r="G869" i="24" s="1"/>
  <c r="H867" i="24"/>
  <c r="I867" i="24"/>
  <c r="I869" i="24" s="1"/>
  <c r="J867" i="24"/>
  <c r="K867" i="24"/>
  <c r="K869" i="24" s="1"/>
  <c r="L867" i="24"/>
  <c r="M867" i="24"/>
  <c r="M869" i="24" s="1"/>
  <c r="N867" i="24"/>
  <c r="O867" i="24"/>
  <c r="O869" i="24" s="1"/>
  <c r="P867" i="24"/>
  <c r="Q867" i="24"/>
  <c r="Q869" i="24" s="1"/>
  <c r="R867" i="24"/>
  <c r="S867" i="24"/>
  <c r="S869" i="24" s="1"/>
  <c r="A868" i="24"/>
  <c r="B868" i="24"/>
  <c r="C868" i="24"/>
  <c r="D868" i="24"/>
  <c r="D869" i="24" s="1"/>
  <c r="E868" i="24"/>
  <c r="F868" i="24"/>
  <c r="G868" i="24"/>
  <c r="H868" i="24"/>
  <c r="I868" i="24"/>
  <c r="J868" i="24"/>
  <c r="K868" i="24"/>
  <c r="L868" i="24"/>
  <c r="M868" i="24"/>
  <c r="N868" i="24"/>
  <c r="O868" i="24"/>
  <c r="P868" i="24"/>
  <c r="P894" i="24" s="1"/>
  <c r="P974" i="24" s="1"/>
  <c r="Q868" i="24"/>
  <c r="R868" i="24"/>
  <c r="S868" i="24"/>
  <c r="A869" i="24"/>
  <c r="H869" i="24"/>
  <c r="P869" i="24"/>
  <c r="A870" i="24"/>
  <c r="A871" i="24"/>
  <c r="B871" i="24"/>
  <c r="B875" i="24" s="1"/>
  <c r="C871" i="24"/>
  <c r="D871" i="24"/>
  <c r="D875" i="24" s="1"/>
  <c r="E871" i="24"/>
  <c r="E951" i="24" s="1"/>
  <c r="F871" i="24"/>
  <c r="G871" i="24"/>
  <c r="G897" i="24" s="1"/>
  <c r="H871" i="24"/>
  <c r="I871" i="24"/>
  <c r="I897" i="24" s="1"/>
  <c r="I977" i="24" s="1"/>
  <c r="J871" i="24"/>
  <c r="J875" i="24" s="1"/>
  <c r="K871" i="24"/>
  <c r="L871" i="24"/>
  <c r="L875" i="24" s="1"/>
  <c r="M871" i="24"/>
  <c r="N871" i="24"/>
  <c r="O871" i="24"/>
  <c r="O897" i="24" s="1"/>
  <c r="P871" i="24"/>
  <c r="Q871" i="24"/>
  <c r="Q897" i="24" s="1"/>
  <c r="Q977" i="24" s="1"/>
  <c r="R871" i="24"/>
  <c r="R875" i="24" s="1"/>
  <c r="S871" i="24"/>
  <c r="A872" i="24"/>
  <c r="B872" i="24"/>
  <c r="B873" i="24" s="1"/>
  <c r="C872" i="24"/>
  <c r="D872" i="24"/>
  <c r="D898" i="24" s="1"/>
  <c r="E872" i="24"/>
  <c r="F872" i="24"/>
  <c r="F898" i="24" s="1"/>
  <c r="F978" i="24" s="1"/>
  <c r="G872" i="24"/>
  <c r="G876" i="24" s="1"/>
  <c r="H872" i="24"/>
  <c r="I872" i="24"/>
  <c r="J872" i="24"/>
  <c r="J873" i="24" s="1"/>
  <c r="K872" i="24"/>
  <c r="L872" i="24"/>
  <c r="L898" i="24" s="1"/>
  <c r="M872" i="24"/>
  <c r="N872" i="24"/>
  <c r="O872" i="24"/>
  <c r="O876" i="24" s="1"/>
  <c r="P872" i="24"/>
  <c r="Q872" i="24"/>
  <c r="R872" i="24"/>
  <c r="R873" i="24" s="1"/>
  <c r="S872" i="24"/>
  <c r="A873" i="24"/>
  <c r="A874" i="24"/>
  <c r="A875" i="24"/>
  <c r="C875" i="24"/>
  <c r="F875" i="24"/>
  <c r="H875" i="24"/>
  <c r="H955" i="24" s="1"/>
  <c r="N875" i="24"/>
  <c r="P875" i="24"/>
  <c r="S875" i="24"/>
  <c r="A876" i="24"/>
  <c r="C876" i="24"/>
  <c r="E876" i="24"/>
  <c r="H876" i="24"/>
  <c r="K876" i="24"/>
  <c r="M876" i="24"/>
  <c r="S876" i="24"/>
  <c r="A877" i="24"/>
  <c r="A878" i="24"/>
  <c r="A879" i="24"/>
  <c r="A880" i="24"/>
  <c r="B880" i="24"/>
  <c r="C880" i="24"/>
  <c r="C893" i="24" s="1"/>
  <c r="D880" i="24"/>
  <c r="E880" i="24"/>
  <c r="E888" i="24" s="1"/>
  <c r="F880" i="24"/>
  <c r="G880" i="24"/>
  <c r="G893" i="24" s="1"/>
  <c r="H880" i="24"/>
  <c r="I880" i="24"/>
  <c r="J880" i="24"/>
  <c r="K880" i="24"/>
  <c r="K893" i="24" s="1"/>
  <c r="L880" i="24"/>
  <c r="M880" i="24"/>
  <c r="M888" i="24" s="1"/>
  <c r="M968" i="24" s="1"/>
  <c r="N880" i="24"/>
  <c r="O880" i="24"/>
  <c r="O893" i="24" s="1"/>
  <c r="P880" i="24"/>
  <c r="Q880" i="24"/>
  <c r="R880" i="24"/>
  <c r="S880" i="24"/>
  <c r="S893" i="24" s="1"/>
  <c r="A881" i="24"/>
  <c r="B881" i="24"/>
  <c r="C881" i="24"/>
  <c r="D881" i="24"/>
  <c r="D894" i="24" s="1"/>
  <c r="E881" i="24"/>
  <c r="F881" i="24"/>
  <c r="F882" i="24" s="1"/>
  <c r="G881" i="24"/>
  <c r="H881" i="24"/>
  <c r="H894" i="24" s="1"/>
  <c r="I881" i="24"/>
  <c r="J881" i="24"/>
  <c r="K881" i="24"/>
  <c r="L881" i="24"/>
  <c r="L894" i="24" s="1"/>
  <c r="M881" i="24"/>
  <c r="N881" i="24"/>
  <c r="N882" i="24" s="1"/>
  <c r="O881" i="24"/>
  <c r="P881" i="24"/>
  <c r="P889" i="24" s="1"/>
  <c r="Q881" i="24"/>
  <c r="R881" i="24"/>
  <c r="S881" i="24"/>
  <c r="A882" i="24"/>
  <c r="G882" i="24"/>
  <c r="O882" i="24"/>
  <c r="A883" i="24"/>
  <c r="A884" i="24"/>
  <c r="B884" i="24"/>
  <c r="C884" i="24"/>
  <c r="D884" i="24"/>
  <c r="D897" i="24" s="1"/>
  <c r="E884" i="24"/>
  <c r="F884" i="24"/>
  <c r="G884" i="24"/>
  <c r="H884" i="24"/>
  <c r="I884" i="24"/>
  <c r="J884" i="24"/>
  <c r="K884" i="24"/>
  <c r="L884" i="24"/>
  <c r="L897" i="24" s="1"/>
  <c r="M884" i="24"/>
  <c r="N884" i="24"/>
  <c r="O884" i="24"/>
  <c r="P884" i="24"/>
  <c r="Q884" i="24"/>
  <c r="R884" i="24"/>
  <c r="S884" i="24"/>
  <c r="A885" i="24"/>
  <c r="B885" i="24"/>
  <c r="C885" i="24"/>
  <c r="D885" i="24"/>
  <c r="E885" i="24"/>
  <c r="E898" i="24" s="1"/>
  <c r="F885" i="24"/>
  <c r="G885" i="24"/>
  <c r="H885" i="24"/>
  <c r="I885" i="24"/>
  <c r="J885" i="24"/>
  <c r="K885" i="24"/>
  <c r="L885" i="24"/>
  <c r="M885" i="24"/>
  <c r="M886" i="24" s="1"/>
  <c r="N885" i="24"/>
  <c r="O885" i="24"/>
  <c r="P885" i="24"/>
  <c r="Q885" i="24"/>
  <c r="R885" i="24"/>
  <c r="S885" i="24"/>
  <c r="A886" i="24"/>
  <c r="E886" i="24"/>
  <c r="A887" i="24"/>
  <c r="A888" i="24"/>
  <c r="B888" i="24"/>
  <c r="F888" i="24"/>
  <c r="J888" i="24"/>
  <c r="N888" i="24"/>
  <c r="R888" i="24"/>
  <c r="A889" i="24"/>
  <c r="C889" i="24"/>
  <c r="G889" i="24"/>
  <c r="K889" i="24"/>
  <c r="O889" i="24"/>
  <c r="S889" i="24"/>
  <c r="A890" i="24"/>
  <c r="A891" i="24"/>
  <c r="A892" i="24"/>
  <c r="A893" i="24"/>
  <c r="B893" i="24"/>
  <c r="F893" i="24"/>
  <c r="J893" i="24"/>
  <c r="N893" i="24"/>
  <c r="R893" i="24"/>
  <c r="A894" i="24"/>
  <c r="C894" i="24"/>
  <c r="G894" i="24"/>
  <c r="K894" i="24"/>
  <c r="O894" i="24"/>
  <c r="S894" i="24"/>
  <c r="A895" i="24"/>
  <c r="A896" i="24"/>
  <c r="A897" i="24"/>
  <c r="H897" i="24"/>
  <c r="P897" i="24"/>
  <c r="A898" i="24"/>
  <c r="M898" i="24"/>
  <c r="A899" i="24"/>
  <c r="A900" i="24"/>
  <c r="A901" i="24"/>
  <c r="A902" i="24"/>
  <c r="A903" i="24"/>
  <c r="A904" i="24"/>
  <c r="A905" i="24"/>
  <c r="A906" i="24"/>
  <c r="A907" i="24"/>
  <c r="B907" i="24"/>
  <c r="C907" i="24"/>
  <c r="D907" i="24"/>
  <c r="D915" i="24" s="1"/>
  <c r="E907" i="24"/>
  <c r="F907" i="24"/>
  <c r="G907" i="24"/>
  <c r="H907" i="24"/>
  <c r="H915" i="24" s="1"/>
  <c r="I907" i="24"/>
  <c r="J907" i="24"/>
  <c r="J947" i="24" s="1"/>
  <c r="K907" i="24"/>
  <c r="L907" i="24"/>
  <c r="L915" i="24" s="1"/>
  <c r="M907" i="24"/>
  <c r="N907" i="24"/>
  <c r="O907" i="24"/>
  <c r="P907" i="24"/>
  <c r="Q907" i="24"/>
  <c r="R907" i="24"/>
  <c r="S907" i="24"/>
  <c r="A908" i="24"/>
  <c r="B908" i="24"/>
  <c r="C908" i="24"/>
  <c r="C916" i="24" s="1"/>
  <c r="C956" i="24" s="1"/>
  <c r="D908" i="24"/>
  <c r="E908" i="24"/>
  <c r="E909" i="24" s="1"/>
  <c r="F908" i="24"/>
  <c r="G908" i="24"/>
  <c r="H908" i="24"/>
  <c r="I908" i="24"/>
  <c r="I909" i="24" s="1"/>
  <c r="J908" i="24"/>
  <c r="K908" i="24"/>
  <c r="K916" i="24" s="1"/>
  <c r="K956" i="24" s="1"/>
  <c r="L908" i="24"/>
  <c r="M908" i="24"/>
  <c r="M909" i="24" s="1"/>
  <c r="N908" i="24"/>
  <c r="O908" i="24"/>
  <c r="O916" i="24" s="1"/>
  <c r="P908" i="24"/>
  <c r="Q908" i="24"/>
  <c r="Q909" i="24" s="1"/>
  <c r="R908" i="24"/>
  <c r="S908" i="24"/>
  <c r="S916" i="24" s="1"/>
  <c r="S956" i="24" s="1"/>
  <c r="A909" i="24"/>
  <c r="J909" i="24"/>
  <c r="A910" i="24"/>
  <c r="A911" i="24"/>
  <c r="B911" i="24"/>
  <c r="C911" i="24"/>
  <c r="C913" i="24" s="1"/>
  <c r="D911" i="24"/>
  <c r="E911" i="24"/>
  <c r="E913" i="24" s="1"/>
  <c r="F911" i="24"/>
  <c r="G911" i="24"/>
  <c r="G913" i="24" s="1"/>
  <c r="H911" i="24"/>
  <c r="I911" i="24"/>
  <c r="I913" i="24" s="1"/>
  <c r="J911" i="24"/>
  <c r="K911" i="24"/>
  <c r="K913" i="24" s="1"/>
  <c r="L911" i="24"/>
  <c r="M911" i="24"/>
  <c r="M937" i="24" s="1"/>
  <c r="N911" i="24"/>
  <c r="O911" i="24"/>
  <c r="O913" i="24" s="1"/>
  <c r="P911" i="24"/>
  <c r="Q911" i="24"/>
  <c r="Q913" i="24" s="1"/>
  <c r="R911" i="24"/>
  <c r="S911" i="24"/>
  <c r="S913" i="24" s="1"/>
  <c r="A912" i="24"/>
  <c r="B912" i="24"/>
  <c r="C912" i="24"/>
  <c r="D912" i="24"/>
  <c r="D913" i="24" s="1"/>
  <c r="E912" i="24"/>
  <c r="F912" i="24"/>
  <c r="F913" i="24" s="1"/>
  <c r="G912" i="24"/>
  <c r="H912" i="24"/>
  <c r="I912" i="24"/>
  <c r="J912" i="24"/>
  <c r="K912" i="24"/>
  <c r="L912" i="24"/>
  <c r="L913" i="24" s="1"/>
  <c r="M912" i="24"/>
  <c r="N912" i="24"/>
  <c r="N913" i="24" s="1"/>
  <c r="O912" i="24"/>
  <c r="P912" i="24"/>
  <c r="P913" i="24" s="1"/>
  <c r="Q912" i="24"/>
  <c r="R912" i="24"/>
  <c r="S912" i="24"/>
  <c r="A913" i="24"/>
  <c r="H913" i="24"/>
  <c r="A914" i="24"/>
  <c r="A915" i="24"/>
  <c r="E915" i="24"/>
  <c r="E941" i="24" s="1"/>
  <c r="J915" i="24"/>
  <c r="P915" i="24"/>
  <c r="A916" i="24"/>
  <c r="E916" i="24"/>
  <c r="E956" i="24" s="1"/>
  <c r="J916" i="24"/>
  <c r="A917" i="24"/>
  <c r="A918" i="24"/>
  <c r="A919" i="24"/>
  <c r="A920" i="24"/>
  <c r="B920" i="24"/>
  <c r="B922" i="24" s="1"/>
  <c r="C920" i="24"/>
  <c r="D920" i="24"/>
  <c r="E920" i="24"/>
  <c r="E933" i="24" s="1"/>
  <c r="F920" i="24"/>
  <c r="F922" i="24" s="1"/>
  <c r="G920" i="24"/>
  <c r="H920" i="24"/>
  <c r="H922" i="24" s="1"/>
  <c r="I920" i="24"/>
  <c r="I933" i="24" s="1"/>
  <c r="J920" i="24"/>
  <c r="J922" i="24" s="1"/>
  <c r="K920" i="24"/>
  <c r="L920" i="24"/>
  <c r="L922" i="24" s="1"/>
  <c r="M920" i="24"/>
  <c r="M933" i="24" s="1"/>
  <c r="N920" i="24"/>
  <c r="N922" i="24" s="1"/>
  <c r="O920" i="24"/>
  <c r="P920" i="24"/>
  <c r="Q920" i="24"/>
  <c r="Q933" i="24" s="1"/>
  <c r="R920" i="24"/>
  <c r="R922" i="24" s="1"/>
  <c r="S920" i="24"/>
  <c r="A921" i="24"/>
  <c r="B921" i="24"/>
  <c r="B934" i="24" s="1"/>
  <c r="C921" i="24"/>
  <c r="D921" i="24"/>
  <c r="E921" i="24"/>
  <c r="F921" i="24"/>
  <c r="F934" i="24" s="1"/>
  <c r="G921" i="24"/>
  <c r="H921" i="24"/>
  <c r="I921" i="24"/>
  <c r="I922" i="24" s="1"/>
  <c r="J921" i="24"/>
  <c r="J934" i="24" s="1"/>
  <c r="K921" i="24"/>
  <c r="K961" i="24" s="1"/>
  <c r="L921" i="24"/>
  <c r="M921" i="24"/>
  <c r="M922" i="24" s="1"/>
  <c r="N921" i="24"/>
  <c r="N934" i="24" s="1"/>
  <c r="O921" i="24"/>
  <c r="P921" i="24"/>
  <c r="Q921" i="24"/>
  <c r="Q922" i="24" s="1"/>
  <c r="R921" i="24"/>
  <c r="R934" i="24" s="1"/>
  <c r="S921" i="24"/>
  <c r="A922" i="24"/>
  <c r="D922" i="24"/>
  <c r="A923" i="24"/>
  <c r="A924" i="24"/>
  <c r="B924" i="24"/>
  <c r="B937" i="24" s="1"/>
  <c r="C924" i="24"/>
  <c r="D924" i="24"/>
  <c r="D926" i="24" s="1"/>
  <c r="D939" i="24" s="1"/>
  <c r="E924" i="24"/>
  <c r="F924" i="24"/>
  <c r="G924" i="24"/>
  <c r="H924" i="24"/>
  <c r="H926" i="24" s="1"/>
  <c r="I924" i="24"/>
  <c r="I928" i="24" s="1"/>
  <c r="J924" i="24"/>
  <c r="J937" i="24" s="1"/>
  <c r="K924" i="24"/>
  <c r="L924" i="24"/>
  <c r="L926" i="24" s="1"/>
  <c r="L939" i="24" s="1"/>
  <c r="M924" i="24"/>
  <c r="N924" i="24"/>
  <c r="O924" i="24"/>
  <c r="P924" i="24"/>
  <c r="P926" i="24" s="1"/>
  <c r="Q924" i="24"/>
  <c r="R924" i="24"/>
  <c r="R937" i="24" s="1"/>
  <c r="S924" i="24"/>
  <c r="A925" i="24"/>
  <c r="B925" i="24"/>
  <c r="B929" i="24" s="1"/>
  <c r="C925" i="24"/>
  <c r="C926" i="24" s="1"/>
  <c r="D925" i="24"/>
  <c r="E925" i="24"/>
  <c r="E938" i="24" s="1"/>
  <c r="F925" i="24"/>
  <c r="G925" i="24"/>
  <c r="G926" i="24" s="1"/>
  <c r="H925" i="24"/>
  <c r="I925" i="24"/>
  <c r="I938" i="24" s="1"/>
  <c r="J925" i="24"/>
  <c r="K925" i="24"/>
  <c r="K926" i="24" s="1"/>
  <c r="L925" i="24"/>
  <c r="M925" i="24"/>
  <c r="M938" i="24" s="1"/>
  <c r="M978" i="24" s="1"/>
  <c r="N925" i="24"/>
  <c r="O925" i="24"/>
  <c r="O926" i="24" s="1"/>
  <c r="P925" i="24"/>
  <c r="Q925" i="24"/>
  <c r="Q938" i="24" s="1"/>
  <c r="R925" i="24"/>
  <c r="S925" i="24"/>
  <c r="S926" i="24" s="1"/>
  <c r="A926" i="24"/>
  <c r="B926" i="24"/>
  <c r="J926" i="24"/>
  <c r="R926" i="24"/>
  <c r="A927" i="24"/>
  <c r="A928" i="24"/>
  <c r="C928" i="24"/>
  <c r="E928" i="24"/>
  <c r="G928" i="24"/>
  <c r="H928" i="24"/>
  <c r="H941" i="24" s="1"/>
  <c r="K928" i="24"/>
  <c r="M928" i="24"/>
  <c r="O928" i="24"/>
  <c r="Q928" i="24"/>
  <c r="S928" i="24"/>
  <c r="A929" i="24"/>
  <c r="D929" i="24"/>
  <c r="F929" i="24"/>
  <c r="H929" i="24"/>
  <c r="J929" i="24"/>
  <c r="J942" i="24" s="1"/>
  <c r="L929" i="24"/>
  <c r="M929" i="24"/>
  <c r="N929" i="24"/>
  <c r="P929" i="24"/>
  <c r="R929" i="24"/>
  <c r="A930" i="24"/>
  <c r="A931" i="24"/>
  <c r="A932" i="24"/>
  <c r="A933" i="24"/>
  <c r="C933" i="24"/>
  <c r="G933" i="24"/>
  <c r="K933" i="24"/>
  <c r="O933" i="24"/>
  <c r="S933" i="24"/>
  <c r="A934" i="24"/>
  <c r="D934" i="24"/>
  <c r="H934" i="24"/>
  <c r="L934" i="24"/>
  <c r="P934" i="24"/>
  <c r="A935" i="24"/>
  <c r="A936" i="24"/>
  <c r="A937" i="24"/>
  <c r="E937" i="24"/>
  <c r="I937" i="24"/>
  <c r="Q937" i="24"/>
  <c r="A938" i="24"/>
  <c r="F938" i="24"/>
  <c r="A939" i="24"/>
  <c r="A940" i="24"/>
  <c r="A941" i="24"/>
  <c r="A942" i="24"/>
  <c r="A943" i="24"/>
  <c r="A944" i="24"/>
  <c r="A945" i="24"/>
  <c r="A946" i="24"/>
  <c r="A947" i="24"/>
  <c r="C947" i="24"/>
  <c r="D947" i="24"/>
  <c r="F947" i="24"/>
  <c r="G947" i="24"/>
  <c r="H947" i="24"/>
  <c r="K947" i="24"/>
  <c r="L947" i="24"/>
  <c r="N947" i="24"/>
  <c r="O947" i="24"/>
  <c r="P947" i="24"/>
  <c r="S947" i="24"/>
  <c r="A948" i="24"/>
  <c r="C948" i="24"/>
  <c r="D948" i="24"/>
  <c r="E948" i="24"/>
  <c r="H948" i="24"/>
  <c r="I948" i="24"/>
  <c r="K948" i="24"/>
  <c r="L948" i="24"/>
  <c r="M948" i="24"/>
  <c r="O948" i="24"/>
  <c r="P948" i="24"/>
  <c r="Q948" i="24"/>
  <c r="S948" i="24"/>
  <c r="A949" i="24"/>
  <c r="A950" i="24"/>
  <c r="A951" i="24"/>
  <c r="B951" i="24"/>
  <c r="D951" i="24"/>
  <c r="F951" i="24"/>
  <c r="H951" i="24"/>
  <c r="J951" i="24"/>
  <c r="L951" i="24"/>
  <c r="M951" i="24"/>
  <c r="N951" i="24"/>
  <c r="P951" i="24"/>
  <c r="R951" i="24"/>
  <c r="A952" i="24"/>
  <c r="C952" i="24"/>
  <c r="E952" i="24"/>
  <c r="G952" i="24"/>
  <c r="I952" i="24"/>
  <c r="J952" i="24"/>
  <c r="K952" i="24"/>
  <c r="M952" i="24"/>
  <c r="O952" i="24"/>
  <c r="Q952" i="24"/>
  <c r="S952" i="24"/>
  <c r="A953" i="24"/>
  <c r="A954" i="24"/>
  <c r="A955" i="24"/>
  <c r="P955" i="24"/>
  <c r="A956" i="24"/>
  <c r="A957" i="24"/>
  <c r="A958" i="24"/>
  <c r="A959" i="24"/>
  <c r="A960" i="24"/>
  <c r="B960" i="24"/>
  <c r="C960" i="24"/>
  <c r="E960" i="24"/>
  <c r="F960" i="24"/>
  <c r="G960" i="24"/>
  <c r="I960" i="24"/>
  <c r="K960" i="24"/>
  <c r="M960" i="24"/>
  <c r="N960" i="24"/>
  <c r="O960" i="24"/>
  <c r="Q960" i="24"/>
  <c r="R960" i="24"/>
  <c r="S960" i="24"/>
  <c r="A961" i="24"/>
  <c r="B961" i="24"/>
  <c r="C961" i="24"/>
  <c r="D961" i="24"/>
  <c r="F961" i="24"/>
  <c r="G961" i="24"/>
  <c r="H961" i="24"/>
  <c r="J961" i="24"/>
  <c r="L961" i="24"/>
  <c r="N961" i="24"/>
  <c r="O961" i="24"/>
  <c r="P961" i="24"/>
  <c r="R961" i="24"/>
  <c r="S961" i="24"/>
  <c r="A962" i="24"/>
  <c r="A963" i="24"/>
  <c r="A964" i="24"/>
  <c r="C964" i="24"/>
  <c r="D964" i="24"/>
  <c r="E964" i="24"/>
  <c r="G964" i="24"/>
  <c r="H964" i="24"/>
  <c r="I964" i="24"/>
  <c r="K964" i="24"/>
  <c r="L964" i="24"/>
  <c r="M964" i="24"/>
  <c r="O964" i="24"/>
  <c r="Q964" i="24"/>
  <c r="S964" i="24"/>
  <c r="A965" i="24"/>
  <c r="B965" i="24"/>
  <c r="D965" i="24"/>
  <c r="E965" i="24"/>
  <c r="F965" i="24"/>
  <c r="H965" i="24"/>
  <c r="I965" i="24"/>
  <c r="J965" i="24"/>
  <c r="L965" i="24"/>
  <c r="N965" i="24"/>
  <c r="P965" i="24"/>
  <c r="Q965" i="24"/>
  <c r="R965" i="24"/>
  <c r="A966" i="24"/>
  <c r="A967" i="24"/>
  <c r="A968" i="24"/>
  <c r="A969" i="24"/>
  <c r="A970" i="24"/>
  <c r="A971" i="24"/>
  <c r="A972" i="24"/>
  <c r="A973" i="24"/>
  <c r="A974" i="24"/>
  <c r="A975" i="24"/>
  <c r="A976" i="24"/>
  <c r="A977" i="24"/>
  <c r="A978" i="24"/>
  <c r="A979" i="24"/>
  <c r="A980" i="24"/>
  <c r="A981" i="24"/>
  <c r="A982" i="24"/>
  <c r="A983" i="24"/>
  <c r="A984" i="24"/>
  <c r="B985" i="24"/>
  <c r="G985" i="24"/>
  <c r="H985" i="24"/>
  <c r="N985" i="24"/>
  <c r="O985" i="24"/>
  <c r="R985" i="24"/>
  <c r="A986" i="24"/>
  <c r="A987" i="24"/>
  <c r="B987" i="24"/>
  <c r="B989" i="24" s="1"/>
  <c r="C987" i="24"/>
  <c r="C995" i="24" s="1"/>
  <c r="D987" i="24"/>
  <c r="E987" i="24"/>
  <c r="F987" i="24"/>
  <c r="G987" i="24"/>
  <c r="G995" i="24" s="1"/>
  <c r="H987" i="24"/>
  <c r="I987" i="24"/>
  <c r="J987" i="24"/>
  <c r="K987" i="24"/>
  <c r="K995" i="24" s="1"/>
  <c r="L987" i="24"/>
  <c r="M987" i="24"/>
  <c r="N987" i="24"/>
  <c r="O987" i="24"/>
  <c r="P987" i="24"/>
  <c r="Q987" i="24"/>
  <c r="R987" i="24"/>
  <c r="R989" i="24" s="1"/>
  <c r="S987" i="24"/>
  <c r="S995" i="24" s="1"/>
  <c r="A988" i="24"/>
  <c r="B988" i="24"/>
  <c r="C988" i="24"/>
  <c r="D988" i="24"/>
  <c r="D996" i="24" s="1"/>
  <c r="E988" i="24"/>
  <c r="F988" i="24"/>
  <c r="G988" i="24"/>
  <c r="H988" i="24"/>
  <c r="H996" i="24" s="1"/>
  <c r="I988" i="24"/>
  <c r="J988" i="24"/>
  <c r="K988" i="24"/>
  <c r="L988" i="24"/>
  <c r="M988" i="24"/>
  <c r="N988" i="24"/>
  <c r="O988" i="24"/>
  <c r="P988" i="24"/>
  <c r="P996" i="24" s="1"/>
  <c r="Q988" i="24"/>
  <c r="R988" i="24"/>
  <c r="S988" i="24"/>
  <c r="A989" i="24"/>
  <c r="J989" i="24"/>
  <c r="N989" i="24"/>
  <c r="A990" i="24"/>
  <c r="A991" i="24"/>
  <c r="B991" i="24"/>
  <c r="B993" i="24" s="1"/>
  <c r="C991" i="24"/>
  <c r="D991" i="24"/>
  <c r="E991" i="24"/>
  <c r="E995" i="24" s="1"/>
  <c r="F991" i="24"/>
  <c r="F993" i="24" s="1"/>
  <c r="G991" i="24"/>
  <c r="H991" i="24"/>
  <c r="I991" i="24"/>
  <c r="J991" i="24"/>
  <c r="J993" i="24" s="1"/>
  <c r="K991" i="24"/>
  <c r="L991" i="24"/>
  <c r="M991" i="24"/>
  <c r="N991" i="24"/>
  <c r="N993" i="24" s="1"/>
  <c r="O991" i="24"/>
  <c r="P991" i="24"/>
  <c r="Q991" i="24"/>
  <c r="Q995" i="24" s="1"/>
  <c r="R991" i="24"/>
  <c r="R993" i="24" s="1"/>
  <c r="S991" i="24"/>
  <c r="A992" i="24"/>
  <c r="B992" i="24"/>
  <c r="B996" i="24" s="1"/>
  <c r="C992" i="24"/>
  <c r="D992" i="24"/>
  <c r="D993" i="24" s="1"/>
  <c r="E992" i="24"/>
  <c r="F992" i="24"/>
  <c r="G992" i="24"/>
  <c r="H992" i="24"/>
  <c r="I992" i="24"/>
  <c r="J992" i="24"/>
  <c r="J996" i="24" s="1"/>
  <c r="K992" i="24"/>
  <c r="K996" i="24" s="1"/>
  <c r="L992" i="24"/>
  <c r="M992" i="24"/>
  <c r="N992" i="24"/>
  <c r="N996" i="24" s="1"/>
  <c r="O992" i="24"/>
  <c r="P992" i="24"/>
  <c r="Q992" i="24"/>
  <c r="R992" i="24"/>
  <c r="S992" i="24"/>
  <c r="A993" i="24"/>
  <c r="H993" i="24"/>
  <c r="L993" i="24"/>
  <c r="P993" i="24"/>
  <c r="A994" i="24"/>
  <c r="A995" i="24"/>
  <c r="B995" i="24"/>
  <c r="I995" i="24"/>
  <c r="M995" i="24"/>
  <c r="O995" i="24"/>
  <c r="A996" i="24"/>
  <c r="F996" i="24"/>
  <c r="L996" i="24"/>
  <c r="R996" i="24"/>
  <c r="S996" i="24"/>
  <c r="A997" i="24"/>
  <c r="A998" i="24"/>
  <c r="B999" i="24"/>
  <c r="G999" i="24"/>
  <c r="H999" i="24"/>
  <c r="N999" i="24"/>
  <c r="O999" i="24"/>
  <c r="R999" i="24"/>
  <c r="A1000" i="24"/>
  <c r="A1001" i="24"/>
  <c r="B1001" i="24"/>
  <c r="C1001" i="24"/>
  <c r="D1001" i="24"/>
  <c r="E1001" i="24"/>
  <c r="E1003" i="24" s="1"/>
  <c r="F1001" i="24"/>
  <c r="G1001" i="24"/>
  <c r="H1001" i="24"/>
  <c r="I1001" i="24"/>
  <c r="I1003" i="24" s="1"/>
  <c r="J1001" i="24"/>
  <c r="K1001" i="24"/>
  <c r="L1001" i="24"/>
  <c r="L1003" i="24" s="1"/>
  <c r="M1001" i="24"/>
  <c r="M1003" i="24" s="1"/>
  <c r="N1001" i="24"/>
  <c r="N1009" i="24" s="1"/>
  <c r="O1001" i="24"/>
  <c r="P1001" i="24"/>
  <c r="P1003" i="24" s="1"/>
  <c r="Q1001" i="24"/>
  <c r="Q1003" i="24" s="1"/>
  <c r="R1001" i="24"/>
  <c r="S1001" i="24"/>
  <c r="A1002" i="24"/>
  <c r="B1002" i="24"/>
  <c r="C1002" i="24"/>
  <c r="C1010" i="24" s="1"/>
  <c r="D1002" i="24"/>
  <c r="E1002" i="24"/>
  <c r="F1002" i="24"/>
  <c r="G1002" i="24"/>
  <c r="H1002" i="24"/>
  <c r="I1002" i="24"/>
  <c r="J1002" i="24"/>
  <c r="K1002" i="24"/>
  <c r="L1002" i="24"/>
  <c r="M1002" i="24"/>
  <c r="M1010" i="24" s="1"/>
  <c r="N1002" i="24"/>
  <c r="O1002" i="24"/>
  <c r="P1002" i="24"/>
  <c r="Q1002" i="24"/>
  <c r="R1002" i="24"/>
  <c r="S1002" i="24"/>
  <c r="A1003" i="24"/>
  <c r="D1003" i="24"/>
  <c r="H1003" i="24"/>
  <c r="A1004" i="24"/>
  <c r="A1005" i="24"/>
  <c r="B1005" i="24"/>
  <c r="B1009" i="24" s="1"/>
  <c r="C1005" i="24"/>
  <c r="D1005" i="24"/>
  <c r="D1009" i="24" s="1"/>
  <c r="E1005" i="24"/>
  <c r="F1005" i="24"/>
  <c r="G1005" i="24"/>
  <c r="H1005" i="24"/>
  <c r="I1005" i="24"/>
  <c r="J1005" i="24"/>
  <c r="J1009" i="24" s="1"/>
  <c r="K1005" i="24"/>
  <c r="L1005" i="24"/>
  <c r="L1009" i="24" s="1"/>
  <c r="M1005" i="24"/>
  <c r="N1005" i="24"/>
  <c r="N1007" i="24" s="1"/>
  <c r="O1005" i="24"/>
  <c r="P1005" i="24"/>
  <c r="Q1005" i="24"/>
  <c r="R1005" i="24"/>
  <c r="R1009" i="24" s="1"/>
  <c r="S1005" i="24"/>
  <c r="A1006" i="24"/>
  <c r="B1006" i="24"/>
  <c r="B1007" i="24" s="1"/>
  <c r="C1006" i="24"/>
  <c r="D1006" i="24"/>
  <c r="E1006" i="24"/>
  <c r="F1006" i="24"/>
  <c r="G1006" i="24"/>
  <c r="G1010" i="24" s="1"/>
  <c r="H1006" i="24"/>
  <c r="I1006" i="24"/>
  <c r="J1006" i="24"/>
  <c r="J1007" i="24" s="1"/>
  <c r="K1006" i="24"/>
  <c r="L1006" i="24"/>
  <c r="M1006" i="24"/>
  <c r="N1006" i="24"/>
  <c r="O1006" i="24"/>
  <c r="O1010" i="24" s="1"/>
  <c r="P1006" i="24"/>
  <c r="Q1006" i="24"/>
  <c r="R1006" i="24"/>
  <c r="R1007" i="24" s="1"/>
  <c r="S1006" i="24"/>
  <c r="A1007" i="24"/>
  <c r="F1007" i="24"/>
  <c r="A1008" i="24"/>
  <c r="A1009" i="24"/>
  <c r="C1009" i="24"/>
  <c r="F1009" i="24"/>
  <c r="H1009" i="24"/>
  <c r="K1009" i="24"/>
  <c r="P1009" i="24"/>
  <c r="S1009" i="24"/>
  <c r="A1010" i="24"/>
  <c r="E1010" i="24"/>
  <c r="H1010" i="24"/>
  <c r="K1010" i="24"/>
  <c r="P1010" i="24"/>
  <c r="S1010" i="24"/>
  <c r="A1011" i="24"/>
  <c r="A1012" i="24"/>
  <c r="B1013" i="24"/>
  <c r="C1013" i="24"/>
  <c r="D1013" i="24"/>
  <c r="A1014" i="24"/>
  <c r="B1014" i="24"/>
  <c r="C1014" i="24"/>
  <c r="C1016" i="24" s="1"/>
  <c r="A1015" i="24"/>
  <c r="B1015" i="24"/>
  <c r="C1015" i="24"/>
  <c r="A1016" i="24"/>
  <c r="A1017" i="24"/>
  <c r="B1018" i="24"/>
  <c r="G1018" i="24"/>
  <c r="H1018" i="24"/>
  <c r="N1018" i="24"/>
  <c r="O1018" i="24"/>
  <c r="R1018" i="24"/>
  <c r="A1019" i="24"/>
  <c r="A1020" i="24"/>
  <c r="B1020" i="24"/>
  <c r="C1020" i="24"/>
  <c r="D1020" i="24"/>
  <c r="E1020" i="24"/>
  <c r="E1028" i="24" s="1"/>
  <c r="F1020" i="24"/>
  <c r="G1020" i="24"/>
  <c r="H1020" i="24"/>
  <c r="I1020" i="24"/>
  <c r="I1028" i="24" s="1"/>
  <c r="J1020" i="24"/>
  <c r="K1020" i="24"/>
  <c r="L1020" i="24"/>
  <c r="M1020" i="24"/>
  <c r="N1020" i="24"/>
  <c r="O1020" i="24"/>
  <c r="P1020" i="24"/>
  <c r="P1022" i="24" s="1"/>
  <c r="Q1020" i="24"/>
  <c r="Q1028" i="24" s="1"/>
  <c r="R1020" i="24"/>
  <c r="S1020" i="24"/>
  <c r="A1021" i="24"/>
  <c r="B1021" i="24"/>
  <c r="B1029" i="24" s="1"/>
  <c r="C1021" i="24"/>
  <c r="D1021" i="24"/>
  <c r="E1021" i="24"/>
  <c r="F1021" i="24"/>
  <c r="F1029" i="24" s="1"/>
  <c r="G1021" i="24"/>
  <c r="H1021" i="24"/>
  <c r="I1021" i="24"/>
  <c r="J1021" i="24"/>
  <c r="J1029" i="24" s="1"/>
  <c r="K1021" i="24"/>
  <c r="L1021" i="24"/>
  <c r="M1021" i="24"/>
  <c r="N1021" i="24"/>
  <c r="N1029" i="24" s="1"/>
  <c r="O1021" i="24"/>
  <c r="P1021" i="24"/>
  <c r="Q1021" i="24"/>
  <c r="R1021" i="24"/>
  <c r="S1021" i="24"/>
  <c r="A1022" i="24"/>
  <c r="D1022" i="24"/>
  <c r="H1022" i="24"/>
  <c r="L1022" i="24"/>
  <c r="A1023" i="24"/>
  <c r="A1024" i="24"/>
  <c r="B1024" i="24"/>
  <c r="C1024" i="24"/>
  <c r="D1024" i="24"/>
  <c r="D1026" i="24" s="1"/>
  <c r="E1024" i="24"/>
  <c r="F1024" i="24"/>
  <c r="G1024" i="24"/>
  <c r="H1024" i="24"/>
  <c r="H1026" i="24" s="1"/>
  <c r="I1024" i="24"/>
  <c r="J1024" i="24"/>
  <c r="K1024" i="24"/>
  <c r="L1024" i="24"/>
  <c r="L1026" i="24" s="1"/>
  <c r="M1024" i="24"/>
  <c r="N1024" i="24"/>
  <c r="N1026" i="24" s="1"/>
  <c r="O1024" i="24"/>
  <c r="P1024" i="24"/>
  <c r="P1026" i="24" s="1"/>
  <c r="Q1024" i="24"/>
  <c r="R1024" i="24"/>
  <c r="S1024" i="24"/>
  <c r="A1025" i="24"/>
  <c r="B1025" i="24"/>
  <c r="B1026" i="24" s="1"/>
  <c r="C1025" i="24"/>
  <c r="C1026" i="24" s="1"/>
  <c r="D1025" i="24"/>
  <c r="E1025" i="24"/>
  <c r="F1025" i="24"/>
  <c r="G1025" i="24"/>
  <c r="G1026" i="24" s="1"/>
  <c r="H1025" i="24"/>
  <c r="I1025" i="24"/>
  <c r="J1025" i="24"/>
  <c r="J1026" i="24" s="1"/>
  <c r="K1025" i="24"/>
  <c r="K1026" i="24" s="1"/>
  <c r="L1025" i="24"/>
  <c r="M1025" i="24"/>
  <c r="N1025" i="24"/>
  <c r="O1025" i="24"/>
  <c r="O1026" i="24" s="1"/>
  <c r="P1025" i="24"/>
  <c r="Q1025" i="24"/>
  <c r="R1025" i="24"/>
  <c r="R1026" i="24" s="1"/>
  <c r="S1025" i="24"/>
  <c r="S1026" i="24" s="1"/>
  <c r="A1026" i="24"/>
  <c r="F1026" i="24"/>
  <c r="A1027" i="24"/>
  <c r="A1028" i="24"/>
  <c r="C1028" i="24"/>
  <c r="G1028" i="24"/>
  <c r="H1028" i="24"/>
  <c r="K1028" i="24"/>
  <c r="M1028" i="24"/>
  <c r="O1028" i="24"/>
  <c r="S1028" i="24"/>
  <c r="A1029" i="24"/>
  <c r="D1029" i="24"/>
  <c r="E1029" i="24"/>
  <c r="H1029" i="24"/>
  <c r="L1029" i="24"/>
  <c r="M1029" i="24"/>
  <c r="P1029" i="24"/>
  <c r="R1029" i="24"/>
  <c r="A1030" i="24"/>
  <c r="A1031" i="24"/>
  <c r="B1032" i="24"/>
  <c r="G1032" i="24"/>
  <c r="H1032" i="24"/>
  <c r="N1032" i="24"/>
  <c r="O1032" i="24"/>
  <c r="R1032" i="24"/>
  <c r="A1033" i="24"/>
  <c r="B1033" i="24"/>
  <c r="B1035" i="24" s="1"/>
  <c r="C1033" i="24"/>
  <c r="D1033" i="24"/>
  <c r="E1033" i="24"/>
  <c r="F1033" i="24"/>
  <c r="F1035" i="24" s="1"/>
  <c r="G1033" i="24"/>
  <c r="H1033" i="24"/>
  <c r="I1033" i="24"/>
  <c r="J1033" i="24"/>
  <c r="K1033" i="24"/>
  <c r="L1033" i="24"/>
  <c r="M1033" i="24"/>
  <c r="N1033" i="24"/>
  <c r="N1035" i="24" s="1"/>
  <c r="O1033" i="24"/>
  <c r="P1033" i="24"/>
  <c r="Q1033" i="24"/>
  <c r="R1033" i="24"/>
  <c r="R1035" i="24" s="1"/>
  <c r="S1033" i="24"/>
  <c r="A1034" i="24"/>
  <c r="B1034" i="24"/>
  <c r="C1034" i="24"/>
  <c r="C1035" i="24" s="1"/>
  <c r="D1034" i="24"/>
  <c r="E1034" i="24"/>
  <c r="F1034" i="24"/>
  <c r="G1034" i="24"/>
  <c r="G1035" i="24" s="1"/>
  <c r="H1034" i="24"/>
  <c r="I1034" i="24"/>
  <c r="J1034" i="24"/>
  <c r="K1034" i="24"/>
  <c r="K1035" i="24" s="1"/>
  <c r="L1034" i="24"/>
  <c r="M1034" i="24"/>
  <c r="N1034" i="24"/>
  <c r="O1034" i="24"/>
  <c r="O1035" i="24" s="1"/>
  <c r="P1034" i="24"/>
  <c r="Q1034" i="24"/>
  <c r="R1034" i="24"/>
  <c r="S1034" i="24"/>
  <c r="S1035" i="24" s="1"/>
  <c r="A1035" i="24"/>
  <c r="J1035" i="24"/>
  <c r="A1036" i="24"/>
  <c r="B1037" i="24"/>
  <c r="C1037" i="24"/>
  <c r="D1037" i="24"/>
  <c r="A1038" i="24"/>
  <c r="B1038" i="24"/>
  <c r="C1038" i="24"/>
  <c r="C1040" i="24" s="1"/>
  <c r="A1039" i="24"/>
  <c r="B1039" i="24"/>
  <c r="C1039" i="24"/>
  <c r="A1040" i="24"/>
  <c r="A1041" i="24"/>
  <c r="B1042" i="24"/>
  <c r="G1042" i="24"/>
  <c r="H1042" i="24"/>
  <c r="N1042" i="24"/>
  <c r="O1042" i="24"/>
  <c r="R1042" i="24"/>
  <c r="A1043" i="24"/>
  <c r="B1043" i="24"/>
  <c r="C1043" i="24"/>
  <c r="D1043" i="24"/>
  <c r="E1043" i="24"/>
  <c r="F1043" i="24"/>
  <c r="G1043" i="24"/>
  <c r="H1043" i="24"/>
  <c r="I1043" i="24"/>
  <c r="J1043" i="24"/>
  <c r="K1043" i="24"/>
  <c r="L1043" i="24"/>
  <c r="M1043" i="24"/>
  <c r="N1043" i="24"/>
  <c r="O1043" i="24"/>
  <c r="P1043" i="24"/>
  <c r="Q1043" i="24"/>
  <c r="R1043" i="24"/>
  <c r="S1043" i="24"/>
  <c r="A1044" i="24"/>
  <c r="B1044" i="24"/>
  <c r="B1045" i="24" s="1"/>
  <c r="C1044" i="24"/>
  <c r="D1044" i="24"/>
  <c r="E1044" i="24"/>
  <c r="F1044" i="24"/>
  <c r="F1045" i="24" s="1"/>
  <c r="G1044" i="24"/>
  <c r="H1044" i="24"/>
  <c r="I1044" i="24"/>
  <c r="J1044" i="24"/>
  <c r="J1045" i="24" s="1"/>
  <c r="K1044" i="24"/>
  <c r="L1044" i="24"/>
  <c r="M1044" i="24"/>
  <c r="N1044" i="24"/>
  <c r="N1045" i="24" s="1"/>
  <c r="O1044" i="24"/>
  <c r="O1045" i="24" s="1"/>
  <c r="P1044" i="24"/>
  <c r="Q1044" i="24"/>
  <c r="R1044" i="24"/>
  <c r="R1045" i="24" s="1"/>
  <c r="S1044" i="24"/>
  <c r="A1045" i="24"/>
  <c r="C1045" i="24"/>
  <c r="G1045" i="24"/>
  <c r="K1045" i="24"/>
  <c r="S1045" i="24"/>
  <c r="A1046" i="24"/>
  <c r="B1047" i="24"/>
  <c r="G1047" i="24"/>
  <c r="H1047" i="24"/>
  <c r="N1047" i="24"/>
  <c r="O1047" i="24"/>
  <c r="R1047" i="24"/>
  <c r="A1048" i="24"/>
  <c r="A1049" i="24"/>
  <c r="B1049" i="24"/>
  <c r="C1049" i="24"/>
  <c r="D1049" i="24"/>
  <c r="D1057" i="24" s="1"/>
  <c r="E1049" i="24"/>
  <c r="F1049" i="24"/>
  <c r="G1049" i="24"/>
  <c r="H1049" i="24"/>
  <c r="I1049" i="24"/>
  <c r="J1049" i="24"/>
  <c r="K1049" i="24"/>
  <c r="L1049" i="24"/>
  <c r="L1057" i="24" s="1"/>
  <c r="M1049" i="24"/>
  <c r="N1049" i="24"/>
  <c r="O1049" i="24"/>
  <c r="P1049" i="24"/>
  <c r="Q1049" i="24"/>
  <c r="R1049" i="24"/>
  <c r="S1049" i="24"/>
  <c r="A1050" i="24"/>
  <c r="B1050" i="24"/>
  <c r="C1050" i="24"/>
  <c r="D1050" i="24"/>
  <c r="E1050" i="24"/>
  <c r="E1051" i="24" s="1"/>
  <c r="F1050" i="24"/>
  <c r="G1050" i="24"/>
  <c r="G1058" i="24" s="1"/>
  <c r="H1050" i="24"/>
  <c r="I1050" i="24"/>
  <c r="I1051" i="24" s="1"/>
  <c r="J1050" i="24"/>
  <c r="K1050" i="24"/>
  <c r="L1050" i="24"/>
  <c r="M1050" i="24"/>
  <c r="M1051" i="24" s="1"/>
  <c r="N1050" i="24"/>
  <c r="O1050" i="24"/>
  <c r="P1050" i="24"/>
  <c r="Q1050" i="24"/>
  <c r="Q1051" i="24" s="1"/>
  <c r="R1050" i="24"/>
  <c r="S1050" i="24"/>
  <c r="A1051" i="24"/>
  <c r="B1051" i="24"/>
  <c r="J1051" i="24"/>
  <c r="N1051" i="24"/>
  <c r="R1051" i="24"/>
  <c r="A1052" i="24"/>
  <c r="A1053" i="24"/>
  <c r="B1053" i="24"/>
  <c r="C1053" i="24"/>
  <c r="D1053" i="24"/>
  <c r="E1053" i="24"/>
  <c r="E1055" i="24" s="1"/>
  <c r="F1053" i="24"/>
  <c r="G1053" i="24"/>
  <c r="H1053" i="24"/>
  <c r="I1053" i="24"/>
  <c r="I1055" i="24" s="1"/>
  <c r="J1053" i="24"/>
  <c r="J1057" i="24" s="1"/>
  <c r="K1053" i="24"/>
  <c r="L1053" i="24"/>
  <c r="M1053" i="24"/>
  <c r="M1055" i="24" s="1"/>
  <c r="N1053" i="24"/>
  <c r="O1053" i="24"/>
  <c r="P1053" i="24"/>
  <c r="Q1053" i="24"/>
  <c r="Q1055" i="24" s="1"/>
  <c r="R1053" i="24"/>
  <c r="R1057" i="24" s="1"/>
  <c r="S1053" i="24"/>
  <c r="A1054" i="24"/>
  <c r="B1054" i="24"/>
  <c r="C1054" i="24"/>
  <c r="D1054" i="24"/>
  <c r="D1055" i="24" s="1"/>
  <c r="E1054" i="24"/>
  <c r="F1054" i="24"/>
  <c r="G1054" i="24"/>
  <c r="H1054" i="24"/>
  <c r="H1055" i="24" s="1"/>
  <c r="I1054" i="24"/>
  <c r="J1054" i="24"/>
  <c r="K1054" i="24"/>
  <c r="L1054" i="24"/>
  <c r="M1054" i="24"/>
  <c r="N1054" i="24"/>
  <c r="O1054" i="24"/>
  <c r="O1058" i="24" s="1"/>
  <c r="P1054" i="24"/>
  <c r="Q1054" i="24"/>
  <c r="R1054" i="24"/>
  <c r="S1054" i="24"/>
  <c r="A1055" i="24"/>
  <c r="L1055" i="24"/>
  <c r="P1055" i="24"/>
  <c r="A1056" i="24"/>
  <c r="A1057" i="24"/>
  <c r="B1057" i="24"/>
  <c r="E1057" i="24"/>
  <c r="H1057" i="24"/>
  <c r="M1057" i="24"/>
  <c r="P1057" i="24"/>
  <c r="A1058" i="24"/>
  <c r="B1058" i="24"/>
  <c r="E1058" i="24"/>
  <c r="J1058" i="24"/>
  <c r="M1058" i="24"/>
  <c r="A1059" i="24"/>
  <c r="A1060" i="24"/>
  <c r="B1061" i="24"/>
  <c r="C1061" i="24"/>
  <c r="D1061" i="24"/>
  <c r="A1062" i="24"/>
  <c r="B1062" i="24"/>
  <c r="C1062" i="24"/>
  <c r="A1063" i="24"/>
  <c r="B1063" i="24"/>
  <c r="C1063" i="24"/>
  <c r="A1064" i="24"/>
  <c r="A1065" i="24"/>
  <c r="B1066" i="24"/>
  <c r="G1066" i="24"/>
  <c r="H1066" i="24"/>
  <c r="N1066" i="24"/>
  <c r="O1066" i="24"/>
  <c r="R1066" i="24"/>
  <c r="A1067" i="24"/>
  <c r="A1068" i="24"/>
  <c r="A1069" i="24"/>
  <c r="A1070" i="24"/>
  <c r="A1071" i="24"/>
  <c r="A1072" i="24"/>
  <c r="A1073" i="24"/>
  <c r="A1074" i="24"/>
  <c r="A1075" i="24"/>
  <c r="A1076" i="24"/>
  <c r="A1077" i="24"/>
  <c r="A1078" i="24"/>
  <c r="A1079" i="24"/>
  <c r="B1080" i="24"/>
  <c r="G1080" i="24"/>
  <c r="H1080" i="24"/>
  <c r="N1080" i="24"/>
  <c r="O1080" i="24"/>
  <c r="R1080" i="24"/>
  <c r="A1081" i="24"/>
  <c r="A1082" i="24"/>
  <c r="A1083" i="24"/>
  <c r="A1084" i="24"/>
  <c r="A1085" i="24"/>
  <c r="A1086" i="24"/>
  <c r="A1087" i="24"/>
  <c r="A1088" i="24"/>
  <c r="A1089" i="24"/>
  <c r="A1090" i="24"/>
  <c r="A1091" i="24"/>
  <c r="A1092" i="24"/>
  <c r="A1093" i="24"/>
  <c r="A1094" i="24"/>
  <c r="A1095" i="24"/>
  <c r="A1096" i="24"/>
  <c r="A1097" i="24"/>
  <c r="A1098" i="24"/>
  <c r="A1099" i="24"/>
  <c r="A1100" i="24"/>
  <c r="A1101" i="24"/>
  <c r="A1102" i="24"/>
  <c r="A1103" i="24"/>
  <c r="A1104" i="24"/>
  <c r="A1105" i="24"/>
  <c r="A1106" i="24"/>
  <c r="A1107" i="24"/>
  <c r="A1108" i="24"/>
  <c r="A1109" i="24"/>
  <c r="A1110" i="24"/>
  <c r="A1111" i="24"/>
  <c r="A1112" i="24"/>
  <c r="A1113" i="24"/>
  <c r="A1114" i="24"/>
  <c r="A1115" i="24"/>
  <c r="A1116" i="24"/>
  <c r="A1117" i="24"/>
  <c r="A1118" i="24"/>
  <c r="A1119" i="24"/>
  <c r="A1120" i="24"/>
  <c r="B1121" i="24"/>
  <c r="C1121" i="24"/>
  <c r="A1122" i="24"/>
  <c r="A1123" i="24"/>
  <c r="A1124" i="24"/>
  <c r="B1125" i="24"/>
  <c r="C1125" i="24"/>
  <c r="D1125" i="24"/>
  <c r="A1126" i="24"/>
  <c r="B1126" i="24"/>
  <c r="C1126" i="24"/>
  <c r="D1126" i="24" s="1"/>
  <c r="A1127" i="24"/>
  <c r="B1127" i="24"/>
  <c r="C1127" i="24"/>
  <c r="A1128" i="24"/>
  <c r="B1128" i="24"/>
  <c r="C1128" i="24"/>
  <c r="A1129" i="24"/>
  <c r="B1130" i="24"/>
  <c r="C1130" i="24"/>
  <c r="D1130" i="24"/>
  <c r="A1131" i="24"/>
  <c r="B1131" i="24"/>
  <c r="C1131" i="24"/>
  <c r="D1131" i="24" s="1"/>
  <c r="A1132" i="24"/>
  <c r="B1132" i="24"/>
  <c r="C1132" i="24"/>
  <c r="D1132" i="24" s="1"/>
  <c r="A1133" i="24"/>
  <c r="B1133" i="24"/>
  <c r="A1134" i="24"/>
  <c r="B1135" i="24"/>
  <c r="C1135" i="24"/>
  <c r="D1135" i="24"/>
  <c r="A1136" i="24"/>
  <c r="B1136" i="24"/>
  <c r="C1136" i="24"/>
  <c r="A1137" i="24"/>
  <c r="B1137" i="24"/>
  <c r="C1137" i="24"/>
  <c r="A1138" i="24"/>
  <c r="A1139" i="24"/>
  <c r="B1140" i="24"/>
  <c r="G1140" i="24"/>
  <c r="H1140" i="24"/>
  <c r="N1140" i="24"/>
  <c r="O1140" i="24"/>
  <c r="R1140" i="24"/>
  <c r="A1141" i="24"/>
  <c r="A1142" i="24"/>
  <c r="A1143" i="24"/>
  <c r="A1144" i="24"/>
  <c r="A1145" i="24"/>
  <c r="A1146" i="24"/>
  <c r="A1147" i="24"/>
  <c r="A1148" i="24"/>
  <c r="A1149" i="24"/>
  <c r="A1150" i="24"/>
  <c r="A1151" i="24"/>
  <c r="A1152" i="24"/>
  <c r="A1153" i="24"/>
  <c r="B1154" i="24"/>
  <c r="G1154" i="24"/>
  <c r="H1154" i="24"/>
  <c r="N1154" i="24"/>
  <c r="O1154" i="24"/>
  <c r="R1154" i="24"/>
  <c r="A1155" i="24"/>
  <c r="A1156" i="24"/>
  <c r="A1157" i="24"/>
  <c r="A1158" i="24"/>
  <c r="A1159" i="24"/>
  <c r="A1160" i="24"/>
  <c r="A1161" i="24"/>
  <c r="A1162" i="24"/>
  <c r="A1163" i="24"/>
  <c r="A1164" i="24"/>
  <c r="A1165" i="24"/>
  <c r="A1166" i="24"/>
  <c r="A1167" i="24"/>
  <c r="B1168" i="24"/>
  <c r="C1168" i="24"/>
  <c r="D1168" i="24"/>
  <c r="A1169" i="24"/>
  <c r="B1169" i="24"/>
  <c r="C1169" i="24"/>
  <c r="A1170" i="24"/>
  <c r="B1170" i="24"/>
  <c r="C1170" i="24"/>
  <c r="A1171" i="24"/>
  <c r="A1172" i="24"/>
  <c r="B1173" i="24"/>
  <c r="G1173" i="24"/>
  <c r="H1173" i="24"/>
  <c r="N1173" i="24"/>
  <c r="O1173" i="24"/>
  <c r="R1173" i="24"/>
  <c r="A1174" i="24"/>
  <c r="A1175" i="24"/>
  <c r="A1176" i="24"/>
  <c r="A1177" i="24"/>
  <c r="A1178" i="24"/>
  <c r="A1179" i="24"/>
  <c r="A1180" i="24"/>
  <c r="A1181" i="24"/>
  <c r="A1182" i="24"/>
  <c r="A1183" i="24"/>
  <c r="A1184" i="24"/>
  <c r="A1185" i="24"/>
  <c r="A1186" i="24"/>
  <c r="B1187" i="24"/>
  <c r="G1187" i="24"/>
  <c r="H1187" i="24"/>
  <c r="N1187" i="24"/>
  <c r="O1187" i="24"/>
  <c r="R1187" i="24"/>
  <c r="A1188" i="24"/>
  <c r="B1188" i="24"/>
  <c r="B1179" i="24" s="1"/>
  <c r="C1179" i="24" s="1"/>
  <c r="C1188" i="24"/>
  <c r="D1188" i="24"/>
  <c r="D1190" i="24" s="1"/>
  <c r="E1188" i="24"/>
  <c r="F1188" i="24"/>
  <c r="G1188" i="24"/>
  <c r="H1188" i="24"/>
  <c r="H1190" i="24" s="1"/>
  <c r="I1188" i="24"/>
  <c r="J1188" i="24"/>
  <c r="K1188" i="24"/>
  <c r="L1188" i="24"/>
  <c r="L1190" i="24" s="1"/>
  <c r="M1188" i="24"/>
  <c r="N1188" i="24"/>
  <c r="O1188" i="24"/>
  <c r="P1188" i="24"/>
  <c r="P1190" i="24" s="1"/>
  <c r="Q1188" i="24"/>
  <c r="R1188" i="24"/>
  <c r="S1188" i="24"/>
  <c r="A1189" i="24"/>
  <c r="B1189" i="24"/>
  <c r="B1180" i="24" s="1"/>
  <c r="C1189" i="24"/>
  <c r="C1190" i="24" s="1"/>
  <c r="D1189" i="24"/>
  <c r="E1189" i="24"/>
  <c r="F1189" i="24"/>
  <c r="G1189" i="24"/>
  <c r="G1190" i="24" s="1"/>
  <c r="H1189" i="24"/>
  <c r="I1189" i="24"/>
  <c r="J1189" i="24"/>
  <c r="K1189" i="24"/>
  <c r="K1190" i="24" s="1"/>
  <c r="L1189" i="24"/>
  <c r="M1189" i="24"/>
  <c r="N1189" i="24"/>
  <c r="N1190" i="24" s="1"/>
  <c r="O1189" i="24"/>
  <c r="O1190" i="24" s="1"/>
  <c r="P1189" i="24"/>
  <c r="Q1189" i="24"/>
  <c r="R1189" i="24"/>
  <c r="S1189" i="24"/>
  <c r="S1190" i="24" s="1"/>
  <c r="A1190" i="24"/>
  <c r="B1190" i="24"/>
  <c r="F1190" i="24"/>
  <c r="J1190" i="24"/>
  <c r="R1190" i="24"/>
  <c r="A1191" i="24"/>
  <c r="B1192" i="24"/>
  <c r="G1192" i="24"/>
  <c r="H1192" i="24"/>
  <c r="N1192" i="24"/>
  <c r="O1192" i="24"/>
  <c r="R1192" i="24"/>
  <c r="A1193" i="24"/>
  <c r="A1194" i="24"/>
  <c r="A1195" i="24"/>
  <c r="A1196" i="24"/>
  <c r="A1197" i="24"/>
  <c r="A1198" i="24"/>
  <c r="A1199" i="24"/>
  <c r="A1200" i="24"/>
  <c r="A1201" i="24"/>
  <c r="A1202" i="24"/>
  <c r="A1203" i="24"/>
  <c r="A1204" i="24"/>
  <c r="A1205" i="24"/>
  <c r="B1206" i="24"/>
  <c r="C1206" i="24"/>
  <c r="D1206" i="24"/>
  <c r="A1207" i="24"/>
  <c r="B1207" i="24"/>
  <c r="C1207" i="24"/>
  <c r="A1208" i="24"/>
  <c r="B1208" i="24"/>
  <c r="C1208" i="24"/>
  <c r="A1209" i="24"/>
  <c r="A1210" i="24"/>
  <c r="B1211" i="24"/>
  <c r="G1211" i="24"/>
  <c r="H1211" i="24"/>
  <c r="N1211" i="24"/>
  <c r="O1211" i="24"/>
  <c r="R1211" i="24"/>
  <c r="A1212" i="24"/>
  <c r="A1213" i="24"/>
  <c r="A1214" i="24"/>
  <c r="A1215" i="24"/>
  <c r="A1216" i="24"/>
  <c r="A1217" i="24"/>
  <c r="A1218" i="24"/>
  <c r="A1219" i="24"/>
  <c r="A1220" i="24"/>
  <c r="A1221" i="24"/>
  <c r="A1222" i="24"/>
  <c r="A1223" i="24"/>
  <c r="A1224" i="24"/>
  <c r="B1225" i="24"/>
  <c r="C1225" i="24"/>
  <c r="D1225" i="24"/>
  <c r="A1226" i="24"/>
  <c r="B1226" i="24"/>
  <c r="C1226" i="24"/>
  <c r="A1227" i="24"/>
  <c r="B1227" i="24"/>
  <c r="C1227" i="24"/>
  <c r="A1228" i="24"/>
  <c r="B1228" i="24"/>
  <c r="A1229" i="24"/>
  <c r="B1230" i="24"/>
  <c r="C1230" i="24"/>
  <c r="D1230" i="24"/>
  <c r="A1231" i="24"/>
  <c r="B1231" i="24"/>
  <c r="C1231" i="24"/>
  <c r="A1232" i="24"/>
  <c r="B1232" i="24"/>
  <c r="C1232" i="24"/>
  <c r="A1233" i="24"/>
  <c r="A1234" i="24"/>
  <c r="B1235" i="24"/>
  <c r="G1235" i="24"/>
  <c r="H1235" i="24"/>
  <c r="N1235" i="24"/>
  <c r="O1235" i="24"/>
  <c r="R1235" i="24"/>
  <c r="A1236" i="24"/>
  <c r="A1237" i="24"/>
  <c r="A1238" i="24"/>
  <c r="A1239" i="24"/>
  <c r="A1240" i="24"/>
  <c r="A1241" i="24"/>
  <c r="A1242" i="24"/>
  <c r="A1243" i="24"/>
  <c r="A1244" i="24"/>
  <c r="A1245" i="24"/>
  <c r="A1246" i="24"/>
  <c r="A1247" i="24"/>
  <c r="A1248" i="24"/>
  <c r="B1249" i="24"/>
  <c r="C1249" i="24"/>
  <c r="D1249" i="24"/>
  <c r="A1250" i="24"/>
  <c r="B1250" i="24"/>
  <c r="C1250" i="24"/>
  <c r="A1251" i="24"/>
  <c r="B1251" i="24"/>
  <c r="C1251" i="24"/>
  <c r="A1252" i="24"/>
  <c r="A1253" i="24"/>
  <c r="B1254" i="24"/>
  <c r="G1254" i="24"/>
  <c r="H1254" i="24"/>
  <c r="N1254" i="24"/>
  <c r="O1254" i="24"/>
  <c r="R1254" i="24"/>
  <c r="A1255" i="24"/>
  <c r="B1255" i="24"/>
  <c r="C1255" i="24"/>
  <c r="C1257" i="24" s="1"/>
  <c r="E1255" i="24"/>
  <c r="F1255" i="24"/>
  <c r="G1255" i="24"/>
  <c r="I1255" i="24"/>
  <c r="J1255" i="24"/>
  <c r="K1255" i="24"/>
  <c r="M1255" i="24"/>
  <c r="N1255" i="24"/>
  <c r="N1257" i="24" s="1"/>
  <c r="O1255" i="24"/>
  <c r="Q1255" i="24"/>
  <c r="R1255" i="24"/>
  <c r="S1255" i="24"/>
  <c r="S1257" i="24" s="1"/>
  <c r="A1256" i="24"/>
  <c r="B1256" i="24"/>
  <c r="B1257" i="24" s="1"/>
  <c r="C1256" i="24"/>
  <c r="D1256" i="24"/>
  <c r="F1256" i="24"/>
  <c r="G1256" i="24"/>
  <c r="H1256" i="24"/>
  <c r="J1256" i="24"/>
  <c r="J1257" i="24" s="1"/>
  <c r="K1256" i="24"/>
  <c r="L1256" i="24"/>
  <c r="N1256" i="24"/>
  <c r="O1256" i="24"/>
  <c r="P1256" i="24"/>
  <c r="R1256" i="24"/>
  <c r="R1257" i="24" s="1"/>
  <c r="S1256" i="24"/>
  <c r="A1257" i="24"/>
  <c r="F1257" i="24"/>
  <c r="A1258" i="24"/>
  <c r="B1259" i="24"/>
  <c r="G1259" i="24"/>
  <c r="H1259" i="24"/>
  <c r="N1259" i="24"/>
  <c r="O1259" i="24"/>
  <c r="R1259" i="24"/>
  <c r="A1260" i="24"/>
  <c r="A1261" i="24"/>
  <c r="B1261" i="24"/>
  <c r="C1261" i="24"/>
  <c r="D1261" i="24"/>
  <c r="E1261" i="24"/>
  <c r="F1261" i="24"/>
  <c r="G1261" i="24"/>
  <c r="H1261" i="24"/>
  <c r="I1261" i="24"/>
  <c r="J1261" i="24"/>
  <c r="K1261" i="24"/>
  <c r="L1261" i="24"/>
  <c r="M1261" i="24"/>
  <c r="M1263" i="24" s="1"/>
  <c r="N1261" i="24"/>
  <c r="O1261" i="24"/>
  <c r="P1261" i="24"/>
  <c r="Q1261" i="24"/>
  <c r="Q1263" i="24" s="1"/>
  <c r="R1261" i="24"/>
  <c r="S1261" i="24"/>
  <c r="A1262" i="24"/>
  <c r="B1262" i="24"/>
  <c r="C1262" i="24"/>
  <c r="D1262" i="24"/>
  <c r="E1262" i="24"/>
  <c r="F1262" i="24"/>
  <c r="G1262" i="24"/>
  <c r="H1262" i="24"/>
  <c r="I1262" i="24"/>
  <c r="I1263" i="24" s="1"/>
  <c r="J1262" i="24"/>
  <c r="K1262" i="24"/>
  <c r="L1262" i="24"/>
  <c r="M1262" i="24"/>
  <c r="N1262" i="24"/>
  <c r="O1262" i="24"/>
  <c r="P1262" i="24"/>
  <c r="Q1262" i="24"/>
  <c r="R1262" i="24"/>
  <c r="S1262" i="24"/>
  <c r="A1263" i="24"/>
  <c r="E1263" i="24"/>
  <c r="A1264" i="24"/>
  <c r="A1265" i="24"/>
  <c r="B1265" i="24"/>
  <c r="C1265" i="24"/>
  <c r="D1265" i="24"/>
  <c r="E1265" i="24"/>
  <c r="F1265" i="24"/>
  <c r="G1265" i="24"/>
  <c r="H1265" i="24"/>
  <c r="I1265" i="24"/>
  <c r="I1269" i="24" s="1"/>
  <c r="J1265" i="24"/>
  <c r="K1265" i="24"/>
  <c r="L1265" i="24"/>
  <c r="M1265" i="24"/>
  <c r="N1265" i="24"/>
  <c r="O1265" i="24"/>
  <c r="P1265" i="24"/>
  <c r="Q1265" i="24"/>
  <c r="R1265" i="24"/>
  <c r="S1265" i="24"/>
  <c r="A1266" i="24"/>
  <c r="B1266" i="24"/>
  <c r="B1267" i="24" s="1"/>
  <c r="C1266" i="24"/>
  <c r="D1266" i="24"/>
  <c r="E1266" i="24"/>
  <c r="E1270" i="24" s="1"/>
  <c r="F1266" i="24"/>
  <c r="F1267" i="24" s="1"/>
  <c r="G1266" i="24"/>
  <c r="H1266" i="24"/>
  <c r="I1266" i="24"/>
  <c r="I1270" i="24" s="1"/>
  <c r="J1266" i="24"/>
  <c r="J1267" i="24" s="1"/>
  <c r="K1266" i="24"/>
  <c r="L1266" i="24"/>
  <c r="M1266" i="24"/>
  <c r="M1270" i="24" s="1"/>
  <c r="N1266" i="24"/>
  <c r="N1267" i="24" s="1"/>
  <c r="O1266" i="24"/>
  <c r="P1266" i="24"/>
  <c r="Q1266" i="24"/>
  <c r="Q1270" i="24" s="1"/>
  <c r="R1266" i="24"/>
  <c r="R1267" i="24" s="1"/>
  <c r="S1266" i="24"/>
  <c r="A1267" i="24"/>
  <c r="C1267" i="24"/>
  <c r="G1267" i="24"/>
  <c r="K1267" i="24"/>
  <c r="O1267" i="24"/>
  <c r="S1267" i="24"/>
  <c r="A1268" i="24"/>
  <c r="A1269" i="24"/>
  <c r="Q1269" i="24"/>
  <c r="A1270" i="24"/>
  <c r="R1270" i="24"/>
  <c r="A1271" i="24"/>
  <c r="A1272" i="24"/>
  <c r="B1273" i="24"/>
  <c r="G1273" i="24"/>
  <c r="H1273" i="24"/>
  <c r="N1273" i="24"/>
  <c r="O1273" i="24"/>
  <c r="R1273" i="24"/>
  <c r="A1274" i="24"/>
  <c r="A1275" i="24"/>
  <c r="B1275" i="24"/>
  <c r="B1278" i="24" s="1"/>
  <c r="C1275" i="24"/>
  <c r="D1275" i="24"/>
  <c r="E1275" i="24"/>
  <c r="F1275" i="24"/>
  <c r="G1275" i="24"/>
  <c r="H1275" i="24"/>
  <c r="I1275" i="24"/>
  <c r="J1275" i="24"/>
  <c r="J1278" i="24" s="1"/>
  <c r="K1275" i="24"/>
  <c r="L1275" i="24"/>
  <c r="M1275" i="24"/>
  <c r="N1275" i="24"/>
  <c r="O1275" i="24"/>
  <c r="P1275" i="24"/>
  <c r="Q1275" i="24"/>
  <c r="R1275" i="24"/>
  <c r="S1275" i="24"/>
  <c r="A1276" i="24"/>
  <c r="B1276" i="24"/>
  <c r="C1276" i="24"/>
  <c r="D1276" i="24"/>
  <c r="E1276" i="24"/>
  <c r="F1276" i="24"/>
  <c r="F1278" i="24" s="1"/>
  <c r="G1276" i="24"/>
  <c r="H1276" i="24"/>
  <c r="I1276" i="24"/>
  <c r="J1276" i="24"/>
  <c r="K1276" i="24"/>
  <c r="L1276" i="24"/>
  <c r="M1276" i="24"/>
  <c r="N1276" i="24"/>
  <c r="N1278" i="24" s="1"/>
  <c r="O1276" i="24"/>
  <c r="P1276" i="24"/>
  <c r="Q1276" i="24"/>
  <c r="R1276" i="24"/>
  <c r="S1276" i="24"/>
  <c r="A1277" i="24"/>
  <c r="B1277" i="24"/>
  <c r="C1277" i="24"/>
  <c r="D1277" i="24"/>
  <c r="E1277" i="24"/>
  <c r="F1277" i="24"/>
  <c r="G1277" i="24"/>
  <c r="H1277" i="24"/>
  <c r="I1277" i="24"/>
  <c r="J1277" i="24"/>
  <c r="K1277" i="24"/>
  <c r="L1277" i="24"/>
  <c r="M1277" i="24"/>
  <c r="N1277" i="24"/>
  <c r="O1277" i="24"/>
  <c r="P1277" i="24"/>
  <c r="Q1277" i="24"/>
  <c r="R1277" i="24"/>
  <c r="S1277" i="24"/>
  <c r="A1278" i="24"/>
  <c r="R1278" i="24"/>
  <c r="A1279" i="24"/>
  <c r="A1280" i="24"/>
  <c r="B1280" i="24"/>
  <c r="C1280" i="24"/>
  <c r="D1280" i="24"/>
  <c r="E1280" i="24"/>
  <c r="F1280" i="24"/>
  <c r="G1280" i="24"/>
  <c r="H1280" i="24"/>
  <c r="I1280" i="24"/>
  <c r="J1280" i="24"/>
  <c r="K1280" i="24"/>
  <c r="L1280" i="24"/>
  <c r="M1280" i="24"/>
  <c r="N1280" i="24"/>
  <c r="O1280" i="24"/>
  <c r="P1280" i="24"/>
  <c r="Q1280" i="24"/>
  <c r="R1280" i="24"/>
  <c r="S1280" i="24"/>
  <c r="A1281" i="24"/>
  <c r="B1281" i="24"/>
  <c r="C1281" i="24"/>
  <c r="D1281" i="24"/>
  <c r="D1283" i="24" s="1"/>
  <c r="E1281" i="24"/>
  <c r="F1281" i="24"/>
  <c r="G1281" i="24"/>
  <c r="H1281" i="24"/>
  <c r="H1283" i="24" s="1"/>
  <c r="I1281" i="24"/>
  <c r="J1281" i="24"/>
  <c r="K1281" i="24"/>
  <c r="L1281" i="24"/>
  <c r="L1283" i="24" s="1"/>
  <c r="M1281" i="24"/>
  <c r="N1281" i="24"/>
  <c r="O1281" i="24"/>
  <c r="P1281" i="24"/>
  <c r="P1283" i="24" s="1"/>
  <c r="Q1281" i="24"/>
  <c r="R1281" i="24"/>
  <c r="S1281" i="24"/>
  <c r="A1282" i="24"/>
  <c r="B1282" i="24"/>
  <c r="C1282" i="24"/>
  <c r="D1282" i="24"/>
  <c r="E1282" i="24"/>
  <c r="F1282" i="24"/>
  <c r="G1282" i="24"/>
  <c r="H1282" i="24"/>
  <c r="I1282" i="24"/>
  <c r="J1282" i="24"/>
  <c r="K1282" i="24"/>
  <c r="L1282" i="24"/>
  <c r="M1282" i="24"/>
  <c r="M1283" i="24" s="1"/>
  <c r="N1282" i="24"/>
  <c r="O1282" i="24"/>
  <c r="P1282" i="24"/>
  <c r="Q1282" i="24"/>
  <c r="R1282" i="24"/>
  <c r="S1282" i="24"/>
  <c r="A1283" i="24"/>
  <c r="E1283" i="24"/>
  <c r="A1284" i="24"/>
  <c r="A1285" i="24"/>
  <c r="A1286" i="24"/>
  <c r="A1287" i="24"/>
  <c r="A1288" i="24"/>
  <c r="A1289" i="24"/>
  <c r="B1290" i="24"/>
  <c r="G1290" i="24"/>
  <c r="H1290" i="24"/>
  <c r="N1290" i="24"/>
  <c r="O1290" i="24"/>
  <c r="R1290" i="24"/>
  <c r="A1291" i="24"/>
  <c r="A1292" i="24"/>
  <c r="B1292" i="24"/>
  <c r="C1292" i="24"/>
  <c r="D1292" i="24"/>
  <c r="E1292" i="24"/>
  <c r="F1292" i="24"/>
  <c r="G1292" i="24"/>
  <c r="H1292" i="24"/>
  <c r="I1292" i="24"/>
  <c r="J1292" i="24"/>
  <c r="K1292" i="24"/>
  <c r="L1292" i="24"/>
  <c r="M1292" i="24"/>
  <c r="N1292" i="24"/>
  <c r="O1292" i="24"/>
  <c r="P1292" i="24"/>
  <c r="Q1292" i="24"/>
  <c r="R1292" i="24"/>
  <c r="S1292" i="24"/>
  <c r="A1293" i="24"/>
  <c r="B1293" i="24"/>
  <c r="C1293" i="24"/>
  <c r="D1293" i="24"/>
  <c r="E1293" i="24"/>
  <c r="E1295" i="24" s="1"/>
  <c r="F1293" i="24"/>
  <c r="F1295" i="24" s="1"/>
  <c r="G1293" i="24"/>
  <c r="H1293" i="24"/>
  <c r="I1293" i="24"/>
  <c r="I1295" i="24" s="1"/>
  <c r="J1293" i="24"/>
  <c r="K1293" i="24"/>
  <c r="L1293" i="24"/>
  <c r="M1293" i="24"/>
  <c r="M1295" i="24" s="1"/>
  <c r="N1293" i="24"/>
  <c r="O1293" i="24"/>
  <c r="P1293" i="24"/>
  <c r="Q1293" i="24"/>
  <c r="Q1295" i="24" s="1"/>
  <c r="R1293" i="24"/>
  <c r="S1293" i="24"/>
  <c r="A1294" i="24"/>
  <c r="B1294" i="24"/>
  <c r="C1294" i="24"/>
  <c r="D1294" i="24"/>
  <c r="E1294" i="24"/>
  <c r="F1294" i="24"/>
  <c r="G1294" i="24"/>
  <c r="H1294" i="24"/>
  <c r="I1294" i="24"/>
  <c r="J1294" i="24"/>
  <c r="K1294" i="24"/>
  <c r="L1294" i="24"/>
  <c r="M1294" i="24"/>
  <c r="N1294" i="24"/>
  <c r="O1294" i="24"/>
  <c r="P1294" i="24"/>
  <c r="Q1294" i="24"/>
  <c r="R1294" i="24"/>
  <c r="S1294" i="24"/>
  <c r="A1295" i="24"/>
  <c r="N1295" i="24"/>
  <c r="A1296" i="24"/>
  <c r="A1297" i="24"/>
  <c r="B1297" i="24"/>
  <c r="C1297" i="24"/>
  <c r="D1297" i="24"/>
  <c r="E1297" i="24"/>
  <c r="F1297" i="24"/>
  <c r="G1297" i="24"/>
  <c r="H1297" i="24"/>
  <c r="I1297" i="24"/>
  <c r="J1297" i="24"/>
  <c r="K1297" i="24"/>
  <c r="L1297" i="24"/>
  <c r="M1297" i="24"/>
  <c r="N1297" i="24"/>
  <c r="O1297" i="24"/>
  <c r="P1297" i="24"/>
  <c r="Q1297" i="24"/>
  <c r="R1297" i="24"/>
  <c r="S1297" i="24"/>
  <c r="A1298" i="24"/>
  <c r="B1298" i="24"/>
  <c r="C1298" i="24"/>
  <c r="D1298" i="24"/>
  <c r="E1298" i="24"/>
  <c r="F1298" i="24"/>
  <c r="G1298" i="24"/>
  <c r="H1298" i="24"/>
  <c r="I1298" i="24"/>
  <c r="J1298" i="24"/>
  <c r="K1298" i="24"/>
  <c r="L1298" i="24"/>
  <c r="M1298" i="24"/>
  <c r="N1298" i="24"/>
  <c r="O1298" i="24"/>
  <c r="P1298" i="24"/>
  <c r="Q1298" i="24"/>
  <c r="R1298" i="24"/>
  <c r="S1298" i="24"/>
  <c r="A1299" i="24"/>
  <c r="B1299" i="24"/>
  <c r="C1299" i="24"/>
  <c r="D1299" i="24"/>
  <c r="E1299" i="24"/>
  <c r="F1299" i="24"/>
  <c r="G1299" i="24"/>
  <c r="H1299" i="24"/>
  <c r="I1299" i="24"/>
  <c r="J1299" i="24"/>
  <c r="K1299" i="24"/>
  <c r="L1299" i="24"/>
  <c r="M1299" i="24"/>
  <c r="N1299" i="24"/>
  <c r="O1299" i="24"/>
  <c r="P1299" i="24"/>
  <c r="Q1299" i="24"/>
  <c r="Q1300" i="24" s="1"/>
  <c r="R1299" i="24"/>
  <c r="S1299" i="24"/>
  <c r="A1300" i="24"/>
  <c r="I1300" i="24"/>
  <c r="A1301" i="24"/>
  <c r="A1302" i="24"/>
  <c r="A1303" i="24"/>
  <c r="A1304" i="24"/>
  <c r="A1305" i="24"/>
  <c r="A1306" i="24"/>
  <c r="A1308" i="24"/>
  <c r="B1308" i="24"/>
  <c r="A1309" i="24"/>
  <c r="B1309" i="24"/>
  <c r="A1310" i="24"/>
  <c r="B1310" i="24"/>
  <c r="A1311" i="24"/>
  <c r="A1313" i="24"/>
  <c r="B1313" i="24"/>
  <c r="A1314" i="24"/>
  <c r="B1314" i="24"/>
  <c r="B1403" i="24" s="1"/>
  <c r="A1315" i="24"/>
  <c r="A1316" i="24"/>
  <c r="A1318" i="24"/>
  <c r="B1318" i="24"/>
  <c r="A1319" i="24"/>
  <c r="B1319" i="24"/>
  <c r="A1320" i="24"/>
  <c r="A1321" i="24"/>
  <c r="A1323" i="24"/>
  <c r="B1323" i="24"/>
  <c r="A1324" i="24"/>
  <c r="B1324" i="24"/>
  <c r="A1325" i="24"/>
  <c r="B1325" i="24"/>
  <c r="A1326" i="24"/>
  <c r="A1328" i="24"/>
  <c r="B1328" i="24"/>
  <c r="A1329" i="24"/>
  <c r="B1329" i="24"/>
  <c r="B1330" i="24" s="1"/>
  <c r="A1330" i="24"/>
  <c r="A1331" i="24"/>
  <c r="B1332" i="24"/>
  <c r="C1332" i="24"/>
  <c r="D1332" i="24"/>
  <c r="A1333" i="24"/>
  <c r="B1333" i="24"/>
  <c r="D1333" i="24" s="1"/>
  <c r="C1333" i="24"/>
  <c r="A1334" i="24"/>
  <c r="B1334" i="24"/>
  <c r="D1334" i="24" s="1"/>
  <c r="C1334" i="24"/>
  <c r="A1335" i="24"/>
  <c r="B1335" i="24"/>
  <c r="D1335" i="24" s="1"/>
  <c r="C1335" i="24"/>
  <c r="A1336" i="24"/>
  <c r="B1336" i="24"/>
  <c r="D1336" i="24" s="1"/>
  <c r="C1336" i="24"/>
  <c r="A1337" i="24"/>
  <c r="B1337" i="24"/>
  <c r="D1337" i="24" s="1"/>
  <c r="C1337" i="24"/>
  <c r="A1338" i="24"/>
  <c r="A1340" i="24"/>
  <c r="B1340" i="24"/>
  <c r="A1341" i="24"/>
  <c r="B1341" i="24"/>
  <c r="B1342" i="24" s="1"/>
  <c r="A1342" i="24"/>
  <c r="A1343" i="24"/>
  <c r="A1345" i="24"/>
  <c r="B1345" i="24"/>
  <c r="A1346" i="24"/>
  <c r="B1346" i="24"/>
  <c r="A1347" i="24"/>
  <c r="A1348" i="24"/>
  <c r="B1349" i="24"/>
  <c r="G1349" i="24"/>
  <c r="H1349" i="24"/>
  <c r="N1349" i="24"/>
  <c r="O1349" i="24"/>
  <c r="R1349" i="24"/>
  <c r="A1350" i="24"/>
  <c r="B1350" i="24"/>
  <c r="C1350" i="24"/>
  <c r="D1350" i="24"/>
  <c r="E1350" i="24"/>
  <c r="F1350" i="24"/>
  <c r="G1350" i="24"/>
  <c r="H1350" i="24"/>
  <c r="I1350" i="24"/>
  <c r="J1350" i="24"/>
  <c r="K1350" i="24"/>
  <c r="L1350" i="24"/>
  <c r="M1350" i="24"/>
  <c r="N1350" i="24"/>
  <c r="O1350" i="24"/>
  <c r="P1350" i="24"/>
  <c r="Q1350" i="24"/>
  <c r="R1350" i="24"/>
  <c r="S1350" i="24"/>
  <c r="A1351" i="24"/>
  <c r="B1351" i="24"/>
  <c r="B1352" i="24" s="1"/>
  <c r="C1351" i="24"/>
  <c r="D1351" i="24"/>
  <c r="E1351" i="24"/>
  <c r="F1351" i="24"/>
  <c r="F1352" i="24" s="1"/>
  <c r="G1351" i="24"/>
  <c r="H1351" i="24"/>
  <c r="I1351" i="24"/>
  <c r="I1352" i="24" s="1"/>
  <c r="J1351" i="24"/>
  <c r="J1352" i="24" s="1"/>
  <c r="K1351" i="24"/>
  <c r="L1351" i="24"/>
  <c r="M1351" i="24"/>
  <c r="M1352" i="24" s="1"/>
  <c r="N1351" i="24"/>
  <c r="N1352" i="24" s="1"/>
  <c r="O1351" i="24"/>
  <c r="P1351" i="24"/>
  <c r="Q1351" i="24"/>
  <c r="Q1352" i="24" s="1"/>
  <c r="R1351" i="24"/>
  <c r="R1352" i="24" s="1"/>
  <c r="S1351" i="24"/>
  <c r="A1352" i="24"/>
  <c r="E1352" i="24"/>
  <c r="A1353" i="24"/>
  <c r="A1355" i="24"/>
  <c r="B1355" i="24"/>
  <c r="A1356" i="24"/>
  <c r="B1356" i="24"/>
  <c r="A1357" i="24"/>
  <c r="B1357" i="24"/>
  <c r="A1358" i="24"/>
  <c r="A1359" i="24"/>
  <c r="B1360" i="24"/>
  <c r="G1360" i="24"/>
  <c r="H1360" i="24"/>
  <c r="N1360" i="24"/>
  <c r="O1360" i="24"/>
  <c r="R1360" i="24"/>
  <c r="A1361" i="24"/>
  <c r="B1361" i="24"/>
  <c r="C1361" i="24"/>
  <c r="D1361" i="24"/>
  <c r="E1361" i="24"/>
  <c r="F1361" i="24"/>
  <c r="G1361" i="24"/>
  <c r="H1361" i="24"/>
  <c r="I1361" i="24"/>
  <c r="I1364" i="24" s="1"/>
  <c r="J1361" i="24"/>
  <c r="K1361" i="24"/>
  <c r="L1361" i="24"/>
  <c r="M1361" i="24"/>
  <c r="N1361" i="24"/>
  <c r="O1361" i="24"/>
  <c r="P1361" i="24"/>
  <c r="Q1361" i="24"/>
  <c r="R1361" i="24"/>
  <c r="S1361" i="24"/>
  <c r="A1362" i="24"/>
  <c r="B1362" i="24"/>
  <c r="C1362" i="24"/>
  <c r="D1362" i="24"/>
  <c r="E1362" i="24"/>
  <c r="E1364" i="24" s="1"/>
  <c r="F1362" i="24"/>
  <c r="G1362" i="24"/>
  <c r="H1362" i="24"/>
  <c r="I1362" i="24"/>
  <c r="J1362" i="24"/>
  <c r="K1362" i="24"/>
  <c r="L1362" i="24"/>
  <c r="M1362" i="24"/>
  <c r="M1364" i="24" s="1"/>
  <c r="N1362" i="24"/>
  <c r="O1362" i="24"/>
  <c r="P1362" i="24"/>
  <c r="Q1362" i="24"/>
  <c r="R1362" i="24"/>
  <c r="S1362" i="24"/>
  <c r="A1363" i="24"/>
  <c r="B1363" i="24"/>
  <c r="C1363" i="24"/>
  <c r="D1363" i="24"/>
  <c r="E1363" i="24"/>
  <c r="F1363" i="24"/>
  <c r="G1363" i="24"/>
  <c r="H1363" i="24"/>
  <c r="I1363" i="24"/>
  <c r="J1363" i="24"/>
  <c r="K1363" i="24"/>
  <c r="L1363" i="24"/>
  <c r="M1363" i="24"/>
  <c r="N1363" i="24"/>
  <c r="O1363" i="24"/>
  <c r="P1363" i="24"/>
  <c r="Q1363" i="24"/>
  <c r="R1363" i="24"/>
  <c r="S1363" i="24"/>
  <c r="A1364" i="24"/>
  <c r="Q1364" i="24"/>
  <c r="A1365" i="24"/>
  <c r="B1366" i="24"/>
  <c r="C1366" i="24"/>
  <c r="H1366" i="24"/>
  <c r="I1366" i="24"/>
  <c r="O1366" i="24"/>
  <c r="P1366" i="24"/>
  <c r="S1366" i="24"/>
  <c r="B1367" i="24"/>
  <c r="B9" i="16" s="1"/>
  <c r="A1368" i="24"/>
  <c r="B1369" i="24"/>
  <c r="G1369" i="24"/>
  <c r="H1369" i="24"/>
  <c r="N1369" i="24"/>
  <c r="O1369" i="24"/>
  <c r="R1369" i="24"/>
  <c r="A1370" i="24"/>
  <c r="A1371" i="24"/>
  <c r="A1372" i="24"/>
  <c r="A1373" i="24"/>
  <c r="A1374" i="24"/>
  <c r="A1375" i="24"/>
  <c r="A1376" i="24"/>
  <c r="A1377" i="24"/>
  <c r="A1378" i="24"/>
  <c r="A1379" i="24"/>
  <c r="A1380" i="24"/>
  <c r="A1381" i="24"/>
  <c r="A1382" i="24"/>
  <c r="B1383" i="24"/>
  <c r="G1383" i="24"/>
  <c r="H1383" i="24"/>
  <c r="N1383" i="24"/>
  <c r="O1383" i="24"/>
  <c r="R1383" i="24"/>
  <c r="A1385" i="24"/>
  <c r="B1386" i="24"/>
  <c r="G1386" i="24"/>
  <c r="H1386" i="24"/>
  <c r="N1386" i="24"/>
  <c r="O1386" i="24"/>
  <c r="R1386" i="24"/>
  <c r="A1387" i="24"/>
  <c r="D1387" i="24"/>
  <c r="D1389" i="24" s="1"/>
  <c r="H1387" i="24"/>
  <c r="L1387" i="24"/>
  <c r="P1387" i="24"/>
  <c r="A1388" i="24"/>
  <c r="B1388" i="24"/>
  <c r="C1388" i="24"/>
  <c r="D1388" i="24"/>
  <c r="E1388" i="24"/>
  <c r="F1388" i="24"/>
  <c r="G1388" i="24"/>
  <c r="H1388" i="24"/>
  <c r="I1388" i="24"/>
  <c r="J1388" i="24"/>
  <c r="K1388" i="24"/>
  <c r="L1388" i="24"/>
  <c r="M1388" i="24"/>
  <c r="N1388" i="24"/>
  <c r="O1388" i="24"/>
  <c r="P1388" i="24"/>
  <c r="Q1388" i="24"/>
  <c r="R1388" i="24"/>
  <c r="S1388" i="24"/>
  <c r="A1389" i="24"/>
  <c r="A1390" i="24"/>
  <c r="B1391" i="24"/>
  <c r="C1391" i="24"/>
  <c r="D1391" i="24"/>
  <c r="F1391" i="24"/>
  <c r="G1391" i="24"/>
  <c r="H1391" i="24"/>
  <c r="I1391" i="24"/>
  <c r="J1391" i="24"/>
  <c r="L1391" i="24"/>
  <c r="M1391" i="24"/>
  <c r="N1391" i="24"/>
  <c r="O1391" i="24"/>
  <c r="R1391" i="24"/>
  <c r="S1391" i="24"/>
  <c r="W1391" i="24"/>
  <c r="X1391" i="24"/>
  <c r="Y1391" i="24"/>
  <c r="AA1391" i="24"/>
  <c r="AB1391" i="24"/>
  <c r="AC1391" i="24"/>
  <c r="AE1391" i="24"/>
  <c r="AG1391" i="24"/>
  <c r="AH1391" i="24"/>
  <c r="AI1391" i="24"/>
  <c r="AJ1391" i="24"/>
  <c r="AK1391" i="24"/>
  <c r="AL1391" i="24"/>
  <c r="AQ1391" i="24"/>
  <c r="AR1391" i="24"/>
  <c r="AX1391" i="24"/>
  <c r="AY1391" i="24"/>
  <c r="BB1391" i="24"/>
  <c r="A1392" i="24"/>
  <c r="A1393" i="24"/>
  <c r="A1394" i="24"/>
  <c r="A1395" i="24"/>
  <c r="B1396" i="24"/>
  <c r="C1396" i="24"/>
  <c r="D1396" i="24"/>
  <c r="F1396" i="24"/>
  <c r="G1396" i="24"/>
  <c r="H1396" i="24"/>
  <c r="I1396" i="24"/>
  <c r="J1396" i="24"/>
  <c r="L1396" i="24"/>
  <c r="M1396" i="24"/>
  <c r="N1396" i="24"/>
  <c r="O1396" i="24"/>
  <c r="R1396" i="24"/>
  <c r="S1396" i="24"/>
  <c r="W1396" i="24"/>
  <c r="X1396" i="24"/>
  <c r="Y1396" i="24"/>
  <c r="AA1396" i="24"/>
  <c r="AB1396" i="24"/>
  <c r="AC1396" i="24"/>
  <c r="AE1396" i="24"/>
  <c r="AG1396" i="24"/>
  <c r="AH1396" i="24"/>
  <c r="AI1396" i="24"/>
  <c r="AJ1396" i="24"/>
  <c r="AK1396" i="24"/>
  <c r="AL1396" i="24"/>
  <c r="AQ1396" i="24"/>
  <c r="AR1396" i="24"/>
  <c r="AX1396" i="24"/>
  <c r="AY1396" i="24"/>
  <c r="BB1396" i="24"/>
  <c r="A1397" i="24"/>
  <c r="A1398" i="24"/>
  <c r="A1399" i="24"/>
  <c r="A1400" i="24"/>
  <c r="A1402" i="24"/>
  <c r="B1402" i="24"/>
  <c r="B1404" i="24" s="1"/>
  <c r="A1403" i="24"/>
  <c r="A1404" i="24"/>
  <c r="A1405" i="24"/>
  <c r="B1406" i="24"/>
  <c r="D1406" i="24"/>
  <c r="F1406" i="24"/>
  <c r="G1406" i="24"/>
  <c r="H1406" i="24"/>
  <c r="I1406" i="24"/>
  <c r="J1406" i="24"/>
  <c r="L1406" i="24"/>
  <c r="M1406" i="24"/>
  <c r="N1406" i="24"/>
  <c r="P1406" i="24"/>
  <c r="R1406" i="24"/>
  <c r="S1406" i="24"/>
  <c r="T1406" i="24"/>
  <c r="X1406" i="24"/>
  <c r="Y1406" i="24"/>
  <c r="AA1406" i="24"/>
  <c r="AB1406" i="24"/>
  <c r="AC1406" i="24"/>
  <c r="AF1406" i="24"/>
  <c r="AG1406" i="24"/>
  <c r="AH1406" i="24"/>
  <c r="AI1406" i="24"/>
  <c r="AJ1406" i="24"/>
  <c r="AK1406" i="24"/>
  <c r="AL1406" i="24"/>
  <c r="AQ1406" i="24"/>
  <c r="AR1406" i="24"/>
  <c r="AX1406" i="24"/>
  <c r="AY1406" i="24"/>
  <c r="BB1406" i="24"/>
  <c r="A1407" i="24"/>
  <c r="A1408" i="24"/>
  <c r="A1409" i="24"/>
  <c r="A1410" i="24"/>
  <c r="B1411" i="24"/>
  <c r="D1411" i="24"/>
  <c r="F1411" i="24"/>
  <c r="G1411" i="24"/>
  <c r="H1411" i="24"/>
  <c r="I1411" i="24"/>
  <c r="J1411" i="24"/>
  <c r="L1411" i="24"/>
  <c r="M1411" i="24"/>
  <c r="N1411" i="24"/>
  <c r="P1411" i="24"/>
  <c r="R1411" i="24"/>
  <c r="S1411" i="24"/>
  <c r="T1411" i="24"/>
  <c r="X1411" i="24"/>
  <c r="Y1411" i="24"/>
  <c r="AA1411" i="24"/>
  <c r="AB1411" i="24"/>
  <c r="AC1411" i="24"/>
  <c r="AF1411" i="24"/>
  <c r="AG1411" i="24"/>
  <c r="AH1411" i="24"/>
  <c r="AI1411" i="24"/>
  <c r="AJ1411" i="24"/>
  <c r="AK1411" i="24"/>
  <c r="AL1411" i="24"/>
  <c r="AQ1411" i="24"/>
  <c r="AR1411" i="24"/>
  <c r="AX1411" i="24"/>
  <c r="AY1411" i="24"/>
  <c r="BB1411" i="24"/>
  <c r="A1412" i="24"/>
  <c r="A1413" i="24"/>
  <c r="A1414" i="24"/>
  <c r="A1415" i="24"/>
  <c r="A1417" i="24"/>
  <c r="B1417" i="24"/>
  <c r="A1418" i="24"/>
  <c r="A1419" i="24"/>
  <c r="A1420" i="24"/>
  <c r="B1421" i="24"/>
  <c r="G1421" i="24"/>
  <c r="H1421" i="24"/>
  <c r="N1421" i="24"/>
  <c r="O1421" i="24"/>
  <c r="R1421" i="24"/>
  <c r="A1422" i="24"/>
  <c r="A1423" i="24"/>
  <c r="A1424" i="24"/>
  <c r="A1425" i="24"/>
  <c r="B1426" i="24"/>
  <c r="C1426" i="24"/>
  <c r="H1426" i="24"/>
  <c r="I1426" i="24"/>
  <c r="O1426" i="24"/>
  <c r="P1426" i="24"/>
  <c r="S1426" i="24"/>
  <c r="A1428" i="24"/>
  <c r="B1429" i="24"/>
  <c r="C1429" i="24"/>
  <c r="D1429" i="24"/>
  <c r="F1429" i="24"/>
  <c r="G1429" i="24"/>
  <c r="H1429" i="24"/>
  <c r="I1429" i="24"/>
  <c r="J1429" i="24"/>
  <c r="L1429" i="24"/>
  <c r="M1429" i="24"/>
  <c r="N1429" i="24"/>
  <c r="O1429" i="24"/>
  <c r="R1429" i="24"/>
  <c r="S1429" i="24"/>
  <c r="W1429" i="24"/>
  <c r="X1429" i="24"/>
  <c r="Y1429" i="24"/>
  <c r="AA1429" i="24"/>
  <c r="AB1429" i="24"/>
  <c r="AC1429" i="24"/>
  <c r="AE1429" i="24"/>
  <c r="AG1429" i="24"/>
  <c r="AH1429" i="24"/>
  <c r="AI1429" i="24"/>
  <c r="AJ1429" i="24"/>
  <c r="AK1429" i="24"/>
  <c r="AL1429" i="24"/>
  <c r="AQ1429" i="24"/>
  <c r="AR1429" i="24"/>
  <c r="AX1429" i="24"/>
  <c r="AY1429" i="24"/>
  <c r="BB1429" i="24"/>
  <c r="A1430" i="24"/>
  <c r="A1431" i="24"/>
  <c r="A1432" i="24"/>
  <c r="A1433" i="24"/>
  <c r="B1434" i="24"/>
  <c r="C1434" i="24"/>
  <c r="H1434" i="24"/>
  <c r="I1434" i="24"/>
  <c r="O1434" i="24"/>
  <c r="P1434" i="24"/>
  <c r="S1434" i="24"/>
  <c r="A1436" i="24"/>
  <c r="B1437" i="24"/>
  <c r="C1437" i="24"/>
  <c r="H1437" i="24"/>
  <c r="I1437" i="24"/>
  <c r="O1437" i="24"/>
  <c r="P1437" i="24"/>
  <c r="S1437" i="24"/>
  <c r="B1438" i="24"/>
  <c r="B27" i="4" s="1"/>
  <c r="A1439" i="24"/>
  <c r="B1440" i="24"/>
  <c r="D1440" i="24"/>
  <c r="F1440" i="24"/>
  <c r="G1440" i="24"/>
  <c r="H1440" i="24"/>
  <c r="I1440" i="24"/>
  <c r="J1440" i="24"/>
  <c r="L1440" i="24"/>
  <c r="M1440" i="24"/>
  <c r="N1440" i="24"/>
  <c r="Q1440" i="24"/>
  <c r="R1440" i="24"/>
  <c r="S1440" i="24"/>
  <c r="U1440" i="24"/>
  <c r="X1440" i="24"/>
  <c r="Y1440" i="24"/>
  <c r="AA1440" i="24"/>
  <c r="AB1440" i="24"/>
  <c r="AC1440" i="24"/>
  <c r="AG1440" i="24"/>
  <c r="AH1440" i="24"/>
  <c r="AI1440" i="24"/>
  <c r="AJ1440" i="24"/>
  <c r="AK1440" i="24"/>
  <c r="AL1440" i="24"/>
  <c r="AQ1440" i="24"/>
  <c r="AR1440" i="24"/>
  <c r="AX1440" i="24"/>
  <c r="AY1440" i="24"/>
  <c r="BB1440" i="24"/>
  <c r="B1441" i="24"/>
  <c r="C1441" i="24"/>
  <c r="D1441" i="24"/>
  <c r="E1441" i="24"/>
  <c r="F1441" i="24"/>
  <c r="G1441" i="24"/>
  <c r="H1441" i="24"/>
  <c r="I1441" i="24"/>
  <c r="J1441" i="24"/>
  <c r="K1441" i="24"/>
  <c r="L1441" i="24"/>
  <c r="M1441" i="24"/>
  <c r="N1441" i="24"/>
  <c r="O1441" i="24"/>
  <c r="P1441" i="24"/>
  <c r="Q1441" i="24"/>
  <c r="R1441" i="24"/>
  <c r="S1441" i="24"/>
  <c r="T1441" i="24"/>
  <c r="U1441" i="24"/>
  <c r="V1441" i="24"/>
  <c r="W1441" i="24"/>
  <c r="X1441" i="24"/>
  <c r="Y1441" i="24"/>
  <c r="Z1441" i="24"/>
  <c r="AA1441" i="24"/>
  <c r="AB1441" i="24"/>
  <c r="AC1441" i="24"/>
  <c r="AD1441" i="24"/>
  <c r="AE1441" i="24"/>
  <c r="AF1441" i="24"/>
  <c r="AG1441" i="24"/>
  <c r="AH1441" i="24"/>
  <c r="AI1441" i="24"/>
  <c r="AJ1441" i="24"/>
  <c r="AK1441" i="24"/>
  <c r="AL1441" i="24"/>
  <c r="B14" i="5" s="1"/>
  <c r="AM1441" i="24"/>
  <c r="C14" i="5" s="1"/>
  <c r="AN1441" i="24"/>
  <c r="D14" i="5" s="1"/>
  <c r="AO1441" i="24"/>
  <c r="F14" i="5" s="1"/>
  <c r="AP1441" i="24"/>
  <c r="G14" i="5" s="1"/>
  <c r="AQ1441" i="24"/>
  <c r="H14" i="5" s="1"/>
  <c r="AR1441" i="24"/>
  <c r="J14" i="5" s="1"/>
  <c r="AS1441" i="24"/>
  <c r="K14" i="5" s="1"/>
  <c r="AT1441" i="24"/>
  <c r="L14" i="5" s="1"/>
  <c r="AU1441" i="24"/>
  <c r="N14" i="5" s="1"/>
  <c r="AV1441" i="24"/>
  <c r="O14" i="5" s="1"/>
  <c r="AW1441" i="24"/>
  <c r="P14" i="5" s="1"/>
  <c r="AX1441" i="24"/>
  <c r="R14" i="5" s="1"/>
  <c r="AY1441" i="24"/>
  <c r="S14" i="5" s="1"/>
  <c r="AZ1441" i="24"/>
  <c r="T14" i="5" s="1"/>
  <c r="BA1441" i="24"/>
  <c r="V14" i="5" s="1"/>
  <c r="BB1441" i="24"/>
  <c r="W14" i="5" s="1"/>
  <c r="BC1441" i="24"/>
  <c r="X14" i="5" s="1"/>
  <c r="A1442" i="24"/>
  <c r="B1443" i="24"/>
  <c r="C1443" i="24"/>
  <c r="H1443" i="24"/>
  <c r="I1443" i="24"/>
  <c r="O1443" i="24"/>
  <c r="P1443" i="24"/>
  <c r="S1443" i="24"/>
  <c r="B1444" i="24"/>
  <c r="C1444" i="24"/>
  <c r="D1444" i="24"/>
  <c r="E1444" i="24"/>
  <c r="F1444" i="24"/>
  <c r="G1444" i="24"/>
  <c r="H1444" i="24"/>
  <c r="I1444" i="24"/>
  <c r="J1444" i="24"/>
  <c r="K1444" i="24"/>
  <c r="L1444" i="24"/>
  <c r="M1444" i="24"/>
  <c r="N1444" i="24"/>
  <c r="O1444" i="24"/>
  <c r="P1444" i="24"/>
  <c r="Q1444" i="24"/>
  <c r="R1444" i="24"/>
  <c r="S1444" i="24"/>
  <c r="T1444" i="24"/>
  <c r="A1445" i="24"/>
  <c r="B1446" i="24"/>
  <c r="C1446" i="24"/>
  <c r="H1446" i="24"/>
  <c r="I1446" i="24"/>
  <c r="O1446" i="24"/>
  <c r="P1446" i="24"/>
  <c r="S1446" i="24"/>
  <c r="A1448" i="24"/>
  <c r="B1449" i="24"/>
  <c r="G1449" i="24"/>
  <c r="H1449" i="24"/>
  <c r="N1449" i="24"/>
  <c r="O1449" i="24"/>
  <c r="R1449" i="24"/>
  <c r="A1451" i="24"/>
  <c r="B1452" i="24"/>
  <c r="G1452" i="24"/>
  <c r="H1452" i="24"/>
  <c r="N1452" i="24"/>
  <c r="O1452" i="24"/>
  <c r="R1452" i="24"/>
  <c r="S1453" i="24"/>
  <c r="A1454" i="24"/>
  <c r="B1456" i="24"/>
  <c r="A1457" i="24"/>
  <c r="B1459" i="24"/>
  <c r="A1460" i="24"/>
  <c r="B1461" i="24"/>
  <c r="C1461" i="24"/>
  <c r="H1461" i="24"/>
  <c r="I1461" i="24"/>
  <c r="O1461" i="24"/>
  <c r="P1461" i="24"/>
  <c r="S1461" i="24"/>
  <c r="A1463" i="24"/>
  <c r="B1464" i="24"/>
  <c r="C1464" i="24"/>
  <c r="H1464" i="24"/>
  <c r="I1464" i="24"/>
  <c r="O1464" i="24"/>
  <c r="P1464" i="24"/>
  <c r="S1464" i="24"/>
  <c r="A1466" i="24"/>
  <c r="B1467" i="24"/>
  <c r="G1467" i="24"/>
  <c r="H1467" i="24"/>
  <c r="N1467" i="24"/>
  <c r="O1467" i="24"/>
  <c r="R1467" i="24"/>
  <c r="A1468" i="24"/>
  <c r="A1469" i="24"/>
  <c r="A1470" i="24"/>
  <c r="A1471" i="24"/>
  <c r="A1472" i="24"/>
  <c r="A1473" i="24"/>
  <c r="A1474" i="24"/>
  <c r="A1475" i="24"/>
  <c r="A1476" i="24"/>
  <c r="A1477" i="24"/>
  <c r="A1478" i="24"/>
  <c r="A1479" i="24"/>
  <c r="A1480" i="24"/>
  <c r="B1481" i="24"/>
  <c r="G1481" i="24"/>
  <c r="H1481" i="24"/>
  <c r="N1481" i="24"/>
  <c r="O1481" i="24"/>
  <c r="R1481" i="24"/>
  <c r="A1482" i="24"/>
  <c r="A1483" i="24"/>
  <c r="A1484" i="24"/>
  <c r="A1485" i="24"/>
  <c r="A1486" i="24"/>
  <c r="A1487" i="24"/>
  <c r="A1488" i="24"/>
  <c r="A1489" i="24"/>
  <c r="A1490" i="24"/>
  <c r="A1491" i="24"/>
  <c r="A1492" i="24"/>
  <c r="A1493" i="24"/>
  <c r="A1494" i="24"/>
  <c r="B1495" i="24"/>
  <c r="C1495" i="24"/>
  <c r="H1495" i="24"/>
  <c r="I1495" i="24"/>
  <c r="O1495" i="24"/>
  <c r="P1495" i="24"/>
  <c r="S1495" i="24"/>
  <c r="A1" i="25"/>
  <c r="A2" i="25"/>
  <c r="A28" i="26"/>
  <c r="B28" i="26"/>
  <c r="A29" i="26"/>
  <c r="B29" i="26"/>
  <c r="A30" i="26"/>
  <c r="B30" i="26"/>
  <c r="A31" i="26"/>
  <c r="B31" i="26"/>
  <c r="A32" i="26"/>
  <c r="B32" i="26"/>
  <c r="A33" i="26"/>
  <c r="B33" i="26"/>
  <c r="A34" i="26"/>
  <c r="B34" i="26"/>
  <c r="A35" i="26"/>
  <c r="B35" i="26"/>
  <c r="A36" i="26"/>
  <c r="B36" i="26"/>
  <c r="A37" i="26"/>
  <c r="B37" i="26"/>
  <c r="A38" i="26"/>
  <c r="B38" i="26"/>
  <c r="A39" i="26"/>
  <c r="B39" i="26"/>
  <c r="A40" i="26"/>
  <c r="B40" i="26"/>
  <c r="A41" i="26"/>
  <c r="B41" i="26"/>
  <c r="A42" i="26"/>
  <c r="B42" i="26"/>
  <c r="A43" i="26"/>
  <c r="B43" i="26"/>
  <c r="A44" i="26"/>
  <c r="B44" i="26"/>
  <c r="A45" i="26"/>
  <c r="B45" i="26"/>
  <c r="A46" i="26"/>
  <c r="B46" i="26"/>
  <c r="A47" i="26"/>
  <c r="B47" i="26"/>
  <c r="A48" i="26"/>
  <c r="B48" i="26"/>
  <c r="A49" i="26"/>
  <c r="B49" i="26"/>
  <c r="A50" i="26"/>
  <c r="B50" i="26"/>
  <c r="A51" i="26"/>
  <c r="B51" i="26"/>
  <c r="A52" i="26"/>
  <c r="B52" i="26"/>
  <c r="A53" i="26"/>
  <c r="B53" i="26"/>
  <c r="A54" i="26"/>
  <c r="B54" i="26"/>
  <c r="A55" i="26"/>
  <c r="B55" i="26"/>
  <c r="A56" i="26"/>
  <c r="B56" i="26"/>
  <c r="A57" i="26"/>
  <c r="B57" i="26"/>
  <c r="A58" i="26"/>
  <c r="B58" i="26"/>
  <c r="A59" i="26"/>
  <c r="B59" i="26"/>
  <c r="A60" i="26"/>
  <c r="B60" i="26"/>
  <c r="A61" i="26"/>
  <c r="B61" i="26"/>
  <c r="A62" i="26"/>
  <c r="B62" i="26"/>
  <c r="A63" i="26"/>
  <c r="B63" i="26"/>
  <c r="A64" i="26"/>
  <c r="B64" i="26"/>
  <c r="A65" i="26"/>
  <c r="B65" i="26"/>
  <c r="A66" i="26"/>
  <c r="A67" i="26"/>
  <c r="A114" i="26"/>
  <c r="B114" i="26"/>
  <c r="C114" i="26"/>
  <c r="D114" i="26"/>
  <c r="E114" i="26"/>
  <c r="F114" i="26"/>
  <c r="G114" i="26"/>
  <c r="H114" i="26"/>
  <c r="I114" i="26"/>
  <c r="J114" i="26"/>
  <c r="K114" i="26"/>
  <c r="L114" i="26"/>
  <c r="M114" i="26"/>
  <c r="N114" i="26"/>
  <c r="O114" i="26"/>
  <c r="P114" i="26"/>
  <c r="Q114" i="26"/>
  <c r="R114" i="26"/>
  <c r="A121" i="26"/>
  <c r="B121" i="26"/>
  <c r="C121" i="26"/>
  <c r="D121" i="26"/>
  <c r="E121" i="26"/>
  <c r="F121" i="26"/>
  <c r="G121" i="26"/>
  <c r="H121" i="26"/>
  <c r="I121" i="26"/>
  <c r="J121" i="26"/>
  <c r="K121" i="26"/>
  <c r="L121" i="26"/>
  <c r="M121" i="26"/>
  <c r="N121" i="26"/>
  <c r="O121" i="26"/>
  <c r="P121" i="26"/>
  <c r="Q121" i="26"/>
  <c r="R121" i="26"/>
  <c r="A158" i="26"/>
  <c r="A159" i="26"/>
  <c r="B159" i="26"/>
  <c r="C159" i="26"/>
  <c r="D159" i="26"/>
  <c r="E159" i="26"/>
  <c r="F159" i="26"/>
  <c r="G159" i="26"/>
  <c r="H159" i="26"/>
  <c r="I159" i="26"/>
  <c r="J159" i="26"/>
  <c r="K159" i="26"/>
  <c r="L159" i="26"/>
  <c r="M159" i="26"/>
  <c r="N159" i="26"/>
  <c r="O159" i="26"/>
  <c r="P159" i="26"/>
  <c r="Q159" i="26"/>
  <c r="R159" i="26"/>
  <c r="S159" i="26"/>
  <c r="A163" i="26"/>
  <c r="A164" i="26"/>
  <c r="A165" i="26"/>
  <c r="A166" i="26"/>
  <c r="A167" i="26"/>
  <c r="B167" i="26"/>
  <c r="C167" i="26"/>
  <c r="D167" i="26"/>
  <c r="E167" i="26"/>
  <c r="F167" i="26"/>
  <c r="G167" i="26"/>
  <c r="H167" i="26"/>
  <c r="I167" i="26"/>
  <c r="J167" i="26"/>
  <c r="K167" i="26"/>
  <c r="L167" i="26"/>
  <c r="M167" i="26"/>
  <c r="N167" i="26"/>
  <c r="O167" i="26"/>
  <c r="P167" i="26"/>
  <c r="Q167" i="26"/>
  <c r="R167" i="26"/>
  <c r="S167" i="26"/>
  <c r="A168" i="26"/>
  <c r="A169" i="26"/>
  <c r="A170" i="26"/>
  <c r="B1" i="27"/>
  <c r="D1" i="27"/>
  <c r="F1" i="27"/>
  <c r="H1" i="27"/>
  <c r="J1" i="27"/>
  <c r="L1" i="27"/>
  <c r="N1" i="27"/>
  <c r="P1" i="27"/>
  <c r="R1" i="27"/>
  <c r="T1" i="27"/>
  <c r="V1" i="27"/>
  <c r="X1" i="27"/>
  <c r="Z1" i="27"/>
  <c r="AB1" i="27"/>
  <c r="AD1" i="27"/>
  <c r="AF1" i="27"/>
  <c r="AH1" i="27"/>
  <c r="AJ1" i="27"/>
  <c r="AL1" i="27"/>
  <c r="AN1" i="27"/>
  <c r="AP1" i="27"/>
  <c r="AR1" i="27"/>
  <c r="AT1" i="27"/>
  <c r="AV1" i="27"/>
  <c r="AX1" i="27"/>
  <c r="AZ1" i="27"/>
  <c r="BB1" i="27"/>
  <c r="BD1" i="27"/>
  <c r="BF1" i="27"/>
  <c r="BH1" i="27"/>
  <c r="BJ1" i="27"/>
  <c r="BL1" i="27"/>
  <c r="B2" i="27"/>
  <c r="D2" i="27"/>
  <c r="F2" i="27"/>
  <c r="H2" i="27"/>
  <c r="J2" i="27"/>
  <c r="L2" i="27"/>
  <c r="N2" i="27"/>
  <c r="P2" i="27"/>
  <c r="R2" i="27"/>
  <c r="T2" i="27"/>
  <c r="V2" i="27"/>
  <c r="X2" i="27"/>
  <c r="Z2" i="27"/>
  <c r="AB2" i="27"/>
  <c r="AD2" i="27"/>
  <c r="AF2" i="27"/>
  <c r="AH2" i="27"/>
  <c r="AJ2" i="27"/>
  <c r="AL2" i="27"/>
  <c r="AN2" i="27"/>
  <c r="AP2" i="27"/>
  <c r="AR2" i="27"/>
  <c r="AT2" i="27"/>
  <c r="AV2" i="27"/>
  <c r="AX2" i="27"/>
  <c r="AZ2" i="27"/>
  <c r="BB2" i="27"/>
  <c r="BD2" i="27"/>
  <c r="BF2" i="27"/>
  <c r="BH2" i="27"/>
  <c r="BJ2" i="27"/>
  <c r="BL2" i="27"/>
  <c r="B3" i="27"/>
  <c r="D3" i="27"/>
  <c r="F3" i="27"/>
  <c r="H3" i="27"/>
  <c r="J3" i="27"/>
  <c r="L3" i="27"/>
  <c r="N3" i="27"/>
  <c r="P3" i="27"/>
  <c r="R3" i="27"/>
  <c r="T3" i="27"/>
  <c r="V3" i="27"/>
  <c r="X3" i="27"/>
  <c r="Z3" i="27"/>
  <c r="AB3" i="27"/>
  <c r="AD3" i="27"/>
  <c r="AF3" i="27"/>
  <c r="AH3" i="27"/>
  <c r="AJ3" i="27"/>
  <c r="AL3" i="27"/>
  <c r="AN3" i="27"/>
  <c r="AP3" i="27"/>
  <c r="AR3" i="27"/>
  <c r="AT3" i="27"/>
  <c r="AV3" i="27"/>
  <c r="AX3" i="27"/>
  <c r="AZ3" i="27"/>
  <c r="BB3" i="27"/>
  <c r="BD3" i="27"/>
  <c r="BF3" i="27"/>
  <c r="BH3" i="27"/>
  <c r="BJ3" i="27"/>
  <c r="BL3" i="27"/>
  <c r="B4" i="27"/>
  <c r="D4" i="27"/>
  <c r="F4" i="27"/>
  <c r="H4" i="27"/>
  <c r="J4" i="27"/>
  <c r="L4" i="27"/>
  <c r="N4" i="27"/>
  <c r="P4" i="27"/>
  <c r="R4" i="27"/>
  <c r="T4" i="27"/>
  <c r="V4" i="27"/>
  <c r="X4" i="27"/>
  <c r="Z4" i="27"/>
  <c r="AB4" i="27"/>
  <c r="AD4" i="27"/>
  <c r="AF4" i="27"/>
  <c r="AH4" i="27"/>
  <c r="AJ4" i="27"/>
  <c r="AL4" i="27"/>
  <c r="AN4" i="27"/>
  <c r="AP4" i="27"/>
  <c r="AR4" i="27"/>
  <c r="AT4" i="27"/>
  <c r="AV4" i="27"/>
  <c r="AX4" i="27"/>
  <c r="AZ4" i="27"/>
  <c r="BB4" i="27"/>
  <c r="BD4" i="27"/>
  <c r="BF4" i="27"/>
  <c r="BH4" i="27"/>
  <c r="BJ4" i="27"/>
  <c r="BL4" i="27"/>
  <c r="B5" i="27"/>
  <c r="D5" i="27"/>
  <c r="F5" i="27"/>
  <c r="H5" i="27"/>
  <c r="J5" i="27"/>
  <c r="L5" i="27"/>
  <c r="N5" i="27"/>
  <c r="P5" i="27"/>
  <c r="R5" i="27"/>
  <c r="T5" i="27"/>
  <c r="V5" i="27"/>
  <c r="X5" i="27"/>
  <c r="Z5" i="27"/>
  <c r="AB5" i="27"/>
  <c r="AD5" i="27"/>
  <c r="AF5" i="27"/>
  <c r="AH5" i="27"/>
  <c r="AJ5" i="27"/>
  <c r="AL5" i="27"/>
  <c r="AN5" i="27"/>
  <c r="AP5" i="27"/>
  <c r="AR5" i="27"/>
  <c r="AT5" i="27"/>
  <c r="AV5" i="27"/>
  <c r="AX5" i="27"/>
  <c r="AZ5" i="27"/>
  <c r="BB5" i="27"/>
  <c r="BD5" i="27"/>
  <c r="BF5" i="27"/>
  <c r="BH5" i="27"/>
  <c r="BJ5" i="27"/>
  <c r="BL5" i="27"/>
  <c r="B6" i="27"/>
  <c r="D6" i="27"/>
  <c r="F6" i="27"/>
  <c r="H6" i="27"/>
  <c r="J6" i="27"/>
  <c r="L6" i="27"/>
  <c r="N6" i="27"/>
  <c r="P6" i="27"/>
  <c r="R6" i="27"/>
  <c r="T6" i="27"/>
  <c r="V6" i="27"/>
  <c r="X6" i="27"/>
  <c r="Z6" i="27"/>
  <c r="AB6" i="27"/>
  <c r="AD6" i="27"/>
  <c r="AF6" i="27"/>
  <c r="AH6" i="27"/>
  <c r="AJ6" i="27"/>
  <c r="AL6" i="27"/>
  <c r="AN6" i="27"/>
  <c r="AP6" i="27"/>
  <c r="AR6" i="27"/>
  <c r="AT6" i="27"/>
  <c r="AV6" i="27"/>
  <c r="AX6" i="27"/>
  <c r="AZ6" i="27"/>
  <c r="BB6" i="27"/>
  <c r="BD6" i="27"/>
  <c r="BF6" i="27"/>
  <c r="BH6" i="27"/>
  <c r="BJ6" i="27"/>
  <c r="BL6" i="27"/>
  <c r="B7" i="27"/>
  <c r="D7" i="27"/>
  <c r="F7" i="27"/>
  <c r="H7" i="27"/>
  <c r="J7" i="27"/>
  <c r="L7" i="27"/>
  <c r="N7" i="27"/>
  <c r="P7" i="27"/>
  <c r="R7" i="27"/>
  <c r="T7" i="27"/>
  <c r="V7" i="27"/>
  <c r="X7" i="27"/>
  <c r="Z7" i="27"/>
  <c r="AB7" i="27"/>
  <c r="AD7" i="27"/>
  <c r="AF7" i="27"/>
  <c r="AH7" i="27"/>
  <c r="AJ7" i="27"/>
  <c r="AL7" i="27"/>
  <c r="AN7" i="27"/>
  <c r="AP7" i="27"/>
  <c r="AR7" i="27"/>
  <c r="AT7" i="27"/>
  <c r="AV7" i="27"/>
  <c r="AX7" i="27"/>
  <c r="AZ7" i="27"/>
  <c r="BB7" i="27"/>
  <c r="BD7" i="27"/>
  <c r="BF7" i="27"/>
  <c r="BH7" i="27"/>
  <c r="BJ7" i="27"/>
  <c r="BL7" i="27"/>
  <c r="B8" i="27"/>
  <c r="D8" i="27"/>
  <c r="F8" i="27"/>
  <c r="H8" i="27"/>
  <c r="J8" i="27"/>
  <c r="L8" i="27"/>
  <c r="N8" i="27"/>
  <c r="P8" i="27"/>
  <c r="R8" i="27"/>
  <c r="T8" i="27"/>
  <c r="V8" i="27"/>
  <c r="X8" i="27"/>
  <c r="Z8" i="27"/>
  <c r="AB8" i="27"/>
  <c r="AD8" i="27"/>
  <c r="AF8" i="27"/>
  <c r="AH8" i="27"/>
  <c r="AJ8" i="27"/>
  <c r="AL8" i="27"/>
  <c r="AN8" i="27"/>
  <c r="AP8" i="27"/>
  <c r="AR8" i="27"/>
  <c r="AT8" i="27"/>
  <c r="AV8" i="27"/>
  <c r="AX8" i="27"/>
  <c r="AZ8" i="27"/>
  <c r="BB8" i="27"/>
  <c r="BD8" i="27"/>
  <c r="BF8" i="27"/>
  <c r="BH8" i="27"/>
  <c r="BJ8" i="27"/>
  <c r="BL8" i="27"/>
  <c r="B9" i="27"/>
  <c r="D9" i="27"/>
  <c r="F9" i="27"/>
  <c r="H9" i="27"/>
  <c r="J9" i="27"/>
  <c r="L9" i="27"/>
  <c r="N9" i="27"/>
  <c r="P9" i="27"/>
  <c r="R9" i="27"/>
  <c r="T9" i="27"/>
  <c r="V9" i="27"/>
  <c r="X9" i="27"/>
  <c r="Z9" i="27"/>
  <c r="AB9" i="27"/>
  <c r="AD9" i="27"/>
  <c r="AF9" i="27"/>
  <c r="AH9" i="27"/>
  <c r="AJ9" i="27"/>
  <c r="AL9" i="27"/>
  <c r="AN9" i="27"/>
  <c r="AP9" i="27"/>
  <c r="AR9" i="27"/>
  <c r="AT9" i="27"/>
  <c r="AV9" i="27"/>
  <c r="AX9" i="27"/>
  <c r="AZ9" i="27"/>
  <c r="BB9" i="27"/>
  <c r="BD9" i="27"/>
  <c r="BF9" i="27"/>
  <c r="BH9" i="27"/>
  <c r="BJ9" i="27"/>
  <c r="BL9" i="27"/>
  <c r="B10" i="27"/>
  <c r="D10" i="27"/>
  <c r="F10" i="27"/>
  <c r="H10" i="27"/>
  <c r="J10" i="27"/>
  <c r="L10" i="27"/>
  <c r="N10" i="27"/>
  <c r="P10" i="27"/>
  <c r="R10" i="27"/>
  <c r="T10" i="27"/>
  <c r="V10" i="27"/>
  <c r="X10" i="27"/>
  <c r="Z10" i="27"/>
  <c r="AB10" i="27"/>
  <c r="AD10" i="27"/>
  <c r="AF10" i="27"/>
  <c r="AH10" i="27"/>
  <c r="AJ10" i="27"/>
  <c r="AL10" i="27"/>
  <c r="AN10" i="27"/>
  <c r="AP10" i="27"/>
  <c r="AR10" i="27"/>
  <c r="AT10" i="27"/>
  <c r="AV10" i="27"/>
  <c r="AX10" i="27"/>
  <c r="AZ10" i="27"/>
  <c r="BB10" i="27"/>
  <c r="BD10" i="27"/>
  <c r="BF10" i="27"/>
  <c r="BH10" i="27"/>
  <c r="BJ10" i="27"/>
  <c r="BL10" i="27"/>
  <c r="B11" i="27"/>
  <c r="D11" i="27"/>
  <c r="F11" i="27"/>
  <c r="H11" i="27"/>
  <c r="J11" i="27"/>
  <c r="L11" i="27"/>
  <c r="N11" i="27"/>
  <c r="P11" i="27"/>
  <c r="R11" i="27"/>
  <c r="T11" i="27"/>
  <c r="V11" i="27"/>
  <c r="X11" i="27"/>
  <c r="Z11" i="27"/>
  <c r="AB11" i="27"/>
  <c r="AD11" i="27"/>
  <c r="AF11" i="27"/>
  <c r="AH11" i="27"/>
  <c r="AJ11" i="27"/>
  <c r="AL11" i="27"/>
  <c r="AN11" i="27"/>
  <c r="AP11" i="27"/>
  <c r="AR11" i="27"/>
  <c r="AT11" i="27"/>
  <c r="AV11" i="27"/>
  <c r="AX11" i="27"/>
  <c r="AZ11" i="27"/>
  <c r="BB11" i="27"/>
  <c r="BD11" i="27"/>
  <c r="BF11" i="27"/>
  <c r="BH11" i="27"/>
  <c r="BJ11" i="27"/>
  <c r="BL11" i="27"/>
  <c r="B12" i="27"/>
  <c r="D12" i="27"/>
  <c r="F12" i="27"/>
  <c r="H12" i="27"/>
  <c r="J12" i="27"/>
  <c r="L12" i="27"/>
  <c r="N12" i="27"/>
  <c r="P12" i="27"/>
  <c r="R12" i="27"/>
  <c r="T12" i="27"/>
  <c r="V12" i="27"/>
  <c r="X12" i="27"/>
  <c r="Z12" i="27"/>
  <c r="AB12" i="27"/>
  <c r="AD12" i="27"/>
  <c r="AF12" i="27"/>
  <c r="AH12" i="27"/>
  <c r="AJ12" i="27"/>
  <c r="AL12" i="27"/>
  <c r="AN12" i="27"/>
  <c r="AP12" i="27"/>
  <c r="AR12" i="27"/>
  <c r="AT12" i="27"/>
  <c r="AV12" i="27"/>
  <c r="AX12" i="27"/>
  <c r="AZ12" i="27"/>
  <c r="BB12" i="27"/>
  <c r="BD12" i="27"/>
  <c r="BF12" i="27"/>
  <c r="BH12" i="27"/>
  <c r="BJ12" i="27"/>
  <c r="BL12" i="27"/>
  <c r="B13" i="27"/>
  <c r="D13" i="27"/>
  <c r="F13" i="27"/>
  <c r="H13" i="27"/>
  <c r="J13" i="27"/>
  <c r="L13" i="27"/>
  <c r="N13" i="27"/>
  <c r="P13" i="27"/>
  <c r="R13" i="27"/>
  <c r="T13" i="27"/>
  <c r="V13" i="27"/>
  <c r="X13" i="27"/>
  <c r="Z13" i="27"/>
  <c r="AB13" i="27"/>
  <c r="AD13" i="27"/>
  <c r="AF13" i="27"/>
  <c r="AH13" i="27"/>
  <c r="AJ13" i="27"/>
  <c r="AL13" i="27"/>
  <c r="AN13" i="27"/>
  <c r="AP13" i="27"/>
  <c r="AR13" i="27"/>
  <c r="AT13" i="27"/>
  <c r="AV13" i="27"/>
  <c r="AX13" i="27"/>
  <c r="AZ13" i="27"/>
  <c r="BB13" i="27"/>
  <c r="BD13" i="27"/>
  <c r="BF13" i="27"/>
  <c r="BH13" i="27"/>
  <c r="BJ13" i="27"/>
  <c r="BL13" i="27"/>
  <c r="B14" i="27"/>
  <c r="D14" i="27"/>
  <c r="F14" i="27"/>
  <c r="H14" i="27"/>
  <c r="J14" i="27"/>
  <c r="L14" i="27"/>
  <c r="N14" i="27"/>
  <c r="P14" i="27"/>
  <c r="R14" i="27"/>
  <c r="T14" i="27"/>
  <c r="V14" i="27"/>
  <c r="X14" i="27"/>
  <c r="Z14" i="27"/>
  <c r="AB14" i="27"/>
  <c r="AD14" i="27"/>
  <c r="AF14" i="27"/>
  <c r="AH14" i="27"/>
  <c r="AJ14" i="27"/>
  <c r="AL14" i="27"/>
  <c r="AN14" i="27"/>
  <c r="AP14" i="27"/>
  <c r="AR14" i="27"/>
  <c r="AT14" i="27"/>
  <c r="AV14" i="27"/>
  <c r="AX14" i="27"/>
  <c r="AZ14" i="27"/>
  <c r="BB14" i="27"/>
  <c r="BD14" i="27"/>
  <c r="BF14" i="27"/>
  <c r="BH14" i="27"/>
  <c r="BJ14" i="27"/>
  <c r="BL14" i="27"/>
  <c r="B15" i="27"/>
  <c r="D15" i="27"/>
  <c r="F15" i="27"/>
  <c r="H15" i="27"/>
  <c r="J15" i="27"/>
  <c r="L15" i="27"/>
  <c r="N15" i="27"/>
  <c r="P15" i="27"/>
  <c r="R15" i="27"/>
  <c r="T15" i="27"/>
  <c r="V15" i="27"/>
  <c r="X15" i="27"/>
  <c r="Z15" i="27"/>
  <c r="AB15" i="27"/>
  <c r="AD15" i="27"/>
  <c r="AF15" i="27"/>
  <c r="AH15" i="27"/>
  <c r="AJ15" i="27"/>
  <c r="AL15" i="27"/>
  <c r="AN15" i="27"/>
  <c r="AP15" i="27"/>
  <c r="AR15" i="27"/>
  <c r="AT15" i="27"/>
  <c r="AV15" i="27"/>
  <c r="AX15" i="27"/>
  <c r="AZ15" i="27"/>
  <c r="BB15" i="27"/>
  <c r="BD15" i="27"/>
  <c r="BF15" i="27"/>
  <c r="BH15" i="27"/>
  <c r="BJ15" i="27"/>
  <c r="BL15" i="27"/>
  <c r="B16" i="27"/>
  <c r="D16" i="27"/>
  <c r="F16" i="27"/>
  <c r="H16" i="27"/>
  <c r="J16" i="27"/>
  <c r="L16" i="27"/>
  <c r="N16" i="27"/>
  <c r="P16" i="27"/>
  <c r="R16" i="27"/>
  <c r="T16" i="27"/>
  <c r="V16" i="27"/>
  <c r="X16" i="27"/>
  <c r="Z16" i="27"/>
  <c r="AB16" i="27"/>
  <c r="AD16" i="27"/>
  <c r="AF16" i="27"/>
  <c r="AH16" i="27"/>
  <c r="AJ16" i="27"/>
  <c r="AL16" i="27"/>
  <c r="AN16" i="27"/>
  <c r="AP16" i="27"/>
  <c r="AR16" i="27"/>
  <c r="AT16" i="27"/>
  <c r="AV16" i="27"/>
  <c r="AX16" i="27"/>
  <c r="AZ16" i="27"/>
  <c r="BB16" i="27"/>
  <c r="BD16" i="27"/>
  <c r="BF16" i="27"/>
  <c r="BH16" i="27"/>
  <c r="BJ16" i="27"/>
  <c r="BL16" i="27"/>
  <c r="B17" i="27"/>
  <c r="D17" i="27"/>
  <c r="F17" i="27"/>
  <c r="H17" i="27"/>
  <c r="J17" i="27"/>
  <c r="L17" i="27"/>
  <c r="N17" i="27"/>
  <c r="P17" i="27"/>
  <c r="R17" i="27"/>
  <c r="T17" i="27"/>
  <c r="V17" i="27"/>
  <c r="X17" i="27"/>
  <c r="Z17" i="27"/>
  <c r="AB17" i="27"/>
  <c r="AD17" i="27"/>
  <c r="AF17" i="27"/>
  <c r="AH17" i="27"/>
  <c r="AJ17" i="27"/>
  <c r="AL17" i="27"/>
  <c r="AN17" i="27"/>
  <c r="AP17" i="27"/>
  <c r="AR17" i="27"/>
  <c r="AT17" i="27"/>
  <c r="AV17" i="27"/>
  <c r="AX17" i="27"/>
  <c r="AZ17" i="27"/>
  <c r="BB17" i="27"/>
  <c r="BD17" i="27"/>
  <c r="BF17" i="27"/>
  <c r="BH17" i="27"/>
  <c r="BJ17" i="27"/>
  <c r="BL17" i="27"/>
  <c r="B18" i="27"/>
  <c r="D18" i="27"/>
  <c r="F18" i="27"/>
  <c r="H18" i="27"/>
  <c r="J18" i="27"/>
  <c r="L18" i="27"/>
  <c r="N18" i="27"/>
  <c r="P18" i="27"/>
  <c r="R18" i="27"/>
  <c r="T18" i="27"/>
  <c r="V18" i="27"/>
  <c r="X18" i="27"/>
  <c r="Z18" i="27"/>
  <c r="AB18" i="27"/>
  <c r="AD18" i="27"/>
  <c r="AF18" i="27"/>
  <c r="AH18" i="27"/>
  <c r="AJ18" i="27"/>
  <c r="AL18" i="27"/>
  <c r="AN18" i="27"/>
  <c r="AP18" i="27"/>
  <c r="AR18" i="27"/>
  <c r="AT18" i="27"/>
  <c r="AV18" i="27"/>
  <c r="AX18" i="27"/>
  <c r="AZ18" i="27"/>
  <c r="BB18" i="27"/>
  <c r="BD18" i="27"/>
  <c r="BF18" i="27"/>
  <c r="BH18" i="27"/>
  <c r="BJ18" i="27"/>
  <c r="BL18" i="27"/>
  <c r="B19" i="27"/>
  <c r="D19" i="27"/>
  <c r="F19" i="27"/>
  <c r="H19" i="27"/>
  <c r="J19" i="27"/>
  <c r="L19" i="27"/>
  <c r="N19" i="27"/>
  <c r="P19" i="27"/>
  <c r="R19" i="27"/>
  <c r="T19" i="27"/>
  <c r="V19" i="27"/>
  <c r="X19" i="27"/>
  <c r="Z19" i="27"/>
  <c r="AB19" i="27"/>
  <c r="AD19" i="27"/>
  <c r="AF19" i="27"/>
  <c r="AH19" i="27"/>
  <c r="AJ19" i="27"/>
  <c r="AL19" i="27"/>
  <c r="AN19" i="27"/>
  <c r="AP19" i="27"/>
  <c r="AR19" i="27"/>
  <c r="AT19" i="27"/>
  <c r="AV19" i="27"/>
  <c r="AX19" i="27"/>
  <c r="AZ19" i="27"/>
  <c r="BB19" i="27"/>
  <c r="BD19" i="27"/>
  <c r="BF19" i="27"/>
  <c r="BH19" i="27"/>
  <c r="BJ19" i="27"/>
  <c r="BL19" i="27"/>
  <c r="B20" i="27"/>
  <c r="D20" i="27"/>
  <c r="F20" i="27"/>
  <c r="H20" i="27"/>
  <c r="J20" i="27"/>
  <c r="L20" i="27"/>
  <c r="N20" i="27"/>
  <c r="P20" i="27"/>
  <c r="R20" i="27"/>
  <c r="T20" i="27"/>
  <c r="V20" i="27"/>
  <c r="X20" i="27"/>
  <c r="Z20" i="27"/>
  <c r="AB20" i="27"/>
  <c r="AD20" i="27"/>
  <c r="AF20" i="27"/>
  <c r="AH20" i="27"/>
  <c r="AJ20" i="27"/>
  <c r="AL20" i="27"/>
  <c r="AN20" i="27"/>
  <c r="AP20" i="27"/>
  <c r="AR20" i="27"/>
  <c r="AT20" i="27"/>
  <c r="AV20" i="27"/>
  <c r="AX20" i="27"/>
  <c r="AZ20" i="27"/>
  <c r="BB20" i="27"/>
  <c r="BD20" i="27"/>
  <c r="BF20" i="27"/>
  <c r="BH20" i="27"/>
  <c r="BJ20" i="27"/>
  <c r="BL20" i="27"/>
  <c r="B21" i="27"/>
  <c r="D21" i="27"/>
  <c r="F21" i="27"/>
  <c r="H21" i="27"/>
  <c r="J21" i="27"/>
  <c r="L21" i="27"/>
  <c r="N21" i="27"/>
  <c r="P21" i="27"/>
  <c r="R21" i="27"/>
  <c r="T21" i="27"/>
  <c r="V21" i="27"/>
  <c r="X21" i="27"/>
  <c r="Z21" i="27"/>
  <c r="AB21" i="27"/>
  <c r="AD21" i="27"/>
  <c r="AF21" i="27"/>
  <c r="AH21" i="27"/>
  <c r="AJ21" i="27"/>
  <c r="AL21" i="27"/>
  <c r="AN21" i="27"/>
  <c r="AP21" i="27"/>
  <c r="AR21" i="27"/>
  <c r="AT21" i="27"/>
  <c r="AV21" i="27"/>
  <c r="AX21" i="27"/>
  <c r="AZ21" i="27"/>
  <c r="BB21" i="27"/>
  <c r="BD21" i="27"/>
  <c r="BF21" i="27"/>
  <c r="BH21" i="27"/>
  <c r="BJ21" i="27"/>
  <c r="BL21" i="27"/>
  <c r="B22" i="27"/>
  <c r="D22" i="27"/>
  <c r="F22" i="27"/>
  <c r="H22" i="27"/>
  <c r="J22" i="27"/>
  <c r="L22" i="27"/>
  <c r="N22" i="27"/>
  <c r="P22" i="27"/>
  <c r="R22" i="27"/>
  <c r="T22" i="27"/>
  <c r="V22" i="27"/>
  <c r="X22" i="27"/>
  <c r="Z22" i="27"/>
  <c r="AB22" i="27"/>
  <c r="AD22" i="27"/>
  <c r="AF22" i="27"/>
  <c r="AH22" i="27"/>
  <c r="AJ22" i="27"/>
  <c r="AL22" i="27"/>
  <c r="AN22" i="27"/>
  <c r="AP22" i="27"/>
  <c r="AR22" i="27"/>
  <c r="AT22" i="27"/>
  <c r="AV22" i="27"/>
  <c r="AX22" i="27"/>
  <c r="AZ22" i="27"/>
  <c r="BB22" i="27"/>
  <c r="BD22" i="27"/>
  <c r="BF22" i="27"/>
  <c r="BH22" i="27"/>
  <c r="BJ22" i="27"/>
  <c r="BL22" i="27"/>
  <c r="B23" i="27"/>
  <c r="D23" i="27"/>
  <c r="F23" i="27"/>
  <c r="H23" i="27"/>
  <c r="J23" i="27"/>
  <c r="L23" i="27"/>
  <c r="N23" i="27"/>
  <c r="P23" i="27"/>
  <c r="R23" i="27"/>
  <c r="T23" i="27"/>
  <c r="V23" i="27"/>
  <c r="X23" i="27"/>
  <c r="Z23" i="27"/>
  <c r="AB23" i="27"/>
  <c r="AD23" i="27"/>
  <c r="AF23" i="27"/>
  <c r="AH23" i="27"/>
  <c r="AJ23" i="27"/>
  <c r="AL23" i="27"/>
  <c r="AN23" i="27"/>
  <c r="AP23" i="27"/>
  <c r="AR23" i="27"/>
  <c r="AT23" i="27"/>
  <c r="AV23" i="27"/>
  <c r="AX23" i="27"/>
  <c r="AZ23" i="27"/>
  <c r="BB23" i="27"/>
  <c r="BD23" i="27"/>
  <c r="BF23" i="27"/>
  <c r="BH23" i="27"/>
  <c r="BJ23" i="27"/>
  <c r="BL23" i="27"/>
  <c r="B24" i="27"/>
  <c r="D24" i="27"/>
  <c r="F24" i="27"/>
  <c r="H24" i="27"/>
  <c r="J24" i="27"/>
  <c r="L24" i="27"/>
  <c r="N24" i="27"/>
  <c r="P24" i="27"/>
  <c r="R24" i="27"/>
  <c r="T24" i="27"/>
  <c r="V24" i="27"/>
  <c r="X24" i="27"/>
  <c r="Z24" i="27"/>
  <c r="AB24" i="27"/>
  <c r="AD24" i="27"/>
  <c r="AF24" i="27"/>
  <c r="AH24" i="27"/>
  <c r="AJ24" i="27"/>
  <c r="AL24" i="27"/>
  <c r="AN24" i="27"/>
  <c r="AP24" i="27"/>
  <c r="AR24" i="27"/>
  <c r="AT24" i="27"/>
  <c r="AV24" i="27"/>
  <c r="AX24" i="27"/>
  <c r="AZ24" i="27"/>
  <c r="BB24" i="27"/>
  <c r="BD24" i="27"/>
  <c r="BF24" i="27"/>
  <c r="BH24" i="27"/>
  <c r="BJ24" i="27"/>
  <c r="BL24" i="27"/>
  <c r="B25" i="27"/>
  <c r="D25" i="27"/>
  <c r="B26" i="27"/>
  <c r="D26" i="27"/>
  <c r="F26" i="27"/>
  <c r="H26" i="27"/>
  <c r="J26" i="27"/>
  <c r="L26" i="27"/>
  <c r="N26" i="27"/>
  <c r="P26" i="27"/>
  <c r="R26" i="27"/>
  <c r="T26" i="27"/>
  <c r="V26" i="27"/>
  <c r="X26" i="27"/>
  <c r="Z26" i="27"/>
  <c r="AB26" i="27"/>
  <c r="AD26" i="27"/>
  <c r="AF26" i="27"/>
  <c r="AH26" i="27"/>
  <c r="AJ26" i="27"/>
  <c r="AL26" i="27"/>
  <c r="AN26" i="27"/>
  <c r="AP26" i="27"/>
  <c r="AR26" i="27"/>
  <c r="AT26" i="27"/>
  <c r="AV26" i="27"/>
  <c r="AX26" i="27"/>
  <c r="BB26" i="27"/>
  <c r="B27" i="27"/>
  <c r="D27" i="27"/>
  <c r="J27" i="27"/>
  <c r="P27" i="27"/>
  <c r="R27" i="27"/>
  <c r="T27" i="27"/>
  <c r="V27" i="27"/>
  <c r="X27" i="27"/>
  <c r="Z27" i="27"/>
  <c r="AB27" i="27"/>
  <c r="AD27" i="27"/>
  <c r="AF27" i="27"/>
  <c r="AH27" i="27"/>
  <c r="AJ27" i="27"/>
  <c r="AL27" i="27"/>
  <c r="H28" i="27"/>
  <c r="J28" i="27"/>
  <c r="L28" i="27"/>
  <c r="N28" i="27"/>
  <c r="P28" i="27"/>
  <c r="R28" i="27"/>
  <c r="T28" i="27"/>
  <c r="V28" i="27"/>
  <c r="X28" i="27"/>
  <c r="Z28" i="27"/>
  <c r="AB28" i="27"/>
  <c r="AD28" i="27"/>
  <c r="AF28" i="27"/>
  <c r="AH28" i="27"/>
  <c r="AJ28" i="27"/>
  <c r="AL28" i="27"/>
  <c r="AN28" i="27"/>
  <c r="AP28" i="27"/>
  <c r="AR28" i="27"/>
  <c r="AT28" i="27"/>
  <c r="AV28" i="27"/>
  <c r="AX28" i="27"/>
  <c r="AZ28" i="27"/>
  <c r="BB28" i="27"/>
  <c r="BD28" i="27"/>
  <c r="BF28" i="27"/>
  <c r="BH28" i="27"/>
  <c r="BJ28" i="27"/>
  <c r="BL28" i="27"/>
  <c r="B29" i="27"/>
  <c r="D29" i="27"/>
  <c r="F29" i="27"/>
  <c r="H29" i="27"/>
  <c r="J29" i="27"/>
  <c r="L29" i="27"/>
  <c r="N29" i="27"/>
  <c r="P29" i="27"/>
  <c r="R29" i="27"/>
  <c r="V29" i="27"/>
  <c r="X29" i="27"/>
  <c r="Z29" i="27"/>
  <c r="AB29" i="27"/>
  <c r="AD29" i="27"/>
  <c r="AF29" i="27"/>
  <c r="AH29" i="27"/>
  <c r="AJ29" i="27"/>
  <c r="AL29" i="27"/>
  <c r="AN29" i="27"/>
  <c r="AP29" i="27"/>
  <c r="AR29" i="27"/>
  <c r="AT29" i="27"/>
  <c r="AV29" i="27"/>
  <c r="AX29" i="27"/>
  <c r="AZ29" i="27"/>
  <c r="BB29" i="27"/>
  <c r="BD29" i="27"/>
  <c r="BF29" i="27"/>
  <c r="BH29" i="27"/>
  <c r="BJ29" i="27"/>
  <c r="BL29" i="27"/>
  <c r="B30" i="27"/>
  <c r="D30" i="27"/>
  <c r="F30" i="27"/>
  <c r="H30" i="27"/>
  <c r="J30" i="27"/>
  <c r="L30" i="27"/>
  <c r="N30" i="27"/>
  <c r="P30" i="27"/>
  <c r="R30" i="27"/>
  <c r="T30" i="27"/>
  <c r="V30" i="27"/>
  <c r="X30" i="27"/>
  <c r="Z30" i="27"/>
  <c r="AB30" i="27"/>
  <c r="AD30" i="27"/>
  <c r="AF30" i="27"/>
  <c r="AH30" i="27"/>
  <c r="AJ30" i="27"/>
  <c r="AL30" i="27"/>
  <c r="AN30" i="27"/>
  <c r="AP30" i="27"/>
  <c r="AR30" i="27"/>
  <c r="AT30" i="27"/>
  <c r="AV30" i="27"/>
  <c r="AX30" i="27"/>
  <c r="AZ30" i="27"/>
  <c r="BB30" i="27"/>
  <c r="BD30" i="27"/>
  <c r="BF30" i="27"/>
  <c r="BH30" i="27"/>
  <c r="BJ30" i="27"/>
  <c r="BL30" i="27"/>
  <c r="B31" i="27"/>
  <c r="D31" i="27"/>
  <c r="F31" i="27"/>
  <c r="H31" i="27"/>
  <c r="J31" i="27"/>
  <c r="L31" i="27"/>
  <c r="N31" i="27"/>
  <c r="P31" i="27"/>
  <c r="R31" i="27"/>
  <c r="T31" i="27"/>
  <c r="V31" i="27"/>
  <c r="X31" i="27"/>
  <c r="Z31" i="27"/>
  <c r="AB31" i="27"/>
  <c r="AD31" i="27"/>
  <c r="AF31" i="27"/>
  <c r="AH31" i="27"/>
  <c r="AJ31" i="27"/>
  <c r="AL31" i="27"/>
  <c r="AN31" i="27"/>
  <c r="AP31" i="27"/>
  <c r="AR31" i="27"/>
  <c r="AT31" i="27"/>
  <c r="AV31" i="27"/>
  <c r="AX31" i="27"/>
  <c r="AZ31" i="27"/>
  <c r="BB31" i="27"/>
  <c r="BD31" i="27"/>
  <c r="BF31" i="27"/>
  <c r="BH31" i="27"/>
  <c r="BJ31" i="27"/>
  <c r="BL31" i="27"/>
  <c r="B32" i="27"/>
  <c r="D32" i="27"/>
  <c r="F32" i="27"/>
  <c r="H32" i="27"/>
  <c r="J32" i="27"/>
  <c r="L32" i="27"/>
  <c r="N32" i="27"/>
  <c r="P32" i="27"/>
  <c r="R32" i="27"/>
  <c r="T32" i="27"/>
  <c r="V32" i="27"/>
  <c r="X32" i="27"/>
  <c r="Z32" i="27"/>
  <c r="AB32" i="27"/>
  <c r="AD32" i="27"/>
  <c r="AF32" i="27"/>
  <c r="AH32" i="27"/>
  <c r="AJ32" i="27"/>
  <c r="AL32" i="27"/>
  <c r="AN32" i="27"/>
  <c r="AP32" i="27"/>
  <c r="AR32" i="27"/>
  <c r="AT32" i="27"/>
  <c r="AV32" i="27"/>
  <c r="AX32" i="27"/>
  <c r="AZ32" i="27"/>
  <c r="BB32" i="27"/>
  <c r="BD32" i="27"/>
  <c r="BF32" i="27"/>
  <c r="BH32" i="27"/>
  <c r="BJ32" i="27"/>
  <c r="BL32" i="27"/>
  <c r="B33" i="27"/>
  <c r="D33" i="27"/>
  <c r="F33" i="27"/>
  <c r="H33" i="27"/>
  <c r="J33" i="27"/>
  <c r="L33" i="27"/>
  <c r="N33" i="27"/>
  <c r="P33" i="27"/>
  <c r="R33" i="27"/>
  <c r="T33" i="27"/>
  <c r="V33" i="27"/>
  <c r="X33" i="27"/>
  <c r="Z33" i="27"/>
  <c r="AB33" i="27"/>
  <c r="AD33" i="27"/>
  <c r="AF33" i="27"/>
  <c r="AH33" i="27"/>
  <c r="AJ33" i="27"/>
  <c r="AL33" i="27"/>
  <c r="AN33" i="27"/>
  <c r="AP33" i="27"/>
  <c r="AR33" i="27"/>
  <c r="AT33" i="27"/>
  <c r="AV33" i="27"/>
  <c r="AX33" i="27"/>
  <c r="AZ33" i="27"/>
  <c r="BB33" i="27"/>
  <c r="BD33" i="27"/>
  <c r="BF33" i="27"/>
  <c r="BH33" i="27"/>
  <c r="BJ33" i="27"/>
  <c r="BL33" i="27"/>
  <c r="B34" i="27"/>
  <c r="D34" i="27"/>
  <c r="F34" i="27"/>
  <c r="H34" i="27"/>
  <c r="J34" i="27"/>
  <c r="L34" i="27"/>
  <c r="N34" i="27"/>
  <c r="P34" i="27"/>
  <c r="R34" i="27"/>
  <c r="T34" i="27"/>
  <c r="V34" i="27"/>
  <c r="X34" i="27"/>
  <c r="Z34" i="27"/>
  <c r="AB34" i="27"/>
  <c r="AD34" i="27"/>
  <c r="AF34" i="27"/>
  <c r="AH34" i="27"/>
  <c r="AJ34" i="27"/>
  <c r="AL34" i="27"/>
  <c r="AN34" i="27"/>
  <c r="AP34" i="27"/>
  <c r="AR34" i="27"/>
  <c r="AT34" i="27"/>
  <c r="AV34" i="27"/>
  <c r="AX34" i="27"/>
  <c r="AZ34" i="27"/>
  <c r="BB34" i="27"/>
  <c r="BD34" i="27"/>
  <c r="BF34" i="27"/>
  <c r="BH34" i="27"/>
  <c r="BJ34" i="27"/>
  <c r="BL34" i="27"/>
  <c r="B35" i="27"/>
  <c r="D35" i="27"/>
  <c r="F35" i="27"/>
  <c r="H35" i="27"/>
  <c r="J35" i="27"/>
  <c r="L35" i="27"/>
  <c r="N35" i="27"/>
  <c r="P35" i="27"/>
  <c r="R35" i="27"/>
  <c r="T35" i="27"/>
  <c r="V35" i="27"/>
  <c r="X35" i="27"/>
  <c r="Z35" i="27"/>
  <c r="AB35" i="27"/>
  <c r="AD35" i="27"/>
  <c r="AF35" i="27"/>
  <c r="AH35" i="27"/>
  <c r="AJ35" i="27"/>
  <c r="AL35" i="27"/>
  <c r="AN35" i="27"/>
  <c r="AP35" i="27"/>
  <c r="AR35" i="27"/>
  <c r="AT35" i="27"/>
  <c r="AV35" i="27"/>
  <c r="AX35" i="27"/>
  <c r="AZ35" i="27"/>
  <c r="BB35" i="27"/>
  <c r="BD35" i="27"/>
  <c r="BF35" i="27"/>
  <c r="BH35" i="27"/>
  <c r="BJ35" i="27"/>
  <c r="BL35" i="27"/>
  <c r="B36" i="27"/>
  <c r="D36" i="27"/>
  <c r="F36" i="27"/>
  <c r="H36" i="27"/>
  <c r="J36" i="27"/>
  <c r="L36" i="27"/>
  <c r="N36" i="27"/>
  <c r="P36" i="27"/>
  <c r="R36" i="27"/>
  <c r="T36" i="27"/>
  <c r="V36" i="27"/>
  <c r="X36" i="27"/>
  <c r="Z36" i="27"/>
  <c r="AB36" i="27"/>
  <c r="AD36" i="27"/>
  <c r="AF36" i="27"/>
  <c r="AH36" i="27"/>
  <c r="AJ36" i="27"/>
  <c r="AL36" i="27"/>
  <c r="AN36" i="27"/>
  <c r="AP36" i="27"/>
  <c r="AR36" i="27"/>
  <c r="AT36" i="27"/>
  <c r="AV36" i="27"/>
  <c r="AX36" i="27"/>
  <c r="AZ36" i="27"/>
  <c r="BB36" i="27"/>
  <c r="BD36" i="27"/>
  <c r="BF36" i="27"/>
  <c r="BH36" i="27"/>
  <c r="BJ36" i="27"/>
  <c r="BL36" i="27"/>
  <c r="B37" i="27"/>
  <c r="D37" i="27"/>
  <c r="F37" i="27"/>
  <c r="H37" i="27"/>
  <c r="J37" i="27"/>
  <c r="L37" i="27"/>
  <c r="N37" i="27"/>
  <c r="P37" i="27"/>
  <c r="R37" i="27"/>
  <c r="T37" i="27"/>
  <c r="V37" i="27"/>
  <c r="X37" i="27"/>
  <c r="Z37" i="27"/>
  <c r="AB37" i="27"/>
  <c r="AD37" i="27"/>
  <c r="AF37" i="27"/>
  <c r="AH37" i="27"/>
  <c r="AJ37" i="27"/>
  <c r="AL37" i="27"/>
  <c r="AN37" i="27"/>
  <c r="AP37" i="27"/>
  <c r="AR37" i="27"/>
  <c r="AT37" i="27"/>
  <c r="AV37" i="27"/>
  <c r="AX37" i="27"/>
  <c r="AZ37" i="27"/>
  <c r="BB37" i="27"/>
  <c r="BD37" i="27"/>
  <c r="BF37" i="27"/>
  <c r="BH37" i="27"/>
  <c r="BJ37" i="27"/>
  <c r="BL37" i="27"/>
  <c r="B38" i="27"/>
  <c r="D38" i="27"/>
  <c r="F38" i="27"/>
  <c r="H38" i="27"/>
  <c r="J38" i="27"/>
  <c r="L38" i="27"/>
  <c r="N38" i="27"/>
  <c r="P38" i="27"/>
  <c r="R38" i="27"/>
  <c r="T38" i="27"/>
  <c r="V38" i="27"/>
  <c r="X38" i="27"/>
  <c r="Z38" i="27"/>
  <c r="AB38" i="27"/>
  <c r="AD38" i="27"/>
  <c r="AF38" i="27"/>
  <c r="AH38" i="27"/>
  <c r="AJ38" i="27"/>
  <c r="AL38" i="27"/>
  <c r="AN38" i="27"/>
  <c r="AP38" i="27"/>
  <c r="AR38" i="27"/>
  <c r="AT38" i="27"/>
  <c r="AV38" i="27"/>
  <c r="AX38" i="27"/>
  <c r="AZ38" i="27"/>
  <c r="BB38" i="27"/>
  <c r="BD38" i="27"/>
  <c r="BF38" i="27"/>
  <c r="BH38" i="27"/>
  <c r="BJ38" i="27"/>
  <c r="BL38" i="27"/>
  <c r="B39" i="27"/>
  <c r="D39" i="27"/>
  <c r="F39" i="27"/>
  <c r="H39" i="27"/>
  <c r="J39" i="27"/>
  <c r="L39" i="27"/>
  <c r="N39" i="27"/>
  <c r="P39" i="27"/>
  <c r="R39" i="27"/>
  <c r="T39" i="27"/>
  <c r="V39" i="27"/>
  <c r="X39" i="27"/>
  <c r="Z39" i="27"/>
  <c r="AB39" i="27"/>
  <c r="AD39" i="27"/>
  <c r="AF39" i="27"/>
  <c r="AH39" i="27"/>
  <c r="AJ39" i="27"/>
  <c r="AL39" i="27"/>
  <c r="AN39" i="27"/>
  <c r="AP39" i="27"/>
  <c r="AR39" i="27"/>
  <c r="AT39" i="27"/>
  <c r="AV39" i="27"/>
  <c r="AX39" i="27"/>
  <c r="AZ39" i="27"/>
  <c r="BB39" i="27"/>
  <c r="BD39" i="27"/>
  <c r="BF39" i="27"/>
  <c r="BH39" i="27"/>
  <c r="BJ39" i="27"/>
  <c r="BL39" i="27"/>
  <c r="B40" i="27"/>
  <c r="D40" i="27"/>
  <c r="F40" i="27"/>
  <c r="H40" i="27"/>
  <c r="J40" i="27"/>
  <c r="L40" i="27"/>
  <c r="N40" i="27"/>
  <c r="P40" i="27"/>
  <c r="R40" i="27"/>
  <c r="T40" i="27"/>
  <c r="V40" i="27"/>
  <c r="X40" i="27"/>
  <c r="Z40" i="27"/>
  <c r="AB40" i="27"/>
  <c r="AD40" i="27"/>
  <c r="AF40" i="27"/>
  <c r="AH40" i="27"/>
  <c r="AJ40" i="27"/>
  <c r="AL40" i="27"/>
  <c r="AN40" i="27"/>
  <c r="AP40" i="27"/>
  <c r="AR40" i="27"/>
  <c r="AT40" i="27"/>
  <c r="AV40" i="27"/>
  <c r="AX40" i="27"/>
  <c r="AZ40" i="27"/>
  <c r="BB40" i="27"/>
  <c r="BD40" i="27"/>
  <c r="BF40" i="27"/>
  <c r="BH40" i="27"/>
  <c r="BJ40" i="27"/>
  <c r="BL40" i="27"/>
  <c r="B41" i="27"/>
  <c r="D41" i="27"/>
  <c r="F41" i="27"/>
  <c r="H41" i="27"/>
  <c r="J41" i="27"/>
  <c r="L41" i="27"/>
  <c r="N41" i="27"/>
  <c r="P41" i="27"/>
  <c r="R41" i="27"/>
  <c r="T41" i="27"/>
  <c r="V41" i="27"/>
  <c r="X41" i="27"/>
  <c r="Z41" i="27"/>
  <c r="AB41" i="27"/>
  <c r="AD41" i="27"/>
  <c r="AF41" i="27"/>
  <c r="AH41" i="27"/>
  <c r="AJ41" i="27"/>
  <c r="AL41" i="27"/>
  <c r="AN41" i="27"/>
  <c r="AP41" i="27"/>
  <c r="AR41" i="27"/>
  <c r="AT41" i="27"/>
  <c r="AV41" i="27"/>
  <c r="AX41" i="27"/>
  <c r="AZ41" i="27"/>
  <c r="BB41" i="27"/>
  <c r="BD41" i="27"/>
  <c r="BF41" i="27"/>
  <c r="BH41" i="27"/>
  <c r="BJ41" i="27"/>
  <c r="BL41" i="27"/>
  <c r="B42" i="27"/>
  <c r="D42" i="27"/>
  <c r="F42" i="27"/>
  <c r="H42" i="27"/>
  <c r="J42" i="27"/>
  <c r="L42" i="27"/>
  <c r="N42" i="27"/>
  <c r="P42" i="27"/>
  <c r="R42" i="27"/>
  <c r="T42" i="27"/>
  <c r="V42" i="27"/>
  <c r="X42" i="27"/>
  <c r="Z42" i="27"/>
  <c r="AB42" i="27"/>
  <c r="AD42" i="27"/>
  <c r="AF42" i="27"/>
  <c r="AH42" i="27"/>
  <c r="AJ42" i="27"/>
  <c r="AL42" i="27"/>
  <c r="AN42" i="27"/>
  <c r="AP42" i="27"/>
  <c r="AR42" i="27"/>
  <c r="AT42" i="27"/>
  <c r="AV42" i="27"/>
  <c r="AX42" i="27"/>
  <c r="AZ42" i="27"/>
  <c r="BB42" i="27"/>
  <c r="BD42" i="27"/>
  <c r="BF42" i="27"/>
  <c r="BH42" i="27"/>
  <c r="BJ42" i="27"/>
  <c r="BL42" i="27"/>
  <c r="B43" i="27"/>
  <c r="D43" i="27"/>
  <c r="F43" i="27"/>
  <c r="H43" i="27"/>
  <c r="J43" i="27"/>
  <c r="L43" i="27"/>
  <c r="N43" i="27"/>
  <c r="P43" i="27"/>
  <c r="R43" i="27"/>
  <c r="T43" i="27"/>
  <c r="V43" i="27"/>
  <c r="X43" i="27"/>
  <c r="Z43" i="27"/>
  <c r="AB43" i="27"/>
  <c r="AD43" i="27"/>
  <c r="AF43" i="27"/>
  <c r="AH43" i="27"/>
  <c r="AJ43" i="27"/>
  <c r="AL43" i="27"/>
  <c r="AN43" i="27"/>
  <c r="AP43" i="27"/>
  <c r="AR43" i="27"/>
  <c r="AT43" i="27"/>
  <c r="AV43" i="27"/>
  <c r="AX43" i="27"/>
  <c r="AZ43" i="27"/>
  <c r="BB43" i="27"/>
  <c r="BD43" i="27"/>
  <c r="BF43" i="27"/>
  <c r="BH43" i="27"/>
  <c r="BJ43" i="27"/>
  <c r="BL43" i="27"/>
  <c r="B44" i="27"/>
  <c r="D44" i="27"/>
  <c r="F44" i="27"/>
  <c r="H44" i="27"/>
  <c r="J44" i="27"/>
  <c r="L44" i="27"/>
  <c r="N44" i="27"/>
  <c r="P44" i="27"/>
  <c r="R44" i="27"/>
  <c r="T44" i="27"/>
  <c r="V44" i="27"/>
  <c r="X44" i="27"/>
  <c r="Z44" i="27"/>
  <c r="AB44" i="27"/>
  <c r="AD44" i="27"/>
  <c r="AF44" i="27"/>
  <c r="AH44" i="27"/>
  <c r="AJ44" i="27"/>
  <c r="AL44" i="27"/>
  <c r="AN44" i="27"/>
  <c r="AP44" i="27"/>
  <c r="AR44" i="27"/>
  <c r="AT44" i="27"/>
  <c r="AV44" i="27"/>
  <c r="AX44" i="27"/>
  <c r="AZ44" i="27"/>
  <c r="BB44" i="27"/>
  <c r="BD44" i="27"/>
  <c r="BF44" i="27"/>
  <c r="BH44" i="27"/>
  <c r="BJ44" i="27"/>
  <c r="BL44" i="27"/>
  <c r="B45" i="27"/>
  <c r="D45" i="27"/>
  <c r="F45" i="27"/>
  <c r="H45" i="27"/>
  <c r="J45" i="27"/>
  <c r="L45" i="27"/>
  <c r="N45" i="27"/>
  <c r="P45" i="27"/>
  <c r="R45" i="27"/>
  <c r="T45" i="27"/>
  <c r="V45" i="27"/>
  <c r="X45" i="27"/>
  <c r="Z45" i="27"/>
  <c r="AB45" i="27"/>
  <c r="AD45" i="27"/>
  <c r="AF45" i="27"/>
  <c r="AH45" i="27"/>
  <c r="AJ45" i="27"/>
  <c r="AL45" i="27"/>
  <c r="AN45" i="27"/>
  <c r="AP45" i="27"/>
  <c r="AR45" i="27"/>
  <c r="AT45" i="27"/>
  <c r="AV45" i="27"/>
  <c r="AX45" i="27"/>
  <c r="AZ45" i="27"/>
  <c r="BB45" i="27"/>
  <c r="BD45" i="27"/>
  <c r="BF45" i="27"/>
  <c r="BH45" i="27"/>
  <c r="BJ45" i="27"/>
  <c r="BL45" i="27"/>
  <c r="B46" i="27"/>
  <c r="D46" i="27"/>
  <c r="F46" i="27"/>
  <c r="H46" i="27"/>
  <c r="J46" i="27"/>
  <c r="L46" i="27"/>
  <c r="N46" i="27"/>
  <c r="P46" i="27"/>
  <c r="R46" i="27"/>
  <c r="T46" i="27"/>
  <c r="V46" i="27"/>
  <c r="X46" i="27"/>
  <c r="Z46" i="27"/>
  <c r="AB46" i="27"/>
  <c r="AD46" i="27"/>
  <c r="AF46" i="27"/>
  <c r="AH46" i="27"/>
  <c r="AJ46" i="27"/>
  <c r="AL46" i="27"/>
  <c r="AN46" i="27"/>
  <c r="AP46" i="27"/>
  <c r="AR46" i="27"/>
  <c r="AT46" i="27"/>
  <c r="AV46" i="27"/>
  <c r="AX46" i="27"/>
  <c r="AZ46" i="27"/>
  <c r="BB46" i="27"/>
  <c r="BD46" i="27"/>
  <c r="BF46" i="27"/>
  <c r="BH46" i="27"/>
  <c r="BJ46" i="27"/>
  <c r="BL46" i="27"/>
  <c r="B47" i="27"/>
  <c r="D47" i="27"/>
  <c r="F47" i="27"/>
  <c r="H47" i="27"/>
  <c r="J47" i="27"/>
  <c r="L47" i="27"/>
  <c r="N47" i="27"/>
  <c r="P47" i="27"/>
  <c r="R47" i="27"/>
  <c r="T47" i="27"/>
  <c r="V47" i="27"/>
  <c r="X47" i="27"/>
  <c r="Z47" i="27"/>
  <c r="AB47" i="27"/>
  <c r="AD47" i="27"/>
  <c r="AF47" i="27"/>
  <c r="AH47" i="27"/>
  <c r="AJ47" i="27"/>
  <c r="AL47" i="27"/>
  <c r="AN47" i="27"/>
  <c r="AP47" i="27"/>
  <c r="AR47" i="27"/>
  <c r="AT47" i="27"/>
  <c r="AV47" i="27"/>
  <c r="AX47" i="27"/>
  <c r="AZ47" i="27"/>
  <c r="BB47" i="27"/>
  <c r="BD47" i="27"/>
  <c r="BF47" i="27"/>
  <c r="BH47" i="27"/>
  <c r="BJ47" i="27"/>
  <c r="BL47" i="27"/>
  <c r="B48" i="27"/>
  <c r="D48" i="27"/>
  <c r="F48" i="27"/>
  <c r="H48" i="27"/>
  <c r="J48" i="27"/>
  <c r="L48" i="27"/>
  <c r="N48" i="27"/>
  <c r="P48" i="27"/>
  <c r="R48" i="27"/>
  <c r="T48" i="27"/>
  <c r="V48" i="27"/>
  <c r="X48" i="27"/>
  <c r="Z48" i="27"/>
  <c r="AB48" i="27"/>
  <c r="AD48" i="27"/>
  <c r="AF48" i="27"/>
  <c r="AH48" i="27"/>
  <c r="AJ48" i="27"/>
  <c r="AL48" i="27"/>
  <c r="AN48" i="27"/>
  <c r="AP48" i="27"/>
  <c r="AR48" i="27"/>
  <c r="AT48" i="27"/>
  <c r="AV48" i="27"/>
  <c r="AX48" i="27"/>
  <c r="AZ48" i="27"/>
  <c r="BB48" i="27"/>
  <c r="BD48" i="27"/>
  <c r="BF48" i="27"/>
  <c r="BH48" i="27"/>
  <c r="BJ48" i="27"/>
  <c r="BL48" i="27"/>
  <c r="B49" i="27"/>
  <c r="D49" i="27"/>
  <c r="F49" i="27"/>
  <c r="H49" i="27"/>
  <c r="J49" i="27"/>
  <c r="L49" i="27"/>
  <c r="N49" i="27"/>
  <c r="P49" i="27"/>
  <c r="R49" i="27"/>
  <c r="T49" i="27"/>
  <c r="V49" i="27"/>
  <c r="X49" i="27"/>
  <c r="Z49" i="27"/>
  <c r="AB49" i="27"/>
  <c r="AD49" i="27"/>
  <c r="AF49" i="27"/>
  <c r="AH49" i="27"/>
  <c r="AJ49" i="27"/>
  <c r="AL49" i="27"/>
  <c r="AN49" i="27"/>
  <c r="AP49" i="27"/>
  <c r="AR49" i="27"/>
  <c r="AT49" i="27"/>
  <c r="AV49" i="27"/>
  <c r="AX49" i="27"/>
  <c r="AZ49" i="27"/>
  <c r="BB49" i="27"/>
  <c r="BD49" i="27"/>
  <c r="BF49" i="27"/>
  <c r="BH49" i="27"/>
  <c r="BJ49" i="27"/>
  <c r="BL49" i="27"/>
  <c r="B50" i="27"/>
  <c r="D50" i="27"/>
  <c r="F50" i="27"/>
  <c r="H50" i="27"/>
  <c r="J50" i="27"/>
  <c r="L50" i="27"/>
  <c r="N50" i="27"/>
  <c r="P50" i="27"/>
  <c r="R50" i="27"/>
  <c r="T50" i="27"/>
  <c r="V50" i="27"/>
  <c r="X50" i="27"/>
  <c r="Z50" i="27"/>
  <c r="AB50" i="27"/>
  <c r="AD50" i="27"/>
  <c r="AF50" i="27"/>
  <c r="AH50" i="27"/>
  <c r="AJ50" i="27"/>
  <c r="AL50" i="27"/>
  <c r="AN50" i="27"/>
  <c r="AP50" i="27"/>
  <c r="AR50" i="27"/>
  <c r="AT50" i="27"/>
  <c r="AV50" i="27"/>
  <c r="AX50" i="27"/>
  <c r="AZ50" i="27"/>
  <c r="BB50" i="27"/>
  <c r="BD50" i="27"/>
  <c r="BF50" i="27"/>
  <c r="BH50" i="27"/>
  <c r="BJ50" i="27"/>
  <c r="BL50" i="27"/>
  <c r="B51" i="27"/>
  <c r="D51" i="27"/>
  <c r="F51" i="27"/>
  <c r="H51" i="27"/>
  <c r="J51" i="27"/>
  <c r="L51" i="27"/>
  <c r="N51" i="27"/>
  <c r="P51" i="27"/>
  <c r="R51" i="27"/>
  <c r="T51" i="27"/>
  <c r="V51" i="27"/>
  <c r="X51" i="27"/>
  <c r="Z51" i="27"/>
  <c r="AB51" i="27"/>
  <c r="AD51" i="27"/>
  <c r="AF51" i="27"/>
  <c r="AH51" i="27"/>
  <c r="AJ51" i="27"/>
  <c r="AL51" i="27"/>
  <c r="AN51" i="27"/>
  <c r="AP51" i="27"/>
  <c r="AR51" i="27"/>
  <c r="AT51" i="27"/>
  <c r="AV51" i="27"/>
  <c r="AX51" i="27"/>
  <c r="AZ51" i="27"/>
  <c r="BB51" i="27"/>
  <c r="BD51" i="27"/>
  <c r="BF51" i="27"/>
  <c r="BH51" i="27"/>
  <c r="BJ51" i="27"/>
  <c r="BL51" i="27"/>
  <c r="B52" i="27"/>
  <c r="D52" i="27"/>
  <c r="F52" i="27"/>
  <c r="H52" i="27"/>
  <c r="J52" i="27"/>
  <c r="L52" i="27"/>
  <c r="N52" i="27"/>
  <c r="P52" i="27"/>
  <c r="R52" i="27"/>
  <c r="T52" i="27"/>
  <c r="V52" i="27"/>
  <c r="X52" i="27"/>
  <c r="Z52" i="27"/>
  <c r="AB52" i="27"/>
  <c r="AD52" i="27"/>
  <c r="AF52" i="27"/>
  <c r="AH52" i="27"/>
  <c r="AJ52" i="27"/>
  <c r="AL52" i="27"/>
  <c r="AN52" i="27"/>
  <c r="AP52" i="27"/>
  <c r="AR52" i="27"/>
  <c r="AT52" i="27"/>
  <c r="AV52" i="27"/>
  <c r="AX52" i="27"/>
  <c r="AZ52" i="27"/>
  <c r="BB52" i="27"/>
  <c r="BD52" i="27"/>
  <c r="BF52" i="27"/>
  <c r="BH52" i="27"/>
  <c r="BJ52" i="27"/>
  <c r="BL52" i="27"/>
  <c r="B53" i="27"/>
  <c r="D53" i="27"/>
  <c r="F53" i="27"/>
  <c r="H53" i="27"/>
  <c r="J53" i="27"/>
  <c r="L53" i="27"/>
  <c r="N53" i="27"/>
  <c r="P53" i="27"/>
  <c r="R53" i="27"/>
  <c r="T53" i="27"/>
  <c r="V53" i="27"/>
  <c r="X53" i="27"/>
  <c r="Z53" i="27"/>
  <c r="AB53" i="27"/>
  <c r="AD53" i="27"/>
  <c r="AF53" i="27"/>
  <c r="AH53" i="27"/>
  <c r="AJ53" i="27"/>
  <c r="AL53" i="27"/>
  <c r="AN53" i="27"/>
  <c r="AP53" i="27"/>
  <c r="AR53" i="27"/>
  <c r="AT53" i="27"/>
  <c r="AV53" i="27"/>
  <c r="AX53" i="27"/>
  <c r="AZ53" i="27"/>
  <c r="BB53" i="27"/>
  <c r="BD53" i="27"/>
  <c r="BF53" i="27"/>
  <c r="BH53" i="27"/>
  <c r="BJ53" i="27"/>
  <c r="BL53" i="27"/>
  <c r="B54" i="27"/>
  <c r="D54" i="27"/>
  <c r="F54" i="27"/>
  <c r="H54" i="27"/>
  <c r="J54" i="27"/>
  <c r="L54" i="27"/>
  <c r="N54" i="27"/>
  <c r="P54" i="27"/>
  <c r="R54" i="27"/>
  <c r="T54" i="27"/>
  <c r="V54" i="27"/>
  <c r="X54" i="27"/>
  <c r="Z54" i="27"/>
  <c r="AB54" i="27"/>
  <c r="AD54" i="27"/>
  <c r="AF54" i="27"/>
  <c r="AH54" i="27"/>
  <c r="AJ54" i="27"/>
  <c r="AL54" i="27"/>
  <c r="AN54" i="27"/>
  <c r="AP54" i="27"/>
  <c r="AR54" i="27"/>
  <c r="AT54" i="27"/>
  <c r="AV54" i="27"/>
  <c r="AX54" i="27"/>
  <c r="AZ54" i="27"/>
  <c r="BB54" i="27"/>
  <c r="BD54" i="27"/>
  <c r="BF54" i="27"/>
  <c r="BH54" i="27"/>
  <c r="BJ54" i="27"/>
  <c r="BL54" i="27"/>
  <c r="B55" i="27"/>
  <c r="D55" i="27"/>
  <c r="F55" i="27"/>
  <c r="H55" i="27"/>
  <c r="J55" i="27"/>
  <c r="L55" i="27"/>
  <c r="N55" i="27"/>
  <c r="P55" i="27"/>
  <c r="R55" i="27"/>
  <c r="T55" i="27"/>
  <c r="V55" i="27"/>
  <c r="X55" i="27"/>
  <c r="Z55" i="27"/>
  <c r="AB55" i="27"/>
  <c r="AD55" i="27"/>
  <c r="AF55" i="27"/>
  <c r="AH55" i="27"/>
  <c r="AJ55" i="27"/>
  <c r="AL55" i="27"/>
  <c r="AN55" i="27"/>
  <c r="AP55" i="27"/>
  <c r="AR55" i="27"/>
  <c r="AT55" i="27"/>
  <c r="AV55" i="27"/>
  <c r="AX55" i="27"/>
  <c r="AZ55" i="27"/>
  <c r="BB55" i="27"/>
  <c r="BD55" i="27"/>
  <c r="BF55" i="27"/>
  <c r="BH55" i="27"/>
  <c r="BJ55" i="27"/>
  <c r="BL55" i="27"/>
  <c r="B56" i="27"/>
  <c r="D56" i="27"/>
  <c r="F56" i="27"/>
  <c r="H56" i="27"/>
  <c r="J56" i="27"/>
  <c r="L56" i="27"/>
  <c r="N56" i="27"/>
  <c r="P56" i="27"/>
  <c r="R56" i="27"/>
  <c r="T56" i="27"/>
  <c r="V56" i="27"/>
  <c r="X56" i="27"/>
  <c r="Z56" i="27"/>
  <c r="AB56" i="27"/>
  <c r="AD56" i="27"/>
  <c r="AF56" i="27"/>
  <c r="AH56" i="27"/>
  <c r="AJ56" i="27"/>
  <c r="AL56" i="27"/>
  <c r="AN56" i="27"/>
  <c r="AP56" i="27"/>
  <c r="AR56" i="27"/>
  <c r="AT56" i="27"/>
  <c r="AV56" i="27"/>
  <c r="AX56" i="27"/>
  <c r="AZ56" i="27"/>
  <c r="BB56" i="27"/>
  <c r="BD56" i="27"/>
  <c r="BF56" i="27"/>
  <c r="BH56" i="27"/>
  <c r="BJ56" i="27"/>
  <c r="BL56" i="27"/>
  <c r="B57" i="27"/>
  <c r="D57" i="27"/>
  <c r="F57" i="27"/>
  <c r="H57" i="27"/>
  <c r="J57" i="27"/>
  <c r="L57" i="27"/>
  <c r="N57" i="27"/>
  <c r="P57" i="27"/>
  <c r="R57" i="27"/>
  <c r="T57" i="27"/>
  <c r="V57" i="27"/>
  <c r="X57" i="27"/>
  <c r="Z57" i="27"/>
  <c r="AB57" i="27"/>
  <c r="AD57" i="27"/>
  <c r="AF57" i="27"/>
  <c r="AH57" i="27"/>
  <c r="AJ57" i="27"/>
  <c r="AL57" i="27"/>
  <c r="AN57" i="27"/>
  <c r="AP57" i="27"/>
  <c r="AR57" i="27"/>
  <c r="AT57" i="27"/>
  <c r="AV57" i="27"/>
  <c r="AX57" i="27"/>
  <c r="AZ57" i="27"/>
  <c r="BB57" i="27"/>
  <c r="BD57" i="27"/>
  <c r="BF57" i="27"/>
  <c r="BH57" i="27"/>
  <c r="BJ57" i="27"/>
  <c r="BL57" i="27"/>
  <c r="B58" i="27"/>
  <c r="D58" i="27"/>
  <c r="F58" i="27"/>
  <c r="H58" i="27"/>
  <c r="J58" i="27"/>
  <c r="L58" i="27"/>
  <c r="N58" i="27"/>
  <c r="P58" i="27"/>
  <c r="R58" i="27"/>
  <c r="T58" i="27"/>
  <c r="V58" i="27"/>
  <c r="X58" i="27"/>
  <c r="Z58" i="27"/>
  <c r="AB58" i="27"/>
  <c r="AD58" i="27"/>
  <c r="AF58" i="27"/>
  <c r="AH58" i="27"/>
  <c r="AJ58" i="27"/>
  <c r="AL58" i="27"/>
  <c r="AN58" i="27"/>
  <c r="AP58" i="27"/>
  <c r="AR58" i="27"/>
  <c r="AT58" i="27"/>
  <c r="AV58" i="27"/>
  <c r="AX58" i="27"/>
  <c r="AZ58" i="27"/>
  <c r="BB58" i="27"/>
  <c r="BD58" i="27"/>
  <c r="BF58" i="27"/>
  <c r="BH58" i="27"/>
  <c r="BJ58" i="27"/>
  <c r="BL58" i="27"/>
  <c r="B59" i="27"/>
  <c r="D59" i="27"/>
  <c r="F59" i="27"/>
  <c r="H59" i="27"/>
  <c r="J59" i="27"/>
  <c r="L59" i="27"/>
  <c r="N59" i="27"/>
  <c r="P59" i="27"/>
  <c r="R59" i="27"/>
  <c r="T59" i="27"/>
  <c r="V59" i="27"/>
  <c r="X59" i="27"/>
  <c r="Z59" i="27"/>
  <c r="AB59" i="27"/>
  <c r="AD59" i="27"/>
  <c r="AF59" i="27"/>
  <c r="AH59" i="27"/>
  <c r="AJ59" i="27"/>
  <c r="AL59" i="27"/>
  <c r="AN59" i="27"/>
  <c r="AP59" i="27"/>
  <c r="AR59" i="27"/>
  <c r="AT59" i="27"/>
  <c r="AV59" i="27"/>
  <c r="AX59" i="27"/>
  <c r="AZ59" i="27"/>
  <c r="BB59" i="27"/>
  <c r="BD59" i="27"/>
  <c r="BF59" i="27"/>
  <c r="BH59" i="27"/>
  <c r="BJ59" i="27"/>
  <c r="BL59" i="27"/>
  <c r="B60" i="27"/>
  <c r="D60" i="27"/>
  <c r="F60" i="27"/>
  <c r="H60" i="27"/>
  <c r="J60" i="27"/>
  <c r="L60" i="27"/>
  <c r="N60" i="27"/>
  <c r="P60" i="27"/>
  <c r="R60" i="27"/>
  <c r="T60" i="27"/>
  <c r="V60" i="27"/>
  <c r="X60" i="27"/>
  <c r="Z60" i="27"/>
  <c r="AB60" i="27"/>
  <c r="AD60" i="27"/>
  <c r="AF60" i="27"/>
  <c r="AH60" i="27"/>
  <c r="AJ60" i="27"/>
  <c r="AL60" i="27"/>
  <c r="AN60" i="27"/>
  <c r="AP60" i="27"/>
  <c r="AR60" i="27"/>
  <c r="AT60" i="27"/>
  <c r="AV60" i="27"/>
  <c r="AX60" i="27"/>
  <c r="AZ60" i="27"/>
  <c r="BB60" i="27"/>
  <c r="BD60" i="27"/>
  <c r="BF60" i="27"/>
  <c r="BH60" i="27"/>
  <c r="BJ60" i="27"/>
  <c r="BL60" i="27"/>
  <c r="B61" i="27"/>
  <c r="D61" i="27"/>
  <c r="F61" i="27"/>
  <c r="H61" i="27"/>
  <c r="J61" i="27"/>
  <c r="L61" i="27"/>
  <c r="N61" i="27"/>
  <c r="P61" i="27"/>
  <c r="R61" i="27"/>
  <c r="T61" i="27"/>
  <c r="V61" i="27"/>
  <c r="X61" i="27"/>
  <c r="Z61" i="27"/>
  <c r="AB61" i="27"/>
  <c r="AD61" i="27"/>
  <c r="AF61" i="27"/>
  <c r="AH61" i="27"/>
  <c r="AJ61" i="27"/>
  <c r="AL61" i="27"/>
  <c r="AN61" i="27"/>
  <c r="AP61" i="27"/>
  <c r="AR61" i="27"/>
  <c r="AT61" i="27"/>
  <c r="AV61" i="27"/>
  <c r="AX61" i="27"/>
  <c r="AZ61" i="27"/>
  <c r="BB61" i="27"/>
  <c r="BD61" i="27"/>
  <c r="BF61" i="27"/>
  <c r="BH61" i="27"/>
  <c r="BJ61" i="27"/>
  <c r="BL61" i="27"/>
  <c r="B62" i="27"/>
  <c r="D62" i="27"/>
  <c r="F62" i="27"/>
  <c r="H62" i="27"/>
  <c r="J62" i="27"/>
  <c r="L62" i="27"/>
  <c r="N62" i="27"/>
  <c r="P62" i="27"/>
  <c r="R62" i="27"/>
  <c r="T62" i="27"/>
  <c r="V62" i="27"/>
  <c r="X62" i="27"/>
  <c r="Z62" i="27"/>
  <c r="AB62" i="27"/>
  <c r="AD62" i="27"/>
  <c r="AF62" i="27"/>
  <c r="AH62" i="27"/>
  <c r="AJ62" i="27"/>
  <c r="AL62" i="27"/>
  <c r="AN62" i="27"/>
  <c r="AP62" i="27"/>
  <c r="AR62" i="27"/>
  <c r="AT62" i="27"/>
  <c r="AV62" i="27"/>
  <c r="AX62" i="27"/>
  <c r="AZ62" i="27"/>
  <c r="BB62" i="27"/>
  <c r="BD62" i="27"/>
  <c r="BF62" i="27"/>
  <c r="BH62" i="27"/>
  <c r="BJ62" i="27"/>
  <c r="BL62" i="27"/>
  <c r="B63" i="27"/>
  <c r="D63" i="27"/>
  <c r="F63" i="27"/>
  <c r="H63" i="27"/>
  <c r="J63" i="27"/>
  <c r="L63" i="27"/>
  <c r="N63" i="27"/>
  <c r="P63" i="27"/>
  <c r="R63" i="27"/>
  <c r="T63" i="27"/>
  <c r="V63" i="27"/>
  <c r="X63" i="27"/>
  <c r="Z63" i="27"/>
  <c r="AB63" i="27"/>
  <c r="AD63" i="27"/>
  <c r="AF63" i="27"/>
  <c r="AH63" i="27"/>
  <c r="AJ63" i="27"/>
  <c r="AL63" i="27"/>
  <c r="AN63" i="27"/>
  <c r="AP63" i="27"/>
  <c r="AR63" i="27"/>
  <c r="AT63" i="27"/>
  <c r="AV63" i="27"/>
  <c r="AX63" i="27"/>
  <c r="AZ63" i="27"/>
  <c r="BB63" i="27"/>
  <c r="BD63" i="27"/>
  <c r="BF63" i="27"/>
  <c r="BH63" i="27"/>
  <c r="BJ63" i="27"/>
  <c r="BL63" i="27"/>
  <c r="B64" i="27"/>
  <c r="D64" i="27"/>
  <c r="F64" i="27"/>
  <c r="H64" i="27"/>
  <c r="J64" i="27"/>
  <c r="L64" i="27"/>
  <c r="N64" i="27"/>
  <c r="P64" i="27"/>
  <c r="R64" i="27"/>
  <c r="T64" i="27"/>
  <c r="V64" i="27"/>
  <c r="X64" i="27"/>
  <c r="Z64" i="27"/>
  <c r="AB64" i="27"/>
  <c r="AD64" i="27"/>
  <c r="AF64" i="27"/>
  <c r="AH64" i="27"/>
  <c r="AJ64" i="27"/>
  <c r="AL64" i="27"/>
  <c r="AN64" i="27"/>
  <c r="AP64" i="27"/>
  <c r="AR64" i="27"/>
  <c r="AT64" i="27"/>
  <c r="AV64" i="27"/>
  <c r="AX64" i="27"/>
  <c r="AZ64" i="27"/>
  <c r="BB64" i="27"/>
  <c r="BD64" i="27"/>
  <c r="BF64" i="27"/>
  <c r="BH64" i="27"/>
  <c r="BJ64" i="27"/>
  <c r="BL64" i="27"/>
  <c r="B65" i="27"/>
  <c r="D65" i="27"/>
  <c r="F65" i="27"/>
  <c r="H65" i="27"/>
  <c r="J65" i="27"/>
  <c r="L65" i="27"/>
  <c r="N65" i="27"/>
  <c r="P65" i="27"/>
  <c r="R65" i="27"/>
  <c r="T65" i="27"/>
  <c r="V65" i="27"/>
  <c r="X65" i="27"/>
  <c r="Z65" i="27"/>
  <c r="AB65" i="27"/>
  <c r="AD65" i="27"/>
  <c r="AF65" i="27"/>
  <c r="AH65" i="27"/>
  <c r="AJ65" i="27"/>
  <c r="AL65" i="27"/>
  <c r="AN65" i="27"/>
  <c r="AP65" i="27"/>
  <c r="AR65" i="27"/>
  <c r="AT65" i="27"/>
  <c r="AV65" i="27"/>
  <c r="AX65" i="27"/>
  <c r="AZ65" i="27"/>
  <c r="BB65" i="27"/>
  <c r="BD65" i="27"/>
  <c r="BF65" i="27"/>
  <c r="BH65" i="27"/>
  <c r="BJ65" i="27"/>
  <c r="BL65" i="27"/>
  <c r="B66" i="27"/>
  <c r="D66" i="27"/>
  <c r="F66" i="27"/>
  <c r="H66" i="27"/>
  <c r="J66" i="27"/>
  <c r="L66" i="27"/>
  <c r="N66" i="27"/>
  <c r="P66" i="27"/>
  <c r="R66" i="27"/>
  <c r="T66" i="27"/>
  <c r="V66" i="27"/>
  <c r="X66" i="27"/>
  <c r="Z66" i="27"/>
  <c r="AB66" i="27"/>
  <c r="AD66" i="27"/>
  <c r="AF66" i="27"/>
  <c r="AH66" i="27"/>
  <c r="AJ66" i="27"/>
  <c r="AL66" i="27"/>
  <c r="AN66" i="27"/>
  <c r="AP66" i="27"/>
  <c r="AR66" i="27"/>
  <c r="AT66" i="27"/>
  <c r="AV66" i="27"/>
  <c r="AX66" i="27"/>
  <c r="AZ66" i="27"/>
  <c r="BB66" i="27"/>
  <c r="BD66" i="27"/>
  <c r="BF66" i="27"/>
  <c r="BH66" i="27"/>
  <c r="BJ66" i="27"/>
  <c r="BL66" i="27"/>
  <c r="B67" i="27"/>
  <c r="D67" i="27"/>
  <c r="F67" i="27"/>
  <c r="H67" i="27"/>
  <c r="J67" i="27"/>
  <c r="L67" i="27"/>
  <c r="N67" i="27"/>
  <c r="P67" i="27"/>
  <c r="R67" i="27"/>
  <c r="T67" i="27"/>
  <c r="V67" i="27"/>
  <c r="X67" i="27"/>
  <c r="Z67" i="27"/>
  <c r="AB67" i="27"/>
  <c r="AD67" i="27"/>
  <c r="AF67" i="27"/>
  <c r="AH67" i="27"/>
  <c r="AJ67" i="27"/>
  <c r="AL67" i="27"/>
  <c r="AN67" i="27"/>
  <c r="AP67" i="27"/>
  <c r="AR67" i="27"/>
  <c r="AT67" i="27"/>
  <c r="AV67" i="27"/>
  <c r="AX67" i="27"/>
  <c r="AZ67" i="27"/>
  <c r="BB67" i="27"/>
  <c r="BD67" i="27"/>
  <c r="BF67" i="27"/>
  <c r="BH67" i="27"/>
  <c r="BJ67" i="27"/>
  <c r="BL67" i="27"/>
  <c r="B68" i="27"/>
  <c r="D68" i="27"/>
  <c r="F68" i="27"/>
  <c r="H68" i="27"/>
  <c r="J68" i="27"/>
  <c r="L68" i="27"/>
  <c r="N68" i="27"/>
  <c r="P68" i="27"/>
  <c r="R68" i="27"/>
  <c r="T68" i="27"/>
  <c r="V68" i="27"/>
  <c r="X68" i="27"/>
  <c r="Z68" i="27"/>
  <c r="AB68" i="27"/>
  <c r="AD68" i="27"/>
  <c r="AF68" i="27"/>
  <c r="AH68" i="27"/>
  <c r="AJ68" i="27"/>
  <c r="AL68" i="27"/>
  <c r="AN68" i="27"/>
  <c r="AP68" i="27"/>
  <c r="AR68" i="27"/>
  <c r="AT68" i="27"/>
  <c r="AV68" i="27"/>
  <c r="AX68" i="27"/>
  <c r="AZ68" i="27"/>
  <c r="BB68" i="27"/>
  <c r="BD68" i="27"/>
  <c r="BF68" i="27"/>
  <c r="BH68" i="27"/>
  <c r="BJ68" i="27"/>
  <c r="BL68" i="27"/>
  <c r="B69" i="27"/>
  <c r="D69" i="27"/>
  <c r="F69" i="27"/>
  <c r="H69" i="27"/>
  <c r="J69" i="27"/>
  <c r="L69" i="27"/>
  <c r="N69" i="27"/>
  <c r="P69" i="27"/>
  <c r="R69" i="27"/>
  <c r="T69" i="27"/>
  <c r="V69" i="27"/>
  <c r="X69" i="27"/>
  <c r="Z69" i="27"/>
  <c r="AB69" i="27"/>
  <c r="AD69" i="27"/>
  <c r="AF69" i="27"/>
  <c r="AH69" i="27"/>
  <c r="AJ69" i="27"/>
  <c r="AL69" i="27"/>
  <c r="AN69" i="27"/>
  <c r="AP69" i="27"/>
  <c r="AR69" i="27"/>
  <c r="AT69" i="27"/>
  <c r="AV69" i="27"/>
  <c r="AX69" i="27"/>
  <c r="AZ69" i="27"/>
  <c r="BB69" i="27"/>
  <c r="BD69" i="27"/>
  <c r="BF69" i="27"/>
  <c r="BH69" i="27"/>
  <c r="BJ69" i="27"/>
  <c r="BL69" i="27"/>
  <c r="B70" i="27"/>
  <c r="D70" i="27"/>
  <c r="F70" i="27"/>
  <c r="H70" i="27"/>
  <c r="J70" i="27"/>
  <c r="L70" i="27"/>
  <c r="N70" i="27"/>
  <c r="P70" i="27"/>
  <c r="R70" i="27"/>
  <c r="T70" i="27"/>
  <c r="V70" i="27"/>
  <c r="X70" i="27"/>
  <c r="Z70" i="27"/>
  <c r="AB70" i="27"/>
  <c r="AD70" i="27"/>
  <c r="AF70" i="27"/>
  <c r="AH70" i="27"/>
  <c r="AJ70" i="27"/>
  <c r="AL70" i="27"/>
  <c r="AN70" i="27"/>
  <c r="AP70" i="27"/>
  <c r="AR70" i="27"/>
  <c r="AT70" i="27"/>
  <c r="AV70" i="27"/>
  <c r="AX70" i="27"/>
  <c r="AZ70" i="27"/>
  <c r="BB70" i="27"/>
  <c r="BD70" i="27"/>
  <c r="BF70" i="27"/>
  <c r="BH70" i="27"/>
  <c r="BJ70" i="27"/>
  <c r="BL70" i="27"/>
  <c r="B71" i="27"/>
  <c r="D71" i="27"/>
  <c r="F71" i="27"/>
  <c r="H71" i="27"/>
  <c r="J71" i="27"/>
  <c r="L71" i="27"/>
  <c r="N71" i="27"/>
  <c r="P71" i="27"/>
  <c r="R71" i="27"/>
  <c r="T71" i="27"/>
  <c r="V71" i="27"/>
  <c r="X71" i="27"/>
  <c r="Z71" i="27"/>
  <c r="AB71" i="27"/>
  <c r="AD71" i="27"/>
  <c r="AF71" i="27"/>
  <c r="AH71" i="27"/>
  <c r="AJ71" i="27"/>
  <c r="AL71" i="27"/>
  <c r="AN71" i="27"/>
  <c r="AP71" i="27"/>
  <c r="AR71" i="27"/>
  <c r="AT71" i="27"/>
  <c r="AV71" i="27"/>
  <c r="AX71" i="27"/>
  <c r="AZ71" i="27"/>
  <c r="BB71" i="27"/>
  <c r="BD71" i="27"/>
  <c r="BF71" i="27"/>
  <c r="BH71" i="27"/>
  <c r="BJ71" i="27"/>
  <c r="BL71" i="27"/>
  <c r="B72" i="27"/>
  <c r="D72" i="27"/>
  <c r="F72" i="27"/>
  <c r="H72" i="27"/>
  <c r="J72" i="27"/>
  <c r="L72" i="27"/>
  <c r="N72" i="27"/>
  <c r="P72" i="27"/>
  <c r="R72" i="27"/>
  <c r="T72" i="27"/>
  <c r="V72" i="27"/>
  <c r="X72" i="27"/>
  <c r="Z72" i="27"/>
  <c r="AB72" i="27"/>
  <c r="AD72" i="27"/>
  <c r="AF72" i="27"/>
  <c r="AH72" i="27"/>
  <c r="AJ72" i="27"/>
  <c r="AL72" i="27"/>
  <c r="AN72" i="27"/>
  <c r="AP72" i="27"/>
  <c r="AR72" i="27"/>
  <c r="AT72" i="27"/>
  <c r="AV72" i="27"/>
  <c r="AX72" i="27"/>
  <c r="AZ72" i="27"/>
  <c r="BB72" i="27"/>
  <c r="BD72" i="27"/>
  <c r="BF72" i="27"/>
  <c r="BH72" i="27"/>
  <c r="BJ72" i="27"/>
  <c r="BL72" i="27"/>
  <c r="B73" i="27"/>
  <c r="D73" i="27"/>
  <c r="F73" i="27"/>
  <c r="H73" i="27"/>
  <c r="J73" i="27"/>
  <c r="L73" i="27"/>
  <c r="N73" i="27"/>
  <c r="P73" i="27"/>
  <c r="R73" i="27"/>
  <c r="T73" i="27"/>
  <c r="V73" i="27"/>
  <c r="X73" i="27"/>
  <c r="Z73" i="27"/>
  <c r="AB73" i="27"/>
  <c r="AD73" i="27"/>
  <c r="AF73" i="27"/>
  <c r="AH73" i="27"/>
  <c r="AJ73" i="27"/>
  <c r="AL73" i="27"/>
  <c r="AN73" i="27"/>
  <c r="AP73" i="27"/>
  <c r="AR73" i="27"/>
  <c r="AT73" i="27"/>
  <c r="AV73" i="27"/>
  <c r="AX73" i="27"/>
  <c r="AZ73" i="27"/>
  <c r="BB73" i="27"/>
  <c r="BD73" i="27"/>
  <c r="BF73" i="27"/>
  <c r="BH73" i="27"/>
  <c r="BJ73" i="27"/>
  <c r="BL73" i="27"/>
  <c r="B74" i="27"/>
  <c r="D74" i="27"/>
  <c r="F74" i="27"/>
  <c r="H74" i="27"/>
  <c r="J74" i="27"/>
  <c r="L74" i="27"/>
  <c r="N74" i="27"/>
  <c r="P74" i="27"/>
  <c r="R74" i="27"/>
  <c r="T74" i="27"/>
  <c r="V74" i="27"/>
  <c r="X74" i="27"/>
  <c r="Z74" i="27"/>
  <c r="AB74" i="27"/>
  <c r="AD74" i="27"/>
  <c r="AF74" i="27"/>
  <c r="AH74" i="27"/>
  <c r="AJ74" i="27"/>
  <c r="AL74" i="27"/>
  <c r="AN74" i="27"/>
  <c r="AP74" i="27"/>
  <c r="AR74" i="27"/>
  <c r="AT74" i="27"/>
  <c r="AV74" i="27"/>
  <c r="AX74" i="27"/>
  <c r="AZ74" i="27"/>
  <c r="BB74" i="27"/>
  <c r="BD74" i="27"/>
  <c r="BF74" i="27"/>
  <c r="BH74" i="27"/>
  <c r="BJ74" i="27"/>
  <c r="BL74" i="27"/>
  <c r="B75" i="27"/>
  <c r="D75" i="27"/>
  <c r="F75" i="27"/>
  <c r="H75" i="27"/>
  <c r="J75" i="27"/>
  <c r="L75" i="27"/>
  <c r="N75" i="27"/>
  <c r="P75" i="27"/>
  <c r="R75" i="27"/>
  <c r="T75" i="27"/>
  <c r="V75" i="27"/>
  <c r="X75" i="27"/>
  <c r="Z75" i="27"/>
  <c r="AB75" i="27"/>
  <c r="AD75" i="27"/>
  <c r="AF75" i="27"/>
  <c r="AH75" i="27"/>
  <c r="AJ75" i="27"/>
  <c r="AL75" i="27"/>
  <c r="AN75" i="27"/>
  <c r="AP75" i="27"/>
  <c r="AR75" i="27"/>
  <c r="AT75" i="27"/>
  <c r="AV75" i="27"/>
  <c r="AX75" i="27"/>
  <c r="AZ75" i="27"/>
  <c r="BB75" i="27"/>
  <c r="BD75" i="27"/>
  <c r="BF75" i="27"/>
  <c r="BH75" i="27"/>
  <c r="BJ75" i="27"/>
  <c r="BL75" i="27"/>
  <c r="B76" i="27"/>
  <c r="D76" i="27"/>
  <c r="F76" i="27"/>
  <c r="H76" i="27"/>
  <c r="J76" i="27"/>
  <c r="L76" i="27"/>
  <c r="N76" i="27"/>
  <c r="P76" i="27"/>
  <c r="R76" i="27"/>
  <c r="T76" i="27"/>
  <c r="V76" i="27"/>
  <c r="X76" i="27"/>
  <c r="Z76" i="27"/>
  <c r="AB76" i="27"/>
  <c r="AD76" i="27"/>
  <c r="AF76" i="27"/>
  <c r="AH76" i="27"/>
  <c r="AJ76" i="27"/>
  <c r="AL76" i="27"/>
  <c r="AN76" i="27"/>
  <c r="AP76" i="27"/>
  <c r="AR76" i="27"/>
  <c r="AT76" i="27"/>
  <c r="AV76" i="27"/>
  <c r="AX76" i="27"/>
  <c r="AZ76" i="27"/>
  <c r="BB76" i="27"/>
  <c r="BD76" i="27"/>
  <c r="BF76" i="27"/>
  <c r="BH76" i="27"/>
  <c r="BJ76" i="27"/>
  <c r="BL76" i="27"/>
  <c r="B77" i="27"/>
  <c r="D77" i="27"/>
  <c r="F77" i="27"/>
  <c r="H77" i="27"/>
  <c r="J77" i="27"/>
  <c r="L77" i="27"/>
  <c r="N77" i="27"/>
  <c r="P77" i="27"/>
  <c r="R77" i="27"/>
  <c r="T77" i="27"/>
  <c r="V77" i="27"/>
  <c r="X77" i="27"/>
  <c r="Z77" i="27"/>
  <c r="AB77" i="27"/>
  <c r="AD77" i="27"/>
  <c r="AF77" i="27"/>
  <c r="AH77" i="27"/>
  <c r="AJ77" i="27"/>
  <c r="AL77" i="27"/>
  <c r="AN77" i="27"/>
  <c r="AP77" i="27"/>
  <c r="AR77" i="27"/>
  <c r="AT77" i="27"/>
  <c r="AV77" i="27"/>
  <c r="AX77" i="27"/>
  <c r="AZ77" i="27"/>
  <c r="BB77" i="27"/>
  <c r="BD77" i="27"/>
  <c r="BF77" i="27"/>
  <c r="BH77" i="27"/>
  <c r="BJ77" i="27"/>
  <c r="BL77" i="27"/>
  <c r="B78" i="27"/>
  <c r="D78" i="27"/>
  <c r="F78" i="27"/>
  <c r="H78" i="27"/>
  <c r="J78" i="27"/>
  <c r="L78" i="27"/>
  <c r="N78" i="27"/>
  <c r="P78" i="27"/>
  <c r="R78" i="27"/>
  <c r="T78" i="27"/>
  <c r="V78" i="27"/>
  <c r="X78" i="27"/>
  <c r="Z78" i="27"/>
  <c r="AB78" i="27"/>
  <c r="AD78" i="27"/>
  <c r="AF78" i="27"/>
  <c r="AH78" i="27"/>
  <c r="AJ78" i="27"/>
  <c r="AL78" i="27"/>
  <c r="AN78" i="27"/>
  <c r="AP78" i="27"/>
  <c r="AR78" i="27"/>
  <c r="AT78" i="27"/>
  <c r="AV78" i="27"/>
  <c r="AX78" i="27"/>
  <c r="AZ78" i="27"/>
  <c r="BB78" i="27"/>
  <c r="BD78" i="27"/>
  <c r="BF78" i="27"/>
  <c r="BH78" i="27"/>
  <c r="BJ78" i="27"/>
  <c r="BL78" i="27"/>
  <c r="B79" i="27"/>
  <c r="D79" i="27"/>
  <c r="F79" i="27"/>
  <c r="H79" i="27"/>
  <c r="J79" i="27"/>
  <c r="L79" i="27"/>
  <c r="N79" i="27"/>
  <c r="P79" i="27"/>
  <c r="R79" i="27"/>
  <c r="T79" i="27"/>
  <c r="V79" i="27"/>
  <c r="X79" i="27"/>
  <c r="Z79" i="27"/>
  <c r="AB79" i="27"/>
  <c r="AD79" i="27"/>
  <c r="AF79" i="27"/>
  <c r="AH79" i="27"/>
  <c r="AJ79" i="27"/>
  <c r="AL79" i="27"/>
  <c r="AN79" i="27"/>
  <c r="AP79" i="27"/>
  <c r="AR79" i="27"/>
  <c r="AT79" i="27"/>
  <c r="AV79" i="27"/>
  <c r="AX79" i="27"/>
  <c r="AZ79" i="27"/>
  <c r="BB79" i="27"/>
  <c r="BD79" i="27"/>
  <c r="BF79" i="27"/>
  <c r="BH79" i="27"/>
  <c r="BJ79" i="27"/>
  <c r="BL79" i="27"/>
  <c r="B80" i="27"/>
  <c r="D80" i="27"/>
  <c r="F80" i="27"/>
  <c r="H80" i="27"/>
  <c r="J80" i="27"/>
  <c r="L80" i="27"/>
  <c r="N80" i="27"/>
  <c r="P80" i="27"/>
  <c r="R80" i="27"/>
  <c r="T80" i="27"/>
  <c r="V80" i="27"/>
  <c r="X80" i="27"/>
  <c r="Z80" i="27"/>
  <c r="AB80" i="27"/>
  <c r="AD80" i="27"/>
  <c r="AF80" i="27"/>
  <c r="AH80" i="27"/>
  <c r="AJ80" i="27"/>
  <c r="AL80" i="27"/>
  <c r="AN80" i="27"/>
  <c r="AP80" i="27"/>
  <c r="AR80" i="27"/>
  <c r="AT80" i="27"/>
  <c r="AV80" i="27"/>
  <c r="AX80" i="27"/>
  <c r="AZ80" i="27"/>
  <c r="BB80" i="27"/>
  <c r="BD80" i="27"/>
  <c r="BF80" i="27"/>
  <c r="BH80" i="27"/>
  <c r="BJ80" i="27"/>
  <c r="BL80" i="27"/>
  <c r="B81" i="27"/>
  <c r="D81" i="27"/>
  <c r="F81" i="27"/>
  <c r="H81" i="27"/>
  <c r="J81" i="27"/>
  <c r="L81" i="27"/>
  <c r="N81" i="27"/>
  <c r="P81" i="27"/>
  <c r="R81" i="27"/>
  <c r="T81" i="27"/>
  <c r="V81" i="27"/>
  <c r="X81" i="27"/>
  <c r="Z81" i="27"/>
  <c r="AB81" i="27"/>
  <c r="AD81" i="27"/>
  <c r="AF81" i="27"/>
  <c r="AH81" i="27"/>
  <c r="AJ81" i="27"/>
  <c r="AL81" i="27"/>
  <c r="AN81" i="27"/>
  <c r="AP81" i="27"/>
  <c r="AR81" i="27"/>
  <c r="AT81" i="27"/>
  <c r="AV81" i="27"/>
  <c r="AX81" i="27"/>
  <c r="AZ81" i="27"/>
  <c r="BB81" i="27"/>
  <c r="BD81" i="27"/>
  <c r="BF81" i="27"/>
  <c r="BH81" i="27"/>
  <c r="BJ81" i="27"/>
  <c r="BL81" i="27"/>
  <c r="B82" i="27"/>
  <c r="D82" i="27"/>
  <c r="F82" i="27"/>
  <c r="H82" i="27"/>
  <c r="J82" i="27"/>
  <c r="L82" i="27"/>
  <c r="N82" i="27"/>
  <c r="P82" i="27"/>
  <c r="R82" i="27"/>
  <c r="T82" i="27"/>
  <c r="V82" i="27"/>
  <c r="X82" i="27"/>
  <c r="Z82" i="27"/>
  <c r="AB82" i="27"/>
  <c r="AD82" i="27"/>
  <c r="AF82" i="27"/>
  <c r="AH82" i="27"/>
  <c r="AJ82" i="27"/>
  <c r="AL82" i="27"/>
  <c r="AN82" i="27"/>
  <c r="AP82" i="27"/>
  <c r="AR82" i="27"/>
  <c r="AT82" i="27"/>
  <c r="AV82" i="27"/>
  <c r="AX82" i="27"/>
  <c r="AZ82" i="27"/>
  <c r="BB82" i="27"/>
  <c r="BD82" i="27"/>
  <c r="BF82" i="27"/>
  <c r="BH82" i="27"/>
  <c r="BJ82" i="27"/>
  <c r="BL82" i="27"/>
  <c r="B83" i="27"/>
  <c r="D83" i="27"/>
  <c r="F83" i="27"/>
  <c r="H83" i="27"/>
  <c r="J83" i="27"/>
  <c r="L83" i="27"/>
  <c r="N83" i="27"/>
  <c r="P83" i="27"/>
  <c r="R83" i="27"/>
  <c r="T83" i="27"/>
  <c r="V83" i="27"/>
  <c r="X83" i="27"/>
  <c r="Z83" i="27"/>
  <c r="AB83" i="27"/>
  <c r="AD83" i="27"/>
  <c r="AF83" i="27"/>
  <c r="AH83" i="27"/>
  <c r="AJ83" i="27"/>
  <c r="AL83" i="27"/>
  <c r="AN83" i="27"/>
  <c r="AP83" i="27"/>
  <c r="AR83" i="27"/>
  <c r="AT83" i="27"/>
  <c r="AV83" i="27"/>
  <c r="AX83" i="27"/>
  <c r="AZ83" i="27"/>
  <c r="BB83" i="27"/>
  <c r="BD83" i="27"/>
  <c r="BF83" i="27"/>
  <c r="BH83" i="27"/>
  <c r="BJ83" i="27"/>
  <c r="BL83" i="27"/>
  <c r="B84" i="27"/>
  <c r="D84" i="27"/>
  <c r="F84" i="27"/>
  <c r="H84" i="27"/>
  <c r="J84" i="27"/>
  <c r="L84" i="27"/>
  <c r="N84" i="27"/>
  <c r="P84" i="27"/>
  <c r="R84" i="27"/>
  <c r="T84" i="27"/>
  <c r="V84" i="27"/>
  <c r="X84" i="27"/>
  <c r="Z84" i="27"/>
  <c r="AB84" i="27"/>
  <c r="AD84" i="27"/>
  <c r="AF84" i="27"/>
  <c r="AH84" i="27"/>
  <c r="AJ84" i="27"/>
  <c r="AL84" i="27"/>
  <c r="AN84" i="27"/>
  <c r="AP84" i="27"/>
  <c r="AR84" i="27"/>
  <c r="AT84" i="27"/>
  <c r="AV84" i="27"/>
  <c r="AX84" i="27"/>
  <c r="AZ84" i="27"/>
  <c r="BB84" i="27"/>
  <c r="BD84" i="27"/>
  <c r="BF84" i="27"/>
  <c r="BH84" i="27"/>
  <c r="BJ84" i="27"/>
  <c r="BL84" i="27"/>
  <c r="B85" i="27"/>
  <c r="D85" i="27"/>
  <c r="F85" i="27"/>
  <c r="H85" i="27"/>
  <c r="J85" i="27"/>
  <c r="L85" i="27"/>
  <c r="N85" i="27"/>
  <c r="P85" i="27"/>
  <c r="R85" i="27"/>
  <c r="T85" i="27"/>
  <c r="V85" i="27"/>
  <c r="X85" i="27"/>
  <c r="Z85" i="27"/>
  <c r="AB85" i="27"/>
  <c r="AD85" i="27"/>
  <c r="AF85" i="27"/>
  <c r="AH85" i="27"/>
  <c r="AJ85" i="27"/>
  <c r="AL85" i="27"/>
  <c r="AN85" i="27"/>
  <c r="AP85" i="27"/>
  <c r="AR85" i="27"/>
  <c r="AT85" i="27"/>
  <c r="AV85" i="27"/>
  <c r="AX85" i="27"/>
  <c r="AZ85" i="27"/>
  <c r="BB85" i="27"/>
  <c r="BD85" i="27"/>
  <c r="BF85" i="27"/>
  <c r="BH85" i="27"/>
  <c r="BJ85" i="27"/>
  <c r="BL85" i="27"/>
  <c r="B86" i="27"/>
  <c r="D86" i="27"/>
  <c r="F86" i="27"/>
  <c r="H86" i="27"/>
  <c r="J86" i="27"/>
  <c r="L86" i="27"/>
  <c r="N86" i="27"/>
  <c r="P86" i="27"/>
  <c r="R86" i="27"/>
  <c r="T86" i="27"/>
  <c r="V86" i="27"/>
  <c r="X86" i="27"/>
  <c r="Z86" i="27"/>
  <c r="AB86" i="27"/>
  <c r="AD86" i="27"/>
  <c r="AF86" i="27"/>
  <c r="AH86" i="27"/>
  <c r="AJ86" i="27"/>
  <c r="AL86" i="27"/>
  <c r="AN86" i="27"/>
  <c r="AP86" i="27"/>
  <c r="AR86" i="27"/>
  <c r="AT86" i="27"/>
  <c r="AV86" i="27"/>
  <c r="AX86" i="27"/>
  <c r="AZ86" i="27"/>
  <c r="BB86" i="27"/>
  <c r="BD86" i="27"/>
  <c r="BF86" i="27"/>
  <c r="BH86" i="27"/>
  <c r="BJ86" i="27"/>
  <c r="BL86" i="27"/>
  <c r="B87" i="27"/>
  <c r="D87" i="27"/>
  <c r="F87" i="27"/>
  <c r="H87" i="27"/>
  <c r="J87" i="27"/>
  <c r="L87" i="27"/>
  <c r="N87" i="27"/>
  <c r="P87" i="27"/>
  <c r="R87" i="27"/>
  <c r="T87" i="27"/>
  <c r="V87" i="27"/>
  <c r="X87" i="27"/>
  <c r="Z87" i="27"/>
  <c r="AB87" i="27"/>
  <c r="AD87" i="27"/>
  <c r="AF87" i="27"/>
  <c r="AH87" i="27"/>
  <c r="AJ87" i="27"/>
  <c r="AL87" i="27"/>
  <c r="AN87" i="27"/>
  <c r="AP87" i="27"/>
  <c r="AR87" i="27"/>
  <c r="AT87" i="27"/>
  <c r="AV87" i="27"/>
  <c r="AX87" i="27"/>
  <c r="AZ87" i="27"/>
  <c r="BB87" i="27"/>
  <c r="BD87" i="27"/>
  <c r="BF87" i="27"/>
  <c r="BH87" i="27"/>
  <c r="BJ87" i="27"/>
  <c r="BL87" i="27"/>
  <c r="B88" i="27"/>
  <c r="D88" i="27"/>
  <c r="F88" i="27"/>
  <c r="H88" i="27"/>
  <c r="J88" i="27"/>
  <c r="L88" i="27"/>
  <c r="N88" i="27"/>
  <c r="P88" i="27"/>
  <c r="R88" i="27"/>
  <c r="T88" i="27"/>
  <c r="V88" i="27"/>
  <c r="X88" i="27"/>
  <c r="Z88" i="27"/>
  <c r="AB88" i="27"/>
  <c r="AD88" i="27"/>
  <c r="AF88" i="27"/>
  <c r="AH88" i="27"/>
  <c r="AJ88" i="27"/>
  <c r="AL88" i="27"/>
  <c r="AN88" i="27"/>
  <c r="AP88" i="27"/>
  <c r="AR88" i="27"/>
  <c r="AT88" i="27"/>
  <c r="AV88" i="27"/>
  <c r="AX88" i="27"/>
  <c r="AZ88" i="27"/>
  <c r="BB88" i="27"/>
  <c r="BD88" i="27"/>
  <c r="BF88" i="27"/>
  <c r="BH88" i="27"/>
  <c r="BJ88" i="27"/>
  <c r="BL88" i="27"/>
  <c r="B89" i="27"/>
  <c r="D89" i="27"/>
  <c r="F89" i="27"/>
  <c r="H89" i="27"/>
  <c r="J89" i="27"/>
  <c r="L89" i="27"/>
  <c r="N89" i="27"/>
  <c r="P89" i="27"/>
  <c r="R89" i="27"/>
  <c r="T89" i="27"/>
  <c r="V89" i="27"/>
  <c r="X89" i="27"/>
  <c r="Z89" i="27"/>
  <c r="AB89" i="27"/>
  <c r="AD89" i="27"/>
  <c r="AF89" i="27"/>
  <c r="AH89" i="27"/>
  <c r="AJ89" i="27"/>
  <c r="AL89" i="27"/>
  <c r="AN89" i="27"/>
  <c r="AP89" i="27"/>
  <c r="AR89" i="27"/>
  <c r="AT89" i="27"/>
  <c r="AV89" i="27"/>
  <c r="AX89" i="27"/>
  <c r="AZ89" i="27"/>
  <c r="BB89" i="27"/>
  <c r="BD89" i="27"/>
  <c r="BF89" i="27"/>
  <c r="BH89" i="27"/>
  <c r="BJ89" i="27"/>
  <c r="BL89" i="27"/>
  <c r="B90" i="27"/>
  <c r="D90" i="27"/>
  <c r="F90" i="27"/>
  <c r="H90" i="27"/>
  <c r="J90" i="27"/>
  <c r="L90" i="27"/>
  <c r="N90" i="27"/>
  <c r="P90" i="27"/>
  <c r="R90" i="27"/>
  <c r="T90" i="27"/>
  <c r="V90" i="27"/>
  <c r="X90" i="27"/>
  <c r="Z90" i="27"/>
  <c r="AB90" i="27"/>
  <c r="AD90" i="27"/>
  <c r="AF90" i="27"/>
  <c r="AH90" i="27"/>
  <c r="AJ90" i="27"/>
  <c r="AL90" i="27"/>
  <c r="AN90" i="27"/>
  <c r="AP90" i="27"/>
  <c r="AR90" i="27"/>
  <c r="AT90" i="27"/>
  <c r="AV90" i="27"/>
  <c r="AX90" i="27"/>
  <c r="AZ90" i="27"/>
  <c r="BB90" i="27"/>
  <c r="BD90" i="27"/>
  <c r="BF90" i="27"/>
  <c r="BH90" i="27"/>
  <c r="BJ90" i="27"/>
  <c r="BL90" i="27"/>
  <c r="B91" i="27"/>
  <c r="D91" i="27"/>
  <c r="F91" i="27"/>
  <c r="H91" i="27"/>
  <c r="J91" i="27"/>
  <c r="L91" i="27"/>
  <c r="N91" i="27"/>
  <c r="P91" i="27"/>
  <c r="R91" i="27"/>
  <c r="T91" i="27"/>
  <c r="V91" i="27"/>
  <c r="X91" i="27"/>
  <c r="Z91" i="27"/>
  <c r="AB91" i="27"/>
  <c r="AD91" i="27"/>
  <c r="AF91" i="27"/>
  <c r="AH91" i="27"/>
  <c r="AJ91" i="27"/>
  <c r="AL91" i="27"/>
  <c r="AN91" i="27"/>
  <c r="AP91" i="27"/>
  <c r="AR91" i="27"/>
  <c r="AT91" i="27"/>
  <c r="AV91" i="27"/>
  <c r="AX91" i="27"/>
  <c r="AZ91" i="27"/>
  <c r="BB91" i="27"/>
  <c r="BD91" i="27"/>
  <c r="BF91" i="27"/>
  <c r="BH91" i="27"/>
  <c r="BJ91" i="27"/>
  <c r="BL91" i="27"/>
  <c r="B92" i="27"/>
  <c r="D92" i="27"/>
  <c r="F92" i="27"/>
  <c r="H92" i="27"/>
  <c r="J92" i="27"/>
  <c r="L92" i="27"/>
  <c r="N92" i="27"/>
  <c r="P92" i="27"/>
  <c r="R92" i="27"/>
  <c r="T92" i="27"/>
  <c r="V92" i="27"/>
  <c r="X92" i="27"/>
  <c r="Z92" i="27"/>
  <c r="AB92" i="27"/>
  <c r="AD92" i="27"/>
  <c r="AF92" i="27"/>
  <c r="AH92" i="27"/>
  <c r="AJ92" i="27"/>
  <c r="AL92" i="27"/>
  <c r="AN92" i="27"/>
  <c r="AP92" i="27"/>
  <c r="AR92" i="27"/>
  <c r="AT92" i="27"/>
  <c r="AV92" i="27"/>
  <c r="AX92" i="27"/>
  <c r="AZ92" i="27"/>
  <c r="BB92" i="27"/>
  <c r="BD92" i="27"/>
  <c r="BF92" i="27"/>
  <c r="BH92" i="27"/>
  <c r="BJ92" i="27"/>
  <c r="BL92" i="27"/>
  <c r="B93" i="27"/>
  <c r="D93" i="27"/>
  <c r="F93" i="27"/>
  <c r="H93" i="27"/>
  <c r="J93" i="27"/>
  <c r="L93" i="27"/>
  <c r="N93" i="27"/>
  <c r="P93" i="27"/>
  <c r="R93" i="27"/>
  <c r="T93" i="27"/>
  <c r="V93" i="27"/>
  <c r="X93" i="27"/>
  <c r="Z93" i="27"/>
  <c r="AB93" i="27"/>
  <c r="AD93" i="27"/>
  <c r="AF93" i="27"/>
  <c r="AH93" i="27"/>
  <c r="AJ93" i="27"/>
  <c r="AL93" i="27"/>
  <c r="AN93" i="27"/>
  <c r="AP93" i="27"/>
  <c r="AR93" i="27"/>
  <c r="AT93" i="27"/>
  <c r="AV93" i="27"/>
  <c r="AX93" i="27"/>
  <c r="AZ93" i="27"/>
  <c r="BB93" i="27"/>
  <c r="BD93" i="27"/>
  <c r="BF93" i="27"/>
  <c r="BH93" i="27"/>
  <c r="BJ93" i="27"/>
  <c r="BL93" i="27"/>
  <c r="B94" i="27"/>
  <c r="D94" i="27"/>
  <c r="F94" i="27"/>
  <c r="H94" i="27"/>
  <c r="J94" i="27"/>
  <c r="L94" i="27"/>
  <c r="N94" i="27"/>
  <c r="P94" i="27"/>
  <c r="R94" i="27"/>
  <c r="T94" i="27"/>
  <c r="V94" i="27"/>
  <c r="X94" i="27"/>
  <c r="Z94" i="27"/>
  <c r="AB94" i="27"/>
  <c r="AD94" i="27"/>
  <c r="AF94" i="27"/>
  <c r="AH94" i="27"/>
  <c r="AJ94" i="27"/>
  <c r="AL94" i="27"/>
  <c r="AN94" i="27"/>
  <c r="AP94" i="27"/>
  <c r="AR94" i="27"/>
  <c r="AT94" i="27"/>
  <c r="AV94" i="27"/>
  <c r="AX94" i="27"/>
  <c r="AZ94" i="27"/>
  <c r="BB94" i="27"/>
  <c r="BD94" i="27"/>
  <c r="BF94" i="27"/>
  <c r="BH94" i="27"/>
  <c r="BJ94" i="27"/>
  <c r="BL94" i="27"/>
  <c r="B95" i="27"/>
  <c r="D95" i="27"/>
  <c r="F95" i="27"/>
  <c r="H95" i="27"/>
  <c r="J95" i="27"/>
  <c r="L95" i="27"/>
  <c r="N95" i="27"/>
  <c r="P95" i="27"/>
  <c r="R95" i="27"/>
  <c r="T95" i="27"/>
  <c r="V95" i="27"/>
  <c r="X95" i="27"/>
  <c r="Z95" i="27"/>
  <c r="AB95" i="27"/>
  <c r="AD95" i="27"/>
  <c r="AF95" i="27"/>
  <c r="AH95" i="27"/>
  <c r="AJ95" i="27"/>
  <c r="AL95" i="27"/>
  <c r="AN95" i="27"/>
  <c r="AP95" i="27"/>
  <c r="AR95" i="27"/>
  <c r="AT95" i="27"/>
  <c r="AV95" i="27"/>
  <c r="AX95" i="27"/>
  <c r="AZ95" i="27"/>
  <c r="BB95" i="27"/>
  <c r="BD95" i="27"/>
  <c r="BF95" i="27"/>
  <c r="BH95" i="27"/>
  <c r="BJ95" i="27"/>
  <c r="BL95" i="27"/>
  <c r="B96" i="27"/>
  <c r="D96" i="27"/>
  <c r="F96" i="27"/>
  <c r="H96" i="27"/>
  <c r="J96" i="27"/>
  <c r="L96" i="27"/>
  <c r="N96" i="27"/>
  <c r="P96" i="27"/>
  <c r="R96" i="27"/>
  <c r="T96" i="27"/>
  <c r="V96" i="27"/>
  <c r="X96" i="27"/>
  <c r="Z96" i="27"/>
  <c r="AB96" i="27"/>
  <c r="AD96" i="27"/>
  <c r="AF96" i="27"/>
  <c r="AH96" i="27"/>
  <c r="AJ96" i="27"/>
  <c r="AL96" i="27"/>
  <c r="AN96" i="27"/>
  <c r="AP96" i="27"/>
  <c r="AR96" i="27"/>
  <c r="AT96" i="27"/>
  <c r="AV96" i="27"/>
  <c r="AX96" i="27"/>
  <c r="AZ96" i="27"/>
  <c r="BB96" i="27"/>
  <c r="BD96" i="27"/>
  <c r="BF96" i="27"/>
  <c r="BH96" i="27"/>
  <c r="BJ96" i="27"/>
  <c r="BL96" i="27"/>
  <c r="B97" i="27"/>
  <c r="D97" i="27"/>
  <c r="F97" i="27"/>
  <c r="H97" i="27"/>
  <c r="J97" i="27"/>
  <c r="L97" i="27"/>
  <c r="N97" i="27"/>
  <c r="P97" i="27"/>
  <c r="R97" i="27"/>
  <c r="T97" i="27"/>
  <c r="V97" i="27"/>
  <c r="X97" i="27"/>
  <c r="Z97" i="27"/>
  <c r="AB97" i="27"/>
  <c r="AD97" i="27"/>
  <c r="AF97" i="27"/>
  <c r="AH97" i="27"/>
  <c r="AJ97" i="27"/>
  <c r="AL97" i="27"/>
  <c r="AN97" i="27"/>
  <c r="AP97" i="27"/>
  <c r="AR97" i="27"/>
  <c r="AT97" i="27"/>
  <c r="AV97" i="27"/>
  <c r="AX97" i="27"/>
  <c r="AZ97" i="27"/>
  <c r="BB97" i="27"/>
  <c r="BD97" i="27"/>
  <c r="BF97" i="27"/>
  <c r="BH97" i="27"/>
  <c r="BJ97" i="27"/>
  <c r="BL97" i="27"/>
  <c r="B98" i="27"/>
  <c r="D98" i="27"/>
  <c r="F98" i="27"/>
  <c r="H98" i="27"/>
  <c r="J98" i="27"/>
  <c r="L98" i="27"/>
  <c r="N98" i="27"/>
  <c r="P98" i="27"/>
  <c r="R98" i="27"/>
  <c r="T98" i="27"/>
  <c r="V98" i="27"/>
  <c r="X98" i="27"/>
  <c r="Z98" i="27"/>
  <c r="AB98" i="27"/>
  <c r="AD98" i="27"/>
  <c r="AF98" i="27"/>
  <c r="AH98" i="27"/>
  <c r="AJ98" i="27"/>
  <c r="AL98" i="27"/>
  <c r="AN98" i="27"/>
  <c r="AP98" i="27"/>
  <c r="AR98" i="27"/>
  <c r="AT98" i="27"/>
  <c r="AV98" i="27"/>
  <c r="AX98" i="27"/>
  <c r="AZ98" i="27"/>
  <c r="BB98" i="27"/>
  <c r="BD98" i="27"/>
  <c r="BF98" i="27"/>
  <c r="BH98" i="27"/>
  <c r="BJ98" i="27"/>
  <c r="BL98" i="27"/>
  <c r="B99" i="27"/>
  <c r="D99" i="27"/>
  <c r="F99" i="27"/>
  <c r="H99" i="27"/>
  <c r="J99" i="27"/>
  <c r="L99" i="27"/>
  <c r="N99" i="27"/>
  <c r="P99" i="27"/>
  <c r="R99" i="27"/>
  <c r="T99" i="27"/>
  <c r="V99" i="27"/>
  <c r="X99" i="27"/>
  <c r="Z99" i="27"/>
  <c r="AB99" i="27"/>
  <c r="AD99" i="27"/>
  <c r="AF99" i="27"/>
  <c r="AH99" i="27"/>
  <c r="AJ99" i="27"/>
  <c r="AL99" i="27"/>
  <c r="AN99" i="27"/>
  <c r="AP99" i="27"/>
  <c r="AR99" i="27"/>
  <c r="AT99" i="27"/>
  <c r="AV99" i="27"/>
  <c r="AX99" i="27"/>
  <c r="AZ99" i="27"/>
  <c r="BB99" i="27"/>
  <c r="BD99" i="27"/>
  <c r="BF99" i="27"/>
  <c r="BH99" i="27"/>
  <c r="BJ99" i="27"/>
  <c r="BL99" i="27"/>
  <c r="B100" i="27"/>
  <c r="D100" i="27"/>
  <c r="F100" i="27"/>
  <c r="H100" i="27"/>
  <c r="J100" i="27"/>
  <c r="L100" i="27"/>
  <c r="N100" i="27"/>
  <c r="P100" i="27"/>
  <c r="R100" i="27"/>
  <c r="T100" i="27"/>
  <c r="V100" i="27"/>
  <c r="X100" i="27"/>
  <c r="Z100" i="27"/>
  <c r="AB100" i="27"/>
  <c r="AD100" i="27"/>
  <c r="AF100" i="27"/>
  <c r="AH100" i="27"/>
  <c r="AJ100" i="27"/>
  <c r="AL100" i="27"/>
  <c r="AN100" i="27"/>
  <c r="AP100" i="27"/>
  <c r="AR100" i="27"/>
  <c r="AT100" i="27"/>
  <c r="AV100" i="27"/>
  <c r="AX100" i="27"/>
  <c r="AZ100" i="27"/>
  <c r="BB100" i="27"/>
  <c r="BD100" i="27"/>
  <c r="BF100" i="27"/>
  <c r="BH100" i="27"/>
  <c r="BJ100" i="27"/>
  <c r="BL100" i="27"/>
  <c r="B101" i="27"/>
  <c r="D101" i="27"/>
  <c r="F101" i="27"/>
  <c r="H101" i="27"/>
  <c r="J101" i="27"/>
  <c r="L101" i="27"/>
  <c r="N101" i="27"/>
  <c r="P101" i="27"/>
  <c r="R101" i="27"/>
  <c r="T101" i="27"/>
  <c r="BB101" i="27"/>
  <c r="BD101" i="27"/>
  <c r="BF101" i="27"/>
  <c r="BH101" i="27"/>
  <c r="BJ101" i="27"/>
  <c r="BL101" i="27"/>
  <c r="B102" i="27"/>
  <c r="D102" i="27"/>
  <c r="F102" i="27"/>
  <c r="H102" i="27"/>
  <c r="J102" i="27"/>
  <c r="L102" i="27"/>
  <c r="N102" i="27"/>
  <c r="P102" i="27"/>
  <c r="R102" i="27"/>
  <c r="T102" i="27"/>
  <c r="V102" i="27"/>
  <c r="X102" i="27"/>
  <c r="Z102" i="27"/>
  <c r="AB102" i="27"/>
  <c r="AD102" i="27"/>
  <c r="AF102" i="27"/>
  <c r="AH102" i="27"/>
  <c r="AJ102" i="27"/>
  <c r="AL102" i="27"/>
  <c r="AN102" i="27"/>
  <c r="AP102" i="27"/>
  <c r="AR102" i="27"/>
  <c r="AT102" i="27"/>
  <c r="AV102" i="27"/>
  <c r="AX102" i="27"/>
  <c r="AZ102" i="27"/>
  <c r="BB102" i="27"/>
  <c r="BD102" i="27"/>
  <c r="BF102" i="27"/>
  <c r="BH102" i="27"/>
  <c r="BJ102" i="27"/>
  <c r="BL102" i="27"/>
  <c r="B103" i="27"/>
  <c r="D103" i="27"/>
  <c r="F103" i="27"/>
  <c r="H103" i="27"/>
  <c r="J103" i="27"/>
  <c r="L103" i="27"/>
  <c r="N103" i="27"/>
  <c r="P103" i="27"/>
  <c r="R103" i="27"/>
  <c r="T103" i="27"/>
  <c r="V103" i="27"/>
  <c r="X103" i="27"/>
  <c r="Z103" i="27"/>
  <c r="AB103" i="27"/>
  <c r="AD103" i="27"/>
  <c r="AF103" i="27"/>
  <c r="AH103" i="27"/>
  <c r="AJ103" i="27"/>
  <c r="AL103" i="27"/>
  <c r="AN103" i="27"/>
  <c r="AP103" i="27"/>
  <c r="AR103" i="27"/>
  <c r="AT103" i="27"/>
  <c r="AV103" i="27"/>
  <c r="AX103" i="27"/>
  <c r="AZ103" i="27"/>
  <c r="BB103" i="27"/>
  <c r="BD103" i="27"/>
  <c r="BF103" i="27"/>
  <c r="BH103" i="27"/>
  <c r="BJ103" i="27"/>
  <c r="BL103" i="27"/>
  <c r="B104" i="27"/>
  <c r="D104" i="27"/>
  <c r="F104" i="27"/>
  <c r="H104" i="27"/>
  <c r="J104" i="27"/>
  <c r="L104" i="27"/>
  <c r="N104" i="27"/>
  <c r="P104" i="27"/>
  <c r="R104" i="27"/>
  <c r="T104" i="27"/>
  <c r="V104" i="27"/>
  <c r="X104" i="27"/>
  <c r="Z104" i="27"/>
  <c r="AB104" i="27"/>
  <c r="AD104" i="27"/>
  <c r="AF104" i="27"/>
  <c r="AH104" i="27"/>
  <c r="AJ104" i="27"/>
  <c r="AL104" i="27"/>
  <c r="AN104" i="27"/>
  <c r="AP104" i="27"/>
  <c r="AR104" i="27"/>
  <c r="AT104" i="27"/>
  <c r="AV104" i="27"/>
  <c r="AX104" i="27"/>
  <c r="AZ104" i="27"/>
  <c r="BB104" i="27"/>
  <c r="BD104" i="27"/>
  <c r="BF104" i="27"/>
  <c r="BH104" i="27"/>
  <c r="BJ104" i="27"/>
  <c r="BL104" i="27"/>
  <c r="B105" i="27"/>
  <c r="D105" i="27"/>
  <c r="F105" i="27"/>
  <c r="H105" i="27"/>
  <c r="J105" i="27"/>
  <c r="L105" i="27"/>
  <c r="N105" i="27"/>
  <c r="P105" i="27"/>
  <c r="R105" i="27"/>
  <c r="T105" i="27"/>
  <c r="V105" i="27"/>
  <c r="X105" i="27"/>
  <c r="Z105" i="27"/>
  <c r="AB105" i="27"/>
  <c r="AD105" i="27"/>
  <c r="AF105" i="27"/>
  <c r="AH105" i="27"/>
  <c r="AJ105" i="27"/>
  <c r="AL105" i="27"/>
  <c r="AN105" i="27"/>
  <c r="AP105" i="27"/>
  <c r="AR105" i="27"/>
  <c r="AT105" i="27"/>
  <c r="AV105" i="27"/>
  <c r="AX105" i="27"/>
  <c r="AZ105" i="27"/>
  <c r="BB105" i="27"/>
  <c r="BD105" i="27"/>
  <c r="BF105" i="27"/>
  <c r="BH105" i="27"/>
  <c r="BJ105" i="27"/>
  <c r="BL105" i="27"/>
  <c r="B106" i="27"/>
  <c r="D106" i="27"/>
  <c r="F106" i="27"/>
  <c r="H106" i="27"/>
  <c r="J106" i="27"/>
  <c r="L106" i="27"/>
  <c r="N106" i="27"/>
  <c r="P106" i="27"/>
  <c r="R106" i="27"/>
  <c r="T106" i="27"/>
  <c r="V106" i="27"/>
  <c r="X106" i="27"/>
  <c r="Z106" i="27"/>
  <c r="AB106" i="27"/>
  <c r="AD106" i="27"/>
  <c r="AF106" i="27"/>
  <c r="AH106" i="27"/>
  <c r="AJ106" i="27"/>
  <c r="AL106" i="27"/>
  <c r="AN106" i="27"/>
  <c r="AP106" i="27"/>
  <c r="AR106" i="27"/>
  <c r="AT106" i="27"/>
  <c r="AV106" i="27"/>
  <c r="AX106" i="27"/>
  <c r="AZ106" i="27"/>
  <c r="BB106" i="27"/>
  <c r="BD106" i="27"/>
  <c r="BF106" i="27"/>
  <c r="BH106" i="27"/>
  <c r="BJ106" i="27"/>
  <c r="BL106" i="27"/>
  <c r="B107" i="27"/>
  <c r="D107" i="27"/>
  <c r="F107" i="27"/>
  <c r="H107" i="27"/>
  <c r="J107" i="27"/>
  <c r="L107" i="27"/>
  <c r="N107" i="27"/>
  <c r="P107" i="27"/>
  <c r="R107" i="27"/>
  <c r="T107" i="27"/>
  <c r="V107" i="27"/>
  <c r="X107" i="27"/>
  <c r="Z107" i="27"/>
  <c r="AB107" i="27"/>
  <c r="AD107" i="27"/>
  <c r="AF107" i="27"/>
  <c r="AH107" i="27"/>
  <c r="AJ107" i="27"/>
  <c r="AL107" i="27"/>
  <c r="AN107" i="27"/>
  <c r="AP107" i="27"/>
  <c r="AR107" i="27"/>
  <c r="AT107" i="27"/>
  <c r="AV107" i="27"/>
  <c r="AX107" i="27"/>
  <c r="AZ107" i="27"/>
  <c r="BB107" i="27"/>
  <c r="BD107" i="27"/>
  <c r="BF107" i="27"/>
  <c r="BH107" i="27"/>
  <c r="BJ107" i="27"/>
  <c r="BL107" i="27"/>
  <c r="B108" i="27"/>
  <c r="D108" i="27"/>
  <c r="F108" i="27"/>
  <c r="H108" i="27"/>
  <c r="J108" i="27"/>
  <c r="L108" i="27"/>
  <c r="N108" i="27"/>
  <c r="P108" i="27"/>
  <c r="R108" i="27"/>
  <c r="T108" i="27"/>
  <c r="V108" i="27"/>
  <c r="X108" i="27"/>
  <c r="Z108" i="27"/>
  <c r="AB108" i="27"/>
  <c r="AD108" i="27"/>
  <c r="AF108" i="27"/>
  <c r="AH108" i="27"/>
  <c r="AJ108" i="27"/>
  <c r="AL108" i="27"/>
  <c r="AN108" i="27"/>
  <c r="AP108" i="27"/>
  <c r="AR108" i="27"/>
  <c r="AT108" i="27"/>
  <c r="AV108" i="27"/>
  <c r="AX108" i="27"/>
  <c r="AZ108" i="27"/>
  <c r="BB108" i="27"/>
  <c r="BD108" i="27"/>
  <c r="BF108" i="27"/>
  <c r="BH108" i="27"/>
  <c r="BJ108" i="27"/>
  <c r="BL108" i="27"/>
  <c r="B109" i="27"/>
  <c r="D109" i="27"/>
  <c r="F109" i="27"/>
  <c r="H109" i="27"/>
  <c r="J109" i="27"/>
  <c r="L109" i="27"/>
  <c r="N109" i="27"/>
  <c r="P109" i="27"/>
  <c r="R109" i="27"/>
  <c r="T109" i="27"/>
  <c r="V109" i="27"/>
  <c r="X109" i="27"/>
  <c r="Z109" i="27"/>
  <c r="AB109" i="27"/>
  <c r="AD109" i="27"/>
  <c r="AF109" i="27"/>
  <c r="AH109" i="27"/>
  <c r="AJ109" i="27"/>
  <c r="AL109" i="27"/>
  <c r="AN109" i="27"/>
  <c r="AP109" i="27"/>
  <c r="AR109" i="27"/>
  <c r="AT109" i="27"/>
  <c r="AV109" i="27"/>
  <c r="AX109" i="27"/>
  <c r="AZ109" i="27"/>
  <c r="BB109" i="27"/>
  <c r="BD109" i="27"/>
  <c r="BF109" i="27"/>
  <c r="BH109" i="27"/>
  <c r="BJ109" i="27"/>
  <c r="BL109" i="27"/>
  <c r="B110" i="27"/>
  <c r="D110" i="27"/>
  <c r="F110" i="27"/>
  <c r="H110" i="27"/>
  <c r="J110" i="27"/>
  <c r="L110" i="27"/>
  <c r="N110" i="27"/>
  <c r="P110" i="27"/>
  <c r="R110" i="27"/>
  <c r="T110" i="27"/>
  <c r="V110" i="27"/>
  <c r="X110" i="27"/>
  <c r="Z110" i="27"/>
  <c r="AB110" i="27"/>
  <c r="AD110" i="27"/>
  <c r="AF110" i="27"/>
  <c r="AH110" i="27"/>
  <c r="AJ110" i="27"/>
  <c r="AL110" i="27"/>
  <c r="AN110" i="27"/>
  <c r="AP110" i="27"/>
  <c r="AR110" i="27"/>
  <c r="AT110" i="27"/>
  <c r="AV110" i="27"/>
  <c r="AX110" i="27"/>
  <c r="AZ110" i="27"/>
  <c r="BB110" i="27"/>
  <c r="BD110" i="27"/>
  <c r="BF110" i="27"/>
  <c r="BH110" i="27"/>
  <c r="BJ110" i="27"/>
  <c r="BL110" i="27"/>
  <c r="B111" i="27"/>
  <c r="D111" i="27"/>
  <c r="F111" i="27"/>
  <c r="H111" i="27"/>
  <c r="J111" i="27"/>
  <c r="L111" i="27"/>
  <c r="N111" i="27"/>
  <c r="P111" i="27"/>
  <c r="R111" i="27"/>
  <c r="T111" i="27"/>
  <c r="V111" i="27"/>
  <c r="X111" i="27"/>
  <c r="Z111" i="27"/>
  <c r="AB111" i="27"/>
  <c r="AD111" i="27"/>
  <c r="AF111" i="27"/>
  <c r="AH111" i="27"/>
  <c r="AJ111" i="27"/>
  <c r="AL111" i="27"/>
  <c r="AN111" i="27"/>
  <c r="AP111" i="27"/>
  <c r="AR111" i="27"/>
  <c r="AT111" i="27"/>
  <c r="AV111" i="27"/>
  <c r="AX111" i="27"/>
  <c r="AZ111" i="27"/>
  <c r="BB111" i="27"/>
  <c r="BD111" i="27"/>
  <c r="BF111" i="27"/>
  <c r="BH111" i="27"/>
  <c r="BJ111" i="27"/>
  <c r="BL111" i="27"/>
  <c r="B112" i="27"/>
  <c r="D112" i="27"/>
  <c r="F112" i="27"/>
  <c r="H112" i="27"/>
  <c r="J112" i="27"/>
  <c r="L112" i="27"/>
  <c r="N112" i="27"/>
  <c r="P112" i="27"/>
  <c r="R112" i="27"/>
  <c r="T112" i="27"/>
  <c r="V112" i="27"/>
  <c r="X112" i="27"/>
  <c r="Z112" i="27"/>
  <c r="AB112" i="27"/>
  <c r="AD112" i="27"/>
  <c r="AF112" i="27"/>
  <c r="AH112" i="27"/>
  <c r="AJ112" i="27"/>
  <c r="AL112" i="27"/>
  <c r="AN112" i="27"/>
  <c r="AP112" i="27"/>
  <c r="AR112" i="27"/>
  <c r="AT112" i="27"/>
  <c r="AV112" i="27"/>
  <c r="AX112" i="27"/>
  <c r="AZ112" i="27"/>
  <c r="BB112" i="27"/>
  <c r="BD112" i="27"/>
  <c r="BF112" i="27"/>
  <c r="BH112" i="27"/>
  <c r="BJ112" i="27"/>
  <c r="BL112" i="27"/>
  <c r="B113" i="27"/>
  <c r="D113" i="27"/>
  <c r="F113" i="27"/>
  <c r="H113" i="27"/>
  <c r="J113" i="27"/>
  <c r="L113" i="27"/>
  <c r="N113" i="27"/>
  <c r="P113" i="27"/>
  <c r="R113" i="27"/>
  <c r="T113" i="27"/>
  <c r="V113" i="27"/>
  <c r="X113" i="27"/>
  <c r="Z113" i="27"/>
  <c r="AB113" i="27"/>
  <c r="AD113" i="27"/>
  <c r="AF113" i="27"/>
  <c r="AH113" i="27"/>
  <c r="AJ113" i="27"/>
  <c r="AL113" i="27"/>
  <c r="AN113" i="27"/>
  <c r="AP113" i="27"/>
  <c r="AR113" i="27"/>
  <c r="AT113" i="27"/>
  <c r="AV113" i="27"/>
  <c r="AX113" i="27"/>
  <c r="AZ113" i="27"/>
  <c r="BB113" i="27"/>
  <c r="BD113" i="27"/>
  <c r="BF113" i="27"/>
  <c r="BH113" i="27"/>
  <c r="BJ113" i="27"/>
  <c r="BL113" i="27"/>
  <c r="B114" i="27"/>
  <c r="D114" i="27"/>
  <c r="F114" i="27"/>
  <c r="H114" i="27"/>
  <c r="J114" i="27"/>
  <c r="L114" i="27"/>
  <c r="N114" i="27"/>
  <c r="P114" i="27"/>
  <c r="R114" i="27"/>
  <c r="T114" i="27"/>
  <c r="V114" i="27"/>
  <c r="X114" i="27"/>
  <c r="Z114" i="27"/>
  <c r="AB114" i="27"/>
  <c r="AD114" i="27"/>
  <c r="AF114" i="27"/>
  <c r="AH114" i="27"/>
  <c r="AJ114" i="27"/>
  <c r="AL114" i="27"/>
  <c r="AN114" i="27"/>
  <c r="AP114" i="27"/>
  <c r="AR114" i="27"/>
  <c r="AT114" i="27"/>
  <c r="AV114" i="27"/>
  <c r="AX114" i="27"/>
  <c r="AZ114" i="27"/>
  <c r="BB114" i="27"/>
  <c r="BD114" i="27"/>
  <c r="BF114" i="27"/>
  <c r="BH114" i="27"/>
  <c r="BJ114" i="27"/>
  <c r="BL114" i="27"/>
  <c r="B115" i="27"/>
  <c r="D115" i="27"/>
  <c r="F115" i="27"/>
  <c r="H115" i="27"/>
  <c r="J115" i="27"/>
  <c r="L115" i="27"/>
  <c r="N115" i="27"/>
  <c r="P115" i="27"/>
  <c r="R115" i="27"/>
  <c r="T115" i="27"/>
  <c r="V115" i="27"/>
  <c r="X115" i="27"/>
  <c r="Z115" i="27"/>
  <c r="AB115" i="27"/>
  <c r="AD115" i="27"/>
  <c r="AF115" i="27"/>
  <c r="AH115" i="27"/>
  <c r="AJ115" i="27"/>
  <c r="AL115" i="27"/>
  <c r="AN115" i="27"/>
  <c r="AP115" i="27"/>
  <c r="AR115" i="27"/>
  <c r="AT115" i="27"/>
  <c r="AV115" i="27"/>
  <c r="AX115" i="27"/>
  <c r="AZ115" i="27"/>
  <c r="BB115" i="27"/>
  <c r="BD115" i="27"/>
  <c r="BF115" i="27"/>
  <c r="BH115" i="27"/>
  <c r="BJ115" i="27"/>
  <c r="BL115" i="27"/>
  <c r="B116" i="27"/>
  <c r="D116" i="27"/>
  <c r="F116" i="27"/>
  <c r="H116" i="27"/>
  <c r="J116" i="27"/>
  <c r="L116" i="27"/>
  <c r="N116" i="27"/>
  <c r="P116" i="27"/>
  <c r="R116" i="27"/>
  <c r="T116" i="27"/>
  <c r="V116" i="27"/>
  <c r="X116" i="27"/>
  <c r="Z116" i="27"/>
  <c r="AB116" i="27"/>
  <c r="AD116" i="27"/>
  <c r="AF116" i="27"/>
  <c r="AH116" i="27"/>
  <c r="AJ116" i="27"/>
  <c r="AL116" i="27"/>
  <c r="AN116" i="27"/>
  <c r="AP116" i="27"/>
  <c r="AR116" i="27"/>
  <c r="AT116" i="27"/>
  <c r="AV116" i="27"/>
  <c r="AX116" i="27"/>
  <c r="AZ116" i="27"/>
  <c r="BB116" i="27"/>
  <c r="BD116" i="27"/>
  <c r="BF116" i="27"/>
  <c r="BH116" i="27"/>
  <c r="BJ116" i="27"/>
  <c r="BL116" i="27"/>
  <c r="B117" i="27"/>
  <c r="D117" i="27"/>
  <c r="F117" i="27"/>
  <c r="H117" i="27"/>
  <c r="J117" i="27"/>
  <c r="L117" i="27"/>
  <c r="N117" i="27"/>
  <c r="P117" i="27"/>
  <c r="R117" i="27"/>
  <c r="T117" i="27"/>
  <c r="V117" i="27"/>
  <c r="X117" i="27"/>
  <c r="Z117" i="27"/>
  <c r="AB117" i="27"/>
  <c r="AD117" i="27"/>
  <c r="AF117" i="27"/>
  <c r="AH117" i="27"/>
  <c r="AJ117" i="27"/>
  <c r="AL117" i="27"/>
  <c r="AN117" i="27"/>
  <c r="AP117" i="27"/>
  <c r="AR117" i="27"/>
  <c r="AT117" i="27"/>
  <c r="AV117" i="27"/>
  <c r="AX117" i="27"/>
  <c r="AZ117" i="27"/>
  <c r="BB117" i="27"/>
  <c r="BD117" i="27"/>
  <c r="BF117" i="27"/>
  <c r="BH117" i="27"/>
  <c r="BJ117" i="27"/>
  <c r="BL117" i="27"/>
  <c r="B118" i="27"/>
  <c r="D118" i="27"/>
  <c r="F118" i="27"/>
  <c r="H118" i="27"/>
  <c r="J118" i="27"/>
  <c r="L118" i="27"/>
  <c r="N118" i="27"/>
  <c r="P118" i="27"/>
  <c r="R118" i="27"/>
  <c r="T118" i="27"/>
  <c r="V118" i="27"/>
  <c r="X118" i="27"/>
  <c r="Z118" i="27"/>
  <c r="AB118" i="27"/>
  <c r="AD118" i="27"/>
  <c r="AF118" i="27"/>
  <c r="AH118" i="27"/>
  <c r="AJ118" i="27"/>
  <c r="AL118" i="27"/>
  <c r="AN118" i="27"/>
  <c r="AP118" i="27"/>
  <c r="AR118" i="27"/>
  <c r="AT118" i="27"/>
  <c r="AV118" i="27"/>
  <c r="AX118" i="27"/>
  <c r="AZ118" i="27"/>
  <c r="BB118" i="27"/>
  <c r="BD118" i="27"/>
  <c r="BF118" i="27"/>
  <c r="BH118" i="27"/>
  <c r="BJ118" i="27"/>
  <c r="BL118" i="27"/>
  <c r="B119" i="27"/>
  <c r="D119" i="27"/>
  <c r="F119" i="27"/>
  <c r="H119" i="27"/>
  <c r="J119" i="27"/>
  <c r="L119" i="27"/>
  <c r="N119" i="27"/>
  <c r="P119" i="27"/>
  <c r="R119" i="27"/>
  <c r="T119" i="27"/>
  <c r="V119" i="27"/>
  <c r="X119" i="27"/>
  <c r="Z119" i="27"/>
  <c r="AB119" i="27"/>
  <c r="AD119" i="27"/>
  <c r="AF119" i="27"/>
  <c r="AH119" i="27"/>
  <c r="AJ119" i="27"/>
  <c r="AL119" i="27"/>
  <c r="AN119" i="27"/>
  <c r="AP119" i="27"/>
  <c r="AR119" i="27"/>
  <c r="AT119" i="27"/>
  <c r="AV119" i="27"/>
  <c r="AX119" i="27"/>
  <c r="AZ119" i="27"/>
  <c r="BB119" i="27"/>
  <c r="BD119" i="27"/>
  <c r="BF119" i="27"/>
  <c r="BH119" i="27"/>
  <c r="BJ119" i="27"/>
  <c r="BL119" i="27"/>
  <c r="B120" i="27"/>
  <c r="D120" i="27"/>
  <c r="F120" i="27"/>
  <c r="H120" i="27"/>
  <c r="J120" i="27"/>
  <c r="L120" i="27"/>
  <c r="N120" i="27"/>
  <c r="AL120" i="27"/>
  <c r="AN120" i="27"/>
  <c r="AP120" i="27"/>
  <c r="AR120" i="27"/>
  <c r="AT120" i="27"/>
  <c r="AV120" i="27"/>
  <c r="AX120" i="27"/>
  <c r="AZ120" i="27"/>
  <c r="BB120" i="27"/>
  <c r="BD120" i="27"/>
  <c r="BF120" i="27"/>
  <c r="BH120" i="27"/>
  <c r="BJ120" i="27"/>
  <c r="BL120" i="27"/>
  <c r="B121" i="27"/>
  <c r="D121" i="27"/>
  <c r="F121" i="27"/>
  <c r="H121" i="27"/>
  <c r="J121" i="27"/>
  <c r="L121" i="27"/>
  <c r="N121" i="27"/>
  <c r="P121" i="27"/>
  <c r="R121" i="27"/>
  <c r="T121" i="27"/>
  <c r="V121" i="27"/>
  <c r="X121" i="27"/>
  <c r="Z121" i="27"/>
  <c r="AB121" i="27"/>
  <c r="AD121" i="27"/>
  <c r="AF121" i="27"/>
  <c r="AH121" i="27"/>
  <c r="AJ121" i="27"/>
  <c r="AL121" i="27"/>
  <c r="AN121" i="27"/>
  <c r="AP121" i="27"/>
  <c r="AR121" i="27"/>
  <c r="AT121" i="27"/>
  <c r="AV121" i="27"/>
  <c r="AX121" i="27"/>
  <c r="AZ121" i="27"/>
  <c r="BB121" i="27"/>
  <c r="BD121" i="27"/>
  <c r="BF121" i="27"/>
  <c r="BH121" i="27"/>
  <c r="BJ121" i="27"/>
  <c r="BL121" i="27"/>
  <c r="B122" i="27"/>
  <c r="D122" i="27"/>
  <c r="F122" i="27"/>
  <c r="H122" i="27"/>
  <c r="J122" i="27"/>
  <c r="L122" i="27"/>
  <c r="N122" i="27"/>
  <c r="P122" i="27"/>
  <c r="R122" i="27"/>
  <c r="T122" i="27"/>
  <c r="V122" i="27"/>
  <c r="Z122" i="27"/>
  <c r="AB122" i="27"/>
  <c r="AD122" i="27"/>
  <c r="AF122" i="27"/>
  <c r="AH122" i="27"/>
  <c r="AJ122" i="27"/>
  <c r="AN122" i="27"/>
  <c r="AP122" i="27"/>
  <c r="AR122" i="27"/>
  <c r="AT122" i="27"/>
  <c r="AV122" i="27"/>
  <c r="AX122" i="27"/>
  <c r="AZ122" i="27"/>
  <c r="BB122" i="27"/>
  <c r="BD122" i="27"/>
  <c r="BF122" i="27"/>
  <c r="BH122" i="27"/>
  <c r="BJ122" i="27"/>
  <c r="BL122" i="27"/>
  <c r="B123" i="27"/>
  <c r="D123" i="27"/>
  <c r="F123" i="27"/>
  <c r="H123" i="27"/>
  <c r="J123" i="27"/>
  <c r="L123" i="27"/>
  <c r="N123" i="27"/>
  <c r="P123" i="27"/>
  <c r="R123" i="27"/>
  <c r="T123" i="27"/>
  <c r="V123" i="27"/>
  <c r="X123" i="27"/>
  <c r="Z123" i="27"/>
  <c r="AB123" i="27"/>
  <c r="AD123" i="27"/>
  <c r="AF123" i="27"/>
  <c r="AH123" i="27"/>
  <c r="AJ123" i="27"/>
  <c r="AL123" i="27"/>
  <c r="AN123" i="27"/>
  <c r="AP123" i="27"/>
  <c r="AR123" i="27"/>
  <c r="AT123" i="27"/>
  <c r="AV123" i="27"/>
  <c r="AX123" i="27"/>
  <c r="AZ123" i="27"/>
  <c r="BB123" i="27"/>
  <c r="BD123" i="27"/>
  <c r="BF123" i="27"/>
  <c r="BH123" i="27"/>
  <c r="BJ123" i="27"/>
  <c r="BL123" i="27"/>
  <c r="B124" i="27"/>
  <c r="D124" i="27"/>
  <c r="F124" i="27"/>
  <c r="H124" i="27"/>
  <c r="J124" i="27"/>
  <c r="L124" i="27"/>
  <c r="N124" i="27"/>
  <c r="P124" i="27"/>
  <c r="R124" i="27"/>
  <c r="T124" i="27"/>
  <c r="V124" i="27"/>
  <c r="X124" i="27"/>
  <c r="Z124" i="27"/>
  <c r="AB124" i="27"/>
  <c r="AD124" i="27"/>
  <c r="AF124" i="27"/>
  <c r="AH124" i="27"/>
  <c r="AJ124" i="27"/>
  <c r="AL124" i="27"/>
  <c r="AN124" i="27"/>
  <c r="AP124" i="27"/>
  <c r="AR124" i="27"/>
  <c r="AT124" i="27"/>
  <c r="AV124" i="27"/>
  <c r="AX124" i="27"/>
  <c r="AZ124" i="27"/>
  <c r="BB124" i="27"/>
  <c r="BD124" i="27"/>
  <c r="BF124" i="27"/>
  <c r="BH124" i="27"/>
  <c r="BJ124" i="27"/>
  <c r="BL124" i="27"/>
  <c r="B125" i="27"/>
  <c r="D125" i="27"/>
  <c r="F125" i="27"/>
  <c r="H125" i="27"/>
  <c r="J125" i="27"/>
  <c r="L125" i="27"/>
  <c r="N125" i="27"/>
  <c r="P125" i="27"/>
  <c r="R125" i="27"/>
  <c r="T125" i="27"/>
  <c r="V125" i="27"/>
  <c r="X125" i="27"/>
  <c r="Z125" i="27"/>
  <c r="AB125" i="27"/>
  <c r="AD125" i="27"/>
  <c r="AF125" i="27"/>
  <c r="AH125" i="27"/>
  <c r="AJ125" i="27"/>
  <c r="AL125" i="27"/>
  <c r="AN125" i="27"/>
  <c r="AP125" i="27"/>
  <c r="AR125" i="27"/>
  <c r="AT125" i="27"/>
  <c r="AV125" i="27"/>
  <c r="AX125" i="27"/>
  <c r="AZ125" i="27"/>
  <c r="BB125" i="27"/>
  <c r="BD125" i="27"/>
  <c r="BF125" i="27"/>
  <c r="BH125" i="27"/>
  <c r="BJ125" i="27"/>
  <c r="BL125" i="27"/>
  <c r="B126" i="27"/>
  <c r="D126" i="27"/>
  <c r="F126" i="27"/>
  <c r="H126" i="27"/>
  <c r="J126" i="27"/>
  <c r="L126" i="27"/>
  <c r="AX126" i="27"/>
  <c r="AZ126" i="27"/>
  <c r="X127" i="27"/>
  <c r="Z127" i="27"/>
  <c r="AB127" i="27"/>
  <c r="AD127" i="27"/>
  <c r="AF127" i="27"/>
  <c r="AH127" i="27"/>
  <c r="AJ127" i="27"/>
  <c r="AL127" i="27"/>
  <c r="AN127" i="27"/>
  <c r="AP127" i="27"/>
  <c r="AR127" i="27"/>
  <c r="AT127" i="27"/>
  <c r="AV127" i="27"/>
  <c r="AX127" i="27"/>
  <c r="AZ127" i="27"/>
  <c r="BB127" i="27"/>
  <c r="BD127" i="27"/>
  <c r="BF127" i="27"/>
  <c r="BH127" i="27"/>
  <c r="BJ127" i="27"/>
  <c r="BL127" i="27"/>
  <c r="B128" i="27"/>
  <c r="D128" i="27"/>
  <c r="F128" i="27"/>
  <c r="H128" i="27"/>
  <c r="J128" i="27"/>
  <c r="L128" i="27"/>
  <c r="N128" i="27"/>
  <c r="P128" i="27"/>
  <c r="R128" i="27"/>
  <c r="T128" i="27"/>
  <c r="V128" i="27"/>
  <c r="X128" i="27"/>
  <c r="Z128" i="27"/>
  <c r="AB128" i="27"/>
  <c r="AD128" i="27"/>
  <c r="AF128" i="27"/>
  <c r="AH128" i="27"/>
  <c r="AJ128" i="27"/>
  <c r="AL128" i="27"/>
  <c r="AN128" i="27"/>
  <c r="AP128" i="27"/>
  <c r="AR128" i="27"/>
  <c r="AT128" i="27"/>
  <c r="AV128" i="27"/>
  <c r="AX128" i="27"/>
  <c r="AZ128" i="27"/>
  <c r="BB128" i="27"/>
  <c r="BD128" i="27"/>
  <c r="BF128" i="27"/>
  <c r="BH128" i="27"/>
  <c r="BJ128" i="27"/>
  <c r="BL128" i="27"/>
  <c r="B129" i="27"/>
  <c r="D129" i="27"/>
  <c r="F129" i="27"/>
  <c r="H129" i="27"/>
  <c r="J129" i="27"/>
  <c r="L129" i="27"/>
  <c r="N129" i="27"/>
  <c r="P129" i="27"/>
  <c r="R1010" i="24" l="1"/>
  <c r="N1010" i="24"/>
  <c r="J1010" i="24"/>
  <c r="F1010" i="24"/>
  <c r="B1010" i="24"/>
  <c r="N898" i="24"/>
  <c r="N873" i="24"/>
  <c r="Q521" i="24"/>
  <c r="D575" i="24"/>
  <c r="D520" i="24"/>
  <c r="P372" i="24"/>
  <c r="P398" i="24" s="1"/>
  <c r="P394" i="24"/>
  <c r="L372" i="24"/>
  <c r="L398" i="24" s="1"/>
  <c r="L394" i="24"/>
  <c r="H372" i="24"/>
  <c r="H394" i="24"/>
  <c r="D372" i="24"/>
  <c r="D398" i="24" s="1"/>
  <c r="D394" i="24"/>
  <c r="S371" i="24"/>
  <c r="S397" i="24" s="1"/>
  <c r="S393" i="24"/>
  <c r="O371" i="24"/>
  <c r="O397" i="24" s="1"/>
  <c r="O393" i="24"/>
  <c r="K393" i="24"/>
  <c r="K371" i="24"/>
  <c r="K397" i="24" s="1"/>
  <c r="G371" i="24"/>
  <c r="G397" i="24" s="1"/>
  <c r="G393" i="24"/>
  <c r="C371" i="24"/>
  <c r="C397" i="24" s="1"/>
  <c r="C393" i="24"/>
  <c r="R218" i="24"/>
  <c r="R182" i="24"/>
  <c r="J182" i="24"/>
  <c r="J218" i="24"/>
  <c r="S1352" i="24"/>
  <c r="O1352" i="24"/>
  <c r="K1352" i="24"/>
  <c r="G1352" i="24"/>
  <c r="C1352" i="24"/>
  <c r="J1270" i="24"/>
  <c r="P1263" i="24"/>
  <c r="L1263" i="24"/>
  <c r="H1263" i="24"/>
  <c r="D1263" i="24"/>
  <c r="C1228" i="24"/>
  <c r="D1226" i="24"/>
  <c r="R1055" i="24"/>
  <c r="R1059" i="24" s="1"/>
  <c r="N1055" i="24"/>
  <c r="N1059" i="24" s="1"/>
  <c r="J1055" i="24"/>
  <c r="J1059" i="24" s="1"/>
  <c r="F1055" i="24"/>
  <c r="B1055" i="24"/>
  <c r="B1059" i="24" s="1"/>
  <c r="S1058" i="24"/>
  <c r="K1058" i="24"/>
  <c r="C1058" i="24"/>
  <c r="N1057" i="24"/>
  <c r="F1057" i="24"/>
  <c r="D1039" i="24"/>
  <c r="Q1026" i="24"/>
  <c r="M1026" i="24"/>
  <c r="I1026" i="24"/>
  <c r="E1026" i="24"/>
  <c r="Q1022" i="24"/>
  <c r="Q1027" i="24" s="1"/>
  <c r="M1022" i="24"/>
  <c r="M1027" i="24" s="1"/>
  <c r="I1022" i="24"/>
  <c r="I1027" i="24" s="1"/>
  <c r="E1022" i="24"/>
  <c r="E1027" i="24" s="1"/>
  <c r="L1028" i="24"/>
  <c r="D1028" i="24"/>
  <c r="Q1007" i="24"/>
  <c r="M1007" i="24"/>
  <c r="I1007" i="24"/>
  <c r="E1007" i="24"/>
  <c r="S989" i="24"/>
  <c r="O989" i="24"/>
  <c r="K989" i="24"/>
  <c r="G989" i="24"/>
  <c r="C989" i="24"/>
  <c r="N995" i="24"/>
  <c r="F995" i="24"/>
  <c r="N952" i="24"/>
  <c r="Q951" i="24"/>
  <c r="Q978" i="24"/>
  <c r="E978" i="24"/>
  <c r="P939" i="24"/>
  <c r="H939" i="24"/>
  <c r="P933" i="24"/>
  <c r="Q898" i="24"/>
  <c r="Q886" i="24"/>
  <c r="I886" i="24"/>
  <c r="I898" i="24"/>
  <c r="I978" i="24" s="1"/>
  <c r="F873" i="24"/>
  <c r="J856" i="24"/>
  <c r="N831" i="24"/>
  <c r="N857" i="24" s="1"/>
  <c r="N834" i="24"/>
  <c r="N856" i="24"/>
  <c r="F856" i="24"/>
  <c r="B834" i="24"/>
  <c r="B831" i="24"/>
  <c r="B857" i="24" s="1"/>
  <c r="Q855" i="24"/>
  <c r="M855" i="24"/>
  <c r="I855" i="24"/>
  <c r="I833" i="24"/>
  <c r="E855" i="24"/>
  <c r="J834" i="24"/>
  <c r="F834" i="24"/>
  <c r="Q833" i="24"/>
  <c r="E833" i="24"/>
  <c r="N670" i="24"/>
  <c r="N710" i="24" s="1"/>
  <c r="N706" i="24"/>
  <c r="Q669" i="24"/>
  <c r="Q709" i="24" s="1"/>
  <c r="Q705" i="24"/>
  <c r="G669" i="24"/>
  <c r="G709" i="24" s="1"/>
  <c r="G678" i="24"/>
  <c r="G718" i="24" s="1"/>
  <c r="G705" i="24"/>
  <c r="R544" i="24"/>
  <c r="R545" i="24" s="1"/>
  <c r="N544" i="24"/>
  <c r="N545" i="24" s="1"/>
  <c r="J544" i="24"/>
  <c r="J545" i="24" s="1"/>
  <c r="F544" i="24"/>
  <c r="B544" i="24"/>
  <c r="B545" i="24" s="1"/>
  <c r="Q543" i="24"/>
  <c r="Q545" i="24" s="1"/>
  <c r="M543" i="24"/>
  <c r="I543" i="24"/>
  <c r="I545" i="24" s="1"/>
  <c r="S304" i="24"/>
  <c r="S317" i="24" s="1"/>
  <c r="S666" i="24"/>
  <c r="O666" i="24"/>
  <c r="O304" i="24"/>
  <c r="O317" i="24" s="1"/>
  <c r="K304" i="24"/>
  <c r="K317" i="24" s="1"/>
  <c r="K340" i="24"/>
  <c r="K666" i="24"/>
  <c r="G304" i="24"/>
  <c r="G666" i="24"/>
  <c r="G670" i="24" s="1"/>
  <c r="G683" i="24" s="1"/>
  <c r="C304" i="24"/>
  <c r="C666" i="24"/>
  <c r="R303" i="24"/>
  <c r="R316" i="24" s="1"/>
  <c r="R665" i="24"/>
  <c r="R705" i="24" s="1"/>
  <c r="N303" i="24"/>
  <c r="N665" i="24"/>
  <c r="N705" i="24" s="1"/>
  <c r="J303" i="24"/>
  <c r="J316" i="24" s="1"/>
  <c r="J665" i="24"/>
  <c r="J669" i="24" s="1"/>
  <c r="J682" i="24" s="1"/>
  <c r="J339" i="24"/>
  <c r="F303" i="24"/>
  <c r="F665" i="24"/>
  <c r="F669" i="24" s="1"/>
  <c r="B303" i="24"/>
  <c r="B316" i="24" s="1"/>
  <c r="B665" i="24"/>
  <c r="Q304" i="24"/>
  <c r="Q662" i="24"/>
  <c r="Q336" i="24"/>
  <c r="M304" i="24"/>
  <c r="M662" i="24"/>
  <c r="I304" i="24"/>
  <c r="I336" i="24"/>
  <c r="I662" i="24"/>
  <c r="E304" i="24"/>
  <c r="E662" i="24"/>
  <c r="P297" i="24"/>
  <c r="P661" i="24"/>
  <c r="L297" i="24"/>
  <c r="L661" i="24"/>
  <c r="H297" i="24"/>
  <c r="H661" i="24"/>
  <c r="D297" i="24"/>
  <c r="D661" i="24"/>
  <c r="L1389" i="24"/>
  <c r="B1347" i="24"/>
  <c r="R1295" i="24"/>
  <c r="J1295" i="24"/>
  <c r="B1295" i="24"/>
  <c r="Q1283" i="24"/>
  <c r="I1283" i="24"/>
  <c r="B1270" i="24"/>
  <c r="K1257" i="24"/>
  <c r="C1133" i="24"/>
  <c r="D1133" i="24" s="1"/>
  <c r="D1127" i="24"/>
  <c r="R1058" i="24"/>
  <c r="F1051" i="24"/>
  <c r="Q1035" i="24"/>
  <c r="M1035" i="24"/>
  <c r="I1035" i="24"/>
  <c r="E1035" i="24"/>
  <c r="P1035" i="24"/>
  <c r="L1035" i="24"/>
  <c r="H1035" i="24"/>
  <c r="D1035" i="24"/>
  <c r="P1028" i="24"/>
  <c r="D1015" i="24"/>
  <c r="L1010" i="24"/>
  <c r="D1010" i="24"/>
  <c r="S1003" i="24"/>
  <c r="O1003" i="24"/>
  <c r="K1003" i="24"/>
  <c r="G1003" i="24"/>
  <c r="C1003" i="24"/>
  <c r="C996" i="24"/>
  <c r="R995" i="24"/>
  <c r="Q993" i="24"/>
  <c r="M993" i="24"/>
  <c r="I993" i="24"/>
  <c r="E993" i="24"/>
  <c r="F989" i="24"/>
  <c r="M965" i="24"/>
  <c r="P964" i="24"/>
  <c r="J960" i="24"/>
  <c r="R952" i="24"/>
  <c r="B952" i="24"/>
  <c r="N938" i="24"/>
  <c r="R882" i="24"/>
  <c r="R889" i="24"/>
  <c r="R969" i="24" s="1"/>
  <c r="J882" i="24"/>
  <c r="J889" i="24"/>
  <c r="J969" i="24" s="1"/>
  <c r="B882" i="24"/>
  <c r="B889" i="24"/>
  <c r="B969" i="24" s="1"/>
  <c r="Q893" i="24"/>
  <c r="Q888" i="24"/>
  <c r="Q968" i="24" s="1"/>
  <c r="I893" i="24"/>
  <c r="I888" i="24"/>
  <c r="I968" i="24" s="1"/>
  <c r="E968" i="24"/>
  <c r="R876" i="24"/>
  <c r="N876" i="24"/>
  <c r="N894" i="24"/>
  <c r="J876" i="24"/>
  <c r="J894" i="24"/>
  <c r="F876" i="24"/>
  <c r="F894" i="24"/>
  <c r="B876" i="24"/>
  <c r="B894" i="24"/>
  <c r="R856" i="24"/>
  <c r="R847" i="24"/>
  <c r="R860" i="24" s="1"/>
  <c r="N847" i="24"/>
  <c r="N860" i="24" s="1"/>
  <c r="J847" i="24"/>
  <c r="J860" i="24" s="1"/>
  <c r="F847" i="24"/>
  <c r="B847" i="24"/>
  <c r="B860" i="24" s="1"/>
  <c r="R834" i="24"/>
  <c r="F831" i="24"/>
  <c r="F857" i="24" s="1"/>
  <c r="S627" i="24"/>
  <c r="S706" i="24"/>
  <c r="K627" i="24"/>
  <c r="K706" i="24"/>
  <c r="G627" i="24"/>
  <c r="G706" i="24"/>
  <c r="C627" i="24"/>
  <c r="C706" i="24"/>
  <c r="R638" i="24"/>
  <c r="R627" i="24"/>
  <c r="J638" i="24"/>
  <c r="J627" i="24"/>
  <c r="J705" i="24"/>
  <c r="F638" i="24"/>
  <c r="F705" i="24"/>
  <c r="B638" i="24"/>
  <c r="B627" i="24"/>
  <c r="B705" i="24"/>
  <c r="M1300" i="24"/>
  <c r="E1300" i="24"/>
  <c r="N1270" i="24"/>
  <c r="F1270" i="24"/>
  <c r="M1269" i="24"/>
  <c r="E1269" i="24"/>
  <c r="D1128" i="24"/>
  <c r="S1055" i="24"/>
  <c r="O1055" i="24"/>
  <c r="K1055" i="24"/>
  <c r="G1055" i="24"/>
  <c r="C1055" i="24"/>
  <c r="Q1059" i="24"/>
  <c r="M1059" i="24"/>
  <c r="I1059" i="24"/>
  <c r="E1059" i="24"/>
  <c r="R1022" i="24"/>
  <c r="N1022" i="24"/>
  <c r="J1022" i="24"/>
  <c r="F1022" i="24"/>
  <c r="B1022" i="24"/>
  <c r="J995" i="24"/>
  <c r="P989" i="24"/>
  <c r="L989" i="24"/>
  <c r="H989" i="24"/>
  <c r="D989" i="24"/>
  <c r="F952" i="24"/>
  <c r="I951" i="24"/>
  <c r="N926" i="24"/>
  <c r="N937" i="24"/>
  <c r="F926" i="24"/>
  <c r="F937" i="24"/>
  <c r="E922" i="24"/>
  <c r="E929" i="24"/>
  <c r="E942" i="24" s="1"/>
  <c r="P922" i="24"/>
  <c r="P928" i="24"/>
  <c r="P941" i="24" s="1"/>
  <c r="L928" i="24"/>
  <c r="L941" i="24" s="1"/>
  <c r="D928" i="24"/>
  <c r="D941" i="24" s="1"/>
  <c r="R913" i="24"/>
  <c r="R916" i="24"/>
  <c r="R938" i="24"/>
  <c r="J913" i="24"/>
  <c r="J938" i="24"/>
  <c r="B913" i="24"/>
  <c r="B916" i="24"/>
  <c r="B942" i="24" s="1"/>
  <c r="B938" i="24"/>
  <c r="M913" i="24"/>
  <c r="M915" i="24"/>
  <c r="M941" i="24" s="1"/>
  <c r="G948" i="24"/>
  <c r="G916" i="24"/>
  <c r="R909" i="24"/>
  <c r="R915" i="24"/>
  <c r="R947" i="24"/>
  <c r="N915" i="24"/>
  <c r="N955" i="24" s="1"/>
  <c r="N909" i="24"/>
  <c r="F915" i="24"/>
  <c r="F955" i="24" s="1"/>
  <c r="F909" i="24"/>
  <c r="B915" i="24"/>
  <c r="B909" i="24"/>
  <c r="B947" i="24"/>
  <c r="P852" i="24"/>
  <c r="P834" i="24"/>
  <c r="P860" i="24" s="1"/>
  <c r="L853" i="24"/>
  <c r="H852" i="24"/>
  <c r="H834" i="24"/>
  <c r="H860" i="24" s="1"/>
  <c r="D827" i="24"/>
  <c r="D853" i="24" s="1"/>
  <c r="D834" i="24"/>
  <c r="K833" i="24"/>
  <c r="K851" i="24"/>
  <c r="C833" i="24"/>
  <c r="C851" i="24"/>
  <c r="D670" i="24"/>
  <c r="D710" i="24" s="1"/>
  <c r="M657" i="24"/>
  <c r="M697" i="24" s="1"/>
  <c r="M693" i="24"/>
  <c r="P656" i="24"/>
  <c r="P696" i="24" s="1"/>
  <c r="P692" i="24"/>
  <c r="K709" i="24"/>
  <c r="S693" i="24"/>
  <c r="C693" i="24"/>
  <c r="F692" i="24"/>
  <c r="H335" i="24"/>
  <c r="M934" i="24"/>
  <c r="E934" i="24"/>
  <c r="H933" i="24"/>
  <c r="R942" i="24"/>
  <c r="L889" i="24"/>
  <c r="L969" i="24" s="1"/>
  <c r="D889" i="24"/>
  <c r="D969" i="24" s="1"/>
  <c r="S888" i="24"/>
  <c r="K888" i="24"/>
  <c r="C888" i="24"/>
  <c r="P886" i="24"/>
  <c r="P966" i="24" s="1"/>
  <c r="L886" i="24"/>
  <c r="L966" i="24" s="1"/>
  <c r="H886" i="24"/>
  <c r="H966" i="24" s="1"/>
  <c r="D886" i="24"/>
  <c r="D966" i="24" s="1"/>
  <c r="S897" i="24"/>
  <c r="K897" i="24"/>
  <c r="C897" i="24"/>
  <c r="S882" i="24"/>
  <c r="C882" i="24"/>
  <c r="P876" i="24"/>
  <c r="Q873" i="24"/>
  <c r="M873" i="24"/>
  <c r="M953" i="24" s="1"/>
  <c r="I873" i="24"/>
  <c r="E873" i="24"/>
  <c r="E860" i="24"/>
  <c r="P859" i="24"/>
  <c r="Q844" i="24"/>
  <c r="M844" i="24"/>
  <c r="I844" i="24"/>
  <c r="E844" i="24"/>
  <c r="Q831" i="24"/>
  <c r="M831" i="24"/>
  <c r="I831" i="24"/>
  <c r="E831" i="24"/>
  <c r="E857" i="24" s="1"/>
  <c r="P831" i="24"/>
  <c r="L831" i="24"/>
  <c r="H831" i="24"/>
  <c r="D831" i="24"/>
  <c r="R827" i="24"/>
  <c r="N827" i="24"/>
  <c r="J827" i="24"/>
  <c r="F827" i="24"/>
  <c r="B827" i="24"/>
  <c r="H670" i="24"/>
  <c r="H710" i="24" s="1"/>
  <c r="H667" i="24"/>
  <c r="G663" i="24"/>
  <c r="N674" i="24"/>
  <c r="N669" i="24"/>
  <c r="J674" i="24"/>
  <c r="J663" i="24"/>
  <c r="F674" i="24"/>
  <c r="D683" i="24"/>
  <c r="Q657" i="24"/>
  <c r="G657" i="24"/>
  <c r="O650" i="24"/>
  <c r="J656" i="24"/>
  <c r="D656" i="24"/>
  <c r="D629" i="24"/>
  <c r="Q610" i="24"/>
  <c r="Q617" i="24"/>
  <c r="Q697" i="24" s="1"/>
  <c r="D616" i="24"/>
  <c r="D696" i="24" s="1"/>
  <c r="D688" i="24"/>
  <c r="L567" i="24"/>
  <c r="G561" i="24"/>
  <c r="R541" i="24"/>
  <c r="J541" i="24"/>
  <c r="J548" i="24"/>
  <c r="J561" i="24" s="1"/>
  <c r="B541" i="24"/>
  <c r="Q552" i="24"/>
  <c r="Q541" i="24"/>
  <c r="Q549" i="24" s="1"/>
  <c r="M552" i="24"/>
  <c r="M541" i="24"/>
  <c r="I552" i="24"/>
  <c r="I547" i="24"/>
  <c r="I560" i="24" s="1"/>
  <c r="E552" i="24"/>
  <c r="E547" i="24"/>
  <c r="E560" i="24" s="1"/>
  <c r="E541" i="24"/>
  <c r="G534" i="24"/>
  <c r="G574" i="24" s="1"/>
  <c r="S532" i="24"/>
  <c r="S557" i="24"/>
  <c r="O532" i="24"/>
  <c r="O535" i="24"/>
  <c r="O561" i="24" s="1"/>
  <c r="O557" i="24"/>
  <c r="K532" i="24"/>
  <c r="K557" i="24"/>
  <c r="K535" i="24"/>
  <c r="K561" i="24" s="1"/>
  <c r="G532" i="24"/>
  <c r="G535" i="24"/>
  <c r="G557" i="24"/>
  <c r="C532" i="24"/>
  <c r="C558" i="24" s="1"/>
  <c r="C557" i="24"/>
  <c r="N534" i="24"/>
  <c r="N560" i="24" s="1"/>
  <c r="N556" i="24"/>
  <c r="J534" i="24"/>
  <c r="J560" i="24" s="1"/>
  <c r="J556" i="24"/>
  <c r="F556" i="24"/>
  <c r="F534" i="24"/>
  <c r="F560" i="24" s="1"/>
  <c r="I521" i="24"/>
  <c r="L876" i="24"/>
  <c r="D876" i="24"/>
  <c r="D902" i="24" s="1"/>
  <c r="S895" i="24"/>
  <c r="O895" i="24"/>
  <c r="G895" i="24"/>
  <c r="C895" i="24"/>
  <c r="C859" i="24"/>
  <c r="L847" i="24"/>
  <c r="L860" i="24" s="1"/>
  <c r="D847" i="24"/>
  <c r="L667" i="24"/>
  <c r="L707" i="24" s="1"/>
  <c r="L670" i="24"/>
  <c r="O669" i="24"/>
  <c r="O678" i="24"/>
  <c r="O718" i="24" s="1"/>
  <c r="I678" i="24"/>
  <c r="I669" i="24"/>
  <c r="I709" i="24" s="1"/>
  <c r="K697" i="24"/>
  <c r="O617" i="24"/>
  <c r="O697" i="24" s="1"/>
  <c r="O614" i="24"/>
  <c r="P535" i="24"/>
  <c r="P575" i="24" s="1"/>
  <c r="P567" i="24"/>
  <c r="D535" i="24"/>
  <c r="D567" i="24"/>
  <c r="S534" i="24"/>
  <c r="S574" i="24" s="1"/>
  <c r="S566" i="24"/>
  <c r="K566" i="24"/>
  <c r="K534" i="24"/>
  <c r="K574" i="24" s="1"/>
  <c r="C534" i="24"/>
  <c r="C574" i="24" s="1"/>
  <c r="C566" i="24"/>
  <c r="M588" i="24"/>
  <c r="R505" i="24"/>
  <c r="N505" i="24"/>
  <c r="N584" i="24"/>
  <c r="J505" i="24"/>
  <c r="J584" i="24"/>
  <c r="B505" i="24"/>
  <c r="Q516" i="24"/>
  <c r="Q505" i="24"/>
  <c r="Q583" i="24"/>
  <c r="M516" i="24"/>
  <c r="M505" i="24"/>
  <c r="M583" i="24"/>
  <c r="E516" i="24"/>
  <c r="E583" i="24"/>
  <c r="E505" i="24"/>
  <c r="S501" i="24"/>
  <c r="S580" i="24"/>
  <c r="O501" i="24"/>
  <c r="O508" i="24"/>
  <c r="O588" i="24" s="1"/>
  <c r="K580" i="24"/>
  <c r="K508" i="24"/>
  <c r="K588" i="24" s="1"/>
  <c r="G580" i="24"/>
  <c r="G501" i="24"/>
  <c r="G509" i="24" s="1"/>
  <c r="G508" i="24"/>
  <c r="G588" i="24" s="1"/>
  <c r="C501" i="24"/>
  <c r="C580" i="24"/>
  <c r="N579" i="24"/>
  <c r="N507" i="24"/>
  <c r="N587" i="24" s="1"/>
  <c r="J579" i="24"/>
  <c r="J507" i="24"/>
  <c r="J587" i="24" s="1"/>
  <c r="B587" i="24"/>
  <c r="N575" i="24"/>
  <c r="S492" i="24"/>
  <c r="S517" i="24"/>
  <c r="S597" i="24" s="1"/>
  <c r="S571" i="24"/>
  <c r="O492" i="24"/>
  <c r="O571" i="24"/>
  <c r="O517" i="24"/>
  <c r="O597" i="24" s="1"/>
  <c r="K492" i="24"/>
  <c r="K517" i="24"/>
  <c r="K597" i="24" s="1"/>
  <c r="K571" i="24"/>
  <c r="G492" i="24"/>
  <c r="G517" i="24"/>
  <c r="G597" i="24" s="1"/>
  <c r="C492" i="24"/>
  <c r="C517" i="24"/>
  <c r="C597" i="24" s="1"/>
  <c r="C571" i="24"/>
  <c r="R570" i="24"/>
  <c r="R492" i="24"/>
  <c r="R516" i="24"/>
  <c r="R596" i="24" s="1"/>
  <c r="N492" i="24"/>
  <c r="N516" i="24"/>
  <c r="N596" i="24" s="1"/>
  <c r="N570" i="24"/>
  <c r="J516" i="24"/>
  <c r="J596" i="24" s="1"/>
  <c r="J570" i="24"/>
  <c r="F516" i="24"/>
  <c r="F596" i="24" s="1"/>
  <c r="F492" i="24"/>
  <c r="B570" i="24"/>
  <c r="B492" i="24"/>
  <c r="B516" i="24"/>
  <c r="B596" i="24" s="1"/>
  <c r="R653" i="24"/>
  <c r="R679" i="24" s="1"/>
  <c r="R313" i="24"/>
  <c r="N313" i="24"/>
  <c r="N353" i="24" s="1"/>
  <c r="N653" i="24"/>
  <c r="N679" i="24" s="1"/>
  <c r="J313" i="24"/>
  <c r="J653" i="24"/>
  <c r="J679" i="24" s="1"/>
  <c r="F679" i="24"/>
  <c r="B313" i="24"/>
  <c r="B653" i="24"/>
  <c r="B679" i="24" s="1"/>
  <c r="Q312" i="24"/>
  <c r="Q652" i="24"/>
  <c r="Q678" i="24" s="1"/>
  <c r="Q718" i="24" s="1"/>
  <c r="M312" i="24"/>
  <c r="M652" i="24"/>
  <c r="M654" i="24" s="1"/>
  <c r="I652" i="24"/>
  <c r="I312" i="24"/>
  <c r="E312" i="24"/>
  <c r="E652" i="24"/>
  <c r="E654" i="24" s="1"/>
  <c r="E288" i="24"/>
  <c r="R291" i="24"/>
  <c r="R317" i="24" s="1"/>
  <c r="R309" i="24"/>
  <c r="R349" i="24" s="1"/>
  <c r="R323" i="24"/>
  <c r="R649" i="24"/>
  <c r="N291" i="24"/>
  <c r="N317" i="24" s="1"/>
  <c r="N323" i="24"/>
  <c r="N309" i="24"/>
  <c r="N649" i="24"/>
  <c r="J291" i="24"/>
  <c r="J317" i="24" s="1"/>
  <c r="J309" i="24"/>
  <c r="J323" i="24"/>
  <c r="J649" i="24"/>
  <c r="F291" i="24"/>
  <c r="F317" i="24" s="1"/>
  <c r="F309" i="24"/>
  <c r="F323" i="24"/>
  <c r="F649" i="24"/>
  <c r="B291" i="24"/>
  <c r="B317" i="24" s="1"/>
  <c r="B323" i="24"/>
  <c r="B309" i="24"/>
  <c r="B649" i="24"/>
  <c r="Q284" i="24"/>
  <c r="Q308" i="24"/>
  <c r="Q322" i="24"/>
  <c r="Q648" i="24"/>
  <c r="M284" i="24"/>
  <c r="M322" i="24"/>
  <c r="M308" i="24"/>
  <c r="M648" i="24"/>
  <c r="I284" i="24"/>
  <c r="I308" i="24"/>
  <c r="I322" i="24"/>
  <c r="I648" i="24"/>
  <c r="E284" i="24"/>
  <c r="E322" i="24"/>
  <c r="E308" i="24"/>
  <c r="E648" i="24"/>
  <c r="D344" i="24"/>
  <c r="Q934" i="24"/>
  <c r="I934" i="24"/>
  <c r="L933" i="24"/>
  <c r="D933" i="24"/>
  <c r="M916" i="24"/>
  <c r="M956" i="24" s="1"/>
  <c r="R898" i="24"/>
  <c r="R978" i="24" s="1"/>
  <c r="J898" i="24"/>
  <c r="J978" i="24" s="1"/>
  <c r="B898" i="24"/>
  <c r="B978" i="24" s="1"/>
  <c r="M897" i="24"/>
  <c r="M977" i="24" s="1"/>
  <c r="E897" i="24"/>
  <c r="E977" i="24" s="1"/>
  <c r="K882" i="24"/>
  <c r="K895" i="24" s="1"/>
  <c r="K875" i="24"/>
  <c r="O956" i="24"/>
  <c r="G956" i="24"/>
  <c r="R955" i="24"/>
  <c r="J955" i="24"/>
  <c r="B955" i="24"/>
  <c r="L869" i="24"/>
  <c r="K846" i="24"/>
  <c r="K859" i="24" s="1"/>
  <c r="L840" i="24"/>
  <c r="S831" i="24"/>
  <c r="O831" i="24"/>
  <c r="K831" i="24"/>
  <c r="G831" i="24"/>
  <c r="C831" i="24"/>
  <c r="Q827" i="24"/>
  <c r="M827" i="24"/>
  <c r="I827" i="24"/>
  <c r="E827" i="24"/>
  <c r="P827" i="24"/>
  <c r="L833" i="24"/>
  <c r="H827" i="24"/>
  <c r="D833" i="24"/>
  <c r="F706" i="24"/>
  <c r="O705" i="24"/>
  <c r="K693" i="24"/>
  <c r="E693" i="24"/>
  <c r="N692" i="24"/>
  <c r="H692" i="24"/>
  <c r="B663" i="24"/>
  <c r="I654" i="24"/>
  <c r="Q623" i="24"/>
  <c r="Q630" i="24"/>
  <c r="L634" i="24"/>
  <c r="L623" i="24"/>
  <c r="L629" i="24"/>
  <c r="S617" i="24"/>
  <c r="S697" i="24" s="1"/>
  <c r="G617" i="24"/>
  <c r="G697" i="24" s="1"/>
  <c r="C617" i="24"/>
  <c r="C697" i="24" s="1"/>
  <c r="J616" i="24"/>
  <c r="F616" i="24"/>
  <c r="F696" i="24" s="1"/>
  <c r="I583" i="24"/>
  <c r="H535" i="24"/>
  <c r="H575" i="24" s="1"/>
  <c r="R534" i="24"/>
  <c r="R560" i="24" s="1"/>
  <c r="B534" i="24"/>
  <c r="B560" i="24" s="1"/>
  <c r="F507" i="24"/>
  <c r="F587" i="24" s="1"/>
  <c r="I505" i="24"/>
  <c r="L520" i="24"/>
  <c r="M288" i="24"/>
  <c r="I343" i="24"/>
  <c r="Q614" i="24"/>
  <c r="M614" i="24"/>
  <c r="I614" i="24"/>
  <c r="E614" i="24"/>
  <c r="S610" i="24"/>
  <c r="O610" i="24"/>
  <c r="K610" i="24"/>
  <c r="G610" i="24"/>
  <c r="C610" i="24"/>
  <c r="K579" i="24"/>
  <c r="J567" i="24"/>
  <c r="C545" i="24"/>
  <c r="R535" i="24"/>
  <c r="R575" i="24" s="1"/>
  <c r="B535" i="24"/>
  <c r="B575" i="24" s="1"/>
  <c r="J528" i="24"/>
  <c r="J536" i="24" s="1"/>
  <c r="S528" i="24"/>
  <c r="O528" i="24"/>
  <c r="K528" i="24"/>
  <c r="G528" i="24"/>
  <c r="C528" i="24"/>
  <c r="M495" i="24"/>
  <c r="M521" i="24" s="1"/>
  <c r="P494" i="24"/>
  <c r="P520" i="24" s="1"/>
  <c r="H488" i="24"/>
  <c r="I389" i="24"/>
  <c r="S398" i="24"/>
  <c r="H385" i="24"/>
  <c r="C398" i="24"/>
  <c r="R397" i="24"/>
  <c r="E384" i="24"/>
  <c r="P393" i="24"/>
  <c r="P382" i="24"/>
  <c r="R389" i="24"/>
  <c r="N389" i="24"/>
  <c r="N384" i="24"/>
  <c r="N397" i="24" s="1"/>
  <c r="J389" i="24"/>
  <c r="F389" i="24"/>
  <c r="B389" i="24"/>
  <c r="B378" i="24"/>
  <c r="I372" i="24"/>
  <c r="D340" i="24"/>
  <c r="O339" i="24"/>
  <c r="M343" i="24"/>
  <c r="E303" i="24"/>
  <c r="E343" i="24" s="1"/>
  <c r="E339" i="24"/>
  <c r="L309" i="24"/>
  <c r="L336" i="24"/>
  <c r="H304" i="24"/>
  <c r="H309" i="24"/>
  <c r="D309" i="24"/>
  <c r="D304" i="24"/>
  <c r="D317" i="24" s="1"/>
  <c r="S308" i="24"/>
  <c r="S335" i="24"/>
  <c r="C303" i="24"/>
  <c r="C335" i="24"/>
  <c r="Q288" i="24"/>
  <c r="Q291" i="24"/>
  <c r="Q327" i="24"/>
  <c r="M291" i="24"/>
  <c r="M331" i="24" s="1"/>
  <c r="M327" i="24"/>
  <c r="I288" i="24"/>
  <c r="I327" i="24"/>
  <c r="E291" i="24"/>
  <c r="E331" i="24" s="1"/>
  <c r="E327" i="24"/>
  <c r="L326" i="24"/>
  <c r="L290" i="24"/>
  <c r="B269" i="24"/>
  <c r="B349" i="24" s="1"/>
  <c r="O263" i="24"/>
  <c r="O343" i="24" s="1"/>
  <c r="R327" i="24"/>
  <c r="R273" i="24"/>
  <c r="R353" i="24" s="1"/>
  <c r="N327" i="24"/>
  <c r="N273" i="24"/>
  <c r="J327" i="24"/>
  <c r="J251" i="24"/>
  <c r="J277" i="24" s="1"/>
  <c r="J357" i="24" s="1"/>
  <c r="J273" i="24"/>
  <c r="F327" i="24"/>
  <c r="B327" i="24"/>
  <c r="B273" i="24"/>
  <c r="B353" i="24" s="1"/>
  <c r="M276" i="24"/>
  <c r="S323" i="24"/>
  <c r="C331" i="24"/>
  <c r="F322" i="24"/>
  <c r="B330" i="24"/>
  <c r="B218" i="24"/>
  <c r="Q208" i="24"/>
  <c r="P558" i="24"/>
  <c r="L558" i="24"/>
  <c r="H558" i="24"/>
  <c r="G398" i="24"/>
  <c r="B397" i="24"/>
  <c r="G365" i="24"/>
  <c r="G372" i="24"/>
  <c r="S263" i="24"/>
  <c r="S343" i="24" s="1"/>
  <c r="S339" i="24"/>
  <c r="S272" i="24"/>
  <c r="S352" i="24" s="1"/>
  <c r="K263" i="24"/>
  <c r="K343" i="24" s="1"/>
  <c r="K339" i="24"/>
  <c r="C343" i="24"/>
  <c r="N264" i="24"/>
  <c r="N269" i="24"/>
  <c r="N349" i="24" s="1"/>
  <c r="N336" i="24"/>
  <c r="J349" i="24"/>
  <c r="F264" i="24"/>
  <c r="F344" i="24" s="1"/>
  <c r="F269" i="24"/>
  <c r="F349" i="24" s="1"/>
  <c r="F336" i="24"/>
  <c r="P650" i="24"/>
  <c r="L650" i="24"/>
  <c r="H650" i="24"/>
  <c r="D650" i="24"/>
  <c r="S650" i="24"/>
  <c r="K650" i="24"/>
  <c r="C650" i="24"/>
  <c r="M616" i="24"/>
  <c r="M642" i="24" s="1"/>
  <c r="P614" i="24"/>
  <c r="L614" i="24"/>
  <c r="H614" i="24"/>
  <c r="D614" i="24"/>
  <c r="S614" i="24"/>
  <c r="K614" i="24"/>
  <c r="C614" i="24"/>
  <c r="R610" i="24"/>
  <c r="N610" i="24"/>
  <c r="J610" i="24"/>
  <c r="F610" i="24"/>
  <c r="B610" i="24"/>
  <c r="M610" i="24"/>
  <c r="M618" i="24" s="1"/>
  <c r="E610" i="24"/>
  <c r="E618" i="24" s="1"/>
  <c r="S579" i="24"/>
  <c r="C579" i="24"/>
  <c r="R567" i="24"/>
  <c r="B567" i="24"/>
  <c r="O545" i="24"/>
  <c r="B528" i="24"/>
  <c r="P501" i="24"/>
  <c r="L501" i="24"/>
  <c r="H501" i="24"/>
  <c r="D501" i="24"/>
  <c r="E495" i="24"/>
  <c r="E521" i="24" s="1"/>
  <c r="K398" i="24"/>
  <c r="M335" i="24"/>
  <c r="O323" i="24"/>
  <c r="O284" i="24"/>
  <c r="G323" i="24"/>
  <c r="G291" i="24"/>
  <c r="G331" i="24" s="1"/>
  <c r="G272" i="24"/>
  <c r="G352" i="24" s="1"/>
  <c r="L264" i="24"/>
  <c r="L344" i="24" s="1"/>
  <c r="E263" i="24"/>
  <c r="S261" i="24"/>
  <c r="S340" i="24"/>
  <c r="O261" i="24"/>
  <c r="O340" i="24"/>
  <c r="K261" i="24"/>
  <c r="G261" i="24"/>
  <c r="G340" i="24"/>
  <c r="C261" i="24"/>
  <c r="C340" i="24"/>
  <c r="R272" i="24"/>
  <c r="R339" i="24"/>
  <c r="R261" i="24"/>
  <c r="N339" i="24"/>
  <c r="J272" i="24"/>
  <c r="J261" i="24"/>
  <c r="F339" i="24"/>
  <c r="B272" i="24"/>
  <c r="B261" i="24"/>
  <c r="B339" i="24"/>
  <c r="Q257" i="24"/>
  <c r="Q264" i="24"/>
  <c r="M336" i="24"/>
  <c r="I257" i="24"/>
  <c r="I264" i="24"/>
  <c r="E336" i="24"/>
  <c r="P335" i="24"/>
  <c r="L268" i="24"/>
  <c r="L263" i="24"/>
  <c r="L335" i="24"/>
  <c r="D268" i="24"/>
  <c r="D263" i="24"/>
  <c r="D335" i="24"/>
  <c r="Q331" i="24"/>
  <c r="D64" i="24"/>
  <c r="D66" i="24" s="1"/>
  <c r="B66" i="24"/>
  <c r="P955" i="22"/>
  <c r="F55" i="23"/>
  <c r="P378" i="24"/>
  <c r="L378" i="24"/>
  <c r="H378" i="24"/>
  <c r="D378" i="24"/>
  <c r="Q365" i="24"/>
  <c r="M365" i="24"/>
  <c r="I365" i="24"/>
  <c r="E365" i="24"/>
  <c r="P313" i="24"/>
  <c r="H313" i="24"/>
  <c r="I291" i="24"/>
  <c r="I331" i="24" s="1"/>
  <c r="N340" i="24"/>
  <c r="M339" i="24"/>
  <c r="H264" i="24"/>
  <c r="H336" i="24"/>
  <c r="K335" i="24"/>
  <c r="G263" i="24"/>
  <c r="D327" i="24"/>
  <c r="K248" i="24"/>
  <c r="K272" i="24"/>
  <c r="K352" i="24" s="1"/>
  <c r="G248" i="24"/>
  <c r="G326" i="24"/>
  <c r="I323" i="24"/>
  <c r="L330" i="24"/>
  <c r="D330" i="24"/>
  <c r="O205" i="24"/>
  <c r="O169" i="24"/>
  <c r="G169" i="24"/>
  <c r="G205" i="24"/>
  <c r="N194" i="24"/>
  <c r="F194" i="24"/>
  <c r="Q169" i="24"/>
  <c r="Q187" i="24"/>
  <c r="I169" i="24"/>
  <c r="I187" i="24"/>
  <c r="E169" i="24"/>
  <c r="E187" i="24"/>
  <c r="E227" i="24" s="1"/>
  <c r="L162" i="24"/>
  <c r="L186" i="24"/>
  <c r="L226" i="24" s="1"/>
  <c r="H162" i="24"/>
  <c r="H186" i="24"/>
  <c r="H226" i="24" s="1"/>
  <c r="D162" i="24"/>
  <c r="D186" i="24"/>
  <c r="D226" i="24" s="1"/>
  <c r="Q139" i="24"/>
  <c r="Q142" i="24"/>
  <c r="Q222" i="24" s="1"/>
  <c r="M142" i="24"/>
  <c r="M139" i="24"/>
  <c r="F50" i="24"/>
  <c r="O303" i="24"/>
  <c r="G303" i="24"/>
  <c r="G343" i="24" s="1"/>
  <c r="N304" i="24"/>
  <c r="I222" i="24"/>
  <c r="B70" i="24"/>
  <c r="B96" i="24" s="1"/>
  <c r="B95" i="24"/>
  <c r="I1062" i="22"/>
  <c r="I11" i="24"/>
  <c r="H238" i="24"/>
  <c r="P365" i="24"/>
  <c r="P373" i="24" s="1"/>
  <c r="L365" i="24"/>
  <c r="H365" i="24"/>
  <c r="D365" i="24"/>
  <c r="S365" i="24"/>
  <c r="S391" i="24" s="1"/>
  <c r="K365" i="24"/>
  <c r="C323" i="24"/>
  <c r="L322" i="24"/>
  <c r="P312" i="24"/>
  <c r="S297" i="24"/>
  <c r="O297" i="24"/>
  <c r="K297" i="24"/>
  <c r="G297" i="24"/>
  <c r="G302" i="24" s="1"/>
  <c r="C297" i="24"/>
  <c r="R308" i="24"/>
  <c r="J308" i="24"/>
  <c r="B308" i="24"/>
  <c r="S291" i="24"/>
  <c r="S331" i="24" s="1"/>
  <c r="K291" i="24"/>
  <c r="K331" i="24" s="1"/>
  <c r="C291" i="24"/>
  <c r="N290" i="24"/>
  <c r="N330" i="24" s="1"/>
  <c r="F290" i="24"/>
  <c r="F330" i="24" s="1"/>
  <c r="L284" i="24"/>
  <c r="D284" i="24"/>
  <c r="G284" i="24"/>
  <c r="G324" i="24" s="1"/>
  <c r="P261" i="24"/>
  <c r="L261" i="24"/>
  <c r="H261" i="24"/>
  <c r="S244" i="24"/>
  <c r="S249" i="24" s="1"/>
  <c r="O244" i="24"/>
  <c r="K244" i="24"/>
  <c r="G244" i="24"/>
  <c r="C244" i="24"/>
  <c r="C249" i="24" s="1"/>
  <c r="S205" i="24"/>
  <c r="N205" i="24"/>
  <c r="I205" i="24"/>
  <c r="C205" i="24"/>
  <c r="L204" i="24"/>
  <c r="F204" i="24"/>
  <c r="R201" i="24"/>
  <c r="Q200" i="24"/>
  <c r="F200" i="24"/>
  <c r="L181" i="24"/>
  <c r="L221" i="24" s="1"/>
  <c r="C179" i="24"/>
  <c r="M175" i="24"/>
  <c r="N182" i="24"/>
  <c r="F182" i="24"/>
  <c r="Q186" i="24"/>
  <c r="Q181" i="24"/>
  <c r="Q194" i="24" s="1"/>
  <c r="Q213" i="24"/>
  <c r="M186" i="24"/>
  <c r="I186" i="24"/>
  <c r="I181" i="24"/>
  <c r="I194" i="24" s="1"/>
  <c r="I213" i="24"/>
  <c r="E186" i="24"/>
  <c r="R169" i="24"/>
  <c r="R209" i="24" s="1"/>
  <c r="S151" i="24"/>
  <c r="S142" i="24"/>
  <c r="S222" i="24" s="1"/>
  <c r="K142" i="24"/>
  <c r="K222" i="24" s="1"/>
  <c r="C142" i="24"/>
  <c r="N141" i="24"/>
  <c r="N221" i="24" s="1"/>
  <c r="F141" i="24"/>
  <c r="P135" i="24"/>
  <c r="L135" i="24"/>
  <c r="L142" i="24"/>
  <c r="L214" i="24"/>
  <c r="H135" i="24"/>
  <c r="D135" i="24"/>
  <c r="D214" i="24"/>
  <c r="S135" i="24"/>
  <c r="O135" i="24"/>
  <c r="K135" i="24"/>
  <c r="C135" i="24"/>
  <c r="F128" i="24"/>
  <c r="F208" i="24" s="1"/>
  <c r="R122" i="24"/>
  <c r="N122" i="24"/>
  <c r="Q122" i="24"/>
  <c r="I122" i="24"/>
  <c r="B85" i="24"/>
  <c r="B94" i="24"/>
  <c r="S11" i="24"/>
  <c r="R238" i="24"/>
  <c r="S191" i="24"/>
  <c r="K191" i="24"/>
  <c r="K231" i="24" s="1"/>
  <c r="C191" i="24"/>
  <c r="C231" i="24" s="1"/>
  <c r="R190" i="24"/>
  <c r="R230" i="24" s="1"/>
  <c r="N190" i="24"/>
  <c r="J190" i="24"/>
  <c r="J230" i="24" s="1"/>
  <c r="F190" i="24"/>
  <c r="F230" i="24" s="1"/>
  <c r="B190" i="24"/>
  <c r="B230" i="24" s="1"/>
  <c r="J169" i="24"/>
  <c r="J209" i="24" s="1"/>
  <c r="M150" i="24"/>
  <c r="M217" i="24"/>
  <c r="E150" i="24"/>
  <c r="E217" i="24"/>
  <c r="R128" i="24"/>
  <c r="R154" i="24" s="1"/>
  <c r="R126" i="24"/>
  <c r="R127" i="24" s="1"/>
  <c r="N126" i="24"/>
  <c r="N150" i="24"/>
  <c r="J128" i="24"/>
  <c r="J154" i="24" s="1"/>
  <c r="B128" i="24"/>
  <c r="B154" i="24" s="1"/>
  <c r="Q147" i="24"/>
  <c r="Q201" i="24"/>
  <c r="I129" i="24"/>
  <c r="I155" i="24" s="1"/>
  <c r="I147" i="24"/>
  <c r="I201" i="24"/>
  <c r="L128" i="24"/>
  <c r="L154" i="24" s="1"/>
  <c r="L146" i="24"/>
  <c r="L200" i="24"/>
  <c r="D146" i="24"/>
  <c r="D200" i="24"/>
  <c r="B106" i="24"/>
  <c r="D55" i="24"/>
  <c r="D56" i="24" s="1"/>
  <c r="B51" i="24"/>
  <c r="L849" i="9"/>
  <c r="C1062" i="22"/>
  <c r="C8" i="24"/>
  <c r="G29" i="23"/>
  <c r="F29" i="23"/>
  <c r="B285" i="22"/>
  <c r="B288" i="22"/>
  <c r="M151" i="24"/>
  <c r="M231" i="24" s="1"/>
  <c r="E151" i="24"/>
  <c r="E231" i="24" s="1"/>
  <c r="P150" i="24"/>
  <c r="P230" i="24" s="1"/>
  <c r="H150" i="24"/>
  <c r="H230" i="24" s="1"/>
  <c r="B56" i="24"/>
  <c r="Q949" i="22"/>
  <c r="F56" i="23"/>
  <c r="O8" i="24"/>
  <c r="N116" i="24"/>
  <c r="N238" i="24"/>
  <c r="F14" i="23"/>
  <c r="Q725" i="22"/>
  <c r="V20" i="5" s="1"/>
  <c r="M725" i="22"/>
  <c r="P20" i="5" s="1"/>
  <c r="I725" i="22"/>
  <c r="K20" i="5" s="1"/>
  <c r="E725" i="22"/>
  <c r="F20" i="5" s="1"/>
  <c r="B148" i="22"/>
  <c r="C110" i="14"/>
  <c r="Q37" i="13"/>
  <c r="Y29" i="13"/>
  <c r="I29" i="13"/>
  <c r="Q21" i="13"/>
  <c r="R809" i="9"/>
  <c r="R822" i="9" s="1"/>
  <c r="N809" i="9"/>
  <c r="S798" i="9"/>
  <c r="I797" i="9"/>
  <c r="Q796" i="9"/>
  <c r="L796" i="9"/>
  <c r="L822" i="9" s="1"/>
  <c r="E772" i="9"/>
  <c r="Q777" i="9"/>
  <c r="Q857" i="9" s="1"/>
  <c r="M777" i="9"/>
  <c r="M857" i="9" s="1"/>
  <c r="I777" i="9"/>
  <c r="I857" i="9" s="1"/>
  <c r="E777" i="9"/>
  <c r="E857" i="9" s="1"/>
  <c r="T776" i="9"/>
  <c r="T856" i="9" s="1"/>
  <c r="P776" i="9"/>
  <c r="P856" i="9" s="1"/>
  <c r="L776" i="9"/>
  <c r="L856" i="9" s="1"/>
  <c r="L765" i="9"/>
  <c r="L773" i="9" s="1"/>
  <c r="H776" i="9"/>
  <c r="H856" i="9" s="1"/>
  <c r="D776" i="9"/>
  <c r="D856" i="9" s="1"/>
  <c r="Q758" i="9"/>
  <c r="Q838" i="9" s="1"/>
  <c r="M752" i="9"/>
  <c r="Q461" i="7"/>
  <c r="D725" i="22"/>
  <c r="D20" i="5" s="1"/>
  <c r="H339" i="11"/>
  <c r="C660" i="9"/>
  <c r="C727" i="9"/>
  <c r="C658" i="9"/>
  <c r="C738" i="9" s="1"/>
  <c r="C649" i="9"/>
  <c r="C725" i="9"/>
  <c r="H17" i="23"/>
  <c r="Y37" i="13"/>
  <c r="I37" i="13"/>
  <c r="Q29" i="13"/>
  <c r="Y21" i="13"/>
  <c r="I21" i="13"/>
  <c r="U93" i="12"/>
  <c r="E93" i="12"/>
  <c r="M341" i="11"/>
  <c r="M337" i="11"/>
  <c r="I805" i="9"/>
  <c r="E805" i="9"/>
  <c r="L805" i="9"/>
  <c r="K796" i="9"/>
  <c r="R796" i="9"/>
  <c r="N796" i="9"/>
  <c r="J796" i="9"/>
  <c r="F796" i="9"/>
  <c r="I772" i="9"/>
  <c r="K771" i="9"/>
  <c r="T769" i="9"/>
  <c r="H769" i="9"/>
  <c r="H849" i="9" s="1"/>
  <c r="D769" i="9"/>
  <c r="M457" i="7"/>
  <c r="D261" i="24"/>
  <c r="R257" i="24"/>
  <c r="N257" i="24"/>
  <c r="J257" i="24"/>
  <c r="J262" i="24" s="1"/>
  <c r="F257" i="24"/>
  <c r="B257" i="24"/>
  <c r="R244" i="24"/>
  <c r="J244" i="24"/>
  <c r="J270" i="24" s="1"/>
  <c r="B244" i="24"/>
  <c r="I244" i="24"/>
  <c r="E250" i="24"/>
  <c r="E276" i="24" s="1"/>
  <c r="Q218" i="24"/>
  <c r="M218" i="24"/>
  <c r="I218" i="24"/>
  <c r="E218" i="24"/>
  <c r="P217" i="24"/>
  <c r="L217" i="24"/>
  <c r="H217" i="24"/>
  <c r="D217" i="24"/>
  <c r="S214" i="24"/>
  <c r="O182" i="24"/>
  <c r="K214" i="24"/>
  <c r="G182" i="24"/>
  <c r="C214" i="24"/>
  <c r="R181" i="24"/>
  <c r="R221" i="24" s="1"/>
  <c r="N213" i="24"/>
  <c r="J181" i="24"/>
  <c r="J221" i="24" s="1"/>
  <c r="F213" i="24"/>
  <c r="B181" i="24"/>
  <c r="B221" i="24" s="1"/>
  <c r="P169" i="24"/>
  <c r="L166" i="24"/>
  <c r="H169" i="24"/>
  <c r="D166" i="24"/>
  <c r="O168" i="24"/>
  <c r="G168" i="24"/>
  <c r="S162" i="24"/>
  <c r="S188" i="24" s="1"/>
  <c r="S228" i="24" s="1"/>
  <c r="O162" i="24"/>
  <c r="K162" i="24"/>
  <c r="G162" i="24"/>
  <c r="C162" i="24"/>
  <c r="C188" i="24" s="1"/>
  <c r="C228" i="24" s="1"/>
  <c r="R168" i="24"/>
  <c r="N162" i="24"/>
  <c r="N202" i="24" s="1"/>
  <c r="J168" i="24"/>
  <c r="F162" i="24"/>
  <c r="F202" i="24" s="1"/>
  <c r="B168" i="24"/>
  <c r="R142" i="24"/>
  <c r="N142" i="24"/>
  <c r="J142" i="24"/>
  <c r="J222" i="24" s="1"/>
  <c r="F142" i="24"/>
  <c r="B142" i="24"/>
  <c r="Q135" i="24"/>
  <c r="M135" i="24"/>
  <c r="M215" i="24" s="1"/>
  <c r="I135" i="24"/>
  <c r="E135" i="24"/>
  <c r="P129" i="24"/>
  <c r="H122" i="24"/>
  <c r="H127" i="24" s="1"/>
  <c r="D129" i="24"/>
  <c r="S122" i="24"/>
  <c r="O122" i="24"/>
  <c r="K122" i="24"/>
  <c r="K127" i="24" s="1"/>
  <c r="G122" i="24"/>
  <c r="C122" i="24"/>
  <c r="C110" i="24"/>
  <c r="D78" i="24"/>
  <c r="D86" i="24" s="1"/>
  <c r="G17" i="23"/>
  <c r="B161" i="22"/>
  <c r="M16" i="15"/>
  <c r="O812" i="9"/>
  <c r="O852" i="9" s="1"/>
  <c r="I812" i="9"/>
  <c r="T809" i="9"/>
  <c r="T822" i="9" s="1"/>
  <c r="C709" i="9"/>
  <c r="C677" i="9"/>
  <c r="C717" i="9" s="1"/>
  <c r="C670" i="9"/>
  <c r="C696" i="9" s="1"/>
  <c r="C695" i="9"/>
  <c r="B618" i="9"/>
  <c r="B616" i="9"/>
  <c r="U461" i="7"/>
  <c r="E461" i="7"/>
  <c r="R780" i="9"/>
  <c r="N780" i="9"/>
  <c r="N860" i="9" s="1"/>
  <c r="J780" i="9"/>
  <c r="F780" i="9"/>
  <c r="F860" i="9" s="1"/>
  <c r="O756" i="9"/>
  <c r="G756" i="9"/>
  <c r="C643" i="9"/>
  <c r="C723" i="9" s="1"/>
  <c r="B358" i="9"/>
  <c r="B371" i="9" s="1"/>
  <c r="B341" i="9"/>
  <c r="K457" i="7"/>
  <c r="M447" i="7"/>
  <c r="M443" i="7"/>
  <c r="M439" i="7"/>
  <c r="V435" i="7"/>
  <c r="V461" i="7" s="1"/>
  <c r="Y461" i="7" s="1"/>
  <c r="P435" i="7"/>
  <c r="P461" i="7" s="1"/>
  <c r="K435" i="7"/>
  <c r="F435" i="7"/>
  <c r="F461" i="7" s="1"/>
  <c r="I461" i="7" s="1"/>
  <c r="J434" i="7"/>
  <c r="J460" i="7" s="1"/>
  <c r="U431" i="7"/>
  <c r="E431" i="7"/>
  <c r="M427" i="7"/>
  <c r="V420" i="7"/>
  <c r="Y420" i="7" s="1"/>
  <c r="F420" i="7"/>
  <c r="I420" i="7" s="1"/>
  <c r="L417" i="7"/>
  <c r="Q416" i="7"/>
  <c r="H286" i="2"/>
  <c r="C411" i="7"/>
  <c r="C419" i="7" s="1"/>
  <c r="Q752" i="9"/>
  <c r="C691" i="9"/>
  <c r="C714" i="9"/>
  <c r="B532" i="9"/>
  <c r="S460" i="7"/>
  <c r="C460" i="7"/>
  <c r="E460" i="7" s="1"/>
  <c r="V457" i="7"/>
  <c r="Y457" i="7" s="1"/>
  <c r="F457" i="7"/>
  <c r="I457" i="7" s="1"/>
  <c r="S452" i="7"/>
  <c r="C452" i="7"/>
  <c r="E452" i="7" s="1"/>
  <c r="N428" i="7"/>
  <c r="N436" i="7" s="1"/>
  <c r="J420" i="7"/>
  <c r="M420" i="7" s="1"/>
  <c r="C413" i="7"/>
  <c r="U435" i="7"/>
  <c r="E435" i="7"/>
  <c r="Q420" i="7"/>
  <c r="H421" i="2"/>
  <c r="C21" i="4"/>
  <c r="B166" i="26" s="1"/>
  <c r="B13" i="5"/>
  <c r="E759" i="9"/>
  <c r="H758" i="9"/>
  <c r="T752" i="9"/>
  <c r="H752" i="9"/>
  <c r="D752" i="9"/>
  <c r="S752" i="9"/>
  <c r="C698" i="9"/>
  <c r="C689" i="9"/>
  <c r="C676" i="9"/>
  <c r="C630" i="9"/>
  <c r="C710" i="9" s="1"/>
  <c r="S456" i="7"/>
  <c r="C456" i="7"/>
  <c r="R420" i="7"/>
  <c r="U420" i="7" s="1"/>
  <c r="B420" i="7"/>
  <c r="E420" i="7" s="1"/>
  <c r="O417" i="7"/>
  <c r="M416" i="7"/>
  <c r="T29" i="3"/>
  <c r="T23" i="5"/>
  <c r="O29" i="3"/>
  <c r="Q29" i="3" s="1"/>
  <c r="O23" i="5"/>
  <c r="Q23" i="5" s="1"/>
  <c r="J29" i="3"/>
  <c r="J23" i="5"/>
  <c r="D29" i="3"/>
  <c r="E29" i="3" s="1"/>
  <c r="D23" i="5"/>
  <c r="Q15" i="5"/>
  <c r="I15" i="5"/>
  <c r="C23" i="4"/>
  <c r="B168" i="26" s="1"/>
  <c r="U29" i="3"/>
  <c r="Y23" i="5"/>
  <c r="I23" i="5"/>
  <c r="U15" i="5"/>
  <c r="S939" i="24"/>
  <c r="O939" i="24"/>
  <c r="K939" i="24"/>
  <c r="G939" i="24"/>
  <c r="C939" i="24"/>
  <c r="Q917" i="24"/>
  <c r="Q935" i="24"/>
  <c r="M917" i="24"/>
  <c r="M935" i="24"/>
  <c r="I917" i="24"/>
  <c r="I935" i="24"/>
  <c r="E917" i="24"/>
  <c r="E935" i="24"/>
  <c r="P902" i="24"/>
  <c r="P969" i="24"/>
  <c r="Q953" i="24"/>
  <c r="Q899" i="24"/>
  <c r="I953" i="24"/>
  <c r="I899" i="24"/>
  <c r="E953" i="24"/>
  <c r="E899" i="24"/>
  <c r="L955" i="24"/>
  <c r="D955" i="24"/>
  <c r="P835" i="24"/>
  <c r="P853" i="24"/>
  <c r="L859" i="24"/>
  <c r="H835" i="24"/>
  <c r="H853" i="24"/>
  <c r="D859" i="24"/>
  <c r="O709" i="24"/>
  <c r="O682" i="24"/>
  <c r="M14" i="5"/>
  <c r="P1389" i="24"/>
  <c r="H1389" i="24"/>
  <c r="P1352" i="24"/>
  <c r="L1352" i="24"/>
  <c r="H1352" i="24"/>
  <c r="D1352" i="24"/>
  <c r="S1295" i="24"/>
  <c r="O1295" i="24"/>
  <c r="K1295" i="24"/>
  <c r="G1295" i="24"/>
  <c r="C1295" i="24"/>
  <c r="R1283" i="24"/>
  <c r="N1283" i="24"/>
  <c r="J1283" i="24"/>
  <c r="F1283" i="24"/>
  <c r="B1283" i="24"/>
  <c r="P1267" i="24"/>
  <c r="L1267" i="24"/>
  <c r="H1267" i="24"/>
  <c r="D1267" i="24"/>
  <c r="D1271" i="24" s="1"/>
  <c r="S1270" i="24"/>
  <c r="O1270" i="24"/>
  <c r="K1270" i="24"/>
  <c r="G1270" i="24"/>
  <c r="C1270" i="24"/>
  <c r="O1257" i="24"/>
  <c r="G1257" i="24"/>
  <c r="D1227" i="24"/>
  <c r="C1180" i="24"/>
  <c r="D1180" i="24" s="1"/>
  <c r="E1180" i="24" s="1"/>
  <c r="F1180" i="24" s="1"/>
  <c r="G1180" i="24" s="1"/>
  <c r="H1180" i="24" s="1"/>
  <c r="I1180" i="24" s="1"/>
  <c r="J1180" i="24" s="1"/>
  <c r="K1180" i="24" s="1"/>
  <c r="L1180" i="24" s="1"/>
  <c r="M1180" i="24" s="1"/>
  <c r="N1180" i="24" s="1"/>
  <c r="O1180" i="24" s="1"/>
  <c r="P1180" i="24" s="1"/>
  <c r="Q1180" i="24" s="1"/>
  <c r="R1180" i="24" s="1"/>
  <c r="S1180" i="24" s="1"/>
  <c r="Q1190" i="24"/>
  <c r="M1190" i="24"/>
  <c r="I1190" i="24"/>
  <c r="E1190" i="24"/>
  <c r="B1175" i="24"/>
  <c r="C1175" i="24" s="1"/>
  <c r="D1175" i="24" s="1"/>
  <c r="E1175" i="24" s="1"/>
  <c r="F1175" i="24" s="1"/>
  <c r="G1175" i="24" s="1"/>
  <c r="H1175" i="24" s="1"/>
  <c r="I1175" i="24" s="1"/>
  <c r="J1175" i="24" s="1"/>
  <c r="K1175" i="24" s="1"/>
  <c r="L1175" i="24" s="1"/>
  <c r="M1175" i="24" s="1"/>
  <c r="N1175" i="24" s="1"/>
  <c r="O1175" i="24" s="1"/>
  <c r="P1175" i="24" s="1"/>
  <c r="Q1175" i="24" s="1"/>
  <c r="R1175" i="24" s="1"/>
  <c r="S1175" i="24" s="1"/>
  <c r="Q1058" i="24"/>
  <c r="N1058" i="24"/>
  <c r="I1058" i="24"/>
  <c r="F1058" i="24"/>
  <c r="Q1057" i="24"/>
  <c r="I1057" i="24"/>
  <c r="P1058" i="24"/>
  <c r="L1058" i="24"/>
  <c r="H1058" i="24"/>
  <c r="D1058" i="24"/>
  <c r="S1051" i="24"/>
  <c r="O1051" i="24"/>
  <c r="K1051" i="24"/>
  <c r="G1051" i="24"/>
  <c r="G1056" i="24" s="1"/>
  <c r="C1051" i="24"/>
  <c r="Q1045" i="24"/>
  <c r="M1045" i="24"/>
  <c r="I1045" i="24"/>
  <c r="E1045" i="24"/>
  <c r="P1045" i="24"/>
  <c r="L1045" i="24"/>
  <c r="H1045" i="24"/>
  <c r="D1045" i="24"/>
  <c r="B1040" i="24"/>
  <c r="D1040" i="24" s="1"/>
  <c r="D1038" i="24"/>
  <c r="Q1029" i="24"/>
  <c r="I1029" i="24"/>
  <c r="B1016" i="24"/>
  <c r="D1016" i="24" s="1"/>
  <c r="D1014" i="24"/>
  <c r="Q1010" i="24"/>
  <c r="I1010" i="24"/>
  <c r="O1009" i="24"/>
  <c r="G1009" i="24"/>
  <c r="P1007" i="24"/>
  <c r="P1011" i="24" s="1"/>
  <c r="L1007" i="24"/>
  <c r="L1011" i="24" s="1"/>
  <c r="H1007" i="24"/>
  <c r="H1011" i="24" s="1"/>
  <c r="D1007" i="24"/>
  <c r="D1011" i="24" s="1"/>
  <c r="S1007" i="24"/>
  <c r="S1011" i="24" s="1"/>
  <c r="O1007" i="24"/>
  <c r="K1007" i="24"/>
  <c r="G1007" i="24"/>
  <c r="C1007" i="24"/>
  <c r="O996" i="24"/>
  <c r="G996" i="24"/>
  <c r="S993" i="24"/>
  <c r="S997" i="24" s="1"/>
  <c r="O993" i="24"/>
  <c r="O997" i="24" s="1"/>
  <c r="K993" i="24"/>
  <c r="K997" i="24" s="1"/>
  <c r="G993" i="24"/>
  <c r="C993" i="24"/>
  <c r="C997" i="24" s="1"/>
  <c r="Q989" i="24"/>
  <c r="M989" i="24"/>
  <c r="I989" i="24"/>
  <c r="E989" i="24"/>
  <c r="S938" i="24"/>
  <c r="O938" i="24"/>
  <c r="K938" i="24"/>
  <c r="G938" i="24"/>
  <c r="C938" i="24"/>
  <c r="Q929" i="24"/>
  <c r="I929" i="24"/>
  <c r="P938" i="24"/>
  <c r="L938" i="24"/>
  <c r="H938" i="24"/>
  <c r="D938" i="24"/>
  <c r="S937" i="24"/>
  <c r="Q926" i="24"/>
  <c r="Q966" i="24" s="1"/>
  <c r="O937" i="24"/>
  <c r="M926" i="24"/>
  <c r="K937" i="24"/>
  <c r="I926" i="24"/>
  <c r="I966" i="24" s="1"/>
  <c r="G937" i="24"/>
  <c r="E926" i="24"/>
  <c r="C937" i="24"/>
  <c r="Q916" i="24"/>
  <c r="N916" i="24"/>
  <c r="N942" i="24" s="1"/>
  <c r="I916" i="24"/>
  <c r="F916" i="24"/>
  <c r="F942" i="24" s="1"/>
  <c r="Q915" i="24"/>
  <c r="Q941" i="24" s="1"/>
  <c r="I915" i="24"/>
  <c r="I941" i="24" s="1"/>
  <c r="P916" i="24"/>
  <c r="P942" i="24" s="1"/>
  <c r="L916" i="24"/>
  <c r="L942" i="24" s="1"/>
  <c r="H916" i="24"/>
  <c r="H942" i="24" s="1"/>
  <c r="D916" i="24"/>
  <c r="D942" i="24" s="1"/>
  <c r="S909" i="24"/>
  <c r="O909" i="24"/>
  <c r="K909" i="24"/>
  <c r="K914" i="24" s="1"/>
  <c r="G909" i="24"/>
  <c r="C909" i="24"/>
  <c r="P898" i="24"/>
  <c r="H898" i="24"/>
  <c r="H978" i="24" s="1"/>
  <c r="R894" i="24"/>
  <c r="M893" i="24"/>
  <c r="E893" i="24"/>
  <c r="N889" i="24"/>
  <c r="N969" i="24" s="1"/>
  <c r="H889" i="24"/>
  <c r="F889" i="24"/>
  <c r="F969" i="24" s="1"/>
  <c r="O888" i="24"/>
  <c r="O968" i="24" s="1"/>
  <c r="G888" i="24"/>
  <c r="G968" i="24" s="1"/>
  <c r="S965" i="24"/>
  <c r="O965" i="24"/>
  <c r="K965" i="24"/>
  <c r="G965" i="24"/>
  <c r="C965" i="24"/>
  <c r="R886" i="24"/>
  <c r="N886" i="24"/>
  <c r="J886" i="24"/>
  <c r="J890" i="24" s="1"/>
  <c r="F886" i="24"/>
  <c r="B886" i="24"/>
  <c r="Q889" i="24"/>
  <c r="M889" i="24"/>
  <c r="M969" i="24" s="1"/>
  <c r="I889" i="24"/>
  <c r="E889" i="24"/>
  <c r="P882" i="24"/>
  <c r="L882" i="24"/>
  <c r="L962" i="24" s="1"/>
  <c r="H882" i="24"/>
  <c r="D882" i="24"/>
  <c r="Q876" i="24"/>
  <c r="I876" i="24"/>
  <c r="I956" i="24" s="1"/>
  <c r="O875" i="24"/>
  <c r="G875" i="24"/>
  <c r="P952" i="24"/>
  <c r="L952" i="24"/>
  <c r="H952" i="24"/>
  <c r="D952" i="24"/>
  <c r="S873" i="24"/>
  <c r="O873" i="24"/>
  <c r="K873" i="24"/>
  <c r="G873" i="24"/>
  <c r="C873" i="24"/>
  <c r="Q856" i="24"/>
  <c r="I856" i="24"/>
  <c r="L855" i="24"/>
  <c r="D855" i="24"/>
  <c r="L852" i="24"/>
  <c r="D852" i="24"/>
  <c r="O851" i="24"/>
  <c r="G851" i="24"/>
  <c r="Q847" i="24"/>
  <c r="I847" i="24"/>
  <c r="O846" i="24"/>
  <c r="O859" i="24" s="1"/>
  <c r="G846" i="24"/>
  <c r="G859" i="24" s="1"/>
  <c r="P844" i="24"/>
  <c r="P857" i="24" s="1"/>
  <c r="L844" i="24"/>
  <c r="H844" i="24"/>
  <c r="D844" i="24"/>
  <c r="S844" i="24"/>
  <c r="S857" i="24" s="1"/>
  <c r="O844" i="24"/>
  <c r="O857" i="24" s="1"/>
  <c r="K844" i="24"/>
  <c r="G844" i="24"/>
  <c r="G857" i="24" s="1"/>
  <c r="C844" i="24"/>
  <c r="C857" i="24" s="1"/>
  <c r="Q834" i="24"/>
  <c r="I834" i="24"/>
  <c r="I860" i="24" s="1"/>
  <c r="P679" i="24"/>
  <c r="P719" i="24" s="1"/>
  <c r="L679" i="24"/>
  <c r="L719" i="24" s="1"/>
  <c r="H679" i="24"/>
  <c r="H719" i="24" s="1"/>
  <c r="D679" i="24"/>
  <c r="D719" i="24" s="1"/>
  <c r="M678" i="24"/>
  <c r="E678" i="24"/>
  <c r="E718" i="24" s="1"/>
  <c r="S670" i="24"/>
  <c r="S683" i="24" s="1"/>
  <c r="K670" i="24"/>
  <c r="K683" i="24" s="1"/>
  <c r="C670" i="24"/>
  <c r="C683" i="24" s="1"/>
  <c r="R669" i="24"/>
  <c r="R682" i="24" s="1"/>
  <c r="B669" i="24"/>
  <c r="B682" i="24" s="1"/>
  <c r="S667" i="24"/>
  <c r="Q667" i="24"/>
  <c r="O667" i="24"/>
  <c r="M667" i="24"/>
  <c r="M680" i="24" s="1"/>
  <c r="K667" i="24"/>
  <c r="I667" i="24"/>
  <c r="I680" i="24" s="1"/>
  <c r="E667" i="24"/>
  <c r="E680" i="24" s="1"/>
  <c r="C667" i="24"/>
  <c r="R667" i="24"/>
  <c r="R668" i="24" s="1"/>
  <c r="P678" i="24"/>
  <c r="N667" i="24"/>
  <c r="L678" i="24"/>
  <c r="J667" i="24"/>
  <c r="J671" i="24" s="1"/>
  <c r="H678" i="24"/>
  <c r="F667" i="24"/>
  <c r="D678" i="24"/>
  <c r="B667" i="24"/>
  <c r="B668" i="24" s="1"/>
  <c r="N663" i="24"/>
  <c r="F663" i="24"/>
  <c r="P657" i="24"/>
  <c r="P683" i="24" s="1"/>
  <c r="H657" i="24"/>
  <c r="H683" i="24" s="1"/>
  <c r="S656" i="24"/>
  <c r="S682" i="24" s="1"/>
  <c r="K656" i="24"/>
  <c r="K682" i="24" s="1"/>
  <c r="C656" i="24"/>
  <c r="C682" i="24" s="1"/>
  <c r="R654" i="24"/>
  <c r="P654" i="24"/>
  <c r="P680" i="24" s="1"/>
  <c r="N654" i="24"/>
  <c r="L654" i="24"/>
  <c r="J654" i="24"/>
  <c r="J680" i="24" s="1"/>
  <c r="H654" i="24"/>
  <c r="H680" i="24" s="1"/>
  <c r="F654" i="24"/>
  <c r="D654" i="24"/>
  <c r="D680" i="24" s="1"/>
  <c r="B654" i="24"/>
  <c r="S654" i="24"/>
  <c r="O654" i="24"/>
  <c r="K654" i="24"/>
  <c r="G654" i="24"/>
  <c r="G655" i="24" s="1"/>
  <c r="C654" i="24"/>
  <c r="O316" i="24"/>
  <c r="G316" i="24"/>
  <c r="Q14" i="5"/>
  <c r="R1364" i="24"/>
  <c r="N1364" i="24"/>
  <c r="J1364" i="24"/>
  <c r="F1364" i="24"/>
  <c r="B1364" i="24"/>
  <c r="B1358" i="24"/>
  <c r="R1300" i="24"/>
  <c r="N1300" i="24"/>
  <c r="J1300" i="24"/>
  <c r="F1300" i="24"/>
  <c r="B1300" i="24"/>
  <c r="P1295" i="24"/>
  <c r="L1295" i="24"/>
  <c r="H1295" i="24"/>
  <c r="D1295" i="24"/>
  <c r="S1283" i="24"/>
  <c r="O1283" i="24"/>
  <c r="K1283" i="24"/>
  <c r="G1283" i="24"/>
  <c r="C1283" i="24"/>
  <c r="S1278" i="24"/>
  <c r="O1278" i="24"/>
  <c r="K1278" i="24"/>
  <c r="G1278" i="24"/>
  <c r="C1278" i="24"/>
  <c r="P1270" i="24"/>
  <c r="L1270" i="24"/>
  <c r="H1270" i="24"/>
  <c r="D1270" i="24"/>
  <c r="D1228" i="24"/>
  <c r="D1179" i="24"/>
  <c r="E1179" i="24" s="1"/>
  <c r="F1179" i="24" s="1"/>
  <c r="G1179" i="24" s="1"/>
  <c r="H1179" i="24" s="1"/>
  <c r="I1179" i="24" s="1"/>
  <c r="J1179" i="24" s="1"/>
  <c r="K1179" i="24" s="1"/>
  <c r="L1179" i="24" s="1"/>
  <c r="M1179" i="24" s="1"/>
  <c r="N1179" i="24" s="1"/>
  <c r="O1179" i="24" s="1"/>
  <c r="P1179" i="24" s="1"/>
  <c r="Q1179" i="24" s="1"/>
  <c r="R1179" i="24" s="1"/>
  <c r="S1179" i="24" s="1"/>
  <c r="Q1030" i="24"/>
  <c r="M1030" i="24"/>
  <c r="I1030" i="24"/>
  <c r="E1030" i="24"/>
  <c r="P1030" i="24"/>
  <c r="H1030" i="24"/>
  <c r="S1029" i="24"/>
  <c r="O1029" i="24"/>
  <c r="K1029" i="24"/>
  <c r="G1029" i="24"/>
  <c r="C1029" i="24"/>
  <c r="Q996" i="24"/>
  <c r="M996" i="24"/>
  <c r="I996" i="24"/>
  <c r="E996" i="24"/>
  <c r="S929" i="24"/>
  <c r="S942" i="24" s="1"/>
  <c r="O929" i="24"/>
  <c r="O942" i="24" s="1"/>
  <c r="K929" i="24"/>
  <c r="K942" i="24" s="1"/>
  <c r="G929" i="24"/>
  <c r="G942" i="24" s="1"/>
  <c r="C929" i="24"/>
  <c r="C942" i="24" s="1"/>
  <c r="L974" i="24"/>
  <c r="H974" i="24"/>
  <c r="D974" i="24"/>
  <c r="S973" i="24"/>
  <c r="O973" i="24"/>
  <c r="K973" i="24"/>
  <c r="G973" i="24"/>
  <c r="C973" i="24"/>
  <c r="Q857" i="24"/>
  <c r="M857" i="24"/>
  <c r="I857" i="24"/>
  <c r="L835" i="24"/>
  <c r="S834" i="24"/>
  <c r="S860" i="24" s="1"/>
  <c r="O834" i="24"/>
  <c r="O860" i="24" s="1"/>
  <c r="K834" i="24"/>
  <c r="K860" i="24" s="1"/>
  <c r="G834" i="24"/>
  <c r="G860" i="24" s="1"/>
  <c r="C834" i="24"/>
  <c r="C860" i="24" s="1"/>
  <c r="N682" i="24"/>
  <c r="F682" i="24"/>
  <c r="R719" i="24"/>
  <c r="N719" i="24"/>
  <c r="J719" i="24"/>
  <c r="F719" i="24"/>
  <c r="B719" i="24"/>
  <c r="S714" i="24"/>
  <c r="O714" i="24"/>
  <c r="K714" i="24"/>
  <c r="G714" i="24"/>
  <c r="C714" i="24"/>
  <c r="Q706" i="24"/>
  <c r="M706" i="24"/>
  <c r="I706" i="24"/>
  <c r="E706" i="24"/>
  <c r="P707" i="24"/>
  <c r="N638" i="24"/>
  <c r="N627" i="24"/>
  <c r="H707" i="24"/>
  <c r="D707" i="24"/>
  <c r="S630" i="24"/>
  <c r="O630" i="24"/>
  <c r="K630" i="24"/>
  <c r="G630" i="24"/>
  <c r="G710" i="24" s="1"/>
  <c r="C630" i="24"/>
  <c r="R693" i="24"/>
  <c r="N693" i="24"/>
  <c r="J693" i="24"/>
  <c r="F693" i="24"/>
  <c r="B693" i="24"/>
  <c r="P617" i="24"/>
  <c r="L617" i="24"/>
  <c r="L643" i="24" s="1"/>
  <c r="H617" i="24"/>
  <c r="D617" i="24"/>
  <c r="P548" i="24"/>
  <c r="P561" i="24" s="1"/>
  <c r="L548" i="24"/>
  <c r="L561" i="24" s="1"/>
  <c r="H548" i="24"/>
  <c r="H561" i="24" s="1"/>
  <c r="D548" i="24"/>
  <c r="D561" i="24" s="1"/>
  <c r="O558" i="24"/>
  <c r="G558" i="24"/>
  <c r="R532" i="24"/>
  <c r="N532" i="24"/>
  <c r="N533" i="24" s="1"/>
  <c r="J532" i="24"/>
  <c r="F532" i="24"/>
  <c r="B532" i="24"/>
  <c r="B536" i="24" s="1"/>
  <c r="F536" i="24"/>
  <c r="Q597" i="24"/>
  <c r="M597" i="24"/>
  <c r="I597" i="24"/>
  <c r="E597" i="24"/>
  <c r="P596" i="24"/>
  <c r="L596" i="24"/>
  <c r="H596" i="24"/>
  <c r="D596" i="24"/>
  <c r="P584" i="24"/>
  <c r="L584" i="24"/>
  <c r="H584" i="24"/>
  <c r="D584" i="24"/>
  <c r="S505" i="24"/>
  <c r="O505" i="24"/>
  <c r="K505" i="24"/>
  <c r="G505" i="24"/>
  <c r="G585" i="24" s="1"/>
  <c r="C505" i="24"/>
  <c r="C585" i="24" s="1"/>
  <c r="Q571" i="24"/>
  <c r="M571" i="24"/>
  <c r="I571" i="24"/>
  <c r="E571" i="24"/>
  <c r="L492" i="24"/>
  <c r="H492" i="24"/>
  <c r="D492" i="24"/>
  <c r="L496" i="24"/>
  <c r="S495" i="24"/>
  <c r="O495" i="24"/>
  <c r="K495" i="24"/>
  <c r="K521" i="24" s="1"/>
  <c r="K601" i="24" s="1"/>
  <c r="G495" i="24"/>
  <c r="C495" i="24"/>
  <c r="R488" i="24"/>
  <c r="N488" i="24"/>
  <c r="N568" i="24" s="1"/>
  <c r="J488" i="24"/>
  <c r="F488" i="24"/>
  <c r="B488" i="24"/>
  <c r="Q385" i="24"/>
  <c r="Q398" i="24" s="1"/>
  <c r="M385" i="24"/>
  <c r="M398" i="24" s="1"/>
  <c r="I385" i="24"/>
  <c r="E385" i="24"/>
  <c r="E398" i="24" s="1"/>
  <c r="R372" i="24"/>
  <c r="R398" i="24" s="1"/>
  <c r="N372" i="24"/>
  <c r="N398" i="24" s="1"/>
  <c r="J372" i="24"/>
  <c r="J398" i="24" s="1"/>
  <c r="F372" i="24"/>
  <c r="F398" i="24" s="1"/>
  <c r="B372" i="24"/>
  <c r="B398" i="24" s="1"/>
  <c r="N308" i="24"/>
  <c r="N297" i="24"/>
  <c r="F308" i="24"/>
  <c r="F297" i="24"/>
  <c r="F305" i="24" s="1"/>
  <c r="J353" i="24"/>
  <c r="S348" i="24"/>
  <c r="K348" i="24"/>
  <c r="C348" i="24"/>
  <c r="Q340" i="24"/>
  <c r="M340" i="24"/>
  <c r="I340" i="24"/>
  <c r="E340" i="24"/>
  <c r="P341" i="24"/>
  <c r="N272" i="24"/>
  <c r="N261" i="24"/>
  <c r="L341" i="24"/>
  <c r="H341" i="24"/>
  <c r="F272" i="24"/>
  <c r="F261" i="24"/>
  <c r="D341" i="24"/>
  <c r="S264" i="24"/>
  <c r="O264" i="24"/>
  <c r="O277" i="24" s="1"/>
  <c r="O357" i="24" s="1"/>
  <c r="M257" i="24"/>
  <c r="M264" i="24"/>
  <c r="M344" i="24" s="1"/>
  <c r="K264" i="24"/>
  <c r="G264" i="24"/>
  <c r="G277" i="24" s="1"/>
  <c r="E257" i="24"/>
  <c r="E264" i="24"/>
  <c r="E344" i="24" s="1"/>
  <c r="C264" i="24"/>
  <c r="P268" i="24"/>
  <c r="P257" i="24"/>
  <c r="P265" i="24" s="1"/>
  <c r="P263" i="24"/>
  <c r="H268" i="24"/>
  <c r="H257" i="24"/>
  <c r="H265" i="24" s="1"/>
  <c r="H263" i="24"/>
  <c r="R251" i="24"/>
  <c r="R277" i="24" s="1"/>
  <c r="B251" i="24"/>
  <c r="B277" i="24" s="1"/>
  <c r="M222" i="24"/>
  <c r="E222" i="24"/>
  <c r="C155" i="24"/>
  <c r="C222" i="24"/>
  <c r="P221" i="24"/>
  <c r="H221" i="24"/>
  <c r="F154" i="24"/>
  <c r="F221" i="24"/>
  <c r="M718" i="24"/>
  <c r="I718" i="24"/>
  <c r="P715" i="24"/>
  <c r="L715" i="24"/>
  <c r="H715" i="24"/>
  <c r="D715" i="24"/>
  <c r="M630" i="24"/>
  <c r="E630" i="24"/>
  <c r="P629" i="24"/>
  <c r="H629" i="24"/>
  <c r="F627" i="24"/>
  <c r="P623" i="24"/>
  <c r="P631" i="24" s="1"/>
  <c r="H623" i="24"/>
  <c r="H631" i="24" s="1"/>
  <c r="N617" i="24"/>
  <c r="F617" i="24"/>
  <c r="Q616" i="24"/>
  <c r="Q642" i="24" s="1"/>
  <c r="I616" i="24"/>
  <c r="I642" i="24" s="1"/>
  <c r="N548" i="24"/>
  <c r="N561" i="24" s="1"/>
  <c r="F548" i="24"/>
  <c r="F561" i="24" s="1"/>
  <c r="Q547" i="24"/>
  <c r="Q560" i="24" s="1"/>
  <c r="S545" i="24"/>
  <c r="S558" i="24" s="1"/>
  <c r="K545" i="24"/>
  <c r="K558" i="24" s="1"/>
  <c r="E549" i="24"/>
  <c r="R536" i="24"/>
  <c r="Q535" i="24"/>
  <c r="Q561" i="24" s="1"/>
  <c r="M535" i="24"/>
  <c r="M561" i="24" s="1"/>
  <c r="I535" i="24"/>
  <c r="I561" i="24" s="1"/>
  <c r="E535" i="24"/>
  <c r="E561" i="24" s="1"/>
  <c r="P528" i="24"/>
  <c r="L528" i="24"/>
  <c r="L533" i="24" s="1"/>
  <c r="H528" i="24"/>
  <c r="D528" i="24"/>
  <c r="S593" i="24"/>
  <c r="O593" i="24"/>
  <c r="K593" i="24"/>
  <c r="G593" i="24"/>
  <c r="C593" i="24"/>
  <c r="R592" i="24"/>
  <c r="N592" i="24"/>
  <c r="J592" i="24"/>
  <c r="F592" i="24"/>
  <c r="B592" i="24"/>
  <c r="L588" i="24"/>
  <c r="E585" i="24"/>
  <c r="O509" i="24"/>
  <c r="R508" i="24"/>
  <c r="N508" i="24"/>
  <c r="N588" i="24" s="1"/>
  <c r="J508" i="24"/>
  <c r="F508" i="24"/>
  <c r="B508" i="24"/>
  <c r="Q501" i="24"/>
  <c r="Q506" i="24" s="1"/>
  <c r="M501" i="24"/>
  <c r="I501" i="24"/>
  <c r="E501" i="24"/>
  <c r="N572" i="24"/>
  <c r="F572" i="24"/>
  <c r="P496" i="24"/>
  <c r="H496" i="24"/>
  <c r="S382" i="24"/>
  <c r="S386" i="24" s="1"/>
  <c r="Q382" i="24"/>
  <c r="Q395" i="24" s="1"/>
  <c r="O382" i="24"/>
  <c r="M382" i="24"/>
  <c r="M395" i="24" s="1"/>
  <c r="K382" i="24"/>
  <c r="K383" i="24" s="1"/>
  <c r="I382" i="24"/>
  <c r="I395" i="24" s="1"/>
  <c r="G382" i="24"/>
  <c r="E382" i="24"/>
  <c r="E395" i="24" s="1"/>
  <c r="C382" i="24"/>
  <c r="C386" i="24" s="1"/>
  <c r="R382" i="24"/>
  <c r="N382" i="24"/>
  <c r="J382" i="24"/>
  <c r="F382" i="24"/>
  <c r="F386" i="24" s="1"/>
  <c r="B382" i="24"/>
  <c r="N378" i="24"/>
  <c r="F378" i="24"/>
  <c r="R369" i="24"/>
  <c r="R395" i="24" s="1"/>
  <c r="P369" i="24"/>
  <c r="N369" i="24"/>
  <c r="L369" i="24"/>
  <c r="L395" i="24" s="1"/>
  <c r="J369" i="24"/>
  <c r="J395" i="24" s="1"/>
  <c r="H369" i="24"/>
  <c r="H395" i="24" s="1"/>
  <c r="F369" i="24"/>
  <c r="D369" i="24"/>
  <c r="D395" i="24" s="1"/>
  <c r="B369" i="24"/>
  <c r="B395" i="24" s="1"/>
  <c r="S369" i="24"/>
  <c r="O369" i="24"/>
  <c r="K369" i="24"/>
  <c r="G369" i="24"/>
  <c r="G373" i="24" s="1"/>
  <c r="C369" i="24"/>
  <c r="S301" i="24"/>
  <c r="Q301" i="24"/>
  <c r="Q314" i="24" s="1"/>
  <c r="O301" i="24"/>
  <c r="O305" i="24" s="1"/>
  <c r="M301" i="24"/>
  <c r="K301" i="24"/>
  <c r="I301" i="24"/>
  <c r="I314" i="24" s="1"/>
  <c r="G301" i="24"/>
  <c r="G341" i="24" s="1"/>
  <c r="E301" i="24"/>
  <c r="E314" i="24" s="1"/>
  <c r="C301" i="24"/>
  <c r="R301" i="24"/>
  <c r="N301" i="24"/>
  <c r="N314" i="24" s="1"/>
  <c r="J297" i="24"/>
  <c r="P284" i="24"/>
  <c r="P289" i="24" s="1"/>
  <c r="P291" i="24"/>
  <c r="P317" i="24" s="1"/>
  <c r="H284" i="24"/>
  <c r="H310" i="24" s="1"/>
  <c r="H291" i="24"/>
  <c r="H317" i="24" s="1"/>
  <c r="S284" i="24"/>
  <c r="S290" i="24"/>
  <c r="S316" i="24" s="1"/>
  <c r="K284" i="24"/>
  <c r="K290" i="24"/>
  <c r="K316" i="24" s="1"/>
  <c r="C284" i="24"/>
  <c r="C290" i="24"/>
  <c r="C316" i="24" s="1"/>
  <c r="F353" i="24"/>
  <c r="O348" i="24"/>
  <c r="G348" i="24"/>
  <c r="P248" i="24"/>
  <c r="P273" i="24"/>
  <c r="P353" i="24" s="1"/>
  <c r="L248" i="24"/>
  <c r="L328" i="24" s="1"/>
  <c r="L273" i="24"/>
  <c r="L353" i="24" s="1"/>
  <c r="H248" i="24"/>
  <c r="H273" i="24"/>
  <c r="H353" i="24" s="1"/>
  <c r="D248" i="24"/>
  <c r="D328" i="24" s="1"/>
  <c r="D273" i="24"/>
  <c r="D353" i="24" s="1"/>
  <c r="Q248" i="24"/>
  <c r="Q272" i="24"/>
  <c r="Q352" i="24" s="1"/>
  <c r="M248" i="24"/>
  <c r="M328" i="24" s="1"/>
  <c r="M272" i="24"/>
  <c r="M352" i="24" s="1"/>
  <c r="I248" i="24"/>
  <c r="I272" i="24"/>
  <c r="I352" i="24" s="1"/>
  <c r="E248" i="24"/>
  <c r="E328" i="24" s="1"/>
  <c r="E272" i="24"/>
  <c r="E352" i="24" s="1"/>
  <c r="P251" i="24"/>
  <c r="P269" i="24"/>
  <c r="P349" i="24" s="1"/>
  <c r="N244" i="24"/>
  <c r="N251" i="24"/>
  <c r="L251" i="24"/>
  <c r="L269" i="24"/>
  <c r="L349" i="24" s="1"/>
  <c r="H251" i="24"/>
  <c r="H277" i="24" s="1"/>
  <c r="H357" i="24" s="1"/>
  <c r="H269" i="24"/>
  <c r="H349" i="24" s="1"/>
  <c r="F244" i="24"/>
  <c r="F251" i="24"/>
  <c r="D251" i="24"/>
  <c r="D331" i="24" s="1"/>
  <c r="D269" i="24"/>
  <c r="D349" i="24" s="1"/>
  <c r="Q250" i="24"/>
  <c r="Q276" i="24" s="1"/>
  <c r="Q268" i="24"/>
  <c r="Q348" i="24" s="1"/>
  <c r="M244" i="24"/>
  <c r="M252" i="24" s="1"/>
  <c r="M268" i="24"/>
  <c r="M348" i="24" s="1"/>
  <c r="I250" i="24"/>
  <c r="I276" i="24" s="1"/>
  <c r="I268" i="24"/>
  <c r="I348" i="24" s="1"/>
  <c r="E244" i="24"/>
  <c r="E252" i="24" s="1"/>
  <c r="E268" i="24"/>
  <c r="E348" i="24" s="1"/>
  <c r="O195" i="24"/>
  <c r="O222" i="24"/>
  <c r="G195" i="24"/>
  <c r="G222" i="24"/>
  <c r="R194" i="24"/>
  <c r="R234" i="24" s="1"/>
  <c r="R208" i="24"/>
  <c r="J194" i="24"/>
  <c r="J234" i="24" s="1"/>
  <c r="J208" i="24"/>
  <c r="B194" i="24"/>
  <c r="B208" i="24"/>
  <c r="F209" i="24"/>
  <c r="L312" i="24"/>
  <c r="J301" i="24"/>
  <c r="J341" i="24" s="1"/>
  <c r="H312" i="24"/>
  <c r="F301" i="24"/>
  <c r="D312" i="24"/>
  <c r="B301" i="24"/>
  <c r="R288" i="24"/>
  <c r="R314" i="24" s="1"/>
  <c r="P288" i="24"/>
  <c r="P314" i="24" s="1"/>
  <c r="N288" i="24"/>
  <c r="L288" i="24"/>
  <c r="L314" i="24" s="1"/>
  <c r="J288" i="24"/>
  <c r="H288" i="24"/>
  <c r="H314" i="24" s="1"/>
  <c r="F288" i="24"/>
  <c r="D288" i="24"/>
  <c r="D314" i="24" s="1"/>
  <c r="B288" i="24"/>
  <c r="B314" i="24" s="1"/>
  <c r="S288" i="24"/>
  <c r="O288" i="24"/>
  <c r="K288" i="24"/>
  <c r="G288" i="24"/>
  <c r="G328" i="24" s="1"/>
  <c r="C288" i="24"/>
  <c r="S218" i="24"/>
  <c r="O218" i="24"/>
  <c r="K218" i="24"/>
  <c r="G218" i="24"/>
  <c r="C218" i="24"/>
  <c r="R217" i="24"/>
  <c r="N217" i="24"/>
  <c r="J217" i="24"/>
  <c r="F217" i="24"/>
  <c r="B217" i="24"/>
  <c r="Q214" i="24"/>
  <c r="O214" i="24"/>
  <c r="M214" i="24"/>
  <c r="I214" i="24"/>
  <c r="G214" i="24"/>
  <c r="E214" i="24"/>
  <c r="R213" i="24"/>
  <c r="P213" i="24"/>
  <c r="J213" i="24"/>
  <c r="H213" i="24"/>
  <c r="B213" i="24"/>
  <c r="O201" i="24"/>
  <c r="M201" i="24"/>
  <c r="G201" i="24"/>
  <c r="E201" i="24"/>
  <c r="R200" i="24"/>
  <c r="P200" i="24"/>
  <c r="J200" i="24"/>
  <c r="H200" i="24"/>
  <c r="B200" i="24"/>
  <c r="O191" i="24"/>
  <c r="O231" i="24" s="1"/>
  <c r="G191" i="24"/>
  <c r="G231" i="24" s="1"/>
  <c r="S187" i="24"/>
  <c r="S227" i="24" s="1"/>
  <c r="O187" i="24"/>
  <c r="O227" i="24" s="1"/>
  <c r="K187" i="24"/>
  <c r="K227" i="24" s="1"/>
  <c r="G187" i="24"/>
  <c r="G227" i="24" s="1"/>
  <c r="C187" i="24"/>
  <c r="C227" i="24" s="1"/>
  <c r="R186" i="24"/>
  <c r="R226" i="24" s="1"/>
  <c r="N186" i="24"/>
  <c r="N226" i="24" s="1"/>
  <c r="J186" i="24"/>
  <c r="J226" i="24" s="1"/>
  <c r="F186" i="24"/>
  <c r="F226" i="24" s="1"/>
  <c r="B186" i="24"/>
  <c r="B226" i="24" s="1"/>
  <c r="R195" i="24"/>
  <c r="J195" i="24"/>
  <c r="B195" i="24"/>
  <c r="M194" i="24"/>
  <c r="E194" i="24"/>
  <c r="R179" i="24"/>
  <c r="P179" i="24"/>
  <c r="P192" i="24" s="1"/>
  <c r="N179" i="24"/>
  <c r="L179" i="24"/>
  <c r="L192" i="24" s="1"/>
  <c r="J179" i="24"/>
  <c r="H179" i="24"/>
  <c r="H192" i="24" s="1"/>
  <c r="F179" i="24"/>
  <c r="D179" i="24"/>
  <c r="D192" i="24" s="1"/>
  <c r="B179" i="24"/>
  <c r="S190" i="24"/>
  <c r="Q179" i="24"/>
  <c r="Q219" i="24" s="1"/>
  <c r="O190" i="24"/>
  <c r="M179" i="24"/>
  <c r="K190" i="24"/>
  <c r="I179" i="24"/>
  <c r="I219" i="24" s="1"/>
  <c r="G190" i="24"/>
  <c r="E179" i="24"/>
  <c r="E219" i="24" s="1"/>
  <c r="C190" i="24"/>
  <c r="R175" i="24"/>
  <c r="P182" i="24"/>
  <c r="P222" i="24" s="1"/>
  <c r="N175" i="24"/>
  <c r="L182" i="24"/>
  <c r="J175" i="24"/>
  <c r="H182" i="24"/>
  <c r="H222" i="24" s="1"/>
  <c r="F175" i="24"/>
  <c r="D182" i="24"/>
  <c r="B175" i="24"/>
  <c r="S175" i="24"/>
  <c r="S183" i="24" s="1"/>
  <c r="O175" i="24"/>
  <c r="K175" i="24"/>
  <c r="G175" i="24"/>
  <c r="G180" i="24" s="1"/>
  <c r="C175" i="24"/>
  <c r="C183" i="24" s="1"/>
  <c r="S169" i="24"/>
  <c r="S195" i="24" s="1"/>
  <c r="K169" i="24"/>
  <c r="K195" i="24" s="1"/>
  <c r="C169" i="24"/>
  <c r="S166" i="24"/>
  <c r="S192" i="24" s="1"/>
  <c r="Q166" i="24"/>
  <c r="O166" i="24"/>
  <c r="O192" i="24" s="1"/>
  <c r="M166" i="24"/>
  <c r="M206" i="24" s="1"/>
  <c r="K166" i="24"/>
  <c r="K192" i="24" s="1"/>
  <c r="I166" i="24"/>
  <c r="G166" i="24"/>
  <c r="G192" i="24" s="1"/>
  <c r="E166" i="24"/>
  <c r="E192" i="24" s="1"/>
  <c r="C166" i="24"/>
  <c r="C192" i="24" s="1"/>
  <c r="R166" i="24"/>
  <c r="N166" i="24"/>
  <c r="J166" i="24"/>
  <c r="J170" i="24" s="1"/>
  <c r="F166" i="24"/>
  <c r="F170" i="24" s="1"/>
  <c r="B166" i="24"/>
  <c r="Q151" i="24"/>
  <c r="Q231" i="24" s="1"/>
  <c r="I151" i="24"/>
  <c r="I231" i="24" s="1"/>
  <c r="L150" i="24"/>
  <c r="L230" i="24" s="1"/>
  <c r="D150" i="24"/>
  <c r="D230" i="24" s="1"/>
  <c r="P142" i="24"/>
  <c r="H142" i="24"/>
  <c r="S141" i="24"/>
  <c r="K141" i="24"/>
  <c r="C141" i="24"/>
  <c r="R139" i="24"/>
  <c r="R219" i="24" s="1"/>
  <c r="P139" i="24"/>
  <c r="P219" i="24" s="1"/>
  <c r="N139" i="24"/>
  <c r="L139" i="24"/>
  <c r="J139" i="24"/>
  <c r="J219" i="24" s="1"/>
  <c r="H139" i="24"/>
  <c r="H143" i="24" s="1"/>
  <c r="F139" i="24"/>
  <c r="D139" i="24"/>
  <c r="B139" i="24"/>
  <c r="B219" i="24" s="1"/>
  <c r="S139" i="24"/>
  <c r="S219" i="24" s="1"/>
  <c r="O139" i="24"/>
  <c r="O219" i="24" s="1"/>
  <c r="K139" i="24"/>
  <c r="K219" i="24" s="1"/>
  <c r="G139" i="24"/>
  <c r="G219" i="24" s="1"/>
  <c r="C139" i="24"/>
  <c r="C219" i="24" s="1"/>
  <c r="S129" i="24"/>
  <c r="Q129" i="24"/>
  <c r="Q155" i="24" s="1"/>
  <c r="K129" i="24"/>
  <c r="N128" i="24"/>
  <c r="I128" i="24"/>
  <c r="I208" i="24" s="1"/>
  <c r="D128" i="24"/>
  <c r="D154" i="24" s="1"/>
  <c r="J126" i="24"/>
  <c r="J122" i="24"/>
  <c r="D122" i="24"/>
  <c r="C70" i="24"/>
  <c r="F60" i="23"/>
  <c r="F59" i="23"/>
  <c r="G59" i="23"/>
  <c r="N195" i="24"/>
  <c r="F195" i="24"/>
  <c r="O126" i="24"/>
  <c r="O206" i="24" s="1"/>
  <c r="O129" i="24"/>
  <c r="M126" i="24"/>
  <c r="M129" i="24"/>
  <c r="M155" i="24" s="1"/>
  <c r="G126" i="24"/>
  <c r="G127" i="24" s="1"/>
  <c r="G129" i="24"/>
  <c r="E126" i="24"/>
  <c r="E129" i="24"/>
  <c r="E155" i="24" s="1"/>
  <c r="P126" i="24"/>
  <c r="P152" i="24" s="1"/>
  <c r="P232" i="24" s="1"/>
  <c r="P128" i="24"/>
  <c r="P154" i="24" s="1"/>
  <c r="H126" i="24"/>
  <c r="H128" i="24"/>
  <c r="H154" i="24" s="1"/>
  <c r="F127" i="24"/>
  <c r="L129" i="24"/>
  <c r="L122" i="24"/>
  <c r="B122" i="24"/>
  <c r="B129" i="24"/>
  <c r="B209" i="24" s="1"/>
  <c r="S148" i="24"/>
  <c r="O148" i="24"/>
  <c r="G148" i="24"/>
  <c r="E122" i="24"/>
  <c r="E128" i="24"/>
  <c r="E208" i="24" s="1"/>
  <c r="C148" i="24"/>
  <c r="D109" i="24"/>
  <c r="D110" i="24" s="1"/>
  <c r="B110" i="24"/>
  <c r="B111" i="24" s="1"/>
  <c r="C112" i="24"/>
  <c r="C85" i="24"/>
  <c r="C98" i="24" s="1"/>
  <c r="C79" i="24"/>
  <c r="C92" i="24" s="1"/>
  <c r="E59" i="24"/>
  <c r="D58" i="24"/>
  <c r="E57" i="24"/>
  <c r="B247" i="22"/>
  <c r="B252" i="22"/>
  <c r="B244" i="22"/>
  <c r="B257" i="22" s="1"/>
  <c r="D108" i="24"/>
  <c r="D104" i="24"/>
  <c r="C86" i="24"/>
  <c r="C95" i="24"/>
  <c r="C55" i="24"/>
  <c r="F53" i="24"/>
  <c r="E58" i="24"/>
  <c r="D51" i="24"/>
  <c r="P11" i="24"/>
  <c r="G53" i="23"/>
  <c r="Q1177" i="22"/>
  <c r="N1177" i="22"/>
  <c r="P1171" i="22"/>
  <c r="Q1165" i="22"/>
  <c r="N1165" i="22"/>
  <c r="P1159" i="22"/>
  <c r="Q1153" i="22"/>
  <c r="Q1147" i="22"/>
  <c r="O1147" i="22"/>
  <c r="O1141" i="22"/>
  <c r="P1135" i="22"/>
  <c r="Q1129" i="22"/>
  <c r="Q1123" i="22"/>
  <c r="O1123" i="22"/>
  <c r="O1117" i="22"/>
  <c r="P1111" i="22"/>
  <c r="Q1105" i="22"/>
  <c r="Q1099" i="22"/>
  <c r="O1099" i="22"/>
  <c r="O1093" i="22"/>
  <c r="P1087" i="22"/>
  <c r="Q1081" i="22"/>
  <c r="R1075" i="22"/>
  <c r="R1069" i="22"/>
  <c r="P1069" i="22"/>
  <c r="P1063" i="22"/>
  <c r="Q1057" i="22"/>
  <c r="Q1051" i="22"/>
  <c r="O1051" i="22"/>
  <c r="O1045" i="22"/>
  <c r="P1039" i="22"/>
  <c r="Q1033" i="22"/>
  <c r="Q1027" i="22"/>
  <c r="O1027" i="22"/>
  <c r="O1021" i="22"/>
  <c r="P1015" i="22"/>
  <c r="Q1009" i="22"/>
  <c r="Q1003" i="22"/>
  <c r="O1003" i="22"/>
  <c r="O997" i="22"/>
  <c r="P991" i="22"/>
  <c r="Q985" i="22"/>
  <c r="Q979" i="22"/>
  <c r="O979" i="22"/>
  <c r="O973" i="22"/>
  <c r="P967" i="22"/>
  <c r="Q961" i="22"/>
  <c r="Q955" i="22"/>
  <c r="O955" i="22"/>
  <c r="O949" i="22"/>
  <c r="B717" i="22"/>
  <c r="B695" i="22"/>
  <c r="B710" i="22"/>
  <c r="B709" i="22"/>
  <c r="B707" i="22"/>
  <c r="C328" i="22"/>
  <c r="B337" i="22"/>
  <c r="C313" i="22"/>
  <c r="B315" i="22"/>
  <c r="B341" i="22" s="1"/>
  <c r="C314" i="22"/>
  <c r="C340" i="22" s="1"/>
  <c r="C287" i="22"/>
  <c r="C296" i="22"/>
  <c r="B271" i="22"/>
  <c r="C274" i="22"/>
  <c r="B256" i="22"/>
  <c r="B231" i="22"/>
  <c r="B232" i="22"/>
  <c r="B258" i="22" s="1"/>
  <c r="C164" i="22"/>
  <c r="B135" i="22"/>
  <c r="U17" i="19"/>
  <c r="M17" i="19"/>
  <c r="E17" i="19"/>
  <c r="V13" i="18"/>
  <c r="N13" i="18"/>
  <c r="F13" i="18"/>
  <c r="Z11" i="18"/>
  <c r="R11" i="18"/>
  <c r="J11" i="18"/>
  <c r="E24" i="15"/>
  <c r="Y16" i="15"/>
  <c r="Q16" i="15"/>
  <c r="I16" i="15"/>
  <c r="Y14" i="15"/>
  <c r="Q14" i="15"/>
  <c r="I14" i="15"/>
  <c r="Y109" i="14"/>
  <c r="Q109" i="14"/>
  <c r="I109" i="14"/>
  <c r="T110" i="14"/>
  <c r="U110" i="14" s="1"/>
  <c r="L110" i="14"/>
  <c r="M110" i="14" s="1"/>
  <c r="D110" i="14"/>
  <c r="E110" i="14" s="1"/>
  <c r="Y89" i="13"/>
  <c r="Q89" i="13"/>
  <c r="I89" i="13"/>
  <c r="Y85" i="13"/>
  <c r="Q85" i="13"/>
  <c r="I85" i="13"/>
  <c r="R94" i="12"/>
  <c r="R91" i="12"/>
  <c r="J94" i="12"/>
  <c r="J91" i="12"/>
  <c r="L810" i="9"/>
  <c r="L813" i="9"/>
  <c r="L845" i="9"/>
  <c r="O1177" i="22"/>
  <c r="Q1171" i="22"/>
  <c r="O1171" i="22"/>
  <c r="O1165" i="22"/>
  <c r="Q1159" i="22"/>
  <c r="O1159" i="22"/>
  <c r="O1153" i="22"/>
  <c r="P1147" i="22"/>
  <c r="Q1141" i="22"/>
  <c r="Q1135" i="22"/>
  <c r="O1135" i="22"/>
  <c r="O1129" i="22"/>
  <c r="P1123" i="22"/>
  <c r="Q1117" i="22"/>
  <c r="Q1111" i="22"/>
  <c r="O1111" i="22"/>
  <c r="O1105" i="22"/>
  <c r="P1099" i="22"/>
  <c r="Q1093" i="22"/>
  <c r="Q1087" i="22"/>
  <c r="O1087" i="22"/>
  <c r="O1081" i="22"/>
  <c r="P1075" i="22"/>
  <c r="Q1069" i="22"/>
  <c r="R1063" i="22"/>
  <c r="R1057" i="22"/>
  <c r="P1057" i="22"/>
  <c r="P1051" i="22"/>
  <c r="Q1045" i="22"/>
  <c r="Q1039" i="22"/>
  <c r="O1039" i="22"/>
  <c r="O1033" i="22"/>
  <c r="P1027" i="22"/>
  <c r="Q1021" i="22"/>
  <c r="Q1015" i="22"/>
  <c r="O1015" i="22"/>
  <c r="O1009" i="22"/>
  <c r="P1003" i="22"/>
  <c r="Q997" i="22"/>
  <c r="Q991" i="22"/>
  <c r="O991" i="22"/>
  <c r="O985" i="22"/>
  <c r="P979" i="22"/>
  <c r="Q973" i="22"/>
  <c r="Q967" i="22"/>
  <c r="O967" i="22"/>
  <c r="Y20" i="5"/>
  <c r="I20" i="5"/>
  <c r="C326" i="22"/>
  <c r="C327" i="22"/>
  <c r="B338" i="22"/>
  <c r="B336" i="22"/>
  <c r="B313" i="22"/>
  <c r="C315" i="22"/>
  <c r="B314" i="22"/>
  <c r="B340" i="22" s="1"/>
  <c r="C285" i="22"/>
  <c r="C286" i="22"/>
  <c r="B300" i="22"/>
  <c r="C271" i="22"/>
  <c r="C297" i="22" s="1"/>
  <c r="C273" i="22"/>
  <c r="B251" i="22"/>
  <c r="C162" i="22"/>
  <c r="B133" i="22"/>
  <c r="B14" i="22"/>
  <c r="Y17" i="19"/>
  <c r="Q17" i="19"/>
  <c r="I17" i="19"/>
  <c r="Z13" i="18"/>
  <c r="R13" i="18"/>
  <c r="J13" i="18"/>
  <c r="V11" i="18"/>
  <c r="N11" i="18"/>
  <c r="F11" i="18"/>
  <c r="I24" i="15"/>
  <c r="U14" i="15"/>
  <c r="M14" i="15"/>
  <c r="U109" i="14"/>
  <c r="M109" i="14"/>
  <c r="E109" i="14"/>
  <c r="X110" i="14"/>
  <c r="Y110" i="14" s="1"/>
  <c r="P110" i="14"/>
  <c r="Q110" i="14" s="1"/>
  <c r="H110" i="14"/>
  <c r="I110" i="14" s="1"/>
  <c r="U89" i="13"/>
  <c r="M89" i="13"/>
  <c r="E89" i="13"/>
  <c r="U85" i="13"/>
  <c r="M85" i="13"/>
  <c r="B94" i="12"/>
  <c r="B91" i="12"/>
  <c r="E85" i="13"/>
  <c r="Y342" i="11"/>
  <c r="Q342" i="11"/>
  <c r="I342" i="11"/>
  <c r="Y341" i="11"/>
  <c r="Q341" i="11"/>
  <c r="I341" i="11"/>
  <c r="Y338" i="11"/>
  <c r="Q338" i="11"/>
  <c r="I338" i="11"/>
  <c r="Y337" i="11"/>
  <c r="R339" i="11"/>
  <c r="Q337" i="11"/>
  <c r="J339" i="11"/>
  <c r="I337" i="11"/>
  <c r="B339" i="11"/>
  <c r="Y334" i="11"/>
  <c r="Q334" i="11"/>
  <c r="I334" i="11"/>
  <c r="Y333" i="11"/>
  <c r="R335" i="11"/>
  <c r="Q333" i="11"/>
  <c r="J335" i="11"/>
  <c r="I333" i="11"/>
  <c r="B335" i="11"/>
  <c r="Q824" i="9"/>
  <c r="T799" i="9"/>
  <c r="R817" i="9"/>
  <c r="N817" i="9"/>
  <c r="D799" i="9"/>
  <c r="I798" i="9"/>
  <c r="I824" i="9" s="1"/>
  <c r="E816" i="9"/>
  <c r="R772" i="9"/>
  <c r="R852" i="9" s="1"/>
  <c r="N772" i="9"/>
  <c r="J772" i="9"/>
  <c r="J852" i="9" s="1"/>
  <c r="F772" i="9"/>
  <c r="D784" i="9"/>
  <c r="T781" i="9"/>
  <c r="T861" i="9" s="1"/>
  <c r="N781" i="9"/>
  <c r="N861" i="9" s="1"/>
  <c r="D781" i="9"/>
  <c r="D861" i="9" s="1"/>
  <c r="R759" i="9"/>
  <c r="P759" i="9"/>
  <c r="L759" i="9"/>
  <c r="J759" i="9"/>
  <c r="F777" i="9"/>
  <c r="B587" i="9"/>
  <c r="B508" i="9"/>
  <c r="B534" i="9" s="1"/>
  <c r="Y83" i="13"/>
  <c r="Q83" i="13"/>
  <c r="I83" i="13"/>
  <c r="Y93" i="12"/>
  <c r="Q93" i="12"/>
  <c r="I93" i="12"/>
  <c r="U342" i="11"/>
  <c r="M342" i="11"/>
  <c r="E342" i="11"/>
  <c r="U338" i="11"/>
  <c r="M338" i="11"/>
  <c r="E338" i="11"/>
  <c r="V339" i="11"/>
  <c r="N339" i="11"/>
  <c r="F339" i="11"/>
  <c r="U334" i="11"/>
  <c r="M334" i="11"/>
  <c r="E334" i="11"/>
  <c r="V335" i="11"/>
  <c r="U333" i="11"/>
  <c r="N335" i="11"/>
  <c r="M333" i="11"/>
  <c r="F335" i="11"/>
  <c r="E333" i="11"/>
  <c r="E812" i="9"/>
  <c r="R811" i="9"/>
  <c r="P811" i="9"/>
  <c r="P851" i="9" s="1"/>
  <c r="L811" i="9"/>
  <c r="L851" i="9" s="1"/>
  <c r="O809" i="9"/>
  <c r="J809" i="9"/>
  <c r="D809" i="9"/>
  <c r="D822" i="9" s="1"/>
  <c r="F852" i="9"/>
  <c r="N805" i="9"/>
  <c r="T812" i="9"/>
  <c r="P812" i="9"/>
  <c r="P825" i="9" s="1"/>
  <c r="L812" i="9"/>
  <c r="H812" i="9"/>
  <c r="H825" i="9" s="1"/>
  <c r="D812" i="9"/>
  <c r="N825" i="9"/>
  <c r="O796" i="9"/>
  <c r="G796" i="9"/>
  <c r="H796" i="9"/>
  <c r="H822" i="9" s="1"/>
  <c r="S796" i="9"/>
  <c r="C796" i="9"/>
  <c r="N792" i="9"/>
  <c r="I818" i="9"/>
  <c r="Q799" i="9"/>
  <c r="Q839" i="9" s="1"/>
  <c r="M799" i="9"/>
  <c r="M839" i="9" s="1"/>
  <c r="I799" i="9"/>
  <c r="I839" i="9" s="1"/>
  <c r="E799" i="9"/>
  <c r="T849" i="9"/>
  <c r="P861" i="9"/>
  <c r="L861" i="9"/>
  <c r="D849" i="9"/>
  <c r="S769" i="9"/>
  <c r="O769" i="9"/>
  <c r="K769" i="9"/>
  <c r="K770" i="9" s="1"/>
  <c r="G769" i="9"/>
  <c r="G770" i="9" s="1"/>
  <c r="N765" i="9"/>
  <c r="Q785" i="9"/>
  <c r="T784" i="9"/>
  <c r="N756" i="9"/>
  <c r="I756" i="9"/>
  <c r="P752" i="9"/>
  <c r="P778" i="9" s="1"/>
  <c r="S759" i="9"/>
  <c r="S839" i="9" s="1"/>
  <c r="B568" i="9"/>
  <c r="B581" i="9" s="1"/>
  <c r="B573" i="9"/>
  <c r="B561" i="9"/>
  <c r="B600" i="9"/>
  <c r="O759" i="9"/>
  <c r="K759" i="9"/>
  <c r="K839" i="9" s="1"/>
  <c r="G759" i="9"/>
  <c r="B567" i="9"/>
  <c r="B580" i="9" s="1"/>
  <c r="U460" i="7"/>
  <c r="M460" i="7"/>
  <c r="U456" i="7"/>
  <c r="M456" i="7"/>
  <c r="E456" i="7"/>
  <c r="U452" i="7"/>
  <c r="M452" i="7"/>
  <c r="U448" i="7"/>
  <c r="M448" i="7"/>
  <c r="E448" i="7"/>
  <c r="U444" i="7"/>
  <c r="M444" i="7"/>
  <c r="E444" i="7"/>
  <c r="X445" i="7"/>
  <c r="P445" i="7"/>
  <c r="H445" i="7"/>
  <c r="U440" i="7"/>
  <c r="M440" i="7"/>
  <c r="E440" i="7"/>
  <c r="X441" i="7"/>
  <c r="P441" i="7"/>
  <c r="H441" i="7"/>
  <c r="U434" i="7"/>
  <c r="M434" i="7"/>
  <c r="E434" i="7"/>
  <c r="T432" i="7"/>
  <c r="U430" i="7"/>
  <c r="L432" i="7"/>
  <c r="M430" i="7"/>
  <c r="D432" i="7"/>
  <c r="E430" i="7"/>
  <c r="T428" i="7"/>
  <c r="U426" i="7"/>
  <c r="L428" i="7"/>
  <c r="M426" i="7"/>
  <c r="D428" i="7"/>
  <c r="E426" i="7"/>
  <c r="M29" i="6"/>
  <c r="E29" i="6"/>
  <c r="I28" i="6"/>
  <c r="U23" i="5"/>
  <c r="M23" i="5"/>
  <c r="E23" i="5"/>
  <c r="O758" i="9"/>
  <c r="M758" i="9"/>
  <c r="K758" i="9"/>
  <c r="I752" i="9"/>
  <c r="G752" i="9"/>
  <c r="E758" i="9"/>
  <c r="C758" i="9"/>
  <c r="B533" i="9"/>
  <c r="B612" i="9"/>
  <c r="Y460" i="7"/>
  <c r="Q460" i="7"/>
  <c r="I460" i="7"/>
  <c r="Y456" i="7"/>
  <c r="Q456" i="7"/>
  <c r="I456" i="7"/>
  <c r="Y452" i="7"/>
  <c r="Q452" i="7"/>
  <c r="I452" i="7"/>
  <c r="Y448" i="7"/>
  <c r="Q448" i="7"/>
  <c r="I448" i="7"/>
  <c r="Y447" i="7"/>
  <c r="Q447" i="7"/>
  <c r="I447" i="7"/>
  <c r="Y444" i="7"/>
  <c r="Q444" i="7"/>
  <c r="I444" i="7"/>
  <c r="Y443" i="7"/>
  <c r="T445" i="7"/>
  <c r="Q443" i="7"/>
  <c r="L445" i="7"/>
  <c r="I443" i="7"/>
  <c r="D445" i="7"/>
  <c r="Y440" i="7"/>
  <c r="Q440" i="7"/>
  <c r="I440" i="7"/>
  <c r="Y439" i="7"/>
  <c r="T441" i="7"/>
  <c r="Q439" i="7"/>
  <c r="L441" i="7"/>
  <c r="I439" i="7"/>
  <c r="D441" i="7"/>
  <c r="Y435" i="7"/>
  <c r="Q435" i="7"/>
  <c r="Y434" i="7"/>
  <c r="Q434" i="7"/>
  <c r="I434" i="7"/>
  <c r="Y431" i="7"/>
  <c r="Q431" i="7"/>
  <c r="I431" i="7"/>
  <c r="X432" i="7"/>
  <c r="Y430" i="7"/>
  <c r="P432" i="7"/>
  <c r="Q430" i="7"/>
  <c r="H432" i="7"/>
  <c r="I430" i="7"/>
  <c r="Y427" i="7"/>
  <c r="Q427" i="7"/>
  <c r="I427" i="7"/>
  <c r="X428" i="7"/>
  <c r="Y426" i="7"/>
  <c r="P428" i="7"/>
  <c r="Q426" i="7"/>
  <c r="H428" i="7"/>
  <c r="I426" i="7"/>
  <c r="I29" i="6"/>
  <c r="M29" i="3"/>
  <c r="R1453" i="24"/>
  <c r="P1364" i="24"/>
  <c r="L1364" i="24"/>
  <c r="H1364" i="24"/>
  <c r="D1364" i="24"/>
  <c r="S1364" i="24"/>
  <c r="O1364" i="24"/>
  <c r="K1364" i="24"/>
  <c r="G1364" i="24"/>
  <c r="C1364" i="24"/>
  <c r="Q1278" i="24"/>
  <c r="M1278" i="24"/>
  <c r="I1278" i="24"/>
  <c r="E1278" i="24"/>
  <c r="P1278" i="24"/>
  <c r="L1278" i="24"/>
  <c r="H1278" i="24"/>
  <c r="D1278" i="24"/>
  <c r="L1269" i="24"/>
  <c r="D1269" i="24"/>
  <c r="Q1267" i="24"/>
  <c r="Q1268" i="24" s="1"/>
  <c r="M1267" i="24"/>
  <c r="M1268" i="24" s="1"/>
  <c r="I1267" i="24"/>
  <c r="E1267" i="24"/>
  <c r="E1268" i="24" s="1"/>
  <c r="R1056" i="24"/>
  <c r="J1056" i="24"/>
  <c r="B1056" i="24"/>
  <c r="R1027" i="24"/>
  <c r="R1030" i="24"/>
  <c r="N1027" i="24"/>
  <c r="N1030" i="24"/>
  <c r="J1027" i="24"/>
  <c r="J1030" i="24"/>
  <c r="F1027" i="24"/>
  <c r="F1030" i="24"/>
  <c r="B1027" i="24"/>
  <c r="B1030" i="24"/>
  <c r="L1008" i="24"/>
  <c r="D1008" i="24"/>
  <c r="Q1008" i="24"/>
  <c r="Q1011" i="24"/>
  <c r="M1008" i="24"/>
  <c r="M1011" i="24"/>
  <c r="I1008" i="24"/>
  <c r="I1011" i="24"/>
  <c r="E1008" i="24"/>
  <c r="E1011" i="24"/>
  <c r="R997" i="24"/>
  <c r="J997" i="24"/>
  <c r="B997" i="24"/>
  <c r="P994" i="24"/>
  <c r="P997" i="24"/>
  <c r="L994" i="24"/>
  <c r="L997" i="24"/>
  <c r="H994" i="24"/>
  <c r="H997" i="24"/>
  <c r="D994" i="24"/>
  <c r="D997" i="24"/>
  <c r="P930" i="24"/>
  <c r="H930" i="24"/>
  <c r="R927" i="24"/>
  <c r="R930" i="24"/>
  <c r="R935" i="24"/>
  <c r="N927" i="24"/>
  <c r="N930" i="24"/>
  <c r="N935" i="24"/>
  <c r="J927" i="24"/>
  <c r="J930" i="24"/>
  <c r="J935" i="24"/>
  <c r="F927" i="24"/>
  <c r="F930" i="24"/>
  <c r="F935" i="24"/>
  <c r="B927" i="24"/>
  <c r="B930" i="24"/>
  <c r="B935" i="24"/>
  <c r="R914" i="24"/>
  <c r="J914" i="24"/>
  <c r="B914" i="24"/>
  <c r="P982" i="24"/>
  <c r="D978" i="24"/>
  <c r="G977" i="24"/>
  <c r="N974" i="24"/>
  <c r="F974" i="24"/>
  <c r="O969" i="24"/>
  <c r="H956" i="24"/>
  <c r="L857" i="24"/>
  <c r="H857" i="24"/>
  <c r="D857" i="24"/>
  <c r="D835" i="24"/>
  <c r="Q832" i="24"/>
  <c r="Q835" i="24"/>
  <c r="Q853" i="24"/>
  <c r="M832" i="24"/>
  <c r="M835" i="24"/>
  <c r="M853" i="24"/>
  <c r="I832" i="24"/>
  <c r="I835" i="24"/>
  <c r="I853" i="24"/>
  <c r="E832" i="24"/>
  <c r="E835" i="24"/>
  <c r="E853" i="24"/>
  <c r="G658" i="24"/>
  <c r="D631" i="24"/>
  <c r="Q636" i="24"/>
  <c r="M636" i="24"/>
  <c r="I636" i="24"/>
  <c r="E636" i="24"/>
  <c r="M694" i="24"/>
  <c r="I694" i="24"/>
  <c r="E694" i="24"/>
  <c r="I618" i="24"/>
  <c r="R636" i="24"/>
  <c r="N636" i="24"/>
  <c r="J636" i="24"/>
  <c r="F636" i="24"/>
  <c r="B636" i="24"/>
  <c r="I549" i="24"/>
  <c r="R546" i="24"/>
  <c r="R549" i="24"/>
  <c r="R554" i="24"/>
  <c r="N546" i="24"/>
  <c r="N549" i="24"/>
  <c r="N554" i="24"/>
  <c r="J546" i="24"/>
  <c r="J549" i="24"/>
  <c r="J554" i="24"/>
  <c r="F554" i="24"/>
  <c r="B546" i="24"/>
  <c r="B549" i="24"/>
  <c r="B554" i="24"/>
  <c r="R558" i="24"/>
  <c r="J558" i="24"/>
  <c r="B558" i="24"/>
  <c r="M601" i="24"/>
  <c r="H588" i="24"/>
  <c r="I585" i="24"/>
  <c r="R585" i="24"/>
  <c r="R518" i="24"/>
  <c r="R598" i="24" s="1"/>
  <c r="N585" i="24"/>
  <c r="N518" i="24"/>
  <c r="J585" i="24"/>
  <c r="J518" i="24"/>
  <c r="J598" i="24" s="1"/>
  <c r="F518" i="24"/>
  <c r="B585" i="24"/>
  <c r="B518" i="24"/>
  <c r="B598" i="24" s="1"/>
  <c r="K509" i="24"/>
  <c r="I575" i="24"/>
  <c r="J572" i="24"/>
  <c r="S572" i="24"/>
  <c r="S518" i="24"/>
  <c r="O572" i="24"/>
  <c r="O518" i="24"/>
  <c r="K572" i="24"/>
  <c r="K518" i="24"/>
  <c r="G572" i="24"/>
  <c r="C572" i="24"/>
  <c r="C518" i="24"/>
  <c r="S521" i="24"/>
  <c r="S601" i="24" s="1"/>
  <c r="S575" i="24"/>
  <c r="O521" i="24"/>
  <c r="O575" i="24"/>
  <c r="G521" i="24"/>
  <c r="G601" i="24" s="1"/>
  <c r="G575" i="24"/>
  <c r="C521" i="24"/>
  <c r="C601" i="24" s="1"/>
  <c r="C575" i="24"/>
  <c r="R493" i="24"/>
  <c r="R496" i="24"/>
  <c r="R568" i="24"/>
  <c r="N496" i="24"/>
  <c r="J493" i="24"/>
  <c r="J496" i="24"/>
  <c r="J568" i="24"/>
  <c r="F493" i="24"/>
  <c r="F496" i="24"/>
  <c r="F568" i="24"/>
  <c r="B493" i="24"/>
  <c r="B496" i="24"/>
  <c r="B568" i="24"/>
  <c r="J386" i="24"/>
  <c r="S383" i="24"/>
  <c r="O383" i="24"/>
  <c r="O386" i="24"/>
  <c r="O391" i="24"/>
  <c r="K391" i="24"/>
  <c r="G383" i="24"/>
  <c r="G386" i="24"/>
  <c r="G391" i="24"/>
  <c r="C383" i="24"/>
  <c r="C391" i="24"/>
  <c r="O373" i="24"/>
  <c r="P370" i="24"/>
  <c r="L370" i="24"/>
  <c r="L373" i="24"/>
  <c r="L391" i="24"/>
  <c r="H370" i="24"/>
  <c r="H373" i="24"/>
  <c r="H391" i="24"/>
  <c r="D391" i="24"/>
  <c r="J305" i="24"/>
  <c r="S302" i="24"/>
  <c r="S305" i="24"/>
  <c r="S310" i="24"/>
  <c r="O302" i="24"/>
  <c r="O310" i="24"/>
  <c r="K302" i="24"/>
  <c r="K305" i="24"/>
  <c r="K310" i="24"/>
  <c r="G310" i="24"/>
  <c r="C302" i="24"/>
  <c r="C305" i="24"/>
  <c r="C310" i="24"/>
  <c r="O292" i="24"/>
  <c r="P310" i="24"/>
  <c r="L289" i="24"/>
  <c r="L310" i="24"/>
  <c r="H289" i="24"/>
  <c r="H292" i="24"/>
  <c r="D292" i="24"/>
  <c r="D310" i="24"/>
  <c r="I344" i="24"/>
  <c r="S341" i="24"/>
  <c r="S274" i="24"/>
  <c r="O274" i="24"/>
  <c r="K341" i="24"/>
  <c r="K274" i="24"/>
  <c r="G274" i="24"/>
  <c r="C341" i="24"/>
  <c r="C274" i="24"/>
  <c r="L265" i="24"/>
  <c r="S344" i="24"/>
  <c r="S277" i="24"/>
  <c r="S357" i="24" s="1"/>
  <c r="O344" i="24"/>
  <c r="K344" i="24"/>
  <c r="K277" i="24"/>
  <c r="K357" i="24" s="1"/>
  <c r="G344" i="24"/>
  <c r="C344" i="24"/>
  <c r="C277" i="24"/>
  <c r="R262" i="24"/>
  <c r="R265" i="24"/>
  <c r="R337" i="24"/>
  <c r="N262" i="24"/>
  <c r="N265" i="24"/>
  <c r="N337" i="24"/>
  <c r="J265" i="24"/>
  <c r="J337" i="24"/>
  <c r="F262" i="24"/>
  <c r="F265" i="24"/>
  <c r="B262" i="24"/>
  <c r="B265" i="24"/>
  <c r="B337" i="24"/>
  <c r="J331" i="24"/>
  <c r="O328" i="24"/>
  <c r="P328" i="24"/>
  <c r="P274" i="24"/>
  <c r="P354" i="24" s="1"/>
  <c r="L274" i="24"/>
  <c r="L354" i="24" s="1"/>
  <c r="H328" i="24"/>
  <c r="H274" i="24"/>
  <c r="H354" i="24" s="1"/>
  <c r="D274" i="24"/>
  <c r="D354" i="24" s="1"/>
  <c r="Q252" i="24"/>
  <c r="P277" i="24"/>
  <c r="L277" i="24"/>
  <c r="L357" i="24" s="1"/>
  <c r="L331" i="24"/>
  <c r="D277" i="24"/>
  <c r="D357" i="24" s="1"/>
  <c r="S252" i="24"/>
  <c r="S324" i="24"/>
  <c r="O249" i="24"/>
  <c r="O252" i="24"/>
  <c r="O324" i="24"/>
  <c r="K249" i="24"/>
  <c r="K252" i="24"/>
  <c r="K324" i="24"/>
  <c r="G249" i="24"/>
  <c r="G252" i="24"/>
  <c r="C252" i="24"/>
  <c r="C324" i="24"/>
  <c r="E183" i="24"/>
  <c r="S170" i="24"/>
  <c r="O167" i="24"/>
  <c r="O170" i="24"/>
  <c r="O188" i="24"/>
  <c r="O228" i="24" s="1"/>
  <c r="K188" i="24"/>
  <c r="G167" i="24"/>
  <c r="G170" i="24"/>
  <c r="C170" i="24"/>
  <c r="O143" i="24"/>
  <c r="P143" i="24"/>
  <c r="L140" i="24"/>
  <c r="L143" i="24"/>
  <c r="L148" i="24"/>
  <c r="H140" i="24"/>
  <c r="D140" i="24"/>
  <c r="D143" i="24"/>
  <c r="D148" i="24"/>
  <c r="I127" i="24"/>
  <c r="D59" i="24"/>
  <c r="AD1406" i="24"/>
  <c r="AD1411" i="24"/>
  <c r="AD1391" i="24"/>
  <c r="AD1396" i="24"/>
  <c r="AD1429" i="24"/>
  <c r="AD1440" i="24"/>
  <c r="W1440" i="24"/>
  <c r="W1406" i="24"/>
  <c r="W1411" i="24"/>
  <c r="T1440" i="24"/>
  <c r="T1391" i="24"/>
  <c r="T1396" i="24"/>
  <c r="T1429" i="24"/>
  <c r="Q1391" i="24"/>
  <c r="Q1396" i="24"/>
  <c r="Q1429" i="24"/>
  <c r="Q1406" i="24"/>
  <c r="Q1411" i="24"/>
  <c r="C1440" i="24"/>
  <c r="C1406" i="24"/>
  <c r="C1411" i="24"/>
  <c r="B1320" i="24"/>
  <c r="B1418" i="24"/>
  <c r="L1271" i="24"/>
  <c r="L1268" i="24"/>
  <c r="S1056" i="24"/>
  <c r="S1059" i="24"/>
  <c r="O1056" i="24"/>
  <c r="O1059" i="24"/>
  <c r="K1056" i="24"/>
  <c r="K1059" i="24"/>
  <c r="C1056" i="24"/>
  <c r="C1059" i="24"/>
  <c r="K1011" i="24"/>
  <c r="C1011" i="24"/>
  <c r="Q930" i="24"/>
  <c r="M930" i="24"/>
  <c r="M966" i="24"/>
  <c r="I930" i="24"/>
  <c r="E930" i="24"/>
  <c r="E966" i="24"/>
  <c r="M927" i="24"/>
  <c r="E927" i="24"/>
  <c r="S914" i="24"/>
  <c r="S917" i="24"/>
  <c r="O914" i="24"/>
  <c r="O917" i="24"/>
  <c r="K917" i="24"/>
  <c r="G914" i="24"/>
  <c r="G917" i="24"/>
  <c r="C914" i="24"/>
  <c r="C917" i="24"/>
  <c r="K977" i="24"/>
  <c r="R974" i="24"/>
  <c r="Q973" i="24"/>
  <c r="I973" i="24"/>
  <c r="R966" i="24"/>
  <c r="R899" i="24"/>
  <c r="N966" i="24"/>
  <c r="N899" i="24"/>
  <c r="J899" i="24"/>
  <c r="F966" i="24"/>
  <c r="F899" i="24"/>
  <c r="B966" i="24"/>
  <c r="B899" i="24"/>
  <c r="R890" i="24"/>
  <c r="B890" i="24"/>
  <c r="Q969" i="24"/>
  <c r="Q902" i="24"/>
  <c r="I969" i="24"/>
  <c r="I902" i="24"/>
  <c r="E969" i="24"/>
  <c r="E902" i="24"/>
  <c r="E982" i="24" s="1"/>
  <c r="P887" i="24"/>
  <c r="P890" i="24"/>
  <c r="P962" i="24"/>
  <c r="P895" i="24"/>
  <c r="L887" i="24"/>
  <c r="L890" i="24"/>
  <c r="H887" i="24"/>
  <c r="H890" i="24"/>
  <c r="H962" i="24"/>
  <c r="H895" i="24"/>
  <c r="D887" i="24"/>
  <c r="D890" i="24"/>
  <c r="D962" i="24"/>
  <c r="D895" i="24"/>
  <c r="L956" i="24"/>
  <c r="O877" i="24"/>
  <c r="G877" i="24"/>
  <c r="O848" i="24"/>
  <c r="G848" i="24"/>
  <c r="N671" i="24"/>
  <c r="S680" i="24"/>
  <c r="O680" i="24"/>
  <c r="K680" i="24"/>
  <c r="C680" i="24"/>
  <c r="S658" i="24"/>
  <c r="C658" i="24"/>
  <c r="N707" i="24"/>
  <c r="S694" i="24"/>
  <c r="C694" i="24"/>
  <c r="S533" i="24"/>
  <c r="S536" i="24"/>
  <c r="S554" i="24"/>
  <c r="O533" i="24"/>
  <c r="O536" i="24"/>
  <c r="O554" i="24"/>
  <c r="K533" i="24"/>
  <c r="K536" i="24"/>
  <c r="K554" i="24"/>
  <c r="G533" i="24"/>
  <c r="G536" i="24"/>
  <c r="G554" i="24"/>
  <c r="C533" i="24"/>
  <c r="C536" i="24"/>
  <c r="C554" i="24"/>
  <c r="B254" i="9"/>
  <c r="B910" i="22"/>
  <c r="B470" i="24"/>
  <c r="B446" i="24"/>
  <c r="I601" i="24"/>
  <c r="R521" i="24"/>
  <c r="J588" i="24"/>
  <c r="J521" i="24"/>
  <c r="J601" i="24" s="1"/>
  <c r="F588" i="24"/>
  <c r="F521" i="24"/>
  <c r="F601" i="24" s="1"/>
  <c r="B521" i="24"/>
  <c r="M506" i="24"/>
  <c r="M509" i="24"/>
  <c r="M581" i="24"/>
  <c r="I506" i="24"/>
  <c r="I509" i="24"/>
  <c r="I581" i="24"/>
  <c r="E506" i="24"/>
  <c r="E509" i="24"/>
  <c r="E581" i="24"/>
  <c r="N395" i="24"/>
  <c r="K373" i="24"/>
  <c r="J314" i="24"/>
  <c r="F314" i="24"/>
  <c r="K292" i="24"/>
  <c r="F341" i="24"/>
  <c r="K328" i="24"/>
  <c r="P195" i="24"/>
  <c r="L222" i="24"/>
  <c r="L195" i="24"/>
  <c r="H195" i="24"/>
  <c r="D222" i="24"/>
  <c r="D195" i="24"/>
  <c r="S180" i="24"/>
  <c r="O215" i="24"/>
  <c r="O180" i="24"/>
  <c r="O183" i="24"/>
  <c r="K215" i="24"/>
  <c r="K180" i="24"/>
  <c r="K183" i="24"/>
  <c r="G215" i="24"/>
  <c r="C180" i="24"/>
  <c r="M192" i="24"/>
  <c r="I192" i="24"/>
  <c r="R152" i="24"/>
  <c r="N219" i="24"/>
  <c r="N152" i="24"/>
  <c r="J152" i="24"/>
  <c r="F219" i="24"/>
  <c r="F152" i="24"/>
  <c r="B152" i="24"/>
  <c r="Q127" i="24"/>
  <c r="Q152" i="24"/>
  <c r="Q206" i="24"/>
  <c r="M127" i="24"/>
  <c r="M130" i="24"/>
  <c r="M152" i="24"/>
  <c r="I152" i="24"/>
  <c r="I206" i="24"/>
  <c r="E127" i="24"/>
  <c r="E130" i="24"/>
  <c r="E152" i="24"/>
  <c r="E206" i="24"/>
  <c r="L130" i="24"/>
  <c r="L152" i="24"/>
  <c r="L232" i="24" s="1"/>
  <c r="L206" i="24"/>
  <c r="H206" i="24"/>
  <c r="D152" i="24"/>
  <c r="D232" i="24" s="1"/>
  <c r="D206" i="24"/>
  <c r="P155" i="24"/>
  <c r="P209" i="24"/>
  <c r="L155" i="24"/>
  <c r="L235" i="24" s="1"/>
  <c r="L209" i="24"/>
  <c r="H202" i="24"/>
  <c r="H148" i="24"/>
  <c r="D155" i="24"/>
  <c r="D235" i="24" s="1"/>
  <c r="D209" i="24"/>
  <c r="B59" i="24"/>
  <c r="AE1440" i="24"/>
  <c r="AE1406" i="24"/>
  <c r="AE1411" i="24"/>
  <c r="G380" i="2"/>
  <c r="G379" i="2"/>
  <c r="C55" i="16"/>
  <c r="C54" i="16"/>
  <c r="B1387" i="24"/>
  <c r="B1389" i="24" s="1"/>
  <c r="F1387" i="24"/>
  <c r="F1389" i="24" s="1"/>
  <c r="J1387" i="24"/>
  <c r="J1389" i="24" s="1"/>
  <c r="N1387" i="24"/>
  <c r="N1389" i="24" s="1"/>
  <c r="R1387" i="24"/>
  <c r="R1389" i="24" s="1"/>
  <c r="C1387" i="24"/>
  <c r="C1389" i="24" s="1"/>
  <c r="G1387" i="24"/>
  <c r="G1389" i="24" s="1"/>
  <c r="K1387" i="24"/>
  <c r="K1389" i="24" s="1"/>
  <c r="O1387" i="24"/>
  <c r="O1389" i="24" s="1"/>
  <c r="S1387" i="24"/>
  <c r="S1389" i="24" s="1"/>
  <c r="E1387" i="24"/>
  <c r="E1389" i="24" s="1"/>
  <c r="I1387" i="24"/>
  <c r="I1389" i="24" s="1"/>
  <c r="M1387" i="24"/>
  <c r="M1389" i="24" s="1"/>
  <c r="Q1387" i="24"/>
  <c r="Q1389" i="24" s="1"/>
  <c r="P1300" i="24"/>
  <c r="L1300" i="24"/>
  <c r="H1300" i="24"/>
  <c r="D1300" i="24"/>
  <c r="S1300" i="24"/>
  <c r="O1300" i="24"/>
  <c r="K1300" i="24"/>
  <c r="G1300" i="24"/>
  <c r="C1300" i="24"/>
  <c r="P1269" i="24"/>
  <c r="H1269" i="24"/>
  <c r="I1268" i="24"/>
  <c r="S1263" i="24"/>
  <c r="O1263" i="24"/>
  <c r="K1263" i="24"/>
  <c r="G1263" i="24"/>
  <c r="C1263" i="24"/>
  <c r="N1056" i="24"/>
  <c r="F1056" i="24"/>
  <c r="L1030" i="24"/>
  <c r="D1030" i="24"/>
  <c r="H1008" i="24"/>
  <c r="N997" i="24"/>
  <c r="F997" i="24"/>
  <c r="L930" i="24"/>
  <c r="D930" i="24"/>
  <c r="R917" i="24"/>
  <c r="R939" i="24"/>
  <c r="R953" i="24"/>
  <c r="N917" i="24"/>
  <c r="N939" i="24"/>
  <c r="N953" i="24"/>
  <c r="J917" i="24"/>
  <c r="J939" i="24"/>
  <c r="J953" i="24"/>
  <c r="F917" i="24"/>
  <c r="F939" i="24"/>
  <c r="F953" i="24"/>
  <c r="B917" i="24"/>
  <c r="B939" i="24"/>
  <c r="B953" i="24"/>
  <c r="M939" i="24"/>
  <c r="I939" i="24"/>
  <c r="I979" i="24" s="1"/>
  <c r="E939" i="24"/>
  <c r="N914" i="24"/>
  <c r="F914" i="24"/>
  <c r="L978" i="24"/>
  <c r="O977" i="24"/>
  <c r="J974" i="24"/>
  <c r="B974" i="24"/>
  <c r="G969" i="24"/>
  <c r="P956" i="24"/>
  <c r="R902" i="24"/>
  <c r="R982" i="24" s="1"/>
  <c r="R956" i="24"/>
  <c r="N902" i="24"/>
  <c r="N982" i="24" s="1"/>
  <c r="N956" i="24"/>
  <c r="J902" i="24"/>
  <c r="J982" i="24" s="1"/>
  <c r="J956" i="24"/>
  <c r="F902" i="24"/>
  <c r="F982" i="24" s="1"/>
  <c r="F956" i="24"/>
  <c r="B902" i="24"/>
  <c r="B956" i="24"/>
  <c r="Q874" i="24"/>
  <c r="Q877" i="24"/>
  <c r="Q949" i="24"/>
  <c r="M874" i="24"/>
  <c r="M877" i="24"/>
  <c r="M949" i="24"/>
  <c r="I874" i="24"/>
  <c r="I877" i="24"/>
  <c r="I949" i="24"/>
  <c r="E874" i="24"/>
  <c r="E877" i="24"/>
  <c r="E949" i="24"/>
  <c r="Q845" i="24"/>
  <c r="Q848" i="24"/>
  <c r="M845" i="24"/>
  <c r="M848" i="24"/>
  <c r="I845" i="24"/>
  <c r="I848" i="24"/>
  <c r="E845" i="24"/>
  <c r="E848" i="24"/>
  <c r="R832" i="24"/>
  <c r="R835" i="24"/>
  <c r="N832" i="24"/>
  <c r="N835" i="24"/>
  <c r="J832" i="24"/>
  <c r="J835" i="24"/>
  <c r="F832" i="24"/>
  <c r="F835" i="24"/>
  <c r="B832" i="24"/>
  <c r="B835" i="24"/>
  <c r="S668" i="24"/>
  <c r="S671" i="24"/>
  <c r="S676" i="24"/>
  <c r="O668" i="24"/>
  <c r="O671" i="24"/>
  <c r="O676" i="24"/>
  <c r="K668" i="24"/>
  <c r="K671" i="24"/>
  <c r="K676" i="24"/>
  <c r="G676" i="24"/>
  <c r="C668" i="24"/>
  <c r="C671" i="24"/>
  <c r="C676" i="24"/>
  <c r="O658" i="24"/>
  <c r="P655" i="24"/>
  <c r="P658" i="24"/>
  <c r="L655" i="24"/>
  <c r="L658" i="24"/>
  <c r="H655" i="24"/>
  <c r="H658" i="24"/>
  <c r="D655" i="24"/>
  <c r="D658" i="24"/>
  <c r="J707" i="24"/>
  <c r="S707" i="24"/>
  <c r="S640" i="24"/>
  <c r="S720" i="24" s="1"/>
  <c r="O707" i="24"/>
  <c r="O640" i="24"/>
  <c r="O720" i="24" s="1"/>
  <c r="K707" i="24"/>
  <c r="K640" i="24"/>
  <c r="G640" i="24"/>
  <c r="C707" i="24"/>
  <c r="C640" i="24"/>
  <c r="C720" i="24" s="1"/>
  <c r="L631" i="24"/>
  <c r="S710" i="24"/>
  <c r="S643" i="24"/>
  <c r="S723" i="24" s="1"/>
  <c r="O643" i="24"/>
  <c r="K710" i="24"/>
  <c r="K643" i="24"/>
  <c r="K723" i="24" s="1"/>
  <c r="G643" i="24"/>
  <c r="C710" i="24"/>
  <c r="C643" i="24"/>
  <c r="C723" i="24" s="1"/>
  <c r="R628" i="24"/>
  <c r="R631" i="24"/>
  <c r="R703" i="24"/>
  <c r="N628" i="24"/>
  <c r="N631" i="24"/>
  <c r="N703" i="24"/>
  <c r="J628" i="24"/>
  <c r="J631" i="24"/>
  <c r="J703" i="24"/>
  <c r="F628" i="24"/>
  <c r="F631" i="24"/>
  <c r="F703" i="24"/>
  <c r="B628" i="24"/>
  <c r="B631" i="24"/>
  <c r="B703" i="24"/>
  <c r="O694" i="24"/>
  <c r="P694" i="24"/>
  <c r="P640" i="24"/>
  <c r="P720" i="24" s="1"/>
  <c r="L694" i="24"/>
  <c r="L640" i="24"/>
  <c r="H694" i="24"/>
  <c r="H640" i="24"/>
  <c r="H720" i="24" s="1"/>
  <c r="D694" i="24"/>
  <c r="D640" i="24"/>
  <c r="D720" i="24" s="1"/>
  <c r="Q618" i="24"/>
  <c r="P643" i="24"/>
  <c r="P723" i="24" s="1"/>
  <c r="P697" i="24"/>
  <c r="L697" i="24"/>
  <c r="H643" i="24"/>
  <c r="H723" i="24" s="1"/>
  <c r="D643" i="24"/>
  <c r="D723" i="24" s="1"/>
  <c r="D697" i="24"/>
  <c r="S615" i="24"/>
  <c r="S618" i="24"/>
  <c r="S690" i="24"/>
  <c r="O615" i="24"/>
  <c r="O618" i="24"/>
  <c r="O690" i="24"/>
  <c r="K615" i="24"/>
  <c r="K618" i="24"/>
  <c r="K690" i="24"/>
  <c r="G615" i="24"/>
  <c r="G618" i="24"/>
  <c r="G690" i="24"/>
  <c r="C615" i="24"/>
  <c r="C618" i="24"/>
  <c r="C690" i="24"/>
  <c r="S549" i="24"/>
  <c r="O546" i="24"/>
  <c r="O549" i="24"/>
  <c r="K546" i="24"/>
  <c r="K549" i="24"/>
  <c r="G546" i="24"/>
  <c r="G549" i="24"/>
  <c r="C546" i="24"/>
  <c r="C549" i="24"/>
  <c r="Q558" i="24"/>
  <c r="I558" i="24"/>
  <c r="E558" i="24"/>
  <c r="B255" i="9"/>
  <c r="B911" i="22"/>
  <c r="B453" i="24"/>
  <c r="E601" i="24"/>
  <c r="Q585" i="24"/>
  <c r="S509" i="24"/>
  <c r="C509" i="24"/>
  <c r="Q575" i="24"/>
  <c r="R572" i="24"/>
  <c r="B572" i="24"/>
  <c r="P572" i="24"/>
  <c r="L572" i="24"/>
  <c r="H572" i="24"/>
  <c r="D572" i="24"/>
  <c r="D496" i="24"/>
  <c r="M514" i="24"/>
  <c r="I514" i="24"/>
  <c r="E514" i="24"/>
  <c r="R386" i="24"/>
  <c r="B386" i="24"/>
  <c r="P383" i="24"/>
  <c r="P386" i="24"/>
  <c r="L383" i="24"/>
  <c r="L386" i="24"/>
  <c r="H383" i="24"/>
  <c r="H386" i="24"/>
  <c r="D383" i="24"/>
  <c r="D386" i="24"/>
  <c r="Q370" i="24"/>
  <c r="Q373" i="24"/>
  <c r="M370" i="24"/>
  <c r="M373" i="24"/>
  <c r="I370" i="24"/>
  <c r="I373" i="24"/>
  <c r="E370" i="24"/>
  <c r="E373" i="24"/>
  <c r="R305" i="24"/>
  <c r="B305" i="24"/>
  <c r="P302" i="24"/>
  <c r="P305" i="24"/>
  <c r="L302" i="24"/>
  <c r="L305" i="24"/>
  <c r="H302" i="24"/>
  <c r="H305" i="24"/>
  <c r="D302" i="24"/>
  <c r="D305" i="24"/>
  <c r="Q289" i="24"/>
  <c r="Q292" i="24"/>
  <c r="M289" i="24"/>
  <c r="M292" i="24"/>
  <c r="I289" i="24"/>
  <c r="I292" i="24"/>
  <c r="E289" i="24"/>
  <c r="E292" i="24"/>
  <c r="Q344" i="24"/>
  <c r="R341" i="24"/>
  <c r="B341" i="24"/>
  <c r="D265" i="24"/>
  <c r="Q270" i="24"/>
  <c r="M270" i="24"/>
  <c r="I270" i="24"/>
  <c r="R331" i="24"/>
  <c r="B331" i="24"/>
  <c r="Q328" i="24"/>
  <c r="I328" i="24"/>
  <c r="I252" i="24"/>
  <c r="R270" i="24"/>
  <c r="N270" i="24"/>
  <c r="F270" i="24"/>
  <c r="B270" i="24"/>
  <c r="M183" i="24"/>
  <c r="R170" i="24"/>
  <c r="B170" i="24"/>
  <c r="Q195" i="24"/>
  <c r="Q235" i="24" s="1"/>
  <c r="Q209" i="24"/>
  <c r="M195" i="24"/>
  <c r="I195" i="24"/>
  <c r="I235" i="24" s="1"/>
  <c r="I209" i="24"/>
  <c r="E195" i="24"/>
  <c r="P167" i="24"/>
  <c r="P170" i="24"/>
  <c r="L202" i="24"/>
  <c r="L167" i="24"/>
  <c r="L170" i="24"/>
  <c r="H167" i="24"/>
  <c r="H170" i="24"/>
  <c r="D202" i="24"/>
  <c r="D167" i="24"/>
  <c r="D170" i="24"/>
  <c r="G143" i="24"/>
  <c r="R222" i="24"/>
  <c r="R155" i="24"/>
  <c r="N222" i="24"/>
  <c r="N155" i="24"/>
  <c r="N235" i="24" s="1"/>
  <c r="J155" i="24"/>
  <c r="J235" i="24" s="1"/>
  <c r="F222" i="24"/>
  <c r="F155" i="24"/>
  <c r="B222" i="24"/>
  <c r="Q140" i="24"/>
  <c r="Q143" i="24"/>
  <c r="Q215" i="24"/>
  <c r="M140" i="24"/>
  <c r="M143" i="24"/>
  <c r="I140" i="24"/>
  <c r="I143" i="24"/>
  <c r="I215" i="24"/>
  <c r="E140" i="24"/>
  <c r="E143" i="24"/>
  <c r="E215" i="24"/>
  <c r="E148" i="24"/>
  <c r="L127" i="24"/>
  <c r="AF1440" i="24"/>
  <c r="AF1391" i="24"/>
  <c r="AF1396" i="24"/>
  <c r="AF1429" i="24"/>
  <c r="U1391" i="24"/>
  <c r="U1396" i="24"/>
  <c r="U1429" i="24"/>
  <c r="U1406" i="24"/>
  <c r="U1411" i="24"/>
  <c r="O1440" i="24"/>
  <c r="O1406" i="24"/>
  <c r="O1411" i="24"/>
  <c r="P1271" i="24"/>
  <c r="P1268" i="24"/>
  <c r="H1271" i="24"/>
  <c r="H1268" i="24"/>
  <c r="R1263" i="24"/>
  <c r="R1269" i="24"/>
  <c r="N1263" i="24"/>
  <c r="N1269" i="24"/>
  <c r="J1263" i="24"/>
  <c r="J1269" i="24"/>
  <c r="F1263" i="24"/>
  <c r="F1269" i="24"/>
  <c r="B1263" i="24"/>
  <c r="B1269" i="24"/>
  <c r="O1011" i="24"/>
  <c r="G1011" i="24"/>
  <c r="S994" i="24"/>
  <c r="K994" i="24"/>
  <c r="C994" i="24"/>
  <c r="Q994" i="24"/>
  <c r="Q997" i="24"/>
  <c r="M994" i="24"/>
  <c r="M997" i="24"/>
  <c r="I994" i="24"/>
  <c r="I997" i="24"/>
  <c r="E994" i="24"/>
  <c r="E997" i="24"/>
  <c r="Q927" i="24"/>
  <c r="I927" i="24"/>
  <c r="D982" i="24"/>
  <c r="E979" i="24"/>
  <c r="P978" i="24"/>
  <c r="S977" i="24"/>
  <c r="C977" i="24"/>
  <c r="M973" i="24"/>
  <c r="E973" i="24"/>
  <c r="N890" i="24"/>
  <c r="F890" i="24"/>
  <c r="D956" i="24"/>
  <c r="S953" i="24"/>
  <c r="O953" i="24"/>
  <c r="K953" i="24"/>
  <c r="G953" i="24"/>
  <c r="C953" i="24"/>
  <c r="S877" i="24"/>
  <c r="K877" i="24"/>
  <c r="C877" i="24"/>
  <c r="P845" i="24"/>
  <c r="P848" i="24"/>
  <c r="L845" i="24"/>
  <c r="L848" i="24"/>
  <c r="H845" i="24"/>
  <c r="H848" i="24"/>
  <c r="D845" i="24"/>
  <c r="D848" i="24"/>
  <c r="S848" i="24"/>
  <c r="K848" i="24"/>
  <c r="F671" i="24"/>
  <c r="R680" i="24"/>
  <c r="N680" i="24"/>
  <c r="F680" i="24"/>
  <c r="B680" i="24"/>
  <c r="K658" i="24"/>
  <c r="F707" i="24"/>
  <c r="K694" i="24"/>
  <c r="B271" i="9"/>
  <c r="B927" i="22"/>
  <c r="P533" i="24"/>
  <c r="P536" i="24"/>
  <c r="L536" i="24"/>
  <c r="H533" i="24"/>
  <c r="H536" i="24"/>
  <c r="D533" i="24"/>
  <c r="D536" i="24"/>
  <c r="Q601" i="24"/>
  <c r="P514" i="24"/>
  <c r="L514" i="24"/>
  <c r="H514" i="24"/>
  <c r="D514" i="24"/>
  <c r="E575" i="24"/>
  <c r="N386" i="24"/>
  <c r="S395" i="24"/>
  <c r="O395" i="24"/>
  <c r="C395" i="24"/>
  <c r="S373" i="24"/>
  <c r="C373" i="24"/>
  <c r="S314" i="24"/>
  <c r="K314" i="24"/>
  <c r="C314" i="24"/>
  <c r="S292" i="24"/>
  <c r="C292" i="24"/>
  <c r="S328" i="24"/>
  <c r="C328" i="24"/>
  <c r="I183" i="24"/>
  <c r="R180" i="24"/>
  <c r="R183" i="24"/>
  <c r="R188" i="24"/>
  <c r="N180" i="24"/>
  <c r="N183" i="24"/>
  <c r="N188" i="24"/>
  <c r="J180" i="24"/>
  <c r="J183" i="24"/>
  <c r="J188" i="24"/>
  <c r="F180" i="24"/>
  <c r="F183" i="24"/>
  <c r="B180" i="24"/>
  <c r="B183" i="24"/>
  <c r="B188" i="24"/>
  <c r="R192" i="24"/>
  <c r="R206" i="24"/>
  <c r="N192" i="24"/>
  <c r="N206" i="24"/>
  <c r="J192" i="24"/>
  <c r="J206" i="24"/>
  <c r="F192" i="24"/>
  <c r="B192" i="24"/>
  <c r="B206" i="24"/>
  <c r="N170" i="24"/>
  <c r="D219" i="24"/>
  <c r="S127" i="24"/>
  <c r="O152" i="24"/>
  <c r="O232" i="24" s="1"/>
  <c r="K152" i="24"/>
  <c r="G206" i="24"/>
  <c r="C127" i="24"/>
  <c r="Q130" i="24"/>
  <c r="D130" i="24"/>
  <c r="V1406" i="24"/>
  <c r="V1411" i="24"/>
  <c r="V1391" i="24"/>
  <c r="V1396" i="24"/>
  <c r="V1429" i="24"/>
  <c r="V1440" i="24"/>
  <c r="P1440" i="24"/>
  <c r="P1391" i="24"/>
  <c r="P1396" i="24"/>
  <c r="P1429" i="24"/>
  <c r="B7" i="18"/>
  <c r="Q1256" i="24"/>
  <c r="Q1257" i="24" s="1"/>
  <c r="M1256" i="24"/>
  <c r="M1257" i="24" s="1"/>
  <c r="I1256" i="24"/>
  <c r="I1257" i="24" s="1"/>
  <c r="E1256" i="24"/>
  <c r="E1257" i="24" s="1"/>
  <c r="P1255" i="24"/>
  <c r="P1257" i="24" s="1"/>
  <c r="L1255" i="24"/>
  <c r="L1257" i="24" s="1"/>
  <c r="H1255" i="24"/>
  <c r="H1257" i="24" s="1"/>
  <c r="D1255" i="24"/>
  <c r="D1257" i="24" s="1"/>
  <c r="Q1056" i="24"/>
  <c r="M1056" i="24"/>
  <c r="I1056" i="24"/>
  <c r="E1056" i="24"/>
  <c r="P1027" i="24"/>
  <c r="L1027" i="24"/>
  <c r="H1027" i="24"/>
  <c r="D1027" i="24"/>
  <c r="S1008" i="24"/>
  <c r="O1008" i="24"/>
  <c r="K1008" i="24"/>
  <c r="G1008" i="24"/>
  <c r="C1008" i="24"/>
  <c r="R994" i="24"/>
  <c r="N994" i="24"/>
  <c r="J994" i="24"/>
  <c r="F994" i="24"/>
  <c r="B994" i="24"/>
  <c r="P927" i="24"/>
  <c r="L927" i="24"/>
  <c r="H927" i="24"/>
  <c r="D927" i="24"/>
  <c r="Q914" i="24"/>
  <c r="M914" i="24"/>
  <c r="I914" i="24"/>
  <c r="E914" i="24"/>
  <c r="R887" i="24"/>
  <c r="N887" i="24"/>
  <c r="J887" i="24"/>
  <c r="F887" i="24"/>
  <c r="B887" i="24"/>
  <c r="S874" i="24"/>
  <c r="O874" i="24"/>
  <c r="K874" i="24"/>
  <c r="G874" i="24"/>
  <c r="C874" i="24"/>
  <c r="S845" i="24"/>
  <c r="O845" i="24"/>
  <c r="K845" i="24"/>
  <c r="G845" i="24"/>
  <c r="C845" i="24"/>
  <c r="P832" i="24"/>
  <c r="L832" i="24"/>
  <c r="H832" i="24"/>
  <c r="D832" i="24"/>
  <c r="Q679" i="24"/>
  <c r="M679" i="24"/>
  <c r="I679" i="24"/>
  <c r="E679" i="24"/>
  <c r="S675" i="24"/>
  <c r="O675" i="24"/>
  <c r="K675" i="24"/>
  <c r="G675" i="24"/>
  <c r="C675" i="24"/>
  <c r="N668" i="24"/>
  <c r="J668" i="24"/>
  <c r="F668" i="24"/>
  <c r="S655" i="24"/>
  <c r="O655" i="24"/>
  <c r="K655" i="24"/>
  <c r="C655" i="24"/>
  <c r="S639" i="24"/>
  <c r="O639" i="24"/>
  <c r="K639" i="24"/>
  <c r="G639" i="24"/>
  <c r="C639" i="24"/>
  <c r="Q635" i="24"/>
  <c r="M635" i="24"/>
  <c r="I635" i="24"/>
  <c r="E635" i="24"/>
  <c r="P628" i="24"/>
  <c r="L628" i="24"/>
  <c r="D628" i="24"/>
  <c r="Q615" i="24"/>
  <c r="M615" i="24"/>
  <c r="I615" i="24"/>
  <c r="E615" i="24"/>
  <c r="P557" i="24"/>
  <c r="L557" i="24"/>
  <c r="H557" i="24"/>
  <c r="D557" i="24"/>
  <c r="R553" i="24"/>
  <c r="N553" i="24"/>
  <c r="J553" i="24"/>
  <c r="F553" i="24"/>
  <c r="B553" i="24"/>
  <c r="Q546" i="24"/>
  <c r="I546" i="24"/>
  <c r="E546" i="24"/>
  <c r="R533" i="24"/>
  <c r="J533" i="24"/>
  <c r="F533" i="24"/>
  <c r="B533" i="24"/>
  <c r="R517" i="24"/>
  <c r="N517" i="24"/>
  <c r="J517" i="24"/>
  <c r="F517" i="24"/>
  <c r="B517" i="24"/>
  <c r="P513" i="24"/>
  <c r="L513" i="24"/>
  <c r="H513" i="24"/>
  <c r="D513" i="24"/>
  <c r="S506" i="24"/>
  <c r="O506" i="24"/>
  <c r="K506" i="24"/>
  <c r="C506" i="24"/>
  <c r="P493" i="24"/>
  <c r="L493" i="24"/>
  <c r="H493" i="24"/>
  <c r="D493" i="24"/>
  <c r="B462" i="24"/>
  <c r="B463" i="24" s="1"/>
  <c r="B448" i="24"/>
  <c r="Q394" i="24"/>
  <c r="M394" i="24"/>
  <c r="I394" i="24"/>
  <c r="E394" i="24"/>
  <c r="S390" i="24"/>
  <c r="O390" i="24"/>
  <c r="K390" i="24"/>
  <c r="G390" i="24"/>
  <c r="C390" i="24"/>
  <c r="R383" i="24"/>
  <c r="N383" i="24"/>
  <c r="J383" i="24"/>
  <c r="B383" i="24"/>
  <c r="S370" i="24"/>
  <c r="O370" i="24"/>
  <c r="K370" i="24"/>
  <c r="G370" i="24"/>
  <c r="C370" i="24"/>
  <c r="Q313" i="24"/>
  <c r="M313" i="24"/>
  <c r="I313" i="24"/>
  <c r="E313" i="24"/>
  <c r="S309" i="24"/>
  <c r="O309" i="24"/>
  <c r="K309" i="24"/>
  <c r="G309" i="24"/>
  <c r="C309" i="24"/>
  <c r="R302" i="24"/>
  <c r="N302" i="24"/>
  <c r="J302" i="24"/>
  <c r="B302" i="24"/>
  <c r="S289" i="24"/>
  <c r="O289" i="24"/>
  <c r="K289" i="24"/>
  <c r="C289" i="24"/>
  <c r="S273" i="24"/>
  <c r="O273" i="24"/>
  <c r="K273" i="24"/>
  <c r="G273" i="24"/>
  <c r="C273" i="24"/>
  <c r="Q269" i="24"/>
  <c r="M269" i="24"/>
  <c r="I269" i="24"/>
  <c r="E269" i="24"/>
  <c r="P262" i="24"/>
  <c r="L262" i="24"/>
  <c r="H262" i="24"/>
  <c r="D262" i="24"/>
  <c r="Q249" i="24"/>
  <c r="I249" i="24"/>
  <c r="E249" i="24"/>
  <c r="O202" i="24"/>
  <c r="K202" i="24"/>
  <c r="G202" i="24"/>
  <c r="P191" i="24"/>
  <c r="L191" i="24"/>
  <c r="H191" i="24"/>
  <c r="D191" i="24"/>
  <c r="R187" i="24"/>
  <c r="N187" i="24"/>
  <c r="J187" i="24"/>
  <c r="F187" i="24"/>
  <c r="B187" i="24"/>
  <c r="Q180" i="24"/>
  <c r="M180" i="24"/>
  <c r="I180" i="24"/>
  <c r="E180" i="24"/>
  <c r="R167" i="24"/>
  <c r="R210" i="24" s="1"/>
  <c r="N167" i="24"/>
  <c r="J167" i="24"/>
  <c r="B167" i="24"/>
  <c r="R151" i="24"/>
  <c r="N151" i="24"/>
  <c r="J151" i="24"/>
  <c r="F151" i="24"/>
  <c r="B151" i="24"/>
  <c r="Q148" i="24"/>
  <c r="I148" i="24"/>
  <c r="P147" i="24"/>
  <c r="L147" i="24"/>
  <c r="H147" i="24"/>
  <c r="D147" i="24"/>
  <c r="S146" i="24"/>
  <c r="O146" i="24"/>
  <c r="K146" i="24"/>
  <c r="G146" i="24"/>
  <c r="C146" i="24"/>
  <c r="S140" i="24"/>
  <c r="O140" i="24"/>
  <c r="K140" i="24"/>
  <c r="G140" i="24"/>
  <c r="C140" i="24"/>
  <c r="S130" i="24"/>
  <c r="K130" i="24"/>
  <c r="G130" i="24"/>
  <c r="C130" i="24"/>
  <c r="D127" i="24"/>
  <c r="P122" i="24"/>
  <c r="B86" i="24"/>
  <c r="D77" i="24"/>
  <c r="C73" i="24"/>
  <c r="D69" i="24"/>
  <c r="D95" i="24" s="1"/>
  <c r="D68" i="24"/>
  <c r="D72" i="24" s="1"/>
  <c r="F54" i="24"/>
  <c r="F55" i="24" s="1"/>
  <c r="B9" i="24"/>
  <c r="C12" i="24"/>
  <c r="B8" i="24"/>
  <c r="G13" i="2"/>
  <c r="G14" i="2"/>
  <c r="F58" i="23"/>
  <c r="V67" i="2"/>
  <c r="V87" i="2"/>
  <c r="V196" i="2"/>
  <c r="V243" i="2"/>
  <c r="V137" i="2"/>
  <c r="V152" i="2"/>
  <c r="V183" i="2"/>
  <c r="V211" i="2"/>
  <c r="V303" i="2"/>
  <c r="V275" i="2"/>
  <c r="V338" i="2"/>
  <c r="V359" i="2"/>
  <c r="V365" i="2"/>
  <c r="V438" i="2"/>
  <c r="V229" i="2"/>
  <c r="V318" i="2"/>
  <c r="V394" i="2"/>
  <c r="W5" i="3"/>
  <c r="W409" i="2"/>
  <c r="V285" i="2"/>
  <c r="W429" i="2"/>
  <c r="X5" i="4"/>
  <c r="X32" i="4"/>
  <c r="W420" i="2"/>
  <c r="W6" i="6"/>
  <c r="W45" i="7"/>
  <c r="W30" i="7"/>
  <c r="W176" i="7"/>
  <c r="W5" i="5"/>
  <c r="W7" i="7"/>
  <c r="W143" i="7"/>
  <c r="W32" i="5"/>
  <c r="W293" i="7"/>
  <c r="W327" i="7"/>
  <c r="W45" i="8"/>
  <c r="W176" i="8"/>
  <c r="W30" i="8"/>
  <c r="W7" i="8"/>
  <c r="W517" i="8"/>
  <c r="W143" i="8"/>
  <c r="R45" i="9"/>
  <c r="S294" i="9"/>
  <c r="R160" i="9"/>
  <c r="R10" i="9"/>
  <c r="R209" i="9"/>
  <c r="S379" i="9"/>
  <c r="V29" i="10"/>
  <c r="W7" i="10"/>
  <c r="W267" i="10"/>
  <c r="V15" i="10"/>
  <c r="W180" i="10"/>
  <c r="W21" i="10"/>
  <c r="W39" i="10"/>
  <c r="W72" i="10"/>
  <c r="W105" i="10"/>
  <c r="W404" i="11"/>
  <c r="W476" i="11"/>
  <c r="W67" i="12"/>
  <c r="W99" i="12"/>
  <c r="W172" i="12"/>
  <c r="W215" i="11"/>
  <c r="W9" i="11"/>
  <c r="W316" i="11"/>
  <c r="W348" i="11"/>
  <c r="W7" i="12"/>
  <c r="W15" i="13"/>
  <c r="W189" i="13"/>
  <c r="W20" i="14"/>
  <c r="W64" i="14"/>
  <c r="X19" i="16"/>
  <c r="W5" i="19"/>
  <c r="S98" i="22"/>
  <c r="S139" i="22"/>
  <c r="S180" i="22"/>
  <c r="S221" i="22"/>
  <c r="S262" i="22"/>
  <c r="W77" i="13"/>
  <c r="W184" i="13"/>
  <c r="W6" i="14"/>
  <c r="X57" i="16"/>
  <c r="X5" i="18"/>
  <c r="R45" i="22"/>
  <c r="W6" i="13"/>
  <c r="W7" i="15"/>
  <c r="X7" i="16"/>
  <c r="X29" i="16"/>
  <c r="X77" i="16"/>
  <c r="X25" i="17"/>
  <c r="W16" i="19"/>
  <c r="W46" i="13"/>
  <c r="W67" i="13"/>
  <c r="W95" i="13"/>
  <c r="W206" i="13"/>
  <c r="W21" i="15"/>
  <c r="X7" i="17"/>
  <c r="R5" i="21"/>
  <c r="S4" i="22"/>
  <c r="R344" i="22"/>
  <c r="S672" i="22"/>
  <c r="R907" i="22"/>
  <c r="R948" i="22"/>
  <c r="R960" i="22"/>
  <c r="R972" i="22"/>
  <c r="R984" i="22"/>
  <c r="R996" i="22"/>
  <c r="R1008" i="22"/>
  <c r="R1020" i="22"/>
  <c r="R1032" i="22"/>
  <c r="R1044" i="22"/>
  <c r="S1059" i="22"/>
  <c r="S1071" i="22"/>
  <c r="R1080" i="22"/>
  <c r="R1092" i="22"/>
  <c r="R1104" i="22"/>
  <c r="R1116" i="22"/>
  <c r="R1128" i="22"/>
  <c r="R1140" i="22"/>
  <c r="R1152" i="22"/>
  <c r="R1164" i="22"/>
  <c r="R1176" i="22"/>
  <c r="S303" i="22"/>
  <c r="R386" i="22"/>
  <c r="R427" i="22"/>
  <c r="R722" i="22"/>
  <c r="R727" i="22"/>
  <c r="R893" i="22"/>
  <c r="R372" i="22"/>
  <c r="R730" i="22"/>
  <c r="R771" i="22"/>
  <c r="R358" i="22"/>
  <c r="R713" i="22"/>
  <c r="S719" i="22"/>
  <c r="R955" i="22"/>
  <c r="R967" i="22"/>
  <c r="R979" i="22"/>
  <c r="R991" i="22"/>
  <c r="R1003" i="22"/>
  <c r="R1015" i="22"/>
  <c r="R1027" i="22"/>
  <c r="R1039" i="22"/>
  <c r="R1051" i="22"/>
  <c r="S1057" i="22"/>
  <c r="S1069" i="22"/>
  <c r="R1087" i="22"/>
  <c r="R1099" i="22"/>
  <c r="R1111" i="22"/>
  <c r="R1123" i="22"/>
  <c r="R1135" i="22"/>
  <c r="R1147" i="22"/>
  <c r="R1159" i="22"/>
  <c r="R1171" i="22"/>
  <c r="R67" i="2"/>
  <c r="R87" i="2"/>
  <c r="R137" i="2"/>
  <c r="R152" i="2"/>
  <c r="R183" i="2"/>
  <c r="R196" i="2"/>
  <c r="R243" i="2"/>
  <c r="R211" i="2"/>
  <c r="R285" i="2"/>
  <c r="R229" i="2"/>
  <c r="R303" i="2"/>
  <c r="R338" i="2"/>
  <c r="R359" i="2"/>
  <c r="R365" i="2"/>
  <c r="R438" i="2"/>
  <c r="S420" i="2"/>
  <c r="R5" i="3"/>
  <c r="S5" i="4"/>
  <c r="S32" i="4"/>
  <c r="R275" i="2"/>
  <c r="R394" i="2"/>
  <c r="R5" i="5"/>
  <c r="R6" i="6"/>
  <c r="S429" i="2"/>
  <c r="R30" i="7"/>
  <c r="R32" i="5"/>
  <c r="R7" i="7"/>
  <c r="S409" i="2"/>
  <c r="R318" i="2"/>
  <c r="R143" i="7"/>
  <c r="R45" i="7"/>
  <c r="R293" i="7"/>
  <c r="R176" i="7"/>
  <c r="R327" i="7"/>
  <c r="R45" i="8"/>
  <c r="R30" i="8"/>
  <c r="R7" i="8"/>
  <c r="R143" i="8"/>
  <c r="R517" i="8"/>
  <c r="R176" i="8"/>
  <c r="N45" i="9"/>
  <c r="O294" i="9"/>
  <c r="N160" i="9"/>
  <c r="N10" i="9"/>
  <c r="N209" i="9"/>
  <c r="O379" i="9"/>
  <c r="R7" i="10"/>
  <c r="R267" i="10"/>
  <c r="Q15" i="10"/>
  <c r="R180" i="10"/>
  <c r="R9" i="11"/>
  <c r="R21" i="10"/>
  <c r="R39" i="10"/>
  <c r="R72" i="10"/>
  <c r="R105" i="10"/>
  <c r="Q29" i="10"/>
  <c r="R215" i="11"/>
  <c r="R316" i="11"/>
  <c r="R348" i="11"/>
  <c r="R7" i="12"/>
  <c r="R404" i="11"/>
  <c r="R476" i="11"/>
  <c r="R67" i="12"/>
  <c r="R99" i="12"/>
  <c r="R77" i="13"/>
  <c r="R184" i="13"/>
  <c r="R6" i="14"/>
  <c r="S57" i="16"/>
  <c r="S5" i="18"/>
  <c r="O98" i="22"/>
  <c r="O139" i="22"/>
  <c r="O180" i="22"/>
  <c r="O221" i="22"/>
  <c r="O262" i="22"/>
  <c r="R172" i="12"/>
  <c r="R6" i="13"/>
  <c r="R7" i="15"/>
  <c r="S7" i="16"/>
  <c r="S29" i="16"/>
  <c r="S77" i="16"/>
  <c r="S25" i="17"/>
  <c r="R16" i="19"/>
  <c r="N45" i="22"/>
  <c r="R46" i="13"/>
  <c r="R67" i="13"/>
  <c r="R95" i="13"/>
  <c r="R206" i="13"/>
  <c r="R21" i="15"/>
  <c r="S7" i="17"/>
  <c r="R15" i="13"/>
  <c r="R189" i="13"/>
  <c r="R20" i="14"/>
  <c r="R64" i="14"/>
  <c r="S19" i="16"/>
  <c r="R5" i="19"/>
  <c r="N5" i="21"/>
  <c r="N344" i="22"/>
  <c r="O672" i="22"/>
  <c r="N907" i="22"/>
  <c r="N948" i="22"/>
  <c r="N960" i="22"/>
  <c r="N972" i="22"/>
  <c r="N984" i="22"/>
  <c r="N996" i="22"/>
  <c r="N1008" i="22"/>
  <c r="N1020" i="22"/>
  <c r="N1032" i="22"/>
  <c r="N1044" i="22"/>
  <c r="O1059" i="22"/>
  <c r="O1071" i="22"/>
  <c r="N1080" i="22"/>
  <c r="N1092" i="22"/>
  <c r="N1104" i="22"/>
  <c r="N1116" i="22"/>
  <c r="N1128" i="22"/>
  <c r="N1140" i="22"/>
  <c r="N1152" i="22"/>
  <c r="N1164" i="22"/>
  <c r="N1176" i="22"/>
  <c r="O303" i="22"/>
  <c r="N386" i="22"/>
  <c r="N427" i="22"/>
  <c r="N722" i="22"/>
  <c r="N727" i="22"/>
  <c r="N893" i="22"/>
  <c r="N372" i="22"/>
  <c r="N730" i="22"/>
  <c r="N771" i="22"/>
  <c r="O4" i="22"/>
  <c r="N358" i="22"/>
  <c r="N713" i="22"/>
  <c r="O719" i="22"/>
  <c r="L949" i="22"/>
  <c r="L961" i="22"/>
  <c r="L973" i="22"/>
  <c r="L985" i="22"/>
  <c r="L997" i="22"/>
  <c r="L1009" i="22"/>
  <c r="L1021" i="22"/>
  <c r="L1033" i="22"/>
  <c r="L1045" i="22"/>
  <c r="M1063" i="22"/>
  <c r="M1075" i="22"/>
  <c r="L1081" i="22"/>
  <c r="L1093" i="22"/>
  <c r="L1105" i="22"/>
  <c r="L1117" i="22"/>
  <c r="L1129" i="22"/>
  <c r="L1141" i="22"/>
  <c r="L1153" i="22"/>
  <c r="L1165" i="22"/>
  <c r="L1177" i="22"/>
  <c r="F50" i="23"/>
  <c r="G47" i="23"/>
  <c r="K87" i="2"/>
  <c r="K67" i="2"/>
  <c r="K137" i="2"/>
  <c r="K152" i="2"/>
  <c r="K183" i="2"/>
  <c r="K229" i="2"/>
  <c r="K243" i="2"/>
  <c r="K275" i="2"/>
  <c r="K285" i="2"/>
  <c r="K303" i="2"/>
  <c r="L409" i="2"/>
  <c r="L420" i="2"/>
  <c r="K211" i="2"/>
  <c r="K318" i="2"/>
  <c r="K338" i="2"/>
  <c r="K359" i="2"/>
  <c r="K365" i="2"/>
  <c r="K438" i="2"/>
  <c r="H5" i="3"/>
  <c r="H5" i="5"/>
  <c r="L429" i="2"/>
  <c r="I5" i="4"/>
  <c r="H32" i="5"/>
  <c r="H7" i="7"/>
  <c r="I32" i="4"/>
  <c r="H6" i="6"/>
  <c r="H45" i="7"/>
  <c r="H30" i="7"/>
  <c r="H176" i="7"/>
  <c r="K394" i="2"/>
  <c r="H143" i="7"/>
  <c r="K196" i="2"/>
  <c r="H293" i="7"/>
  <c r="H327" i="7"/>
  <c r="H7" i="8"/>
  <c r="H45" i="8"/>
  <c r="H30" i="8"/>
  <c r="H143" i="8"/>
  <c r="H517" i="8"/>
  <c r="H176" i="8"/>
  <c r="G10" i="9"/>
  <c r="G209" i="9"/>
  <c r="G45" i="9"/>
  <c r="H294" i="9"/>
  <c r="G160" i="9"/>
  <c r="H379" i="9"/>
  <c r="H21" i="10"/>
  <c r="H39" i="10"/>
  <c r="H72" i="10"/>
  <c r="H105" i="10"/>
  <c r="G29" i="10"/>
  <c r="H7" i="10"/>
  <c r="H267" i="10"/>
  <c r="G15" i="10"/>
  <c r="H180" i="10"/>
  <c r="H9" i="11"/>
  <c r="H404" i="11"/>
  <c r="H476" i="11"/>
  <c r="H67" i="12"/>
  <c r="H99" i="12"/>
  <c r="H215" i="11"/>
  <c r="H316" i="11"/>
  <c r="H348" i="11"/>
  <c r="H7" i="12"/>
  <c r="H46" i="13"/>
  <c r="H67" i="13"/>
  <c r="H95" i="13"/>
  <c r="H206" i="13"/>
  <c r="H21" i="15"/>
  <c r="I7" i="17"/>
  <c r="G5" i="21"/>
  <c r="H172" i="12"/>
  <c r="H15" i="13"/>
  <c r="H189" i="13"/>
  <c r="H20" i="14"/>
  <c r="H64" i="14"/>
  <c r="I19" i="16"/>
  <c r="H5" i="19"/>
  <c r="H98" i="22"/>
  <c r="H77" i="13"/>
  <c r="H184" i="13"/>
  <c r="H6" i="14"/>
  <c r="I57" i="16"/>
  <c r="I5" i="18"/>
  <c r="H6" i="13"/>
  <c r="H7" i="15"/>
  <c r="I7" i="16"/>
  <c r="I29" i="16"/>
  <c r="I77" i="16"/>
  <c r="I25" i="17"/>
  <c r="H16" i="19"/>
  <c r="H4" i="22"/>
  <c r="H139" i="22"/>
  <c r="H262" i="22"/>
  <c r="G358" i="22"/>
  <c r="G713" i="22"/>
  <c r="H719" i="22"/>
  <c r="G952" i="22"/>
  <c r="G957" i="22"/>
  <c r="G964" i="22"/>
  <c r="G969" i="22"/>
  <c r="G976" i="22"/>
  <c r="G981" i="22"/>
  <c r="G988" i="22"/>
  <c r="G993" i="22"/>
  <c r="G1000" i="22"/>
  <c r="G1005" i="22"/>
  <c r="G1012" i="22"/>
  <c r="G1017" i="22"/>
  <c r="G1024" i="22"/>
  <c r="G1029" i="22"/>
  <c r="G1036" i="22"/>
  <c r="G1041" i="22"/>
  <c r="G1048" i="22"/>
  <c r="G1053" i="22"/>
  <c r="H1060" i="22"/>
  <c r="H1062" i="22"/>
  <c r="H1072" i="22"/>
  <c r="H1074" i="22"/>
  <c r="G1084" i="22"/>
  <c r="G1089" i="22"/>
  <c r="G1096" i="22"/>
  <c r="G1101" i="22"/>
  <c r="G1108" i="22"/>
  <c r="G1113" i="22"/>
  <c r="G1120" i="22"/>
  <c r="G1125" i="22"/>
  <c r="G1132" i="22"/>
  <c r="G1137" i="22"/>
  <c r="G1144" i="22"/>
  <c r="G1149" i="22"/>
  <c r="G1156" i="22"/>
  <c r="G1161" i="22"/>
  <c r="G1168" i="22"/>
  <c r="G1173" i="22"/>
  <c r="G1180" i="22"/>
  <c r="G116" i="24"/>
  <c r="G344" i="22"/>
  <c r="H672" i="22"/>
  <c r="G907" i="22"/>
  <c r="G45" i="22"/>
  <c r="H180" i="22"/>
  <c r="H221" i="22"/>
  <c r="H303" i="22"/>
  <c r="G386" i="22"/>
  <c r="G427" i="22"/>
  <c r="G722" i="22"/>
  <c r="G727" i="22"/>
  <c r="G372" i="22"/>
  <c r="G730" i="22"/>
  <c r="G771" i="22"/>
  <c r="D949" i="22"/>
  <c r="D961" i="22"/>
  <c r="D973" i="22"/>
  <c r="D985" i="22"/>
  <c r="D997" i="22"/>
  <c r="D1009" i="22"/>
  <c r="D1021" i="22"/>
  <c r="D1033" i="22"/>
  <c r="D1045" i="22"/>
  <c r="E1063" i="22"/>
  <c r="E1075" i="22"/>
  <c r="D1081" i="22"/>
  <c r="D1093" i="22"/>
  <c r="D1105" i="22"/>
  <c r="D1117" i="22"/>
  <c r="D1129" i="22"/>
  <c r="D1141" i="22"/>
  <c r="D1153" i="22"/>
  <c r="D1165" i="22"/>
  <c r="D1177" i="22"/>
  <c r="F43" i="23"/>
  <c r="E5" i="3"/>
  <c r="F5" i="4"/>
  <c r="E5" i="5"/>
  <c r="F32" i="4"/>
  <c r="E32" i="5"/>
  <c r="E7" i="7"/>
  <c r="E45" i="7"/>
  <c r="E143" i="7"/>
  <c r="E30" i="7"/>
  <c r="E176" i="7"/>
  <c r="E293" i="7"/>
  <c r="E6" i="6"/>
  <c r="E327" i="7"/>
  <c r="E30" i="8"/>
  <c r="E7" i="8"/>
  <c r="E143" i="8"/>
  <c r="E45" i="8"/>
  <c r="E176" i="8"/>
  <c r="E517" i="8"/>
  <c r="D15" i="10"/>
  <c r="E180" i="10"/>
  <c r="E9" i="11"/>
  <c r="E21" i="10"/>
  <c r="E39" i="10"/>
  <c r="E72" i="10"/>
  <c r="E105" i="10"/>
  <c r="D29" i="10"/>
  <c r="E7" i="10"/>
  <c r="E267" i="10"/>
  <c r="E316" i="11"/>
  <c r="E348" i="11"/>
  <c r="E7" i="12"/>
  <c r="E404" i="11"/>
  <c r="E476" i="11"/>
  <c r="E215" i="11"/>
  <c r="E6" i="13"/>
  <c r="E7" i="15"/>
  <c r="F7" i="16"/>
  <c r="F29" i="16"/>
  <c r="F77" i="16"/>
  <c r="F25" i="17"/>
  <c r="E16" i="19"/>
  <c r="E99" i="12"/>
  <c r="E46" i="13"/>
  <c r="E67" i="13"/>
  <c r="E95" i="13"/>
  <c r="E206" i="13"/>
  <c r="E21" i="15"/>
  <c r="F7" i="17"/>
  <c r="E15" i="13"/>
  <c r="E189" i="13"/>
  <c r="E20" i="14"/>
  <c r="E64" i="14"/>
  <c r="F19" i="16"/>
  <c r="E5" i="19"/>
  <c r="E67" i="12"/>
  <c r="E172" i="12"/>
  <c r="E77" i="13"/>
  <c r="E184" i="13"/>
  <c r="E6" i="14"/>
  <c r="F57" i="16"/>
  <c r="F5" i="18"/>
  <c r="A2" i="2"/>
  <c r="A2" i="3"/>
  <c r="A2" i="4"/>
  <c r="A2" i="6"/>
  <c r="A2" i="5"/>
  <c r="A2" i="7"/>
  <c r="A2" i="8"/>
  <c r="A2" i="9"/>
  <c r="A2" i="10"/>
  <c r="A2" i="12"/>
  <c r="A2" i="11"/>
  <c r="A2" i="14"/>
  <c r="A2" i="15"/>
  <c r="A2" i="17"/>
  <c r="A2" i="18"/>
  <c r="A2" i="19"/>
  <c r="A2" i="20"/>
  <c r="A2" i="21"/>
  <c r="A2" i="13"/>
  <c r="A2" i="16"/>
  <c r="A2" i="22"/>
  <c r="B955" i="22"/>
  <c r="B967" i="22"/>
  <c r="B979" i="22"/>
  <c r="B991" i="22"/>
  <c r="B1003" i="22"/>
  <c r="B1015" i="22"/>
  <c r="B1027" i="22"/>
  <c r="B1039" i="22"/>
  <c r="B1051" i="22"/>
  <c r="C1057" i="22"/>
  <c r="C1069" i="22"/>
  <c r="B1087" i="22"/>
  <c r="B1099" i="22"/>
  <c r="B1111" i="22"/>
  <c r="B1123" i="22"/>
  <c r="B1135" i="22"/>
  <c r="B1147" i="22"/>
  <c r="B1159" i="22"/>
  <c r="B1171" i="22"/>
  <c r="H41" i="23"/>
  <c r="F8" i="23"/>
  <c r="N1180" i="22"/>
  <c r="P1179" i="22"/>
  <c r="J1177" i="22"/>
  <c r="E1177" i="22"/>
  <c r="Q1176" i="22"/>
  <c r="G1176" i="22"/>
  <c r="O1174" i="22"/>
  <c r="Q1173" i="22"/>
  <c r="I1171" i="22"/>
  <c r="D1171" i="22"/>
  <c r="Q1170" i="22"/>
  <c r="N1168" i="22"/>
  <c r="P1167" i="22"/>
  <c r="J1165" i="22"/>
  <c r="E1165" i="22"/>
  <c r="Q1164" i="22"/>
  <c r="G1164" i="22"/>
  <c r="O1162" i="22"/>
  <c r="Q1161" i="22"/>
  <c r="I1159" i="22"/>
  <c r="D1159" i="22"/>
  <c r="Q1158" i="22"/>
  <c r="N1156" i="22"/>
  <c r="P1155" i="22"/>
  <c r="J1153" i="22"/>
  <c r="E1153" i="22"/>
  <c r="Q1152" i="22"/>
  <c r="G1152" i="22"/>
  <c r="O1150" i="22"/>
  <c r="Q1149" i="22"/>
  <c r="I1147" i="22"/>
  <c r="D1147" i="22"/>
  <c r="Q1146" i="22"/>
  <c r="N1144" i="22"/>
  <c r="P1143" i="22"/>
  <c r="J1141" i="22"/>
  <c r="E1141" i="22"/>
  <c r="Q1140" i="22"/>
  <c r="G1140" i="22"/>
  <c r="O1138" i="22"/>
  <c r="Q1137" i="22"/>
  <c r="I1135" i="22"/>
  <c r="D1135" i="22"/>
  <c r="Q1134" i="22"/>
  <c r="N1132" i="22"/>
  <c r="P1131" i="22"/>
  <c r="J1129" i="22"/>
  <c r="E1129" i="22"/>
  <c r="Q1128" i="22"/>
  <c r="G1128" i="22"/>
  <c r="O1126" i="22"/>
  <c r="Q1125" i="22"/>
  <c r="I1123" i="22"/>
  <c r="D1123" i="22"/>
  <c r="Q1122" i="22"/>
  <c r="N1120" i="22"/>
  <c r="P1119" i="22"/>
  <c r="J1117" i="22"/>
  <c r="E1117" i="22"/>
  <c r="Q1116" i="22"/>
  <c r="G1116" i="22"/>
  <c r="O1114" i="22"/>
  <c r="Q1113" i="22"/>
  <c r="I1111" i="22"/>
  <c r="D1111" i="22"/>
  <c r="Q1110" i="22"/>
  <c r="N1108" i="22"/>
  <c r="P1107" i="22"/>
  <c r="J1105" i="22"/>
  <c r="E1105" i="22"/>
  <c r="Q1104" i="22"/>
  <c r="G1104" i="22"/>
  <c r="O1102" i="22"/>
  <c r="Q1101" i="22"/>
  <c r="I1099" i="22"/>
  <c r="D1099" i="22"/>
  <c r="Q1098" i="22"/>
  <c r="N1096" i="22"/>
  <c r="P1095" i="22"/>
  <c r="J1093" i="22"/>
  <c r="E1093" i="22"/>
  <c r="Q1092" i="22"/>
  <c r="G1092" i="22"/>
  <c r="O1090" i="22"/>
  <c r="Q1089" i="22"/>
  <c r="I1087" i="22"/>
  <c r="D1087" i="22"/>
  <c r="Q1086" i="22"/>
  <c r="N1084" i="22"/>
  <c r="P1083" i="22"/>
  <c r="J1081" i="22"/>
  <c r="E1081" i="22"/>
  <c r="Q1080" i="22"/>
  <c r="G1080" i="22"/>
  <c r="P1078" i="22"/>
  <c r="S1077" i="22"/>
  <c r="H1077" i="22"/>
  <c r="C1077" i="22"/>
  <c r="S1075" i="22"/>
  <c r="N1075" i="22"/>
  <c r="H1075" i="22"/>
  <c r="C1075" i="22"/>
  <c r="Q1074" i="22"/>
  <c r="O1072" i="22"/>
  <c r="R1071" i="22"/>
  <c r="H1071" i="22"/>
  <c r="B1071" i="22"/>
  <c r="L1069" i="22"/>
  <c r="F1069" i="22"/>
  <c r="O1068" i="22"/>
  <c r="I1068" i="22"/>
  <c r="S1066" i="22"/>
  <c r="H1066" i="22"/>
  <c r="C1066" i="22"/>
  <c r="P1065" i="22"/>
  <c r="K1063" i="22"/>
  <c r="F1063" i="22"/>
  <c r="S1062" i="22"/>
  <c r="R1060" i="22"/>
  <c r="P1059" i="22"/>
  <c r="T1057" i="22"/>
  <c r="I1057" i="22"/>
  <c r="D1057" i="22"/>
  <c r="Q1056" i="22"/>
  <c r="O1054" i="22"/>
  <c r="Q1053" i="22"/>
  <c r="I1051" i="22"/>
  <c r="D1051" i="22"/>
  <c r="Q1050" i="22"/>
  <c r="N1048" i="22"/>
  <c r="P1047" i="22"/>
  <c r="J1045" i="22"/>
  <c r="E1045" i="22"/>
  <c r="Q1044" i="22"/>
  <c r="G1044" i="22"/>
  <c r="O1042" i="22"/>
  <c r="Q1041" i="22"/>
  <c r="I1039" i="22"/>
  <c r="D1039" i="22"/>
  <c r="Q1038" i="22"/>
  <c r="N1036" i="22"/>
  <c r="P1035" i="22"/>
  <c r="J1033" i="22"/>
  <c r="E1033" i="22"/>
  <c r="Q1032" i="22"/>
  <c r="G1032" i="22"/>
  <c r="O1030" i="22"/>
  <c r="Q1029" i="22"/>
  <c r="I1027" i="22"/>
  <c r="D1027" i="22"/>
  <c r="Q1026" i="22"/>
  <c r="N1024" i="22"/>
  <c r="P1023" i="22"/>
  <c r="J1021" i="22"/>
  <c r="E1021" i="22"/>
  <c r="Q1020" i="22"/>
  <c r="G1020" i="22"/>
  <c r="O1018" i="22"/>
  <c r="Q1017" i="22"/>
  <c r="I1015" i="22"/>
  <c r="D1015" i="22"/>
  <c r="Q1014" i="22"/>
  <c r="N1012" i="22"/>
  <c r="P1011" i="22"/>
  <c r="J1009" i="22"/>
  <c r="E1009" i="22"/>
  <c r="Q1008" i="22"/>
  <c r="G1008" i="22"/>
  <c r="O1006" i="22"/>
  <c r="Q1005" i="22"/>
  <c r="I1003" i="22"/>
  <c r="D1003" i="22"/>
  <c r="Q1002" i="22"/>
  <c r="N1000" i="22"/>
  <c r="P999" i="22"/>
  <c r="J997" i="22"/>
  <c r="E997" i="22"/>
  <c r="Q996" i="22"/>
  <c r="G996" i="22"/>
  <c r="O994" i="22"/>
  <c r="Q993" i="22"/>
  <c r="I991" i="22"/>
  <c r="D991" i="22"/>
  <c r="Q990" i="22"/>
  <c r="N988" i="22"/>
  <c r="P987" i="22"/>
  <c r="J985" i="22"/>
  <c r="E985" i="22"/>
  <c r="Q984" i="22"/>
  <c r="G984" i="22"/>
  <c r="O982" i="22"/>
  <c r="Q981" i="22"/>
  <c r="I979" i="22"/>
  <c r="D979" i="22"/>
  <c r="Q978" i="22"/>
  <c r="N976" i="22"/>
  <c r="P975" i="22"/>
  <c r="J973" i="22"/>
  <c r="E973" i="22"/>
  <c r="Q972" i="22"/>
  <c r="G972" i="22"/>
  <c r="O970" i="22"/>
  <c r="Q969" i="22"/>
  <c r="I967" i="22"/>
  <c r="D967" i="22"/>
  <c r="Q966" i="22"/>
  <c r="N964" i="22"/>
  <c r="P963" i="22"/>
  <c r="J961" i="22"/>
  <c r="E961" i="22"/>
  <c r="Q960" i="22"/>
  <c r="G960" i="22"/>
  <c r="O958" i="22"/>
  <c r="Q957" i="22"/>
  <c r="I955" i="22"/>
  <c r="D955" i="22"/>
  <c r="Q954" i="22"/>
  <c r="N952" i="22"/>
  <c r="P951" i="22"/>
  <c r="J949" i="22"/>
  <c r="Q948" i="22"/>
  <c r="G948" i="22"/>
  <c r="B924" i="22"/>
  <c r="P907" i="22"/>
  <c r="M20" i="5"/>
  <c r="C300" i="22"/>
  <c r="B248" i="22"/>
  <c r="B267" i="9"/>
  <c r="B226" i="9" s="1"/>
  <c r="B914" i="22"/>
  <c r="C84" i="24"/>
  <c r="C87" i="24"/>
  <c r="E56" i="24"/>
  <c r="F49" i="24"/>
  <c r="F51" i="24" s="1"/>
  <c r="C57" i="24"/>
  <c r="F57" i="24" s="1"/>
  <c r="F32" i="2"/>
  <c r="F35" i="2"/>
  <c r="F33" i="2"/>
  <c r="F34" i="2"/>
  <c r="Q5" i="3"/>
  <c r="R5" i="4"/>
  <c r="Q5" i="5"/>
  <c r="Q32" i="5"/>
  <c r="Q7" i="7"/>
  <c r="R32" i="4"/>
  <c r="Q143" i="7"/>
  <c r="Q30" i="7"/>
  <c r="Q6" i="6"/>
  <c r="Q45" i="7"/>
  <c r="Q293" i="7"/>
  <c r="Q176" i="7"/>
  <c r="Q327" i="7"/>
  <c r="Q30" i="8"/>
  <c r="Q7" i="8"/>
  <c r="Q143" i="8"/>
  <c r="Q45" i="8"/>
  <c r="Q176" i="8"/>
  <c r="Q517" i="8"/>
  <c r="P15" i="10"/>
  <c r="Q180" i="10"/>
  <c r="Q9" i="11"/>
  <c r="Q21" i="10"/>
  <c r="Q39" i="10"/>
  <c r="Q72" i="10"/>
  <c r="Q105" i="10"/>
  <c r="P29" i="10"/>
  <c r="Q7" i="10"/>
  <c r="Q267" i="10"/>
  <c r="Q316" i="11"/>
  <c r="Q348" i="11"/>
  <c r="Q7" i="12"/>
  <c r="Q404" i="11"/>
  <c r="Q476" i="11"/>
  <c r="Q215" i="11"/>
  <c r="Q99" i="12"/>
  <c r="Q172" i="12"/>
  <c r="Q6" i="13"/>
  <c r="Q7" i="15"/>
  <c r="R7" i="16"/>
  <c r="R29" i="16"/>
  <c r="R77" i="16"/>
  <c r="R25" i="17"/>
  <c r="Q16" i="19"/>
  <c r="Q46" i="13"/>
  <c r="Q67" i="13"/>
  <c r="Q95" i="13"/>
  <c r="Q206" i="13"/>
  <c r="Q21" i="15"/>
  <c r="R7" i="17"/>
  <c r="Q67" i="12"/>
  <c r="Q15" i="13"/>
  <c r="Q189" i="13"/>
  <c r="Q20" i="14"/>
  <c r="Q64" i="14"/>
  <c r="R19" i="16"/>
  <c r="Q5" i="19"/>
  <c r="Q77" i="13"/>
  <c r="Q184" i="13"/>
  <c r="Q6" i="14"/>
  <c r="R57" i="16"/>
  <c r="R5" i="18"/>
  <c r="L67" i="2"/>
  <c r="L87" i="2"/>
  <c r="L137" i="2"/>
  <c r="L152" i="2"/>
  <c r="L183" i="2"/>
  <c r="L196" i="2"/>
  <c r="L211" i="2"/>
  <c r="L229" i="2"/>
  <c r="L303" i="2"/>
  <c r="L243" i="2"/>
  <c r="L275" i="2"/>
  <c r="L394" i="2"/>
  <c r="M409" i="2"/>
  <c r="L285" i="2"/>
  <c r="L338" i="2"/>
  <c r="L359" i="2"/>
  <c r="L438" i="2"/>
  <c r="K5" i="4"/>
  <c r="K32" i="4"/>
  <c r="L318" i="2"/>
  <c r="L365" i="2"/>
  <c r="J5" i="3"/>
  <c r="M429" i="2"/>
  <c r="J5" i="5"/>
  <c r="J6" i="6"/>
  <c r="J30" i="7"/>
  <c r="J32" i="5"/>
  <c r="J7" i="7"/>
  <c r="J143" i="7"/>
  <c r="M420" i="2"/>
  <c r="J293" i="7"/>
  <c r="J45" i="7"/>
  <c r="J176" i="7"/>
  <c r="J327" i="7"/>
  <c r="J45" i="8"/>
  <c r="J30" i="8"/>
  <c r="J7" i="8"/>
  <c r="J143" i="8"/>
  <c r="J176" i="8"/>
  <c r="J517" i="8"/>
  <c r="H160" i="9"/>
  <c r="H10" i="9"/>
  <c r="H209" i="9"/>
  <c r="H45" i="9"/>
  <c r="I294" i="9"/>
  <c r="I379" i="9"/>
  <c r="J7" i="10"/>
  <c r="J267" i="10"/>
  <c r="I15" i="10"/>
  <c r="J180" i="10"/>
  <c r="J9" i="11"/>
  <c r="J21" i="10"/>
  <c r="J39" i="10"/>
  <c r="J72" i="10"/>
  <c r="J105" i="10"/>
  <c r="I29" i="10"/>
  <c r="J215" i="11"/>
  <c r="J316" i="11"/>
  <c r="J348" i="11"/>
  <c r="J7" i="12"/>
  <c r="J404" i="11"/>
  <c r="J476" i="11"/>
  <c r="J67" i="12"/>
  <c r="J99" i="12"/>
  <c r="J77" i="13"/>
  <c r="J184" i="13"/>
  <c r="J6" i="14"/>
  <c r="K57" i="16"/>
  <c r="K5" i="18"/>
  <c r="I4" i="22"/>
  <c r="J6" i="13"/>
  <c r="J7" i="15"/>
  <c r="K7" i="16"/>
  <c r="K29" i="16"/>
  <c r="K77" i="16"/>
  <c r="K25" i="17"/>
  <c r="J16" i="19"/>
  <c r="H5" i="21"/>
  <c r="J46" i="13"/>
  <c r="J67" i="13"/>
  <c r="J95" i="13"/>
  <c r="J206" i="13"/>
  <c r="J21" i="15"/>
  <c r="K7" i="17"/>
  <c r="J172" i="12"/>
  <c r="J15" i="13"/>
  <c r="J189" i="13"/>
  <c r="J20" i="14"/>
  <c r="J64" i="14"/>
  <c r="K19" i="16"/>
  <c r="J5" i="19"/>
  <c r="H45" i="22"/>
  <c r="I98" i="22"/>
  <c r="H372" i="22"/>
  <c r="H730" i="22"/>
  <c r="H771" i="22"/>
  <c r="H954" i="22"/>
  <c r="H966" i="22"/>
  <c r="H978" i="22"/>
  <c r="H990" i="22"/>
  <c r="H1002" i="22"/>
  <c r="H1014" i="22"/>
  <c r="H1026" i="22"/>
  <c r="H1038" i="22"/>
  <c r="H1050" i="22"/>
  <c r="I1065" i="22"/>
  <c r="I1077" i="22"/>
  <c r="H1086" i="22"/>
  <c r="H1098" i="22"/>
  <c r="H1110" i="22"/>
  <c r="H1122" i="22"/>
  <c r="H1134" i="22"/>
  <c r="H1146" i="22"/>
  <c r="H1158" i="22"/>
  <c r="H1170" i="22"/>
  <c r="I8" i="24"/>
  <c r="I139" i="22"/>
  <c r="I262" i="22"/>
  <c r="H358" i="22"/>
  <c r="H713" i="22"/>
  <c r="I719" i="22"/>
  <c r="H344" i="22"/>
  <c r="I672" i="22"/>
  <c r="I180" i="22"/>
  <c r="I221" i="22"/>
  <c r="I303" i="22"/>
  <c r="H386" i="22"/>
  <c r="H427" i="22"/>
  <c r="H722" i="22"/>
  <c r="H727" i="22"/>
  <c r="H893" i="22"/>
  <c r="F955" i="22"/>
  <c r="F967" i="22"/>
  <c r="F979" i="22"/>
  <c r="F991" i="22"/>
  <c r="F1003" i="22"/>
  <c r="F1015" i="22"/>
  <c r="F1027" i="22"/>
  <c r="F1039" i="22"/>
  <c r="F1051" i="22"/>
  <c r="G1057" i="22"/>
  <c r="G1069" i="22"/>
  <c r="F1087" i="22"/>
  <c r="F1099" i="22"/>
  <c r="F1111" i="22"/>
  <c r="F1123" i="22"/>
  <c r="F1135" i="22"/>
  <c r="F1147" i="22"/>
  <c r="F1159" i="22"/>
  <c r="F1171" i="22"/>
  <c r="F44" i="23"/>
  <c r="F67" i="2"/>
  <c r="F87" i="2"/>
  <c r="F137" i="2"/>
  <c r="F152" i="2"/>
  <c r="F196" i="2"/>
  <c r="F243" i="2"/>
  <c r="F183" i="2"/>
  <c r="F211" i="2"/>
  <c r="F303" i="2"/>
  <c r="F275" i="2"/>
  <c r="F338" i="2"/>
  <c r="F359" i="2"/>
  <c r="F365" i="2"/>
  <c r="F438" i="2"/>
  <c r="F229" i="2"/>
  <c r="F318" i="2"/>
  <c r="F394" i="2"/>
  <c r="B5" i="3"/>
  <c r="G409" i="2"/>
  <c r="C5" i="4"/>
  <c r="C32" i="4"/>
  <c r="G429" i="2"/>
  <c r="B5" i="5"/>
  <c r="B6" i="6"/>
  <c r="B30" i="7"/>
  <c r="G420" i="2"/>
  <c r="B32" i="5"/>
  <c r="B7" i="7"/>
  <c r="B143" i="7"/>
  <c r="B45" i="7"/>
  <c r="B293" i="7"/>
  <c r="F285" i="2"/>
  <c r="B176" i="7"/>
  <c r="B327" i="7"/>
  <c r="B45" i="8"/>
  <c r="B30" i="8"/>
  <c r="B7" i="8"/>
  <c r="B143" i="8"/>
  <c r="B517" i="8"/>
  <c r="B176" i="8"/>
  <c r="B45" i="9"/>
  <c r="C294" i="9"/>
  <c r="B160" i="9"/>
  <c r="B10" i="9"/>
  <c r="B209" i="9"/>
  <c r="C379" i="9"/>
  <c r="B7" i="10"/>
  <c r="B267" i="10"/>
  <c r="B180" i="10"/>
  <c r="B9" i="11"/>
  <c r="B21" i="10"/>
  <c r="B39" i="10"/>
  <c r="B72" i="10"/>
  <c r="B105" i="10"/>
  <c r="B215" i="11"/>
  <c r="B316" i="11"/>
  <c r="B348" i="11"/>
  <c r="B7" i="12"/>
  <c r="B404" i="11"/>
  <c r="B476" i="11"/>
  <c r="B67" i="12"/>
  <c r="B99" i="12"/>
  <c r="B77" i="13"/>
  <c r="B184" i="13"/>
  <c r="B6" i="14"/>
  <c r="C57" i="16"/>
  <c r="C5" i="18"/>
  <c r="C98" i="22"/>
  <c r="C139" i="22"/>
  <c r="C180" i="22"/>
  <c r="C221" i="22"/>
  <c r="C262" i="22"/>
  <c r="B172" i="12"/>
  <c r="B6" i="13"/>
  <c r="B7" i="15"/>
  <c r="C7" i="16"/>
  <c r="C29" i="16"/>
  <c r="C77" i="16"/>
  <c r="C25" i="17"/>
  <c r="B16" i="19"/>
  <c r="B45" i="22"/>
  <c r="B46" i="13"/>
  <c r="B67" i="13"/>
  <c r="B95" i="13"/>
  <c r="B206" i="13"/>
  <c r="B21" i="15"/>
  <c r="C7" i="17"/>
  <c r="B15" i="13"/>
  <c r="B189" i="13"/>
  <c r="B20" i="14"/>
  <c r="B64" i="14"/>
  <c r="C19" i="16"/>
  <c r="B5" i="19"/>
  <c r="B5" i="21"/>
  <c r="C4" i="22"/>
  <c r="B344" i="22"/>
  <c r="C672" i="22"/>
  <c r="B907" i="22"/>
  <c r="B948" i="22"/>
  <c r="B960" i="22"/>
  <c r="B972" i="22"/>
  <c r="B984" i="22"/>
  <c r="B996" i="22"/>
  <c r="B1008" i="22"/>
  <c r="B1020" i="22"/>
  <c r="B1032" i="22"/>
  <c r="B1044" i="22"/>
  <c r="C1059" i="22"/>
  <c r="C1071" i="22"/>
  <c r="B1080" i="22"/>
  <c r="B1092" i="22"/>
  <c r="B1104" i="22"/>
  <c r="B1116" i="22"/>
  <c r="B1128" i="22"/>
  <c r="B1140" i="22"/>
  <c r="B1152" i="22"/>
  <c r="B1164" i="22"/>
  <c r="B1176" i="22"/>
  <c r="C303" i="22"/>
  <c r="B386" i="22"/>
  <c r="B427" i="22"/>
  <c r="B722" i="22"/>
  <c r="B727" i="22"/>
  <c r="B893" i="22"/>
  <c r="B372" i="22"/>
  <c r="B730" i="22"/>
  <c r="B771" i="22"/>
  <c r="B358" i="22"/>
  <c r="B713" i="22"/>
  <c r="C719" i="22"/>
  <c r="F429" i="2"/>
  <c r="F409" i="2"/>
  <c r="B5" i="4"/>
  <c r="F420" i="2"/>
  <c r="B32" i="4"/>
  <c r="B294" i="9"/>
  <c r="B379" i="9"/>
  <c r="B7" i="16"/>
  <c r="B29" i="16"/>
  <c r="B77" i="16"/>
  <c r="B25" i="17"/>
  <c r="B7" i="17"/>
  <c r="B4" i="22"/>
  <c r="B19" i="16"/>
  <c r="B57" i="16"/>
  <c r="B5" i="18"/>
  <c r="B98" i="22"/>
  <c r="B139" i="22"/>
  <c r="B262" i="22"/>
  <c r="B303" i="22"/>
  <c r="B1056" i="22"/>
  <c r="B1066" i="22"/>
  <c r="B1068" i="22"/>
  <c r="B1078" i="22"/>
  <c r="B11" i="24"/>
  <c r="B180" i="22"/>
  <c r="B221" i="22"/>
  <c r="B719" i="22"/>
  <c r="B672" i="22"/>
  <c r="R1180" i="22"/>
  <c r="H1180" i="22"/>
  <c r="B1180" i="22"/>
  <c r="O1179" i="22"/>
  <c r="S1177" i="22"/>
  <c r="I1177" i="22"/>
  <c r="C1177" i="22"/>
  <c r="P1176" i="22"/>
  <c r="N1174" i="22"/>
  <c r="H1174" i="22"/>
  <c r="P1173" i="22"/>
  <c r="S1171" i="22"/>
  <c r="M1171" i="22"/>
  <c r="H1171" i="22"/>
  <c r="C1171" i="22"/>
  <c r="O1170" i="22"/>
  <c r="R1168" i="22"/>
  <c r="H1168" i="22"/>
  <c r="B1168" i="22"/>
  <c r="O1167" i="22"/>
  <c r="S1165" i="22"/>
  <c r="I1165" i="22"/>
  <c r="C1165" i="22"/>
  <c r="P1164" i="22"/>
  <c r="N1162" i="22"/>
  <c r="H1162" i="22"/>
  <c r="P1161" i="22"/>
  <c r="S1159" i="22"/>
  <c r="M1159" i="22"/>
  <c r="H1159" i="22"/>
  <c r="C1159" i="22"/>
  <c r="O1158" i="22"/>
  <c r="R1156" i="22"/>
  <c r="H1156" i="22"/>
  <c r="B1156" i="22"/>
  <c r="O1155" i="22"/>
  <c r="S1153" i="22"/>
  <c r="N1153" i="22"/>
  <c r="I1153" i="22"/>
  <c r="C1153" i="22"/>
  <c r="P1152" i="22"/>
  <c r="N1150" i="22"/>
  <c r="H1150" i="22"/>
  <c r="P1149" i="22"/>
  <c r="S1147" i="22"/>
  <c r="M1147" i="22"/>
  <c r="H1147" i="22"/>
  <c r="C1147" i="22"/>
  <c r="O1146" i="22"/>
  <c r="R1144" i="22"/>
  <c r="H1144" i="22"/>
  <c r="B1144" i="22"/>
  <c r="O1143" i="22"/>
  <c r="S1141" i="22"/>
  <c r="N1141" i="22"/>
  <c r="I1141" i="22"/>
  <c r="C1141" i="22"/>
  <c r="P1140" i="22"/>
  <c r="N1138" i="22"/>
  <c r="H1138" i="22"/>
  <c r="P1137" i="22"/>
  <c r="S1135" i="22"/>
  <c r="M1135" i="22"/>
  <c r="H1135" i="22"/>
  <c r="C1135" i="22"/>
  <c r="O1134" i="22"/>
  <c r="R1132" i="22"/>
  <c r="H1132" i="22"/>
  <c r="B1132" i="22"/>
  <c r="O1131" i="22"/>
  <c r="S1129" i="22"/>
  <c r="N1129" i="22"/>
  <c r="I1129" i="22"/>
  <c r="C1129" i="22"/>
  <c r="P1128" i="22"/>
  <c r="N1126" i="22"/>
  <c r="H1126" i="22"/>
  <c r="P1125" i="22"/>
  <c r="S1123" i="22"/>
  <c r="M1123" i="22"/>
  <c r="H1123" i="22"/>
  <c r="C1123" i="22"/>
  <c r="O1122" i="22"/>
  <c r="R1120" i="22"/>
  <c r="H1120" i="22"/>
  <c r="B1120" i="22"/>
  <c r="O1119" i="22"/>
  <c r="S1117" i="22"/>
  <c r="N1117" i="22"/>
  <c r="I1117" i="22"/>
  <c r="C1117" i="22"/>
  <c r="P1116" i="22"/>
  <c r="N1114" i="22"/>
  <c r="H1114" i="22"/>
  <c r="P1113" i="22"/>
  <c r="S1111" i="22"/>
  <c r="M1111" i="22"/>
  <c r="H1111" i="22"/>
  <c r="C1111" i="22"/>
  <c r="O1110" i="22"/>
  <c r="R1108" i="22"/>
  <c r="H1108" i="22"/>
  <c r="B1108" i="22"/>
  <c r="O1107" i="22"/>
  <c r="S1105" i="22"/>
  <c r="N1105" i="22"/>
  <c r="I1105" i="22"/>
  <c r="C1105" i="22"/>
  <c r="P1104" i="22"/>
  <c r="N1102" i="22"/>
  <c r="H1102" i="22"/>
  <c r="P1101" i="22"/>
  <c r="S1099" i="22"/>
  <c r="M1099" i="22"/>
  <c r="H1099" i="22"/>
  <c r="C1099" i="22"/>
  <c r="O1098" i="22"/>
  <c r="R1096" i="22"/>
  <c r="H1096" i="22"/>
  <c r="B1096" i="22"/>
  <c r="O1095" i="22"/>
  <c r="S1093" i="22"/>
  <c r="N1093" i="22"/>
  <c r="I1093" i="22"/>
  <c r="C1093" i="22"/>
  <c r="P1092" i="22"/>
  <c r="N1090" i="22"/>
  <c r="H1090" i="22"/>
  <c r="P1089" i="22"/>
  <c r="S1087" i="22"/>
  <c r="M1087" i="22"/>
  <c r="H1087" i="22"/>
  <c r="C1087" i="22"/>
  <c r="O1086" i="22"/>
  <c r="R1084" i="22"/>
  <c r="H1084" i="22"/>
  <c r="B1084" i="22"/>
  <c r="O1083" i="22"/>
  <c r="S1081" i="22"/>
  <c r="N1081" i="22"/>
  <c r="I1081" i="22"/>
  <c r="C1081" i="22"/>
  <c r="P1080" i="22"/>
  <c r="O1078" i="22"/>
  <c r="I1078" i="22"/>
  <c r="R1077" i="22"/>
  <c r="B1077" i="22"/>
  <c r="L1075" i="22"/>
  <c r="G1075" i="22"/>
  <c r="B1075" i="22"/>
  <c r="O1074" i="22"/>
  <c r="S1072" i="22"/>
  <c r="I1072" i="22"/>
  <c r="C1072" i="22"/>
  <c r="Q1071" i="22"/>
  <c r="J1069" i="22"/>
  <c r="E1069" i="22"/>
  <c r="S1068" i="22"/>
  <c r="H1068" i="22"/>
  <c r="C1068" i="22"/>
  <c r="Q1066" i="22"/>
  <c r="O1065" i="22"/>
  <c r="T1063" i="22"/>
  <c r="O1063" i="22"/>
  <c r="J1063" i="22"/>
  <c r="D1063" i="22"/>
  <c r="B1062" i="22"/>
  <c r="Q1060" i="22"/>
  <c r="I1059" i="22"/>
  <c r="M1057" i="22"/>
  <c r="B1057" i="22"/>
  <c r="P1056" i="22"/>
  <c r="N1054" i="22"/>
  <c r="H1054" i="22"/>
  <c r="P1053" i="22"/>
  <c r="S1051" i="22"/>
  <c r="M1051" i="22"/>
  <c r="H1051" i="22"/>
  <c r="C1051" i="22"/>
  <c r="O1050" i="22"/>
  <c r="R1048" i="22"/>
  <c r="H1048" i="22"/>
  <c r="B1048" i="22"/>
  <c r="O1047" i="22"/>
  <c r="S1045" i="22"/>
  <c r="N1045" i="22"/>
  <c r="I1045" i="22"/>
  <c r="C1045" i="22"/>
  <c r="P1044" i="22"/>
  <c r="N1042" i="22"/>
  <c r="H1042" i="22"/>
  <c r="P1041" i="22"/>
  <c r="S1039" i="22"/>
  <c r="M1039" i="22"/>
  <c r="H1039" i="22"/>
  <c r="C1039" i="22"/>
  <c r="O1038" i="22"/>
  <c r="R1036" i="22"/>
  <c r="H1036" i="22"/>
  <c r="B1036" i="22"/>
  <c r="O1035" i="22"/>
  <c r="S1033" i="22"/>
  <c r="N1033" i="22"/>
  <c r="I1033" i="22"/>
  <c r="C1033" i="22"/>
  <c r="P1032" i="22"/>
  <c r="N1030" i="22"/>
  <c r="H1030" i="22"/>
  <c r="P1029" i="22"/>
  <c r="S1027" i="22"/>
  <c r="M1027" i="22"/>
  <c r="H1027" i="22"/>
  <c r="C1027" i="22"/>
  <c r="O1026" i="22"/>
  <c r="R1024" i="22"/>
  <c r="H1024" i="22"/>
  <c r="B1024" i="22"/>
  <c r="O1023" i="22"/>
  <c r="S1021" i="22"/>
  <c r="N1021" i="22"/>
  <c r="I1021" i="22"/>
  <c r="C1021" i="22"/>
  <c r="P1020" i="22"/>
  <c r="N1018" i="22"/>
  <c r="H1018" i="22"/>
  <c r="P1017" i="22"/>
  <c r="S1015" i="22"/>
  <c r="M1015" i="22"/>
  <c r="H1015" i="22"/>
  <c r="C1015" i="22"/>
  <c r="O1014" i="22"/>
  <c r="R1012" i="22"/>
  <c r="H1012" i="22"/>
  <c r="B1012" i="22"/>
  <c r="O1011" i="22"/>
  <c r="S1009" i="22"/>
  <c r="N1009" i="22"/>
  <c r="I1009" i="22"/>
  <c r="C1009" i="22"/>
  <c r="P1008" i="22"/>
  <c r="N1006" i="22"/>
  <c r="H1006" i="22"/>
  <c r="P1005" i="22"/>
  <c r="S1003" i="22"/>
  <c r="M1003" i="22"/>
  <c r="H1003" i="22"/>
  <c r="C1003" i="22"/>
  <c r="O1002" i="22"/>
  <c r="R1000" i="22"/>
  <c r="H1000" i="22"/>
  <c r="B1000" i="22"/>
  <c r="O999" i="22"/>
  <c r="S997" i="22"/>
  <c r="N997" i="22"/>
  <c r="I997" i="22"/>
  <c r="C997" i="22"/>
  <c r="P996" i="22"/>
  <c r="N994" i="22"/>
  <c r="H994" i="22"/>
  <c r="P993" i="22"/>
  <c r="S991" i="22"/>
  <c r="M991" i="22"/>
  <c r="H991" i="22"/>
  <c r="C991" i="22"/>
  <c r="O990" i="22"/>
  <c r="R988" i="22"/>
  <c r="H988" i="22"/>
  <c r="B988" i="22"/>
  <c r="O987" i="22"/>
  <c r="S985" i="22"/>
  <c r="N985" i="22"/>
  <c r="I985" i="22"/>
  <c r="C985" i="22"/>
  <c r="P984" i="22"/>
  <c r="N982" i="22"/>
  <c r="H982" i="22"/>
  <c r="P981" i="22"/>
  <c r="S979" i="22"/>
  <c r="M979" i="22"/>
  <c r="H979" i="22"/>
  <c r="C979" i="22"/>
  <c r="O978" i="22"/>
  <c r="R976" i="22"/>
  <c r="H976" i="22"/>
  <c r="B976" i="22"/>
  <c r="O975" i="22"/>
  <c r="S973" i="22"/>
  <c r="N973" i="22"/>
  <c r="I973" i="22"/>
  <c r="C973" i="22"/>
  <c r="P972" i="22"/>
  <c r="N970" i="22"/>
  <c r="H970" i="22"/>
  <c r="P969" i="22"/>
  <c r="S967" i="22"/>
  <c r="M967" i="22"/>
  <c r="H967" i="22"/>
  <c r="C967" i="22"/>
  <c r="O966" i="22"/>
  <c r="R964" i="22"/>
  <c r="H964" i="22"/>
  <c r="B964" i="22"/>
  <c r="O963" i="22"/>
  <c r="S961" i="22"/>
  <c r="N961" i="22"/>
  <c r="I961" i="22"/>
  <c r="C961" i="22"/>
  <c r="P960" i="22"/>
  <c r="N958" i="22"/>
  <c r="H958" i="22"/>
  <c r="P957" i="22"/>
  <c r="S955" i="22"/>
  <c r="M955" i="22"/>
  <c r="H955" i="22"/>
  <c r="C955" i="22"/>
  <c r="O954" i="22"/>
  <c r="R952" i="22"/>
  <c r="H952" i="22"/>
  <c r="B952" i="22"/>
  <c r="S949" i="22"/>
  <c r="C949" i="22"/>
  <c r="G893" i="22"/>
  <c r="C272" i="22"/>
  <c r="B152" i="22"/>
  <c r="B149" i="22"/>
  <c r="B174" i="22"/>
  <c r="U14" i="5"/>
  <c r="E14" i="5"/>
  <c r="B8" i="4"/>
  <c r="B6" i="5"/>
  <c r="B1315" i="24"/>
  <c r="Q1271" i="24"/>
  <c r="M1271" i="24"/>
  <c r="I1271" i="24"/>
  <c r="E1271" i="24"/>
  <c r="S1269" i="24"/>
  <c r="O1269" i="24"/>
  <c r="K1269" i="24"/>
  <c r="G1269" i="24"/>
  <c r="C1269" i="24"/>
  <c r="B1176" i="24"/>
  <c r="C1176" i="24" s="1"/>
  <c r="D1176" i="24" s="1"/>
  <c r="E1176" i="24" s="1"/>
  <c r="F1176" i="24" s="1"/>
  <c r="G1176" i="24" s="1"/>
  <c r="H1176" i="24" s="1"/>
  <c r="I1176" i="24" s="1"/>
  <c r="J1176" i="24" s="1"/>
  <c r="K1176" i="24" s="1"/>
  <c r="L1176" i="24" s="1"/>
  <c r="M1176" i="24" s="1"/>
  <c r="N1176" i="24" s="1"/>
  <c r="O1176" i="24" s="1"/>
  <c r="P1176" i="24" s="1"/>
  <c r="Q1176" i="24" s="1"/>
  <c r="R1176" i="24" s="1"/>
  <c r="S1176" i="24" s="1"/>
  <c r="P1051" i="24"/>
  <c r="L1051" i="24"/>
  <c r="H1051" i="24"/>
  <c r="D1051" i="24"/>
  <c r="S1022" i="24"/>
  <c r="O1022" i="24"/>
  <c r="K1022" i="24"/>
  <c r="G1022" i="24"/>
  <c r="C1022" i="24"/>
  <c r="R1003" i="24"/>
  <c r="N1003" i="24"/>
  <c r="J1003" i="24"/>
  <c r="F1003" i="24"/>
  <c r="B1003" i="24"/>
  <c r="P937" i="24"/>
  <c r="P977" i="24" s="1"/>
  <c r="L937" i="24"/>
  <c r="L977" i="24" s="1"/>
  <c r="H937" i="24"/>
  <c r="H977" i="24" s="1"/>
  <c r="D937" i="24"/>
  <c r="D977" i="24" s="1"/>
  <c r="S934" i="24"/>
  <c r="S974" i="24" s="1"/>
  <c r="O934" i="24"/>
  <c r="O974" i="24" s="1"/>
  <c r="K934" i="24"/>
  <c r="K974" i="24" s="1"/>
  <c r="G934" i="24"/>
  <c r="G974" i="24" s="1"/>
  <c r="C934" i="24"/>
  <c r="C974" i="24" s="1"/>
  <c r="R933" i="24"/>
  <c r="R973" i="24" s="1"/>
  <c r="N933" i="24"/>
  <c r="N973" i="24" s="1"/>
  <c r="J933" i="24"/>
  <c r="J973" i="24" s="1"/>
  <c r="F933" i="24"/>
  <c r="F973" i="24" s="1"/>
  <c r="B933" i="24"/>
  <c r="B973" i="24" s="1"/>
  <c r="S922" i="24"/>
  <c r="S935" i="24" s="1"/>
  <c r="S975" i="24" s="1"/>
  <c r="O922" i="24"/>
  <c r="K922" i="24"/>
  <c r="K935" i="24" s="1"/>
  <c r="G922" i="24"/>
  <c r="C922" i="24"/>
  <c r="C935" i="24" s="1"/>
  <c r="C975" i="24" s="1"/>
  <c r="P909" i="24"/>
  <c r="L909" i="24"/>
  <c r="H909" i="24"/>
  <c r="D909" i="24"/>
  <c r="S902" i="24"/>
  <c r="S982" i="24" s="1"/>
  <c r="O902" i="24"/>
  <c r="O982" i="24" s="1"/>
  <c r="K902" i="24"/>
  <c r="K982" i="24" s="1"/>
  <c r="G902" i="24"/>
  <c r="G982" i="24" s="1"/>
  <c r="C902" i="24"/>
  <c r="C982" i="24" s="1"/>
  <c r="R901" i="24"/>
  <c r="N901" i="24"/>
  <c r="J901" i="24"/>
  <c r="F901" i="24"/>
  <c r="B901" i="24"/>
  <c r="S898" i="24"/>
  <c r="S978" i="24" s="1"/>
  <c r="O898" i="24"/>
  <c r="O978" i="24" s="1"/>
  <c r="K898" i="24"/>
  <c r="K978" i="24" s="1"/>
  <c r="G898" i="24"/>
  <c r="G978" i="24" s="1"/>
  <c r="C898" i="24"/>
  <c r="C978" i="24" s="1"/>
  <c r="R897" i="24"/>
  <c r="R977" i="24" s="1"/>
  <c r="N897" i="24"/>
  <c r="N977" i="24" s="1"/>
  <c r="J897" i="24"/>
  <c r="J977" i="24" s="1"/>
  <c r="F897" i="24"/>
  <c r="F977" i="24" s="1"/>
  <c r="B897" i="24"/>
  <c r="B977" i="24" s="1"/>
  <c r="Q894" i="24"/>
  <c r="Q974" i="24" s="1"/>
  <c r="M894" i="24"/>
  <c r="M974" i="24" s="1"/>
  <c r="I894" i="24"/>
  <c r="I974" i="24" s="1"/>
  <c r="E894" i="24"/>
  <c r="E974" i="24" s="1"/>
  <c r="P893" i="24"/>
  <c r="P973" i="24" s="1"/>
  <c r="L893" i="24"/>
  <c r="L973" i="24" s="1"/>
  <c r="H893" i="24"/>
  <c r="H973" i="24" s="1"/>
  <c r="D893" i="24"/>
  <c r="D973" i="24" s="1"/>
  <c r="S886" i="24"/>
  <c r="O886" i="24"/>
  <c r="O887" i="24" s="1"/>
  <c r="K886" i="24"/>
  <c r="K887" i="24" s="1"/>
  <c r="G886" i="24"/>
  <c r="G899" i="24" s="1"/>
  <c r="G979" i="24" s="1"/>
  <c r="C886" i="24"/>
  <c r="Q882" i="24"/>
  <c r="Q895" i="24" s="1"/>
  <c r="Q975" i="24" s="1"/>
  <c r="M882" i="24"/>
  <c r="M895" i="24" s="1"/>
  <c r="M975" i="24" s="1"/>
  <c r="I882" i="24"/>
  <c r="E882" i="24"/>
  <c r="P873" i="24"/>
  <c r="P874" i="24" s="1"/>
  <c r="L873" i="24"/>
  <c r="L874" i="24" s="1"/>
  <c r="H873" i="24"/>
  <c r="H874" i="24" s="1"/>
  <c r="D873" i="24"/>
  <c r="R869" i="24"/>
  <c r="N869" i="24"/>
  <c r="J869" i="24"/>
  <c r="F869" i="24"/>
  <c r="B869" i="24"/>
  <c r="P856" i="24"/>
  <c r="L856" i="24"/>
  <c r="H856" i="24"/>
  <c r="D856" i="24"/>
  <c r="S855" i="24"/>
  <c r="O855" i="24"/>
  <c r="K855" i="24"/>
  <c r="G855" i="24"/>
  <c r="C855" i="24"/>
  <c r="R852" i="24"/>
  <c r="N852" i="24"/>
  <c r="J852" i="24"/>
  <c r="F852" i="24"/>
  <c r="B852" i="24"/>
  <c r="Q851" i="24"/>
  <c r="M851" i="24"/>
  <c r="I851" i="24"/>
  <c r="E851" i="24"/>
  <c r="R840" i="24"/>
  <c r="N840" i="24"/>
  <c r="N853" i="24" s="1"/>
  <c r="J840" i="24"/>
  <c r="F840" i="24"/>
  <c r="F853" i="24" s="1"/>
  <c r="B840" i="24"/>
  <c r="S827" i="24"/>
  <c r="O827" i="24"/>
  <c r="K827" i="24"/>
  <c r="G827" i="24"/>
  <c r="C827" i="24"/>
  <c r="S679" i="24"/>
  <c r="O679" i="24"/>
  <c r="K679" i="24"/>
  <c r="G679" i="24"/>
  <c r="C679" i="24"/>
  <c r="R678" i="24"/>
  <c r="R718" i="24" s="1"/>
  <c r="N678" i="24"/>
  <c r="N718" i="24" s="1"/>
  <c r="J678" i="24"/>
  <c r="J718" i="24" s="1"/>
  <c r="F678" i="24"/>
  <c r="F718" i="24" s="1"/>
  <c r="B678" i="24"/>
  <c r="B718" i="24" s="1"/>
  <c r="Q675" i="24"/>
  <c r="M675" i="24"/>
  <c r="I675" i="24"/>
  <c r="E675" i="24"/>
  <c r="P674" i="24"/>
  <c r="P714" i="24" s="1"/>
  <c r="L674" i="24"/>
  <c r="L714" i="24" s="1"/>
  <c r="H674" i="24"/>
  <c r="H714" i="24" s="1"/>
  <c r="D674" i="24"/>
  <c r="D714" i="24" s="1"/>
  <c r="Q663" i="24"/>
  <c r="M663" i="24"/>
  <c r="M703" i="24" s="1"/>
  <c r="I663" i="24"/>
  <c r="E663" i="24"/>
  <c r="R650" i="24"/>
  <c r="N650" i="24"/>
  <c r="N690" i="24" s="1"/>
  <c r="J650" i="24"/>
  <c r="J690" i="24" s="1"/>
  <c r="F650" i="24"/>
  <c r="B650" i="24"/>
  <c r="Q643" i="24"/>
  <c r="M643" i="24"/>
  <c r="I643" i="24"/>
  <c r="E643" i="24"/>
  <c r="P642" i="24"/>
  <c r="L642" i="24"/>
  <c r="H642" i="24"/>
  <c r="D642" i="24"/>
  <c r="Q639" i="24"/>
  <c r="M639" i="24"/>
  <c r="M719" i="24" s="1"/>
  <c r="I639" i="24"/>
  <c r="I719" i="24" s="1"/>
  <c r="E639" i="24"/>
  <c r="E719" i="24" s="1"/>
  <c r="P638" i="24"/>
  <c r="P718" i="24" s="1"/>
  <c r="L638" i="24"/>
  <c r="L718" i="24" s="1"/>
  <c r="H638" i="24"/>
  <c r="H718" i="24" s="1"/>
  <c r="D638" i="24"/>
  <c r="D718" i="24" s="1"/>
  <c r="S635" i="24"/>
  <c r="O635" i="24"/>
  <c r="O715" i="24" s="1"/>
  <c r="K635" i="24"/>
  <c r="K715" i="24" s="1"/>
  <c r="G635" i="24"/>
  <c r="G715" i="24" s="1"/>
  <c r="C635" i="24"/>
  <c r="R634" i="24"/>
  <c r="R714" i="24" s="1"/>
  <c r="N634" i="24"/>
  <c r="N714" i="24" s="1"/>
  <c r="J634" i="24"/>
  <c r="J714" i="24" s="1"/>
  <c r="F634" i="24"/>
  <c r="F714" i="24" s="1"/>
  <c r="B634" i="24"/>
  <c r="B714" i="24" s="1"/>
  <c r="Q627" i="24"/>
  <c r="Q707" i="24" s="1"/>
  <c r="M627" i="24"/>
  <c r="M707" i="24" s="1"/>
  <c r="I627" i="24"/>
  <c r="I707" i="24" s="1"/>
  <c r="E627" i="24"/>
  <c r="E707" i="24" s="1"/>
  <c r="S623" i="24"/>
  <c r="O623" i="24"/>
  <c r="K623" i="24"/>
  <c r="G623" i="24"/>
  <c r="C623" i="24"/>
  <c r="R614" i="24"/>
  <c r="N614" i="24"/>
  <c r="N618" i="24" s="1"/>
  <c r="J614" i="24"/>
  <c r="F614" i="24"/>
  <c r="B614" i="24"/>
  <c r="P610" i="24"/>
  <c r="L610" i="24"/>
  <c r="H610" i="24"/>
  <c r="D610" i="24"/>
  <c r="R557" i="24"/>
  <c r="N557" i="24"/>
  <c r="J557" i="24"/>
  <c r="F557" i="24"/>
  <c r="B557" i="24"/>
  <c r="Q556" i="24"/>
  <c r="Q596" i="24" s="1"/>
  <c r="M556" i="24"/>
  <c r="M596" i="24" s="1"/>
  <c r="I556" i="24"/>
  <c r="I596" i="24" s="1"/>
  <c r="E556" i="24"/>
  <c r="E596" i="24" s="1"/>
  <c r="P553" i="24"/>
  <c r="L553" i="24"/>
  <c r="H553" i="24"/>
  <c r="D553" i="24"/>
  <c r="S552" i="24"/>
  <c r="S592" i="24" s="1"/>
  <c r="O552" i="24"/>
  <c r="O592" i="24" s="1"/>
  <c r="K552" i="24"/>
  <c r="K592" i="24" s="1"/>
  <c r="G552" i="24"/>
  <c r="G592" i="24" s="1"/>
  <c r="C552" i="24"/>
  <c r="C592" i="24" s="1"/>
  <c r="P541" i="24"/>
  <c r="L541" i="24"/>
  <c r="H541" i="24"/>
  <c r="H581" i="24" s="1"/>
  <c r="D541" i="24"/>
  <c r="Q528" i="24"/>
  <c r="M528" i="24"/>
  <c r="I528" i="24"/>
  <c r="I568" i="24" s="1"/>
  <c r="E528" i="24"/>
  <c r="P521" i="24"/>
  <c r="P601" i="24" s="1"/>
  <c r="L521" i="24"/>
  <c r="L601" i="24" s="1"/>
  <c r="H521" i="24"/>
  <c r="H601" i="24" s="1"/>
  <c r="D521" i="24"/>
  <c r="D601" i="24" s="1"/>
  <c r="S520" i="24"/>
  <c r="O520" i="24"/>
  <c r="K520" i="24"/>
  <c r="G520" i="24"/>
  <c r="C520" i="24"/>
  <c r="P517" i="24"/>
  <c r="P597" i="24" s="1"/>
  <c r="L517" i="24"/>
  <c r="L597" i="24" s="1"/>
  <c r="H517" i="24"/>
  <c r="H597" i="24" s="1"/>
  <c r="D517" i="24"/>
  <c r="D597" i="24" s="1"/>
  <c r="S516" i="24"/>
  <c r="S596" i="24" s="1"/>
  <c r="O516" i="24"/>
  <c r="O596" i="24" s="1"/>
  <c r="K516" i="24"/>
  <c r="K596" i="24" s="1"/>
  <c r="G516" i="24"/>
  <c r="G596" i="24" s="1"/>
  <c r="C516" i="24"/>
  <c r="C596" i="24" s="1"/>
  <c r="R513" i="24"/>
  <c r="N513" i="24"/>
  <c r="N593" i="24" s="1"/>
  <c r="J513" i="24"/>
  <c r="J593" i="24" s="1"/>
  <c r="F513" i="24"/>
  <c r="F593" i="24" s="1"/>
  <c r="B513" i="24"/>
  <c r="Q512" i="24"/>
  <c r="Q592" i="24" s="1"/>
  <c r="M512" i="24"/>
  <c r="M592" i="24" s="1"/>
  <c r="I512" i="24"/>
  <c r="I592" i="24" s="1"/>
  <c r="E512" i="24"/>
  <c r="E592" i="24" s="1"/>
  <c r="P505" i="24"/>
  <c r="P585" i="24" s="1"/>
  <c r="L505" i="24"/>
  <c r="L585" i="24" s="1"/>
  <c r="H505" i="24"/>
  <c r="H585" i="24" s="1"/>
  <c r="D505" i="24"/>
  <c r="D585" i="24" s="1"/>
  <c r="R501" i="24"/>
  <c r="N501" i="24"/>
  <c r="J501" i="24"/>
  <c r="F501" i="24"/>
  <c r="F514" i="24" s="1"/>
  <c r="F594" i="24" s="1"/>
  <c r="B501" i="24"/>
  <c r="Q492" i="24"/>
  <c r="Q493" i="24" s="1"/>
  <c r="M492" i="24"/>
  <c r="I492" i="24"/>
  <c r="I493" i="24" s="1"/>
  <c r="E492" i="24"/>
  <c r="E493" i="24" s="1"/>
  <c r="S488" i="24"/>
  <c r="O488" i="24"/>
  <c r="K488" i="24"/>
  <c r="G488" i="24"/>
  <c r="C488" i="24"/>
  <c r="S394" i="24"/>
  <c r="O394" i="24"/>
  <c r="K394" i="24"/>
  <c r="G394" i="24"/>
  <c r="C394" i="24"/>
  <c r="R393" i="24"/>
  <c r="N393" i="24"/>
  <c r="J393" i="24"/>
  <c r="F393" i="24"/>
  <c r="B393" i="24"/>
  <c r="Q390" i="24"/>
  <c r="M390" i="24"/>
  <c r="I390" i="24"/>
  <c r="E390" i="24"/>
  <c r="P389" i="24"/>
  <c r="L389" i="24"/>
  <c r="H389" i="24"/>
  <c r="D389" i="24"/>
  <c r="Q378" i="24"/>
  <c r="Q391" i="24" s="1"/>
  <c r="M378" i="24"/>
  <c r="I378" i="24"/>
  <c r="E378" i="24"/>
  <c r="E391" i="24" s="1"/>
  <c r="R365" i="24"/>
  <c r="N365" i="24"/>
  <c r="J365" i="24"/>
  <c r="F365" i="24"/>
  <c r="B365" i="24"/>
  <c r="S313" i="24"/>
  <c r="O313" i="24"/>
  <c r="K313" i="24"/>
  <c r="G313" i="24"/>
  <c r="C313" i="24"/>
  <c r="R312" i="24"/>
  <c r="R352" i="24" s="1"/>
  <c r="N312" i="24"/>
  <c r="N352" i="24" s="1"/>
  <c r="J312" i="24"/>
  <c r="J352" i="24" s="1"/>
  <c r="F312" i="24"/>
  <c r="F352" i="24" s="1"/>
  <c r="B312" i="24"/>
  <c r="B352" i="24" s="1"/>
  <c r="Q309" i="24"/>
  <c r="M309" i="24"/>
  <c r="I309" i="24"/>
  <c r="E309" i="24"/>
  <c r="P308" i="24"/>
  <c r="P348" i="24" s="1"/>
  <c r="L308" i="24"/>
  <c r="L348" i="24" s="1"/>
  <c r="H308" i="24"/>
  <c r="H348" i="24" s="1"/>
  <c r="D308" i="24"/>
  <c r="D348" i="24" s="1"/>
  <c r="Q297" i="24"/>
  <c r="Q310" i="24" s="1"/>
  <c r="M297" i="24"/>
  <c r="M337" i="24" s="1"/>
  <c r="I297" i="24"/>
  <c r="I310" i="24" s="1"/>
  <c r="E297" i="24"/>
  <c r="R284" i="24"/>
  <c r="R324" i="24" s="1"/>
  <c r="N284" i="24"/>
  <c r="N324" i="24" s="1"/>
  <c r="J284" i="24"/>
  <c r="J324" i="24" s="1"/>
  <c r="F284" i="24"/>
  <c r="B284" i="24"/>
  <c r="B324" i="24" s="1"/>
  <c r="Q277" i="24"/>
  <c r="M277" i="24"/>
  <c r="I277" i="24"/>
  <c r="E277" i="24"/>
  <c r="P276" i="24"/>
  <c r="L276" i="24"/>
  <c r="H276" i="24"/>
  <c r="D276" i="24"/>
  <c r="Q273" i="24"/>
  <c r="Q353" i="24" s="1"/>
  <c r="M273" i="24"/>
  <c r="M353" i="24" s="1"/>
  <c r="I273" i="24"/>
  <c r="I353" i="24" s="1"/>
  <c r="E273" i="24"/>
  <c r="P272" i="24"/>
  <c r="P352" i="24" s="1"/>
  <c r="L272" i="24"/>
  <c r="L352" i="24" s="1"/>
  <c r="H272" i="24"/>
  <c r="H352" i="24" s="1"/>
  <c r="D272" i="24"/>
  <c r="D352" i="24" s="1"/>
  <c r="S269" i="24"/>
  <c r="S349" i="24" s="1"/>
  <c r="O269" i="24"/>
  <c r="O349" i="24" s="1"/>
  <c r="K269" i="24"/>
  <c r="K349" i="24" s="1"/>
  <c r="G269" i="24"/>
  <c r="C269" i="24"/>
  <c r="C349" i="24" s="1"/>
  <c r="R268" i="24"/>
  <c r="R348" i="24" s="1"/>
  <c r="N268" i="24"/>
  <c r="N348" i="24" s="1"/>
  <c r="J268" i="24"/>
  <c r="J348" i="24" s="1"/>
  <c r="F268" i="24"/>
  <c r="F348" i="24" s="1"/>
  <c r="B268" i="24"/>
  <c r="B348" i="24" s="1"/>
  <c r="Q261" i="24"/>
  <c r="Q341" i="24" s="1"/>
  <c r="M261" i="24"/>
  <c r="M341" i="24" s="1"/>
  <c r="I261" i="24"/>
  <c r="I341" i="24" s="1"/>
  <c r="E261" i="24"/>
  <c r="E341" i="24" s="1"/>
  <c r="S257" i="24"/>
  <c r="O257" i="24"/>
  <c r="O270" i="24" s="1"/>
  <c r="O350" i="24" s="1"/>
  <c r="K257" i="24"/>
  <c r="G257" i="24"/>
  <c r="C257" i="24"/>
  <c r="R248" i="24"/>
  <c r="R249" i="24" s="1"/>
  <c r="N248" i="24"/>
  <c r="N252" i="24" s="1"/>
  <c r="J248" i="24"/>
  <c r="F248" i="24"/>
  <c r="B248" i="24"/>
  <c r="B249" i="24" s="1"/>
  <c r="P244" i="24"/>
  <c r="L244" i="24"/>
  <c r="H244" i="24"/>
  <c r="D244" i="24"/>
  <c r="P201" i="24"/>
  <c r="L201" i="24"/>
  <c r="H201" i="24"/>
  <c r="D201" i="24"/>
  <c r="S200" i="24"/>
  <c r="O200" i="24"/>
  <c r="K200" i="24"/>
  <c r="G200" i="24"/>
  <c r="C200" i="24"/>
  <c r="R191" i="24"/>
  <c r="N191" i="24"/>
  <c r="J191" i="24"/>
  <c r="F191" i="24"/>
  <c r="B191" i="24"/>
  <c r="Q190" i="24"/>
  <c r="Q230" i="24" s="1"/>
  <c r="M190" i="24"/>
  <c r="M230" i="24" s="1"/>
  <c r="I190" i="24"/>
  <c r="I230" i="24" s="1"/>
  <c r="E190" i="24"/>
  <c r="E230" i="24" s="1"/>
  <c r="P187" i="24"/>
  <c r="L187" i="24"/>
  <c r="H187" i="24"/>
  <c r="D187" i="24"/>
  <c r="S186" i="24"/>
  <c r="O186" i="24"/>
  <c r="K186" i="24"/>
  <c r="G186" i="24"/>
  <c r="C186" i="24"/>
  <c r="P175" i="24"/>
  <c r="L175" i="24"/>
  <c r="H175" i="24"/>
  <c r="H188" i="24" s="1"/>
  <c r="D175" i="24"/>
  <c r="D188" i="24" s="1"/>
  <c r="Q162" i="24"/>
  <c r="M162" i="24"/>
  <c r="I162" i="24"/>
  <c r="I202" i="24" s="1"/>
  <c r="E162" i="24"/>
  <c r="P151" i="24"/>
  <c r="P231" i="24" s="1"/>
  <c r="L151" i="24"/>
  <c r="L231" i="24" s="1"/>
  <c r="H151" i="24"/>
  <c r="H231" i="24" s="1"/>
  <c r="D151" i="24"/>
  <c r="D231" i="24" s="1"/>
  <c r="S150" i="24"/>
  <c r="S230" i="24" s="1"/>
  <c r="O150" i="24"/>
  <c r="O230" i="24" s="1"/>
  <c r="K150" i="24"/>
  <c r="K230" i="24" s="1"/>
  <c r="G150" i="24"/>
  <c r="G230" i="24" s="1"/>
  <c r="C150" i="24"/>
  <c r="C230" i="24" s="1"/>
  <c r="R147" i="24"/>
  <c r="R227" i="24" s="1"/>
  <c r="N147" i="24"/>
  <c r="N227" i="24" s="1"/>
  <c r="J147" i="24"/>
  <c r="J227" i="24" s="1"/>
  <c r="F147" i="24"/>
  <c r="F227" i="24" s="1"/>
  <c r="B147" i="24"/>
  <c r="B227" i="24" s="1"/>
  <c r="Q146" i="24"/>
  <c r="Q226" i="24" s="1"/>
  <c r="M146" i="24"/>
  <c r="M226" i="24" s="1"/>
  <c r="I146" i="24"/>
  <c r="I226" i="24" s="1"/>
  <c r="E146" i="24"/>
  <c r="E226" i="24" s="1"/>
  <c r="R135" i="24"/>
  <c r="N135" i="24"/>
  <c r="J135" i="24"/>
  <c r="F135" i="24"/>
  <c r="B135" i="24"/>
  <c r="I130" i="24"/>
  <c r="H129" i="24"/>
  <c r="S128" i="24"/>
  <c r="O128" i="24"/>
  <c r="K128" i="24"/>
  <c r="G128" i="24"/>
  <c r="C128" i="24"/>
  <c r="N127" i="24"/>
  <c r="B112" i="24"/>
  <c r="D112" i="24" s="1"/>
  <c r="D91" i="24"/>
  <c r="C90" i="24"/>
  <c r="B79" i="24"/>
  <c r="B92" i="24" s="1"/>
  <c r="C71" i="24"/>
  <c r="C58" i="24"/>
  <c r="C11" i="24"/>
  <c r="U67" i="2"/>
  <c r="U87" i="2"/>
  <c r="U137" i="2"/>
  <c r="U152" i="2"/>
  <c r="U183" i="2"/>
  <c r="U211" i="2"/>
  <c r="U318" i="2"/>
  <c r="U229" i="2"/>
  <c r="U275" i="2"/>
  <c r="U338" i="2"/>
  <c r="U359" i="2"/>
  <c r="U365" i="2"/>
  <c r="U196" i="2"/>
  <c r="V429" i="2"/>
  <c r="U243" i="2"/>
  <c r="U285" i="2"/>
  <c r="U394" i="2"/>
  <c r="V409" i="2"/>
  <c r="U438" i="2"/>
  <c r="W5" i="4"/>
  <c r="W32" i="4"/>
  <c r="U303" i="2"/>
  <c r="V420" i="2"/>
  <c r="V6" i="6"/>
  <c r="V30" i="7"/>
  <c r="V5" i="3"/>
  <c r="V5" i="5"/>
  <c r="V32" i="5"/>
  <c r="V7" i="7"/>
  <c r="V45" i="7"/>
  <c r="V143" i="7"/>
  <c r="V176" i="7"/>
  <c r="V293" i="7"/>
  <c r="V327" i="7"/>
  <c r="V45" i="8"/>
  <c r="V30" i="8"/>
  <c r="V7" i="8"/>
  <c r="V143" i="8"/>
  <c r="V176" i="8"/>
  <c r="V517" i="8"/>
  <c r="Q160" i="9"/>
  <c r="Q10" i="9"/>
  <c r="Q209" i="9"/>
  <c r="Q45" i="9"/>
  <c r="R294" i="9"/>
  <c r="R379" i="9"/>
  <c r="V7" i="10"/>
  <c r="V267" i="10"/>
  <c r="U15" i="10"/>
  <c r="V180" i="10"/>
  <c r="V9" i="11"/>
  <c r="V21" i="10"/>
  <c r="V39" i="10"/>
  <c r="V72" i="10"/>
  <c r="V105" i="10"/>
  <c r="U29" i="10"/>
  <c r="V215" i="11"/>
  <c r="V316" i="11"/>
  <c r="V348" i="11"/>
  <c r="V7" i="12"/>
  <c r="V404" i="11"/>
  <c r="V476" i="11"/>
  <c r="V67" i="12"/>
  <c r="V99" i="12"/>
  <c r="V172" i="12"/>
  <c r="V77" i="13"/>
  <c r="V184" i="13"/>
  <c r="V6" i="14"/>
  <c r="W57" i="16"/>
  <c r="W5" i="18"/>
  <c r="Q45" i="22"/>
  <c r="V6" i="13"/>
  <c r="V7" i="15"/>
  <c r="W7" i="16"/>
  <c r="W29" i="16"/>
  <c r="W77" i="16"/>
  <c r="W25" i="17"/>
  <c r="V16" i="19"/>
  <c r="R4" i="22"/>
  <c r="V46" i="13"/>
  <c r="V67" i="13"/>
  <c r="V95" i="13"/>
  <c r="V206" i="13"/>
  <c r="V21" i="15"/>
  <c r="W7" i="17"/>
  <c r="Q5" i="21"/>
  <c r="V15" i="13"/>
  <c r="V189" i="13"/>
  <c r="V20" i="14"/>
  <c r="V64" i="14"/>
  <c r="W19" i="16"/>
  <c r="V5" i="19"/>
  <c r="R98" i="22"/>
  <c r="R139" i="22"/>
  <c r="R262" i="22"/>
  <c r="R303" i="22"/>
  <c r="Q386" i="22"/>
  <c r="Q427" i="22"/>
  <c r="Q722" i="22"/>
  <c r="Q727" i="22"/>
  <c r="Q893" i="22"/>
  <c r="Q951" i="22"/>
  <c r="Q958" i="22"/>
  <c r="Q963" i="22"/>
  <c r="Q970" i="22"/>
  <c r="Q975" i="22"/>
  <c r="Q982" i="22"/>
  <c r="Q987" i="22"/>
  <c r="Q994" i="22"/>
  <c r="Q999" i="22"/>
  <c r="Q1006" i="22"/>
  <c r="Q1011" i="22"/>
  <c r="Q1018" i="22"/>
  <c r="Q1023" i="22"/>
  <c r="Q1030" i="22"/>
  <c r="Q1035" i="22"/>
  <c r="Q1042" i="22"/>
  <c r="Q1047" i="22"/>
  <c r="Q1054" i="22"/>
  <c r="R1056" i="22"/>
  <c r="R1066" i="22"/>
  <c r="R1068" i="22"/>
  <c r="R1078" i="22"/>
  <c r="Q1083" i="22"/>
  <c r="Q1090" i="22"/>
  <c r="Q1095" i="22"/>
  <c r="Q1102" i="22"/>
  <c r="Q1107" i="22"/>
  <c r="Q1114" i="22"/>
  <c r="Q1119" i="22"/>
  <c r="Q1126" i="22"/>
  <c r="Q1131" i="22"/>
  <c r="Q1138" i="22"/>
  <c r="Q1143" i="22"/>
  <c r="Q1150" i="22"/>
  <c r="Q1155" i="22"/>
  <c r="Q1162" i="22"/>
  <c r="Q1167" i="22"/>
  <c r="Q1174" i="22"/>
  <c r="Q1179" i="22"/>
  <c r="R11" i="24"/>
  <c r="Q372" i="22"/>
  <c r="Q730" i="22"/>
  <c r="Q771" i="22"/>
  <c r="R180" i="22"/>
  <c r="R221" i="22"/>
  <c r="Q358" i="22"/>
  <c r="Q713" i="22"/>
  <c r="R719" i="22"/>
  <c r="Q344" i="22"/>
  <c r="R672" i="22"/>
  <c r="Q907" i="22"/>
  <c r="T67" i="2"/>
  <c r="T87" i="2"/>
  <c r="T137" i="2"/>
  <c r="T152" i="2"/>
  <c r="T183" i="2"/>
  <c r="T211" i="2"/>
  <c r="T229" i="2"/>
  <c r="T303" i="2"/>
  <c r="T196" i="2"/>
  <c r="T243" i="2"/>
  <c r="T275" i="2"/>
  <c r="T285" i="2"/>
  <c r="T318" i="2"/>
  <c r="T394" i="2"/>
  <c r="U409" i="2"/>
  <c r="T365" i="2"/>
  <c r="U420" i="2"/>
  <c r="U429" i="2"/>
  <c r="T5" i="5"/>
  <c r="T5" i="3"/>
  <c r="T32" i="5"/>
  <c r="T7" i="7"/>
  <c r="T359" i="2"/>
  <c r="T438" i="2"/>
  <c r="T6" i="6"/>
  <c r="T45" i="7"/>
  <c r="T338" i="2"/>
  <c r="T176" i="7"/>
  <c r="U5" i="4"/>
  <c r="T30" i="7"/>
  <c r="T143" i="7"/>
  <c r="U32" i="4"/>
  <c r="T327" i="7"/>
  <c r="T293" i="7"/>
  <c r="T7" i="8"/>
  <c r="T45" i="8"/>
  <c r="T30" i="8"/>
  <c r="T176" i="8"/>
  <c r="T143" i="8"/>
  <c r="T517" i="8"/>
  <c r="P160" i="9"/>
  <c r="P10" i="9"/>
  <c r="P209" i="9"/>
  <c r="P45" i="9"/>
  <c r="Q294" i="9"/>
  <c r="Q379" i="9"/>
  <c r="T21" i="10"/>
  <c r="T39" i="10"/>
  <c r="T72" i="10"/>
  <c r="T105" i="10"/>
  <c r="S29" i="10"/>
  <c r="T7" i="10"/>
  <c r="T267" i="10"/>
  <c r="S15" i="10"/>
  <c r="T180" i="10"/>
  <c r="T9" i="11"/>
  <c r="T404" i="11"/>
  <c r="T476" i="11"/>
  <c r="T67" i="12"/>
  <c r="T99" i="12"/>
  <c r="T215" i="11"/>
  <c r="T316" i="11"/>
  <c r="T348" i="11"/>
  <c r="T7" i="12"/>
  <c r="T46" i="13"/>
  <c r="T67" i="13"/>
  <c r="T95" i="13"/>
  <c r="T206" i="13"/>
  <c r="T21" i="15"/>
  <c r="U7" i="17"/>
  <c r="Q4" i="22"/>
  <c r="T15" i="13"/>
  <c r="T189" i="13"/>
  <c r="T20" i="14"/>
  <c r="T64" i="14"/>
  <c r="U19" i="16"/>
  <c r="T5" i="19"/>
  <c r="P5" i="21"/>
  <c r="T172" i="12"/>
  <c r="T77" i="13"/>
  <c r="T184" i="13"/>
  <c r="T6" i="14"/>
  <c r="U57" i="16"/>
  <c r="U5" i="18"/>
  <c r="T6" i="13"/>
  <c r="T7" i="15"/>
  <c r="U7" i="16"/>
  <c r="U29" i="16"/>
  <c r="U77" i="16"/>
  <c r="U25" i="17"/>
  <c r="T16" i="19"/>
  <c r="P45" i="22"/>
  <c r="P372" i="22"/>
  <c r="P730" i="22"/>
  <c r="P771" i="22"/>
  <c r="P954" i="22"/>
  <c r="P966" i="22"/>
  <c r="P978" i="22"/>
  <c r="P990" i="22"/>
  <c r="P1002" i="22"/>
  <c r="P1014" i="22"/>
  <c r="P1026" i="22"/>
  <c r="P1038" i="22"/>
  <c r="P1050" i="22"/>
  <c r="Q1065" i="22"/>
  <c r="Q1077" i="22"/>
  <c r="P1086" i="22"/>
  <c r="P1098" i="22"/>
  <c r="P1110" i="22"/>
  <c r="P1122" i="22"/>
  <c r="P1134" i="22"/>
  <c r="P1146" i="22"/>
  <c r="P1158" i="22"/>
  <c r="P1170" i="22"/>
  <c r="Q8" i="24"/>
  <c r="Q180" i="22"/>
  <c r="Q221" i="22"/>
  <c r="P358" i="22"/>
  <c r="P713" i="22"/>
  <c r="Q719" i="22"/>
  <c r="Q98" i="22"/>
  <c r="P344" i="22"/>
  <c r="Q672" i="22"/>
  <c r="Q139" i="22"/>
  <c r="Q262" i="22"/>
  <c r="Q303" i="22"/>
  <c r="P386" i="22"/>
  <c r="P427" i="22"/>
  <c r="P722" i="22"/>
  <c r="P727" i="22"/>
  <c r="P893" i="22"/>
  <c r="S87" i="2"/>
  <c r="S67" i="2"/>
  <c r="S137" i="2"/>
  <c r="S152" i="2"/>
  <c r="S183" i="2"/>
  <c r="S229" i="2"/>
  <c r="S196" i="2"/>
  <c r="S243" i="2"/>
  <c r="S275" i="2"/>
  <c r="S285" i="2"/>
  <c r="S211" i="2"/>
  <c r="S318" i="2"/>
  <c r="T409" i="2"/>
  <c r="T420" i="2"/>
  <c r="S303" i="2"/>
  <c r="S338" i="2"/>
  <c r="S359" i="2"/>
  <c r="S365" i="2"/>
  <c r="T429" i="2"/>
  <c r="S5" i="3"/>
  <c r="S438" i="2"/>
  <c r="T5" i="4"/>
  <c r="T32" i="4"/>
  <c r="S394" i="2"/>
  <c r="S5" i="5"/>
  <c r="S6" i="6"/>
  <c r="S45" i="7"/>
  <c r="S30" i="7"/>
  <c r="S7" i="7"/>
  <c r="S176" i="7"/>
  <c r="S32" i="5"/>
  <c r="S143" i="7"/>
  <c r="S293" i="7"/>
  <c r="S327" i="7"/>
  <c r="S45" i="8"/>
  <c r="S176" i="8"/>
  <c r="S30" i="8"/>
  <c r="S7" i="8"/>
  <c r="S143" i="8"/>
  <c r="S517" i="8"/>
  <c r="O10" i="9"/>
  <c r="O209" i="9"/>
  <c r="O45" i="9"/>
  <c r="P294" i="9"/>
  <c r="O160" i="9"/>
  <c r="P379" i="9"/>
  <c r="R29" i="10"/>
  <c r="S7" i="10"/>
  <c r="S267" i="10"/>
  <c r="R15" i="10"/>
  <c r="S180" i="10"/>
  <c r="S21" i="10"/>
  <c r="S39" i="10"/>
  <c r="S72" i="10"/>
  <c r="S105" i="10"/>
  <c r="S404" i="11"/>
  <c r="S476" i="11"/>
  <c r="S67" i="12"/>
  <c r="S99" i="12"/>
  <c r="S172" i="12"/>
  <c r="S9" i="11"/>
  <c r="S215" i="11"/>
  <c r="S316" i="11"/>
  <c r="S348" i="11"/>
  <c r="S7" i="12"/>
  <c r="S15" i="13"/>
  <c r="S189" i="13"/>
  <c r="S20" i="14"/>
  <c r="S64" i="14"/>
  <c r="T19" i="16"/>
  <c r="S5" i="19"/>
  <c r="O5" i="21"/>
  <c r="S77" i="13"/>
  <c r="S184" i="13"/>
  <c r="S6" i="14"/>
  <c r="T57" i="16"/>
  <c r="T5" i="18"/>
  <c r="P98" i="22"/>
  <c r="S6" i="13"/>
  <c r="S7" i="15"/>
  <c r="T7" i="16"/>
  <c r="T29" i="16"/>
  <c r="T77" i="16"/>
  <c r="T25" i="17"/>
  <c r="S16" i="19"/>
  <c r="S46" i="13"/>
  <c r="S67" i="13"/>
  <c r="S95" i="13"/>
  <c r="S206" i="13"/>
  <c r="S21" i="15"/>
  <c r="T7" i="17"/>
  <c r="P4" i="22"/>
  <c r="O45" i="22"/>
  <c r="P180" i="22"/>
  <c r="P221" i="22"/>
  <c r="O358" i="22"/>
  <c r="O713" i="22"/>
  <c r="P719" i="22"/>
  <c r="O952" i="22"/>
  <c r="O957" i="22"/>
  <c r="O964" i="22"/>
  <c r="O969" i="22"/>
  <c r="O976" i="22"/>
  <c r="O981" i="22"/>
  <c r="O988" i="22"/>
  <c r="O993" i="22"/>
  <c r="O1000" i="22"/>
  <c r="O1005" i="22"/>
  <c r="O1012" i="22"/>
  <c r="O1017" i="22"/>
  <c r="O1024" i="22"/>
  <c r="O1029" i="22"/>
  <c r="O1036" i="22"/>
  <c r="O1041" i="22"/>
  <c r="O1048" i="22"/>
  <c r="O1053" i="22"/>
  <c r="P1060" i="22"/>
  <c r="P1062" i="22"/>
  <c r="P1072" i="22"/>
  <c r="P1074" i="22"/>
  <c r="O1084" i="22"/>
  <c r="O1089" i="22"/>
  <c r="O1096" i="22"/>
  <c r="O1101" i="22"/>
  <c r="O1108" i="22"/>
  <c r="O1113" i="22"/>
  <c r="O1120" i="22"/>
  <c r="O1125" i="22"/>
  <c r="O1132" i="22"/>
  <c r="O1137" i="22"/>
  <c r="O1144" i="22"/>
  <c r="O1149" i="22"/>
  <c r="O1156" i="22"/>
  <c r="O1161" i="22"/>
  <c r="O1168" i="22"/>
  <c r="O1173" i="22"/>
  <c r="O1180" i="22"/>
  <c r="O116" i="24"/>
  <c r="O344" i="22"/>
  <c r="P672" i="22"/>
  <c r="O907" i="22"/>
  <c r="P139" i="22"/>
  <c r="P262" i="22"/>
  <c r="P303" i="22"/>
  <c r="O386" i="22"/>
  <c r="O427" i="22"/>
  <c r="O722" i="22"/>
  <c r="O727" i="22"/>
  <c r="O372" i="22"/>
  <c r="O730" i="22"/>
  <c r="O771" i="22"/>
  <c r="N955" i="22"/>
  <c r="N967" i="22"/>
  <c r="N979" i="22"/>
  <c r="N991" i="22"/>
  <c r="N1003" i="22"/>
  <c r="N1015" i="22"/>
  <c r="N1027" i="22"/>
  <c r="N1039" i="22"/>
  <c r="N1051" i="22"/>
  <c r="O1057" i="22"/>
  <c r="O1069" i="22"/>
  <c r="N1087" i="22"/>
  <c r="N1099" i="22"/>
  <c r="N1111" i="22"/>
  <c r="N1123" i="22"/>
  <c r="N1135" i="22"/>
  <c r="N1147" i="22"/>
  <c r="N1159" i="22"/>
  <c r="N1171" i="22"/>
  <c r="F51" i="23"/>
  <c r="G44" i="23"/>
  <c r="G23" i="23"/>
  <c r="Q1180" i="22"/>
  <c r="N1179" i="22"/>
  <c r="H1179" i="22"/>
  <c r="R1177" i="22"/>
  <c r="M1177" i="22"/>
  <c r="G1177" i="22"/>
  <c r="B1177" i="22"/>
  <c r="O1176" i="22"/>
  <c r="R1174" i="22"/>
  <c r="G1174" i="22"/>
  <c r="B1174" i="22"/>
  <c r="N1173" i="22"/>
  <c r="L1171" i="22"/>
  <c r="G1171" i="22"/>
  <c r="N1170" i="22"/>
  <c r="Q1168" i="22"/>
  <c r="N1167" i="22"/>
  <c r="H1167" i="22"/>
  <c r="R1165" i="22"/>
  <c r="M1165" i="22"/>
  <c r="G1165" i="22"/>
  <c r="B1165" i="22"/>
  <c r="O1164" i="22"/>
  <c r="R1162" i="22"/>
  <c r="G1162" i="22"/>
  <c r="B1162" i="22"/>
  <c r="N1161" i="22"/>
  <c r="L1159" i="22"/>
  <c r="G1159" i="22"/>
  <c r="N1158" i="22"/>
  <c r="Q1156" i="22"/>
  <c r="N1155" i="22"/>
  <c r="H1155" i="22"/>
  <c r="R1153" i="22"/>
  <c r="M1153" i="22"/>
  <c r="G1153" i="22"/>
  <c r="B1153" i="22"/>
  <c r="O1152" i="22"/>
  <c r="R1150" i="22"/>
  <c r="G1150" i="22"/>
  <c r="B1150" i="22"/>
  <c r="N1149" i="22"/>
  <c r="L1147" i="22"/>
  <c r="G1147" i="22"/>
  <c r="N1146" i="22"/>
  <c r="Q1144" i="22"/>
  <c r="N1143" i="22"/>
  <c r="H1143" i="22"/>
  <c r="R1141" i="22"/>
  <c r="M1141" i="22"/>
  <c r="G1141" i="22"/>
  <c r="B1141" i="22"/>
  <c r="O1140" i="22"/>
  <c r="R1138" i="22"/>
  <c r="G1138" i="22"/>
  <c r="B1138" i="22"/>
  <c r="N1137" i="22"/>
  <c r="L1135" i="22"/>
  <c r="G1135" i="22"/>
  <c r="N1134" i="22"/>
  <c r="Q1132" i="22"/>
  <c r="N1131" i="22"/>
  <c r="H1131" i="22"/>
  <c r="R1129" i="22"/>
  <c r="M1129" i="22"/>
  <c r="G1129" i="22"/>
  <c r="B1129" i="22"/>
  <c r="O1128" i="22"/>
  <c r="R1126" i="22"/>
  <c r="G1126" i="22"/>
  <c r="B1126" i="22"/>
  <c r="N1125" i="22"/>
  <c r="L1123" i="22"/>
  <c r="G1123" i="22"/>
  <c r="N1122" i="22"/>
  <c r="Q1120" i="22"/>
  <c r="N1119" i="22"/>
  <c r="H1119" i="22"/>
  <c r="R1117" i="22"/>
  <c r="M1117" i="22"/>
  <c r="G1117" i="22"/>
  <c r="B1117" i="22"/>
  <c r="O1116" i="22"/>
  <c r="R1114" i="22"/>
  <c r="G1114" i="22"/>
  <c r="B1114" i="22"/>
  <c r="N1113" i="22"/>
  <c r="L1111" i="22"/>
  <c r="G1111" i="22"/>
  <c r="N1110" i="22"/>
  <c r="Q1108" i="22"/>
  <c r="N1107" i="22"/>
  <c r="H1107" i="22"/>
  <c r="R1105" i="22"/>
  <c r="M1105" i="22"/>
  <c r="G1105" i="22"/>
  <c r="B1105" i="22"/>
  <c r="O1104" i="22"/>
  <c r="R1102" i="22"/>
  <c r="G1102" i="22"/>
  <c r="B1102" i="22"/>
  <c r="N1101" i="22"/>
  <c r="L1099" i="22"/>
  <c r="G1099" i="22"/>
  <c r="N1098" i="22"/>
  <c r="Q1096" i="22"/>
  <c r="N1095" i="22"/>
  <c r="H1095" i="22"/>
  <c r="R1093" i="22"/>
  <c r="M1093" i="22"/>
  <c r="G1093" i="22"/>
  <c r="B1093" i="22"/>
  <c r="O1092" i="22"/>
  <c r="R1090" i="22"/>
  <c r="G1090" i="22"/>
  <c r="B1090" i="22"/>
  <c r="N1089" i="22"/>
  <c r="L1087" i="22"/>
  <c r="G1087" i="22"/>
  <c r="N1086" i="22"/>
  <c r="Q1084" i="22"/>
  <c r="N1083" i="22"/>
  <c r="H1083" i="22"/>
  <c r="R1081" i="22"/>
  <c r="M1081" i="22"/>
  <c r="G1081" i="22"/>
  <c r="B1081" i="22"/>
  <c r="O1080" i="22"/>
  <c r="S1078" i="22"/>
  <c r="H1078" i="22"/>
  <c r="C1078" i="22"/>
  <c r="P1077" i="22"/>
  <c r="F1075" i="22"/>
  <c r="S1074" i="22"/>
  <c r="I1074" i="22"/>
  <c r="C1074" i="22"/>
  <c r="R1072" i="22"/>
  <c r="B1072" i="22"/>
  <c r="P1071" i="22"/>
  <c r="N1069" i="22"/>
  <c r="Q1068" i="22"/>
  <c r="P1066" i="22"/>
  <c r="S1065" i="22"/>
  <c r="H1065" i="22"/>
  <c r="C1065" i="22"/>
  <c r="S1063" i="22"/>
  <c r="N1063" i="22"/>
  <c r="H1063" i="22"/>
  <c r="C1063" i="22"/>
  <c r="Q1062" i="22"/>
  <c r="O1060" i="22"/>
  <c r="R1059" i="22"/>
  <c r="H1059" i="22"/>
  <c r="B1059" i="22"/>
  <c r="L1057" i="22"/>
  <c r="F1057" i="22"/>
  <c r="O1056" i="22"/>
  <c r="I1056" i="22"/>
  <c r="R1054" i="22"/>
  <c r="G1054" i="22"/>
  <c r="B1054" i="22"/>
  <c r="N1053" i="22"/>
  <c r="L1051" i="22"/>
  <c r="G1051" i="22"/>
  <c r="N1050" i="22"/>
  <c r="Q1048" i="22"/>
  <c r="N1047" i="22"/>
  <c r="H1047" i="22"/>
  <c r="R1045" i="22"/>
  <c r="M1045" i="22"/>
  <c r="G1045" i="22"/>
  <c r="B1045" i="22"/>
  <c r="O1044" i="22"/>
  <c r="R1042" i="22"/>
  <c r="G1042" i="22"/>
  <c r="B1042" i="22"/>
  <c r="N1041" i="22"/>
  <c r="L1039" i="22"/>
  <c r="G1039" i="22"/>
  <c r="N1038" i="22"/>
  <c r="Q1036" i="22"/>
  <c r="N1035" i="22"/>
  <c r="H1035" i="22"/>
  <c r="R1033" i="22"/>
  <c r="M1033" i="22"/>
  <c r="G1033" i="22"/>
  <c r="B1033" i="22"/>
  <c r="O1032" i="22"/>
  <c r="R1030" i="22"/>
  <c r="G1030" i="22"/>
  <c r="B1030" i="22"/>
  <c r="N1029" i="22"/>
  <c r="L1027" i="22"/>
  <c r="G1027" i="22"/>
  <c r="N1026" i="22"/>
  <c r="Q1024" i="22"/>
  <c r="N1023" i="22"/>
  <c r="H1023" i="22"/>
  <c r="R1021" i="22"/>
  <c r="M1021" i="22"/>
  <c r="G1021" i="22"/>
  <c r="B1021" i="22"/>
  <c r="O1020" i="22"/>
  <c r="R1018" i="22"/>
  <c r="G1018" i="22"/>
  <c r="B1018" i="22"/>
  <c r="N1017" i="22"/>
  <c r="L1015" i="22"/>
  <c r="G1015" i="22"/>
  <c r="N1014" i="22"/>
  <c r="Q1012" i="22"/>
  <c r="N1011" i="22"/>
  <c r="H1011" i="22"/>
  <c r="R1009" i="22"/>
  <c r="M1009" i="22"/>
  <c r="G1009" i="22"/>
  <c r="B1009" i="22"/>
  <c r="O1008" i="22"/>
  <c r="R1006" i="22"/>
  <c r="G1006" i="22"/>
  <c r="B1006" i="22"/>
  <c r="N1005" i="22"/>
  <c r="L1003" i="22"/>
  <c r="G1003" i="22"/>
  <c r="N1002" i="22"/>
  <c r="Q1000" i="22"/>
  <c r="N999" i="22"/>
  <c r="H999" i="22"/>
  <c r="R997" i="22"/>
  <c r="M997" i="22"/>
  <c r="G997" i="22"/>
  <c r="B997" i="22"/>
  <c r="O996" i="22"/>
  <c r="R994" i="22"/>
  <c r="G994" i="22"/>
  <c r="B994" i="22"/>
  <c r="N993" i="22"/>
  <c r="L991" i="22"/>
  <c r="G991" i="22"/>
  <c r="N990" i="22"/>
  <c r="Q988" i="22"/>
  <c r="N987" i="22"/>
  <c r="H987" i="22"/>
  <c r="R985" i="22"/>
  <c r="M985" i="22"/>
  <c r="G985" i="22"/>
  <c r="B985" i="22"/>
  <c r="O984" i="22"/>
  <c r="R982" i="22"/>
  <c r="G982" i="22"/>
  <c r="B982" i="22"/>
  <c r="N981" i="22"/>
  <c r="L979" i="22"/>
  <c r="G979" i="22"/>
  <c r="N978" i="22"/>
  <c r="Q976" i="22"/>
  <c r="N975" i="22"/>
  <c r="H975" i="22"/>
  <c r="R973" i="22"/>
  <c r="M973" i="22"/>
  <c r="G973" i="22"/>
  <c r="B973" i="22"/>
  <c r="O972" i="22"/>
  <c r="R970" i="22"/>
  <c r="G970" i="22"/>
  <c r="B970" i="22"/>
  <c r="N969" i="22"/>
  <c r="L967" i="22"/>
  <c r="G967" i="22"/>
  <c r="N966" i="22"/>
  <c r="Q964" i="22"/>
  <c r="N963" i="22"/>
  <c r="H963" i="22"/>
  <c r="R961" i="22"/>
  <c r="M961" i="22"/>
  <c r="G961" i="22"/>
  <c r="B961" i="22"/>
  <c r="O960" i="22"/>
  <c r="R958" i="22"/>
  <c r="G958" i="22"/>
  <c r="B958" i="22"/>
  <c r="N957" i="22"/>
  <c r="L955" i="22"/>
  <c r="G955" i="22"/>
  <c r="N954" i="22"/>
  <c r="Q952" i="22"/>
  <c r="N951" i="22"/>
  <c r="H951" i="22"/>
  <c r="R949" i="22"/>
  <c r="M949" i="22"/>
  <c r="G949" i="22"/>
  <c r="B949" i="22"/>
  <c r="O948" i="22"/>
  <c r="H907" i="22"/>
  <c r="B699" i="22"/>
  <c r="C339" i="22"/>
  <c r="C342" i="22"/>
  <c r="C330" i="22"/>
  <c r="B297" i="22"/>
  <c r="B272" i="22"/>
  <c r="B275" i="22"/>
  <c r="B11" i="19"/>
  <c r="X6" i="19" s="1"/>
  <c r="Y14" i="5"/>
  <c r="I14" i="5"/>
  <c r="C1438" i="24"/>
  <c r="S1057" i="24"/>
  <c r="O1057" i="24"/>
  <c r="K1057" i="24"/>
  <c r="G1057" i="24"/>
  <c r="C1057" i="24"/>
  <c r="R1028" i="24"/>
  <c r="N1028" i="24"/>
  <c r="J1028" i="24"/>
  <c r="F1028" i="24"/>
  <c r="B1028" i="24"/>
  <c r="Q1009" i="24"/>
  <c r="M1009" i="24"/>
  <c r="I1009" i="24"/>
  <c r="E1009" i="24"/>
  <c r="P995" i="24"/>
  <c r="L995" i="24"/>
  <c r="H995" i="24"/>
  <c r="D995" i="24"/>
  <c r="R964" i="24"/>
  <c r="N964" i="24"/>
  <c r="J964" i="24"/>
  <c r="F964" i="24"/>
  <c r="B964" i="24"/>
  <c r="R962" i="24"/>
  <c r="N962" i="24"/>
  <c r="J962" i="24"/>
  <c r="F962" i="24"/>
  <c r="B962" i="24"/>
  <c r="Q961" i="24"/>
  <c r="M961" i="24"/>
  <c r="I961" i="24"/>
  <c r="E961" i="24"/>
  <c r="P960" i="24"/>
  <c r="L960" i="24"/>
  <c r="H960" i="24"/>
  <c r="D960" i="24"/>
  <c r="S951" i="24"/>
  <c r="O951" i="24"/>
  <c r="K951" i="24"/>
  <c r="G951" i="24"/>
  <c r="C951" i="24"/>
  <c r="S949" i="24"/>
  <c r="O949" i="24"/>
  <c r="K949" i="24"/>
  <c r="G949" i="24"/>
  <c r="C949" i="24"/>
  <c r="R948" i="24"/>
  <c r="N948" i="24"/>
  <c r="J948" i="24"/>
  <c r="F948" i="24"/>
  <c r="B948" i="24"/>
  <c r="Q947" i="24"/>
  <c r="M947" i="24"/>
  <c r="I947" i="24"/>
  <c r="E947" i="24"/>
  <c r="R928" i="24"/>
  <c r="R941" i="24" s="1"/>
  <c r="N928" i="24"/>
  <c r="N941" i="24" s="1"/>
  <c r="J928" i="24"/>
  <c r="J941" i="24" s="1"/>
  <c r="F928" i="24"/>
  <c r="F941" i="24" s="1"/>
  <c r="B928" i="24"/>
  <c r="B941" i="24" s="1"/>
  <c r="S915" i="24"/>
  <c r="S941" i="24" s="1"/>
  <c r="O915" i="24"/>
  <c r="O941" i="24" s="1"/>
  <c r="K915" i="24"/>
  <c r="K941" i="24" s="1"/>
  <c r="G915" i="24"/>
  <c r="G941" i="24" s="1"/>
  <c r="C915" i="24"/>
  <c r="C941" i="24" s="1"/>
  <c r="P888" i="24"/>
  <c r="L888" i="24"/>
  <c r="H888" i="24"/>
  <c r="D888" i="24"/>
  <c r="Q875" i="24"/>
  <c r="M875" i="24"/>
  <c r="I875" i="24"/>
  <c r="E875" i="24"/>
  <c r="Q846" i="24"/>
  <c r="Q859" i="24" s="1"/>
  <c r="M846" i="24"/>
  <c r="M859" i="24" s="1"/>
  <c r="I846" i="24"/>
  <c r="I859" i="24" s="1"/>
  <c r="E846" i="24"/>
  <c r="E859" i="24" s="1"/>
  <c r="R833" i="24"/>
  <c r="R859" i="24" s="1"/>
  <c r="N833" i="24"/>
  <c r="N859" i="24" s="1"/>
  <c r="J833" i="24"/>
  <c r="J859" i="24" s="1"/>
  <c r="F833" i="24"/>
  <c r="F859" i="24" s="1"/>
  <c r="B833" i="24"/>
  <c r="B859" i="24" s="1"/>
  <c r="P705" i="24"/>
  <c r="L705" i="24"/>
  <c r="H705" i="24"/>
  <c r="D705" i="24"/>
  <c r="S702" i="24"/>
  <c r="O702" i="24"/>
  <c r="K702" i="24"/>
  <c r="G702" i="24"/>
  <c r="C702" i="24"/>
  <c r="R701" i="24"/>
  <c r="N701" i="24"/>
  <c r="J701" i="24"/>
  <c r="F701" i="24"/>
  <c r="B701" i="24"/>
  <c r="Q692" i="24"/>
  <c r="M692" i="24"/>
  <c r="I692" i="24"/>
  <c r="E692" i="24"/>
  <c r="P689" i="24"/>
  <c r="L689" i="24"/>
  <c r="H689" i="24"/>
  <c r="D689" i="24"/>
  <c r="S688" i="24"/>
  <c r="O688" i="24"/>
  <c r="K688" i="24"/>
  <c r="G688" i="24"/>
  <c r="C688" i="24"/>
  <c r="P669" i="24"/>
  <c r="P682" i="24" s="1"/>
  <c r="L669" i="24"/>
  <c r="L682" i="24" s="1"/>
  <c r="H669" i="24"/>
  <c r="H682" i="24" s="1"/>
  <c r="D669" i="24"/>
  <c r="D682" i="24" s="1"/>
  <c r="Q656" i="24"/>
  <c r="Q682" i="24" s="1"/>
  <c r="Q722" i="24" s="1"/>
  <c r="M656" i="24"/>
  <c r="M682" i="24" s="1"/>
  <c r="M722" i="24" s="1"/>
  <c r="I656" i="24"/>
  <c r="I682" i="24" s="1"/>
  <c r="I722" i="24" s="1"/>
  <c r="E656" i="24"/>
  <c r="E682" i="24" s="1"/>
  <c r="E722" i="24" s="1"/>
  <c r="R629" i="24"/>
  <c r="N629" i="24"/>
  <c r="J629" i="24"/>
  <c r="F629" i="24"/>
  <c r="B629" i="24"/>
  <c r="S616" i="24"/>
  <c r="O616" i="24"/>
  <c r="K616" i="24"/>
  <c r="G616" i="24"/>
  <c r="C616" i="24"/>
  <c r="S583" i="24"/>
  <c r="O583" i="24"/>
  <c r="K583" i="24"/>
  <c r="G583" i="24"/>
  <c r="C583" i="24"/>
  <c r="S581" i="24"/>
  <c r="O581" i="24"/>
  <c r="K581" i="24"/>
  <c r="G581" i="24"/>
  <c r="C581" i="24"/>
  <c r="R580" i="24"/>
  <c r="N580" i="24"/>
  <c r="J580" i="24"/>
  <c r="F580" i="24"/>
  <c r="B580" i="24"/>
  <c r="Q579" i="24"/>
  <c r="M579" i="24"/>
  <c r="I579" i="24"/>
  <c r="E579" i="24"/>
  <c r="P570" i="24"/>
  <c r="L570" i="24"/>
  <c r="H570" i="24"/>
  <c r="D570" i="24"/>
  <c r="P568" i="24"/>
  <c r="L568" i="24"/>
  <c r="H568" i="24"/>
  <c r="D568" i="24"/>
  <c r="S567" i="24"/>
  <c r="O567" i="24"/>
  <c r="K567" i="24"/>
  <c r="G567" i="24"/>
  <c r="C567" i="24"/>
  <c r="R566" i="24"/>
  <c r="N566" i="24"/>
  <c r="J566" i="24"/>
  <c r="F566" i="24"/>
  <c r="B566" i="24"/>
  <c r="S547" i="24"/>
  <c r="S560" i="24" s="1"/>
  <c r="O547" i="24"/>
  <c r="O560" i="24" s="1"/>
  <c r="K547" i="24"/>
  <c r="K560" i="24" s="1"/>
  <c r="G547" i="24"/>
  <c r="G560" i="24" s="1"/>
  <c r="C547" i="24"/>
  <c r="C560" i="24" s="1"/>
  <c r="P534" i="24"/>
  <c r="P560" i="24" s="1"/>
  <c r="P600" i="24" s="1"/>
  <c r="L534" i="24"/>
  <c r="L560" i="24" s="1"/>
  <c r="L600" i="24" s="1"/>
  <c r="H534" i="24"/>
  <c r="H560" i="24" s="1"/>
  <c r="H600" i="24" s="1"/>
  <c r="D534" i="24"/>
  <c r="D560" i="24" s="1"/>
  <c r="D600" i="24" s="1"/>
  <c r="Q507" i="24"/>
  <c r="M507" i="24"/>
  <c r="I507" i="24"/>
  <c r="E507" i="24"/>
  <c r="R494" i="24"/>
  <c r="N494" i="24"/>
  <c r="J494" i="24"/>
  <c r="F494" i="24"/>
  <c r="B494" i="24"/>
  <c r="B465" i="24"/>
  <c r="P384" i="24"/>
  <c r="P397" i="24" s="1"/>
  <c r="L384" i="24"/>
  <c r="L397" i="24" s="1"/>
  <c r="H384" i="24"/>
  <c r="H397" i="24" s="1"/>
  <c r="D384" i="24"/>
  <c r="D397" i="24" s="1"/>
  <c r="Q371" i="24"/>
  <c r="Q397" i="24" s="1"/>
  <c r="M371" i="24"/>
  <c r="M397" i="24" s="1"/>
  <c r="I371" i="24"/>
  <c r="I397" i="24" s="1"/>
  <c r="E371" i="24"/>
  <c r="E397" i="24" s="1"/>
  <c r="P339" i="24"/>
  <c r="L339" i="24"/>
  <c r="H339" i="24"/>
  <c r="D339" i="24"/>
  <c r="P337" i="24"/>
  <c r="L337" i="24"/>
  <c r="H337" i="24"/>
  <c r="D337" i="24"/>
  <c r="S336" i="24"/>
  <c r="O336" i="24"/>
  <c r="K336" i="24"/>
  <c r="G336" i="24"/>
  <c r="C336" i="24"/>
  <c r="R335" i="24"/>
  <c r="N335" i="24"/>
  <c r="J335" i="24"/>
  <c r="F335" i="24"/>
  <c r="B335" i="24"/>
  <c r="Q326" i="24"/>
  <c r="M326" i="24"/>
  <c r="I326" i="24"/>
  <c r="E326" i="24"/>
  <c r="Q324" i="24"/>
  <c r="M324" i="24"/>
  <c r="I324" i="24"/>
  <c r="E324" i="24"/>
  <c r="P323" i="24"/>
  <c r="L323" i="24"/>
  <c r="H323" i="24"/>
  <c r="D323" i="24"/>
  <c r="S322" i="24"/>
  <c r="O322" i="24"/>
  <c r="K322" i="24"/>
  <c r="G322" i="24"/>
  <c r="C322" i="24"/>
  <c r="P303" i="24"/>
  <c r="P316" i="24" s="1"/>
  <c r="L303" i="24"/>
  <c r="L316" i="24" s="1"/>
  <c r="H303" i="24"/>
  <c r="H316" i="24" s="1"/>
  <c r="D303" i="24"/>
  <c r="D316" i="24" s="1"/>
  <c r="Q290" i="24"/>
  <c r="Q316" i="24" s="1"/>
  <c r="Q356" i="24" s="1"/>
  <c r="M290" i="24"/>
  <c r="M316" i="24" s="1"/>
  <c r="M356" i="24" s="1"/>
  <c r="I290" i="24"/>
  <c r="I316" i="24" s="1"/>
  <c r="I356" i="24" s="1"/>
  <c r="E290" i="24"/>
  <c r="E316" i="24" s="1"/>
  <c r="E356" i="24" s="1"/>
  <c r="R263" i="24"/>
  <c r="N263" i="24"/>
  <c r="J263" i="24"/>
  <c r="F263" i="24"/>
  <c r="B263" i="24"/>
  <c r="S250" i="24"/>
  <c r="O250" i="24"/>
  <c r="K250" i="24"/>
  <c r="G250" i="24"/>
  <c r="C250" i="24"/>
  <c r="S181" i="24"/>
  <c r="O181" i="24"/>
  <c r="K181" i="24"/>
  <c r="G181" i="24"/>
  <c r="C181" i="24"/>
  <c r="P168" i="24"/>
  <c r="L168" i="24"/>
  <c r="H168" i="24"/>
  <c r="D168" i="24"/>
  <c r="Q141" i="24"/>
  <c r="M141" i="24"/>
  <c r="I141" i="24"/>
  <c r="E141" i="24"/>
  <c r="B113" i="24"/>
  <c r="C94" i="24"/>
  <c r="B71" i="24"/>
  <c r="B74" i="24"/>
  <c r="B73" i="24"/>
  <c r="B91" i="24"/>
  <c r="B72" i="24"/>
  <c r="B98" i="24" s="1"/>
  <c r="D98" i="24" s="1"/>
  <c r="B90" i="24"/>
  <c r="B58" i="24"/>
  <c r="F58" i="24" s="1"/>
  <c r="C51" i="24"/>
  <c r="B43" i="24"/>
  <c r="G373" i="2"/>
  <c r="C1412" i="24" s="1"/>
  <c r="G374" i="2"/>
  <c r="U5" i="3"/>
  <c r="V5" i="4"/>
  <c r="U5" i="5"/>
  <c r="V32" i="4"/>
  <c r="U32" i="5"/>
  <c r="U7" i="7"/>
  <c r="U45" i="7"/>
  <c r="U143" i="7"/>
  <c r="U176" i="7"/>
  <c r="U293" i="7"/>
  <c r="U30" i="7"/>
  <c r="U6" i="6"/>
  <c r="U327" i="7"/>
  <c r="U30" i="8"/>
  <c r="U7" i="8"/>
  <c r="U143" i="8"/>
  <c r="U45" i="8"/>
  <c r="U176" i="8"/>
  <c r="U517" i="8"/>
  <c r="T15" i="10"/>
  <c r="U180" i="10"/>
  <c r="U9" i="11"/>
  <c r="U21" i="10"/>
  <c r="U39" i="10"/>
  <c r="U72" i="10"/>
  <c r="U105" i="10"/>
  <c r="T29" i="10"/>
  <c r="U7" i="10"/>
  <c r="U267" i="10"/>
  <c r="U316" i="11"/>
  <c r="U348" i="11"/>
  <c r="U7" i="12"/>
  <c r="U404" i="11"/>
  <c r="U476" i="11"/>
  <c r="U215" i="11"/>
  <c r="U6" i="13"/>
  <c r="U7" i="15"/>
  <c r="V7" i="16"/>
  <c r="V29" i="16"/>
  <c r="V77" i="16"/>
  <c r="V25" i="17"/>
  <c r="U16" i="19"/>
  <c r="U99" i="12"/>
  <c r="U46" i="13"/>
  <c r="U67" i="13"/>
  <c r="U95" i="13"/>
  <c r="U206" i="13"/>
  <c r="U21" i="15"/>
  <c r="V7" i="17"/>
  <c r="U15" i="13"/>
  <c r="U189" i="13"/>
  <c r="U20" i="14"/>
  <c r="U64" i="14"/>
  <c r="V19" i="16"/>
  <c r="U5" i="19"/>
  <c r="U67" i="12"/>
  <c r="U172" i="12"/>
  <c r="U77" i="13"/>
  <c r="U184" i="13"/>
  <c r="U6" i="14"/>
  <c r="V57" i="16"/>
  <c r="V5" i="18"/>
  <c r="F52" i="23"/>
  <c r="J955" i="22"/>
  <c r="J967" i="22"/>
  <c r="J979" i="22"/>
  <c r="J991" i="22"/>
  <c r="J1003" i="22"/>
  <c r="J1015" i="22"/>
  <c r="J1027" i="22"/>
  <c r="J1039" i="22"/>
  <c r="J1051" i="22"/>
  <c r="K1057" i="22"/>
  <c r="K1069" i="22"/>
  <c r="J1087" i="22"/>
  <c r="J1099" i="22"/>
  <c r="J1111" i="22"/>
  <c r="J1123" i="22"/>
  <c r="J1135" i="22"/>
  <c r="J1147" i="22"/>
  <c r="J1159" i="22"/>
  <c r="J1171" i="22"/>
  <c r="F49" i="23"/>
  <c r="F48" i="23"/>
  <c r="H949" i="22"/>
  <c r="H961" i="22"/>
  <c r="H973" i="22"/>
  <c r="H985" i="22"/>
  <c r="H997" i="22"/>
  <c r="H1009" i="22"/>
  <c r="H1021" i="22"/>
  <c r="H1033" i="22"/>
  <c r="H1045" i="22"/>
  <c r="I1063" i="22"/>
  <c r="I1075" i="22"/>
  <c r="H1081" i="22"/>
  <c r="H1093" i="22"/>
  <c r="H1105" i="22"/>
  <c r="H1117" i="22"/>
  <c r="H1129" i="22"/>
  <c r="H1141" i="22"/>
  <c r="H1153" i="22"/>
  <c r="H1165" i="22"/>
  <c r="H1177" i="22"/>
  <c r="F45" i="23"/>
  <c r="F42" i="23"/>
  <c r="A2" i="23"/>
  <c r="P1180" i="22"/>
  <c r="R1179" i="22"/>
  <c r="G1179" i="22"/>
  <c r="B1179" i="22"/>
  <c r="K1177" i="22"/>
  <c r="F1177" i="22"/>
  <c r="H1176" i="22"/>
  <c r="P1174" i="22"/>
  <c r="R1173" i="22"/>
  <c r="H1173" i="22"/>
  <c r="B1173" i="22"/>
  <c r="K1171" i="22"/>
  <c r="E1171" i="22"/>
  <c r="R1170" i="22"/>
  <c r="G1170" i="22"/>
  <c r="B1170" i="22"/>
  <c r="P1168" i="22"/>
  <c r="R1167" i="22"/>
  <c r="G1167" i="22"/>
  <c r="B1167" i="22"/>
  <c r="K1165" i="22"/>
  <c r="F1165" i="22"/>
  <c r="H1164" i="22"/>
  <c r="P1162" i="22"/>
  <c r="R1161" i="22"/>
  <c r="H1161" i="22"/>
  <c r="B1161" i="22"/>
  <c r="K1159" i="22"/>
  <c r="E1159" i="22"/>
  <c r="R1158" i="22"/>
  <c r="G1158" i="22"/>
  <c r="B1158" i="22"/>
  <c r="P1156" i="22"/>
  <c r="R1155" i="22"/>
  <c r="G1155" i="22"/>
  <c r="B1155" i="22"/>
  <c r="K1153" i="22"/>
  <c r="F1153" i="22"/>
  <c r="H1152" i="22"/>
  <c r="P1150" i="22"/>
  <c r="R1149" i="22"/>
  <c r="H1149" i="22"/>
  <c r="B1149" i="22"/>
  <c r="K1147" i="22"/>
  <c r="E1147" i="22"/>
  <c r="R1146" i="22"/>
  <c r="G1146" i="22"/>
  <c r="B1146" i="22"/>
  <c r="P1144" i="22"/>
  <c r="R1143" i="22"/>
  <c r="G1143" i="22"/>
  <c r="B1143" i="22"/>
  <c r="K1141" i="22"/>
  <c r="F1141" i="22"/>
  <c r="H1140" i="22"/>
  <c r="P1138" i="22"/>
  <c r="R1137" i="22"/>
  <c r="H1137" i="22"/>
  <c r="B1137" i="22"/>
  <c r="K1135" i="22"/>
  <c r="E1135" i="22"/>
  <c r="R1134" i="22"/>
  <c r="G1134" i="22"/>
  <c r="B1134" i="22"/>
  <c r="P1132" i="22"/>
  <c r="R1131" i="22"/>
  <c r="G1131" i="22"/>
  <c r="B1131" i="22"/>
  <c r="K1129" i="22"/>
  <c r="F1129" i="22"/>
  <c r="H1128" i="22"/>
  <c r="P1126" i="22"/>
  <c r="R1125" i="22"/>
  <c r="H1125" i="22"/>
  <c r="B1125" i="22"/>
  <c r="K1123" i="22"/>
  <c r="E1123" i="22"/>
  <c r="R1122" i="22"/>
  <c r="G1122" i="22"/>
  <c r="B1122" i="22"/>
  <c r="P1120" i="22"/>
  <c r="R1119" i="22"/>
  <c r="G1119" i="22"/>
  <c r="B1119" i="22"/>
  <c r="K1117" i="22"/>
  <c r="F1117" i="22"/>
  <c r="H1116" i="22"/>
  <c r="P1114" i="22"/>
  <c r="R1113" i="22"/>
  <c r="H1113" i="22"/>
  <c r="B1113" i="22"/>
  <c r="K1111" i="22"/>
  <c r="E1111" i="22"/>
  <c r="R1110" i="22"/>
  <c r="G1110" i="22"/>
  <c r="B1110" i="22"/>
  <c r="P1108" i="22"/>
  <c r="R1107" i="22"/>
  <c r="G1107" i="22"/>
  <c r="B1107" i="22"/>
  <c r="K1105" i="22"/>
  <c r="F1105" i="22"/>
  <c r="H1104" i="22"/>
  <c r="P1102" i="22"/>
  <c r="R1101" i="22"/>
  <c r="H1101" i="22"/>
  <c r="B1101" i="22"/>
  <c r="K1099" i="22"/>
  <c r="E1099" i="22"/>
  <c r="R1098" i="22"/>
  <c r="G1098" i="22"/>
  <c r="B1098" i="22"/>
  <c r="P1096" i="22"/>
  <c r="R1095" i="22"/>
  <c r="G1095" i="22"/>
  <c r="B1095" i="22"/>
  <c r="K1093" i="22"/>
  <c r="F1093" i="22"/>
  <c r="H1092" i="22"/>
  <c r="P1090" i="22"/>
  <c r="R1089" i="22"/>
  <c r="H1089" i="22"/>
  <c r="B1089" i="22"/>
  <c r="K1087" i="22"/>
  <c r="E1087" i="22"/>
  <c r="R1086" i="22"/>
  <c r="G1086" i="22"/>
  <c r="B1086" i="22"/>
  <c r="P1084" i="22"/>
  <c r="R1083" i="22"/>
  <c r="G1083" i="22"/>
  <c r="B1083" i="22"/>
  <c r="K1081" i="22"/>
  <c r="F1081" i="22"/>
  <c r="H1080" i="22"/>
  <c r="Q1078" i="22"/>
  <c r="O1077" i="22"/>
  <c r="T1075" i="22"/>
  <c r="O1075" i="22"/>
  <c r="J1075" i="22"/>
  <c r="D1075" i="22"/>
  <c r="R1074" i="22"/>
  <c r="B1074" i="22"/>
  <c r="Q1072" i="22"/>
  <c r="I1071" i="22"/>
  <c r="M1069" i="22"/>
  <c r="H1069" i="22"/>
  <c r="B1069" i="22"/>
  <c r="P1068" i="22"/>
  <c r="O1066" i="22"/>
  <c r="I1066" i="22"/>
  <c r="R1065" i="22"/>
  <c r="B1065" i="22"/>
  <c r="L1063" i="22"/>
  <c r="G1063" i="22"/>
  <c r="B1063" i="22"/>
  <c r="O1062" i="22"/>
  <c r="S1060" i="22"/>
  <c r="I1060" i="22"/>
  <c r="C1060" i="22"/>
  <c r="Q1059" i="22"/>
  <c r="J1057" i="22"/>
  <c r="E1057" i="22"/>
  <c r="S1056" i="22"/>
  <c r="H1056" i="22"/>
  <c r="C1056" i="22"/>
  <c r="P1054" i="22"/>
  <c r="R1053" i="22"/>
  <c r="H1053" i="22"/>
  <c r="B1053" i="22"/>
  <c r="K1051" i="22"/>
  <c r="E1051" i="22"/>
  <c r="R1050" i="22"/>
  <c r="G1050" i="22"/>
  <c r="B1050" i="22"/>
  <c r="P1048" i="22"/>
  <c r="R1047" i="22"/>
  <c r="G1047" i="22"/>
  <c r="B1047" i="22"/>
  <c r="K1045" i="22"/>
  <c r="F1045" i="22"/>
  <c r="H1044" i="22"/>
  <c r="P1042" i="22"/>
  <c r="R1041" i="22"/>
  <c r="H1041" i="22"/>
  <c r="B1041" i="22"/>
  <c r="K1039" i="22"/>
  <c r="E1039" i="22"/>
  <c r="R1038" i="22"/>
  <c r="G1038" i="22"/>
  <c r="B1038" i="22"/>
  <c r="P1036" i="22"/>
  <c r="R1035" i="22"/>
  <c r="G1035" i="22"/>
  <c r="B1035" i="22"/>
  <c r="K1033" i="22"/>
  <c r="F1033" i="22"/>
  <c r="H1032" i="22"/>
  <c r="P1030" i="22"/>
  <c r="R1029" i="22"/>
  <c r="H1029" i="22"/>
  <c r="B1029" i="22"/>
  <c r="K1027" i="22"/>
  <c r="E1027" i="22"/>
  <c r="R1026" i="22"/>
  <c r="G1026" i="22"/>
  <c r="B1026" i="22"/>
  <c r="P1024" i="22"/>
  <c r="R1023" i="22"/>
  <c r="G1023" i="22"/>
  <c r="B1023" i="22"/>
  <c r="K1021" i="22"/>
  <c r="F1021" i="22"/>
  <c r="H1020" i="22"/>
  <c r="P1018" i="22"/>
  <c r="R1017" i="22"/>
  <c r="H1017" i="22"/>
  <c r="B1017" i="22"/>
  <c r="K1015" i="22"/>
  <c r="E1015" i="22"/>
  <c r="R1014" i="22"/>
  <c r="G1014" i="22"/>
  <c r="B1014" i="22"/>
  <c r="P1012" i="22"/>
  <c r="R1011" i="22"/>
  <c r="G1011" i="22"/>
  <c r="B1011" i="22"/>
  <c r="K1009" i="22"/>
  <c r="F1009" i="22"/>
  <c r="H1008" i="22"/>
  <c r="P1006" i="22"/>
  <c r="R1005" i="22"/>
  <c r="H1005" i="22"/>
  <c r="B1005" i="22"/>
  <c r="K1003" i="22"/>
  <c r="E1003" i="22"/>
  <c r="R1002" i="22"/>
  <c r="G1002" i="22"/>
  <c r="B1002" i="22"/>
  <c r="P1000" i="22"/>
  <c r="R999" i="22"/>
  <c r="G999" i="22"/>
  <c r="B999" i="22"/>
  <c r="K997" i="22"/>
  <c r="F997" i="22"/>
  <c r="H996" i="22"/>
  <c r="P994" i="22"/>
  <c r="R993" i="22"/>
  <c r="H993" i="22"/>
  <c r="B993" i="22"/>
  <c r="K991" i="22"/>
  <c r="E991" i="22"/>
  <c r="R990" i="22"/>
  <c r="G990" i="22"/>
  <c r="B990" i="22"/>
  <c r="P988" i="22"/>
  <c r="R987" i="22"/>
  <c r="G987" i="22"/>
  <c r="B987" i="22"/>
  <c r="K985" i="22"/>
  <c r="F985" i="22"/>
  <c r="H984" i="22"/>
  <c r="P982" i="22"/>
  <c r="R981" i="22"/>
  <c r="H981" i="22"/>
  <c r="B981" i="22"/>
  <c r="K979" i="22"/>
  <c r="E979" i="22"/>
  <c r="R978" i="22"/>
  <c r="G978" i="22"/>
  <c r="B978" i="22"/>
  <c r="P976" i="22"/>
  <c r="R975" i="22"/>
  <c r="G975" i="22"/>
  <c r="B975" i="22"/>
  <c r="K973" i="22"/>
  <c r="F973" i="22"/>
  <c r="H972" i="22"/>
  <c r="P970" i="22"/>
  <c r="R969" i="22"/>
  <c r="H969" i="22"/>
  <c r="B969" i="22"/>
  <c r="K967" i="22"/>
  <c r="E967" i="22"/>
  <c r="R966" i="22"/>
  <c r="G966" i="22"/>
  <c r="B966" i="22"/>
  <c r="P964" i="22"/>
  <c r="R963" i="22"/>
  <c r="G963" i="22"/>
  <c r="B963" i="22"/>
  <c r="K961" i="22"/>
  <c r="F961" i="22"/>
  <c r="H960" i="22"/>
  <c r="P958" i="22"/>
  <c r="R957" i="22"/>
  <c r="H957" i="22"/>
  <c r="B957" i="22"/>
  <c r="K955" i="22"/>
  <c r="E955" i="22"/>
  <c r="R954" i="22"/>
  <c r="G954" i="22"/>
  <c r="B954" i="22"/>
  <c r="P952" i="22"/>
  <c r="R951" i="22"/>
  <c r="G951" i="22"/>
  <c r="B951" i="22"/>
  <c r="K949" i="22"/>
  <c r="F949" i="22"/>
  <c r="H948" i="22"/>
  <c r="O893" i="22"/>
  <c r="B339" i="22"/>
  <c r="B342" i="22"/>
  <c r="B330" i="22"/>
  <c r="C299" i="22"/>
  <c r="Q20" i="5"/>
  <c r="B711" i="22"/>
  <c r="B708" i="22"/>
  <c r="B334" i="22"/>
  <c r="B333" i="22"/>
  <c r="B332" i="22"/>
  <c r="C329" i="22"/>
  <c r="B316" i="22"/>
  <c r="C288" i="22"/>
  <c r="B273" i="22"/>
  <c r="B299" i="22" s="1"/>
  <c r="C256" i="22"/>
  <c r="C165" i="22"/>
  <c r="C163" i="22"/>
  <c r="C176" i="22" s="1"/>
  <c r="C172" i="22"/>
  <c r="B40" i="22"/>
  <c r="B43" i="22"/>
  <c r="B31" i="22"/>
  <c r="U20" i="5"/>
  <c r="E20" i="5"/>
  <c r="C257" i="22"/>
  <c r="C260" i="22"/>
  <c r="C177" i="22"/>
  <c r="C173" i="22"/>
  <c r="B13" i="15"/>
  <c r="B698" i="22"/>
  <c r="C248" i="22"/>
  <c r="C258" i="22"/>
  <c r="C254" i="22"/>
  <c r="C148" i="22"/>
  <c r="C149" i="22" s="1"/>
  <c r="C69" i="16"/>
  <c r="Y5" i="3"/>
  <c r="Z5" i="4"/>
  <c r="Y5" i="5"/>
  <c r="Y32" i="5"/>
  <c r="Y7" i="7"/>
  <c r="Z32" i="4"/>
  <c r="Y6" i="6"/>
  <c r="Y143" i="7"/>
  <c r="Y30" i="7"/>
  <c r="Y45" i="7"/>
  <c r="Y293" i="7"/>
  <c r="Y176" i="7"/>
  <c r="Y327" i="7"/>
  <c r="Y30" i="8"/>
  <c r="Y7" i="8"/>
  <c r="Y143" i="8"/>
  <c r="Y45" i="8"/>
  <c r="Y176" i="8"/>
  <c r="Y517" i="8"/>
  <c r="X15" i="10"/>
  <c r="Y180" i="10"/>
  <c r="Y9" i="11"/>
  <c r="Y21" i="10"/>
  <c r="Y39" i="10"/>
  <c r="Y72" i="10"/>
  <c r="Y105" i="10"/>
  <c r="X29" i="10"/>
  <c r="Y7" i="10"/>
  <c r="Y267" i="10"/>
  <c r="Y316" i="11"/>
  <c r="Y348" i="11"/>
  <c r="Y7" i="12"/>
  <c r="Y404" i="11"/>
  <c r="Y476" i="11"/>
  <c r="Y215" i="11"/>
  <c r="Y67" i="12"/>
  <c r="Y6" i="13"/>
  <c r="Y7" i="15"/>
  <c r="Z7" i="16"/>
  <c r="Z29" i="16"/>
  <c r="Z77" i="16"/>
  <c r="Z25" i="17"/>
  <c r="Y16" i="19"/>
  <c r="Y46" i="13"/>
  <c r="Y67" i="13"/>
  <c r="Y95" i="13"/>
  <c r="Y206" i="13"/>
  <c r="Y21" i="15"/>
  <c r="Z7" i="17"/>
  <c r="Y99" i="12"/>
  <c r="Y172" i="12"/>
  <c r="Y15" i="13"/>
  <c r="Y189" i="13"/>
  <c r="Y20" i="14"/>
  <c r="Y64" i="14"/>
  <c r="Z19" i="16"/>
  <c r="Y5" i="19"/>
  <c r="Y77" i="13"/>
  <c r="Y184" i="13"/>
  <c r="Y6" i="14"/>
  <c r="Z57" i="16"/>
  <c r="Z5" i="18"/>
  <c r="P1177" i="22"/>
  <c r="P1165" i="22"/>
  <c r="P1153" i="22"/>
  <c r="P1141" i="22"/>
  <c r="P1129" i="22"/>
  <c r="P1117" i="22"/>
  <c r="P1105" i="22"/>
  <c r="P1093" i="22"/>
  <c r="P1081" i="22"/>
  <c r="Q1075" i="22"/>
  <c r="Q1063" i="22"/>
  <c r="P1045" i="22"/>
  <c r="P1033" i="22"/>
  <c r="P1021" i="22"/>
  <c r="P1009" i="22"/>
  <c r="P997" i="22"/>
  <c r="P985" i="22"/>
  <c r="P973" i="22"/>
  <c r="P961" i="22"/>
  <c r="P949" i="22"/>
  <c r="C334" i="22"/>
  <c r="C333" i="22"/>
  <c r="C332" i="22"/>
  <c r="C316" i="22"/>
  <c r="B295" i="22"/>
  <c r="C293" i="22"/>
  <c r="C292" i="22"/>
  <c r="C291" i="22"/>
  <c r="C275" i="22"/>
  <c r="C259" i="22"/>
  <c r="C255" i="22"/>
  <c r="B121" i="22"/>
  <c r="B124" i="22"/>
  <c r="B108" i="22"/>
  <c r="C70" i="16"/>
  <c r="B61" i="16"/>
  <c r="B18" i="19"/>
  <c r="Y11" i="15"/>
  <c r="U11" i="15"/>
  <c r="Q11" i="15"/>
  <c r="M11" i="15"/>
  <c r="I11" i="15"/>
  <c r="E11" i="15"/>
  <c r="Y108" i="14"/>
  <c r="U108" i="14"/>
  <c r="Q108" i="14"/>
  <c r="M108" i="14"/>
  <c r="I108" i="14"/>
  <c r="E108" i="14"/>
  <c r="Q89" i="12"/>
  <c r="P90" i="12"/>
  <c r="Q90" i="12" s="1"/>
  <c r="Q86" i="12"/>
  <c r="Y85" i="12"/>
  <c r="X86" i="12"/>
  <c r="I85" i="12"/>
  <c r="H86" i="12"/>
  <c r="T343" i="11"/>
  <c r="T340" i="11"/>
  <c r="D343" i="11"/>
  <c r="D340" i="11"/>
  <c r="N340" i="11"/>
  <c r="N343" i="11"/>
  <c r="U89" i="12"/>
  <c r="T90" i="12"/>
  <c r="U90" i="12" s="1"/>
  <c r="E89" i="12"/>
  <c r="D90" i="12"/>
  <c r="E90" i="12" s="1"/>
  <c r="S91" i="12"/>
  <c r="K91" i="12"/>
  <c r="C91" i="12"/>
  <c r="M85" i="12"/>
  <c r="L86" i="12"/>
  <c r="M86" i="12" s="1"/>
  <c r="X343" i="11"/>
  <c r="X340" i="11"/>
  <c r="H343" i="11"/>
  <c r="H340" i="11"/>
  <c r="R340" i="11"/>
  <c r="R343" i="11"/>
  <c r="B340" i="11"/>
  <c r="B343" i="11"/>
  <c r="E14" i="15"/>
  <c r="Y89" i="12"/>
  <c r="X90" i="12"/>
  <c r="Y90" i="12" s="1"/>
  <c r="I89" i="12"/>
  <c r="H90" i="12"/>
  <c r="I90" i="12" s="1"/>
  <c r="Q85" i="12"/>
  <c r="P86" i="12"/>
  <c r="L343" i="11"/>
  <c r="L340" i="11"/>
  <c r="V340" i="11"/>
  <c r="V343" i="11"/>
  <c r="F340" i="11"/>
  <c r="F343" i="11"/>
  <c r="B35" i="22"/>
  <c r="B17" i="22"/>
  <c r="M89" i="12"/>
  <c r="L90" i="12"/>
  <c r="M90" i="12" s="1"/>
  <c r="W91" i="12"/>
  <c r="O91" i="12"/>
  <c r="G91" i="12"/>
  <c r="U85" i="12"/>
  <c r="T86" i="12"/>
  <c r="U86" i="12" s="1"/>
  <c r="E85" i="12"/>
  <c r="D86" i="12"/>
  <c r="E86" i="12" s="1"/>
  <c r="P343" i="11"/>
  <c r="P340" i="11"/>
  <c r="J340" i="11"/>
  <c r="J343" i="11"/>
  <c r="Q686" i="9"/>
  <c r="Q685" i="9"/>
  <c r="Q646" i="9"/>
  <c r="Q645" i="9"/>
  <c r="M686" i="9"/>
  <c r="M685" i="9"/>
  <c r="M646" i="9"/>
  <c r="M645" i="9"/>
  <c r="E686" i="9"/>
  <c r="E685" i="9"/>
  <c r="E646" i="9"/>
  <c r="E645" i="9"/>
  <c r="T641" i="9"/>
  <c r="T682" i="9"/>
  <c r="T642" i="9"/>
  <c r="T681" i="9"/>
  <c r="H641" i="9"/>
  <c r="H682" i="9"/>
  <c r="H642" i="9"/>
  <c r="H681" i="9"/>
  <c r="Q672" i="9"/>
  <c r="Q633" i="9"/>
  <c r="Q632" i="9"/>
  <c r="Q673" i="9"/>
  <c r="Q699" i="9" s="1"/>
  <c r="M672" i="9"/>
  <c r="M633" i="9"/>
  <c r="M632" i="9"/>
  <c r="M673" i="9"/>
  <c r="M699" i="9" s="1"/>
  <c r="E672" i="9"/>
  <c r="E633" i="9"/>
  <c r="E632" i="9"/>
  <c r="E673" i="9"/>
  <c r="E699" i="9" s="1"/>
  <c r="T669" i="9"/>
  <c r="T668" i="9"/>
  <c r="T629" i="9"/>
  <c r="T628" i="9"/>
  <c r="H669" i="9"/>
  <c r="H668" i="9"/>
  <c r="H629" i="9"/>
  <c r="H628" i="9"/>
  <c r="N813" i="9"/>
  <c r="G822" i="9"/>
  <c r="S822" i="9"/>
  <c r="S836" i="9"/>
  <c r="C836" i="9"/>
  <c r="K783" i="9"/>
  <c r="K786" i="9"/>
  <c r="K774" i="9"/>
  <c r="E785" i="9"/>
  <c r="E839" i="9"/>
  <c r="H784" i="9"/>
  <c r="T685" i="9"/>
  <c r="T646" i="9"/>
  <c r="T645" i="9"/>
  <c r="T686" i="9"/>
  <c r="P685" i="9"/>
  <c r="P646" i="9"/>
  <c r="P645" i="9"/>
  <c r="P686" i="9"/>
  <c r="H685" i="9"/>
  <c r="H646" i="9"/>
  <c r="H645" i="9"/>
  <c r="H686" i="9"/>
  <c r="D685" i="9"/>
  <c r="D646" i="9"/>
  <c r="D645" i="9"/>
  <c r="D686" i="9"/>
  <c r="K682" i="9"/>
  <c r="K681" i="9"/>
  <c r="K642" i="9"/>
  <c r="K641" i="9"/>
  <c r="T633" i="9"/>
  <c r="T632" i="9"/>
  <c r="T672" i="9"/>
  <c r="T673" i="9"/>
  <c r="T699" i="9" s="1"/>
  <c r="P633" i="9"/>
  <c r="P632" i="9"/>
  <c r="P672" i="9"/>
  <c r="P673" i="9"/>
  <c r="P699" i="9" s="1"/>
  <c r="H633" i="9"/>
  <c r="H632" i="9"/>
  <c r="H672" i="9"/>
  <c r="H673" i="9"/>
  <c r="H699" i="9" s="1"/>
  <c r="D633" i="9"/>
  <c r="D632" i="9"/>
  <c r="D672" i="9"/>
  <c r="D673" i="9"/>
  <c r="D699" i="9" s="1"/>
  <c r="K668" i="9"/>
  <c r="K629" i="9"/>
  <c r="K628" i="9"/>
  <c r="K669" i="9"/>
  <c r="N849" i="9"/>
  <c r="N822" i="9"/>
  <c r="O825" i="9"/>
  <c r="O839" i="9"/>
  <c r="K822" i="9"/>
  <c r="K836" i="9"/>
  <c r="G839" i="9"/>
  <c r="K800" i="9"/>
  <c r="T825" i="9"/>
  <c r="T839" i="9"/>
  <c r="D825" i="9"/>
  <c r="D839" i="9"/>
  <c r="O797" i="9"/>
  <c r="O800" i="9"/>
  <c r="G797" i="9"/>
  <c r="G800" i="9"/>
  <c r="O836" i="9"/>
  <c r="O782" i="9"/>
  <c r="G782" i="9"/>
  <c r="G862" i="9" s="1"/>
  <c r="G836" i="9"/>
  <c r="M760" i="9"/>
  <c r="P839" i="9"/>
  <c r="L839" i="9"/>
  <c r="L785" i="9"/>
  <c r="H778" i="9"/>
  <c r="S757" i="9"/>
  <c r="S760" i="9"/>
  <c r="S778" i="9"/>
  <c r="S832" i="9"/>
  <c r="O838" i="9"/>
  <c r="K784" i="9"/>
  <c r="K838" i="9"/>
  <c r="G832" i="9"/>
  <c r="G757" i="9"/>
  <c r="G760" i="9"/>
  <c r="G778" i="9"/>
  <c r="C838" i="9"/>
  <c r="S646" i="9"/>
  <c r="S645" i="9"/>
  <c r="S685" i="9"/>
  <c r="S686" i="9"/>
  <c r="K646" i="9"/>
  <c r="K645" i="9"/>
  <c r="K685" i="9"/>
  <c r="K686" i="9"/>
  <c r="G646" i="9"/>
  <c r="G645" i="9"/>
  <c r="G685" i="9"/>
  <c r="G686" i="9"/>
  <c r="N681" i="9"/>
  <c r="N642" i="9"/>
  <c r="N641" i="9"/>
  <c r="N682" i="9"/>
  <c r="S632" i="9"/>
  <c r="S673" i="9"/>
  <c r="S633" i="9"/>
  <c r="S672" i="9"/>
  <c r="K632" i="9"/>
  <c r="K673" i="9"/>
  <c r="K633" i="9"/>
  <c r="K672" i="9"/>
  <c r="G632" i="9"/>
  <c r="G673" i="9"/>
  <c r="G633" i="9"/>
  <c r="G672" i="9"/>
  <c r="N629" i="9"/>
  <c r="N628" i="9"/>
  <c r="N668" i="9"/>
  <c r="N669" i="9"/>
  <c r="W339" i="11"/>
  <c r="Y339" i="11" s="1"/>
  <c r="S339" i="11"/>
  <c r="U339" i="11" s="1"/>
  <c r="O339" i="11"/>
  <c r="Q339" i="11" s="1"/>
  <c r="K339" i="11"/>
  <c r="M339" i="11" s="1"/>
  <c r="G339" i="11"/>
  <c r="I339" i="11" s="1"/>
  <c r="C339" i="11"/>
  <c r="E339" i="11" s="1"/>
  <c r="W335" i="11"/>
  <c r="Y335" i="11" s="1"/>
  <c r="S335" i="11"/>
  <c r="U335" i="11" s="1"/>
  <c r="O335" i="11"/>
  <c r="K335" i="11"/>
  <c r="G335" i="11"/>
  <c r="I335" i="11" s="1"/>
  <c r="C335" i="11"/>
  <c r="E335" i="11" s="1"/>
  <c r="N645" i="9"/>
  <c r="N686" i="9"/>
  <c r="N646" i="9"/>
  <c r="N685" i="9"/>
  <c r="J645" i="9"/>
  <c r="J686" i="9"/>
  <c r="J646" i="9"/>
  <c r="J685" i="9"/>
  <c r="Q642" i="9"/>
  <c r="Q641" i="9"/>
  <c r="Q681" i="9"/>
  <c r="Q682" i="9"/>
  <c r="Q690" i="9" s="1"/>
  <c r="E642" i="9"/>
  <c r="E641" i="9"/>
  <c r="E681" i="9"/>
  <c r="E682" i="9"/>
  <c r="E690" i="9" s="1"/>
  <c r="N673" i="9"/>
  <c r="N672" i="9"/>
  <c r="N633" i="9"/>
  <c r="N632" i="9"/>
  <c r="J673" i="9"/>
  <c r="J672" i="9"/>
  <c r="J633" i="9"/>
  <c r="J632" i="9"/>
  <c r="Q628" i="9"/>
  <c r="Q669" i="9"/>
  <c r="Q629" i="9"/>
  <c r="Q668" i="9"/>
  <c r="E628" i="9"/>
  <c r="E669" i="9"/>
  <c r="E629" i="9"/>
  <c r="E668" i="9"/>
  <c r="Q852" i="9"/>
  <c r="Q825" i="9"/>
  <c r="Q865" i="9" s="1"/>
  <c r="J800" i="9"/>
  <c r="J818" i="9"/>
  <c r="J797" i="9"/>
  <c r="F800" i="9"/>
  <c r="F797" i="9"/>
  <c r="F818" i="9"/>
  <c r="Q797" i="9"/>
  <c r="Q800" i="9"/>
  <c r="Q818" i="9"/>
  <c r="M832" i="9"/>
  <c r="M797" i="9"/>
  <c r="M800" i="9"/>
  <c r="M818" i="9"/>
  <c r="R836" i="9"/>
  <c r="J782" i="9"/>
  <c r="J836" i="9"/>
  <c r="F782" i="9"/>
  <c r="F836" i="9"/>
  <c r="Q836" i="9"/>
  <c r="Q782" i="9"/>
  <c r="M782" i="9"/>
  <c r="M836" i="9"/>
  <c r="I838" i="9"/>
  <c r="E782" i="9"/>
  <c r="E836" i="9"/>
  <c r="R785" i="9"/>
  <c r="J785" i="9"/>
  <c r="Q757" i="9"/>
  <c r="Q832" i="9"/>
  <c r="Q760" i="9"/>
  <c r="I757" i="9"/>
  <c r="I760" i="9"/>
  <c r="I832" i="9"/>
  <c r="R645" i="9"/>
  <c r="R686" i="9"/>
  <c r="R646" i="9"/>
  <c r="O646" i="9"/>
  <c r="O645" i="9"/>
  <c r="O685" i="9"/>
  <c r="L685" i="9"/>
  <c r="L646" i="9"/>
  <c r="L645" i="9"/>
  <c r="L686" i="9"/>
  <c r="I686" i="9"/>
  <c r="I690" i="9" s="1"/>
  <c r="I685" i="9"/>
  <c r="I687" i="9" s="1"/>
  <c r="I646" i="9"/>
  <c r="I726" i="9" s="1"/>
  <c r="I645" i="9"/>
  <c r="F645" i="9"/>
  <c r="F686" i="9"/>
  <c r="F646" i="9"/>
  <c r="B230" i="9"/>
  <c r="B315" i="9"/>
  <c r="B316" i="9"/>
  <c r="B401" i="9"/>
  <c r="B402" i="9"/>
  <c r="B441" i="9"/>
  <c r="B442" i="9"/>
  <c r="S682" i="9"/>
  <c r="S690" i="9" s="1"/>
  <c r="S681" i="9"/>
  <c r="S642" i="9"/>
  <c r="S641" i="9"/>
  <c r="P641" i="9"/>
  <c r="P682" i="9"/>
  <c r="P642" i="9"/>
  <c r="M642" i="9"/>
  <c r="M641" i="9"/>
  <c r="M681" i="9"/>
  <c r="J681" i="9"/>
  <c r="J642" i="9"/>
  <c r="J641" i="9"/>
  <c r="J682" i="9"/>
  <c r="J690" i="9" s="1"/>
  <c r="G682" i="9"/>
  <c r="G681" i="9"/>
  <c r="G642" i="9"/>
  <c r="G641" i="9"/>
  <c r="D641" i="9"/>
  <c r="D682" i="9"/>
  <c r="D642" i="9"/>
  <c r="R673" i="9"/>
  <c r="R672" i="9"/>
  <c r="R633" i="9"/>
  <c r="R632" i="9"/>
  <c r="O632" i="9"/>
  <c r="O673" i="9"/>
  <c r="O633" i="9"/>
  <c r="L633" i="9"/>
  <c r="L632" i="9"/>
  <c r="L672" i="9"/>
  <c r="I672" i="9"/>
  <c r="I633" i="9"/>
  <c r="I632" i="9"/>
  <c r="I673" i="9"/>
  <c r="I699" i="9" s="1"/>
  <c r="F673" i="9"/>
  <c r="F677" i="9" s="1"/>
  <c r="F672" i="9"/>
  <c r="F633" i="9"/>
  <c r="F632" i="9"/>
  <c r="B218" i="9"/>
  <c r="B302" i="9"/>
  <c r="B303" i="9"/>
  <c r="B388" i="9"/>
  <c r="B389" i="9"/>
  <c r="B428" i="9"/>
  <c r="B429" i="9"/>
  <c r="S668" i="9"/>
  <c r="S629" i="9"/>
  <c r="S628" i="9"/>
  <c r="S669" i="9"/>
  <c r="P669" i="9"/>
  <c r="P668" i="9"/>
  <c r="P629" i="9"/>
  <c r="P628" i="9"/>
  <c r="M628" i="9"/>
  <c r="M669" i="9"/>
  <c r="M629" i="9"/>
  <c r="J629" i="9"/>
  <c r="J628" i="9"/>
  <c r="J668" i="9"/>
  <c r="G668" i="9"/>
  <c r="G629" i="9"/>
  <c r="G628" i="9"/>
  <c r="G669" i="9"/>
  <c r="D669" i="9"/>
  <c r="D668" i="9"/>
  <c r="D629" i="9"/>
  <c r="D628" i="9"/>
  <c r="J822" i="9"/>
  <c r="Q821" i="9"/>
  <c r="Q861" i="9" s="1"/>
  <c r="G821" i="9"/>
  <c r="G861" i="9" s="1"/>
  <c r="J820" i="9"/>
  <c r="J860" i="9" s="1"/>
  <c r="N818" i="9"/>
  <c r="L817" i="9"/>
  <c r="L857" i="9" s="1"/>
  <c r="F817" i="9"/>
  <c r="F857" i="9" s="1"/>
  <c r="I816" i="9"/>
  <c r="K812" i="9"/>
  <c r="T811" i="9"/>
  <c r="T851" i="9" s="1"/>
  <c r="N811" i="9"/>
  <c r="D811" i="9"/>
  <c r="D851" i="9" s="1"/>
  <c r="P809" i="9"/>
  <c r="P822" i="9" s="1"/>
  <c r="F809" i="9"/>
  <c r="R805" i="9"/>
  <c r="H805" i="9"/>
  <c r="J799" i="9"/>
  <c r="J825" i="9" s="1"/>
  <c r="R798" i="9"/>
  <c r="R824" i="9" s="1"/>
  <c r="M798" i="9"/>
  <c r="M824" i="9" s="1"/>
  <c r="G798" i="9"/>
  <c r="E792" i="9"/>
  <c r="Q780" i="9"/>
  <c r="Q860" i="9" s="1"/>
  <c r="G780" i="9"/>
  <c r="G860" i="9" s="1"/>
  <c r="P777" i="9"/>
  <c r="P857" i="9" s="1"/>
  <c r="S776" i="9"/>
  <c r="S856" i="9" s="1"/>
  <c r="I776" i="9"/>
  <c r="C776" i="9"/>
  <c r="C856" i="9" s="1"/>
  <c r="S772" i="9"/>
  <c r="M772" i="9"/>
  <c r="H772" i="9"/>
  <c r="H852" i="9" s="1"/>
  <c r="R771" i="9"/>
  <c r="R851" i="9" s="1"/>
  <c r="G771" i="9"/>
  <c r="R769" i="9"/>
  <c r="R849" i="9" s="1"/>
  <c r="T765" i="9"/>
  <c r="O773" i="9"/>
  <c r="J765" i="9"/>
  <c r="D765" i="9"/>
  <c r="S758" i="9"/>
  <c r="C511" i="9"/>
  <c r="C389" i="9" s="1"/>
  <c r="L752" i="9"/>
  <c r="C726" i="9"/>
  <c r="C690" i="9"/>
  <c r="O686" i="9"/>
  <c r="F685" i="9"/>
  <c r="F687" i="9" s="1"/>
  <c r="C688" i="9"/>
  <c r="D681" i="9"/>
  <c r="C700" i="9"/>
  <c r="M668" i="9"/>
  <c r="C523" i="9"/>
  <c r="C507" i="9"/>
  <c r="C385" i="9" s="1"/>
  <c r="R681" i="9"/>
  <c r="R642" i="9"/>
  <c r="R641" i="9"/>
  <c r="R682" i="9"/>
  <c r="O682" i="9"/>
  <c r="O690" i="9" s="1"/>
  <c r="O681" i="9"/>
  <c r="O642" i="9"/>
  <c r="O641" i="9"/>
  <c r="L641" i="9"/>
  <c r="L682" i="9"/>
  <c r="L642" i="9"/>
  <c r="I642" i="9"/>
  <c r="I641" i="9"/>
  <c r="I681" i="9"/>
  <c r="F681" i="9"/>
  <c r="F642" i="9"/>
  <c r="F641" i="9"/>
  <c r="F682" i="9"/>
  <c r="F695" i="9" s="1"/>
  <c r="B311" i="9"/>
  <c r="B437" i="9"/>
  <c r="B438" i="9"/>
  <c r="B397" i="9"/>
  <c r="B398" i="9"/>
  <c r="R629" i="9"/>
  <c r="R628" i="9"/>
  <c r="R668" i="9"/>
  <c r="O668" i="9"/>
  <c r="O629" i="9"/>
  <c r="O628" i="9"/>
  <c r="O669" i="9"/>
  <c r="L669" i="9"/>
  <c r="L668" i="9"/>
  <c r="L629" i="9"/>
  <c r="L628" i="9"/>
  <c r="I628" i="9"/>
  <c r="I669" i="9"/>
  <c r="I629" i="9"/>
  <c r="F629" i="9"/>
  <c r="F628" i="9"/>
  <c r="F668" i="9"/>
  <c r="B214" i="9"/>
  <c r="B213" i="9"/>
  <c r="B298" i="9"/>
  <c r="B299" i="9"/>
  <c r="B384" i="9"/>
  <c r="B385" i="9"/>
  <c r="B424" i="9"/>
  <c r="B425" i="9"/>
  <c r="F810" i="9"/>
  <c r="S805" i="9"/>
  <c r="S818" i="9" s="1"/>
  <c r="S811" i="9"/>
  <c r="S824" i="9" s="1"/>
  <c r="O805" i="9"/>
  <c r="O811" i="9"/>
  <c r="O824" i="9" s="1"/>
  <c r="K805" i="9"/>
  <c r="K811" i="9"/>
  <c r="G805" i="9"/>
  <c r="G811" i="9"/>
  <c r="C805" i="9"/>
  <c r="C818" i="9" s="1"/>
  <c r="C811" i="9"/>
  <c r="C824" i="9" s="1"/>
  <c r="S797" i="9"/>
  <c r="C797" i="9"/>
  <c r="C769" i="9"/>
  <c r="C563" i="9"/>
  <c r="C441" i="9" s="1"/>
  <c r="S773" i="9"/>
  <c r="H770" i="9"/>
  <c r="C773" i="9"/>
  <c r="Q765" i="9"/>
  <c r="Q778" i="9" s="1"/>
  <c r="Q858" i="9" s="1"/>
  <c r="Q771" i="9"/>
  <c r="M765" i="9"/>
  <c r="M771" i="9"/>
  <c r="M851" i="9" s="1"/>
  <c r="I765" i="9"/>
  <c r="I778" i="9" s="1"/>
  <c r="I858" i="9" s="1"/>
  <c r="I771" i="9"/>
  <c r="I851" i="9" s="1"/>
  <c r="E765" i="9"/>
  <c r="E771" i="9"/>
  <c r="E851" i="9" s="1"/>
  <c r="E757" i="9"/>
  <c r="C546" i="9"/>
  <c r="R685" i="9"/>
  <c r="R687" i="9" s="1"/>
  <c r="P681" i="9"/>
  <c r="O672" i="9"/>
  <c r="R669" i="9"/>
  <c r="I668" i="9"/>
  <c r="C656" i="9"/>
  <c r="C736" i="9" s="1"/>
  <c r="C635" i="9"/>
  <c r="C638" i="9"/>
  <c r="C356" i="9"/>
  <c r="S821" i="9"/>
  <c r="S861" i="9" s="1"/>
  <c r="R820" i="9"/>
  <c r="R860" i="9" s="1"/>
  <c r="T817" i="9"/>
  <c r="T857" i="9" s="1"/>
  <c r="D817" i="9"/>
  <c r="D857" i="9" s="1"/>
  <c r="Q816" i="9"/>
  <c r="G816" i="9"/>
  <c r="G856" i="9" s="1"/>
  <c r="F813" i="9"/>
  <c r="S812" i="9"/>
  <c r="S825" i="9" s="1"/>
  <c r="C812" i="9"/>
  <c r="C825" i="9" s="1"/>
  <c r="F811" i="9"/>
  <c r="F851" i="9" s="1"/>
  <c r="C809" i="9"/>
  <c r="C822" i="9" s="1"/>
  <c r="Q809" i="9"/>
  <c r="Q813" i="9" s="1"/>
  <c r="M809" i="9"/>
  <c r="I809" i="9"/>
  <c r="I813" i="9" s="1"/>
  <c r="E809" i="9"/>
  <c r="P805" i="9"/>
  <c r="J810" i="9"/>
  <c r="E813" i="9"/>
  <c r="S800" i="9"/>
  <c r="C800" i="9"/>
  <c r="R799" i="9"/>
  <c r="R825" i="9" s="1"/>
  <c r="J798" i="9"/>
  <c r="J824" i="9" s="1"/>
  <c r="E798" i="9"/>
  <c r="E824" i="9" s="1"/>
  <c r="R792" i="9"/>
  <c r="T792" i="9"/>
  <c r="T798" i="9"/>
  <c r="P792" i="9"/>
  <c r="P798" i="9"/>
  <c r="L792" i="9"/>
  <c r="L798" i="9"/>
  <c r="H792" i="9"/>
  <c r="H798" i="9"/>
  <c r="H824" i="9" s="1"/>
  <c r="D792" i="9"/>
  <c r="D798" i="9"/>
  <c r="O780" i="9"/>
  <c r="O860" i="9" s="1"/>
  <c r="N777" i="9"/>
  <c r="N857" i="9" s="1"/>
  <c r="Q776" i="9"/>
  <c r="Q856" i="9" s="1"/>
  <c r="H773" i="9"/>
  <c r="P772" i="9"/>
  <c r="P852" i="9" s="1"/>
  <c r="O771" i="9"/>
  <c r="O851" i="9" s="1"/>
  <c r="P769" i="9"/>
  <c r="C781" i="9"/>
  <c r="C861" i="9" s="1"/>
  <c r="C564" i="9"/>
  <c r="C442" i="9" s="1"/>
  <c r="R765" i="9"/>
  <c r="L770" i="9"/>
  <c r="G773" i="9"/>
  <c r="E760" i="9"/>
  <c r="H759" i="9"/>
  <c r="T756" i="9"/>
  <c r="P756" i="9"/>
  <c r="P760" i="9" s="1"/>
  <c r="L756" i="9"/>
  <c r="H756" i="9"/>
  <c r="H757" i="9" s="1"/>
  <c r="D756" i="9"/>
  <c r="O752" i="9"/>
  <c r="O785" i="9"/>
  <c r="O865" i="9" s="1"/>
  <c r="K785" i="9"/>
  <c r="G785" i="9"/>
  <c r="C759" i="9"/>
  <c r="C547" i="9"/>
  <c r="R752" i="9"/>
  <c r="R758" i="9"/>
  <c r="N752" i="9"/>
  <c r="N758" i="9"/>
  <c r="J752" i="9"/>
  <c r="J758" i="9"/>
  <c r="F752" i="9"/>
  <c r="F758" i="9"/>
  <c r="L681" i="9"/>
  <c r="C740" i="9"/>
  <c r="C648" i="9"/>
  <c r="C651" i="9"/>
  <c r="C344" i="9"/>
  <c r="C303" i="9" s="1"/>
  <c r="C524" i="9"/>
  <c r="C402" i="9" s="1"/>
  <c r="C506" i="9"/>
  <c r="H817" i="9"/>
  <c r="H857" i="9" s="1"/>
  <c r="K816" i="9"/>
  <c r="K856" i="9" s="1"/>
  <c r="G812" i="9"/>
  <c r="G852" i="9" s="1"/>
  <c r="T805" i="9"/>
  <c r="N810" i="9"/>
  <c r="D805" i="9"/>
  <c r="F799" i="9"/>
  <c r="F825" i="9" s="1"/>
  <c r="K797" i="9"/>
  <c r="S780" i="9"/>
  <c r="S860" i="9" s="1"/>
  <c r="C780" i="9"/>
  <c r="C860" i="9" s="1"/>
  <c r="R777" i="9"/>
  <c r="R857" i="9" s="1"/>
  <c r="E776" i="9"/>
  <c r="E856" i="9" s="1"/>
  <c r="T772" i="9"/>
  <c r="D772" i="9"/>
  <c r="S771" i="9"/>
  <c r="C771" i="9"/>
  <c r="P770" i="9"/>
  <c r="K773" i="9"/>
  <c r="F765" i="9"/>
  <c r="F759" i="9"/>
  <c r="C510" i="9"/>
  <c r="C550" i="9"/>
  <c r="M757" i="9"/>
  <c r="C752" i="9"/>
  <c r="M682" i="9"/>
  <c r="M690" i="9" s="1"/>
  <c r="L673" i="9"/>
  <c r="C678" i="9"/>
  <c r="C675" i="9"/>
  <c r="J669" i="9"/>
  <c r="C734" i="9"/>
  <c r="B529" i="9"/>
  <c r="B528" i="9"/>
  <c r="B608" i="9" s="1"/>
  <c r="B527" i="9"/>
  <c r="B607" i="9" s="1"/>
  <c r="B526" i="9"/>
  <c r="C520" i="9"/>
  <c r="C519" i="9"/>
  <c r="C551" i="9"/>
  <c r="C655" i="9"/>
  <c r="C735" i="9" s="1"/>
  <c r="C352" i="9"/>
  <c r="B360" i="9"/>
  <c r="B373" i="9" s="1"/>
  <c r="C722" i="9"/>
  <c r="C708" i="9"/>
  <c r="C636" i="9"/>
  <c r="B569" i="9"/>
  <c r="C560" i="9"/>
  <c r="C559" i="9"/>
  <c r="C437" i="9" s="1"/>
  <c r="C340" i="9"/>
  <c r="C339" i="9"/>
  <c r="B516" i="9"/>
  <c r="B515" i="9"/>
  <c r="B514" i="9"/>
  <c r="P449" i="7"/>
  <c r="P446" i="7"/>
  <c r="T436" i="7"/>
  <c r="T433" i="7"/>
  <c r="T454" i="7"/>
  <c r="D436" i="7"/>
  <c r="D433" i="7"/>
  <c r="D454" i="7"/>
  <c r="S402" i="7"/>
  <c r="N79" i="26" s="1"/>
  <c r="K402" i="7"/>
  <c r="H79" i="26" s="1"/>
  <c r="C402" i="7"/>
  <c r="B79" i="26" s="1"/>
  <c r="T449" i="7"/>
  <c r="T446" i="7"/>
  <c r="D449" i="7"/>
  <c r="D446" i="7"/>
  <c r="P458" i="7"/>
  <c r="X436" i="7"/>
  <c r="X433" i="7"/>
  <c r="X454" i="7"/>
  <c r="H436" i="7"/>
  <c r="H433" i="7"/>
  <c r="H454" i="7"/>
  <c r="P401" i="7"/>
  <c r="W398" i="7"/>
  <c r="O398" i="7"/>
  <c r="G398" i="7"/>
  <c r="X449" i="7"/>
  <c r="X446" i="7"/>
  <c r="H449" i="7"/>
  <c r="H446" i="7"/>
  <c r="L436" i="7"/>
  <c r="L433" i="7"/>
  <c r="L454" i="7"/>
  <c r="D401" i="7"/>
  <c r="L449" i="7"/>
  <c r="L446" i="7"/>
  <c r="X458" i="7"/>
  <c r="H458" i="7"/>
  <c r="P436" i="7"/>
  <c r="P433" i="7"/>
  <c r="P454" i="7"/>
  <c r="T402" i="7"/>
  <c r="O79" i="26" s="1"/>
  <c r="L402" i="7"/>
  <c r="I79" i="26" s="1"/>
  <c r="D402" i="7"/>
  <c r="C79" i="26" s="1"/>
  <c r="X401" i="7"/>
  <c r="H401" i="7"/>
  <c r="V445" i="7"/>
  <c r="R445" i="7"/>
  <c r="N445" i="7"/>
  <c r="J445" i="7"/>
  <c r="F445" i="7"/>
  <c r="B445" i="7"/>
  <c r="V441" i="7"/>
  <c r="R441" i="7"/>
  <c r="N441" i="7"/>
  <c r="J441" i="7"/>
  <c r="F441" i="7"/>
  <c r="B441" i="7"/>
  <c r="V433" i="7"/>
  <c r="R433" i="7"/>
  <c r="N433" i="7"/>
  <c r="J433" i="7"/>
  <c r="F433" i="7"/>
  <c r="B433" i="7"/>
  <c r="W432" i="7"/>
  <c r="Y432" i="7" s="1"/>
  <c r="S432" i="7"/>
  <c r="O432" i="7"/>
  <c r="Q432" i="7" s="1"/>
  <c r="K432" i="7"/>
  <c r="G432" i="7"/>
  <c r="C432" i="7"/>
  <c r="W428" i="7"/>
  <c r="S428" i="7"/>
  <c r="O428" i="7"/>
  <c r="K428" i="7"/>
  <c r="M428" i="7" s="1"/>
  <c r="G428" i="7"/>
  <c r="I428" i="7" s="1"/>
  <c r="C428" i="7"/>
  <c r="V402" i="7"/>
  <c r="R402" i="7"/>
  <c r="N402" i="7"/>
  <c r="J402" i="7"/>
  <c r="F402" i="7"/>
  <c r="B402" i="7"/>
  <c r="W401" i="7"/>
  <c r="S401" i="7"/>
  <c r="O401" i="7"/>
  <c r="K401" i="7"/>
  <c r="G401" i="7"/>
  <c r="C401" i="7"/>
  <c r="V398" i="7"/>
  <c r="R398" i="7"/>
  <c r="N398" i="7"/>
  <c r="J398" i="7"/>
  <c r="F398" i="7"/>
  <c r="B398" i="7"/>
  <c r="W402" i="7"/>
  <c r="Q79" i="26" s="1"/>
  <c r="O402" i="7"/>
  <c r="K79" i="26" s="1"/>
  <c r="G402" i="7"/>
  <c r="E79" i="26" s="1"/>
  <c r="V401" i="7"/>
  <c r="R401" i="7"/>
  <c r="N401" i="7"/>
  <c r="J401" i="7"/>
  <c r="F401" i="7"/>
  <c r="B401" i="7"/>
  <c r="S398" i="7"/>
  <c r="C398" i="7"/>
  <c r="S417" i="7"/>
  <c r="K417" i="7"/>
  <c r="C417" i="7"/>
  <c r="C418" i="7" s="1"/>
  <c r="Y415" i="7"/>
  <c r="U415" i="7"/>
  <c r="Q415" i="7"/>
  <c r="M415" i="7"/>
  <c r="I415" i="7"/>
  <c r="E415" i="7"/>
  <c r="X398" i="7"/>
  <c r="T398" i="7"/>
  <c r="P398" i="7"/>
  <c r="L398" i="7"/>
  <c r="C397" i="7"/>
  <c r="W445" i="7"/>
  <c r="S445" i="7"/>
  <c r="O445" i="7"/>
  <c r="K445" i="7"/>
  <c r="G445" i="7"/>
  <c r="C445" i="7"/>
  <c r="W441" i="7"/>
  <c r="S441" i="7"/>
  <c r="O441" i="7"/>
  <c r="K441" i="7"/>
  <c r="G441" i="7"/>
  <c r="C441" i="7"/>
  <c r="V417" i="7"/>
  <c r="R417" i="7"/>
  <c r="N417" i="7"/>
  <c r="J417" i="7"/>
  <c r="F417" i="7"/>
  <c r="B417" i="7"/>
  <c r="B397" i="7"/>
  <c r="X402" i="7"/>
  <c r="R79" i="26" s="1"/>
  <c r="P402" i="7"/>
  <c r="L79" i="26" s="1"/>
  <c r="H402" i="7"/>
  <c r="F79" i="26" s="1"/>
  <c r="T401" i="7"/>
  <c r="L401" i="7"/>
  <c r="K398" i="7"/>
  <c r="H398" i="7"/>
  <c r="D398" i="7"/>
  <c r="M345" i="2"/>
  <c r="M60" i="2"/>
  <c r="B312" i="9" s="1"/>
  <c r="B320" i="9" s="1"/>
  <c r="S851" i="9" l="1"/>
  <c r="B446" i="9"/>
  <c r="C981" i="24"/>
  <c r="O601" i="24"/>
  <c r="B346" i="9"/>
  <c r="B349" i="9"/>
  <c r="K1391" i="24"/>
  <c r="K1396" i="24"/>
  <c r="K1406" i="24"/>
  <c r="K1429" i="24"/>
  <c r="K1440" i="24"/>
  <c r="K1411" i="24"/>
  <c r="R1062" i="22"/>
  <c r="Q360" i="24"/>
  <c r="Q238" i="24"/>
  <c r="Q401" i="24"/>
  <c r="Q441" i="24"/>
  <c r="Q482" i="24"/>
  <c r="Q726" i="24"/>
  <c r="Q767" i="24"/>
  <c r="Q808" i="24"/>
  <c r="Q822" i="24"/>
  <c r="Q604" i="24"/>
  <c r="Q863" i="24"/>
  <c r="Q999" i="24"/>
  <c r="Q1018" i="24"/>
  <c r="Q1032" i="24"/>
  <c r="Q1140" i="24"/>
  <c r="Q1273" i="24"/>
  <c r="R1366" i="24"/>
  <c r="Q1386" i="24"/>
  <c r="BA1429" i="24"/>
  <c r="R1446" i="24"/>
  <c r="Q1467" i="24"/>
  <c r="Q1042" i="24"/>
  <c r="Q1066" i="24"/>
  <c r="Q1154" i="24"/>
  <c r="Q1173" i="24"/>
  <c r="Q1259" i="24"/>
  <c r="Q1290" i="24"/>
  <c r="BA1411" i="24"/>
  <c r="R1434" i="24"/>
  <c r="Q1449" i="24"/>
  <c r="R1461" i="24"/>
  <c r="Q1481" i="24"/>
  <c r="Q985" i="24"/>
  <c r="Q1047" i="24"/>
  <c r="Q1080" i="24"/>
  <c r="Q1187" i="24"/>
  <c r="Q1349" i="24"/>
  <c r="Q1360" i="24"/>
  <c r="Q1369" i="24"/>
  <c r="BA1391" i="24"/>
  <c r="BA1396" i="24"/>
  <c r="BA1406" i="24"/>
  <c r="Q1421" i="24"/>
  <c r="Q1452" i="24"/>
  <c r="Q1192" i="24"/>
  <c r="Q1211" i="24"/>
  <c r="Q1235" i="24"/>
  <c r="Q1254" i="24"/>
  <c r="Q1383" i="24"/>
  <c r="R1426" i="24"/>
  <c r="R1437" i="24"/>
  <c r="BA1440" i="24"/>
  <c r="R1443" i="24"/>
  <c r="R1464" i="24"/>
  <c r="R1495" i="24"/>
  <c r="I227" i="24"/>
  <c r="P948" i="22"/>
  <c r="Q11" i="24"/>
  <c r="P238" i="24"/>
  <c r="P116" i="24"/>
  <c r="P360" i="24"/>
  <c r="P401" i="24"/>
  <c r="P441" i="24"/>
  <c r="P482" i="24"/>
  <c r="P604" i="24"/>
  <c r="P822" i="24"/>
  <c r="P863" i="24"/>
  <c r="P767" i="24"/>
  <c r="P1042" i="24"/>
  <c r="P1066" i="24"/>
  <c r="P1154" i="24"/>
  <c r="P1173" i="24"/>
  <c r="P1259" i="24"/>
  <c r="P1290" i="24"/>
  <c r="AZ1411" i="24"/>
  <c r="Q1434" i="24"/>
  <c r="P1449" i="24"/>
  <c r="Q1461" i="24"/>
  <c r="P1481" i="24"/>
  <c r="P726" i="24"/>
  <c r="P985" i="24"/>
  <c r="P1047" i="24"/>
  <c r="P1080" i="24"/>
  <c r="P1187" i="24"/>
  <c r="P1349" i="24"/>
  <c r="P1360" i="24"/>
  <c r="P1369" i="24"/>
  <c r="AZ1391" i="24"/>
  <c r="AZ1396" i="24"/>
  <c r="AZ1406" i="24"/>
  <c r="P1421" i="24"/>
  <c r="P1452" i="24"/>
  <c r="P1192" i="24"/>
  <c r="P1211" i="24"/>
  <c r="P1235" i="24"/>
  <c r="P1254" i="24"/>
  <c r="P1383" i="24"/>
  <c r="Q1426" i="24"/>
  <c r="Q1437" i="24"/>
  <c r="AZ1440" i="24"/>
  <c r="Q1443" i="24"/>
  <c r="Q1464" i="24"/>
  <c r="Q1495" i="24"/>
  <c r="P808" i="24"/>
  <c r="P999" i="24"/>
  <c r="P1018" i="24"/>
  <c r="P1032" i="24"/>
  <c r="P1140" i="24"/>
  <c r="P1273" i="24"/>
  <c r="Q1366" i="24"/>
  <c r="P1386" i="24"/>
  <c r="AZ1429" i="24"/>
  <c r="Q1446" i="24"/>
  <c r="P1467" i="24"/>
  <c r="Q654" i="24"/>
  <c r="Q694" i="24" s="1"/>
  <c r="C901" i="24"/>
  <c r="C968" i="24"/>
  <c r="C206" i="24"/>
  <c r="K232" i="24"/>
  <c r="O127" i="24"/>
  <c r="S206" i="24"/>
  <c r="H219" i="24"/>
  <c r="N341" i="24"/>
  <c r="G314" i="24"/>
  <c r="N305" i="24"/>
  <c r="G395" i="24"/>
  <c r="B155" i="24"/>
  <c r="B235" i="24" s="1"/>
  <c r="R235" i="24"/>
  <c r="S546" i="24"/>
  <c r="G723" i="24"/>
  <c r="E232" i="24"/>
  <c r="I232" i="24"/>
  <c r="C215" i="24"/>
  <c r="S215" i="24"/>
  <c r="Q581" i="24"/>
  <c r="P140" i="24"/>
  <c r="C167" i="24"/>
  <c r="S167" i="24"/>
  <c r="H331" i="24"/>
  <c r="P331" i="24"/>
  <c r="F337" i="24"/>
  <c r="G305" i="24"/>
  <c r="K386" i="24"/>
  <c r="N493" i="24"/>
  <c r="K575" i="24"/>
  <c r="G518" i="24"/>
  <c r="G598" i="24" s="1"/>
  <c r="O598" i="24"/>
  <c r="N536" i="24"/>
  <c r="N558" i="24"/>
  <c r="N598" i="24" s="1"/>
  <c r="G694" i="24"/>
  <c r="B707" i="24"/>
  <c r="B671" i="24"/>
  <c r="I435" i="7"/>
  <c r="R8" i="24"/>
  <c r="K148" i="24"/>
  <c r="K228" i="24" s="1"/>
  <c r="B234" i="24"/>
  <c r="E710" i="24"/>
  <c r="L680" i="24"/>
  <c r="Q956" i="24"/>
  <c r="G682" i="24"/>
  <c r="M899" i="24"/>
  <c r="M979" i="24" s="1"/>
  <c r="M435" i="7"/>
  <c r="K461" i="7"/>
  <c r="M461" i="7" s="1"/>
  <c r="Z1429" i="24"/>
  <c r="Z1440" i="24"/>
  <c r="Z1411" i="24"/>
  <c r="Z1391" i="24"/>
  <c r="Z1396" i="24"/>
  <c r="Z1406" i="24"/>
  <c r="N130" i="24"/>
  <c r="J696" i="24"/>
  <c r="E650" i="24"/>
  <c r="E674" i="24"/>
  <c r="E714" i="24" s="1"/>
  <c r="E688" i="24"/>
  <c r="I650" i="24"/>
  <c r="I674" i="24"/>
  <c r="I714" i="24" s="1"/>
  <c r="I688" i="24"/>
  <c r="M650" i="24"/>
  <c r="M674" i="24"/>
  <c r="M714" i="24" s="1"/>
  <c r="M688" i="24"/>
  <c r="Q650" i="24"/>
  <c r="Q674" i="24"/>
  <c r="Q714" i="24" s="1"/>
  <c r="Q688" i="24"/>
  <c r="B657" i="24"/>
  <c r="B675" i="24"/>
  <c r="B715" i="24" s="1"/>
  <c r="B689" i="24"/>
  <c r="F657" i="24"/>
  <c r="F683" i="24" s="1"/>
  <c r="F689" i="24"/>
  <c r="F675" i="24"/>
  <c r="F715" i="24" s="1"/>
  <c r="J657" i="24"/>
  <c r="J675" i="24"/>
  <c r="J715" i="24" s="1"/>
  <c r="J689" i="24"/>
  <c r="N657" i="24"/>
  <c r="N683" i="24" s="1"/>
  <c r="N675" i="24"/>
  <c r="N715" i="24" s="1"/>
  <c r="N689" i="24"/>
  <c r="R657" i="24"/>
  <c r="R675" i="24"/>
  <c r="R715" i="24" s="1"/>
  <c r="R689" i="24"/>
  <c r="B584" i="24"/>
  <c r="D860" i="24"/>
  <c r="K901" i="24"/>
  <c r="K981" i="24" s="1"/>
  <c r="K968" i="24"/>
  <c r="F860" i="24"/>
  <c r="D663" i="24"/>
  <c r="D701" i="24"/>
  <c r="L663" i="24"/>
  <c r="L701" i="24"/>
  <c r="E670" i="24"/>
  <c r="E683" i="24" s="1"/>
  <c r="E723" i="24" s="1"/>
  <c r="E702" i="24"/>
  <c r="I317" i="24"/>
  <c r="I357" i="24" s="1"/>
  <c r="Q670" i="24"/>
  <c r="Q702" i="24"/>
  <c r="G317" i="24"/>
  <c r="G357" i="24" s="1"/>
  <c r="F545" i="24"/>
  <c r="F584" i="24"/>
  <c r="F1059" i="24"/>
  <c r="N978" i="24"/>
  <c r="C482" i="9"/>
  <c r="G690" i="9"/>
  <c r="G699" i="9"/>
  <c r="K699" i="9"/>
  <c r="S699" i="9"/>
  <c r="E687" i="9"/>
  <c r="M687" i="9"/>
  <c r="Q687" i="9"/>
  <c r="B99" i="24"/>
  <c r="Q357" i="24"/>
  <c r="I676" i="24"/>
  <c r="B260" i="22"/>
  <c r="C99" i="24"/>
  <c r="O130" i="24"/>
  <c r="F167" i="24"/>
  <c r="F210" i="24" s="1"/>
  <c r="M249" i="24"/>
  <c r="G289" i="24"/>
  <c r="F383" i="24"/>
  <c r="G506" i="24"/>
  <c r="H628" i="24"/>
  <c r="G152" i="24"/>
  <c r="G232" i="24" s="1"/>
  <c r="C143" i="24"/>
  <c r="L219" i="24"/>
  <c r="F188" i="24"/>
  <c r="K395" i="24"/>
  <c r="M148" i="24"/>
  <c r="E209" i="24"/>
  <c r="M209" i="24"/>
  <c r="E270" i="24"/>
  <c r="G292" i="24"/>
  <c r="L720" i="24"/>
  <c r="K720" i="24"/>
  <c r="B982" i="24"/>
  <c r="Q939" i="24"/>
  <c r="Q979" i="24" s="1"/>
  <c r="H130" i="24"/>
  <c r="P235" i="24"/>
  <c r="H152" i="24"/>
  <c r="H232" i="24" s="1"/>
  <c r="P206" i="24"/>
  <c r="Q192" i="24"/>
  <c r="G183" i="24"/>
  <c r="Q183" i="24"/>
  <c r="F395" i="24"/>
  <c r="Q509" i="24"/>
  <c r="N521" i="24"/>
  <c r="N601" i="24" s="1"/>
  <c r="L895" i="24"/>
  <c r="M902" i="24"/>
  <c r="M982" i="24" s="1"/>
  <c r="J966" i="24"/>
  <c r="G1059" i="24"/>
  <c r="D1268" i="24"/>
  <c r="G188" i="24"/>
  <c r="G228" i="24" s="1"/>
  <c r="K170" i="24"/>
  <c r="P357" i="24"/>
  <c r="D289" i="24"/>
  <c r="P292" i="24"/>
  <c r="D373" i="24"/>
  <c r="P391" i="24"/>
  <c r="R707" i="24"/>
  <c r="R671" i="24"/>
  <c r="B613" i="9"/>
  <c r="C341" i="22"/>
  <c r="B114" i="24"/>
  <c r="D588" i="24"/>
  <c r="M710" i="24"/>
  <c r="F234" i="24"/>
  <c r="I398" i="24"/>
  <c r="O585" i="24"/>
  <c r="K857" i="24"/>
  <c r="G901" i="24"/>
  <c r="G997" i="24"/>
  <c r="I421" i="2"/>
  <c r="D21" i="4"/>
  <c r="C13" i="5"/>
  <c r="D26" i="17"/>
  <c r="BB126" i="27"/>
  <c r="B165" i="22"/>
  <c r="B162" i="22"/>
  <c r="N230" i="24"/>
  <c r="S231" i="24"/>
  <c r="R130" i="24"/>
  <c r="R202" i="24"/>
  <c r="Q227" i="24"/>
  <c r="H344" i="24"/>
  <c r="N344" i="24"/>
  <c r="L902" i="24"/>
  <c r="L982" i="24" s="1"/>
  <c r="B548" i="24"/>
  <c r="R548" i="24"/>
  <c r="S901" i="24"/>
  <c r="S981" i="24" s="1"/>
  <c r="S968" i="24"/>
  <c r="E317" i="24"/>
  <c r="M670" i="24"/>
  <c r="M683" i="24" s="1"/>
  <c r="M723" i="24" s="1"/>
  <c r="M702" i="24"/>
  <c r="Q317" i="24"/>
  <c r="F316" i="24"/>
  <c r="O670" i="24"/>
  <c r="O706" i="24"/>
  <c r="M545" i="24"/>
  <c r="M547" i="24"/>
  <c r="M560" i="24" s="1"/>
  <c r="M942" i="24"/>
  <c r="H398" i="24"/>
  <c r="G981" i="24"/>
  <c r="C568" i="9"/>
  <c r="C577" i="9"/>
  <c r="I856" i="9"/>
  <c r="B329" i="9"/>
  <c r="O981" i="24"/>
  <c r="G349" i="24"/>
  <c r="E353" i="24"/>
  <c r="E357" i="24"/>
  <c r="B593" i="24"/>
  <c r="R593" i="24"/>
  <c r="C715" i="24"/>
  <c r="S715" i="24"/>
  <c r="Q719" i="24"/>
  <c r="K975" i="24"/>
  <c r="C202" i="24"/>
  <c r="S202" i="24"/>
  <c r="F302" i="24"/>
  <c r="C152" i="24"/>
  <c r="C232" i="24" s="1"/>
  <c r="K206" i="24"/>
  <c r="S152" i="24"/>
  <c r="S232" i="24" s="1"/>
  <c r="S143" i="24"/>
  <c r="F206" i="24"/>
  <c r="O314" i="24"/>
  <c r="C848" i="24"/>
  <c r="F235" i="24"/>
  <c r="E235" i="24"/>
  <c r="M235" i="24"/>
  <c r="Q514" i="24"/>
  <c r="P588" i="24"/>
  <c r="H697" i="24"/>
  <c r="P1008" i="24"/>
  <c r="M232" i="24"/>
  <c r="Q232" i="24"/>
  <c r="M575" i="24"/>
  <c r="K167" i="24"/>
  <c r="O341" i="24"/>
  <c r="L292" i="24"/>
  <c r="D370" i="24"/>
  <c r="C598" i="24"/>
  <c r="Q116" i="24"/>
  <c r="M219" i="24"/>
  <c r="M314" i="24"/>
  <c r="P395" i="24"/>
  <c r="G667" i="24"/>
  <c r="Q860" i="24"/>
  <c r="O901" i="24"/>
  <c r="C702" i="9"/>
  <c r="I286" i="2"/>
  <c r="D411" i="7"/>
  <c r="V101" i="27"/>
  <c r="I785" i="9"/>
  <c r="I852" i="9"/>
  <c r="C729" i="9"/>
  <c r="R584" i="24"/>
  <c r="L683" i="24"/>
  <c r="L723" i="24" s="1"/>
  <c r="L710" i="24"/>
  <c r="H663" i="24"/>
  <c r="H701" i="24"/>
  <c r="P663" i="24"/>
  <c r="P701" i="24"/>
  <c r="I670" i="24"/>
  <c r="I702" i="24"/>
  <c r="M317" i="24"/>
  <c r="M357" i="24" s="1"/>
  <c r="N316" i="24"/>
  <c r="C317" i="24"/>
  <c r="C357" i="24" s="1"/>
  <c r="C458" i="7"/>
  <c r="K458" i="7"/>
  <c r="S458" i="7"/>
  <c r="E432" i="7"/>
  <c r="C421" i="7"/>
  <c r="B455" i="9"/>
  <c r="B443" i="9"/>
  <c r="J839" i="9"/>
  <c r="J862" i="9"/>
  <c r="R782" i="9"/>
  <c r="R862" i="9" s="1"/>
  <c r="J699" i="9"/>
  <c r="N699" i="9"/>
  <c r="J726" i="9"/>
  <c r="N726" i="9"/>
  <c r="I782" i="9"/>
  <c r="I836" i="9"/>
  <c r="N773" i="9"/>
  <c r="N845" i="9"/>
  <c r="N770" i="9"/>
  <c r="S782" i="9"/>
  <c r="S862" i="9" s="1"/>
  <c r="S770" i="9"/>
  <c r="L825" i="9"/>
  <c r="L865" i="9" s="1"/>
  <c r="L852" i="9"/>
  <c r="J813" i="9"/>
  <c r="J849" i="9"/>
  <c r="B513" i="9"/>
  <c r="B588" i="9"/>
  <c r="K782" i="9"/>
  <c r="K862" i="9" s="1"/>
  <c r="N785" i="9"/>
  <c r="N865" i="9" s="1"/>
  <c r="N852" i="9"/>
  <c r="K849" i="9"/>
  <c r="I825" i="9"/>
  <c r="I865" i="9" s="1"/>
  <c r="J127" i="24"/>
  <c r="K155" i="24"/>
  <c r="K235" i="24" s="1"/>
  <c r="K209" i="24"/>
  <c r="S155" i="24"/>
  <c r="S235" i="24" s="1"/>
  <c r="S209" i="24"/>
  <c r="C209" i="24"/>
  <c r="C195" i="24"/>
  <c r="K143" i="24"/>
  <c r="F697" i="24"/>
  <c r="F643" i="24"/>
  <c r="F723" i="24" s="1"/>
  <c r="C235" i="24"/>
  <c r="R357" i="24"/>
  <c r="K969" i="24"/>
  <c r="S969" i="24"/>
  <c r="I942" i="24"/>
  <c r="I982" i="24" s="1"/>
  <c r="O994" i="24"/>
  <c r="O699" i="9"/>
  <c r="L726" i="9"/>
  <c r="O687" i="9"/>
  <c r="O726" i="9"/>
  <c r="E838" i="9"/>
  <c r="R865" i="9"/>
  <c r="N690" i="9"/>
  <c r="K598" i="24"/>
  <c r="S598" i="24"/>
  <c r="D458" i="7"/>
  <c r="L458" i="7"/>
  <c r="T458" i="7"/>
  <c r="B566" i="9"/>
  <c r="B574" i="9"/>
  <c r="B614" i="9" s="1"/>
  <c r="B601" i="9"/>
  <c r="N782" i="9"/>
  <c r="N862" i="9" s="1"/>
  <c r="N836" i="9"/>
  <c r="O770" i="9"/>
  <c r="O849" i="9"/>
  <c r="N800" i="9"/>
  <c r="N797" i="9"/>
  <c r="O822" i="9"/>
  <c r="O862" i="9" s="1"/>
  <c r="E825" i="9"/>
  <c r="E865" i="9" s="1"/>
  <c r="E852" i="9"/>
  <c r="G849" i="9"/>
  <c r="S849" i="9"/>
  <c r="M825" i="9"/>
  <c r="B202" i="24"/>
  <c r="B130" i="24"/>
  <c r="G155" i="24"/>
  <c r="G235" i="24" s="1"/>
  <c r="G209" i="24"/>
  <c r="O155" i="24"/>
  <c r="O235" i="24" s="1"/>
  <c r="O209" i="24"/>
  <c r="B127" i="24"/>
  <c r="C96" i="24"/>
  <c r="C74" i="24"/>
  <c r="J202" i="24"/>
  <c r="J130" i="24"/>
  <c r="N154" i="24"/>
  <c r="N234" i="24" s="1"/>
  <c r="N208" i="24"/>
  <c r="F331" i="24"/>
  <c r="F277" i="24"/>
  <c r="F357" i="24" s="1"/>
  <c r="N331" i="24"/>
  <c r="N277" i="24"/>
  <c r="N357" i="24" s="1"/>
  <c r="N697" i="24"/>
  <c r="N643" i="24"/>
  <c r="N723" i="24" s="1"/>
  <c r="B357" i="24"/>
  <c r="K585" i="24"/>
  <c r="S585" i="24"/>
  <c r="C969" i="24"/>
  <c r="H902" i="24"/>
  <c r="H982" i="24" s="1"/>
  <c r="H969" i="24"/>
  <c r="Q942" i="24"/>
  <c r="Q982" i="24" s="1"/>
  <c r="G994" i="24"/>
  <c r="H774" i="9"/>
  <c r="H786" i="9"/>
  <c r="H783" i="9"/>
  <c r="C175" i="22"/>
  <c r="C178" i="22"/>
  <c r="C166" i="22"/>
  <c r="E519" i="24"/>
  <c r="E510" i="24"/>
  <c r="E522" i="24"/>
  <c r="L900" i="24"/>
  <c r="L891" i="24"/>
  <c r="L903" i="24"/>
  <c r="B275" i="24"/>
  <c r="B266" i="24"/>
  <c r="B278" i="24"/>
  <c r="R275" i="24"/>
  <c r="R266" i="24"/>
  <c r="R278" i="24"/>
  <c r="I519" i="24"/>
  <c r="I510" i="24"/>
  <c r="I522" i="24"/>
  <c r="P900" i="24"/>
  <c r="P891" i="24"/>
  <c r="P903" i="24"/>
  <c r="X33" i="6"/>
  <c r="Y14" i="18" s="1"/>
  <c r="Y33" i="6"/>
  <c r="Z14" i="18"/>
  <c r="Y6" i="19"/>
  <c r="T1447" i="24"/>
  <c r="S173" i="26"/>
  <c r="Q519" i="24"/>
  <c r="Q510" i="24"/>
  <c r="Q522" i="24"/>
  <c r="H900" i="24"/>
  <c r="H891" i="24"/>
  <c r="H903" i="24"/>
  <c r="C399" i="7"/>
  <c r="C405" i="7"/>
  <c r="B75" i="26"/>
  <c r="H406" i="7"/>
  <c r="F76" i="26"/>
  <c r="L403" i="7"/>
  <c r="I80" i="26" s="1"/>
  <c r="I78" i="26"/>
  <c r="I417" i="7"/>
  <c r="Y417" i="7"/>
  <c r="O449" i="7"/>
  <c r="O446" i="7"/>
  <c r="T406" i="7"/>
  <c r="O76" i="26"/>
  <c r="B446" i="7"/>
  <c r="B454" i="7"/>
  <c r="E441" i="7"/>
  <c r="B449" i="7"/>
  <c r="J458" i="7"/>
  <c r="M458" i="7" s="1"/>
  <c r="M445" i="7"/>
  <c r="H450" i="7"/>
  <c r="H462" i="7"/>
  <c r="H459" i="7"/>
  <c r="B540" i="9"/>
  <c r="B620" i="9" s="1"/>
  <c r="B594" i="9"/>
  <c r="C348" i="9"/>
  <c r="C445" i="24"/>
  <c r="C360" i="9"/>
  <c r="C457" i="24"/>
  <c r="D519" i="9"/>
  <c r="C527" i="9"/>
  <c r="C599" i="9"/>
  <c r="D559" i="9"/>
  <c r="C521" i="9"/>
  <c r="J677" i="9"/>
  <c r="J703" i="9" s="1"/>
  <c r="J695" i="9"/>
  <c r="C512" i="9"/>
  <c r="D510" i="9"/>
  <c r="C536" i="9"/>
  <c r="C590" i="9"/>
  <c r="D550" i="9"/>
  <c r="T785" i="9"/>
  <c r="T865" i="9" s="1"/>
  <c r="T852" i="9"/>
  <c r="R784" i="9"/>
  <c r="R864" i="9" s="1"/>
  <c r="R838" i="9"/>
  <c r="O757" i="9"/>
  <c r="O760" i="9"/>
  <c r="O778" i="9"/>
  <c r="O832" i="9"/>
  <c r="D824" i="9"/>
  <c r="D864" i="9" s="1"/>
  <c r="D838" i="9"/>
  <c r="I810" i="9"/>
  <c r="I822" i="9"/>
  <c r="I862" i="9" s="1"/>
  <c r="I849" i="9"/>
  <c r="C718" i="9"/>
  <c r="C661" i="9"/>
  <c r="C652" i="9"/>
  <c r="C715" i="9"/>
  <c r="C664" i="9"/>
  <c r="O674" i="9"/>
  <c r="O700" i="9" s="1"/>
  <c r="O698" i="9"/>
  <c r="B433" i="9"/>
  <c r="B459" i="9" s="1"/>
  <c r="B451" i="9"/>
  <c r="B307" i="9"/>
  <c r="B333" i="9" s="1"/>
  <c r="B325" i="9"/>
  <c r="F670" i="9"/>
  <c r="F676" i="9"/>
  <c r="F694" i="9"/>
  <c r="L694" i="9"/>
  <c r="L670" i="9"/>
  <c r="L676" i="9"/>
  <c r="C445" i="9"/>
  <c r="C397" i="9"/>
  <c r="L643" i="9"/>
  <c r="L649" i="9"/>
  <c r="L721" i="9"/>
  <c r="T770" i="9"/>
  <c r="T845" i="9"/>
  <c r="T773" i="9"/>
  <c r="B353" i="9"/>
  <c r="C105" i="24"/>
  <c r="T29" i="27"/>
  <c r="N345" i="2"/>
  <c r="K24" i="15"/>
  <c r="P120" i="27"/>
  <c r="T403" i="7"/>
  <c r="O80" i="26" s="1"/>
  <c r="O78" i="26"/>
  <c r="M417" i="7"/>
  <c r="C449" i="7"/>
  <c r="C446" i="7"/>
  <c r="S449" i="7"/>
  <c r="S446" i="7"/>
  <c r="C406" i="7"/>
  <c r="B76" i="26"/>
  <c r="F403" i="7"/>
  <c r="I401" i="7"/>
  <c r="D78" i="26"/>
  <c r="N403" i="7"/>
  <c r="Q401" i="7"/>
  <c r="J78" i="26"/>
  <c r="V403" i="7"/>
  <c r="Y401" i="7"/>
  <c r="P78" i="26"/>
  <c r="I398" i="7"/>
  <c r="F406" i="7"/>
  <c r="D76" i="26"/>
  <c r="Q398" i="7"/>
  <c r="N406" i="7"/>
  <c r="J76" i="26"/>
  <c r="Y398" i="7"/>
  <c r="V406" i="7"/>
  <c r="P76" i="26"/>
  <c r="G403" i="7"/>
  <c r="E80" i="26" s="1"/>
  <c r="E78" i="26"/>
  <c r="O403" i="7"/>
  <c r="K80" i="26" s="1"/>
  <c r="K78" i="26"/>
  <c r="W403" i="7"/>
  <c r="Q80" i="26" s="1"/>
  <c r="Q78" i="26"/>
  <c r="I402" i="7"/>
  <c r="D79" i="26"/>
  <c r="Q402" i="7"/>
  <c r="J79" i="26"/>
  <c r="Y402" i="7"/>
  <c r="P79" i="26"/>
  <c r="O433" i="7"/>
  <c r="Q436" i="7" s="1"/>
  <c r="O454" i="7"/>
  <c r="O436" i="7"/>
  <c r="G458" i="7"/>
  <c r="W458" i="7"/>
  <c r="F446" i="7"/>
  <c r="F454" i="7"/>
  <c r="I441" i="7"/>
  <c r="F449" i="7"/>
  <c r="V446" i="7"/>
  <c r="V454" i="7"/>
  <c r="Y441" i="7"/>
  <c r="V449" i="7"/>
  <c r="N458" i="7"/>
  <c r="Q445" i="7"/>
  <c r="D403" i="7"/>
  <c r="C80" i="26" s="1"/>
  <c r="C78" i="26"/>
  <c r="W406" i="7"/>
  <c r="Q76" i="26"/>
  <c r="Q428" i="7"/>
  <c r="T450" i="7"/>
  <c r="T462" i="7"/>
  <c r="T459" i="7"/>
  <c r="M432" i="7"/>
  <c r="B541" i="9"/>
  <c r="B621" i="9" s="1"/>
  <c r="B595" i="9"/>
  <c r="C561" i="9"/>
  <c r="C567" i="9"/>
  <c r="D520" i="9"/>
  <c r="C528" i="9"/>
  <c r="C608" i="9" s="1"/>
  <c r="C600" i="9"/>
  <c r="D560" i="9"/>
  <c r="C692" i="9"/>
  <c r="C704" i="9"/>
  <c r="C701" i="9"/>
  <c r="C757" i="9"/>
  <c r="C760" i="9"/>
  <c r="C778" i="9"/>
  <c r="C858" i="9" s="1"/>
  <c r="C832" i="9"/>
  <c r="F839" i="9"/>
  <c r="F785" i="9"/>
  <c r="F865" i="9" s="1"/>
  <c r="C851" i="9"/>
  <c r="K840" i="9"/>
  <c r="K837" i="9"/>
  <c r="N853" i="9"/>
  <c r="N823" i="9"/>
  <c r="N850" i="9"/>
  <c r="C449" i="24"/>
  <c r="L683" i="9"/>
  <c r="L689" i="9"/>
  <c r="J778" i="9"/>
  <c r="J858" i="9" s="1"/>
  <c r="J757" i="9"/>
  <c r="J760" i="9"/>
  <c r="J832" i="9"/>
  <c r="R778" i="9"/>
  <c r="R832" i="9"/>
  <c r="R757" i="9"/>
  <c r="R760" i="9"/>
  <c r="D782" i="9"/>
  <c r="D862" i="9" s="1"/>
  <c r="D836" i="9"/>
  <c r="T782" i="9"/>
  <c r="T862" i="9" s="1"/>
  <c r="T836" i="9"/>
  <c r="L850" i="9"/>
  <c r="L853" i="9"/>
  <c r="P849" i="9"/>
  <c r="D818" i="9"/>
  <c r="D797" i="9"/>
  <c r="D800" i="9"/>
  <c r="L818" i="9"/>
  <c r="L797" i="9"/>
  <c r="L800" i="9"/>
  <c r="T818" i="9"/>
  <c r="T797" i="9"/>
  <c r="T800" i="9"/>
  <c r="M810" i="9"/>
  <c r="M814" i="9" s="1"/>
  <c r="M822" i="9"/>
  <c r="M849" i="9"/>
  <c r="P683" i="9"/>
  <c r="P689" i="9"/>
  <c r="I845" i="9"/>
  <c r="I770" i="9"/>
  <c r="I773" i="9"/>
  <c r="Q770" i="9"/>
  <c r="Q774" i="9" s="1"/>
  <c r="Q773" i="9"/>
  <c r="Q845" i="9"/>
  <c r="C565" i="9"/>
  <c r="N814" i="9"/>
  <c r="G813" i="9"/>
  <c r="G810" i="9"/>
  <c r="G845" i="9"/>
  <c r="O813" i="9"/>
  <c r="O810" i="9"/>
  <c r="O845" i="9"/>
  <c r="B426" i="9"/>
  <c r="B432" i="9"/>
  <c r="B450" i="9"/>
  <c r="B386" i="9"/>
  <c r="B392" i="9"/>
  <c r="B410" i="9"/>
  <c r="B490" i="9" s="1"/>
  <c r="B464" i="9"/>
  <c r="B300" i="9"/>
  <c r="B306" i="9"/>
  <c r="B324" i="9"/>
  <c r="F654" i="9"/>
  <c r="F734" i="9" s="1"/>
  <c r="F630" i="9"/>
  <c r="F636" i="9"/>
  <c r="F708" i="9"/>
  <c r="L637" i="9"/>
  <c r="L709" i="9"/>
  <c r="L655" i="9"/>
  <c r="L695" i="9"/>
  <c r="L677" i="9"/>
  <c r="O694" i="9"/>
  <c r="O676" i="9"/>
  <c r="O670" i="9"/>
  <c r="B406" i="9"/>
  <c r="B486" i="9" s="1"/>
  <c r="B478" i="9"/>
  <c r="B313" i="9"/>
  <c r="B319" i="9"/>
  <c r="I650" i="9"/>
  <c r="I730" i="9" s="1"/>
  <c r="I722" i="9"/>
  <c r="L690" i="9"/>
  <c r="O643" i="9"/>
  <c r="O649" i="9"/>
  <c r="O721" i="9"/>
  <c r="R690" i="9"/>
  <c r="R650" i="9"/>
  <c r="R722" i="9"/>
  <c r="D507" i="9"/>
  <c r="C515" i="9"/>
  <c r="C533" i="9"/>
  <c r="C587" i="9"/>
  <c r="D547" i="9"/>
  <c r="D770" i="9"/>
  <c r="D845" i="9"/>
  <c r="D773" i="9"/>
  <c r="M785" i="9"/>
  <c r="M865" i="9" s="1"/>
  <c r="M852" i="9"/>
  <c r="E818" i="9"/>
  <c r="E832" i="9"/>
  <c r="E797" i="9"/>
  <c r="E800" i="9"/>
  <c r="F849" i="9"/>
  <c r="F822" i="9"/>
  <c r="G630" i="9"/>
  <c r="G636" i="9"/>
  <c r="G708" i="9"/>
  <c r="G654" i="9"/>
  <c r="J654" i="9"/>
  <c r="J630" i="9"/>
  <c r="J636" i="9"/>
  <c r="J708" i="9"/>
  <c r="P637" i="9"/>
  <c r="P709" i="9"/>
  <c r="P655" i="9"/>
  <c r="P735" i="9" s="1"/>
  <c r="P695" i="9"/>
  <c r="P677" i="9"/>
  <c r="S694" i="9"/>
  <c r="S670" i="9"/>
  <c r="S676" i="9"/>
  <c r="B430" i="9"/>
  <c r="B456" i="9" s="1"/>
  <c r="B454" i="9"/>
  <c r="B390" i="9"/>
  <c r="B414" i="9"/>
  <c r="B468" i="9"/>
  <c r="F713" i="9"/>
  <c r="F659" i="9"/>
  <c r="I634" i="9"/>
  <c r="I712" i="9"/>
  <c r="I658" i="9"/>
  <c r="I698" i="9"/>
  <c r="I674" i="9"/>
  <c r="I700" i="9" s="1"/>
  <c r="O658" i="9"/>
  <c r="O738" i="9" s="1"/>
  <c r="O634" i="9"/>
  <c r="O712" i="9"/>
  <c r="R699" i="9"/>
  <c r="D690" i="9"/>
  <c r="G643" i="9"/>
  <c r="G649" i="9"/>
  <c r="G721" i="9"/>
  <c r="J650" i="9"/>
  <c r="J730" i="9" s="1"/>
  <c r="J722" i="9"/>
  <c r="M683" i="9"/>
  <c r="M689" i="9"/>
  <c r="S683" i="9"/>
  <c r="S689" i="9"/>
  <c r="B482" i="9"/>
  <c r="F726" i="9"/>
  <c r="F647" i="9"/>
  <c r="F727" i="9" s="1"/>
  <c r="F725" i="9"/>
  <c r="M838" i="9"/>
  <c r="Q837" i="9"/>
  <c r="Q840" i="9"/>
  <c r="R839" i="9"/>
  <c r="I784" i="9"/>
  <c r="I864" i="9" s="1"/>
  <c r="J814" i="9"/>
  <c r="J823" i="9"/>
  <c r="J826" i="9"/>
  <c r="E643" i="9"/>
  <c r="E649" i="9"/>
  <c r="E721" i="9"/>
  <c r="Q643" i="9"/>
  <c r="Q649" i="9"/>
  <c r="Q721" i="9"/>
  <c r="K343" i="11"/>
  <c r="K340" i="11"/>
  <c r="G658" i="9"/>
  <c r="G634" i="9"/>
  <c r="G712" i="9"/>
  <c r="K658" i="9"/>
  <c r="K634" i="9"/>
  <c r="K712" i="9"/>
  <c r="S658" i="9"/>
  <c r="S634" i="9"/>
  <c r="S712" i="9"/>
  <c r="N643" i="9"/>
  <c r="N649" i="9"/>
  <c r="N721" i="9"/>
  <c r="G726" i="9"/>
  <c r="K726" i="9"/>
  <c r="S726" i="9"/>
  <c r="S858" i="9"/>
  <c r="D778" i="9"/>
  <c r="D858" i="9" s="1"/>
  <c r="T778" i="9"/>
  <c r="T858" i="9" s="1"/>
  <c r="G826" i="9"/>
  <c r="G814" i="9"/>
  <c r="G823" i="9"/>
  <c r="K694" i="9"/>
  <c r="K676" i="9"/>
  <c r="K670" i="9"/>
  <c r="D647" i="9"/>
  <c r="D725" i="9"/>
  <c r="D687" i="9"/>
  <c r="H647" i="9"/>
  <c r="H725" i="9"/>
  <c r="H687" i="9"/>
  <c r="P647" i="9"/>
  <c r="P725" i="9"/>
  <c r="P687" i="9"/>
  <c r="T647" i="9"/>
  <c r="T725" i="9"/>
  <c r="T687" i="9"/>
  <c r="E634" i="9"/>
  <c r="E712" i="9"/>
  <c r="E658" i="9"/>
  <c r="E698" i="9"/>
  <c r="E674" i="9"/>
  <c r="E700" i="9" s="1"/>
  <c r="M634" i="9"/>
  <c r="M712" i="9"/>
  <c r="M658" i="9"/>
  <c r="M698" i="9"/>
  <c r="M674" i="9"/>
  <c r="M700" i="9" s="1"/>
  <c r="Q634" i="9"/>
  <c r="Q712" i="9"/>
  <c r="Q658" i="9"/>
  <c r="Q698" i="9"/>
  <c r="Q674" i="9"/>
  <c r="Q700" i="9" s="1"/>
  <c r="H650" i="9"/>
  <c r="H722" i="9"/>
  <c r="T650" i="9"/>
  <c r="T722" i="9"/>
  <c r="M335" i="11"/>
  <c r="X91" i="12"/>
  <c r="Y94" i="12" s="1"/>
  <c r="X94" i="12"/>
  <c r="Y86" i="12"/>
  <c r="G87" i="2"/>
  <c r="G67" i="2"/>
  <c r="G137" i="2"/>
  <c r="G152" i="2"/>
  <c r="G183" i="2"/>
  <c r="G196" i="2"/>
  <c r="G229" i="2"/>
  <c r="G243" i="2"/>
  <c r="G275" i="2"/>
  <c r="G285" i="2"/>
  <c r="G211" i="2"/>
  <c r="G303" i="2"/>
  <c r="H409" i="2"/>
  <c r="H420" i="2"/>
  <c r="G338" i="2"/>
  <c r="G359" i="2"/>
  <c r="G365" i="2"/>
  <c r="G318" i="2"/>
  <c r="G394" i="2"/>
  <c r="G438" i="2"/>
  <c r="C5" i="3"/>
  <c r="D5" i="4"/>
  <c r="D32" i="4"/>
  <c r="C5" i="5"/>
  <c r="C6" i="6"/>
  <c r="C45" i="7"/>
  <c r="C30" i="7"/>
  <c r="C7" i="7"/>
  <c r="C176" i="7"/>
  <c r="C32" i="5"/>
  <c r="C143" i="7"/>
  <c r="H429" i="2"/>
  <c r="C293" i="7"/>
  <c r="C327" i="7"/>
  <c r="C45" i="8"/>
  <c r="C176" i="8"/>
  <c r="C30" i="8"/>
  <c r="C7" i="8"/>
  <c r="C143" i="8"/>
  <c r="C517" i="8"/>
  <c r="C10" i="9"/>
  <c r="C209" i="9"/>
  <c r="C45" i="9"/>
  <c r="D294" i="9"/>
  <c r="C160" i="9"/>
  <c r="D379" i="9"/>
  <c r="B29" i="10"/>
  <c r="C7" i="10"/>
  <c r="C267" i="10"/>
  <c r="B15" i="10"/>
  <c r="C180" i="10"/>
  <c r="C21" i="10"/>
  <c r="C39" i="10"/>
  <c r="C72" i="10"/>
  <c r="C105" i="10"/>
  <c r="C404" i="11"/>
  <c r="C476" i="11"/>
  <c r="C67" i="12"/>
  <c r="C99" i="12"/>
  <c r="C172" i="12"/>
  <c r="C9" i="11"/>
  <c r="C215" i="11"/>
  <c r="C316" i="11"/>
  <c r="C348" i="11"/>
  <c r="C7" i="12"/>
  <c r="C15" i="13"/>
  <c r="C189" i="13"/>
  <c r="C20" i="14"/>
  <c r="C64" i="14"/>
  <c r="D19" i="16"/>
  <c r="C5" i="19"/>
  <c r="C5" i="21"/>
  <c r="C77" i="13"/>
  <c r="C184" i="13"/>
  <c r="C6" i="14"/>
  <c r="D57" i="16"/>
  <c r="D5" i="18"/>
  <c r="D98" i="22"/>
  <c r="C6" i="13"/>
  <c r="C7" i="15"/>
  <c r="D7" i="16"/>
  <c r="D29" i="16"/>
  <c r="D77" i="16"/>
  <c r="D25" i="17"/>
  <c r="C16" i="19"/>
  <c r="C46" i="13"/>
  <c r="C67" i="13"/>
  <c r="C95" i="13"/>
  <c r="C206" i="13"/>
  <c r="C21" i="15"/>
  <c r="D7" i="17"/>
  <c r="D4" i="22"/>
  <c r="C358" i="22"/>
  <c r="C713" i="22"/>
  <c r="D719" i="22"/>
  <c r="C952" i="22"/>
  <c r="C957" i="22"/>
  <c r="C964" i="22"/>
  <c r="C969" i="22"/>
  <c r="C976" i="22"/>
  <c r="C981" i="22"/>
  <c r="C988" i="22"/>
  <c r="C993" i="22"/>
  <c r="C1000" i="22"/>
  <c r="C1005" i="22"/>
  <c r="C1012" i="22"/>
  <c r="C1017" i="22"/>
  <c r="C1024" i="22"/>
  <c r="C1029" i="22"/>
  <c r="C1036" i="22"/>
  <c r="C1041" i="22"/>
  <c r="C1048" i="22"/>
  <c r="C1053" i="22"/>
  <c r="D1060" i="22"/>
  <c r="D1062" i="22"/>
  <c r="D1072" i="22"/>
  <c r="D1074" i="22"/>
  <c r="C1084" i="22"/>
  <c r="C1089" i="22"/>
  <c r="C1096" i="22"/>
  <c r="C1101" i="22"/>
  <c r="C1108" i="22"/>
  <c r="C1113" i="22"/>
  <c r="C1120" i="22"/>
  <c r="C1125" i="22"/>
  <c r="C1132" i="22"/>
  <c r="C1137" i="22"/>
  <c r="C1144" i="22"/>
  <c r="C1149" i="22"/>
  <c r="C1156" i="22"/>
  <c r="C1161" i="22"/>
  <c r="C1168" i="22"/>
  <c r="C1173" i="22"/>
  <c r="C1180" i="22"/>
  <c r="C116" i="24"/>
  <c r="C45" i="22"/>
  <c r="D139" i="22"/>
  <c r="D262" i="22"/>
  <c r="C344" i="22"/>
  <c r="D672" i="22"/>
  <c r="C907" i="22"/>
  <c r="D303" i="22"/>
  <c r="C386" i="22"/>
  <c r="C427" i="22"/>
  <c r="C722" i="22"/>
  <c r="C727" i="22"/>
  <c r="D180" i="22"/>
  <c r="D221" i="22"/>
  <c r="C372" i="22"/>
  <c r="C730" i="22"/>
  <c r="C771" i="22"/>
  <c r="C948" i="22"/>
  <c r="C960" i="22"/>
  <c r="C972" i="22"/>
  <c r="C984" i="22"/>
  <c r="C996" i="22"/>
  <c r="C1008" i="22"/>
  <c r="C1020" i="22"/>
  <c r="C1032" i="22"/>
  <c r="C1044" i="22"/>
  <c r="D1066" i="22"/>
  <c r="D1071" i="22"/>
  <c r="D1077" i="22"/>
  <c r="C1080" i="22"/>
  <c r="C1092" i="22"/>
  <c r="C1104" i="22"/>
  <c r="C1116" i="22"/>
  <c r="C1128" i="22"/>
  <c r="C1140" i="22"/>
  <c r="C1152" i="22"/>
  <c r="C1164" i="22"/>
  <c r="C1176" i="22"/>
  <c r="C238" i="24"/>
  <c r="C604" i="24"/>
  <c r="C999" i="24"/>
  <c r="C1080" i="24"/>
  <c r="C1154" i="24"/>
  <c r="C1235" i="24"/>
  <c r="C1360" i="24"/>
  <c r="D1366" i="24"/>
  <c r="C1421" i="24"/>
  <c r="AM1440" i="24"/>
  <c r="C1452" i="24"/>
  <c r="C893" i="22"/>
  <c r="C951" i="22"/>
  <c r="C954" i="22"/>
  <c r="C963" i="22"/>
  <c r="C966" i="22"/>
  <c r="C975" i="22"/>
  <c r="C978" i="22"/>
  <c r="C987" i="22"/>
  <c r="C990" i="22"/>
  <c r="C999" i="22"/>
  <c r="C1002" i="22"/>
  <c r="C1011" i="22"/>
  <c r="C1014" i="22"/>
  <c r="C1023" i="22"/>
  <c r="C1026" i="22"/>
  <c r="C1035" i="22"/>
  <c r="C1038" i="22"/>
  <c r="C1047" i="22"/>
  <c r="C1050" i="22"/>
  <c r="D1056" i="22"/>
  <c r="C1083" i="22"/>
  <c r="C1086" i="22"/>
  <c r="C1095" i="22"/>
  <c r="C1098" i="22"/>
  <c r="C1107" i="22"/>
  <c r="C1110" i="22"/>
  <c r="C1119" i="22"/>
  <c r="C1122" i="22"/>
  <c r="C1131" i="22"/>
  <c r="C1134" i="22"/>
  <c r="C1143" i="22"/>
  <c r="C1146" i="22"/>
  <c r="C1155" i="22"/>
  <c r="C1158" i="22"/>
  <c r="C1167" i="22"/>
  <c r="C1170" i="22"/>
  <c r="C1179" i="22"/>
  <c r="D8" i="24"/>
  <c r="C441" i="24"/>
  <c r="C482" i="24"/>
  <c r="C985" i="24"/>
  <c r="C1066" i="24"/>
  <c r="C1140" i="24"/>
  <c r="C1211" i="24"/>
  <c r="C1383" i="24"/>
  <c r="AM1406" i="24"/>
  <c r="AM1411" i="24"/>
  <c r="D1426" i="24"/>
  <c r="D1446" i="24"/>
  <c r="D1464" i="24"/>
  <c r="C958" i="22"/>
  <c r="C970" i="22"/>
  <c r="C982" i="22"/>
  <c r="C994" i="22"/>
  <c r="C1006" i="22"/>
  <c r="C1018" i="22"/>
  <c r="C1030" i="22"/>
  <c r="C1042" i="22"/>
  <c r="C1054" i="22"/>
  <c r="D1059" i="22"/>
  <c r="D1065" i="22"/>
  <c r="D1078" i="22"/>
  <c r="C1090" i="22"/>
  <c r="C1102" i="22"/>
  <c r="C1114" i="22"/>
  <c r="C1126" i="22"/>
  <c r="C1138" i="22"/>
  <c r="C1150" i="22"/>
  <c r="C1162" i="22"/>
  <c r="C1174" i="22"/>
  <c r="D11" i="24"/>
  <c r="C822" i="24"/>
  <c r="C863" i="24"/>
  <c r="C1032" i="24"/>
  <c r="C1042" i="24"/>
  <c r="C1047" i="24"/>
  <c r="C1187" i="24"/>
  <c r="C1192" i="24"/>
  <c r="D1068" i="22"/>
  <c r="C360" i="24"/>
  <c r="C401" i="24"/>
  <c r="C726" i="24"/>
  <c r="C767" i="24"/>
  <c r="C808" i="24"/>
  <c r="C1018" i="24"/>
  <c r="C1173" i="24"/>
  <c r="C1254" i="24"/>
  <c r="C1259" i="24"/>
  <c r="C1349" i="24"/>
  <c r="D1434" i="24"/>
  <c r="C1449" i="24"/>
  <c r="C1467" i="24"/>
  <c r="C1290" i="24"/>
  <c r="C1369" i="24"/>
  <c r="C1481" i="24"/>
  <c r="C1273" i="24"/>
  <c r="C1386" i="24"/>
  <c r="AM1396" i="24"/>
  <c r="AM1429" i="24"/>
  <c r="D1443" i="24"/>
  <c r="D1495" i="24"/>
  <c r="AM1391" i="24"/>
  <c r="D1437" i="24"/>
  <c r="D1461" i="24"/>
  <c r="J67" i="2"/>
  <c r="J87" i="2"/>
  <c r="J137" i="2"/>
  <c r="J152" i="2"/>
  <c r="J183" i="2"/>
  <c r="J243" i="2"/>
  <c r="J196" i="2"/>
  <c r="J211" i="2"/>
  <c r="J318" i="2"/>
  <c r="J338" i="2"/>
  <c r="J359" i="2"/>
  <c r="J365" i="2"/>
  <c r="J438" i="2"/>
  <c r="J285" i="2"/>
  <c r="J229" i="2"/>
  <c r="J303" i="2"/>
  <c r="G5" i="3"/>
  <c r="J275" i="2"/>
  <c r="K429" i="2"/>
  <c r="J394" i="2"/>
  <c r="K420" i="2"/>
  <c r="H5" i="4"/>
  <c r="H32" i="4"/>
  <c r="G6" i="6"/>
  <c r="G45" i="7"/>
  <c r="K409" i="2"/>
  <c r="G30" i="7"/>
  <c r="G176" i="7"/>
  <c r="G7" i="7"/>
  <c r="G143" i="7"/>
  <c r="G32" i="5"/>
  <c r="G5" i="5"/>
  <c r="G293" i="7"/>
  <c r="G327" i="7"/>
  <c r="G45" i="8"/>
  <c r="G176" i="8"/>
  <c r="G30" i="8"/>
  <c r="G7" i="8"/>
  <c r="G143" i="8"/>
  <c r="G517" i="8"/>
  <c r="F45" i="9"/>
  <c r="G294" i="9"/>
  <c r="F160" i="9"/>
  <c r="F10" i="9"/>
  <c r="F209" i="9"/>
  <c r="G379" i="9"/>
  <c r="F29" i="10"/>
  <c r="G7" i="10"/>
  <c r="G267" i="10"/>
  <c r="F15" i="10"/>
  <c r="G180" i="10"/>
  <c r="G21" i="10"/>
  <c r="G39" i="10"/>
  <c r="G72" i="10"/>
  <c r="G105" i="10"/>
  <c r="G404" i="11"/>
  <c r="G476" i="11"/>
  <c r="G67" i="12"/>
  <c r="G99" i="12"/>
  <c r="G172" i="12"/>
  <c r="G215" i="11"/>
  <c r="G9" i="11"/>
  <c r="G316" i="11"/>
  <c r="G348" i="11"/>
  <c r="G7" i="12"/>
  <c r="G15" i="13"/>
  <c r="G189" i="13"/>
  <c r="G20" i="14"/>
  <c r="G64" i="14"/>
  <c r="H19" i="16"/>
  <c r="G5" i="19"/>
  <c r="G98" i="22"/>
  <c r="G139" i="22"/>
  <c r="G180" i="22"/>
  <c r="G221" i="22"/>
  <c r="G262" i="22"/>
  <c r="G77" i="13"/>
  <c r="G184" i="13"/>
  <c r="G6" i="14"/>
  <c r="H57" i="16"/>
  <c r="H5" i="18"/>
  <c r="F45" i="22"/>
  <c r="G6" i="13"/>
  <c r="G7" i="15"/>
  <c r="H7" i="16"/>
  <c r="H29" i="16"/>
  <c r="H77" i="16"/>
  <c r="H25" i="17"/>
  <c r="G16" i="19"/>
  <c r="G46" i="13"/>
  <c r="G67" i="13"/>
  <c r="G95" i="13"/>
  <c r="G206" i="13"/>
  <c r="G21" i="15"/>
  <c r="H7" i="17"/>
  <c r="F5" i="21"/>
  <c r="F344" i="22"/>
  <c r="G672" i="22"/>
  <c r="F907" i="22"/>
  <c r="F948" i="22"/>
  <c r="F960" i="22"/>
  <c r="F972" i="22"/>
  <c r="F984" i="22"/>
  <c r="F996" i="22"/>
  <c r="F1008" i="22"/>
  <c r="F1020" i="22"/>
  <c r="F1032" i="22"/>
  <c r="F1044" i="22"/>
  <c r="G1059" i="22"/>
  <c r="G1071" i="22"/>
  <c r="F1080" i="22"/>
  <c r="F1092" i="22"/>
  <c r="F1104" i="22"/>
  <c r="F1116" i="22"/>
  <c r="F1128" i="22"/>
  <c r="F1140" i="22"/>
  <c r="F1152" i="22"/>
  <c r="F1164" i="22"/>
  <c r="F1176" i="22"/>
  <c r="G4" i="22"/>
  <c r="G303" i="22"/>
  <c r="F386" i="22"/>
  <c r="F427" i="22"/>
  <c r="F722" i="22"/>
  <c r="F727" i="22"/>
  <c r="F893" i="22"/>
  <c r="F372" i="22"/>
  <c r="F730" i="22"/>
  <c r="F771" i="22"/>
  <c r="F358" i="22"/>
  <c r="F713" i="22"/>
  <c r="G719" i="22"/>
  <c r="F958" i="22"/>
  <c r="F970" i="22"/>
  <c r="F982" i="22"/>
  <c r="F994" i="22"/>
  <c r="F1006" i="22"/>
  <c r="F1018" i="22"/>
  <c r="F1030" i="22"/>
  <c r="F1042" i="22"/>
  <c r="F1054" i="22"/>
  <c r="G1065" i="22"/>
  <c r="G1074" i="22"/>
  <c r="G1078" i="22"/>
  <c r="F1090" i="22"/>
  <c r="F1102" i="22"/>
  <c r="F1114" i="22"/>
  <c r="F1126" i="22"/>
  <c r="F1138" i="22"/>
  <c r="F1150" i="22"/>
  <c r="F1162" i="22"/>
  <c r="F1174" i="22"/>
  <c r="G11" i="24"/>
  <c r="F441" i="24"/>
  <c r="F482" i="24"/>
  <c r="F985" i="24"/>
  <c r="F1066" i="24"/>
  <c r="F1140" i="24"/>
  <c r="F1211" i="24"/>
  <c r="F1383" i="24"/>
  <c r="AP1406" i="24"/>
  <c r="AP1411" i="24"/>
  <c r="G1426" i="24"/>
  <c r="G1446" i="24"/>
  <c r="G1464" i="24"/>
  <c r="F952" i="22"/>
  <c r="F964" i="22"/>
  <c r="F976" i="22"/>
  <c r="F988" i="22"/>
  <c r="F1000" i="22"/>
  <c r="F1012" i="22"/>
  <c r="F1024" i="22"/>
  <c r="F1036" i="22"/>
  <c r="F1048" i="22"/>
  <c r="G1068" i="22"/>
  <c r="G1072" i="22"/>
  <c r="F1084" i="22"/>
  <c r="F1096" i="22"/>
  <c r="F1108" i="22"/>
  <c r="F1120" i="22"/>
  <c r="F1132" i="22"/>
  <c r="F1144" i="22"/>
  <c r="F1156" i="22"/>
  <c r="F1168" i="22"/>
  <c r="F1180" i="22"/>
  <c r="F116" i="24"/>
  <c r="F822" i="24"/>
  <c r="F863" i="24"/>
  <c r="F1032" i="24"/>
  <c r="F1042" i="24"/>
  <c r="F1047" i="24"/>
  <c r="F1187" i="24"/>
  <c r="F1192" i="24"/>
  <c r="F1273" i="24"/>
  <c r="F1290" i="24"/>
  <c r="F1369" i="24"/>
  <c r="F1386" i="24"/>
  <c r="AP1391" i="24"/>
  <c r="AP1396" i="24"/>
  <c r="AP1429" i="24"/>
  <c r="G1437" i="24"/>
  <c r="G1443" i="24"/>
  <c r="G1461" i="24"/>
  <c r="F1481" i="24"/>
  <c r="G1495" i="24"/>
  <c r="G1062" i="22"/>
  <c r="G1066" i="22"/>
  <c r="G1077" i="22"/>
  <c r="F360" i="24"/>
  <c r="F401" i="24"/>
  <c r="F726" i="24"/>
  <c r="F767" i="24"/>
  <c r="F808" i="24"/>
  <c r="F1018" i="24"/>
  <c r="F1173" i="24"/>
  <c r="F951" i="22"/>
  <c r="F954" i="22"/>
  <c r="F957" i="22"/>
  <c r="F963" i="22"/>
  <c r="F966" i="22"/>
  <c r="F969" i="22"/>
  <c r="F975" i="22"/>
  <c r="F978" i="22"/>
  <c r="F981" i="22"/>
  <c r="F987" i="22"/>
  <c r="F990" i="22"/>
  <c r="F993" i="22"/>
  <c r="F999" i="22"/>
  <c r="F1002" i="22"/>
  <c r="F1005" i="22"/>
  <c r="F1011" i="22"/>
  <c r="F1014" i="22"/>
  <c r="F1017" i="22"/>
  <c r="F1023" i="22"/>
  <c r="F1026" i="22"/>
  <c r="F1029" i="22"/>
  <c r="F1035" i="22"/>
  <c r="F1038" i="22"/>
  <c r="F1041" i="22"/>
  <c r="F1047" i="22"/>
  <c r="F1050" i="22"/>
  <c r="F1053" i="22"/>
  <c r="G1056" i="22"/>
  <c r="G1060" i="22"/>
  <c r="F1083" i="22"/>
  <c r="F1086" i="22"/>
  <c r="F1089" i="22"/>
  <c r="F1095" i="22"/>
  <c r="F1098" i="22"/>
  <c r="F1101" i="22"/>
  <c r="F1107" i="22"/>
  <c r="F1110" i="22"/>
  <c r="F1113" i="22"/>
  <c r="F1119" i="22"/>
  <c r="F1122" i="22"/>
  <c r="F1125" i="22"/>
  <c r="F1131" i="22"/>
  <c r="F1134" i="22"/>
  <c r="F1137" i="22"/>
  <c r="F1143" i="22"/>
  <c r="F1146" i="22"/>
  <c r="F1149" i="22"/>
  <c r="F1155" i="22"/>
  <c r="F1158" i="22"/>
  <c r="F1161" i="22"/>
  <c r="F1167" i="22"/>
  <c r="F1170" i="22"/>
  <c r="F1173" i="22"/>
  <c r="F1179" i="22"/>
  <c r="G8" i="24"/>
  <c r="F238" i="24"/>
  <c r="F604" i="24"/>
  <c r="F999" i="24"/>
  <c r="F1080" i="24"/>
  <c r="F1154" i="24"/>
  <c r="F1235" i="24"/>
  <c r="F1360" i="24"/>
  <c r="G1366" i="24"/>
  <c r="F1421" i="24"/>
  <c r="AP1440" i="24"/>
  <c r="F1452" i="24"/>
  <c r="F1349" i="24"/>
  <c r="F1467" i="24"/>
  <c r="F1259" i="24"/>
  <c r="F1254" i="24"/>
  <c r="G1434" i="24"/>
  <c r="F1449" i="24"/>
  <c r="M67" i="2"/>
  <c r="M87" i="2"/>
  <c r="M137" i="2"/>
  <c r="M152" i="2"/>
  <c r="M196" i="2"/>
  <c r="M183" i="2"/>
  <c r="M211" i="2"/>
  <c r="M318" i="2"/>
  <c r="M229" i="2"/>
  <c r="M243" i="2"/>
  <c r="M275" i="2"/>
  <c r="M285" i="2"/>
  <c r="M338" i="2"/>
  <c r="M359" i="2"/>
  <c r="M365" i="2"/>
  <c r="M303" i="2"/>
  <c r="N429" i="2"/>
  <c r="M394" i="2"/>
  <c r="N409" i="2"/>
  <c r="N420" i="2"/>
  <c r="M438" i="2"/>
  <c r="L5" i="4"/>
  <c r="L32" i="4"/>
  <c r="K5" i="3"/>
  <c r="K5" i="5"/>
  <c r="K6" i="6"/>
  <c r="K45" i="7"/>
  <c r="K30" i="7"/>
  <c r="K32" i="5"/>
  <c r="K176" i="7"/>
  <c r="K7" i="7"/>
  <c r="K143" i="7"/>
  <c r="K293" i="7"/>
  <c r="K327" i="7"/>
  <c r="K45" i="8"/>
  <c r="K176" i="8"/>
  <c r="K30" i="8"/>
  <c r="K7" i="8"/>
  <c r="K143" i="8"/>
  <c r="K517" i="8"/>
  <c r="I160" i="9"/>
  <c r="I10" i="9"/>
  <c r="I209" i="9"/>
  <c r="I45" i="9"/>
  <c r="J294" i="9"/>
  <c r="J379" i="9"/>
  <c r="J29" i="10"/>
  <c r="K7" i="10"/>
  <c r="K267" i="10"/>
  <c r="J15" i="10"/>
  <c r="K180" i="10"/>
  <c r="K21" i="10"/>
  <c r="K39" i="10"/>
  <c r="K72" i="10"/>
  <c r="K105" i="10"/>
  <c r="K404" i="11"/>
  <c r="K476" i="11"/>
  <c r="K67" i="12"/>
  <c r="K99" i="12"/>
  <c r="K172" i="12"/>
  <c r="K215" i="11"/>
  <c r="K316" i="11"/>
  <c r="K348" i="11"/>
  <c r="K7" i="12"/>
  <c r="K9" i="11"/>
  <c r="K15" i="13"/>
  <c r="K189" i="13"/>
  <c r="K20" i="14"/>
  <c r="K64" i="14"/>
  <c r="L19" i="16"/>
  <c r="K5" i="19"/>
  <c r="I45" i="22"/>
  <c r="K77" i="13"/>
  <c r="K184" i="13"/>
  <c r="K6" i="14"/>
  <c r="L57" i="16"/>
  <c r="L5" i="18"/>
  <c r="J4" i="22"/>
  <c r="K6" i="13"/>
  <c r="K7" i="15"/>
  <c r="L7" i="16"/>
  <c r="L29" i="16"/>
  <c r="L77" i="16"/>
  <c r="L25" i="17"/>
  <c r="K16" i="19"/>
  <c r="I5" i="21"/>
  <c r="K46" i="13"/>
  <c r="K67" i="13"/>
  <c r="K95" i="13"/>
  <c r="K206" i="13"/>
  <c r="K21" i="15"/>
  <c r="L7" i="17"/>
  <c r="J98" i="22"/>
  <c r="J180" i="22"/>
  <c r="J221" i="22"/>
  <c r="J303" i="22"/>
  <c r="I386" i="22"/>
  <c r="I427" i="22"/>
  <c r="I722" i="22"/>
  <c r="I727" i="22"/>
  <c r="I893" i="22"/>
  <c r="I951" i="22"/>
  <c r="I958" i="22"/>
  <c r="I963" i="22"/>
  <c r="I970" i="22"/>
  <c r="I975" i="22"/>
  <c r="I982" i="22"/>
  <c r="I987" i="22"/>
  <c r="I994" i="22"/>
  <c r="I999" i="22"/>
  <c r="I1006" i="22"/>
  <c r="I1011" i="22"/>
  <c r="I1018" i="22"/>
  <c r="I1023" i="22"/>
  <c r="I1030" i="22"/>
  <c r="I1035" i="22"/>
  <c r="I1042" i="22"/>
  <c r="I1047" i="22"/>
  <c r="I1054" i="22"/>
  <c r="J1056" i="22"/>
  <c r="J1066" i="22"/>
  <c r="J1068" i="22"/>
  <c r="J1078" i="22"/>
  <c r="I1083" i="22"/>
  <c r="I1090" i="22"/>
  <c r="I1095" i="22"/>
  <c r="I1102" i="22"/>
  <c r="I1107" i="22"/>
  <c r="I1114" i="22"/>
  <c r="I1119" i="22"/>
  <c r="I1126" i="22"/>
  <c r="I1131" i="22"/>
  <c r="I1138" i="22"/>
  <c r="I1143" i="22"/>
  <c r="I1150" i="22"/>
  <c r="I1155" i="22"/>
  <c r="I1162" i="22"/>
  <c r="I1167" i="22"/>
  <c r="I1174" i="22"/>
  <c r="I1179" i="22"/>
  <c r="J11" i="24"/>
  <c r="I372" i="22"/>
  <c r="I730" i="22"/>
  <c r="I771" i="22"/>
  <c r="J139" i="22"/>
  <c r="J262" i="22"/>
  <c r="I358" i="22"/>
  <c r="I713" i="22"/>
  <c r="J719" i="22"/>
  <c r="I344" i="22"/>
  <c r="J672" i="22"/>
  <c r="I907" i="22"/>
  <c r="J1062" i="22"/>
  <c r="J1077" i="22"/>
  <c r="I822" i="24"/>
  <c r="I863" i="24"/>
  <c r="I1032" i="24"/>
  <c r="I1042" i="24"/>
  <c r="I1047" i="24"/>
  <c r="I1187" i="24"/>
  <c r="I1192" i="24"/>
  <c r="I1273" i="24"/>
  <c r="I1290" i="24"/>
  <c r="I1369" i="24"/>
  <c r="I1386" i="24"/>
  <c r="AS1391" i="24"/>
  <c r="AS1396" i="24"/>
  <c r="AS1429" i="24"/>
  <c r="J1437" i="24"/>
  <c r="J1443" i="24"/>
  <c r="J1461" i="24"/>
  <c r="I1481" i="24"/>
  <c r="J1495" i="24"/>
  <c r="I948" i="22"/>
  <c r="I954" i="22"/>
  <c r="I957" i="22"/>
  <c r="I960" i="22"/>
  <c r="I966" i="22"/>
  <c r="I969" i="22"/>
  <c r="I972" i="22"/>
  <c r="I978" i="22"/>
  <c r="I981" i="22"/>
  <c r="I984" i="22"/>
  <c r="I990" i="22"/>
  <c r="I993" i="22"/>
  <c r="I996" i="22"/>
  <c r="I1002" i="22"/>
  <c r="I1005" i="22"/>
  <c r="I1008" i="22"/>
  <c r="I1014" i="22"/>
  <c r="I1017" i="22"/>
  <c r="I1020" i="22"/>
  <c r="I1026" i="22"/>
  <c r="I1029" i="22"/>
  <c r="I1032" i="22"/>
  <c r="I1038" i="22"/>
  <c r="I1041" i="22"/>
  <c r="I1044" i="22"/>
  <c r="I1050" i="22"/>
  <c r="I1053" i="22"/>
  <c r="J1060" i="22"/>
  <c r="J1071" i="22"/>
  <c r="I1080" i="22"/>
  <c r="I1086" i="22"/>
  <c r="I1089" i="22"/>
  <c r="I1092" i="22"/>
  <c r="I1098" i="22"/>
  <c r="I1101" i="22"/>
  <c r="I1104" i="22"/>
  <c r="I1110" i="22"/>
  <c r="I1113" i="22"/>
  <c r="I1116" i="22"/>
  <c r="I1122" i="22"/>
  <c r="I1125" i="22"/>
  <c r="I1128" i="22"/>
  <c r="I1134" i="22"/>
  <c r="I1137" i="22"/>
  <c r="I1140" i="22"/>
  <c r="I1146" i="22"/>
  <c r="I1149" i="22"/>
  <c r="I1152" i="22"/>
  <c r="I1158" i="22"/>
  <c r="I1161" i="22"/>
  <c r="I1164" i="22"/>
  <c r="I1170" i="22"/>
  <c r="I1173" i="22"/>
  <c r="I1176" i="22"/>
  <c r="J8" i="24"/>
  <c r="I360" i="24"/>
  <c r="I401" i="24"/>
  <c r="I726" i="24"/>
  <c r="I767" i="24"/>
  <c r="I808" i="24"/>
  <c r="I1018" i="24"/>
  <c r="I1173" i="24"/>
  <c r="I1254" i="24"/>
  <c r="I1259" i="24"/>
  <c r="I1349" i="24"/>
  <c r="J1434" i="24"/>
  <c r="I1449" i="24"/>
  <c r="I1467" i="24"/>
  <c r="J1065" i="22"/>
  <c r="J1074" i="22"/>
  <c r="I238" i="24"/>
  <c r="I604" i="24"/>
  <c r="I999" i="24"/>
  <c r="I1080" i="24"/>
  <c r="I1154" i="24"/>
  <c r="I952" i="22"/>
  <c r="I964" i="22"/>
  <c r="I976" i="22"/>
  <c r="I988" i="22"/>
  <c r="I1000" i="22"/>
  <c r="I1012" i="22"/>
  <c r="I1024" i="22"/>
  <c r="I1036" i="22"/>
  <c r="I1048" i="22"/>
  <c r="J1059" i="22"/>
  <c r="J1072" i="22"/>
  <c r="I1084" i="22"/>
  <c r="I1096" i="22"/>
  <c r="I1108" i="22"/>
  <c r="I1120" i="22"/>
  <c r="I1132" i="22"/>
  <c r="I1144" i="22"/>
  <c r="I1156" i="22"/>
  <c r="I1168" i="22"/>
  <c r="I1180" i="22"/>
  <c r="I116" i="24"/>
  <c r="I441" i="24"/>
  <c r="I482" i="24"/>
  <c r="I985" i="24"/>
  <c r="I1066" i="24"/>
  <c r="I1140" i="24"/>
  <c r="I1211" i="24"/>
  <c r="I1383" i="24"/>
  <c r="AS1406" i="24"/>
  <c r="AS1411" i="24"/>
  <c r="J1426" i="24"/>
  <c r="J1446" i="24"/>
  <c r="J1464" i="24"/>
  <c r="I1235" i="24"/>
  <c r="I1452" i="24"/>
  <c r="J1366" i="24"/>
  <c r="I1360" i="24"/>
  <c r="AS1440" i="24"/>
  <c r="I1421" i="24"/>
  <c r="N67" i="2"/>
  <c r="N87" i="2"/>
  <c r="N137" i="2"/>
  <c r="N243" i="2"/>
  <c r="N152" i="2"/>
  <c r="N196" i="2"/>
  <c r="N183" i="2"/>
  <c r="N211" i="2"/>
  <c r="N229" i="2"/>
  <c r="N318" i="2"/>
  <c r="N275" i="2"/>
  <c r="N285" i="2"/>
  <c r="N338" i="2"/>
  <c r="N359" i="2"/>
  <c r="N365" i="2"/>
  <c r="N438" i="2"/>
  <c r="N303" i="2"/>
  <c r="N394" i="2"/>
  <c r="O429" i="2"/>
  <c r="L5" i="3"/>
  <c r="O409" i="2"/>
  <c r="O420" i="2"/>
  <c r="L5" i="5"/>
  <c r="L32" i="5"/>
  <c r="L7" i="7"/>
  <c r="M5" i="4"/>
  <c r="L6" i="6"/>
  <c r="L45" i="7"/>
  <c r="L176" i="7"/>
  <c r="M32" i="4"/>
  <c r="L30" i="7"/>
  <c r="L143" i="7"/>
  <c r="L327" i="7"/>
  <c r="L293" i="7"/>
  <c r="L7" i="8"/>
  <c r="L45" i="8"/>
  <c r="L30" i="8"/>
  <c r="L143" i="8"/>
  <c r="L176" i="8"/>
  <c r="L517" i="8"/>
  <c r="J45" i="9"/>
  <c r="K294" i="9"/>
  <c r="J160" i="9"/>
  <c r="J10" i="9"/>
  <c r="J209" i="9"/>
  <c r="K379" i="9"/>
  <c r="L21" i="10"/>
  <c r="L39" i="10"/>
  <c r="L72" i="10"/>
  <c r="L105" i="10"/>
  <c r="K29" i="10"/>
  <c r="L7" i="10"/>
  <c r="L267" i="10"/>
  <c r="K15" i="10"/>
  <c r="L180" i="10"/>
  <c r="L9" i="11"/>
  <c r="L404" i="11"/>
  <c r="L476" i="11"/>
  <c r="L67" i="12"/>
  <c r="L99" i="12"/>
  <c r="L215" i="11"/>
  <c r="L316" i="11"/>
  <c r="L348" i="11"/>
  <c r="L7" i="12"/>
  <c r="L172" i="12"/>
  <c r="L46" i="13"/>
  <c r="L67" i="13"/>
  <c r="L95" i="13"/>
  <c r="L206" i="13"/>
  <c r="L21" i="15"/>
  <c r="M7" i="17"/>
  <c r="K98" i="22"/>
  <c r="K139" i="22"/>
  <c r="K180" i="22"/>
  <c r="K221" i="22"/>
  <c r="K262" i="22"/>
  <c r="L15" i="13"/>
  <c r="L189" i="13"/>
  <c r="L20" i="14"/>
  <c r="L64" i="14"/>
  <c r="M19" i="16"/>
  <c r="L5" i="19"/>
  <c r="J45" i="22"/>
  <c r="L77" i="13"/>
  <c r="L184" i="13"/>
  <c r="L6" i="14"/>
  <c r="M57" i="16"/>
  <c r="M5" i="18"/>
  <c r="L6" i="13"/>
  <c r="L7" i="15"/>
  <c r="M7" i="16"/>
  <c r="M29" i="16"/>
  <c r="M77" i="16"/>
  <c r="M25" i="17"/>
  <c r="L16" i="19"/>
  <c r="J5" i="21"/>
  <c r="J344" i="22"/>
  <c r="K672" i="22"/>
  <c r="J907" i="22"/>
  <c r="J948" i="22"/>
  <c r="J960" i="22"/>
  <c r="J972" i="22"/>
  <c r="J984" i="22"/>
  <c r="J996" i="22"/>
  <c r="J1008" i="22"/>
  <c r="J1020" i="22"/>
  <c r="J1032" i="22"/>
  <c r="J1044" i="22"/>
  <c r="K1059" i="22"/>
  <c r="K1071" i="22"/>
  <c r="J1080" i="22"/>
  <c r="J1092" i="22"/>
  <c r="J1104" i="22"/>
  <c r="J1116" i="22"/>
  <c r="J1128" i="22"/>
  <c r="J1140" i="22"/>
  <c r="J1152" i="22"/>
  <c r="J1164" i="22"/>
  <c r="J1176" i="22"/>
  <c r="K303" i="22"/>
  <c r="J386" i="22"/>
  <c r="J427" i="22"/>
  <c r="J722" i="22"/>
  <c r="J727" i="22"/>
  <c r="J893" i="22"/>
  <c r="K4" i="22"/>
  <c r="J372" i="22"/>
  <c r="J730" i="22"/>
  <c r="J771" i="22"/>
  <c r="J358" i="22"/>
  <c r="J713" i="22"/>
  <c r="K719" i="22"/>
  <c r="J952" i="22"/>
  <c r="J964" i="22"/>
  <c r="J976" i="22"/>
  <c r="J988" i="22"/>
  <c r="J1000" i="22"/>
  <c r="J1012" i="22"/>
  <c r="J1024" i="22"/>
  <c r="J1036" i="22"/>
  <c r="J1048" i="22"/>
  <c r="K1068" i="22"/>
  <c r="K1072" i="22"/>
  <c r="J1084" i="22"/>
  <c r="J1096" i="22"/>
  <c r="J1108" i="22"/>
  <c r="J1120" i="22"/>
  <c r="J1132" i="22"/>
  <c r="J1144" i="22"/>
  <c r="J1156" i="22"/>
  <c r="J1168" i="22"/>
  <c r="J1180" i="22"/>
  <c r="J116" i="24"/>
  <c r="J441" i="24"/>
  <c r="J482" i="24"/>
  <c r="J985" i="24"/>
  <c r="J1066" i="24"/>
  <c r="J1140" i="24"/>
  <c r="J1211" i="24"/>
  <c r="J1383" i="24"/>
  <c r="AT1406" i="24"/>
  <c r="AT1411" i="24"/>
  <c r="K1426" i="24"/>
  <c r="K1446" i="24"/>
  <c r="K1464" i="24"/>
  <c r="K1062" i="22"/>
  <c r="K1066" i="22"/>
  <c r="K1077" i="22"/>
  <c r="J822" i="24"/>
  <c r="J863" i="24"/>
  <c r="J1032" i="24"/>
  <c r="J1042" i="24"/>
  <c r="J1047" i="24"/>
  <c r="J1187" i="24"/>
  <c r="J1192" i="24"/>
  <c r="J1273" i="24"/>
  <c r="J1290" i="24"/>
  <c r="J1369" i="24"/>
  <c r="J1386" i="24"/>
  <c r="AT1391" i="24"/>
  <c r="AT1396" i="24"/>
  <c r="AT1429" i="24"/>
  <c r="K1437" i="24"/>
  <c r="K1443" i="24"/>
  <c r="K1461" i="24"/>
  <c r="J1481" i="24"/>
  <c r="K1495" i="24"/>
  <c r="J951" i="22"/>
  <c r="J954" i="22"/>
  <c r="J957" i="22"/>
  <c r="J963" i="22"/>
  <c r="J966" i="22"/>
  <c r="J969" i="22"/>
  <c r="J975" i="22"/>
  <c r="J978" i="22"/>
  <c r="J981" i="22"/>
  <c r="J987" i="22"/>
  <c r="J990" i="22"/>
  <c r="J993" i="22"/>
  <c r="J999" i="22"/>
  <c r="J1002" i="22"/>
  <c r="J1005" i="22"/>
  <c r="J1011" i="22"/>
  <c r="J1014" i="22"/>
  <c r="J1017" i="22"/>
  <c r="J1023" i="22"/>
  <c r="J1026" i="22"/>
  <c r="J1029" i="22"/>
  <c r="J1035" i="22"/>
  <c r="J1038" i="22"/>
  <c r="J1041" i="22"/>
  <c r="J1047" i="22"/>
  <c r="J1050" i="22"/>
  <c r="J1053" i="22"/>
  <c r="K1056" i="22"/>
  <c r="K1060" i="22"/>
  <c r="J1083" i="22"/>
  <c r="J1086" i="22"/>
  <c r="J1089" i="22"/>
  <c r="J1095" i="22"/>
  <c r="J1098" i="22"/>
  <c r="J1101" i="22"/>
  <c r="J1107" i="22"/>
  <c r="J1110" i="22"/>
  <c r="J1113" i="22"/>
  <c r="J1119" i="22"/>
  <c r="J1122" i="22"/>
  <c r="J1125" i="22"/>
  <c r="J1131" i="22"/>
  <c r="J1134" i="22"/>
  <c r="J1137" i="22"/>
  <c r="J1143" i="22"/>
  <c r="J1146" i="22"/>
  <c r="J1149" i="22"/>
  <c r="J1155" i="22"/>
  <c r="J1158" i="22"/>
  <c r="J1161" i="22"/>
  <c r="J1167" i="22"/>
  <c r="J1170" i="22"/>
  <c r="J1173" i="22"/>
  <c r="J1179" i="22"/>
  <c r="K8" i="24"/>
  <c r="J360" i="24"/>
  <c r="J401" i="24"/>
  <c r="J726" i="24"/>
  <c r="J767" i="24"/>
  <c r="J808" i="24"/>
  <c r="J1018" i="24"/>
  <c r="J1173" i="24"/>
  <c r="J958" i="22"/>
  <c r="J970" i="22"/>
  <c r="J982" i="22"/>
  <c r="J994" i="22"/>
  <c r="J1006" i="22"/>
  <c r="J1018" i="22"/>
  <c r="J1030" i="22"/>
  <c r="J1042" i="22"/>
  <c r="J1054" i="22"/>
  <c r="K1065" i="22"/>
  <c r="K1074" i="22"/>
  <c r="K1078" i="22"/>
  <c r="J1090" i="22"/>
  <c r="J1102" i="22"/>
  <c r="J1114" i="22"/>
  <c r="J1126" i="22"/>
  <c r="J1138" i="22"/>
  <c r="J1150" i="22"/>
  <c r="J1162" i="22"/>
  <c r="J1174" i="22"/>
  <c r="K11" i="24"/>
  <c r="J238" i="24"/>
  <c r="J604" i="24"/>
  <c r="J999" i="24"/>
  <c r="J1080" i="24"/>
  <c r="J1154" i="24"/>
  <c r="J1235" i="24"/>
  <c r="J1360" i="24"/>
  <c r="K1366" i="24"/>
  <c r="J1421" i="24"/>
  <c r="AT1440" i="24"/>
  <c r="J1452" i="24"/>
  <c r="J1259" i="24"/>
  <c r="J1254" i="24"/>
  <c r="K1434" i="24"/>
  <c r="J1449" i="24"/>
  <c r="J1349" i="24"/>
  <c r="J1467" i="24"/>
  <c r="C27" i="16"/>
  <c r="C1398" i="24"/>
  <c r="G1398" i="24"/>
  <c r="K1398" i="24"/>
  <c r="O1398" i="24"/>
  <c r="S1398" i="24"/>
  <c r="W1398" i="24"/>
  <c r="AA1398" i="24"/>
  <c r="AE1398" i="24"/>
  <c r="AI1398" i="24"/>
  <c r="AM1398" i="24"/>
  <c r="AQ1398" i="24"/>
  <c r="AU1398" i="24"/>
  <c r="AY1398" i="24"/>
  <c r="BC1398" i="24"/>
  <c r="C1431" i="24"/>
  <c r="G1431" i="24"/>
  <c r="K1431" i="24"/>
  <c r="O1431" i="24"/>
  <c r="S1431" i="24"/>
  <c r="W1431" i="24"/>
  <c r="AA1431" i="24"/>
  <c r="AE1431" i="24"/>
  <c r="AI1431" i="24"/>
  <c r="D1398" i="24"/>
  <c r="H1398" i="24"/>
  <c r="L1398" i="24"/>
  <c r="P1398" i="24"/>
  <c r="T1398" i="24"/>
  <c r="X1398" i="24"/>
  <c r="AB1398" i="24"/>
  <c r="AF1398" i="24"/>
  <c r="AJ1398" i="24"/>
  <c r="AN1398" i="24"/>
  <c r="AR1398" i="24"/>
  <c r="AV1398" i="24"/>
  <c r="AZ1398" i="24"/>
  <c r="D1431" i="24"/>
  <c r="H1431" i="24"/>
  <c r="L1431" i="24"/>
  <c r="P1431" i="24"/>
  <c r="T1431" i="24"/>
  <c r="X1431" i="24"/>
  <c r="AB1431" i="24"/>
  <c r="AF1431" i="24"/>
  <c r="AJ1431" i="24"/>
  <c r="B1398" i="24"/>
  <c r="F1398" i="24"/>
  <c r="J1398" i="24"/>
  <c r="N1398" i="24"/>
  <c r="R1398" i="24"/>
  <c r="V1398" i="24"/>
  <c r="Z1398" i="24"/>
  <c r="AD1398" i="24"/>
  <c r="AH1398" i="24"/>
  <c r="AL1398" i="24"/>
  <c r="AP1398" i="24"/>
  <c r="AT1398" i="24"/>
  <c r="AX1398" i="24"/>
  <c r="BB1398" i="24"/>
  <c r="B1431" i="24"/>
  <c r="F1431" i="24"/>
  <c r="J1431" i="24"/>
  <c r="N1431" i="24"/>
  <c r="R1431" i="24"/>
  <c r="V1431" i="24"/>
  <c r="Z1431" i="24"/>
  <c r="AD1431" i="24"/>
  <c r="AH1431" i="24"/>
  <c r="I1398" i="24"/>
  <c r="Y1398" i="24"/>
  <c r="AO1398" i="24"/>
  <c r="I1431" i="24"/>
  <c r="Y1431" i="24"/>
  <c r="M1398" i="24"/>
  <c r="AC1398" i="24"/>
  <c r="AS1398" i="24"/>
  <c r="M1431" i="24"/>
  <c r="AC1431" i="24"/>
  <c r="Q1398" i="24"/>
  <c r="AG1398" i="24"/>
  <c r="AW1398" i="24"/>
  <c r="Q1431" i="24"/>
  <c r="AG1431" i="24"/>
  <c r="AL122" i="27"/>
  <c r="E1398" i="24"/>
  <c r="U1398" i="24"/>
  <c r="AK1398" i="24"/>
  <c r="BA1398" i="24"/>
  <c r="E1431" i="24"/>
  <c r="U1431" i="24"/>
  <c r="I221" i="24"/>
  <c r="I154" i="24"/>
  <c r="I234" i="24" s="1"/>
  <c r="H194" i="24"/>
  <c r="H234" i="24" s="1"/>
  <c r="H208" i="24"/>
  <c r="G221" i="24"/>
  <c r="G194" i="24"/>
  <c r="C276" i="24"/>
  <c r="C356" i="24" s="1"/>
  <c r="C330" i="24"/>
  <c r="S276" i="24"/>
  <c r="S356" i="24" s="1"/>
  <c r="S330" i="24"/>
  <c r="N343" i="24"/>
  <c r="N276" i="24"/>
  <c r="N356" i="24" s="1"/>
  <c r="F520" i="24"/>
  <c r="F600" i="24" s="1"/>
  <c r="F574" i="24"/>
  <c r="E587" i="24"/>
  <c r="E520" i="24"/>
  <c r="E600" i="24" s="1"/>
  <c r="K642" i="24"/>
  <c r="K722" i="24" s="1"/>
  <c r="K696" i="24"/>
  <c r="F709" i="24"/>
  <c r="F642" i="24"/>
  <c r="F722" i="24" s="1"/>
  <c r="E901" i="24"/>
  <c r="E981" i="24" s="1"/>
  <c r="E955" i="24"/>
  <c r="D968" i="24"/>
  <c r="D901" i="24"/>
  <c r="D981" i="24" s="1"/>
  <c r="S1412" i="24"/>
  <c r="AI1412" i="24"/>
  <c r="C154" i="24"/>
  <c r="C208" i="24"/>
  <c r="S154" i="24"/>
  <c r="S208" i="24"/>
  <c r="F148" i="24"/>
  <c r="F228" i="24" s="1"/>
  <c r="F140" i="24"/>
  <c r="F143" i="24"/>
  <c r="F215" i="24"/>
  <c r="M188" i="24"/>
  <c r="M228" i="24" s="1"/>
  <c r="M202" i="24"/>
  <c r="M167" i="24"/>
  <c r="M170" i="24"/>
  <c r="L180" i="24"/>
  <c r="L183" i="24"/>
  <c r="H270" i="24"/>
  <c r="H350" i="24" s="1"/>
  <c r="H249" i="24"/>
  <c r="H252" i="24"/>
  <c r="H324" i="24"/>
  <c r="F274" i="24"/>
  <c r="F354" i="24" s="1"/>
  <c r="F328" i="24"/>
  <c r="C262" i="24"/>
  <c r="C265" i="24"/>
  <c r="C337" i="24"/>
  <c r="S262" i="24"/>
  <c r="S265" i="24"/>
  <c r="S337" i="24"/>
  <c r="H356" i="24"/>
  <c r="F310" i="24"/>
  <c r="F289" i="24"/>
  <c r="F292" i="24"/>
  <c r="E302" i="24"/>
  <c r="E306" i="24" s="1"/>
  <c r="E305" i="24"/>
  <c r="J391" i="24"/>
  <c r="J370" i="24"/>
  <c r="J373" i="24"/>
  <c r="I383" i="24"/>
  <c r="I386" i="24"/>
  <c r="O514" i="24"/>
  <c r="O594" i="24" s="1"/>
  <c r="O493" i="24"/>
  <c r="O496" i="24"/>
  <c r="O568" i="24"/>
  <c r="M518" i="24"/>
  <c r="M572" i="24"/>
  <c r="J506" i="24"/>
  <c r="J509" i="24"/>
  <c r="J581" i="24"/>
  <c r="O600" i="24"/>
  <c r="M554" i="24"/>
  <c r="M533" i="24"/>
  <c r="M536" i="24"/>
  <c r="L546" i="24"/>
  <c r="L549" i="24"/>
  <c r="D636" i="24"/>
  <c r="D615" i="24"/>
  <c r="D618" i="24"/>
  <c r="D690" i="24"/>
  <c r="B640" i="24"/>
  <c r="B720" i="24" s="1"/>
  <c r="B694" i="24"/>
  <c r="R640" i="24"/>
  <c r="R720" i="24" s="1"/>
  <c r="R694" i="24"/>
  <c r="O628" i="24"/>
  <c r="O631" i="24"/>
  <c r="O703" i="24"/>
  <c r="D722" i="24"/>
  <c r="B676" i="24"/>
  <c r="B655" i="24"/>
  <c r="B658" i="24"/>
  <c r="R676" i="24"/>
  <c r="R655" i="24"/>
  <c r="R658" i="24"/>
  <c r="Q668" i="24"/>
  <c r="Q671" i="24"/>
  <c r="G853" i="24"/>
  <c r="G832" i="24"/>
  <c r="G835" i="24"/>
  <c r="B845" i="24"/>
  <c r="B848" i="24"/>
  <c r="R845" i="24"/>
  <c r="R858" i="24" s="1"/>
  <c r="R848" i="24"/>
  <c r="F895" i="24"/>
  <c r="F975" i="24" s="1"/>
  <c r="F874" i="24"/>
  <c r="F877" i="24"/>
  <c r="F949" i="24"/>
  <c r="D877" i="24"/>
  <c r="D899" i="24"/>
  <c r="D979" i="24" s="1"/>
  <c r="D953" i="24"/>
  <c r="E887" i="24"/>
  <c r="E903" i="24" s="1"/>
  <c r="E890" i="24"/>
  <c r="E962" i="24"/>
  <c r="C890" i="24"/>
  <c r="C966" i="24"/>
  <c r="S890" i="24"/>
  <c r="S966" i="24"/>
  <c r="F981" i="24"/>
  <c r="P935" i="24"/>
  <c r="P975" i="24" s="1"/>
  <c r="P949" i="24"/>
  <c r="P914" i="24"/>
  <c r="P954" i="24" s="1"/>
  <c r="P917" i="24"/>
  <c r="O962" i="24"/>
  <c r="O927" i="24"/>
  <c r="O967" i="24" s="1"/>
  <c r="O930" i="24"/>
  <c r="B1008" i="24"/>
  <c r="B1011" i="24"/>
  <c r="R1008" i="24"/>
  <c r="R1011" i="24"/>
  <c r="O1027" i="24"/>
  <c r="O1030" i="24"/>
  <c r="L1056" i="24"/>
  <c r="L1059" i="24"/>
  <c r="H1412" i="24"/>
  <c r="X1412" i="24"/>
  <c r="B33" i="24"/>
  <c r="BD27" i="27"/>
  <c r="W67" i="2"/>
  <c r="W87" i="2"/>
  <c r="W137" i="2"/>
  <c r="W152" i="2"/>
  <c r="W183" i="2"/>
  <c r="W229" i="2"/>
  <c r="W196" i="2"/>
  <c r="W243" i="2"/>
  <c r="W275" i="2"/>
  <c r="W285" i="2"/>
  <c r="W211" i="2"/>
  <c r="W303" i="2"/>
  <c r="X409" i="2"/>
  <c r="X420" i="2"/>
  <c r="W338" i="2"/>
  <c r="W359" i="2"/>
  <c r="W365" i="2"/>
  <c r="W318" i="2"/>
  <c r="W394" i="2"/>
  <c r="W438" i="2"/>
  <c r="X5" i="3"/>
  <c r="X5" i="5"/>
  <c r="Y5" i="4"/>
  <c r="X32" i="5"/>
  <c r="X7" i="7"/>
  <c r="Y32" i="4"/>
  <c r="X429" i="2"/>
  <c r="X6" i="6"/>
  <c r="X45" i="7"/>
  <c r="X30" i="7"/>
  <c r="X176" i="7"/>
  <c r="X143" i="7"/>
  <c r="X293" i="7"/>
  <c r="X327" i="7"/>
  <c r="X7" i="8"/>
  <c r="X45" i="8"/>
  <c r="X30" i="8"/>
  <c r="X143" i="8"/>
  <c r="X176" i="8"/>
  <c r="X517" i="8"/>
  <c r="S10" i="9"/>
  <c r="S209" i="9"/>
  <c r="S45" i="9"/>
  <c r="T294" i="9"/>
  <c r="S160" i="9"/>
  <c r="T379" i="9"/>
  <c r="X21" i="10"/>
  <c r="X39" i="10"/>
  <c r="X72" i="10"/>
  <c r="X105" i="10"/>
  <c r="W29" i="10"/>
  <c r="X7" i="10"/>
  <c r="X267" i="10"/>
  <c r="W15" i="10"/>
  <c r="X180" i="10"/>
  <c r="X9" i="11"/>
  <c r="X404" i="11"/>
  <c r="X476" i="11"/>
  <c r="X67" i="12"/>
  <c r="X99" i="12"/>
  <c r="X215" i="11"/>
  <c r="X316" i="11"/>
  <c r="X348" i="11"/>
  <c r="X7" i="12"/>
  <c r="X46" i="13"/>
  <c r="X67" i="13"/>
  <c r="X95" i="13"/>
  <c r="X206" i="13"/>
  <c r="X21" i="15"/>
  <c r="Y7" i="17"/>
  <c r="S5" i="21"/>
  <c r="X172" i="12"/>
  <c r="X15" i="13"/>
  <c r="X189" i="13"/>
  <c r="X20" i="14"/>
  <c r="X64" i="14"/>
  <c r="Y19" i="16"/>
  <c r="X5" i="19"/>
  <c r="T98" i="22"/>
  <c r="X77" i="13"/>
  <c r="X184" i="13"/>
  <c r="X6" i="14"/>
  <c r="Y57" i="16"/>
  <c r="Y5" i="18"/>
  <c r="X6" i="13"/>
  <c r="X7" i="15"/>
  <c r="Y7" i="16"/>
  <c r="Y29" i="16"/>
  <c r="Y77" i="16"/>
  <c r="Y25" i="17"/>
  <c r="X16" i="19"/>
  <c r="T4" i="22"/>
  <c r="S358" i="22"/>
  <c r="S713" i="22"/>
  <c r="T719" i="22"/>
  <c r="S952" i="22"/>
  <c r="S957" i="22"/>
  <c r="S964" i="22"/>
  <c r="S969" i="22"/>
  <c r="S976" i="22"/>
  <c r="S981" i="22"/>
  <c r="S988" i="22"/>
  <c r="S993" i="22"/>
  <c r="S1000" i="22"/>
  <c r="S1005" i="22"/>
  <c r="S1012" i="22"/>
  <c r="S1017" i="22"/>
  <c r="S1024" i="22"/>
  <c r="S1029" i="22"/>
  <c r="S1036" i="22"/>
  <c r="S1041" i="22"/>
  <c r="S1048" i="22"/>
  <c r="S1053" i="22"/>
  <c r="T1060" i="22"/>
  <c r="T1062" i="22"/>
  <c r="T1072" i="22"/>
  <c r="T1074" i="22"/>
  <c r="S1084" i="22"/>
  <c r="S1089" i="22"/>
  <c r="S1096" i="22"/>
  <c r="S1101" i="22"/>
  <c r="S1108" i="22"/>
  <c r="S1113" i="22"/>
  <c r="S1120" i="22"/>
  <c r="S1125" i="22"/>
  <c r="S1132" i="22"/>
  <c r="S1137" i="22"/>
  <c r="S1144" i="22"/>
  <c r="S1149" i="22"/>
  <c r="S1156" i="22"/>
  <c r="S1161" i="22"/>
  <c r="S1168" i="22"/>
  <c r="S1173" i="22"/>
  <c r="S1180" i="22"/>
  <c r="S116" i="24"/>
  <c r="S45" i="22"/>
  <c r="T139" i="22"/>
  <c r="T262" i="22"/>
  <c r="S344" i="22"/>
  <c r="T672" i="22"/>
  <c r="S907" i="22"/>
  <c r="T303" i="22"/>
  <c r="S386" i="22"/>
  <c r="S427" i="22"/>
  <c r="S722" i="22"/>
  <c r="S727" i="22"/>
  <c r="T180" i="22"/>
  <c r="T221" i="22"/>
  <c r="S372" i="22"/>
  <c r="S730" i="22"/>
  <c r="S771" i="22"/>
  <c r="S948" i="22"/>
  <c r="S960" i="22"/>
  <c r="S972" i="22"/>
  <c r="S984" i="22"/>
  <c r="S996" i="22"/>
  <c r="S1008" i="22"/>
  <c r="S1020" i="22"/>
  <c r="S1032" i="22"/>
  <c r="S1044" i="22"/>
  <c r="T1066" i="22"/>
  <c r="T1071" i="22"/>
  <c r="T1077" i="22"/>
  <c r="S1080" i="22"/>
  <c r="S1092" i="22"/>
  <c r="S1104" i="22"/>
  <c r="S1116" i="22"/>
  <c r="S1128" i="22"/>
  <c r="S1140" i="22"/>
  <c r="S1152" i="22"/>
  <c r="S1164" i="22"/>
  <c r="S1176" i="22"/>
  <c r="S238" i="24"/>
  <c r="S604" i="24"/>
  <c r="S999" i="24"/>
  <c r="S1080" i="24"/>
  <c r="S1154" i="24"/>
  <c r="S1235" i="24"/>
  <c r="S1360" i="24"/>
  <c r="T1366" i="24"/>
  <c r="S1421" i="24"/>
  <c r="BC1440" i="24"/>
  <c r="S1452" i="24"/>
  <c r="S893" i="22"/>
  <c r="S951" i="22"/>
  <c r="S954" i="22"/>
  <c r="S963" i="22"/>
  <c r="S966" i="22"/>
  <c r="S975" i="22"/>
  <c r="S978" i="22"/>
  <c r="S987" i="22"/>
  <c r="S990" i="22"/>
  <c r="S999" i="22"/>
  <c r="S1002" i="22"/>
  <c r="S1011" i="22"/>
  <c r="S1014" i="22"/>
  <c r="S1023" i="22"/>
  <c r="S1026" i="22"/>
  <c r="S1035" i="22"/>
  <c r="S1038" i="22"/>
  <c r="S1047" i="22"/>
  <c r="S1050" i="22"/>
  <c r="T1056" i="22"/>
  <c r="S1083" i="22"/>
  <c r="S1086" i="22"/>
  <c r="S1095" i="22"/>
  <c r="S1098" i="22"/>
  <c r="S1107" i="22"/>
  <c r="S1110" i="22"/>
  <c r="S1119" i="22"/>
  <c r="S1122" i="22"/>
  <c r="S1131" i="22"/>
  <c r="S1134" i="22"/>
  <c r="S1143" i="22"/>
  <c r="S1146" i="22"/>
  <c r="S1155" i="22"/>
  <c r="S1158" i="22"/>
  <c r="S1167" i="22"/>
  <c r="S1170" i="22"/>
  <c r="S1179" i="22"/>
  <c r="T8" i="24"/>
  <c r="S441" i="24"/>
  <c r="S482" i="24"/>
  <c r="S985" i="24"/>
  <c r="S1066" i="24"/>
  <c r="S1140" i="24"/>
  <c r="S1211" i="24"/>
  <c r="S1383" i="24"/>
  <c r="BC1406" i="24"/>
  <c r="BC1411" i="24"/>
  <c r="T1426" i="24"/>
  <c r="T1446" i="24"/>
  <c r="T1464" i="24"/>
  <c r="S958" i="22"/>
  <c r="S970" i="22"/>
  <c r="S982" i="22"/>
  <c r="S994" i="22"/>
  <c r="S1006" i="22"/>
  <c r="S1018" i="22"/>
  <c r="S1030" i="22"/>
  <c r="S1042" i="22"/>
  <c r="S1054" i="22"/>
  <c r="T1059" i="22"/>
  <c r="T1065" i="22"/>
  <c r="T1078" i="22"/>
  <c r="S1090" i="22"/>
  <c r="S1102" i="22"/>
  <c r="S1114" i="22"/>
  <c r="S1126" i="22"/>
  <c r="S1138" i="22"/>
  <c r="S1150" i="22"/>
  <c r="S1162" i="22"/>
  <c r="S1174" i="22"/>
  <c r="T11" i="24"/>
  <c r="S822" i="24"/>
  <c r="S863" i="24"/>
  <c r="S1032" i="24"/>
  <c r="S1042" i="24"/>
  <c r="S1047" i="24"/>
  <c r="S1187" i="24"/>
  <c r="S1192" i="24"/>
  <c r="T1068" i="22"/>
  <c r="S360" i="24"/>
  <c r="S401" i="24"/>
  <c r="S726" i="24"/>
  <c r="S767" i="24"/>
  <c r="S808" i="24"/>
  <c r="S1018" i="24"/>
  <c r="S1173" i="24"/>
  <c r="S1254" i="24"/>
  <c r="S1259" i="24"/>
  <c r="S1349" i="24"/>
  <c r="T1434" i="24"/>
  <c r="S1449" i="24"/>
  <c r="S1467" i="24"/>
  <c r="BC1391" i="24"/>
  <c r="T1437" i="24"/>
  <c r="T1461" i="24"/>
  <c r="S1290" i="24"/>
  <c r="S1369" i="24"/>
  <c r="S1481" i="24"/>
  <c r="S1273" i="24"/>
  <c r="S1386" i="24"/>
  <c r="BC1396" i="24"/>
  <c r="BC1429" i="24"/>
  <c r="T1443" i="24"/>
  <c r="T1495" i="24"/>
  <c r="B95" i="14"/>
  <c r="B99" i="14"/>
  <c r="B96" i="14"/>
  <c r="B100" i="14"/>
  <c r="B51" i="13"/>
  <c r="B55" i="13"/>
  <c r="B52" i="13"/>
  <c r="B56" i="13"/>
  <c r="D12" i="24"/>
  <c r="B1068" i="24"/>
  <c r="B1213" i="24"/>
  <c r="B1073" i="24"/>
  <c r="B484" i="11" s="1"/>
  <c r="B1218" i="24"/>
  <c r="B28" i="14" s="1"/>
  <c r="C9" i="24"/>
  <c r="B1072" i="24"/>
  <c r="B1217" i="24"/>
  <c r="B1069" i="24"/>
  <c r="B1214" i="24"/>
  <c r="O220" i="24"/>
  <c r="O223" i="24"/>
  <c r="K226" i="24"/>
  <c r="H227" i="24"/>
  <c r="N231" i="24"/>
  <c r="J184" i="24"/>
  <c r="J196" i="24"/>
  <c r="J193" i="24"/>
  <c r="Q329" i="24"/>
  <c r="Q332" i="24"/>
  <c r="P342" i="24"/>
  <c r="P345" i="24"/>
  <c r="Q349" i="24"/>
  <c r="O353" i="24"/>
  <c r="K306" i="24"/>
  <c r="K318" i="24"/>
  <c r="K315" i="24"/>
  <c r="O387" i="24"/>
  <c r="O399" i="24"/>
  <c r="O396" i="24"/>
  <c r="B258" i="9"/>
  <c r="B923" i="22"/>
  <c r="B450" i="24"/>
  <c r="B476" i="24" s="1"/>
  <c r="B30" i="21" s="1"/>
  <c r="B474" i="24"/>
  <c r="L573" i="24"/>
  <c r="L576" i="24"/>
  <c r="K586" i="24"/>
  <c r="K589" i="24"/>
  <c r="H593" i="24"/>
  <c r="F597" i="24"/>
  <c r="B550" i="24"/>
  <c r="B562" i="24"/>
  <c r="B559" i="24"/>
  <c r="R550" i="24"/>
  <c r="R562" i="24"/>
  <c r="R559" i="24"/>
  <c r="M715" i="24"/>
  <c r="K719" i="24"/>
  <c r="L849" i="24"/>
  <c r="L861" i="24"/>
  <c r="L858" i="24"/>
  <c r="G954" i="24"/>
  <c r="G957" i="24"/>
  <c r="B967" i="24"/>
  <c r="B970" i="24"/>
  <c r="R967" i="24"/>
  <c r="R970" i="24"/>
  <c r="Q931" i="24"/>
  <c r="Q943" i="24"/>
  <c r="Q940" i="24"/>
  <c r="F1412" i="24"/>
  <c r="V1412" i="24"/>
  <c r="C207" i="24"/>
  <c r="C210" i="24"/>
  <c r="C153" i="24"/>
  <c r="C144" i="24"/>
  <c r="C156" i="24"/>
  <c r="S207" i="24"/>
  <c r="S210" i="24"/>
  <c r="S153" i="24"/>
  <c r="S144" i="24"/>
  <c r="S156" i="24"/>
  <c r="H343" i="24"/>
  <c r="D506" i="24"/>
  <c r="H506" i="24"/>
  <c r="L506" i="24"/>
  <c r="L510" i="24" s="1"/>
  <c r="P506" i="24"/>
  <c r="P510" i="24" s="1"/>
  <c r="L554" i="24"/>
  <c r="L594" i="24" s="1"/>
  <c r="Q696" i="24"/>
  <c r="O899" i="24"/>
  <c r="O979" i="24" s="1"/>
  <c r="L144" i="24"/>
  <c r="L156" i="24"/>
  <c r="L207" i="24"/>
  <c r="L210" i="24"/>
  <c r="L153" i="24"/>
  <c r="E223" i="24"/>
  <c r="E220" i="24"/>
  <c r="L188" i="24"/>
  <c r="F324" i="24"/>
  <c r="I350" i="24"/>
  <c r="Q350" i="24"/>
  <c r="M493" i="24"/>
  <c r="D574" i="24"/>
  <c r="B937" i="22"/>
  <c r="J711" i="24"/>
  <c r="J708" i="24"/>
  <c r="B858" i="24"/>
  <c r="B849" i="24"/>
  <c r="B861" i="24"/>
  <c r="R861" i="24"/>
  <c r="E957" i="24"/>
  <c r="E891" i="24"/>
  <c r="E954" i="24"/>
  <c r="I957" i="24"/>
  <c r="I954" i="24"/>
  <c r="M957" i="24"/>
  <c r="M954" i="24"/>
  <c r="Q957" i="24"/>
  <c r="Q954" i="24"/>
  <c r="D874" i="24"/>
  <c r="O1271" i="24"/>
  <c r="O1268" i="24"/>
  <c r="H144" i="24"/>
  <c r="H156" i="24"/>
  <c r="H207" i="24"/>
  <c r="H210" i="24"/>
  <c r="H153" i="24"/>
  <c r="F207" i="24"/>
  <c r="R207" i="24"/>
  <c r="Q330" i="24"/>
  <c r="B912" i="22"/>
  <c r="B918" i="22"/>
  <c r="B936" i="22"/>
  <c r="C559" i="24"/>
  <c r="C550" i="24"/>
  <c r="C562" i="24"/>
  <c r="S559" i="24"/>
  <c r="S550" i="24"/>
  <c r="S562" i="24"/>
  <c r="D970" i="24"/>
  <c r="D967" i="24"/>
  <c r="H970" i="24"/>
  <c r="H967" i="24"/>
  <c r="L970" i="24"/>
  <c r="L967" i="24"/>
  <c r="P970" i="24"/>
  <c r="P967" i="24"/>
  <c r="B979" i="24"/>
  <c r="J979" i="24"/>
  <c r="R979" i="24"/>
  <c r="O940" i="24"/>
  <c r="O931" i="24"/>
  <c r="O943" i="24"/>
  <c r="D1413" i="24"/>
  <c r="H1413" i="24"/>
  <c r="L1413" i="24"/>
  <c r="P1413" i="24"/>
  <c r="T1413" i="24"/>
  <c r="X1413" i="24"/>
  <c r="AB1413" i="24"/>
  <c r="AF1413" i="24"/>
  <c r="AJ1413" i="24"/>
  <c r="E1413" i="24"/>
  <c r="I1413" i="24"/>
  <c r="M1413" i="24"/>
  <c r="Q1413" i="24"/>
  <c r="U1413" i="24"/>
  <c r="Y1413" i="24"/>
  <c r="AC1413" i="24"/>
  <c r="AG1413" i="24"/>
  <c r="B1419" i="24"/>
  <c r="C1413" i="24"/>
  <c r="C1414" i="24" s="1"/>
  <c r="G1413" i="24"/>
  <c r="K1413" i="24"/>
  <c r="O1413" i="24"/>
  <c r="S1413" i="24"/>
  <c r="W1413" i="24"/>
  <c r="AA1413" i="24"/>
  <c r="AE1413" i="24"/>
  <c r="AI1413" i="24"/>
  <c r="B1413" i="24"/>
  <c r="R1413" i="24"/>
  <c r="AH1413" i="24"/>
  <c r="F1413" i="24"/>
  <c r="V1413" i="24"/>
  <c r="J1413" i="24"/>
  <c r="Z1413" i="24"/>
  <c r="N1413" i="24"/>
  <c r="AD1413" i="24"/>
  <c r="D215" i="24"/>
  <c r="C193" i="24"/>
  <c r="C184" i="24"/>
  <c r="C196" i="24"/>
  <c r="S193" i="24"/>
  <c r="S184" i="24"/>
  <c r="S196" i="24"/>
  <c r="F345" i="24"/>
  <c r="F342" i="24"/>
  <c r="G354" i="24"/>
  <c r="O354" i="24"/>
  <c r="P315" i="24"/>
  <c r="P306" i="24"/>
  <c r="P318" i="24"/>
  <c r="D396" i="24"/>
  <c r="D387" i="24"/>
  <c r="D399" i="24"/>
  <c r="L574" i="24"/>
  <c r="B716" i="24"/>
  <c r="R716" i="24"/>
  <c r="I640" i="24"/>
  <c r="I720" i="24" s="1"/>
  <c r="Q640" i="24"/>
  <c r="E628" i="24"/>
  <c r="I628" i="24"/>
  <c r="M628" i="24"/>
  <c r="M644" i="24" s="1"/>
  <c r="Q628" i="24"/>
  <c r="Q632" i="24" s="1"/>
  <c r="D709" i="24"/>
  <c r="M676" i="24"/>
  <c r="M716" i="24" s="1"/>
  <c r="I858" i="24"/>
  <c r="I849" i="24"/>
  <c r="I861" i="24"/>
  <c r="C887" i="24"/>
  <c r="G449" i="7"/>
  <c r="G446" i="7"/>
  <c r="S433" i="7"/>
  <c r="U436" i="7" s="1"/>
  <c r="S454" i="7"/>
  <c r="S436" i="7"/>
  <c r="B450" i="7"/>
  <c r="B462" i="7"/>
  <c r="B459" i="7"/>
  <c r="B458" i="7"/>
  <c r="E458" i="7" s="1"/>
  <c r="E445" i="7"/>
  <c r="O406" i="7"/>
  <c r="K76" i="26"/>
  <c r="F770" i="9"/>
  <c r="F773" i="9"/>
  <c r="F845" i="9"/>
  <c r="C508" i="9"/>
  <c r="D506" i="9"/>
  <c r="C514" i="9"/>
  <c r="C532" i="9"/>
  <c r="C586" i="9"/>
  <c r="D546" i="9"/>
  <c r="C555" i="9"/>
  <c r="C581" i="9" s="1"/>
  <c r="C573" i="9"/>
  <c r="H785" i="9"/>
  <c r="H865" i="9" s="1"/>
  <c r="H839" i="9"/>
  <c r="P824" i="9"/>
  <c r="P864" i="9" s="1"/>
  <c r="P838" i="9"/>
  <c r="Q822" i="9"/>
  <c r="Q862" i="9" s="1"/>
  <c r="Q849" i="9"/>
  <c r="I670" i="9"/>
  <c r="I676" i="9"/>
  <c r="I694" i="9"/>
  <c r="C393" i="9"/>
  <c r="C299" i="9"/>
  <c r="L630" i="9"/>
  <c r="L636" i="9"/>
  <c r="L708" i="9"/>
  <c r="L654" i="9"/>
  <c r="L734" i="9" s="1"/>
  <c r="O677" i="9"/>
  <c r="O703" i="9" s="1"/>
  <c r="O695" i="9"/>
  <c r="R655" i="9"/>
  <c r="R637" i="9"/>
  <c r="R709" i="9"/>
  <c r="B405" i="9"/>
  <c r="B477" i="9"/>
  <c r="B399" i="9"/>
  <c r="C311" i="9"/>
  <c r="F643" i="9"/>
  <c r="F649" i="9"/>
  <c r="F721" i="9"/>
  <c r="M670" i="9"/>
  <c r="M676" i="9"/>
  <c r="M702" i="9" s="1"/>
  <c r="M694" i="9"/>
  <c r="J845" i="9"/>
  <c r="J770" i="9"/>
  <c r="J773" i="9"/>
  <c r="S852" i="9"/>
  <c r="G824" i="9"/>
  <c r="G838" i="9"/>
  <c r="H810" i="9"/>
  <c r="H845" i="9"/>
  <c r="H813" i="9"/>
  <c r="K825" i="9"/>
  <c r="K865" i="9" s="1"/>
  <c r="K852" i="9"/>
  <c r="D694" i="9"/>
  <c r="D670" i="9"/>
  <c r="D676" i="9"/>
  <c r="M695" i="9"/>
  <c r="M677" i="9"/>
  <c r="M703" i="9" s="1"/>
  <c r="P630" i="9"/>
  <c r="P636" i="9"/>
  <c r="P708" i="9"/>
  <c r="P654" i="9"/>
  <c r="S677" i="9"/>
  <c r="S703" i="9" s="1"/>
  <c r="S695" i="9"/>
  <c r="S655" i="9"/>
  <c r="S637" i="9"/>
  <c r="S709" i="9"/>
  <c r="C429" i="9"/>
  <c r="C455" i="9" s="1"/>
  <c r="C415" i="9"/>
  <c r="I659" i="9"/>
  <c r="I739" i="9" s="1"/>
  <c r="I713" i="9"/>
  <c r="R634" i="9"/>
  <c r="R712" i="9"/>
  <c r="R658" i="9"/>
  <c r="R698" i="9"/>
  <c r="R674" i="9"/>
  <c r="R700" i="9" s="1"/>
  <c r="D650" i="9"/>
  <c r="D730" i="9" s="1"/>
  <c r="D722" i="9"/>
  <c r="G650" i="9"/>
  <c r="G730" i="9" s="1"/>
  <c r="G722" i="9"/>
  <c r="J683" i="9"/>
  <c r="J689" i="9"/>
  <c r="M643" i="9"/>
  <c r="M649" i="9"/>
  <c r="M729" i="9" s="1"/>
  <c r="M721" i="9"/>
  <c r="P643" i="9"/>
  <c r="P649" i="9"/>
  <c r="P729" i="9" s="1"/>
  <c r="P721" i="9"/>
  <c r="B403" i="9"/>
  <c r="B483" i="9" s="1"/>
  <c r="B481" i="9"/>
  <c r="E650" i="9"/>
  <c r="E730" i="9" s="1"/>
  <c r="E722" i="9"/>
  <c r="Q650" i="9"/>
  <c r="Q730" i="9" s="1"/>
  <c r="Q722" i="9"/>
  <c r="O343" i="11"/>
  <c r="O340" i="11"/>
  <c r="Q343" i="11" s="1"/>
  <c r="N677" i="9"/>
  <c r="N703" i="9" s="1"/>
  <c r="N695" i="9"/>
  <c r="G674" i="9"/>
  <c r="G698" i="9"/>
  <c r="K674" i="9"/>
  <c r="K698" i="9"/>
  <c r="S674" i="9"/>
  <c r="S698" i="9"/>
  <c r="N650" i="9"/>
  <c r="N730" i="9" s="1"/>
  <c r="N722" i="9"/>
  <c r="G647" i="9"/>
  <c r="G725" i="9"/>
  <c r="K647" i="9"/>
  <c r="K725" i="9"/>
  <c r="S647" i="9"/>
  <c r="S725" i="9"/>
  <c r="G840" i="9"/>
  <c r="G783" i="9"/>
  <c r="G786" i="9"/>
  <c r="G774" i="9"/>
  <c r="G837" i="9"/>
  <c r="O784" i="9"/>
  <c r="O864" i="9" s="1"/>
  <c r="D757" i="9"/>
  <c r="T757" i="9"/>
  <c r="C852" i="9"/>
  <c r="K677" i="9"/>
  <c r="K695" i="9"/>
  <c r="K655" i="9"/>
  <c r="K637" i="9"/>
  <c r="K709" i="9"/>
  <c r="D658" i="9"/>
  <c r="D634" i="9"/>
  <c r="D712" i="9"/>
  <c r="H658" i="9"/>
  <c r="H634" i="9"/>
  <c r="H712" i="9"/>
  <c r="P658" i="9"/>
  <c r="P634" i="9"/>
  <c r="P712" i="9"/>
  <c r="T658" i="9"/>
  <c r="T634" i="9"/>
  <c r="T712" i="9"/>
  <c r="K643" i="9"/>
  <c r="K649" i="9"/>
  <c r="K721" i="9"/>
  <c r="H838" i="9"/>
  <c r="H694" i="9"/>
  <c r="H670" i="9"/>
  <c r="H676" i="9"/>
  <c r="T694" i="9"/>
  <c r="T670" i="9"/>
  <c r="T676" i="9"/>
  <c r="E659" i="9"/>
  <c r="E739" i="9" s="1"/>
  <c r="E713" i="9"/>
  <c r="M659" i="9"/>
  <c r="M739" i="9" s="1"/>
  <c r="M713" i="9"/>
  <c r="Q659" i="9"/>
  <c r="Q739" i="9" s="1"/>
  <c r="Q713" i="9"/>
  <c r="M343" i="11"/>
  <c r="M340" i="11"/>
  <c r="D91" i="12"/>
  <c r="E94" i="12" s="1"/>
  <c r="D94" i="12"/>
  <c r="C18" i="19"/>
  <c r="C1496" i="24"/>
  <c r="C71" i="16"/>
  <c r="C26" i="16"/>
  <c r="B1397" i="24"/>
  <c r="F1397" i="24"/>
  <c r="J1397" i="24"/>
  <c r="N1397" i="24"/>
  <c r="R1397" i="24"/>
  <c r="V1397" i="24"/>
  <c r="Z1397" i="24"/>
  <c r="AD1397" i="24"/>
  <c r="AH1397" i="24"/>
  <c r="AL1397" i="24"/>
  <c r="AP1397" i="24"/>
  <c r="AT1397" i="24"/>
  <c r="AX1397" i="24"/>
  <c r="BB1397" i="24"/>
  <c r="B1430" i="24"/>
  <c r="B1432" i="24" s="1"/>
  <c r="F1430" i="24"/>
  <c r="F1432" i="24" s="1"/>
  <c r="J1430" i="24"/>
  <c r="N1430" i="24"/>
  <c r="R1430" i="24"/>
  <c r="R1432" i="24" s="1"/>
  <c r="V1430" i="24"/>
  <c r="V1432" i="24" s="1"/>
  <c r="Z1430" i="24"/>
  <c r="AD1430" i="24"/>
  <c r="AH1430" i="24"/>
  <c r="AH1432" i="24" s="1"/>
  <c r="C1397" i="24"/>
  <c r="G1397" i="24"/>
  <c r="K1397" i="24"/>
  <c r="O1397" i="24"/>
  <c r="S1397" i="24"/>
  <c r="W1397" i="24"/>
  <c r="AA1397" i="24"/>
  <c r="AE1397" i="24"/>
  <c r="AI1397" i="24"/>
  <c r="AM1397" i="24"/>
  <c r="AQ1397" i="24"/>
  <c r="AU1397" i="24"/>
  <c r="AY1397" i="24"/>
  <c r="BC1397" i="24"/>
  <c r="C1430" i="24"/>
  <c r="G1430" i="24"/>
  <c r="G1432" i="24" s="1"/>
  <c r="K1430" i="24"/>
  <c r="K1432" i="24" s="1"/>
  <c r="O1430" i="24"/>
  <c r="O1432" i="24" s="1"/>
  <c r="S1430" i="24"/>
  <c r="W1430" i="24"/>
  <c r="W1432" i="24" s="1"/>
  <c r="AA1430" i="24"/>
  <c r="AA1432" i="24" s="1"/>
  <c r="AE1430" i="24"/>
  <c r="AE1432" i="24" s="1"/>
  <c r="AI1430" i="24"/>
  <c r="E1397" i="24"/>
  <c r="I1397" i="24"/>
  <c r="M1397" i="24"/>
  <c r="Q1397" i="24"/>
  <c r="U1397" i="24"/>
  <c r="Y1397" i="24"/>
  <c r="AC1397" i="24"/>
  <c r="AG1397" i="24"/>
  <c r="AK1397" i="24"/>
  <c r="AO1397" i="24"/>
  <c r="AS1397" i="24"/>
  <c r="AW1397" i="24"/>
  <c r="BA1397" i="24"/>
  <c r="E1430" i="24"/>
  <c r="E1432" i="24" s="1"/>
  <c r="I1430" i="24"/>
  <c r="I1432" i="24" s="1"/>
  <c r="M1430" i="24"/>
  <c r="M1432" i="24" s="1"/>
  <c r="Q1430" i="24"/>
  <c r="Q1432" i="24" s="1"/>
  <c r="U1430" i="24"/>
  <c r="Y1430" i="24"/>
  <c r="Y1432" i="24" s="1"/>
  <c r="AC1430" i="24"/>
  <c r="AC1432" i="24" s="1"/>
  <c r="AG1430" i="24"/>
  <c r="P1397" i="24"/>
  <c r="AF1397" i="24"/>
  <c r="AV1397" i="24"/>
  <c r="M1412" i="24"/>
  <c r="M1414" i="24" s="1"/>
  <c r="AC1412" i="24"/>
  <c r="P1430" i="24"/>
  <c r="P1432" i="24" s="1"/>
  <c r="AF1430" i="24"/>
  <c r="AF1432" i="24" s="1"/>
  <c r="D1397" i="24"/>
  <c r="T1397" i="24"/>
  <c r="AJ1397" i="24"/>
  <c r="AZ1397" i="24"/>
  <c r="Q1412" i="24"/>
  <c r="Q1414" i="24" s="1"/>
  <c r="AG1412" i="24"/>
  <c r="AG1414" i="24" s="1"/>
  <c r="D1430" i="24"/>
  <c r="D1432" i="24" s="1"/>
  <c r="T1430" i="24"/>
  <c r="T1432" i="24" s="1"/>
  <c r="AJ1430" i="24"/>
  <c r="AJ1432" i="24" s="1"/>
  <c r="H1397" i="24"/>
  <c r="X1397" i="24"/>
  <c r="AN1397" i="24"/>
  <c r="E1412" i="24"/>
  <c r="E1414" i="24" s="1"/>
  <c r="U1412" i="24"/>
  <c r="U1414" i="24" s="1"/>
  <c r="H1430" i="24"/>
  <c r="H1432" i="24" s="1"/>
  <c r="X1430" i="24"/>
  <c r="X1432" i="24" s="1"/>
  <c r="L1397" i="24"/>
  <c r="AB1397" i="24"/>
  <c r="AR1397" i="24"/>
  <c r="I1412" i="24"/>
  <c r="Y1412" i="24"/>
  <c r="L1430" i="24"/>
  <c r="AB1430" i="24"/>
  <c r="AB1432" i="24" s="1"/>
  <c r="X122" i="27"/>
  <c r="M221" i="24"/>
  <c r="M154" i="24"/>
  <c r="M234" i="24" s="1"/>
  <c r="L194" i="24"/>
  <c r="L234" i="24" s="1"/>
  <c r="L208" i="24"/>
  <c r="K221" i="24"/>
  <c r="K194" i="24"/>
  <c r="G276" i="24"/>
  <c r="G356" i="24" s="1"/>
  <c r="G330" i="24"/>
  <c r="B343" i="24"/>
  <c r="B276" i="24"/>
  <c r="B356" i="24" s="1"/>
  <c r="R343" i="24"/>
  <c r="R276" i="24"/>
  <c r="R356" i="24" s="1"/>
  <c r="J520" i="24"/>
  <c r="J600" i="24" s="1"/>
  <c r="J574" i="24"/>
  <c r="I587" i="24"/>
  <c r="I520" i="24"/>
  <c r="I600" i="24" s="1"/>
  <c r="O642" i="24"/>
  <c r="O722" i="24" s="1"/>
  <c r="O696" i="24"/>
  <c r="J709" i="24"/>
  <c r="J642" i="24"/>
  <c r="J722" i="24" s="1"/>
  <c r="I901" i="24"/>
  <c r="I981" i="24" s="1"/>
  <c r="I955" i="24"/>
  <c r="H968" i="24"/>
  <c r="H901" i="24"/>
  <c r="H981" i="24" s="1"/>
  <c r="G1412" i="24"/>
  <c r="G1414" i="24" s="1"/>
  <c r="W1412" i="24"/>
  <c r="C27" i="4"/>
  <c r="D1438" i="24"/>
  <c r="G154" i="24"/>
  <c r="G234" i="24" s="1"/>
  <c r="G208" i="24"/>
  <c r="H155" i="24"/>
  <c r="H235" i="24" s="1"/>
  <c r="H209" i="24"/>
  <c r="J148" i="24"/>
  <c r="J228" i="24" s="1"/>
  <c r="J140" i="24"/>
  <c r="J143" i="24"/>
  <c r="J215" i="24"/>
  <c r="Q188" i="24"/>
  <c r="Q228" i="24" s="1"/>
  <c r="Q167" i="24"/>
  <c r="Q170" i="24"/>
  <c r="P180" i="24"/>
  <c r="P220" i="24" s="1"/>
  <c r="P183" i="24"/>
  <c r="L270" i="24"/>
  <c r="L350" i="24" s="1"/>
  <c r="L249" i="24"/>
  <c r="L252" i="24"/>
  <c r="L324" i="24"/>
  <c r="J274" i="24"/>
  <c r="J354" i="24" s="1"/>
  <c r="J328" i="24"/>
  <c r="G262" i="24"/>
  <c r="G266" i="24" s="1"/>
  <c r="G265" i="24"/>
  <c r="G337" i="24"/>
  <c r="L356" i="24"/>
  <c r="J310" i="24"/>
  <c r="J289" i="24"/>
  <c r="J292" i="24"/>
  <c r="I302" i="24"/>
  <c r="I305" i="24"/>
  <c r="N391" i="24"/>
  <c r="N370" i="24"/>
  <c r="N373" i="24"/>
  <c r="M383" i="24"/>
  <c r="M387" i="24" s="1"/>
  <c r="M386" i="24"/>
  <c r="C514" i="24"/>
  <c r="C594" i="24" s="1"/>
  <c r="C493" i="24"/>
  <c r="C496" i="24"/>
  <c r="C568" i="24"/>
  <c r="S514" i="24"/>
  <c r="S594" i="24" s="1"/>
  <c r="S493" i="24"/>
  <c r="S496" i="24"/>
  <c r="S568" i="24"/>
  <c r="Q518" i="24"/>
  <c r="Q598" i="24" s="1"/>
  <c r="Q572" i="24"/>
  <c r="N506" i="24"/>
  <c r="N522" i="24" s="1"/>
  <c r="N509" i="24"/>
  <c r="N581" i="24"/>
  <c r="C600" i="24"/>
  <c r="S600" i="24"/>
  <c r="Q554" i="24"/>
  <c r="Q533" i="24"/>
  <c r="Q573" i="24" s="1"/>
  <c r="Q536" i="24"/>
  <c r="P546" i="24"/>
  <c r="P559" i="24" s="1"/>
  <c r="P549" i="24"/>
  <c r="H636" i="24"/>
  <c r="H615" i="24"/>
  <c r="H618" i="24"/>
  <c r="H690" i="24"/>
  <c r="F640" i="24"/>
  <c r="F720" i="24" s="1"/>
  <c r="F694" i="24"/>
  <c r="C628" i="24"/>
  <c r="C632" i="24" s="1"/>
  <c r="C631" i="24"/>
  <c r="C703" i="24"/>
  <c r="S628" i="24"/>
  <c r="S631" i="24"/>
  <c r="S703" i="24"/>
  <c r="H722" i="24"/>
  <c r="F676" i="24"/>
  <c r="F716" i="24" s="1"/>
  <c r="F655" i="24"/>
  <c r="F658" i="24"/>
  <c r="E668" i="24"/>
  <c r="E671" i="24"/>
  <c r="K853" i="24"/>
  <c r="K832" i="24"/>
  <c r="K835" i="24"/>
  <c r="F845" i="24"/>
  <c r="F848" i="24"/>
  <c r="J895" i="24"/>
  <c r="J975" i="24" s="1"/>
  <c r="J874" i="24"/>
  <c r="J877" i="24"/>
  <c r="J949" i="24"/>
  <c r="H877" i="24"/>
  <c r="H899" i="24"/>
  <c r="H979" i="24" s="1"/>
  <c r="H953" i="24"/>
  <c r="I887" i="24"/>
  <c r="I900" i="24" s="1"/>
  <c r="I890" i="24"/>
  <c r="I962" i="24"/>
  <c r="G890" i="24"/>
  <c r="G966" i="24"/>
  <c r="J981" i="24"/>
  <c r="D935" i="24"/>
  <c r="D949" i="24"/>
  <c r="D914" i="24"/>
  <c r="D917" i="24"/>
  <c r="C962" i="24"/>
  <c r="C927" i="24"/>
  <c r="C930" i="24"/>
  <c r="S962" i="24"/>
  <c r="S927" i="24"/>
  <c r="S930" i="24"/>
  <c r="F1008" i="24"/>
  <c r="F1011" i="24"/>
  <c r="C1027" i="24"/>
  <c r="C1030" i="24"/>
  <c r="S1027" i="24"/>
  <c r="S1030" i="24"/>
  <c r="P1056" i="24"/>
  <c r="P1059" i="24"/>
  <c r="E6" i="5"/>
  <c r="F8" i="16"/>
  <c r="C8" i="16"/>
  <c r="L1412" i="24"/>
  <c r="AB1412" i="24"/>
  <c r="C298" i="22"/>
  <c r="C301" i="22"/>
  <c r="C289" i="22"/>
  <c r="B30" i="24"/>
  <c r="AV27" i="27"/>
  <c r="F59" i="24"/>
  <c r="B1123" i="24"/>
  <c r="C1123" i="24"/>
  <c r="L27" i="27"/>
  <c r="C220" i="24"/>
  <c r="C223" i="24"/>
  <c r="S220" i="24"/>
  <c r="S223" i="24"/>
  <c r="O226" i="24"/>
  <c r="L227" i="24"/>
  <c r="B231" i="24"/>
  <c r="R231" i="24"/>
  <c r="N184" i="24"/>
  <c r="N196" i="24"/>
  <c r="N193" i="24"/>
  <c r="E329" i="24"/>
  <c r="E332" i="24"/>
  <c r="D342" i="24"/>
  <c r="D345" i="24"/>
  <c r="E349" i="24"/>
  <c r="C353" i="24"/>
  <c r="S353" i="24"/>
  <c r="O306" i="24"/>
  <c r="O318" i="24"/>
  <c r="O315" i="24"/>
  <c r="C387" i="24"/>
  <c r="C399" i="24"/>
  <c r="C396" i="24"/>
  <c r="S387" i="24"/>
  <c r="S399" i="24"/>
  <c r="S396" i="24"/>
  <c r="B272" i="9"/>
  <c r="B475" i="24"/>
  <c r="B928" i="22"/>
  <c r="B929" i="22" s="1"/>
  <c r="P573" i="24"/>
  <c r="P576" i="24"/>
  <c r="O586" i="24"/>
  <c r="O589" i="24"/>
  <c r="L593" i="24"/>
  <c r="J597" i="24"/>
  <c r="Q715" i="24"/>
  <c r="O719" i="24"/>
  <c r="K672" i="24"/>
  <c r="K684" i="24"/>
  <c r="K681" i="24"/>
  <c r="P849" i="24"/>
  <c r="P861" i="24"/>
  <c r="P858" i="24"/>
  <c r="K891" i="24"/>
  <c r="K903" i="24"/>
  <c r="K954" i="24"/>
  <c r="K957" i="24"/>
  <c r="K900" i="24"/>
  <c r="F967" i="24"/>
  <c r="F970" i="24"/>
  <c r="E931" i="24"/>
  <c r="E943" i="24"/>
  <c r="E940" i="24"/>
  <c r="J1412" i="24"/>
  <c r="J1414" i="24" s="1"/>
  <c r="Z1412" i="24"/>
  <c r="Z1414" i="24" s="1"/>
  <c r="O207" i="24"/>
  <c r="O210" i="24"/>
  <c r="O153" i="24"/>
  <c r="O144" i="24"/>
  <c r="O156" i="24"/>
  <c r="G587" i="24"/>
  <c r="H554" i="24"/>
  <c r="H594" i="24" s="1"/>
  <c r="B1268" i="24"/>
  <c r="B1271" i="24"/>
  <c r="J1268" i="24"/>
  <c r="J1271" i="24"/>
  <c r="R1268" i="24"/>
  <c r="R1271" i="24"/>
  <c r="B252" i="24"/>
  <c r="F252" i="24"/>
  <c r="J252" i="24"/>
  <c r="R252" i="24"/>
  <c r="E274" i="24"/>
  <c r="E354" i="24" s="1"/>
  <c r="M274" i="24"/>
  <c r="M354" i="24" s="1"/>
  <c r="E330" i="24"/>
  <c r="E337" i="24"/>
  <c r="I337" i="24"/>
  <c r="Q337" i="24"/>
  <c r="E310" i="24"/>
  <c r="E350" i="24" s="1"/>
  <c r="M396" i="24"/>
  <c r="M594" i="24"/>
  <c r="Q594" i="24"/>
  <c r="H518" i="24"/>
  <c r="H598" i="24" s="1"/>
  <c r="P518" i="24"/>
  <c r="P598" i="24" s="1"/>
  <c r="C587" i="24"/>
  <c r="B263" i="9"/>
  <c r="F711" i="24"/>
  <c r="F708" i="24"/>
  <c r="B853" i="24"/>
  <c r="R853" i="24"/>
  <c r="E895" i="24"/>
  <c r="E975" i="24" s="1"/>
  <c r="I895" i="24"/>
  <c r="I975" i="24" s="1"/>
  <c r="G887" i="24"/>
  <c r="C1271" i="24"/>
  <c r="C1268" i="24"/>
  <c r="S1271" i="24"/>
  <c r="S1268" i="24"/>
  <c r="H228" i="24"/>
  <c r="E153" i="24"/>
  <c r="E144" i="24"/>
  <c r="E156" i="24"/>
  <c r="B232" i="24"/>
  <c r="J232" i="24"/>
  <c r="R232" i="24"/>
  <c r="I589" i="24"/>
  <c r="I586" i="24"/>
  <c r="B452" i="24"/>
  <c r="B478" i="24" s="1"/>
  <c r="B256" i="9"/>
  <c r="B262" i="9"/>
  <c r="B280" i="9"/>
  <c r="O559" i="24"/>
  <c r="O550" i="24"/>
  <c r="O562" i="24"/>
  <c r="H709" i="24"/>
  <c r="D975" i="24"/>
  <c r="O935" i="24"/>
  <c r="O975" i="24" s="1"/>
  <c r="I153" i="24"/>
  <c r="I144" i="24"/>
  <c r="I156" i="24"/>
  <c r="L220" i="24"/>
  <c r="L223" i="24"/>
  <c r="O193" i="24"/>
  <c r="O184" i="24"/>
  <c r="O196" i="24"/>
  <c r="C332" i="24"/>
  <c r="C275" i="24"/>
  <c r="C266" i="24"/>
  <c r="C278" i="24"/>
  <c r="C329" i="24"/>
  <c r="G332" i="24"/>
  <c r="G275" i="24"/>
  <c r="G329" i="24"/>
  <c r="K332" i="24"/>
  <c r="K329" i="24"/>
  <c r="O332" i="24"/>
  <c r="O329" i="24"/>
  <c r="S332" i="24"/>
  <c r="S275" i="24"/>
  <c r="S266" i="24"/>
  <c r="S278" i="24"/>
  <c r="S329" i="24"/>
  <c r="M330" i="24"/>
  <c r="B345" i="24"/>
  <c r="B342" i="24"/>
  <c r="R345" i="24"/>
  <c r="R342" i="24"/>
  <c r="L343" i="24"/>
  <c r="L315" i="24"/>
  <c r="L306" i="24"/>
  <c r="L318" i="24"/>
  <c r="P396" i="24"/>
  <c r="P387" i="24"/>
  <c r="P399" i="24"/>
  <c r="B576" i="24"/>
  <c r="B573" i="24"/>
  <c r="F576" i="24"/>
  <c r="F573" i="24"/>
  <c r="J576" i="24"/>
  <c r="J519" i="24"/>
  <c r="J510" i="24"/>
  <c r="J522" i="24"/>
  <c r="J573" i="24"/>
  <c r="N576" i="24"/>
  <c r="N519" i="24"/>
  <c r="N510" i="24"/>
  <c r="N573" i="24"/>
  <c r="R576" i="24"/>
  <c r="R573" i="24"/>
  <c r="B690" i="24"/>
  <c r="F690" i="24"/>
  <c r="R690" i="24"/>
  <c r="I716" i="24"/>
  <c r="E858" i="24"/>
  <c r="E849" i="24"/>
  <c r="E861" i="24"/>
  <c r="B940" i="24"/>
  <c r="B931" i="24"/>
  <c r="B943" i="24"/>
  <c r="Q1453" i="24"/>
  <c r="W449" i="7"/>
  <c r="W446" i="7"/>
  <c r="P406" i="7"/>
  <c r="L76" i="26"/>
  <c r="X406" i="7"/>
  <c r="R76" i="26"/>
  <c r="S406" i="7"/>
  <c r="N76" i="26"/>
  <c r="C433" i="7"/>
  <c r="E436" i="7" s="1"/>
  <c r="C454" i="7"/>
  <c r="C436" i="7"/>
  <c r="J446" i="7"/>
  <c r="J462" i="7" s="1"/>
  <c r="J454" i="7"/>
  <c r="M441" i="7"/>
  <c r="J449" i="7"/>
  <c r="R458" i="7"/>
  <c r="U458" i="7" s="1"/>
  <c r="U445" i="7"/>
  <c r="H403" i="7"/>
  <c r="F80" i="26" s="1"/>
  <c r="F78" i="26"/>
  <c r="P403" i="7"/>
  <c r="L80" i="26" s="1"/>
  <c r="L78" i="26"/>
  <c r="D450" i="7"/>
  <c r="D462" i="7"/>
  <c r="D459" i="7"/>
  <c r="B606" i="9"/>
  <c r="B609" i="9"/>
  <c r="M837" i="9"/>
  <c r="M840" i="9"/>
  <c r="T813" i="9"/>
  <c r="T810" i="9"/>
  <c r="B542" i="9"/>
  <c r="F784" i="9"/>
  <c r="F838" i="9"/>
  <c r="N784" i="9"/>
  <c r="N838" i="9"/>
  <c r="H782" i="9"/>
  <c r="H862" i="9" s="1"/>
  <c r="H836" i="9"/>
  <c r="R770" i="9"/>
  <c r="R773" i="9"/>
  <c r="R845" i="9"/>
  <c r="R800" i="9"/>
  <c r="R797" i="9"/>
  <c r="R818" i="9"/>
  <c r="P845" i="9"/>
  <c r="P813" i="9"/>
  <c r="P810" i="9"/>
  <c r="P850" i="9" s="1"/>
  <c r="C461" i="24"/>
  <c r="C782" i="9"/>
  <c r="C862" i="9" s="1"/>
  <c r="C849" i="9"/>
  <c r="C770" i="9"/>
  <c r="K824" i="9"/>
  <c r="K864" i="9" s="1"/>
  <c r="K851" i="9"/>
  <c r="C425" i="9"/>
  <c r="B239" i="9"/>
  <c r="B215" i="9"/>
  <c r="I695" i="9"/>
  <c r="I677" i="9"/>
  <c r="I703" i="9" s="1"/>
  <c r="O655" i="9"/>
  <c r="O735" i="9" s="1"/>
  <c r="O637" i="9"/>
  <c r="O709" i="9"/>
  <c r="R670" i="9"/>
  <c r="R676" i="9"/>
  <c r="R694" i="9"/>
  <c r="B439" i="9"/>
  <c r="B445" i="9"/>
  <c r="L650" i="9"/>
  <c r="L730" i="9" s="1"/>
  <c r="L722" i="9"/>
  <c r="O650" i="9"/>
  <c r="O730" i="9" s="1"/>
  <c r="O722" i="9"/>
  <c r="R689" i="9"/>
  <c r="R683" i="9"/>
  <c r="C525" i="9"/>
  <c r="C605" i="9" s="1"/>
  <c r="D523" i="9"/>
  <c r="C603" i="9"/>
  <c r="D563" i="9"/>
  <c r="L760" i="9"/>
  <c r="L757" i="9"/>
  <c r="L778" i="9"/>
  <c r="L858" i="9" s="1"/>
  <c r="L832" i="9"/>
  <c r="G784" i="9"/>
  <c r="G864" i="9" s="1"/>
  <c r="G851" i="9"/>
  <c r="D406" i="7"/>
  <c r="C76" i="26"/>
  <c r="K406" i="7"/>
  <c r="H76" i="26"/>
  <c r="B405" i="7"/>
  <c r="B399" i="7"/>
  <c r="A75" i="26"/>
  <c r="B421" i="7"/>
  <c r="B418" i="7"/>
  <c r="E417" i="7"/>
  <c r="U417" i="7"/>
  <c r="K449" i="7"/>
  <c r="K446" i="7"/>
  <c r="E401" i="7"/>
  <c r="B403" i="7"/>
  <c r="A78" i="26"/>
  <c r="M401" i="7"/>
  <c r="J403" i="7"/>
  <c r="G78" i="26"/>
  <c r="U401" i="7"/>
  <c r="R403" i="7"/>
  <c r="M78" i="26"/>
  <c r="E398" i="7"/>
  <c r="B406" i="7"/>
  <c r="E406" i="7" s="1"/>
  <c r="A76" i="26"/>
  <c r="M398" i="7"/>
  <c r="J406" i="7"/>
  <c r="G76" i="26"/>
  <c r="U398" i="7"/>
  <c r="R406" i="7"/>
  <c r="U406" i="7" s="1"/>
  <c r="M76" i="26"/>
  <c r="C403" i="7"/>
  <c r="B80" i="26" s="1"/>
  <c r="B78" i="26"/>
  <c r="K403" i="7"/>
  <c r="H80" i="26" s="1"/>
  <c r="H78" i="26"/>
  <c r="S403" i="7"/>
  <c r="N80" i="26" s="1"/>
  <c r="N78" i="26"/>
  <c r="E402" i="7"/>
  <c r="A79" i="26"/>
  <c r="M402" i="7"/>
  <c r="G79" i="26"/>
  <c r="U402" i="7"/>
  <c r="M79" i="26"/>
  <c r="G433" i="7"/>
  <c r="I433" i="7" s="1"/>
  <c r="G454" i="7"/>
  <c r="G436" i="7"/>
  <c r="W433" i="7"/>
  <c r="W454" i="7"/>
  <c r="W436" i="7"/>
  <c r="O458" i="7"/>
  <c r="F450" i="7"/>
  <c r="F462" i="7"/>
  <c r="I436" i="7"/>
  <c r="F459" i="7"/>
  <c r="V450" i="7"/>
  <c r="V462" i="7"/>
  <c r="Y436" i="7"/>
  <c r="V459" i="7"/>
  <c r="Y433" i="7"/>
  <c r="N446" i="7"/>
  <c r="N450" i="7" s="1"/>
  <c r="N454" i="7"/>
  <c r="Q454" i="7" s="1"/>
  <c r="Q441" i="7"/>
  <c r="N449" i="7"/>
  <c r="F458" i="7"/>
  <c r="I458" i="7" s="1"/>
  <c r="I445" i="7"/>
  <c r="V458" i="7"/>
  <c r="Y458" i="7" s="1"/>
  <c r="Y445" i="7"/>
  <c r="X403" i="7"/>
  <c r="R80" i="26" s="1"/>
  <c r="R78" i="26"/>
  <c r="Y428" i="7"/>
  <c r="L450" i="7"/>
  <c r="L462" i="7"/>
  <c r="L459" i="7"/>
  <c r="U432" i="7"/>
  <c r="G406" i="7"/>
  <c r="E76" i="26"/>
  <c r="X450" i="7"/>
  <c r="X462" i="7"/>
  <c r="X459" i="7"/>
  <c r="I432" i="7"/>
  <c r="E428" i="7"/>
  <c r="C341" i="9"/>
  <c r="C365" i="9"/>
  <c r="C444" i="24"/>
  <c r="L699" i="9"/>
  <c r="C552" i="9"/>
  <c r="C578" i="9" s="1"/>
  <c r="C576" i="9"/>
  <c r="D785" i="9"/>
  <c r="D865" i="9" s="1"/>
  <c r="D852" i="9"/>
  <c r="D813" i="9"/>
  <c r="D810" i="9"/>
  <c r="B530" i="9"/>
  <c r="B539" i="9"/>
  <c r="C728" i="9"/>
  <c r="C731" i="9"/>
  <c r="F778" i="9"/>
  <c r="F858" i="9" s="1"/>
  <c r="F832" i="9"/>
  <c r="F757" i="9"/>
  <c r="F760" i="9"/>
  <c r="N778" i="9"/>
  <c r="N858" i="9" s="1"/>
  <c r="N757" i="9"/>
  <c r="N760" i="9"/>
  <c r="N832" i="9"/>
  <c r="C785" i="9"/>
  <c r="C865" i="9" s="1"/>
  <c r="C839" i="9"/>
  <c r="S785" i="9"/>
  <c r="S865" i="9" s="1"/>
  <c r="L782" i="9"/>
  <c r="L862" i="9" s="1"/>
  <c r="L836" i="9"/>
  <c r="H818" i="9"/>
  <c r="H858" i="9" s="1"/>
  <c r="H797" i="9"/>
  <c r="H837" i="9" s="1"/>
  <c r="H800" i="9"/>
  <c r="P818" i="9"/>
  <c r="P858" i="9" s="1"/>
  <c r="P797" i="9"/>
  <c r="P800" i="9"/>
  <c r="P832" i="9"/>
  <c r="E810" i="9"/>
  <c r="E822" i="9"/>
  <c r="E862" i="9" s="1"/>
  <c r="E849" i="9"/>
  <c r="R677" i="9"/>
  <c r="R703" i="9" s="1"/>
  <c r="R695" i="9"/>
  <c r="C548" i="9"/>
  <c r="C554" i="9"/>
  <c r="C580" i="9" s="1"/>
  <c r="C572" i="9"/>
  <c r="E845" i="9"/>
  <c r="E778" i="9"/>
  <c r="E858" i="9" s="1"/>
  <c r="E770" i="9"/>
  <c r="E773" i="9"/>
  <c r="M778" i="9"/>
  <c r="M858" i="9" s="1"/>
  <c r="M770" i="9"/>
  <c r="M786" i="9" s="1"/>
  <c r="M773" i="9"/>
  <c r="M845" i="9"/>
  <c r="H850" i="9"/>
  <c r="H853" i="9"/>
  <c r="C810" i="9"/>
  <c r="C823" i="9" s="1"/>
  <c r="C813" i="9"/>
  <c r="C845" i="9"/>
  <c r="K813" i="9"/>
  <c r="K818" i="9"/>
  <c r="K858" i="9" s="1"/>
  <c r="K810" i="9"/>
  <c r="K823" i="9" s="1"/>
  <c r="K845" i="9"/>
  <c r="S810" i="9"/>
  <c r="S813" i="9"/>
  <c r="S845" i="9"/>
  <c r="C424" i="9"/>
  <c r="C384" i="9"/>
  <c r="C298" i="9"/>
  <c r="B222" i="9"/>
  <c r="I637" i="9"/>
  <c r="I709" i="9"/>
  <c r="I655" i="9"/>
  <c r="I735" i="9" s="1"/>
  <c r="I654" i="9"/>
  <c r="I630" i="9"/>
  <c r="I636" i="9"/>
  <c r="I708" i="9"/>
  <c r="O630" i="9"/>
  <c r="O636" i="9"/>
  <c r="O708" i="9"/>
  <c r="O654" i="9"/>
  <c r="O734" i="9" s="1"/>
  <c r="R654" i="9"/>
  <c r="R734" i="9" s="1"/>
  <c r="R630" i="9"/>
  <c r="R636" i="9"/>
  <c r="R708" i="9"/>
  <c r="C438" i="9"/>
  <c r="C446" i="9" s="1"/>
  <c r="C398" i="9"/>
  <c r="B234" i="9"/>
  <c r="F690" i="9"/>
  <c r="F703" i="9" s="1"/>
  <c r="F650" i="9"/>
  <c r="F722" i="9"/>
  <c r="I683" i="9"/>
  <c r="I689" i="9"/>
  <c r="O683" i="9"/>
  <c r="O689" i="9"/>
  <c r="D511" i="9"/>
  <c r="C537" i="9"/>
  <c r="C617" i="9" s="1"/>
  <c r="C591" i="9"/>
  <c r="D551" i="9"/>
  <c r="M813" i="9"/>
  <c r="D637" i="9"/>
  <c r="D709" i="9"/>
  <c r="D655" i="9"/>
  <c r="D695" i="9"/>
  <c r="D677" i="9"/>
  <c r="D703" i="9" s="1"/>
  <c r="G694" i="9"/>
  <c r="G670" i="9"/>
  <c r="G676" i="9"/>
  <c r="M637" i="9"/>
  <c r="M709" i="9"/>
  <c r="M655" i="9"/>
  <c r="M735" i="9" s="1"/>
  <c r="M654" i="9"/>
  <c r="M734" i="9" s="1"/>
  <c r="M630" i="9"/>
  <c r="M636" i="9"/>
  <c r="M708" i="9"/>
  <c r="S630" i="9"/>
  <c r="S636" i="9"/>
  <c r="S708" i="9"/>
  <c r="S654" i="9"/>
  <c r="S734" i="9" s="1"/>
  <c r="C428" i="9"/>
  <c r="C388" i="9"/>
  <c r="B328" i="9"/>
  <c r="B304" i="9"/>
  <c r="F699" i="9"/>
  <c r="L658" i="9"/>
  <c r="L634" i="9"/>
  <c r="L712" i="9"/>
  <c r="O713" i="9"/>
  <c r="O659" i="9"/>
  <c r="O739" i="9" s="1"/>
  <c r="R713" i="9"/>
  <c r="R659" i="9"/>
  <c r="R739" i="9" s="1"/>
  <c r="G683" i="9"/>
  <c r="G689" i="9"/>
  <c r="M650" i="9"/>
  <c r="M730" i="9" s="1"/>
  <c r="M722" i="9"/>
  <c r="P690" i="9"/>
  <c r="S643" i="9"/>
  <c r="S649" i="9"/>
  <c r="S729" i="9" s="1"/>
  <c r="S721" i="9"/>
  <c r="B317" i="9"/>
  <c r="L647" i="9"/>
  <c r="L725" i="9"/>
  <c r="L687" i="9"/>
  <c r="O647" i="9"/>
  <c r="O727" i="9" s="1"/>
  <c r="O725" i="9"/>
  <c r="R726" i="9"/>
  <c r="R647" i="9"/>
  <c r="R727" i="9" s="1"/>
  <c r="R725" i="9"/>
  <c r="E784" i="9"/>
  <c r="E864" i="9" s="1"/>
  <c r="I783" i="9"/>
  <c r="I774" i="9"/>
  <c r="I837" i="9"/>
  <c r="I840" i="9"/>
  <c r="I786" i="9"/>
  <c r="J865" i="9"/>
  <c r="F814" i="9"/>
  <c r="F823" i="9"/>
  <c r="F826" i="9"/>
  <c r="F824" i="9"/>
  <c r="E670" i="9"/>
  <c r="E676" i="9"/>
  <c r="E694" i="9"/>
  <c r="E695" i="9"/>
  <c r="E677" i="9"/>
  <c r="E703" i="9" s="1"/>
  <c r="Q670" i="9"/>
  <c r="Q676" i="9"/>
  <c r="Q694" i="9"/>
  <c r="Q695" i="9"/>
  <c r="Q677" i="9"/>
  <c r="Q703" i="9" s="1"/>
  <c r="J634" i="9"/>
  <c r="J712" i="9"/>
  <c r="J658" i="9"/>
  <c r="J698" i="9"/>
  <c r="J674" i="9"/>
  <c r="N634" i="9"/>
  <c r="N712" i="9"/>
  <c r="N658" i="9"/>
  <c r="N738" i="9" s="1"/>
  <c r="N698" i="9"/>
  <c r="N674" i="9"/>
  <c r="J687" i="9"/>
  <c r="N687" i="9"/>
  <c r="C343" i="11"/>
  <c r="C340" i="11"/>
  <c r="E340" i="11" s="1"/>
  <c r="S343" i="11"/>
  <c r="S340" i="11"/>
  <c r="U340" i="11" s="1"/>
  <c r="N670" i="9"/>
  <c r="N676" i="9"/>
  <c r="N702" i="9" s="1"/>
  <c r="N694" i="9"/>
  <c r="N655" i="9"/>
  <c r="N735" i="9" s="1"/>
  <c r="N637" i="9"/>
  <c r="N709" i="9"/>
  <c r="G713" i="9"/>
  <c r="G659" i="9"/>
  <c r="G739" i="9" s="1"/>
  <c r="K713" i="9"/>
  <c r="K659" i="9"/>
  <c r="K739" i="9" s="1"/>
  <c r="S713" i="9"/>
  <c r="S659" i="9"/>
  <c r="S739" i="9" s="1"/>
  <c r="N689" i="9"/>
  <c r="N683" i="9"/>
  <c r="G687" i="9"/>
  <c r="K687" i="9"/>
  <c r="S687" i="9"/>
  <c r="C784" i="9"/>
  <c r="C864" i="9" s="1"/>
  <c r="S774" i="9"/>
  <c r="S840" i="9"/>
  <c r="S783" i="9"/>
  <c r="S786" i="9"/>
  <c r="S837" i="9"/>
  <c r="D760" i="9"/>
  <c r="H760" i="9"/>
  <c r="P785" i="9"/>
  <c r="P865" i="9" s="1"/>
  <c r="T760" i="9"/>
  <c r="G818" i="9"/>
  <c r="O818" i="9"/>
  <c r="G825" i="9"/>
  <c r="G865" i="9" s="1"/>
  <c r="K630" i="9"/>
  <c r="K636" i="9"/>
  <c r="K708" i="9"/>
  <c r="K654" i="9"/>
  <c r="K734" i="9" s="1"/>
  <c r="D674" i="9"/>
  <c r="D700" i="9" s="1"/>
  <c r="D698" i="9"/>
  <c r="D659" i="9"/>
  <c r="D739" i="9" s="1"/>
  <c r="D713" i="9"/>
  <c r="H674" i="9"/>
  <c r="H700" i="9" s="1"/>
  <c r="H698" i="9"/>
  <c r="H659" i="9"/>
  <c r="H739" i="9" s="1"/>
  <c r="H713" i="9"/>
  <c r="P674" i="9"/>
  <c r="P700" i="9" s="1"/>
  <c r="P698" i="9"/>
  <c r="P659" i="9"/>
  <c r="P739" i="9" s="1"/>
  <c r="P713" i="9"/>
  <c r="T674" i="9"/>
  <c r="T700" i="9" s="1"/>
  <c r="T698" i="9"/>
  <c r="T659" i="9"/>
  <c r="T739" i="9" s="1"/>
  <c r="T713" i="9"/>
  <c r="K650" i="9"/>
  <c r="K722" i="9"/>
  <c r="K690" i="9"/>
  <c r="H864" i="9"/>
  <c r="P773" i="9"/>
  <c r="H637" i="9"/>
  <c r="H709" i="9"/>
  <c r="H655" i="9"/>
  <c r="H695" i="9"/>
  <c r="H677" i="9"/>
  <c r="T637" i="9"/>
  <c r="T709" i="9"/>
  <c r="T655" i="9"/>
  <c r="T695" i="9"/>
  <c r="T677" i="9"/>
  <c r="H643" i="9"/>
  <c r="H649" i="9"/>
  <c r="H721" i="9"/>
  <c r="T643" i="9"/>
  <c r="T649" i="9"/>
  <c r="T721" i="9"/>
  <c r="E726" i="9"/>
  <c r="M726" i="9"/>
  <c r="Q726" i="9"/>
  <c r="P91" i="12"/>
  <c r="Q94" i="12" s="1"/>
  <c r="P94" i="12"/>
  <c r="H91" i="12"/>
  <c r="I94" i="12" s="1"/>
  <c r="H94" i="12"/>
  <c r="I86" i="12"/>
  <c r="B125" i="22"/>
  <c r="B134" i="22"/>
  <c r="B137" i="22"/>
  <c r="C174" i="22"/>
  <c r="C152" i="22"/>
  <c r="G34" i="2"/>
  <c r="G32" i="2"/>
  <c r="G35" i="2"/>
  <c r="G33" i="2"/>
  <c r="B44" i="24"/>
  <c r="Q221" i="24"/>
  <c r="Q154" i="24"/>
  <c r="Q234" i="24" s="1"/>
  <c r="P194" i="24"/>
  <c r="P234" i="24" s="1"/>
  <c r="P208" i="24"/>
  <c r="O221" i="24"/>
  <c r="O194" i="24"/>
  <c r="K276" i="24"/>
  <c r="K356" i="24" s="1"/>
  <c r="K330" i="24"/>
  <c r="F343" i="24"/>
  <c r="F276" i="24"/>
  <c r="F356" i="24" s="1"/>
  <c r="N520" i="24"/>
  <c r="N600" i="24" s="1"/>
  <c r="N574" i="24"/>
  <c r="M587" i="24"/>
  <c r="M520" i="24"/>
  <c r="M600" i="24" s="1"/>
  <c r="C642" i="24"/>
  <c r="C722" i="24" s="1"/>
  <c r="C696" i="24"/>
  <c r="S642" i="24"/>
  <c r="S722" i="24" s="1"/>
  <c r="S696" i="24"/>
  <c r="N709" i="24"/>
  <c r="N642" i="24"/>
  <c r="N722" i="24" s="1"/>
  <c r="M901" i="24"/>
  <c r="M981" i="24" s="1"/>
  <c r="M955" i="24"/>
  <c r="L968" i="24"/>
  <c r="L901" i="24"/>
  <c r="L981" i="24" s="1"/>
  <c r="K1412" i="24"/>
  <c r="K1414" i="24" s="1"/>
  <c r="AA1412" i="24"/>
  <c r="AA1414" i="24" s="1"/>
  <c r="B298" i="22"/>
  <c r="B301" i="22"/>
  <c r="B289" i="22"/>
  <c r="C88" i="24"/>
  <c r="C97" i="24"/>
  <c r="C100" i="24"/>
  <c r="K154" i="24"/>
  <c r="K234" i="24" s="1"/>
  <c r="K208" i="24"/>
  <c r="N140" i="24"/>
  <c r="N143" i="24"/>
  <c r="N215" i="24"/>
  <c r="E188" i="24"/>
  <c r="E228" i="24" s="1"/>
  <c r="E202" i="24"/>
  <c r="E167" i="24"/>
  <c r="E207" i="24" s="1"/>
  <c r="E170" i="24"/>
  <c r="D180" i="24"/>
  <c r="D184" i="24" s="1"/>
  <c r="D183" i="24"/>
  <c r="Q202" i="24"/>
  <c r="P270" i="24"/>
  <c r="P350" i="24" s="1"/>
  <c r="P249" i="24"/>
  <c r="P252" i="24"/>
  <c r="P324" i="24"/>
  <c r="N274" i="24"/>
  <c r="N354" i="24" s="1"/>
  <c r="N328" i="24"/>
  <c r="K262" i="24"/>
  <c r="K275" i="24" s="1"/>
  <c r="K265" i="24"/>
  <c r="K337" i="24"/>
  <c r="P356" i="24"/>
  <c r="N310" i="24"/>
  <c r="N289" i="24"/>
  <c r="N292" i="24"/>
  <c r="M302" i="24"/>
  <c r="M306" i="24" s="1"/>
  <c r="M305" i="24"/>
  <c r="B391" i="24"/>
  <c r="B370" i="24"/>
  <c r="B373" i="24"/>
  <c r="R391" i="24"/>
  <c r="R370" i="24"/>
  <c r="R373" i="24"/>
  <c r="Q383" i="24"/>
  <c r="Q399" i="24" s="1"/>
  <c r="Q386" i="24"/>
  <c r="G514" i="24"/>
  <c r="G594" i="24" s="1"/>
  <c r="G493" i="24"/>
  <c r="G496" i="24"/>
  <c r="G568" i="24"/>
  <c r="E518" i="24"/>
  <c r="E598" i="24" s="1"/>
  <c r="E572" i="24"/>
  <c r="B506" i="24"/>
  <c r="B522" i="24" s="1"/>
  <c r="B509" i="24"/>
  <c r="B581" i="24"/>
  <c r="R506" i="24"/>
  <c r="R509" i="24"/>
  <c r="R581" i="24"/>
  <c r="G600" i="24"/>
  <c r="E554" i="24"/>
  <c r="E594" i="24" s="1"/>
  <c r="E533" i="24"/>
  <c r="E536" i="24"/>
  <c r="D546" i="24"/>
  <c r="D559" i="24" s="1"/>
  <c r="D549" i="24"/>
  <c r="L636" i="24"/>
  <c r="L615" i="24"/>
  <c r="L618" i="24"/>
  <c r="L690" i="24"/>
  <c r="J640" i="24"/>
  <c r="J720" i="24" s="1"/>
  <c r="J694" i="24"/>
  <c r="G628" i="24"/>
  <c r="G631" i="24"/>
  <c r="G703" i="24"/>
  <c r="L722" i="24"/>
  <c r="J676" i="24"/>
  <c r="J716" i="24" s="1"/>
  <c r="J655" i="24"/>
  <c r="J658" i="24"/>
  <c r="I668" i="24"/>
  <c r="I671" i="24"/>
  <c r="O853" i="24"/>
  <c r="O832" i="24"/>
  <c r="O835" i="24"/>
  <c r="J845" i="24"/>
  <c r="J848" i="24"/>
  <c r="N895" i="24"/>
  <c r="N975" i="24" s="1"/>
  <c r="N874" i="24"/>
  <c r="N877" i="24"/>
  <c r="N949" i="24"/>
  <c r="L877" i="24"/>
  <c r="L899" i="24"/>
  <c r="L979" i="24" s="1"/>
  <c r="L953" i="24"/>
  <c r="M887" i="24"/>
  <c r="M900" i="24" s="1"/>
  <c r="M890" i="24"/>
  <c r="M962" i="24"/>
  <c r="K890" i="24"/>
  <c r="K966" i="24"/>
  <c r="N981" i="24"/>
  <c r="H935" i="24"/>
  <c r="H975" i="24" s="1"/>
  <c r="H949" i="24"/>
  <c r="H914" i="24"/>
  <c r="H954" i="24" s="1"/>
  <c r="H917" i="24"/>
  <c r="G962" i="24"/>
  <c r="G927" i="24"/>
  <c r="G930" i="24"/>
  <c r="J1008" i="24"/>
  <c r="J1011" i="24"/>
  <c r="G1027" i="24"/>
  <c r="G1030" i="24"/>
  <c r="D1056" i="24"/>
  <c r="D1059" i="24"/>
  <c r="B11" i="4"/>
  <c r="A157" i="26"/>
  <c r="P1412" i="24"/>
  <c r="P1414" i="24" s="1"/>
  <c r="AF1412" i="24"/>
  <c r="AF1414" i="24" s="1"/>
  <c r="I67" i="2"/>
  <c r="I87" i="2"/>
  <c r="I137" i="2"/>
  <c r="I152" i="2"/>
  <c r="I196" i="2"/>
  <c r="I211" i="2"/>
  <c r="I318" i="2"/>
  <c r="I229" i="2"/>
  <c r="I183" i="2"/>
  <c r="I338" i="2"/>
  <c r="I359" i="2"/>
  <c r="I365" i="2"/>
  <c r="I285" i="2"/>
  <c r="J429" i="2"/>
  <c r="I275" i="2"/>
  <c r="I303" i="2"/>
  <c r="I394" i="2"/>
  <c r="I243" i="2"/>
  <c r="J420" i="2"/>
  <c r="G5" i="4"/>
  <c r="G32" i="4"/>
  <c r="J409" i="2"/>
  <c r="I438" i="2"/>
  <c r="F6" i="6"/>
  <c r="F30" i="7"/>
  <c r="F5" i="5"/>
  <c r="F32" i="5"/>
  <c r="F7" i="7"/>
  <c r="F45" i="7"/>
  <c r="F143" i="7"/>
  <c r="F5" i="3"/>
  <c r="F176" i="7"/>
  <c r="F293" i="7"/>
  <c r="F327" i="7"/>
  <c r="F45" i="8"/>
  <c r="F30" i="8"/>
  <c r="F7" i="8"/>
  <c r="F143" i="8"/>
  <c r="F176" i="8"/>
  <c r="F517" i="8"/>
  <c r="E160" i="9"/>
  <c r="E10" i="9"/>
  <c r="E209" i="9"/>
  <c r="E45" i="9"/>
  <c r="F294" i="9"/>
  <c r="F379" i="9"/>
  <c r="F7" i="10"/>
  <c r="F267" i="10"/>
  <c r="E15" i="10"/>
  <c r="F180" i="10"/>
  <c r="F9" i="11"/>
  <c r="F21" i="10"/>
  <c r="F39" i="10"/>
  <c r="F72" i="10"/>
  <c r="F105" i="10"/>
  <c r="E29" i="10"/>
  <c r="F215" i="11"/>
  <c r="F316" i="11"/>
  <c r="F348" i="11"/>
  <c r="F7" i="12"/>
  <c r="F404" i="11"/>
  <c r="F476" i="11"/>
  <c r="F67" i="12"/>
  <c r="F99" i="12"/>
  <c r="F172" i="12"/>
  <c r="F77" i="13"/>
  <c r="F184" i="13"/>
  <c r="F6" i="14"/>
  <c r="G57" i="16"/>
  <c r="G5" i="18"/>
  <c r="E45" i="22"/>
  <c r="F6" i="13"/>
  <c r="F7" i="15"/>
  <c r="G7" i="16"/>
  <c r="G29" i="16"/>
  <c r="G77" i="16"/>
  <c r="G25" i="17"/>
  <c r="F16" i="19"/>
  <c r="F4" i="22"/>
  <c r="F46" i="13"/>
  <c r="F67" i="13"/>
  <c r="F95" i="13"/>
  <c r="F206" i="13"/>
  <c r="F21" i="15"/>
  <c r="G7" i="17"/>
  <c r="E5" i="21"/>
  <c r="F15" i="13"/>
  <c r="F189" i="13"/>
  <c r="F20" i="14"/>
  <c r="F64" i="14"/>
  <c r="G19" i="16"/>
  <c r="F5" i="19"/>
  <c r="F98" i="22"/>
  <c r="F303" i="22"/>
  <c r="E386" i="22"/>
  <c r="E427" i="22"/>
  <c r="E722" i="22"/>
  <c r="E727" i="22"/>
  <c r="E893" i="22"/>
  <c r="E951" i="22"/>
  <c r="E958" i="22"/>
  <c r="E963" i="22"/>
  <c r="E970" i="22"/>
  <c r="E975" i="22"/>
  <c r="E982" i="22"/>
  <c r="E987" i="22"/>
  <c r="E994" i="22"/>
  <c r="E999" i="22"/>
  <c r="E1006" i="22"/>
  <c r="E1011" i="22"/>
  <c r="E1018" i="22"/>
  <c r="E1023" i="22"/>
  <c r="E1030" i="22"/>
  <c r="E1035" i="22"/>
  <c r="E1042" i="22"/>
  <c r="E1047" i="22"/>
  <c r="E1054" i="22"/>
  <c r="F1056" i="22"/>
  <c r="F1066" i="22"/>
  <c r="F1068" i="22"/>
  <c r="F1078" i="22"/>
  <c r="E1083" i="22"/>
  <c r="E1090" i="22"/>
  <c r="E1095" i="22"/>
  <c r="E1102" i="22"/>
  <c r="E1107" i="22"/>
  <c r="E1114" i="22"/>
  <c r="E1119" i="22"/>
  <c r="E1126" i="22"/>
  <c r="E1131" i="22"/>
  <c r="E1138" i="22"/>
  <c r="E1143" i="22"/>
  <c r="E1150" i="22"/>
  <c r="E1155" i="22"/>
  <c r="E1162" i="22"/>
  <c r="E1167" i="22"/>
  <c r="E1174" i="22"/>
  <c r="E1179" i="22"/>
  <c r="F11" i="24"/>
  <c r="F180" i="22"/>
  <c r="F221" i="22"/>
  <c r="E372" i="22"/>
  <c r="E730" i="22"/>
  <c r="E771" i="22"/>
  <c r="E358" i="22"/>
  <c r="E713" i="22"/>
  <c r="F719" i="22"/>
  <c r="F139" i="22"/>
  <c r="F262" i="22"/>
  <c r="E344" i="22"/>
  <c r="F672" i="22"/>
  <c r="E907" i="22"/>
  <c r="E952" i="22"/>
  <c r="E964" i="22"/>
  <c r="E976" i="22"/>
  <c r="E988" i="22"/>
  <c r="E1000" i="22"/>
  <c r="E1012" i="22"/>
  <c r="E1024" i="22"/>
  <c r="E1036" i="22"/>
  <c r="E1048" i="22"/>
  <c r="F1059" i="22"/>
  <c r="F1072" i="22"/>
  <c r="E1084" i="22"/>
  <c r="E1096" i="22"/>
  <c r="E1108" i="22"/>
  <c r="E1120" i="22"/>
  <c r="E1132" i="22"/>
  <c r="E1144" i="22"/>
  <c r="E1156" i="22"/>
  <c r="E1168" i="22"/>
  <c r="E1180" i="22"/>
  <c r="E116" i="24"/>
  <c r="E822" i="24"/>
  <c r="E863" i="24"/>
  <c r="E1032" i="24"/>
  <c r="E1042" i="24"/>
  <c r="E1047" i="24"/>
  <c r="E1187" i="24"/>
  <c r="E1192" i="24"/>
  <c r="E1273" i="24"/>
  <c r="E1290" i="24"/>
  <c r="E1369" i="24"/>
  <c r="E1386" i="24"/>
  <c r="AO1391" i="24"/>
  <c r="AO1396" i="24"/>
  <c r="AO1429" i="24"/>
  <c r="F1437" i="24"/>
  <c r="F1443" i="24"/>
  <c r="F1461" i="24"/>
  <c r="E1481" i="24"/>
  <c r="F1495" i="24"/>
  <c r="F1062" i="22"/>
  <c r="F1077" i="22"/>
  <c r="E360" i="24"/>
  <c r="E401" i="24"/>
  <c r="E726" i="24"/>
  <c r="E767" i="24"/>
  <c r="E808" i="24"/>
  <c r="E1018" i="24"/>
  <c r="E1173" i="24"/>
  <c r="E1254" i="24"/>
  <c r="E1259" i="24"/>
  <c r="E1349" i="24"/>
  <c r="F1434" i="24"/>
  <c r="E1449" i="24"/>
  <c r="E1467" i="24"/>
  <c r="E948" i="22"/>
  <c r="E954" i="22"/>
  <c r="E957" i="22"/>
  <c r="E960" i="22"/>
  <c r="E966" i="22"/>
  <c r="E969" i="22"/>
  <c r="E972" i="22"/>
  <c r="E978" i="22"/>
  <c r="E981" i="22"/>
  <c r="E984" i="22"/>
  <c r="E990" i="22"/>
  <c r="E993" i="22"/>
  <c r="E996" i="22"/>
  <c r="E1002" i="22"/>
  <c r="E1005" i="22"/>
  <c r="E1008" i="22"/>
  <c r="E1014" i="22"/>
  <c r="E1017" i="22"/>
  <c r="E1020" i="22"/>
  <c r="E1026" i="22"/>
  <c r="E1029" i="22"/>
  <c r="E1032" i="22"/>
  <c r="E1038" i="22"/>
  <c r="E1041" i="22"/>
  <c r="E1044" i="22"/>
  <c r="E1050" i="22"/>
  <c r="E1053" i="22"/>
  <c r="F1060" i="22"/>
  <c r="F1071" i="22"/>
  <c r="E1080" i="22"/>
  <c r="E1086" i="22"/>
  <c r="E1089" i="22"/>
  <c r="E1092" i="22"/>
  <c r="E1098" i="22"/>
  <c r="E1101" i="22"/>
  <c r="E1104" i="22"/>
  <c r="E1110" i="22"/>
  <c r="E1113" i="22"/>
  <c r="E1116" i="22"/>
  <c r="E1122" i="22"/>
  <c r="E1125" i="22"/>
  <c r="E1128" i="22"/>
  <c r="E1134" i="22"/>
  <c r="E1137" i="22"/>
  <c r="E1140" i="22"/>
  <c r="E1146" i="22"/>
  <c r="E1149" i="22"/>
  <c r="E1152" i="22"/>
  <c r="E1158" i="22"/>
  <c r="E1161" i="22"/>
  <c r="E1164" i="22"/>
  <c r="E1170" i="22"/>
  <c r="E1173" i="22"/>
  <c r="E1176" i="22"/>
  <c r="F8" i="24"/>
  <c r="E238" i="24"/>
  <c r="E604" i="24"/>
  <c r="E999" i="24"/>
  <c r="E1080" i="24"/>
  <c r="E1154" i="24"/>
  <c r="F1065" i="22"/>
  <c r="F1074" i="22"/>
  <c r="E441" i="24"/>
  <c r="E482" i="24"/>
  <c r="E985" i="24"/>
  <c r="E1066" i="24"/>
  <c r="E1140" i="24"/>
  <c r="E1211" i="24"/>
  <c r="E1383" i="24"/>
  <c r="AO1406" i="24"/>
  <c r="AO1411" i="24"/>
  <c r="F1426" i="24"/>
  <c r="F1446" i="24"/>
  <c r="F1464" i="24"/>
  <c r="E1421" i="24"/>
  <c r="E1235" i="24"/>
  <c r="E1452" i="24"/>
  <c r="F1366" i="24"/>
  <c r="E1360" i="24"/>
  <c r="AO1440" i="24"/>
  <c r="B34" i="24"/>
  <c r="BL27" i="27"/>
  <c r="B940" i="22"/>
  <c r="H67" i="2"/>
  <c r="H87" i="2"/>
  <c r="H137" i="2"/>
  <c r="H152" i="2"/>
  <c r="H183" i="2"/>
  <c r="H196" i="2"/>
  <c r="H211" i="2"/>
  <c r="H229" i="2"/>
  <c r="H303" i="2"/>
  <c r="H243" i="2"/>
  <c r="H275" i="2"/>
  <c r="H285" i="2"/>
  <c r="H318" i="2"/>
  <c r="H394" i="2"/>
  <c r="I409" i="2"/>
  <c r="H338" i="2"/>
  <c r="H359" i="2"/>
  <c r="I420" i="2"/>
  <c r="I429" i="2"/>
  <c r="H365" i="2"/>
  <c r="D5" i="5"/>
  <c r="H438" i="2"/>
  <c r="D5" i="3"/>
  <c r="D32" i="5"/>
  <c r="D7" i="7"/>
  <c r="D6" i="6"/>
  <c r="D45" i="7"/>
  <c r="E5" i="4"/>
  <c r="E32" i="4"/>
  <c r="D176" i="7"/>
  <c r="D30" i="7"/>
  <c r="D143" i="7"/>
  <c r="D327" i="7"/>
  <c r="D293" i="7"/>
  <c r="D7" i="8"/>
  <c r="D45" i="8"/>
  <c r="D30" i="8"/>
  <c r="D176" i="8"/>
  <c r="D143" i="8"/>
  <c r="D517" i="8"/>
  <c r="D160" i="9"/>
  <c r="D10" i="9"/>
  <c r="D209" i="9"/>
  <c r="D45" i="9"/>
  <c r="E294" i="9"/>
  <c r="E379" i="9"/>
  <c r="D21" i="10"/>
  <c r="D39" i="10"/>
  <c r="D72" i="10"/>
  <c r="D105" i="10"/>
  <c r="C29" i="10"/>
  <c r="D7" i="10"/>
  <c r="D267" i="10"/>
  <c r="C15" i="10"/>
  <c r="D180" i="10"/>
  <c r="D9" i="11"/>
  <c r="D404" i="11"/>
  <c r="D476" i="11"/>
  <c r="D67" i="12"/>
  <c r="D99" i="12"/>
  <c r="D215" i="11"/>
  <c r="D316" i="11"/>
  <c r="D348" i="11"/>
  <c r="D7" i="12"/>
  <c r="D46" i="13"/>
  <c r="D67" i="13"/>
  <c r="D95" i="13"/>
  <c r="D206" i="13"/>
  <c r="D21" i="15"/>
  <c r="E7" i="17"/>
  <c r="E4" i="22"/>
  <c r="D15" i="13"/>
  <c r="D189" i="13"/>
  <c r="D20" i="14"/>
  <c r="D64" i="14"/>
  <c r="E19" i="16"/>
  <c r="D5" i="19"/>
  <c r="D5" i="21"/>
  <c r="D172" i="12"/>
  <c r="D77" i="13"/>
  <c r="D184" i="13"/>
  <c r="D6" i="14"/>
  <c r="E57" i="16"/>
  <c r="E5" i="18"/>
  <c r="D6" i="13"/>
  <c r="D7" i="15"/>
  <c r="E7" i="16"/>
  <c r="E29" i="16"/>
  <c r="E77" i="16"/>
  <c r="E25" i="17"/>
  <c r="D16" i="19"/>
  <c r="D45" i="22"/>
  <c r="E180" i="22"/>
  <c r="E221" i="22"/>
  <c r="D372" i="22"/>
  <c r="D730" i="22"/>
  <c r="D771" i="22"/>
  <c r="D954" i="22"/>
  <c r="D966" i="22"/>
  <c r="D978" i="22"/>
  <c r="D990" i="22"/>
  <c r="D1002" i="22"/>
  <c r="D1014" i="22"/>
  <c r="D1026" i="22"/>
  <c r="D1038" i="22"/>
  <c r="D1050" i="22"/>
  <c r="E1065" i="22"/>
  <c r="E1077" i="22"/>
  <c r="D1086" i="22"/>
  <c r="D1098" i="22"/>
  <c r="D1110" i="22"/>
  <c r="D1122" i="22"/>
  <c r="D1134" i="22"/>
  <c r="D1146" i="22"/>
  <c r="D1158" i="22"/>
  <c r="D1170" i="22"/>
  <c r="E8" i="24"/>
  <c r="D358" i="22"/>
  <c r="D713" i="22"/>
  <c r="E719" i="22"/>
  <c r="E139" i="22"/>
  <c r="E262" i="22"/>
  <c r="D344" i="22"/>
  <c r="E672" i="22"/>
  <c r="E98" i="22"/>
  <c r="E303" i="22"/>
  <c r="D386" i="22"/>
  <c r="D427" i="22"/>
  <c r="D722" i="22"/>
  <c r="D727" i="22"/>
  <c r="D893" i="22"/>
  <c r="D907" i="22"/>
  <c r="E1062" i="22"/>
  <c r="E1068" i="22"/>
  <c r="D360" i="24"/>
  <c r="D401" i="24"/>
  <c r="D726" i="24"/>
  <c r="D767" i="24"/>
  <c r="D808" i="24"/>
  <c r="D1018" i="24"/>
  <c r="D1173" i="24"/>
  <c r="D1254" i="24"/>
  <c r="D1259" i="24"/>
  <c r="D1349" i="24"/>
  <c r="E1434" i="24"/>
  <c r="D1449" i="24"/>
  <c r="D1467" i="24"/>
  <c r="D948" i="22"/>
  <c r="D957" i="22"/>
  <c r="D960" i="22"/>
  <c r="D969" i="22"/>
  <c r="D972" i="22"/>
  <c r="D981" i="22"/>
  <c r="D984" i="22"/>
  <c r="D993" i="22"/>
  <c r="D996" i="22"/>
  <c r="D1005" i="22"/>
  <c r="D1008" i="22"/>
  <c r="D1017" i="22"/>
  <c r="D1020" i="22"/>
  <c r="D1029" i="22"/>
  <c r="D1032" i="22"/>
  <c r="D1041" i="22"/>
  <c r="D1044" i="22"/>
  <c r="D1053" i="22"/>
  <c r="E1060" i="22"/>
  <c r="E1066" i="22"/>
  <c r="E1071" i="22"/>
  <c r="D1080" i="22"/>
  <c r="D1089" i="22"/>
  <c r="D1092" i="22"/>
  <c r="D1101" i="22"/>
  <c r="D1104" i="22"/>
  <c r="D1113" i="22"/>
  <c r="D1116" i="22"/>
  <c r="D1125" i="22"/>
  <c r="D1128" i="22"/>
  <c r="D1137" i="22"/>
  <c r="D1140" i="22"/>
  <c r="D1149" i="22"/>
  <c r="D1152" i="22"/>
  <c r="D1161" i="22"/>
  <c r="D1164" i="22"/>
  <c r="D1173" i="22"/>
  <c r="D1176" i="22"/>
  <c r="D238" i="24"/>
  <c r="D604" i="24"/>
  <c r="D999" i="24"/>
  <c r="D1080" i="24"/>
  <c r="D1154" i="24"/>
  <c r="D1235" i="24"/>
  <c r="D1360" i="24"/>
  <c r="E1366" i="24"/>
  <c r="D1421" i="24"/>
  <c r="AN1440" i="24"/>
  <c r="D1452" i="24"/>
  <c r="D951" i="22"/>
  <c r="D963" i="22"/>
  <c r="D975" i="22"/>
  <c r="D987" i="22"/>
  <c r="D999" i="22"/>
  <c r="D1011" i="22"/>
  <c r="D1023" i="22"/>
  <c r="D1035" i="22"/>
  <c r="D1047" i="22"/>
  <c r="E1056" i="22"/>
  <c r="E1074" i="22"/>
  <c r="D1083" i="22"/>
  <c r="D1095" i="22"/>
  <c r="D1107" i="22"/>
  <c r="D1119" i="22"/>
  <c r="D1131" i="22"/>
  <c r="D1143" i="22"/>
  <c r="D1155" i="22"/>
  <c r="D1167" i="22"/>
  <c r="D1179" i="22"/>
  <c r="D441" i="24"/>
  <c r="D482" i="24"/>
  <c r="D985" i="24"/>
  <c r="D1066" i="24"/>
  <c r="D1140" i="24"/>
  <c r="D1211" i="24"/>
  <c r="D952" i="22"/>
  <c r="D958" i="22"/>
  <c r="D964" i="22"/>
  <c r="D970" i="22"/>
  <c r="D976" i="22"/>
  <c r="D982" i="22"/>
  <c r="D988" i="22"/>
  <c r="D994" i="22"/>
  <c r="D1000" i="22"/>
  <c r="D1006" i="22"/>
  <c r="D1012" i="22"/>
  <c r="D1018" i="22"/>
  <c r="D1024" i="22"/>
  <c r="D1030" i="22"/>
  <c r="D1036" i="22"/>
  <c r="D1042" i="22"/>
  <c r="D1048" i="22"/>
  <c r="D1054" i="22"/>
  <c r="E1059" i="22"/>
  <c r="E1072" i="22"/>
  <c r="E1078" i="22"/>
  <c r="D1084" i="22"/>
  <c r="D1090" i="22"/>
  <c r="D1096" i="22"/>
  <c r="D1102" i="22"/>
  <c r="D1108" i="22"/>
  <c r="D1114" i="22"/>
  <c r="D1120" i="22"/>
  <c r="D1126" i="22"/>
  <c r="D1132" i="22"/>
  <c r="D1138" i="22"/>
  <c r="D1144" i="22"/>
  <c r="D1150" i="22"/>
  <c r="D1156" i="22"/>
  <c r="D1162" i="22"/>
  <c r="D1168" i="22"/>
  <c r="D1174" i="22"/>
  <c r="D1180" i="22"/>
  <c r="E11" i="24"/>
  <c r="D116" i="24"/>
  <c r="D822" i="24"/>
  <c r="D863" i="24"/>
  <c r="D1032" i="24"/>
  <c r="D1042" i="24"/>
  <c r="D1047" i="24"/>
  <c r="D1187" i="24"/>
  <c r="D1192" i="24"/>
  <c r="D1273" i="24"/>
  <c r="D1290" i="24"/>
  <c r="D1369" i="24"/>
  <c r="D1386" i="24"/>
  <c r="AN1391" i="24"/>
  <c r="AN1396" i="24"/>
  <c r="AN1429" i="24"/>
  <c r="E1437" i="24"/>
  <c r="E1443" i="24"/>
  <c r="E1461" i="24"/>
  <c r="D1481" i="24"/>
  <c r="E1495" i="24"/>
  <c r="AN1411" i="24"/>
  <c r="E1464" i="24"/>
  <c r="D1383" i="24"/>
  <c r="AN1406" i="24"/>
  <c r="E1426" i="24"/>
  <c r="E1446" i="24"/>
  <c r="M5" i="3"/>
  <c r="N5" i="4"/>
  <c r="M5" i="5"/>
  <c r="N32" i="4"/>
  <c r="M32" i="5"/>
  <c r="M7" i="7"/>
  <c r="M45" i="7"/>
  <c r="M143" i="7"/>
  <c r="M6" i="6"/>
  <c r="M176" i="7"/>
  <c r="M30" i="7"/>
  <c r="M293" i="7"/>
  <c r="M327" i="7"/>
  <c r="M30" i="8"/>
  <c r="M7" i="8"/>
  <c r="M143" i="8"/>
  <c r="M45" i="8"/>
  <c r="M176" i="8"/>
  <c r="M517" i="8"/>
  <c r="L15" i="10"/>
  <c r="M180" i="10"/>
  <c r="M9" i="11"/>
  <c r="M21" i="10"/>
  <c r="M39" i="10"/>
  <c r="M72" i="10"/>
  <c r="M105" i="10"/>
  <c r="L29" i="10"/>
  <c r="M7" i="10"/>
  <c r="M267" i="10"/>
  <c r="M316" i="11"/>
  <c r="M348" i="11"/>
  <c r="M7" i="12"/>
  <c r="M404" i="11"/>
  <c r="M476" i="11"/>
  <c r="M215" i="11"/>
  <c r="M6" i="13"/>
  <c r="M7" i="15"/>
  <c r="N7" i="16"/>
  <c r="N29" i="16"/>
  <c r="N77" i="16"/>
  <c r="N25" i="17"/>
  <c r="M16" i="19"/>
  <c r="M67" i="12"/>
  <c r="M172" i="12"/>
  <c r="M46" i="13"/>
  <c r="M67" i="13"/>
  <c r="M95" i="13"/>
  <c r="M206" i="13"/>
  <c r="M21" i="15"/>
  <c r="N7" i="17"/>
  <c r="M15" i="13"/>
  <c r="M189" i="13"/>
  <c r="M20" i="14"/>
  <c r="M64" i="14"/>
  <c r="N19" i="16"/>
  <c r="M5" i="19"/>
  <c r="M99" i="12"/>
  <c r="M77" i="13"/>
  <c r="M184" i="13"/>
  <c r="M6" i="14"/>
  <c r="N57" i="16"/>
  <c r="N5" i="18"/>
  <c r="O87" i="2"/>
  <c r="O67" i="2"/>
  <c r="O137" i="2"/>
  <c r="O152" i="2"/>
  <c r="O183" i="2"/>
  <c r="O229" i="2"/>
  <c r="O243" i="2"/>
  <c r="O275" i="2"/>
  <c r="O285" i="2"/>
  <c r="O196" i="2"/>
  <c r="O318" i="2"/>
  <c r="P409" i="2"/>
  <c r="P420" i="2"/>
  <c r="O338" i="2"/>
  <c r="O359" i="2"/>
  <c r="O365" i="2"/>
  <c r="O303" i="2"/>
  <c r="O394" i="2"/>
  <c r="P429" i="2"/>
  <c r="N5" i="3"/>
  <c r="O5" i="4"/>
  <c r="O32" i="4"/>
  <c r="O211" i="2"/>
  <c r="N6" i="6"/>
  <c r="O438" i="2"/>
  <c r="N30" i="7"/>
  <c r="N5" i="5"/>
  <c r="N32" i="5"/>
  <c r="N7" i="7"/>
  <c r="N45" i="7"/>
  <c r="N143" i="7"/>
  <c r="N176" i="7"/>
  <c r="N293" i="7"/>
  <c r="N327" i="7"/>
  <c r="N45" i="8"/>
  <c r="N30" i="8"/>
  <c r="N7" i="8"/>
  <c r="N143" i="8"/>
  <c r="N176" i="8"/>
  <c r="N517" i="8"/>
  <c r="K10" i="9"/>
  <c r="K209" i="9"/>
  <c r="K45" i="9"/>
  <c r="L294" i="9"/>
  <c r="K160" i="9"/>
  <c r="L379" i="9"/>
  <c r="N7" i="10"/>
  <c r="N267" i="10"/>
  <c r="M15" i="10"/>
  <c r="N180" i="10"/>
  <c r="N9" i="11"/>
  <c r="N21" i="10"/>
  <c r="N39" i="10"/>
  <c r="N72" i="10"/>
  <c r="N105" i="10"/>
  <c r="M29" i="10"/>
  <c r="N215" i="11"/>
  <c r="N316" i="11"/>
  <c r="N348" i="11"/>
  <c r="N7" i="12"/>
  <c r="N404" i="11"/>
  <c r="N476" i="11"/>
  <c r="N67" i="12"/>
  <c r="N99" i="12"/>
  <c r="N77" i="13"/>
  <c r="N184" i="13"/>
  <c r="N6" i="14"/>
  <c r="O57" i="16"/>
  <c r="O5" i="18"/>
  <c r="K5" i="21"/>
  <c r="N6" i="13"/>
  <c r="N7" i="15"/>
  <c r="O7" i="16"/>
  <c r="O29" i="16"/>
  <c r="O77" i="16"/>
  <c r="O25" i="17"/>
  <c r="N16" i="19"/>
  <c r="L98" i="22"/>
  <c r="N172" i="12"/>
  <c r="N46" i="13"/>
  <c r="N67" i="13"/>
  <c r="N95" i="13"/>
  <c r="N206" i="13"/>
  <c r="N21" i="15"/>
  <c r="O7" i="17"/>
  <c r="N15" i="13"/>
  <c r="N189" i="13"/>
  <c r="N20" i="14"/>
  <c r="N64" i="14"/>
  <c r="O19" i="16"/>
  <c r="N5" i="19"/>
  <c r="L4" i="22"/>
  <c r="K358" i="22"/>
  <c r="K713" i="22"/>
  <c r="L719" i="22"/>
  <c r="K952" i="22"/>
  <c r="K957" i="22"/>
  <c r="K964" i="22"/>
  <c r="K969" i="22"/>
  <c r="K976" i="22"/>
  <c r="K981" i="22"/>
  <c r="K988" i="22"/>
  <c r="K993" i="22"/>
  <c r="K1000" i="22"/>
  <c r="K1005" i="22"/>
  <c r="K1012" i="22"/>
  <c r="K1017" i="22"/>
  <c r="K1024" i="22"/>
  <c r="K1029" i="22"/>
  <c r="K1036" i="22"/>
  <c r="K1041" i="22"/>
  <c r="K1048" i="22"/>
  <c r="K1053" i="22"/>
  <c r="L1060" i="22"/>
  <c r="L1062" i="22"/>
  <c r="L1072" i="22"/>
  <c r="L1074" i="22"/>
  <c r="K1084" i="22"/>
  <c r="K1089" i="22"/>
  <c r="K1096" i="22"/>
  <c r="K1101" i="22"/>
  <c r="K1108" i="22"/>
  <c r="K1113" i="22"/>
  <c r="K1120" i="22"/>
  <c r="K1125" i="22"/>
  <c r="K1132" i="22"/>
  <c r="K1137" i="22"/>
  <c r="K1144" i="22"/>
  <c r="K1149" i="22"/>
  <c r="K1156" i="22"/>
  <c r="K1161" i="22"/>
  <c r="K1168" i="22"/>
  <c r="K1173" i="22"/>
  <c r="K1180" i="22"/>
  <c r="K116" i="24"/>
  <c r="L180" i="22"/>
  <c r="L221" i="22"/>
  <c r="K344" i="22"/>
  <c r="L672" i="22"/>
  <c r="K907" i="22"/>
  <c r="L303" i="22"/>
  <c r="K386" i="22"/>
  <c r="K427" i="22"/>
  <c r="K722" i="22"/>
  <c r="K727" i="22"/>
  <c r="K45" i="22"/>
  <c r="L139" i="22"/>
  <c r="L262" i="22"/>
  <c r="K372" i="22"/>
  <c r="K730" i="22"/>
  <c r="K771" i="22"/>
  <c r="K958" i="22"/>
  <c r="K970" i="22"/>
  <c r="K982" i="22"/>
  <c r="K994" i="22"/>
  <c r="K1006" i="22"/>
  <c r="K1018" i="22"/>
  <c r="K1030" i="22"/>
  <c r="K1042" i="22"/>
  <c r="K1054" i="22"/>
  <c r="L1059" i="22"/>
  <c r="L1065" i="22"/>
  <c r="L1078" i="22"/>
  <c r="K1090" i="22"/>
  <c r="K1102" i="22"/>
  <c r="K1114" i="22"/>
  <c r="K1126" i="22"/>
  <c r="K1138" i="22"/>
  <c r="K1150" i="22"/>
  <c r="K1162" i="22"/>
  <c r="K1174" i="22"/>
  <c r="L11" i="24"/>
  <c r="K238" i="24"/>
  <c r="K604" i="24"/>
  <c r="K999" i="24"/>
  <c r="K1080" i="24"/>
  <c r="K1154" i="24"/>
  <c r="K1235" i="24"/>
  <c r="K1360" i="24"/>
  <c r="L1366" i="24"/>
  <c r="K1421" i="24"/>
  <c r="AU1440" i="24"/>
  <c r="K1452" i="24"/>
  <c r="L1068" i="22"/>
  <c r="K441" i="24"/>
  <c r="K482" i="24"/>
  <c r="K985" i="24"/>
  <c r="K1066" i="24"/>
  <c r="K1140" i="24"/>
  <c r="K1211" i="24"/>
  <c r="K1383" i="24"/>
  <c r="AU1406" i="24"/>
  <c r="AU1411" i="24"/>
  <c r="L1426" i="24"/>
  <c r="L1446" i="24"/>
  <c r="L1464" i="24"/>
  <c r="K948" i="22"/>
  <c r="K960" i="22"/>
  <c r="K972" i="22"/>
  <c r="K984" i="22"/>
  <c r="K996" i="22"/>
  <c r="K1008" i="22"/>
  <c r="K1020" i="22"/>
  <c r="K1032" i="22"/>
  <c r="K1044" i="22"/>
  <c r="L1066" i="22"/>
  <c r="L1071" i="22"/>
  <c r="L1077" i="22"/>
  <c r="K1080" i="22"/>
  <c r="K1092" i="22"/>
  <c r="K1104" i="22"/>
  <c r="K1116" i="22"/>
  <c r="K1128" i="22"/>
  <c r="K1140" i="22"/>
  <c r="K1152" i="22"/>
  <c r="K1164" i="22"/>
  <c r="K1176" i="22"/>
  <c r="K822" i="24"/>
  <c r="K863" i="24"/>
  <c r="K1032" i="24"/>
  <c r="K1042" i="24"/>
  <c r="K1047" i="24"/>
  <c r="K1187" i="24"/>
  <c r="K1192" i="24"/>
  <c r="K893" i="22"/>
  <c r="K951" i="22"/>
  <c r="K954" i="22"/>
  <c r="K963" i="22"/>
  <c r="K966" i="22"/>
  <c r="K975" i="22"/>
  <c r="K978" i="22"/>
  <c r="K987" i="22"/>
  <c r="K990" i="22"/>
  <c r="K999" i="22"/>
  <c r="K1002" i="22"/>
  <c r="K1011" i="22"/>
  <c r="K1014" i="22"/>
  <c r="K1023" i="22"/>
  <c r="K1026" i="22"/>
  <c r="K1035" i="22"/>
  <c r="K1038" i="22"/>
  <c r="K1047" i="22"/>
  <c r="K1050" i="22"/>
  <c r="L1056" i="22"/>
  <c r="K1083" i="22"/>
  <c r="K1086" i="22"/>
  <c r="K1095" i="22"/>
  <c r="K1098" i="22"/>
  <c r="K1107" i="22"/>
  <c r="K1110" i="22"/>
  <c r="K1119" i="22"/>
  <c r="K1122" i="22"/>
  <c r="K1131" i="22"/>
  <c r="K1134" i="22"/>
  <c r="K1143" i="22"/>
  <c r="K1146" i="22"/>
  <c r="K1155" i="22"/>
  <c r="K1158" i="22"/>
  <c r="K1167" i="22"/>
  <c r="K1170" i="22"/>
  <c r="K1179" i="22"/>
  <c r="L8" i="24"/>
  <c r="K360" i="24"/>
  <c r="K401" i="24"/>
  <c r="K726" i="24"/>
  <c r="K767" i="24"/>
  <c r="K808" i="24"/>
  <c r="K1018" i="24"/>
  <c r="K1173" i="24"/>
  <c r="K1254" i="24"/>
  <c r="K1259" i="24"/>
  <c r="K1349" i="24"/>
  <c r="L1434" i="24"/>
  <c r="K1449" i="24"/>
  <c r="K1467" i="24"/>
  <c r="K1273" i="24"/>
  <c r="K1386" i="24"/>
  <c r="AU1396" i="24"/>
  <c r="AU1429" i="24"/>
  <c r="L1443" i="24"/>
  <c r="L1495" i="24"/>
  <c r="AU1391" i="24"/>
  <c r="L1437" i="24"/>
  <c r="L1461" i="24"/>
  <c r="K1290" i="24"/>
  <c r="K1369" i="24"/>
  <c r="K1481" i="24"/>
  <c r="B1122" i="24"/>
  <c r="C1122" i="24"/>
  <c r="F27" i="27"/>
  <c r="P130" i="24"/>
  <c r="P202" i="24"/>
  <c r="P148" i="24"/>
  <c r="P127" i="24"/>
  <c r="G220" i="24"/>
  <c r="G223" i="24"/>
  <c r="C226" i="24"/>
  <c r="S226" i="24"/>
  <c r="P227" i="24"/>
  <c r="F231" i="24"/>
  <c r="B184" i="24"/>
  <c r="B196" i="24"/>
  <c r="B193" i="24"/>
  <c r="R184" i="24"/>
  <c r="R196" i="24"/>
  <c r="R193" i="24"/>
  <c r="I329" i="24"/>
  <c r="I332" i="24"/>
  <c r="H342" i="24"/>
  <c r="H345" i="24"/>
  <c r="I349" i="24"/>
  <c r="G353" i="24"/>
  <c r="C306" i="24"/>
  <c r="C318" i="24"/>
  <c r="C315" i="24"/>
  <c r="S306" i="24"/>
  <c r="S318" i="24"/>
  <c r="S315" i="24"/>
  <c r="G387" i="24"/>
  <c r="G399" i="24"/>
  <c r="G396" i="24"/>
  <c r="D510" i="24"/>
  <c r="D522" i="24"/>
  <c r="D573" i="24"/>
  <c r="D576" i="24"/>
  <c r="D519" i="24"/>
  <c r="C586" i="24"/>
  <c r="C589" i="24"/>
  <c r="S586" i="24"/>
  <c r="S589" i="24"/>
  <c r="P593" i="24"/>
  <c r="N597" i="24"/>
  <c r="J550" i="24"/>
  <c r="J562" i="24"/>
  <c r="J559" i="24"/>
  <c r="E632" i="24"/>
  <c r="E644" i="24"/>
  <c r="E641" i="24"/>
  <c r="E715" i="24"/>
  <c r="C719" i="24"/>
  <c r="S719" i="24"/>
  <c r="O672" i="24"/>
  <c r="O684" i="24"/>
  <c r="O681" i="24"/>
  <c r="D849" i="24"/>
  <c r="D861" i="24"/>
  <c r="D858" i="24"/>
  <c r="O891" i="24"/>
  <c r="O903" i="24"/>
  <c r="O954" i="24"/>
  <c r="O957" i="24"/>
  <c r="O900" i="24"/>
  <c r="J967" i="24"/>
  <c r="J970" i="24"/>
  <c r="I931" i="24"/>
  <c r="I943" i="24"/>
  <c r="I940" i="24"/>
  <c r="N1412" i="24"/>
  <c r="N1414" i="24" s="1"/>
  <c r="AD1412" i="24"/>
  <c r="AD1414" i="24" s="1"/>
  <c r="K207" i="24"/>
  <c r="K210" i="24"/>
  <c r="K153" i="24"/>
  <c r="K144" i="24"/>
  <c r="K156" i="24"/>
  <c r="J207" i="24"/>
  <c r="J210" i="24"/>
  <c r="I330" i="24"/>
  <c r="H574" i="24"/>
  <c r="D581" i="24"/>
  <c r="L581" i="24"/>
  <c r="P581" i="24"/>
  <c r="D554" i="24"/>
  <c r="D594" i="24" s="1"/>
  <c r="P562" i="24"/>
  <c r="B273" i="9"/>
  <c r="P709" i="24"/>
  <c r="C899" i="24"/>
  <c r="C979" i="24" s="1"/>
  <c r="K899" i="24"/>
  <c r="K979" i="24" s="1"/>
  <c r="S899" i="24"/>
  <c r="S979" i="24" s="1"/>
  <c r="Q223" i="24"/>
  <c r="Q220" i="24"/>
  <c r="L193" i="24"/>
  <c r="L184" i="24"/>
  <c r="L196" i="24"/>
  <c r="P184" i="24"/>
  <c r="P196" i="24"/>
  <c r="F249" i="24"/>
  <c r="J249" i="24"/>
  <c r="N249" i="24"/>
  <c r="E265" i="24"/>
  <c r="I265" i="24"/>
  <c r="M265" i="24"/>
  <c r="Q265" i="24"/>
  <c r="M315" i="24"/>
  <c r="I396" i="24"/>
  <c r="I387" i="24"/>
  <c r="I399" i="24"/>
  <c r="M391" i="24"/>
  <c r="E568" i="24"/>
  <c r="M568" i="24"/>
  <c r="Q568" i="24"/>
  <c r="S587" i="24"/>
  <c r="C698" i="24"/>
  <c r="C641" i="24"/>
  <c r="C695" i="24"/>
  <c r="G698" i="24"/>
  <c r="G641" i="24"/>
  <c r="G632" i="24"/>
  <c r="G644" i="24"/>
  <c r="G695" i="24"/>
  <c r="K698" i="24"/>
  <c r="K695" i="24"/>
  <c r="O698" i="24"/>
  <c r="O641" i="24"/>
  <c r="O632" i="24"/>
  <c r="O644" i="24"/>
  <c r="O695" i="24"/>
  <c r="S698" i="24"/>
  <c r="S641" i="24"/>
  <c r="S632" i="24"/>
  <c r="S644" i="24"/>
  <c r="S695" i="24"/>
  <c r="M696" i="24"/>
  <c r="B711" i="24"/>
  <c r="B708" i="24"/>
  <c r="R711" i="24"/>
  <c r="R708" i="24"/>
  <c r="L709" i="24"/>
  <c r="J858" i="24"/>
  <c r="J849" i="24"/>
  <c r="J861" i="24"/>
  <c r="C955" i="24"/>
  <c r="F940" i="24"/>
  <c r="F931" i="24"/>
  <c r="F943" i="24"/>
  <c r="G1271" i="24"/>
  <c r="G1268" i="24"/>
  <c r="D73" i="24"/>
  <c r="Q153" i="24"/>
  <c r="Q144" i="24"/>
  <c r="Q156" i="24"/>
  <c r="Q207" i="24"/>
  <c r="Q210" i="24"/>
  <c r="P343" i="24"/>
  <c r="P574" i="24"/>
  <c r="E589" i="24"/>
  <c r="E586" i="24"/>
  <c r="O587" i="24"/>
  <c r="B451" i="24"/>
  <c r="B454" i="24"/>
  <c r="K559" i="24"/>
  <c r="K550" i="24"/>
  <c r="K562" i="24"/>
  <c r="F979" i="24"/>
  <c r="N979" i="24"/>
  <c r="B968" i="24"/>
  <c r="G940" i="24"/>
  <c r="G931" i="24"/>
  <c r="G943" i="24"/>
  <c r="N148" i="24"/>
  <c r="N228" i="24" s="1"/>
  <c r="L228" i="24"/>
  <c r="P215" i="24"/>
  <c r="K193" i="24"/>
  <c r="K184" i="24"/>
  <c r="K196" i="24"/>
  <c r="C270" i="24"/>
  <c r="C350" i="24" s="1"/>
  <c r="G270" i="24"/>
  <c r="G350" i="24" s="1"/>
  <c r="K270" i="24"/>
  <c r="K350" i="24" s="1"/>
  <c r="S270" i="24"/>
  <c r="S350" i="24" s="1"/>
  <c r="N345" i="24"/>
  <c r="N342" i="24"/>
  <c r="C354" i="24"/>
  <c r="K354" i="24"/>
  <c r="S354" i="24"/>
  <c r="H315" i="24"/>
  <c r="H306" i="24"/>
  <c r="H318" i="24"/>
  <c r="L396" i="24"/>
  <c r="L387" i="24"/>
  <c r="L399" i="24"/>
  <c r="B514" i="24"/>
  <c r="B594" i="24" s="1"/>
  <c r="J514" i="24"/>
  <c r="J594" i="24" s="1"/>
  <c r="N514" i="24"/>
  <c r="N594" i="24" s="1"/>
  <c r="R514" i="24"/>
  <c r="R594" i="24" s="1"/>
  <c r="K587" i="24"/>
  <c r="B618" i="24"/>
  <c r="F618" i="24"/>
  <c r="J618" i="24"/>
  <c r="R618" i="24"/>
  <c r="E640" i="24"/>
  <c r="E720" i="24" s="1"/>
  <c r="M640" i="24"/>
  <c r="M720" i="24" s="1"/>
  <c r="E696" i="24"/>
  <c r="E703" i="24"/>
  <c r="I703" i="24"/>
  <c r="Q703" i="24"/>
  <c r="E676" i="24"/>
  <c r="E716" i="24" s="1"/>
  <c r="Q858" i="24"/>
  <c r="Q849" i="24"/>
  <c r="Q861" i="24"/>
  <c r="K955" i="24"/>
  <c r="S887" i="24"/>
  <c r="S903" i="24" s="1"/>
  <c r="J940" i="24"/>
  <c r="J931" i="24"/>
  <c r="J943" i="24"/>
  <c r="Q417" i="7"/>
  <c r="L406" i="7"/>
  <c r="I76" i="26"/>
  <c r="K433" i="7"/>
  <c r="K454" i="7"/>
  <c r="K436" i="7"/>
  <c r="R446" i="7"/>
  <c r="R454" i="7"/>
  <c r="U454" i="7" s="1"/>
  <c r="U441" i="7"/>
  <c r="R449" i="7"/>
  <c r="P450" i="7"/>
  <c r="P462" i="7"/>
  <c r="P459" i="7"/>
  <c r="U428" i="7"/>
  <c r="C662" i="9"/>
  <c r="C742" i="9" s="1"/>
  <c r="C716" i="9"/>
  <c r="D524" i="9"/>
  <c r="C604" i="9"/>
  <c r="D564" i="9"/>
  <c r="D442" i="9" s="1"/>
  <c r="J784" i="9"/>
  <c r="J864" i="9" s="1"/>
  <c r="J838" i="9"/>
  <c r="P782" i="9"/>
  <c r="P862" i="9" s="1"/>
  <c r="P836" i="9"/>
  <c r="P757" i="9"/>
  <c r="L824" i="9"/>
  <c r="L864" i="9" s="1"/>
  <c r="L838" i="9"/>
  <c r="T824" i="9"/>
  <c r="T864" i="9" s="1"/>
  <c r="T838" i="9"/>
  <c r="E783" i="9"/>
  <c r="E786" i="9"/>
  <c r="E774" i="9"/>
  <c r="E837" i="9"/>
  <c r="E840" i="9"/>
  <c r="Q784" i="9"/>
  <c r="Q864" i="9" s="1"/>
  <c r="Q851" i="9"/>
  <c r="B393" i="9"/>
  <c r="B411" i="9"/>
  <c r="B491" i="9" s="1"/>
  <c r="B465" i="9"/>
  <c r="F655" i="9"/>
  <c r="F735" i="9" s="1"/>
  <c r="F637" i="9"/>
  <c r="F709" i="9"/>
  <c r="F683" i="9"/>
  <c r="F689" i="9"/>
  <c r="I643" i="9"/>
  <c r="I649" i="9"/>
  <c r="I729" i="9" s="1"/>
  <c r="I721" i="9"/>
  <c r="R643" i="9"/>
  <c r="R649" i="9"/>
  <c r="R729" i="9" s="1"/>
  <c r="R721" i="9"/>
  <c r="D683" i="9"/>
  <c r="D689" i="9"/>
  <c r="C703" i="9"/>
  <c r="C743" i="9" s="1"/>
  <c r="C730" i="9"/>
  <c r="S784" i="9"/>
  <c r="S864" i="9" s="1"/>
  <c r="S838" i="9"/>
  <c r="R810" i="9"/>
  <c r="R813" i="9"/>
  <c r="N824" i="9"/>
  <c r="N851" i="9"/>
  <c r="D630" i="9"/>
  <c r="D636" i="9"/>
  <c r="D708" i="9"/>
  <c r="D654" i="9"/>
  <c r="D734" i="9" s="1"/>
  <c r="G677" i="9"/>
  <c r="G703" i="9" s="1"/>
  <c r="G695" i="9"/>
  <c r="G655" i="9"/>
  <c r="G735" i="9" s="1"/>
  <c r="G637" i="9"/>
  <c r="G709" i="9"/>
  <c r="J670" i="9"/>
  <c r="J676" i="9"/>
  <c r="J702" i="9" s="1"/>
  <c r="J694" i="9"/>
  <c r="J655" i="9"/>
  <c r="J735" i="9" s="1"/>
  <c r="J637" i="9"/>
  <c r="J709" i="9"/>
  <c r="P694" i="9"/>
  <c r="P670" i="9"/>
  <c r="P676" i="9"/>
  <c r="P702" i="9" s="1"/>
  <c r="B415" i="9"/>
  <c r="B495" i="9" s="1"/>
  <c r="B469" i="9"/>
  <c r="F634" i="9"/>
  <c r="F712" i="9"/>
  <c r="F658" i="9"/>
  <c r="F698" i="9"/>
  <c r="F674" i="9"/>
  <c r="F700" i="9" s="1"/>
  <c r="L674" i="9"/>
  <c r="L698" i="9"/>
  <c r="L659" i="9"/>
  <c r="L739" i="9" s="1"/>
  <c r="L713" i="9"/>
  <c r="D643" i="9"/>
  <c r="D649" i="9"/>
  <c r="D721" i="9"/>
  <c r="J643" i="9"/>
  <c r="J649" i="9"/>
  <c r="J729" i="9" s="1"/>
  <c r="J721" i="9"/>
  <c r="P650" i="9"/>
  <c r="P730" i="9" s="1"/>
  <c r="P722" i="9"/>
  <c r="S650" i="9"/>
  <c r="S730" i="9" s="1"/>
  <c r="S722" i="9"/>
  <c r="C443" i="9"/>
  <c r="C401" i="9"/>
  <c r="C315" i="9"/>
  <c r="I647" i="9"/>
  <c r="I727" i="9" s="1"/>
  <c r="I725" i="9"/>
  <c r="M784" i="9"/>
  <c r="M864" i="9" s="1"/>
  <c r="M862" i="9"/>
  <c r="F862" i="9"/>
  <c r="Q810" i="9"/>
  <c r="Q823" i="9" s="1"/>
  <c r="E637" i="9"/>
  <c r="E709" i="9"/>
  <c r="E655" i="9"/>
  <c r="E735" i="9" s="1"/>
  <c r="E654" i="9"/>
  <c r="E734" i="9" s="1"/>
  <c r="E630" i="9"/>
  <c r="E636" i="9"/>
  <c r="E708" i="9"/>
  <c r="Q637" i="9"/>
  <c r="Q709" i="9"/>
  <c r="Q655" i="9"/>
  <c r="Q654" i="9"/>
  <c r="Q734" i="9" s="1"/>
  <c r="Q630" i="9"/>
  <c r="Q636" i="9"/>
  <c r="Q708" i="9"/>
  <c r="J713" i="9"/>
  <c r="J659" i="9"/>
  <c r="J739" i="9" s="1"/>
  <c r="N713" i="9"/>
  <c r="N659" i="9"/>
  <c r="N739" i="9" s="1"/>
  <c r="E683" i="9"/>
  <c r="E689" i="9"/>
  <c r="Q683" i="9"/>
  <c r="Q689" i="9"/>
  <c r="J647" i="9"/>
  <c r="J727" i="9" s="1"/>
  <c r="J725" i="9"/>
  <c r="N647" i="9"/>
  <c r="N727" i="9" s="1"/>
  <c r="N725" i="9"/>
  <c r="G343" i="11"/>
  <c r="G340" i="11"/>
  <c r="I343" i="11" s="1"/>
  <c r="W343" i="11"/>
  <c r="W340" i="11"/>
  <c r="Y343" i="11" s="1"/>
  <c r="N826" i="9"/>
  <c r="N654" i="9"/>
  <c r="N734" i="9" s="1"/>
  <c r="N630" i="9"/>
  <c r="N636" i="9"/>
  <c r="N708" i="9"/>
  <c r="G858" i="9"/>
  <c r="D832" i="9"/>
  <c r="H832" i="9"/>
  <c r="T832" i="9"/>
  <c r="O826" i="9"/>
  <c r="O814" i="9"/>
  <c r="O823" i="9"/>
  <c r="K683" i="9"/>
  <c r="K689" i="9"/>
  <c r="D726" i="9"/>
  <c r="H726" i="9"/>
  <c r="P726" i="9"/>
  <c r="T726" i="9"/>
  <c r="H630" i="9"/>
  <c r="H636" i="9"/>
  <c r="H708" i="9"/>
  <c r="H654" i="9"/>
  <c r="H734" i="9" s="1"/>
  <c r="T630" i="9"/>
  <c r="T636" i="9"/>
  <c r="T708" i="9"/>
  <c r="T654" i="9"/>
  <c r="T734" i="9" s="1"/>
  <c r="H683" i="9"/>
  <c r="H689" i="9"/>
  <c r="H690" i="9"/>
  <c r="T683" i="9"/>
  <c r="T689" i="9"/>
  <c r="T690" i="9"/>
  <c r="E647" i="9"/>
  <c r="E727" i="9" s="1"/>
  <c r="E725" i="9"/>
  <c r="M647" i="9"/>
  <c r="M727" i="9" s="1"/>
  <c r="M725" i="9"/>
  <c r="Q647" i="9"/>
  <c r="Q727" i="9" s="1"/>
  <c r="Q725" i="9"/>
  <c r="T91" i="12"/>
  <c r="U94" i="12" s="1"/>
  <c r="T94" i="12"/>
  <c r="L91" i="12"/>
  <c r="L94" i="12"/>
  <c r="Q335" i="11"/>
  <c r="Q67" i="2"/>
  <c r="Q87" i="2"/>
  <c r="Q137" i="2"/>
  <c r="Q152" i="2"/>
  <c r="Q211" i="2"/>
  <c r="Q318" i="2"/>
  <c r="Q229" i="2"/>
  <c r="Q196" i="2"/>
  <c r="Q303" i="2"/>
  <c r="Q338" i="2"/>
  <c r="Q359" i="2"/>
  <c r="Q365" i="2"/>
  <c r="Q183" i="2"/>
  <c r="Q243" i="2"/>
  <c r="R429" i="2"/>
  <c r="Q275" i="2"/>
  <c r="Q394" i="2"/>
  <c r="Q285" i="2"/>
  <c r="Q438" i="2"/>
  <c r="P5" i="5"/>
  <c r="R409" i="2"/>
  <c r="R420" i="2"/>
  <c r="P32" i="5"/>
  <c r="P7" i="7"/>
  <c r="P5" i="3"/>
  <c r="Q32" i="4"/>
  <c r="Q5" i="4"/>
  <c r="P6" i="6"/>
  <c r="P45" i="7"/>
  <c r="P30" i="7"/>
  <c r="P176" i="7"/>
  <c r="P143" i="7"/>
  <c r="P293" i="7"/>
  <c r="P327" i="7"/>
  <c r="P7" i="8"/>
  <c r="P45" i="8"/>
  <c r="P30" i="8"/>
  <c r="P143" i="8"/>
  <c r="P176" i="8"/>
  <c r="P517" i="8"/>
  <c r="M160" i="9"/>
  <c r="M10" i="9"/>
  <c r="M209" i="9"/>
  <c r="M45" i="9"/>
  <c r="N294" i="9"/>
  <c r="N379" i="9"/>
  <c r="P21" i="10"/>
  <c r="P39" i="10"/>
  <c r="P72" i="10"/>
  <c r="P105" i="10"/>
  <c r="O29" i="10"/>
  <c r="P7" i="10"/>
  <c r="P267" i="10"/>
  <c r="O15" i="10"/>
  <c r="P180" i="10"/>
  <c r="P9" i="11"/>
  <c r="P404" i="11"/>
  <c r="P476" i="11"/>
  <c r="P67" i="12"/>
  <c r="P99" i="12"/>
  <c r="P215" i="11"/>
  <c r="P316" i="11"/>
  <c r="P348" i="11"/>
  <c r="P7" i="12"/>
  <c r="P46" i="13"/>
  <c r="P67" i="13"/>
  <c r="P95" i="13"/>
  <c r="P206" i="13"/>
  <c r="P21" i="15"/>
  <c r="Q7" i="17"/>
  <c r="M45" i="22"/>
  <c r="P15" i="13"/>
  <c r="P189" i="13"/>
  <c r="P20" i="14"/>
  <c r="P64" i="14"/>
  <c r="Q19" i="16"/>
  <c r="P5" i="19"/>
  <c r="N4" i="22"/>
  <c r="P77" i="13"/>
  <c r="P184" i="13"/>
  <c r="P6" i="14"/>
  <c r="Q57" i="16"/>
  <c r="Q5" i="18"/>
  <c r="M5" i="21"/>
  <c r="P172" i="12"/>
  <c r="P6" i="13"/>
  <c r="P7" i="15"/>
  <c r="Q7" i="16"/>
  <c r="Q29" i="16"/>
  <c r="Q77" i="16"/>
  <c r="Q25" i="17"/>
  <c r="P16" i="19"/>
  <c r="N98" i="22"/>
  <c r="N303" i="22"/>
  <c r="M386" i="22"/>
  <c r="M427" i="22"/>
  <c r="M722" i="22"/>
  <c r="M727" i="22"/>
  <c r="M893" i="22"/>
  <c r="M951" i="22"/>
  <c r="M958" i="22"/>
  <c r="M963" i="22"/>
  <c r="M970" i="22"/>
  <c r="M975" i="22"/>
  <c r="M982" i="22"/>
  <c r="M987" i="22"/>
  <c r="M994" i="22"/>
  <c r="M999" i="22"/>
  <c r="M1006" i="22"/>
  <c r="M1011" i="22"/>
  <c r="M1018" i="22"/>
  <c r="M1023" i="22"/>
  <c r="M1030" i="22"/>
  <c r="M1035" i="22"/>
  <c r="M1042" i="22"/>
  <c r="M1047" i="22"/>
  <c r="M1054" i="22"/>
  <c r="N1056" i="22"/>
  <c r="N1066" i="22"/>
  <c r="N1068" i="22"/>
  <c r="N1078" i="22"/>
  <c r="M1083" i="22"/>
  <c r="M1090" i="22"/>
  <c r="M1095" i="22"/>
  <c r="M1102" i="22"/>
  <c r="M1107" i="22"/>
  <c r="M1114" i="22"/>
  <c r="M1119" i="22"/>
  <c r="M1126" i="22"/>
  <c r="M1131" i="22"/>
  <c r="M1138" i="22"/>
  <c r="M1143" i="22"/>
  <c r="M1150" i="22"/>
  <c r="M1155" i="22"/>
  <c r="M1162" i="22"/>
  <c r="M1167" i="22"/>
  <c r="M1174" i="22"/>
  <c r="M1179" i="22"/>
  <c r="N11" i="24"/>
  <c r="N139" i="22"/>
  <c r="N262" i="22"/>
  <c r="M372" i="22"/>
  <c r="M730" i="22"/>
  <c r="M771" i="22"/>
  <c r="M358" i="22"/>
  <c r="M713" i="22"/>
  <c r="N719" i="22"/>
  <c r="N180" i="22"/>
  <c r="N221" i="22"/>
  <c r="M344" i="22"/>
  <c r="N672" i="22"/>
  <c r="M907" i="22"/>
  <c r="M948" i="22"/>
  <c r="M954" i="22"/>
  <c r="M957" i="22"/>
  <c r="M960" i="22"/>
  <c r="M966" i="22"/>
  <c r="M969" i="22"/>
  <c r="M972" i="22"/>
  <c r="M978" i="22"/>
  <c r="M981" i="22"/>
  <c r="M984" i="22"/>
  <c r="M990" i="22"/>
  <c r="M993" i="22"/>
  <c r="M996" i="22"/>
  <c r="M1002" i="22"/>
  <c r="M1005" i="22"/>
  <c r="M1008" i="22"/>
  <c r="M1014" i="22"/>
  <c r="M1017" i="22"/>
  <c r="M1020" i="22"/>
  <c r="M1026" i="22"/>
  <c r="M1029" i="22"/>
  <c r="M1032" i="22"/>
  <c r="M1038" i="22"/>
  <c r="M1041" i="22"/>
  <c r="M1044" i="22"/>
  <c r="M1050" i="22"/>
  <c r="M1053" i="22"/>
  <c r="N1060" i="22"/>
  <c r="N1071" i="22"/>
  <c r="M1080" i="22"/>
  <c r="M1086" i="22"/>
  <c r="M1089" i="22"/>
  <c r="M1092" i="22"/>
  <c r="M1098" i="22"/>
  <c r="M1101" i="22"/>
  <c r="M1104" i="22"/>
  <c r="M1110" i="22"/>
  <c r="M1113" i="22"/>
  <c r="M1116" i="22"/>
  <c r="M1122" i="22"/>
  <c r="M1125" i="22"/>
  <c r="M1128" i="22"/>
  <c r="M1134" i="22"/>
  <c r="M1137" i="22"/>
  <c r="M1140" i="22"/>
  <c r="M1146" i="22"/>
  <c r="M1149" i="22"/>
  <c r="M1152" i="22"/>
  <c r="M1158" i="22"/>
  <c r="M1161" i="22"/>
  <c r="M1164" i="22"/>
  <c r="M1170" i="22"/>
  <c r="M1173" i="22"/>
  <c r="M1176" i="22"/>
  <c r="N8" i="24"/>
  <c r="M822" i="24"/>
  <c r="M863" i="24"/>
  <c r="M1032" i="24"/>
  <c r="M1042" i="24"/>
  <c r="M1047" i="24"/>
  <c r="M1187" i="24"/>
  <c r="M1192" i="24"/>
  <c r="M1273" i="24"/>
  <c r="M1290" i="24"/>
  <c r="M1369" i="24"/>
  <c r="M1386" i="24"/>
  <c r="AW1391" i="24"/>
  <c r="AW1396" i="24"/>
  <c r="AW1429" i="24"/>
  <c r="N1437" i="24"/>
  <c r="N1443" i="24"/>
  <c r="N1461" i="24"/>
  <c r="M1481" i="24"/>
  <c r="N1495" i="24"/>
  <c r="N1065" i="22"/>
  <c r="N1074" i="22"/>
  <c r="M360" i="24"/>
  <c r="M401" i="24"/>
  <c r="M726" i="24"/>
  <c r="M767" i="24"/>
  <c r="M808" i="24"/>
  <c r="M1018" i="24"/>
  <c r="M1173" i="24"/>
  <c r="M1254" i="24"/>
  <c r="M1259" i="24"/>
  <c r="M1349" i="24"/>
  <c r="N1434" i="24"/>
  <c r="M1449" i="24"/>
  <c r="M1467" i="24"/>
  <c r="M952" i="22"/>
  <c r="M964" i="22"/>
  <c r="M976" i="22"/>
  <c r="M988" i="22"/>
  <c r="M1000" i="22"/>
  <c r="M1012" i="22"/>
  <c r="M1024" i="22"/>
  <c r="M1036" i="22"/>
  <c r="M1048" i="22"/>
  <c r="N1059" i="22"/>
  <c r="N1072" i="22"/>
  <c r="M1084" i="22"/>
  <c r="M1096" i="22"/>
  <c r="M1108" i="22"/>
  <c r="M1120" i="22"/>
  <c r="M1132" i="22"/>
  <c r="M1144" i="22"/>
  <c r="M1156" i="22"/>
  <c r="M1168" i="22"/>
  <c r="M1180" i="22"/>
  <c r="M116" i="24"/>
  <c r="M238" i="24"/>
  <c r="M604" i="24"/>
  <c r="M999" i="24"/>
  <c r="M1080" i="24"/>
  <c r="M1154" i="24"/>
  <c r="N1062" i="22"/>
  <c r="N1077" i="22"/>
  <c r="M441" i="24"/>
  <c r="M482" i="24"/>
  <c r="M985" i="24"/>
  <c r="M1066" i="24"/>
  <c r="M1140" i="24"/>
  <c r="M1211" i="24"/>
  <c r="M1383" i="24"/>
  <c r="AW1406" i="24"/>
  <c r="AW1411" i="24"/>
  <c r="N1426" i="24"/>
  <c r="N1446" i="24"/>
  <c r="N1464" i="24"/>
  <c r="M1421" i="24"/>
  <c r="M1235" i="24"/>
  <c r="M1452" i="24"/>
  <c r="N1366" i="24"/>
  <c r="M1360" i="24"/>
  <c r="AW1440" i="24"/>
  <c r="C59" i="24"/>
  <c r="C56" i="24"/>
  <c r="F56" i="24" s="1"/>
  <c r="E221" i="24"/>
  <c r="E154" i="24"/>
  <c r="E234" i="24" s="1"/>
  <c r="D194" i="24"/>
  <c r="D234" i="24" s="1"/>
  <c r="D208" i="24"/>
  <c r="C221" i="24"/>
  <c r="C194" i="24"/>
  <c r="S221" i="24"/>
  <c r="S194" i="24"/>
  <c r="O276" i="24"/>
  <c r="O356" i="24" s="1"/>
  <c r="O330" i="24"/>
  <c r="J343" i="24"/>
  <c r="J276" i="24"/>
  <c r="J356" i="24" s="1"/>
  <c r="B520" i="24"/>
  <c r="B600" i="24" s="1"/>
  <c r="B574" i="24"/>
  <c r="R520" i="24"/>
  <c r="R600" i="24" s="1"/>
  <c r="R574" i="24"/>
  <c r="Q587" i="24"/>
  <c r="Q520" i="24"/>
  <c r="Q600" i="24" s="1"/>
  <c r="G642" i="24"/>
  <c r="G722" i="24" s="1"/>
  <c r="G696" i="24"/>
  <c r="B709" i="24"/>
  <c r="B642" i="24"/>
  <c r="B722" i="24" s="1"/>
  <c r="R709" i="24"/>
  <c r="R642" i="24"/>
  <c r="R722" i="24" s="1"/>
  <c r="Q901" i="24"/>
  <c r="Q981" i="24" s="1"/>
  <c r="Q955" i="24"/>
  <c r="P968" i="24"/>
  <c r="P901" i="24"/>
  <c r="P981" i="24" s="1"/>
  <c r="O1412" i="24"/>
  <c r="O1414" i="24" s="1"/>
  <c r="AE1412" i="24"/>
  <c r="AE1414" i="24" s="1"/>
  <c r="I5" i="3"/>
  <c r="J5" i="4"/>
  <c r="I5" i="5"/>
  <c r="I32" i="5"/>
  <c r="I7" i="7"/>
  <c r="J32" i="4"/>
  <c r="I6" i="6"/>
  <c r="I143" i="7"/>
  <c r="I30" i="7"/>
  <c r="I45" i="7"/>
  <c r="I293" i="7"/>
  <c r="I176" i="7"/>
  <c r="I327" i="7"/>
  <c r="I30" i="8"/>
  <c r="I7" i="8"/>
  <c r="I143" i="8"/>
  <c r="I45" i="8"/>
  <c r="I176" i="8"/>
  <c r="I517" i="8"/>
  <c r="H15" i="10"/>
  <c r="I180" i="10"/>
  <c r="I9" i="11"/>
  <c r="I21" i="10"/>
  <c r="I39" i="10"/>
  <c r="I72" i="10"/>
  <c r="I105" i="10"/>
  <c r="H29" i="10"/>
  <c r="I7" i="10"/>
  <c r="I267" i="10"/>
  <c r="I316" i="11"/>
  <c r="I348" i="11"/>
  <c r="I7" i="12"/>
  <c r="I404" i="11"/>
  <c r="I476" i="11"/>
  <c r="I215" i="11"/>
  <c r="I67" i="12"/>
  <c r="I6" i="13"/>
  <c r="I7" i="15"/>
  <c r="J7" i="16"/>
  <c r="J29" i="16"/>
  <c r="J77" i="16"/>
  <c r="J25" i="17"/>
  <c r="I16" i="19"/>
  <c r="I46" i="13"/>
  <c r="I67" i="13"/>
  <c r="I95" i="13"/>
  <c r="I206" i="13"/>
  <c r="I21" i="15"/>
  <c r="J7" i="17"/>
  <c r="I99" i="12"/>
  <c r="I172" i="12"/>
  <c r="I15" i="13"/>
  <c r="I189" i="13"/>
  <c r="I20" i="14"/>
  <c r="I64" i="14"/>
  <c r="J19" i="16"/>
  <c r="I5" i="19"/>
  <c r="I77" i="13"/>
  <c r="I184" i="13"/>
  <c r="I6" i="14"/>
  <c r="J57" i="16"/>
  <c r="J5" i="18"/>
  <c r="P67" i="2"/>
  <c r="P87" i="2"/>
  <c r="P137" i="2"/>
  <c r="P152" i="2"/>
  <c r="P183" i="2"/>
  <c r="P196" i="2"/>
  <c r="P211" i="2"/>
  <c r="P229" i="2"/>
  <c r="P303" i="2"/>
  <c r="P243" i="2"/>
  <c r="P275" i="2"/>
  <c r="P394" i="2"/>
  <c r="P285" i="2"/>
  <c r="P318" i="2"/>
  <c r="Q409" i="2"/>
  <c r="P438" i="2"/>
  <c r="P338" i="2"/>
  <c r="P359" i="2"/>
  <c r="Q420" i="2"/>
  <c r="Q429" i="2"/>
  <c r="O5" i="3"/>
  <c r="P5" i="4"/>
  <c r="P32" i="4"/>
  <c r="O6" i="6"/>
  <c r="O45" i="7"/>
  <c r="P365" i="2"/>
  <c r="O30" i="7"/>
  <c r="O5" i="5"/>
  <c r="O176" i="7"/>
  <c r="O32" i="5"/>
  <c r="O143" i="7"/>
  <c r="O7" i="7"/>
  <c r="O293" i="7"/>
  <c r="O327" i="7"/>
  <c r="O45" i="8"/>
  <c r="O176" i="8"/>
  <c r="O30" i="8"/>
  <c r="O7" i="8"/>
  <c r="O517" i="8"/>
  <c r="O143" i="8"/>
  <c r="L160" i="9"/>
  <c r="L10" i="9"/>
  <c r="L209" i="9"/>
  <c r="L45" i="9"/>
  <c r="M294" i="9"/>
  <c r="M379" i="9"/>
  <c r="N29" i="10"/>
  <c r="O7" i="10"/>
  <c r="O267" i="10"/>
  <c r="N15" i="10"/>
  <c r="O180" i="10"/>
  <c r="O21" i="10"/>
  <c r="O39" i="10"/>
  <c r="O72" i="10"/>
  <c r="O105" i="10"/>
  <c r="O9" i="11"/>
  <c r="O404" i="11"/>
  <c r="O476" i="11"/>
  <c r="O67" i="12"/>
  <c r="O99" i="12"/>
  <c r="O172" i="12"/>
  <c r="O215" i="11"/>
  <c r="O316" i="11"/>
  <c r="O348" i="11"/>
  <c r="O7" i="12"/>
  <c r="O15" i="13"/>
  <c r="O189" i="13"/>
  <c r="O20" i="14"/>
  <c r="O64" i="14"/>
  <c r="P19" i="16"/>
  <c r="O5" i="19"/>
  <c r="M4" i="22"/>
  <c r="O77" i="13"/>
  <c r="O184" i="13"/>
  <c r="O6" i="14"/>
  <c r="P57" i="16"/>
  <c r="P5" i="18"/>
  <c r="L5" i="21"/>
  <c r="O6" i="13"/>
  <c r="O7" i="15"/>
  <c r="P7" i="16"/>
  <c r="P29" i="16"/>
  <c r="P77" i="16"/>
  <c r="P25" i="17"/>
  <c r="O16" i="19"/>
  <c r="O46" i="13"/>
  <c r="O67" i="13"/>
  <c r="O95" i="13"/>
  <c r="O206" i="13"/>
  <c r="O21" i="15"/>
  <c r="P7" i="17"/>
  <c r="L45" i="22"/>
  <c r="M139" i="22"/>
  <c r="M262" i="22"/>
  <c r="L372" i="22"/>
  <c r="L730" i="22"/>
  <c r="L771" i="22"/>
  <c r="L954" i="22"/>
  <c r="L966" i="22"/>
  <c r="L978" i="22"/>
  <c r="L990" i="22"/>
  <c r="L1002" i="22"/>
  <c r="L1014" i="22"/>
  <c r="L1026" i="22"/>
  <c r="L1038" i="22"/>
  <c r="L1050" i="22"/>
  <c r="M1065" i="22"/>
  <c r="M1077" i="22"/>
  <c r="L1086" i="22"/>
  <c r="L1098" i="22"/>
  <c r="L1110" i="22"/>
  <c r="L1122" i="22"/>
  <c r="L1134" i="22"/>
  <c r="L1146" i="22"/>
  <c r="L1158" i="22"/>
  <c r="L1170" i="22"/>
  <c r="M8" i="24"/>
  <c r="M98" i="22"/>
  <c r="L358" i="22"/>
  <c r="L713" i="22"/>
  <c r="M719" i="22"/>
  <c r="M180" i="22"/>
  <c r="M221" i="22"/>
  <c r="L344" i="22"/>
  <c r="M672" i="22"/>
  <c r="M303" i="22"/>
  <c r="L386" i="22"/>
  <c r="L427" i="22"/>
  <c r="L722" i="22"/>
  <c r="L727" i="22"/>
  <c r="L893" i="22"/>
  <c r="L951" i="22"/>
  <c r="L963" i="22"/>
  <c r="L975" i="22"/>
  <c r="L987" i="22"/>
  <c r="L999" i="22"/>
  <c r="L1011" i="22"/>
  <c r="L1023" i="22"/>
  <c r="L1035" i="22"/>
  <c r="L1047" i="22"/>
  <c r="M1056" i="22"/>
  <c r="M1074" i="22"/>
  <c r="L1083" i="22"/>
  <c r="L1095" i="22"/>
  <c r="L1107" i="22"/>
  <c r="L1119" i="22"/>
  <c r="L1131" i="22"/>
  <c r="L1143" i="22"/>
  <c r="L1155" i="22"/>
  <c r="L1167" i="22"/>
  <c r="L1179" i="22"/>
  <c r="L360" i="24"/>
  <c r="L401" i="24"/>
  <c r="L726" i="24"/>
  <c r="L767" i="24"/>
  <c r="L808" i="24"/>
  <c r="L1018" i="24"/>
  <c r="L1173" i="24"/>
  <c r="L1254" i="24"/>
  <c r="L1259" i="24"/>
  <c r="L1349" i="24"/>
  <c r="M1434" i="24"/>
  <c r="L1449" i="24"/>
  <c r="L1467" i="24"/>
  <c r="L952" i="22"/>
  <c r="L958" i="22"/>
  <c r="L964" i="22"/>
  <c r="L970" i="22"/>
  <c r="L976" i="22"/>
  <c r="L982" i="22"/>
  <c r="L988" i="22"/>
  <c r="L994" i="22"/>
  <c r="L1000" i="22"/>
  <c r="L1006" i="22"/>
  <c r="L1012" i="22"/>
  <c r="L1018" i="22"/>
  <c r="L1024" i="22"/>
  <c r="L1030" i="22"/>
  <c r="L1036" i="22"/>
  <c r="L1042" i="22"/>
  <c r="L1048" i="22"/>
  <c r="L1054" i="22"/>
  <c r="M1059" i="22"/>
  <c r="M1072" i="22"/>
  <c r="M1078" i="22"/>
  <c r="L1084" i="22"/>
  <c r="L1090" i="22"/>
  <c r="L1096" i="22"/>
  <c r="L1102" i="22"/>
  <c r="L1108" i="22"/>
  <c r="L1114" i="22"/>
  <c r="L1120" i="22"/>
  <c r="L1126" i="22"/>
  <c r="L1132" i="22"/>
  <c r="L1138" i="22"/>
  <c r="L1144" i="22"/>
  <c r="L1150" i="22"/>
  <c r="L1156" i="22"/>
  <c r="L1162" i="22"/>
  <c r="L1168" i="22"/>
  <c r="L1174" i="22"/>
  <c r="L1180" i="22"/>
  <c r="M11" i="24"/>
  <c r="L116" i="24"/>
  <c r="L238" i="24"/>
  <c r="L604" i="24"/>
  <c r="L999" i="24"/>
  <c r="L1080" i="24"/>
  <c r="L1154" i="24"/>
  <c r="L1235" i="24"/>
  <c r="L1360" i="24"/>
  <c r="M1366" i="24"/>
  <c r="L1421" i="24"/>
  <c r="AV1440" i="24"/>
  <c r="L1452" i="24"/>
  <c r="L907" i="22"/>
  <c r="M1062" i="22"/>
  <c r="M1068" i="22"/>
  <c r="L441" i="24"/>
  <c r="L482" i="24"/>
  <c r="L985" i="24"/>
  <c r="L1066" i="24"/>
  <c r="L1140" i="24"/>
  <c r="L1211" i="24"/>
  <c r="L948" i="22"/>
  <c r="L957" i="22"/>
  <c r="L960" i="22"/>
  <c r="L969" i="22"/>
  <c r="L972" i="22"/>
  <c r="L981" i="22"/>
  <c r="L984" i="22"/>
  <c r="L993" i="22"/>
  <c r="L996" i="22"/>
  <c r="L1005" i="22"/>
  <c r="L1008" i="22"/>
  <c r="L1017" i="22"/>
  <c r="L1020" i="22"/>
  <c r="L1029" i="22"/>
  <c r="L1032" i="22"/>
  <c r="L1041" i="22"/>
  <c r="L1044" i="22"/>
  <c r="L1053" i="22"/>
  <c r="M1060" i="22"/>
  <c r="M1066" i="22"/>
  <c r="M1071" i="22"/>
  <c r="L1080" i="22"/>
  <c r="L1089" i="22"/>
  <c r="L1092" i="22"/>
  <c r="L1101" i="22"/>
  <c r="L1104" i="22"/>
  <c r="L1113" i="22"/>
  <c r="L1116" i="22"/>
  <c r="L1125" i="22"/>
  <c r="L1128" i="22"/>
  <c r="L1137" i="22"/>
  <c r="L1140" i="22"/>
  <c r="L1149" i="22"/>
  <c r="L1152" i="22"/>
  <c r="L1161" i="22"/>
  <c r="L1164" i="22"/>
  <c r="L1173" i="22"/>
  <c r="L1176" i="22"/>
  <c r="L822" i="24"/>
  <c r="L863" i="24"/>
  <c r="L1032" i="24"/>
  <c r="L1042" i="24"/>
  <c r="L1047" i="24"/>
  <c r="L1187" i="24"/>
  <c r="L1192" i="24"/>
  <c r="L1273" i="24"/>
  <c r="L1290" i="24"/>
  <c r="L1369" i="24"/>
  <c r="L1386" i="24"/>
  <c r="AV1391" i="24"/>
  <c r="AV1396" i="24"/>
  <c r="AV1429" i="24"/>
  <c r="M1437" i="24"/>
  <c r="M1443" i="24"/>
  <c r="M1461" i="24"/>
  <c r="L1481" i="24"/>
  <c r="M1495" i="24"/>
  <c r="L1383" i="24"/>
  <c r="AV1406" i="24"/>
  <c r="M1426" i="24"/>
  <c r="M1446" i="24"/>
  <c r="AV1411" i="24"/>
  <c r="M1464" i="24"/>
  <c r="B84" i="24"/>
  <c r="B88" i="24" s="1"/>
  <c r="B87" i="24"/>
  <c r="N210" i="24"/>
  <c r="N153" i="24"/>
  <c r="N144" i="24"/>
  <c r="N156" i="24"/>
  <c r="N207" i="24"/>
  <c r="O154" i="24"/>
  <c r="O208" i="24"/>
  <c r="B148" i="24"/>
  <c r="B228" i="24" s="1"/>
  <c r="B140" i="24"/>
  <c r="B143" i="24"/>
  <c r="B215" i="24"/>
  <c r="R148" i="24"/>
  <c r="R228" i="24" s="1"/>
  <c r="R140" i="24"/>
  <c r="R143" i="24"/>
  <c r="R215" i="24"/>
  <c r="I188" i="24"/>
  <c r="I167" i="24"/>
  <c r="I207" i="24" s="1"/>
  <c r="I170" i="24"/>
  <c r="H180" i="24"/>
  <c r="H223" i="24" s="1"/>
  <c r="H183" i="24"/>
  <c r="D270" i="24"/>
  <c r="D350" i="24" s="1"/>
  <c r="D249" i="24"/>
  <c r="D252" i="24"/>
  <c r="D324" i="24"/>
  <c r="B274" i="24"/>
  <c r="B354" i="24" s="1"/>
  <c r="B328" i="24"/>
  <c r="R274" i="24"/>
  <c r="R354" i="24" s="1"/>
  <c r="R328" i="24"/>
  <c r="O262" i="24"/>
  <c r="O275" i="24" s="1"/>
  <c r="O265" i="24"/>
  <c r="O337" i="24"/>
  <c r="D356" i="24"/>
  <c r="B310" i="24"/>
  <c r="B289" i="24"/>
  <c r="B329" i="24" s="1"/>
  <c r="B292" i="24"/>
  <c r="R310" i="24"/>
  <c r="R289" i="24"/>
  <c r="R332" i="24" s="1"/>
  <c r="R292" i="24"/>
  <c r="Q302" i="24"/>
  <c r="Q306" i="24" s="1"/>
  <c r="Q305" i="24"/>
  <c r="F391" i="24"/>
  <c r="F370" i="24"/>
  <c r="F373" i="24"/>
  <c r="E383" i="24"/>
  <c r="E387" i="24" s="1"/>
  <c r="E386" i="24"/>
  <c r="K514" i="24"/>
  <c r="K594" i="24" s="1"/>
  <c r="K493" i="24"/>
  <c r="K496" i="24"/>
  <c r="K568" i="24"/>
  <c r="I518" i="24"/>
  <c r="I598" i="24" s="1"/>
  <c r="I572" i="24"/>
  <c r="F506" i="24"/>
  <c r="F509" i="24"/>
  <c r="F581" i="24"/>
  <c r="K600" i="24"/>
  <c r="I554" i="24"/>
  <c r="I594" i="24" s="1"/>
  <c r="I533" i="24"/>
  <c r="I573" i="24" s="1"/>
  <c r="I536" i="24"/>
  <c r="H546" i="24"/>
  <c r="H550" i="24" s="1"/>
  <c r="H549" i="24"/>
  <c r="P636" i="24"/>
  <c r="P615" i="24"/>
  <c r="P618" i="24"/>
  <c r="P690" i="24"/>
  <c r="N640" i="24"/>
  <c r="N720" i="24" s="1"/>
  <c r="N694" i="24"/>
  <c r="K628" i="24"/>
  <c r="K631" i="24"/>
  <c r="K703" i="24"/>
  <c r="P722" i="24"/>
  <c r="N676" i="24"/>
  <c r="N716" i="24" s="1"/>
  <c r="N655" i="24"/>
  <c r="N658" i="24"/>
  <c r="M668" i="24"/>
  <c r="M671" i="24"/>
  <c r="C853" i="24"/>
  <c r="C832" i="24"/>
  <c r="C835" i="24"/>
  <c r="S853" i="24"/>
  <c r="S832" i="24"/>
  <c r="S835" i="24"/>
  <c r="N845" i="24"/>
  <c r="N858" i="24" s="1"/>
  <c r="N848" i="24"/>
  <c r="B895" i="24"/>
  <c r="B975" i="24" s="1"/>
  <c r="B874" i="24"/>
  <c r="B877" i="24"/>
  <c r="B949" i="24"/>
  <c r="R895" i="24"/>
  <c r="R975" i="24" s="1"/>
  <c r="R874" i="24"/>
  <c r="R877" i="24"/>
  <c r="R949" i="24"/>
  <c r="P877" i="24"/>
  <c r="P899" i="24"/>
  <c r="P979" i="24" s="1"/>
  <c r="P953" i="24"/>
  <c r="Q887" i="24"/>
  <c r="Q903" i="24" s="1"/>
  <c r="Q890" i="24"/>
  <c r="Q962" i="24"/>
  <c r="O890" i="24"/>
  <c r="O966" i="24"/>
  <c r="B981" i="24"/>
  <c r="R981" i="24"/>
  <c r="L935" i="24"/>
  <c r="L975" i="24" s="1"/>
  <c r="L949" i="24"/>
  <c r="L914" i="24"/>
  <c r="L917" i="24"/>
  <c r="K962" i="24"/>
  <c r="K927" i="24"/>
  <c r="K943" i="24" s="1"/>
  <c r="K930" i="24"/>
  <c r="N1008" i="24"/>
  <c r="N1011" i="24"/>
  <c r="K1027" i="24"/>
  <c r="K1030" i="24"/>
  <c r="H1056" i="24"/>
  <c r="H1059" i="24"/>
  <c r="D1412" i="24"/>
  <c r="D1414" i="24" s="1"/>
  <c r="T1412" i="24"/>
  <c r="T1414" i="24" s="1"/>
  <c r="AJ1412" i="24"/>
  <c r="AJ1414" i="24" s="1"/>
  <c r="B166" i="22"/>
  <c r="B175" i="22"/>
  <c r="B178" i="22"/>
  <c r="B29" i="24"/>
  <c r="AN27" i="27"/>
  <c r="B275" i="9"/>
  <c r="E1391" i="24"/>
  <c r="E1396" i="24"/>
  <c r="E1429" i="24"/>
  <c r="E1406" i="24"/>
  <c r="E1411" i="24"/>
  <c r="E1440" i="24"/>
  <c r="D94" i="24"/>
  <c r="D70" i="24"/>
  <c r="D79" i="24"/>
  <c r="D85" i="24"/>
  <c r="D90" i="24"/>
  <c r="D144" i="24"/>
  <c r="D156" i="24"/>
  <c r="D207" i="24"/>
  <c r="D210" i="24"/>
  <c r="D153" i="24"/>
  <c r="K220" i="24"/>
  <c r="K223" i="24"/>
  <c r="G226" i="24"/>
  <c r="D227" i="24"/>
  <c r="I228" i="24"/>
  <c r="J231" i="24"/>
  <c r="F184" i="24"/>
  <c r="F196" i="24"/>
  <c r="F193" i="24"/>
  <c r="M329" i="24"/>
  <c r="M332" i="24"/>
  <c r="L342" i="24"/>
  <c r="L345" i="24"/>
  <c r="M349" i="24"/>
  <c r="K353" i="24"/>
  <c r="G306" i="24"/>
  <c r="G318" i="24"/>
  <c r="G315" i="24"/>
  <c r="K387" i="24"/>
  <c r="K399" i="24"/>
  <c r="K396" i="24"/>
  <c r="H510" i="24"/>
  <c r="H522" i="24"/>
  <c r="H573" i="24"/>
  <c r="H576" i="24"/>
  <c r="H519" i="24"/>
  <c r="G586" i="24"/>
  <c r="G589" i="24"/>
  <c r="D593" i="24"/>
  <c r="B597" i="24"/>
  <c r="R597" i="24"/>
  <c r="N550" i="24"/>
  <c r="N562" i="24"/>
  <c r="N559" i="24"/>
  <c r="I632" i="24"/>
  <c r="I644" i="24"/>
  <c r="I641" i="24"/>
  <c r="I715" i="24"/>
  <c r="G719" i="24"/>
  <c r="C672" i="24"/>
  <c r="C684" i="24"/>
  <c r="C681" i="24"/>
  <c r="S672" i="24"/>
  <c r="S684" i="24"/>
  <c r="S681" i="24"/>
  <c r="H849" i="24"/>
  <c r="H861" i="24"/>
  <c r="H858" i="24"/>
  <c r="C891" i="24"/>
  <c r="C903" i="24"/>
  <c r="C954" i="24"/>
  <c r="C957" i="24"/>
  <c r="C900" i="24"/>
  <c r="S891" i="24"/>
  <c r="S954" i="24"/>
  <c r="S957" i="24"/>
  <c r="S900" i="24"/>
  <c r="N967" i="24"/>
  <c r="N970" i="24"/>
  <c r="M931" i="24"/>
  <c r="M943" i="24"/>
  <c r="M940" i="24"/>
  <c r="B1412" i="24"/>
  <c r="B1414" i="24" s="1"/>
  <c r="R1412" i="24"/>
  <c r="R1414" i="24" s="1"/>
  <c r="AH1412" i="24"/>
  <c r="AH1414" i="24" s="1"/>
  <c r="G207" i="24"/>
  <c r="G210" i="24"/>
  <c r="G153" i="24"/>
  <c r="G144" i="24"/>
  <c r="G156" i="24"/>
  <c r="D509" i="24"/>
  <c r="H509" i="24"/>
  <c r="L509" i="24"/>
  <c r="P509" i="24"/>
  <c r="L559" i="24"/>
  <c r="L550" i="24"/>
  <c r="L562" i="24"/>
  <c r="P554" i="24"/>
  <c r="P594" i="24" s="1"/>
  <c r="G955" i="24"/>
  <c r="J968" i="24"/>
  <c r="F1268" i="24"/>
  <c r="F1271" i="24"/>
  <c r="N1268" i="24"/>
  <c r="N1271" i="24"/>
  <c r="I223" i="24"/>
  <c r="I220" i="24"/>
  <c r="M223" i="24"/>
  <c r="M220" i="24"/>
  <c r="D193" i="24"/>
  <c r="P188" i="24"/>
  <c r="B350" i="24"/>
  <c r="F350" i="24"/>
  <c r="J350" i="24"/>
  <c r="N350" i="24"/>
  <c r="R350" i="24"/>
  <c r="I274" i="24"/>
  <c r="I354" i="24" s="1"/>
  <c r="Q274" i="24"/>
  <c r="Q354" i="24" s="1"/>
  <c r="E262" i="24"/>
  <c r="I262" i="24"/>
  <c r="M262" i="24"/>
  <c r="M278" i="24" s="1"/>
  <c r="Q262" i="24"/>
  <c r="D343" i="24"/>
  <c r="I315" i="24"/>
  <c r="I306" i="24"/>
  <c r="I318" i="24"/>
  <c r="M310" i="24"/>
  <c r="M350" i="24" s="1"/>
  <c r="E396" i="24"/>
  <c r="I391" i="24"/>
  <c r="E496" i="24"/>
  <c r="I496" i="24"/>
  <c r="M496" i="24"/>
  <c r="Q496" i="24"/>
  <c r="D518" i="24"/>
  <c r="D598" i="24" s="1"/>
  <c r="L518" i="24"/>
  <c r="L598" i="24" s="1"/>
  <c r="C636" i="24"/>
  <c r="C716" i="24" s="1"/>
  <c r="G636" i="24"/>
  <c r="G716" i="24" s="1"/>
  <c r="K636" i="24"/>
  <c r="K716" i="24" s="1"/>
  <c r="O636" i="24"/>
  <c r="O716" i="24" s="1"/>
  <c r="S636" i="24"/>
  <c r="S716" i="24" s="1"/>
  <c r="N711" i="24"/>
  <c r="N708" i="24"/>
  <c r="F858" i="24"/>
  <c r="F849" i="24"/>
  <c r="F861" i="24"/>
  <c r="J853" i="24"/>
  <c r="S955" i="24"/>
  <c r="F968" i="24"/>
  <c r="N940" i="24"/>
  <c r="N931" i="24"/>
  <c r="N943" i="24"/>
  <c r="K1271" i="24"/>
  <c r="K1268" i="24"/>
  <c r="M153" i="24"/>
  <c r="M144" i="24"/>
  <c r="M156" i="24"/>
  <c r="M207" i="24"/>
  <c r="M210" i="24"/>
  <c r="B207" i="24"/>
  <c r="B210" i="24"/>
  <c r="F232" i="24"/>
  <c r="N232" i="24"/>
  <c r="Q589" i="24"/>
  <c r="Q586" i="24"/>
  <c r="G559" i="24"/>
  <c r="G550" i="24"/>
  <c r="G562" i="24"/>
  <c r="I696" i="24"/>
  <c r="O955" i="24"/>
  <c r="R968" i="24"/>
  <c r="C940" i="24"/>
  <c r="C931" i="24"/>
  <c r="C943" i="24"/>
  <c r="G935" i="24"/>
  <c r="G975" i="24" s="1"/>
  <c r="S940" i="24"/>
  <c r="S931" i="24"/>
  <c r="S943" i="24"/>
  <c r="D228" i="24"/>
  <c r="H215" i="24"/>
  <c r="L215" i="24"/>
  <c r="G193" i="24"/>
  <c r="G184" i="24"/>
  <c r="G196" i="24"/>
  <c r="J345" i="24"/>
  <c r="J342" i="24"/>
  <c r="D315" i="24"/>
  <c r="D306" i="24"/>
  <c r="D318" i="24"/>
  <c r="H396" i="24"/>
  <c r="H387" i="24"/>
  <c r="H399" i="24"/>
  <c r="B615" i="24"/>
  <c r="F615" i="24"/>
  <c r="J615" i="24"/>
  <c r="N615" i="24"/>
  <c r="R615" i="24"/>
  <c r="E631" i="24"/>
  <c r="I631" i="24"/>
  <c r="M631" i="24"/>
  <c r="Q631" i="24"/>
  <c r="Q676" i="24"/>
  <c r="Q716" i="24" s="1"/>
  <c r="M858" i="24"/>
  <c r="M849" i="24"/>
  <c r="M861" i="24"/>
  <c r="N968" i="24"/>
  <c r="R940" i="24"/>
  <c r="R931" i="24"/>
  <c r="R943" i="24"/>
  <c r="M826" i="9" l="1"/>
  <c r="J286" i="2"/>
  <c r="F411" i="7"/>
  <c r="X101" i="27"/>
  <c r="G671" i="24"/>
  <c r="G707" i="24"/>
  <c r="G680" i="24"/>
  <c r="G720" i="24" s="1"/>
  <c r="G668" i="24"/>
  <c r="D23" i="4"/>
  <c r="C168" i="26" s="1"/>
  <c r="C166" i="26"/>
  <c r="Q655" i="24"/>
  <c r="Q658" i="24"/>
  <c r="Q690" i="24"/>
  <c r="E399" i="24"/>
  <c r="D196" i="24"/>
  <c r="D88" i="24"/>
  <c r="Q735" i="9"/>
  <c r="D729" i="9"/>
  <c r="F738" i="9"/>
  <c r="D220" i="24"/>
  <c r="C644" i="24"/>
  <c r="M318" i="24"/>
  <c r="P193" i="24"/>
  <c r="P550" i="24"/>
  <c r="I734" i="9"/>
  <c r="G278" i="24"/>
  <c r="M399" i="24"/>
  <c r="Z1432" i="24"/>
  <c r="J1432" i="24"/>
  <c r="R849" i="24"/>
  <c r="M823" i="9"/>
  <c r="Q433" i="7"/>
  <c r="P671" i="24"/>
  <c r="P676" i="24"/>
  <c r="P716" i="24" s="1"/>
  <c r="P703" i="24"/>
  <c r="P668" i="24"/>
  <c r="O683" i="24"/>
  <c r="O723" i="24" s="1"/>
  <c r="O710" i="24"/>
  <c r="R561" i="24"/>
  <c r="R601" i="24" s="1"/>
  <c r="R588" i="24"/>
  <c r="J421" i="2"/>
  <c r="E21" i="4"/>
  <c r="D13" i="5"/>
  <c r="F26" i="17"/>
  <c r="E26" i="17"/>
  <c r="BD126" i="27"/>
  <c r="D703" i="24"/>
  <c r="D668" i="24"/>
  <c r="D676" i="24"/>
  <c r="D716" i="24" s="1"/>
  <c r="D671" i="24"/>
  <c r="R697" i="24"/>
  <c r="R683" i="24"/>
  <c r="R723" i="24" s="1"/>
  <c r="B697" i="24"/>
  <c r="B683" i="24"/>
  <c r="B723" i="24" s="1"/>
  <c r="E690" i="24"/>
  <c r="E655" i="24"/>
  <c r="E658" i="24"/>
  <c r="D223" i="24"/>
  <c r="O234" i="24"/>
  <c r="L700" i="9"/>
  <c r="W1414" i="24"/>
  <c r="AC1414" i="24"/>
  <c r="U1432" i="24"/>
  <c r="Q783" i="9"/>
  <c r="B494" i="9"/>
  <c r="B561" i="24"/>
  <c r="B601" i="24" s="1"/>
  <c r="B588" i="24"/>
  <c r="D99" i="24"/>
  <c r="Q683" i="24"/>
  <c r="Q723" i="24" s="1"/>
  <c r="Q710" i="24"/>
  <c r="I655" i="24"/>
  <c r="I658" i="24"/>
  <c r="I690" i="24"/>
  <c r="Q680" i="24"/>
  <c r="Q720" i="24" s="1"/>
  <c r="I683" i="24"/>
  <c r="I723" i="24" s="1"/>
  <c r="I710" i="24"/>
  <c r="H671" i="24"/>
  <c r="H676" i="24"/>
  <c r="H716" i="24" s="1"/>
  <c r="H668" i="24"/>
  <c r="H703" i="24"/>
  <c r="D413" i="7"/>
  <c r="D419" i="7"/>
  <c r="E419" i="7" s="1"/>
  <c r="D397" i="7"/>
  <c r="E411" i="7"/>
  <c r="M549" i="24"/>
  <c r="M558" i="24"/>
  <c r="M598" i="24" s="1"/>
  <c r="M546" i="24"/>
  <c r="M585" i="24"/>
  <c r="E13" i="5"/>
  <c r="F549" i="24"/>
  <c r="F558" i="24"/>
  <c r="F598" i="24" s="1"/>
  <c r="F585" i="24"/>
  <c r="F546" i="24"/>
  <c r="L703" i="24"/>
  <c r="L668" i="24"/>
  <c r="L671" i="24"/>
  <c r="L676" i="24"/>
  <c r="L716" i="24" s="1"/>
  <c r="J697" i="24"/>
  <c r="J683" i="24"/>
  <c r="J723" i="24" s="1"/>
  <c r="M690" i="24"/>
  <c r="M655" i="24"/>
  <c r="M658" i="24"/>
  <c r="M275" i="24"/>
  <c r="M266" i="24"/>
  <c r="L727" i="9"/>
  <c r="C826" i="9"/>
  <c r="K703" i="9"/>
  <c r="R738" i="9"/>
  <c r="I684" i="24"/>
  <c r="P223" i="24"/>
  <c r="Q396" i="24"/>
  <c r="M641" i="24"/>
  <c r="M738" i="9"/>
  <c r="H727" i="9"/>
  <c r="R730" i="9"/>
  <c r="B593" i="9"/>
  <c r="B596" i="9"/>
  <c r="I91" i="12"/>
  <c r="K730" i="9"/>
  <c r="C814" i="9"/>
  <c r="K266" i="24"/>
  <c r="D562" i="24"/>
  <c r="E343" i="11"/>
  <c r="V1414" i="24"/>
  <c r="M632" i="24"/>
  <c r="X1414" i="24"/>
  <c r="D727" i="9"/>
  <c r="I738" i="9"/>
  <c r="B570" i="9"/>
  <c r="B579" i="9"/>
  <c r="B582" i="9"/>
  <c r="P563" i="24"/>
  <c r="P599" i="24"/>
  <c r="P590" i="24"/>
  <c r="P602" i="24"/>
  <c r="L563" i="24"/>
  <c r="L599" i="24"/>
  <c r="L590" i="24"/>
  <c r="L602" i="24"/>
  <c r="E342" i="24"/>
  <c r="E345" i="24"/>
  <c r="K708" i="24"/>
  <c r="K711" i="24"/>
  <c r="K573" i="24"/>
  <c r="K576" i="24"/>
  <c r="K519" i="24"/>
  <c r="K510" i="24"/>
  <c r="K522" i="24"/>
  <c r="B100" i="24"/>
  <c r="F641" i="24"/>
  <c r="F632" i="24"/>
  <c r="F644" i="24"/>
  <c r="F695" i="24"/>
  <c r="F698" i="24"/>
  <c r="Q342" i="24"/>
  <c r="Q345" i="24"/>
  <c r="H196" i="24"/>
  <c r="N641" i="24"/>
  <c r="N632" i="24"/>
  <c r="N644" i="24"/>
  <c r="N695" i="24"/>
  <c r="N698" i="24"/>
  <c r="I342" i="24"/>
  <c r="I345" i="24"/>
  <c r="H193" i="24"/>
  <c r="C944" i="24"/>
  <c r="C980" i="24"/>
  <c r="C971" i="24"/>
  <c r="C983" i="24"/>
  <c r="D197" i="24"/>
  <c r="D233" i="24"/>
  <c r="D224" i="24"/>
  <c r="D236" i="24"/>
  <c r="D96" i="24"/>
  <c r="D71" i="24"/>
  <c r="D74" i="24"/>
  <c r="L940" i="24"/>
  <c r="L931" i="24"/>
  <c r="L943" i="24"/>
  <c r="S858" i="24"/>
  <c r="S849" i="24"/>
  <c r="S861" i="24"/>
  <c r="N681" i="24"/>
  <c r="N672" i="24"/>
  <c r="N684" i="24"/>
  <c r="F586" i="24"/>
  <c r="F589" i="24"/>
  <c r="T662" i="9"/>
  <c r="T716" i="9"/>
  <c r="H662" i="9"/>
  <c r="H716" i="9"/>
  <c r="N716" i="9"/>
  <c r="N662" i="9"/>
  <c r="N742" i="9" s="1"/>
  <c r="E716" i="9"/>
  <c r="E662" i="9"/>
  <c r="G717" i="9"/>
  <c r="G663" i="9"/>
  <c r="G743" i="9" s="1"/>
  <c r="R648" i="9"/>
  <c r="R651" i="9"/>
  <c r="R723" i="9"/>
  <c r="K450" i="7"/>
  <c r="K462" i="7"/>
  <c r="K459" i="7"/>
  <c r="S967" i="24"/>
  <c r="S970" i="24"/>
  <c r="K632" i="24"/>
  <c r="O944" i="24"/>
  <c r="O980" i="24"/>
  <c r="O971" i="24"/>
  <c r="O983" i="24"/>
  <c r="I275" i="24"/>
  <c r="I266" i="24"/>
  <c r="O858" i="24"/>
  <c r="O849" i="24"/>
  <c r="O861" i="24"/>
  <c r="E559" i="24"/>
  <c r="E550" i="24"/>
  <c r="E562" i="24"/>
  <c r="B586" i="24"/>
  <c r="B589" i="24"/>
  <c r="P329" i="24"/>
  <c r="P332" i="24"/>
  <c r="P275" i="24"/>
  <c r="P266" i="24"/>
  <c r="P278" i="24"/>
  <c r="C30" i="24"/>
  <c r="AX27" i="27"/>
  <c r="I340" i="11"/>
  <c r="T651" i="9"/>
  <c r="T723" i="9"/>
  <c r="T648" i="9"/>
  <c r="T703" i="9"/>
  <c r="T663" i="9"/>
  <c r="T717" i="9"/>
  <c r="N717" i="9"/>
  <c r="N663" i="9"/>
  <c r="N743" i="9" s="1"/>
  <c r="N696" i="9"/>
  <c r="N678" i="9"/>
  <c r="N675" i="9"/>
  <c r="J700" i="9"/>
  <c r="J660" i="9"/>
  <c r="J714" i="9"/>
  <c r="Q702" i="9"/>
  <c r="L714" i="9"/>
  <c r="L660" i="9"/>
  <c r="M716" i="9"/>
  <c r="M662" i="9"/>
  <c r="M742" i="9" s="1"/>
  <c r="O688" i="9"/>
  <c r="O691" i="9"/>
  <c r="F730" i="9"/>
  <c r="C406" i="9"/>
  <c r="C486" i="9" s="1"/>
  <c r="C478" i="9"/>
  <c r="R635" i="9"/>
  <c r="R638" i="9"/>
  <c r="R710" i="9"/>
  <c r="R656" i="9"/>
  <c r="O662" i="9"/>
  <c r="O716" i="9"/>
  <c r="I638" i="9"/>
  <c r="I710" i="9"/>
  <c r="I635" i="9"/>
  <c r="I656" i="9"/>
  <c r="I663" i="9"/>
  <c r="I743" i="9" s="1"/>
  <c r="I717" i="9"/>
  <c r="C386" i="9"/>
  <c r="C392" i="9"/>
  <c r="C410" i="9"/>
  <c r="C464" i="9"/>
  <c r="S850" i="9"/>
  <c r="S853" i="9"/>
  <c r="B610" i="9"/>
  <c r="B583" i="9"/>
  <c r="B619" i="9"/>
  <c r="B622" i="9"/>
  <c r="C254" i="9"/>
  <c r="C446" i="24"/>
  <c r="C470" i="24"/>
  <c r="C910" i="22"/>
  <c r="W450" i="7"/>
  <c r="W462" i="7"/>
  <c r="W459" i="7"/>
  <c r="M406" i="7"/>
  <c r="E403" i="7"/>
  <c r="A80" i="26"/>
  <c r="B444" i="9"/>
  <c r="B447" i="9"/>
  <c r="C433" i="9"/>
  <c r="C459" i="9" s="1"/>
  <c r="C451" i="9"/>
  <c r="M454" i="7"/>
  <c r="J590" i="24"/>
  <c r="J602" i="24"/>
  <c r="J563" i="24"/>
  <c r="J599" i="24"/>
  <c r="F522" i="24"/>
  <c r="O266" i="24"/>
  <c r="K278" i="24"/>
  <c r="H220" i="24"/>
  <c r="K931" i="24"/>
  <c r="Q315" i="24"/>
  <c r="Q641" i="24"/>
  <c r="P519" i="24"/>
  <c r="L1414" i="24"/>
  <c r="D940" i="24"/>
  <c r="D931" i="24"/>
  <c r="D943" i="24"/>
  <c r="I967" i="24"/>
  <c r="I970" i="24"/>
  <c r="F681" i="24"/>
  <c r="F672" i="24"/>
  <c r="F684" i="24"/>
  <c r="C708" i="24"/>
  <c r="C711" i="24"/>
  <c r="N586" i="24"/>
  <c r="N589" i="24"/>
  <c r="G342" i="24"/>
  <c r="G345" i="24"/>
  <c r="D27" i="4"/>
  <c r="E1438" i="24"/>
  <c r="I1414" i="24"/>
  <c r="E41" i="16"/>
  <c r="AN1399" i="24"/>
  <c r="U41" i="16"/>
  <c r="AZ1399" i="24"/>
  <c r="P41" i="16"/>
  <c r="AV1399" i="24"/>
  <c r="Q41" i="16"/>
  <c r="AW1399" i="24"/>
  <c r="AG1399" i="24"/>
  <c r="AG1392" i="24"/>
  <c r="AG1407" i="24"/>
  <c r="Q1399" i="24"/>
  <c r="Q1392" i="24"/>
  <c r="Q1407" i="24"/>
  <c r="AI1432" i="24"/>
  <c r="S1432" i="24"/>
  <c r="C1432" i="24"/>
  <c r="I41" i="16"/>
  <c r="AQ1399" i="24"/>
  <c r="AA1407" i="24"/>
  <c r="AA1392" i="24"/>
  <c r="AA1399" i="24"/>
  <c r="K1407" i="24"/>
  <c r="K1392" i="24"/>
  <c r="K1399" i="24"/>
  <c r="AD1432" i="24"/>
  <c r="N1432" i="24"/>
  <c r="X41" i="16"/>
  <c r="BB1399" i="24"/>
  <c r="C41" i="16"/>
  <c r="AL1399" i="24"/>
  <c r="V1392" i="24"/>
  <c r="V1407" i="24"/>
  <c r="V1399" i="24"/>
  <c r="F1392" i="24"/>
  <c r="F1407" i="24"/>
  <c r="F1399" i="24"/>
  <c r="K648" i="9"/>
  <c r="K651" i="9"/>
  <c r="K723" i="9"/>
  <c r="H714" i="9"/>
  <c r="H660" i="9"/>
  <c r="H740" i="9" s="1"/>
  <c r="D738" i="9"/>
  <c r="D774" i="9"/>
  <c r="D786" i="9"/>
  <c r="D783" i="9"/>
  <c r="D837" i="9"/>
  <c r="D840" i="9"/>
  <c r="S727" i="9"/>
  <c r="G727" i="9"/>
  <c r="S700" i="9"/>
  <c r="G700" i="9"/>
  <c r="M648" i="9"/>
  <c r="M651" i="9"/>
  <c r="M723" i="9"/>
  <c r="C495" i="9"/>
  <c r="S735" i="9"/>
  <c r="F648" i="9"/>
  <c r="F651" i="9"/>
  <c r="F723" i="9"/>
  <c r="B485" i="9"/>
  <c r="L662" i="9"/>
  <c r="L716" i="9"/>
  <c r="C411" i="9"/>
  <c r="I696" i="9"/>
  <c r="I675" i="9"/>
  <c r="I678" i="9"/>
  <c r="C540" i="9"/>
  <c r="C620" i="9" s="1"/>
  <c r="C594" i="9"/>
  <c r="C967" i="24"/>
  <c r="C970" i="24"/>
  <c r="E708" i="24"/>
  <c r="E711" i="24"/>
  <c r="I891" i="24"/>
  <c r="Q387" i="24"/>
  <c r="E315" i="24"/>
  <c r="H559" i="24"/>
  <c r="D586" i="24"/>
  <c r="D589" i="24"/>
  <c r="C197" i="24"/>
  <c r="C233" i="24"/>
  <c r="C224" i="24"/>
  <c r="C236" i="24"/>
  <c r="L519" i="24"/>
  <c r="B284" i="9"/>
  <c r="B260" i="9"/>
  <c r="B286" i="9" s="1"/>
  <c r="B217" i="9"/>
  <c r="C343" i="9"/>
  <c r="B498" i="11"/>
  <c r="B512" i="11"/>
  <c r="B15" i="12"/>
  <c r="B121" i="13"/>
  <c r="D229" i="22"/>
  <c r="B122" i="13"/>
  <c r="B120" i="13"/>
  <c r="D324" i="22"/>
  <c r="D311" i="22"/>
  <c r="C188" i="22"/>
  <c r="D242" i="22"/>
  <c r="C201" i="22"/>
  <c r="B900" i="22"/>
  <c r="B1199" i="24"/>
  <c r="A72" i="26"/>
  <c r="B60" i="13"/>
  <c r="B35" i="24"/>
  <c r="B433" i="24"/>
  <c r="J586" i="24"/>
  <c r="J589" i="24"/>
  <c r="S342" i="24"/>
  <c r="S345" i="24"/>
  <c r="H329" i="24"/>
  <c r="H332" i="24"/>
  <c r="H275" i="24"/>
  <c r="H266" i="24"/>
  <c r="H278" i="24"/>
  <c r="AI1414" i="24"/>
  <c r="W42" i="16"/>
  <c r="AG1408" i="24"/>
  <c r="AG1393" i="24"/>
  <c r="L42" i="16"/>
  <c r="AS1393" i="24" s="1"/>
  <c r="H42" i="16"/>
  <c r="AP1393" i="24" s="1"/>
  <c r="Z1393" i="24"/>
  <c r="Z1408" i="24"/>
  <c r="J1393" i="24"/>
  <c r="J1408" i="24"/>
  <c r="U42" i="16"/>
  <c r="AZ1393" i="24" s="1"/>
  <c r="AJ1408" i="24"/>
  <c r="AJ1393" i="24"/>
  <c r="T1408" i="24"/>
  <c r="T1393" i="24"/>
  <c r="D1408" i="24"/>
  <c r="D1393" i="24"/>
  <c r="O42" i="16"/>
  <c r="AE1393" i="24"/>
  <c r="AE1408" i="24"/>
  <c r="O1393" i="24"/>
  <c r="O1408" i="24"/>
  <c r="P37" i="16"/>
  <c r="AV1431" i="24" s="1"/>
  <c r="E47" i="16"/>
  <c r="AN1413" i="24" s="1"/>
  <c r="E37" i="16"/>
  <c r="AN1431" i="24" s="1"/>
  <c r="B37" i="16"/>
  <c r="AK1431" i="24" s="1"/>
  <c r="Q47" i="16"/>
  <c r="AW1413" i="24" s="1"/>
  <c r="Q37" i="16"/>
  <c r="AW1431" i="24" s="1"/>
  <c r="H47" i="16"/>
  <c r="AP1413" i="24" s="1"/>
  <c r="G37" i="16"/>
  <c r="S47" i="16"/>
  <c r="I47" i="16"/>
  <c r="AQ1413" i="24" s="1"/>
  <c r="Y37" i="16"/>
  <c r="BC1431" i="24" s="1"/>
  <c r="M37" i="16"/>
  <c r="AT1431" i="24" s="1"/>
  <c r="L37" i="16"/>
  <c r="AS1431" i="24" s="1"/>
  <c r="D37" i="16"/>
  <c r="AM1431" i="24" s="1"/>
  <c r="U47" i="16"/>
  <c r="AZ1413" i="24" s="1"/>
  <c r="U37" i="16"/>
  <c r="AZ1431" i="24" s="1"/>
  <c r="X47" i="16"/>
  <c r="BB1413" i="24" s="1"/>
  <c r="O47" i="16"/>
  <c r="H37" i="16"/>
  <c r="AP1431" i="24" s="1"/>
  <c r="G47" i="16"/>
  <c r="S37" i="16"/>
  <c r="L47" i="16"/>
  <c r="AS1413" i="24" s="1"/>
  <c r="K37" i="16"/>
  <c r="D47" i="16"/>
  <c r="AM1413" i="24" s="1"/>
  <c r="T37" i="16"/>
  <c r="AY1431" i="24" s="1"/>
  <c r="X37" i="16"/>
  <c r="BB1431" i="24" s="1"/>
  <c r="O37" i="16"/>
  <c r="C37" i="16"/>
  <c r="C47" i="16"/>
  <c r="C32" i="16" s="1"/>
  <c r="I37" i="16"/>
  <c r="AQ1431" i="24" s="1"/>
  <c r="Y47" i="16"/>
  <c r="BC1413" i="24" s="1"/>
  <c r="M47" i="16"/>
  <c r="AT1413" i="24" s="1"/>
  <c r="K47" i="16"/>
  <c r="W37" i="16"/>
  <c r="T47" i="16"/>
  <c r="AY1413" i="24" s="1"/>
  <c r="P47" i="16"/>
  <c r="AV1413" i="24" s="1"/>
  <c r="B47" i="16"/>
  <c r="AK1413" i="24" s="1"/>
  <c r="W47" i="16"/>
  <c r="U343" i="11"/>
  <c r="Q738" i="9"/>
  <c r="E660" i="9"/>
  <c r="E740" i="9" s="1"/>
  <c r="E714" i="9"/>
  <c r="N729" i="9"/>
  <c r="S738" i="9"/>
  <c r="Q814" i="9"/>
  <c r="Q863" i="9" s="1"/>
  <c r="M691" i="9"/>
  <c r="M688" i="9"/>
  <c r="G729" i="9"/>
  <c r="F739" i="9"/>
  <c r="S702" i="9"/>
  <c r="G734" i="9"/>
  <c r="O729" i="9"/>
  <c r="L703" i="9"/>
  <c r="L663" i="9"/>
  <c r="L717" i="9"/>
  <c r="O850" i="9"/>
  <c r="O853" i="9"/>
  <c r="R783" i="9"/>
  <c r="R786" i="9"/>
  <c r="R837" i="9"/>
  <c r="R774" i="9"/>
  <c r="R840" i="9"/>
  <c r="L688" i="9"/>
  <c r="L691" i="9"/>
  <c r="Q458" i="7"/>
  <c r="Y449" i="7"/>
  <c r="Y446" i="7"/>
  <c r="I449" i="7"/>
  <c r="I446" i="7"/>
  <c r="N462" i="7"/>
  <c r="Y406" i="7"/>
  <c r="Q403" i="7"/>
  <c r="J80" i="26"/>
  <c r="C113" i="24"/>
  <c r="D113" i="24" s="1"/>
  <c r="C106" i="24"/>
  <c r="D105" i="24"/>
  <c r="D106" i="24" s="1"/>
  <c r="D114" i="24" s="1"/>
  <c r="T850" i="9"/>
  <c r="T853" i="9"/>
  <c r="C399" i="9"/>
  <c r="C405" i="9"/>
  <c r="C485" i="9" s="1"/>
  <c r="C477" i="9"/>
  <c r="L675" i="9"/>
  <c r="L678" i="9"/>
  <c r="L696" i="9"/>
  <c r="F696" i="9"/>
  <c r="F678" i="9"/>
  <c r="F675" i="9"/>
  <c r="C732" i="9"/>
  <c r="C744" i="9"/>
  <c r="C705" i="9"/>
  <c r="C741" i="9"/>
  <c r="P853" i="9"/>
  <c r="C616" i="9"/>
  <c r="C607" i="9"/>
  <c r="E449" i="7"/>
  <c r="E446" i="7"/>
  <c r="Q576" i="24"/>
  <c r="Q91" i="12"/>
  <c r="P957" i="24"/>
  <c r="L954" i="24"/>
  <c r="E576" i="24"/>
  <c r="U91" i="12"/>
  <c r="H840" i="9"/>
  <c r="T656" i="9"/>
  <c r="T635" i="9"/>
  <c r="T638" i="9"/>
  <c r="T710" i="9"/>
  <c r="E638" i="9"/>
  <c r="E710" i="9"/>
  <c r="E635" i="9"/>
  <c r="E656" i="9"/>
  <c r="F691" i="9"/>
  <c r="F688" i="9"/>
  <c r="U449" i="7"/>
  <c r="U446" i="7"/>
  <c r="K641" i="24"/>
  <c r="N275" i="24"/>
  <c r="N266" i="24"/>
  <c r="N278" i="24"/>
  <c r="N329" i="24"/>
  <c r="N332" i="24"/>
  <c r="K197" i="24"/>
  <c r="K233" i="24"/>
  <c r="K224" i="24"/>
  <c r="K236" i="24"/>
  <c r="P144" i="24"/>
  <c r="P156" i="24"/>
  <c r="P207" i="24"/>
  <c r="P210" i="24"/>
  <c r="P153" i="24"/>
  <c r="H940" i="24"/>
  <c r="H931" i="24"/>
  <c r="H943" i="24"/>
  <c r="M967" i="24"/>
  <c r="M970" i="24"/>
  <c r="J681" i="24"/>
  <c r="J672" i="24"/>
  <c r="J684" i="24"/>
  <c r="R586" i="24"/>
  <c r="R589" i="24"/>
  <c r="G573" i="24"/>
  <c r="G576" i="24"/>
  <c r="G519" i="24"/>
  <c r="G510" i="24"/>
  <c r="G522" i="24"/>
  <c r="B396" i="24"/>
  <c r="B387" i="24"/>
  <c r="B399" i="24"/>
  <c r="C34" i="24"/>
  <c r="C434" i="24" s="1"/>
  <c r="C420" i="24" s="1"/>
  <c r="B28" i="27"/>
  <c r="H703" i="9"/>
  <c r="H663" i="9"/>
  <c r="H717" i="9"/>
  <c r="K662" i="9"/>
  <c r="K716" i="9"/>
  <c r="Q696" i="9"/>
  <c r="Q675" i="9"/>
  <c r="Q678" i="9"/>
  <c r="E702" i="9"/>
  <c r="S648" i="9"/>
  <c r="S651" i="9"/>
  <c r="S723" i="9"/>
  <c r="L738" i="9"/>
  <c r="C390" i="9"/>
  <c r="C414" i="9"/>
  <c r="C468" i="9"/>
  <c r="S662" i="9"/>
  <c r="S742" i="9" s="1"/>
  <c r="S716" i="9"/>
  <c r="M638" i="9"/>
  <c r="M710" i="9"/>
  <c r="M635" i="9"/>
  <c r="M656" i="9"/>
  <c r="M663" i="9"/>
  <c r="M743" i="9" s="1"/>
  <c r="M717" i="9"/>
  <c r="D663" i="9"/>
  <c r="D743" i="9" s="1"/>
  <c r="D717" i="9"/>
  <c r="O656" i="9"/>
  <c r="O635" i="9"/>
  <c r="O638" i="9"/>
  <c r="O710" i="9"/>
  <c r="C426" i="9"/>
  <c r="C432" i="9"/>
  <c r="C458" i="9" s="1"/>
  <c r="C450" i="9"/>
  <c r="M403" i="7"/>
  <c r="G80" i="26"/>
  <c r="D565" i="9"/>
  <c r="D441" i="9"/>
  <c r="D443" i="9" s="1"/>
  <c r="R691" i="9"/>
  <c r="R688" i="9"/>
  <c r="O717" i="9"/>
  <c r="O663" i="9"/>
  <c r="O743" i="9" s="1"/>
  <c r="R814" i="9"/>
  <c r="R823" i="9"/>
  <c r="R826" i="9"/>
  <c r="R853" i="9"/>
  <c r="R850" i="9"/>
  <c r="N864" i="9"/>
  <c r="M449" i="7"/>
  <c r="M446" i="7"/>
  <c r="R462" i="7"/>
  <c r="C450" i="7"/>
  <c r="E459" i="7" s="1"/>
  <c r="C462" i="7"/>
  <c r="C459" i="7"/>
  <c r="R522" i="24"/>
  <c r="F510" i="24"/>
  <c r="K346" i="24"/>
  <c r="K358" i="24"/>
  <c r="K319" i="24"/>
  <c r="K355" i="24"/>
  <c r="I210" i="24"/>
  <c r="K940" i="24"/>
  <c r="G967" i="24"/>
  <c r="G970" i="24"/>
  <c r="N861" i="24"/>
  <c r="K944" i="24"/>
  <c r="K980" i="24"/>
  <c r="K971" i="24"/>
  <c r="K983" i="24"/>
  <c r="E278" i="24"/>
  <c r="S708" i="24"/>
  <c r="S711" i="24"/>
  <c r="H695" i="24"/>
  <c r="H698" i="24"/>
  <c r="H641" i="24"/>
  <c r="H632" i="24"/>
  <c r="H644" i="24"/>
  <c r="S573" i="24"/>
  <c r="S576" i="24"/>
  <c r="S519" i="24"/>
  <c r="S510" i="24"/>
  <c r="S522" i="24"/>
  <c r="C573" i="24"/>
  <c r="C576" i="24"/>
  <c r="C519" i="24"/>
  <c r="C510" i="24"/>
  <c r="C522" i="24"/>
  <c r="L329" i="24"/>
  <c r="L332" i="24"/>
  <c r="L275" i="24"/>
  <c r="L266" i="24"/>
  <c r="L278" i="24"/>
  <c r="C7" i="18"/>
  <c r="B170" i="26"/>
  <c r="K41" i="16"/>
  <c r="AR1399" i="24"/>
  <c r="X1399" i="24"/>
  <c r="X1407" i="24"/>
  <c r="X1392" i="24"/>
  <c r="AJ1399" i="24"/>
  <c r="AJ1407" i="24"/>
  <c r="AJ1409" i="24" s="1"/>
  <c r="AJ1392" i="24"/>
  <c r="AJ1394" i="24" s="1"/>
  <c r="AF1399" i="24"/>
  <c r="AF1407" i="24"/>
  <c r="AF1392" i="24"/>
  <c r="L41" i="16"/>
  <c r="AS1399" i="24"/>
  <c r="AC1399" i="24"/>
  <c r="AC1392" i="24"/>
  <c r="AC1407" i="24"/>
  <c r="M1399" i="24"/>
  <c r="M1392" i="24"/>
  <c r="M1407" i="24"/>
  <c r="Y41" i="16"/>
  <c r="BC1399" i="24"/>
  <c r="D41" i="16"/>
  <c r="AM1399" i="24"/>
  <c r="W1407" i="24"/>
  <c r="W1392" i="24"/>
  <c r="W1399" i="24"/>
  <c r="G1407" i="24"/>
  <c r="G1392" i="24"/>
  <c r="G1399" i="24"/>
  <c r="S41" i="16"/>
  <c r="AX1399" i="24"/>
  <c r="AH1392" i="24"/>
  <c r="AH1407" i="24"/>
  <c r="AH1399" i="24"/>
  <c r="R1392" i="24"/>
  <c r="R1407" i="24"/>
  <c r="R1399" i="24"/>
  <c r="B1392" i="24"/>
  <c r="B1407" i="24"/>
  <c r="B1399" i="24"/>
  <c r="H702" i="9"/>
  <c r="P714" i="9"/>
  <c r="P660" i="9"/>
  <c r="P740" i="9" s="1"/>
  <c r="H738" i="9"/>
  <c r="P651" i="9"/>
  <c r="P723" i="9"/>
  <c r="P648" i="9"/>
  <c r="P662" i="9"/>
  <c r="P742" i="9" s="1"/>
  <c r="P716" i="9"/>
  <c r="D702" i="9"/>
  <c r="J853" i="9"/>
  <c r="J850" i="9"/>
  <c r="M696" i="9"/>
  <c r="M675" i="9"/>
  <c r="M678" i="9"/>
  <c r="C319" i="9"/>
  <c r="L656" i="9"/>
  <c r="L736" i="9" s="1"/>
  <c r="L635" i="9"/>
  <c r="L638" i="9"/>
  <c r="L710" i="9"/>
  <c r="C419" i="9"/>
  <c r="C499" i="9" s="1"/>
  <c r="C473" i="9"/>
  <c r="D548" i="9"/>
  <c r="D554" i="9"/>
  <c r="D572" i="9"/>
  <c r="D424" i="9"/>
  <c r="D508" i="9"/>
  <c r="E506" i="9"/>
  <c r="D514" i="9"/>
  <c r="D532" i="9"/>
  <c r="D586" i="9"/>
  <c r="E546" i="9"/>
  <c r="D384" i="9"/>
  <c r="F853" i="9"/>
  <c r="F850" i="9"/>
  <c r="S450" i="7"/>
  <c r="S462" i="7"/>
  <c r="S459" i="7"/>
  <c r="Q708" i="24"/>
  <c r="Q711" i="24"/>
  <c r="E971" i="24"/>
  <c r="E983" i="24"/>
  <c r="E944" i="24"/>
  <c r="E980" i="24"/>
  <c r="P586" i="24"/>
  <c r="P589" i="24"/>
  <c r="G903" i="24"/>
  <c r="B360" i="7"/>
  <c r="B373" i="7"/>
  <c r="B42" i="14"/>
  <c r="B86" i="14"/>
  <c r="B66" i="22"/>
  <c r="B74" i="22"/>
  <c r="D147" i="22"/>
  <c r="D270" i="22"/>
  <c r="C106" i="22"/>
  <c r="C119" i="22"/>
  <c r="D160" i="22"/>
  <c r="D283" i="22"/>
  <c r="B365" i="22"/>
  <c r="B351" i="22"/>
  <c r="B70" i="22"/>
  <c r="B379" i="22"/>
  <c r="A86" i="26"/>
  <c r="B479" i="11"/>
  <c r="B1070" i="24"/>
  <c r="B1076" i="24"/>
  <c r="B57" i="13"/>
  <c r="E967" i="24"/>
  <c r="E970" i="24"/>
  <c r="O573" i="24"/>
  <c r="O576" i="24"/>
  <c r="O519" i="24"/>
  <c r="O510" i="24"/>
  <c r="O522" i="24"/>
  <c r="M193" i="24"/>
  <c r="M184" i="24"/>
  <c r="M233" i="24" s="1"/>
  <c r="M196" i="24"/>
  <c r="S234" i="24"/>
  <c r="S1414" i="24"/>
  <c r="B42" i="16"/>
  <c r="AK1393" i="24" s="1"/>
  <c r="Q1408" i="24"/>
  <c r="Q1393" i="24"/>
  <c r="AC1408" i="24"/>
  <c r="AC1393" i="24"/>
  <c r="G42" i="16"/>
  <c r="G32" i="16"/>
  <c r="X42" i="16"/>
  <c r="BB1393" i="24" s="1"/>
  <c r="X32" i="16"/>
  <c r="BB1408" i="24" s="1"/>
  <c r="C42" i="16"/>
  <c r="V1393" i="24"/>
  <c r="V1408" i="24"/>
  <c r="F1393" i="24"/>
  <c r="F1408" i="24"/>
  <c r="P42" i="16"/>
  <c r="AV1393" i="24" s="1"/>
  <c r="P32" i="16"/>
  <c r="AV1408" i="24" s="1"/>
  <c r="AF1408" i="24"/>
  <c r="AF1393" i="24"/>
  <c r="P1408" i="24"/>
  <c r="P1393" i="24"/>
  <c r="I32" i="16"/>
  <c r="AQ1408" i="24" s="1"/>
  <c r="I42" i="16"/>
  <c r="AQ1393" i="24" s="1"/>
  <c r="AA1393" i="24"/>
  <c r="AA1408" i="24"/>
  <c r="K1393" i="24"/>
  <c r="K1408" i="24"/>
  <c r="Q340" i="11"/>
  <c r="H730" i="9"/>
  <c r="K678" i="9"/>
  <c r="K675" i="9"/>
  <c r="K696" i="9"/>
  <c r="N648" i="9"/>
  <c r="N651" i="9"/>
  <c r="N723" i="9"/>
  <c r="G714" i="9"/>
  <c r="G660" i="9"/>
  <c r="G740" i="9" s="1"/>
  <c r="E729" i="9"/>
  <c r="G648" i="9"/>
  <c r="G651" i="9"/>
  <c r="G723" i="9"/>
  <c r="O714" i="9"/>
  <c r="O660" i="9"/>
  <c r="O740" i="9" s="1"/>
  <c r="B416" i="9"/>
  <c r="B496" i="9" s="1"/>
  <c r="B470" i="9"/>
  <c r="S678" i="9"/>
  <c r="S675" i="9"/>
  <c r="S696" i="9"/>
  <c r="J716" i="9"/>
  <c r="J662" i="9"/>
  <c r="J742" i="9" s="1"/>
  <c r="C613" i="9"/>
  <c r="O648" i="9"/>
  <c r="O651" i="9"/>
  <c r="O723" i="9"/>
  <c r="O678" i="9"/>
  <c r="O675" i="9"/>
  <c r="O696" i="9"/>
  <c r="B458" i="9"/>
  <c r="Q850" i="9"/>
  <c r="Q853" i="9"/>
  <c r="D823" i="9"/>
  <c r="D826" i="9"/>
  <c r="D814" i="9"/>
  <c r="J783" i="9"/>
  <c r="J786" i="9"/>
  <c r="J774" i="9"/>
  <c r="J837" i="9"/>
  <c r="J840" i="9"/>
  <c r="C259" i="9"/>
  <c r="C924" i="22"/>
  <c r="E520" i="9"/>
  <c r="D528" i="9"/>
  <c r="D600" i="9"/>
  <c r="E560" i="9"/>
  <c r="D398" i="9"/>
  <c r="Y403" i="7"/>
  <c r="P80" i="26"/>
  <c r="B361" i="9"/>
  <c r="B374" i="9" s="1"/>
  <c r="B366" i="9"/>
  <c r="B354" i="9"/>
  <c r="B458" i="24"/>
  <c r="S823" i="9"/>
  <c r="I826" i="9"/>
  <c r="I814" i="9"/>
  <c r="I823" i="9"/>
  <c r="O858" i="9"/>
  <c r="E550" i="9"/>
  <c r="D512" i="9"/>
  <c r="E510" i="9"/>
  <c r="D536" i="9"/>
  <c r="D590" i="9"/>
  <c r="D388" i="9"/>
  <c r="C526" i="9"/>
  <c r="C529" i="9"/>
  <c r="C601" i="9"/>
  <c r="D521" i="9"/>
  <c r="E519" i="9"/>
  <c r="D527" i="9"/>
  <c r="D599" i="9"/>
  <c r="E559" i="9"/>
  <c r="D397" i="9"/>
  <c r="M433" i="7"/>
  <c r="J450" i="7"/>
  <c r="C404" i="7"/>
  <c r="B81" i="26" s="1"/>
  <c r="C407" i="7"/>
  <c r="B77" i="26"/>
  <c r="I576" i="24"/>
  <c r="K970" i="24"/>
  <c r="E573" i="24"/>
  <c r="J641" i="24"/>
  <c r="J632" i="24"/>
  <c r="J644" i="24"/>
  <c r="J695" i="24"/>
  <c r="J698" i="24"/>
  <c r="Q967" i="24"/>
  <c r="Q970" i="24"/>
  <c r="H688" i="9"/>
  <c r="H691" i="9"/>
  <c r="H656" i="9"/>
  <c r="H635" i="9"/>
  <c r="H638" i="9"/>
  <c r="H710" i="9"/>
  <c r="N635" i="9"/>
  <c r="N638" i="9"/>
  <c r="N710" i="9"/>
  <c r="N656" i="9"/>
  <c r="N736" i="9" s="1"/>
  <c r="Q691" i="9"/>
  <c r="Q688" i="9"/>
  <c r="Q716" i="9"/>
  <c r="Q662" i="9"/>
  <c r="Q742" i="9" s="1"/>
  <c r="E663" i="9"/>
  <c r="E743" i="9" s="1"/>
  <c r="E717" i="9"/>
  <c r="D688" i="9"/>
  <c r="D691" i="9"/>
  <c r="M319" i="24"/>
  <c r="M355" i="24"/>
  <c r="M346" i="24"/>
  <c r="M358" i="24"/>
  <c r="P695" i="24"/>
  <c r="P698" i="24"/>
  <c r="P641" i="24"/>
  <c r="P632" i="24"/>
  <c r="P644" i="24"/>
  <c r="F396" i="24"/>
  <c r="F387" i="24"/>
  <c r="F399" i="24"/>
  <c r="B315" i="24"/>
  <c r="B306" i="24"/>
  <c r="B318" i="24"/>
  <c r="D329" i="24"/>
  <c r="D332" i="24"/>
  <c r="D275" i="24"/>
  <c r="D266" i="24"/>
  <c r="D278" i="24"/>
  <c r="B97" i="24"/>
  <c r="T688" i="9"/>
  <c r="T691" i="9"/>
  <c r="Q638" i="9"/>
  <c r="Q710" i="9"/>
  <c r="Q635" i="9"/>
  <c r="Q656" i="9"/>
  <c r="Q736" i="9" s="1"/>
  <c r="Q663" i="9"/>
  <c r="Q743" i="9" s="1"/>
  <c r="Q717" i="9"/>
  <c r="D651" i="9"/>
  <c r="D723" i="9"/>
  <c r="D648" i="9"/>
  <c r="J717" i="9"/>
  <c r="J663" i="9"/>
  <c r="J743" i="9" s="1"/>
  <c r="J696" i="9"/>
  <c r="J678" i="9"/>
  <c r="J675" i="9"/>
  <c r="D662" i="9"/>
  <c r="D716" i="9"/>
  <c r="S712" i="24"/>
  <c r="S724" i="24"/>
  <c r="S685" i="24"/>
  <c r="S721" i="24"/>
  <c r="C712" i="24"/>
  <c r="C724" i="24"/>
  <c r="C685" i="24"/>
  <c r="C721" i="24"/>
  <c r="J275" i="24"/>
  <c r="J266" i="24"/>
  <c r="J278" i="24"/>
  <c r="J329" i="24"/>
  <c r="J332" i="24"/>
  <c r="P228" i="24"/>
  <c r="A160" i="26"/>
  <c r="G708" i="24"/>
  <c r="G711" i="24"/>
  <c r="R396" i="24"/>
  <c r="R387" i="24"/>
  <c r="R399" i="24"/>
  <c r="N315" i="24"/>
  <c r="N306" i="24"/>
  <c r="N318" i="24"/>
  <c r="E193" i="24"/>
  <c r="E184" i="24"/>
  <c r="E197" i="24" s="1"/>
  <c r="E196" i="24"/>
  <c r="C29" i="24"/>
  <c r="AP27" i="27"/>
  <c r="E91" i="12"/>
  <c r="H729" i="9"/>
  <c r="T735" i="9"/>
  <c r="K656" i="9"/>
  <c r="K736" i="9" s="1"/>
  <c r="K635" i="9"/>
  <c r="K638" i="9"/>
  <c r="K710" i="9"/>
  <c r="J738" i="9"/>
  <c r="E696" i="9"/>
  <c r="E675" i="9"/>
  <c r="E678" i="9"/>
  <c r="G688" i="9"/>
  <c r="G691" i="9"/>
  <c r="C454" i="9"/>
  <c r="C430" i="9"/>
  <c r="C456" i="9" s="1"/>
  <c r="S656" i="9"/>
  <c r="S736" i="9" s="1"/>
  <c r="S635" i="9"/>
  <c r="S638" i="9"/>
  <c r="S710" i="9"/>
  <c r="G702" i="9"/>
  <c r="E551" i="9"/>
  <c r="E511" i="9"/>
  <c r="D537" i="9"/>
  <c r="D591" i="9"/>
  <c r="D389" i="9"/>
  <c r="I691" i="9"/>
  <c r="I688" i="9"/>
  <c r="K853" i="9"/>
  <c r="K850" i="9"/>
  <c r="E850" i="9"/>
  <c r="E853" i="9"/>
  <c r="H823" i="9"/>
  <c r="H826" i="9"/>
  <c r="H814" i="9"/>
  <c r="F783" i="9"/>
  <c r="F786" i="9"/>
  <c r="F774" i="9"/>
  <c r="F837" i="9"/>
  <c r="F840" i="9"/>
  <c r="Q449" i="7"/>
  <c r="Q446" i="7"/>
  <c r="U403" i="7"/>
  <c r="M80" i="26"/>
  <c r="B404" i="7"/>
  <c r="B407" i="7"/>
  <c r="A77" i="26"/>
  <c r="R702" i="9"/>
  <c r="C271" i="9"/>
  <c r="C927" i="22"/>
  <c r="U433" i="7"/>
  <c r="R450" i="7"/>
  <c r="P1453" i="24"/>
  <c r="R510" i="24"/>
  <c r="F519" i="24"/>
  <c r="B510" i="24"/>
  <c r="G346" i="24"/>
  <c r="G358" i="24"/>
  <c r="G319" i="24"/>
  <c r="G355" i="24"/>
  <c r="E236" i="24"/>
  <c r="N849" i="24"/>
  <c r="Q318" i="24"/>
  <c r="D550" i="24"/>
  <c r="D599" i="24" s="1"/>
  <c r="O197" i="24"/>
  <c r="O233" i="24"/>
  <c r="O224" i="24"/>
  <c r="O236" i="24"/>
  <c r="E275" i="24"/>
  <c r="E266" i="24"/>
  <c r="J954" i="24"/>
  <c r="J957" i="24"/>
  <c r="J900" i="24"/>
  <c r="J891" i="24"/>
  <c r="J903" i="24"/>
  <c r="Q559" i="24"/>
  <c r="Q550" i="24"/>
  <c r="Q562" i="24"/>
  <c r="N396" i="24"/>
  <c r="N387" i="24"/>
  <c r="N399" i="24"/>
  <c r="Q193" i="24"/>
  <c r="Q184" i="24"/>
  <c r="Q197" i="24" s="1"/>
  <c r="Q196" i="24"/>
  <c r="J220" i="24"/>
  <c r="J223" i="24"/>
  <c r="J156" i="24"/>
  <c r="J153" i="24"/>
  <c r="J144" i="24"/>
  <c r="L1432" i="24"/>
  <c r="AB1399" i="24"/>
  <c r="AB1407" i="24"/>
  <c r="AB1392" i="24"/>
  <c r="H1399" i="24"/>
  <c r="H1407" i="24"/>
  <c r="H1392" i="24"/>
  <c r="T1399" i="24"/>
  <c r="T1407" i="24"/>
  <c r="T1409" i="24" s="1"/>
  <c r="T1392" i="24"/>
  <c r="T1394" i="24" s="1"/>
  <c r="P1399" i="24"/>
  <c r="P1407" i="24"/>
  <c r="P1392" i="24"/>
  <c r="G41" i="16"/>
  <c r="AO1399" i="24"/>
  <c r="Y1399" i="24"/>
  <c r="Y1392" i="24"/>
  <c r="Y1407" i="24"/>
  <c r="I1399" i="24"/>
  <c r="I1392" i="24"/>
  <c r="I1407" i="24"/>
  <c r="T41" i="16"/>
  <c r="AY1399" i="24"/>
  <c r="AI1407" i="24"/>
  <c r="AI1392" i="24"/>
  <c r="AI1399" i="24"/>
  <c r="S1407" i="24"/>
  <c r="S1392" i="24"/>
  <c r="S1399" i="24"/>
  <c r="C1407" i="24"/>
  <c r="C1392" i="24"/>
  <c r="C1399" i="24"/>
  <c r="M41" i="16"/>
  <c r="AT1399" i="24"/>
  <c r="AD1392" i="24"/>
  <c r="AD1407" i="24"/>
  <c r="AD1399" i="24"/>
  <c r="N1392" i="24"/>
  <c r="N1407" i="24"/>
  <c r="N1399" i="24"/>
  <c r="X36" i="16"/>
  <c r="O36" i="16"/>
  <c r="G36" i="16"/>
  <c r="L36" i="16"/>
  <c r="D36" i="16"/>
  <c r="P46" i="16"/>
  <c r="P31" i="16" s="1"/>
  <c r="E46" i="16"/>
  <c r="C36" i="16"/>
  <c r="B46" i="16"/>
  <c r="Q46" i="16"/>
  <c r="Q31" i="16" s="1"/>
  <c r="G46" i="16"/>
  <c r="Y36" i="16"/>
  <c r="Y46" i="16"/>
  <c r="M36" i="16"/>
  <c r="M46" i="16"/>
  <c r="M31" i="16" s="1"/>
  <c r="L46" i="16"/>
  <c r="L31" i="16" s="1"/>
  <c r="K36" i="16"/>
  <c r="D46" i="16"/>
  <c r="D31" i="16" s="1"/>
  <c r="U46" i="16"/>
  <c r="T36" i="16"/>
  <c r="P36" i="16"/>
  <c r="B36" i="16"/>
  <c r="H46" i="16"/>
  <c r="S46" i="16"/>
  <c r="K46" i="16"/>
  <c r="W36" i="16"/>
  <c r="T46" i="16"/>
  <c r="T31" i="16" s="1"/>
  <c r="X46" i="16"/>
  <c r="O46" i="16"/>
  <c r="E36" i="16"/>
  <c r="C46" i="16"/>
  <c r="C31" i="16" s="1"/>
  <c r="Q36" i="16"/>
  <c r="H36" i="16"/>
  <c r="S36" i="16"/>
  <c r="I36" i="16"/>
  <c r="I46" i="16"/>
  <c r="W46" i="16"/>
  <c r="U36" i="16"/>
  <c r="Y340" i="11"/>
  <c r="T702" i="9"/>
  <c r="H675" i="9"/>
  <c r="H678" i="9"/>
  <c r="H696" i="9"/>
  <c r="T714" i="9"/>
  <c r="T660" i="9"/>
  <c r="T740" i="9" s="1"/>
  <c r="P738" i="9"/>
  <c r="K717" i="9"/>
  <c r="K663" i="9"/>
  <c r="K743" i="9" s="1"/>
  <c r="K727" i="9"/>
  <c r="K700" i="9"/>
  <c r="J691" i="9"/>
  <c r="J688" i="9"/>
  <c r="P656" i="9"/>
  <c r="P635" i="9"/>
  <c r="P638" i="9"/>
  <c r="P710" i="9"/>
  <c r="D675" i="9"/>
  <c r="D678" i="9"/>
  <c r="D696" i="9"/>
  <c r="B404" i="9"/>
  <c r="B407" i="9"/>
  <c r="B479" i="9"/>
  <c r="R717" i="9"/>
  <c r="R663" i="9"/>
  <c r="R743" i="9" s="1"/>
  <c r="C307" i="9"/>
  <c r="C513" i="9"/>
  <c r="C516" i="9"/>
  <c r="C534" i="9"/>
  <c r="C588" i="9"/>
  <c r="E433" i="7"/>
  <c r="I672" i="24"/>
  <c r="I724" i="24" s="1"/>
  <c r="M708" i="24"/>
  <c r="M711" i="24"/>
  <c r="Q891" i="24"/>
  <c r="M903" i="24"/>
  <c r="E900" i="24"/>
  <c r="M519" i="24"/>
  <c r="M510" i="24"/>
  <c r="M522" i="24"/>
  <c r="M573" i="24"/>
  <c r="M576" i="24"/>
  <c r="E318" i="24"/>
  <c r="L197" i="24"/>
  <c r="L233" i="24"/>
  <c r="L224" i="24"/>
  <c r="L236" i="24"/>
  <c r="H562" i="24"/>
  <c r="L586" i="24"/>
  <c r="L589" i="24"/>
  <c r="F1414" i="24"/>
  <c r="G900" i="24"/>
  <c r="G891" i="24"/>
  <c r="Q278" i="24"/>
  <c r="B480" i="11"/>
  <c r="B1077" i="24"/>
  <c r="B483" i="11"/>
  <c r="B1074" i="24"/>
  <c r="B23" i="14"/>
  <c r="B1215" i="24"/>
  <c r="B1221" i="24"/>
  <c r="C52" i="13"/>
  <c r="C56" i="13"/>
  <c r="C95" i="14"/>
  <c r="C99" i="14"/>
  <c r="C96" i="14"/>
  <c r="C100" i="14"/>
  <c r="C51" i="13"/>
  <c r="C55" i="13"/>
  <c r="C1069" i="24"/>
  <c r="C1214" i="24"/>
  <c r="E12" i="24"/>
  <c r="C1068" i="24"/>
  <c r="C1213" i="24"/>
  <c r="C1073" i="24"/>
  <c r="C484" i="11" s="1"/>
  <c r="C1218" i="24"/>
  <c r="C28" i="14" s="1"/>
  <c r="D9" i="24"/>
  <c r="C1072" i="24"/>
  <c r="C1217" i="24"/>
  <c r="B53" i="13"/>
  <c r="B59" i="13"/>
  <c r="B932" i="22"/>
  <c r="H1414" i="24"/>
  <c r="G858" i="24"/>
  <c r="G849" i="24"/>
  <c r="G861" i="24"/>
  <c r="B681" i="24"/>
  <c r="B672" i="24"/>
  <c r="B684" i="24"/>
  <c r="D695" i="24"/>
  <c r="D698" i="24"/>
  <c r="D641" i="24"/>
  <c r="D632" i="24"/>
  <c r="D644" i="24"/>
  <c r="J396" i="24"/>
  <c r="J387" i="24"/>
  <c r="J399" i="24"/>
  <c r="F220" i="24"/>
  <c r="F223" i="24"/>
  <c r="F153" i="24"/>
  <c r="F144" i="24"/>
  <c r="F156" i="24"/>
  <c r="U1408" i="24"/>
  <c r="U1393" i="24"/>
  <c r="M1408" i="24"/>
  <c r="M1393" i="24"/>
  <c r="Y1408" i="24"/>
  <c r="Y1393" i="24"/>
  <c r="S42" i="16"/>
  <c r="S32" i="16"/>
  <c r="AH1393" i="24"/>
  <c r="AH1408" i="24"/>
  <c r="R1393" i="24"/>
  <c r="R1408" i="24"/>
  <c r="B1393" i="24"/>
  <c r="B1408" i="24"/>
  <c r="K42" i="16"/>
  <c r="K32" i="16"/>
  <c r="AB1408" i="24"/>
  <c r="AB1393" i="24"/>
  <c r="L1408" i="24"/>
  <c r="L1393" i="24"/>
  <c r="Y32" i="16"/>
  <c r="BC1408" i="24" s="1"/>
  <c r="Y42" i="16"/>
  <c r="BC1393" i="24" s="1"/>
  <c r="D42" i="16"/>
  <c r="AM1393" i="24" s="1"/>
  <c r="D32" i="16"/>
  <c r="AM1408" i="24" s="1"/>
  <c r="W1393" i="24"/>
  <c r="W1408" i="24"/>
  <c r="G1393" i="24"/>
  <c r="G1408" i="24"/>
  <c r="Q660" i="9"/>
  <c r="Q740" i="9" s="1"/>
  <c r="Q714" i="9"/>
  <c r="E738" i="9"/>
  <c r="P727" i="9"/>
  <c r="K702" i="9"/>
  <c r="K714" i="9"/>
  <c r="K660" i="9"/>
  <c r="G738" i="9"/>
  <c r="Q729" i="9"/>
  <c r="E648" i="9"/>
  <c r="E651" i="9"/>
  <c r="E723" i="9"/>
  <c r="Q826" i="9"/>
  <c r="Q786" i="9"/>
  <c r="S688" i="9"/>
  <c r="S691" i="9"/>
  <c r="J635" i="9"/>
  <c r="J638" i="9"/>
  <c r="J710" i="9"/>
  <c r="J656" i="9"/>
  <c r="J736" i="9" s="1"/>
  <c r="G662" i="9"/>
  <c r="G742" i="9" s="1"/>
  <c r="G716" i="9"/>
  <c r="D850" i="9"/>
  <c r="D853" i="9"/>
  <c r="C541" i="9"/>
  <c r="C621" i="9" s="1"/>
  <c r="C595" i="9"/>
  <c r="B318" i="9"/>
  <c r="B321" i="9"/>
  <c r="O702" i="9"/>
  <c r="L735" i="9"/>
  <c r="F716" i="9"/>
  <c r="F662" i="9"/>
  <c r="B332" i="9"/>
  <c r="B418" i="9"/>
  <c r="B498" i="9" s="1"/>
  <c r="B472" i="9"/>
  <c r="B431" i="9"/>
  <c r="B434" i="9"/>
  <c r="B452" i="9"/>
  <c r="P688" i="9"/>
  <c r="P691" i="9"/>
  <c r="L823" i="9"/>
  <c r="L814" i="9"/>
  <c r="L826" i="9"/>
  <c r="R858" i="9"/>
  <c r="K826" i="9"/>
  <c r="C774" i="9"/>
  <c r="C840" i="9"/>
  <c r="C783" i="9"/>
  <c r="C786" i="9"/>
  <c r="C837" i="9"/>
  <c r="D568" i="9"/>
  <c r="D438" i="9"/>
  <c r="D446" i="9" s="1"/>
  <c r="N459" i="7"/>
  <c r="O450" i="7"/>
  <c r="Q459" i="7" s="1"/>
  <c r="O462" i="7"/>
  <c r="O459" i="7"/>
  <c r="I406" i="7"/>
  <c r="O345" i="2"/>
  <c r="L24" i="15"/>
  <c r="M24" i="15" s="1"/>
  <c r="R120" i="27"/>
  <c r="L729" i="9"/>
  <c r="C439" i="9"/>
  <c r="S814" i="9"/>
  <c r="S827" i="9" s="1"/>
  <c r="D576" i="9"/>
  <c r="D552" i="9"/>
  <c r="D578" i="9" s="1"/>
  <c r="D428" i="9"/>
  <c r="C538" i="9"/>
  <c r="C618" i="9" s="1"/>
  <c r="C592" i="9"/>
  <c r="D561" i="9"/>
  <c r="D567" i="9"/>
  <c r="D437" i="9"/>
  <c r="C267" i="9"/>
  <c r="C914" i="22"/>
  <c r="C465" i="24"/>
  <c r="C255" i="9"/>
  <c r="C911" i="22"/>
  <c r="C453" i="24"/>
  <c r="J459" i="7"/>
  <c r="H944" i="24"/>
  <c r="H980" i="24"/>
  <c r="H971" i="24"/>
  <c r="H983" i="24"/>
  <c r="O970" i="24"/>
  <c r="B319" i="24"/>
  <c r="B355" i="24"/>
  <c r="B346" i="24"/>
  <c r="B358" i="24"/>
  <c r="K967" i="24"/>
  <c r="L944" i="24"/>
  <c r="L980" i="24"/>
  <c r="L971" i="24"/>
  <c r="L983" i="24"/>
  <c r="Y91" i="12"/>
  <c r="N224" i="24"/>
  <c r="N236" i="24"/>
  <c r="N197" i="24"/>
  <c r="N233" i="24"/>
  <c r="R641" i="24"/>
  <c r="R632" i="24"/>
  <c r="R644" i="24"/>
  <c r="R695" i="24"/>
  <c r="R698" i="24"/>
  <c r="B641" i="24"/>
  <c r="B632" i="24"/>
  <c r="B644" i="24"/>
  <c r="B695" i="24"/>
  <c r="B698" i="24"/>
  <c r="M342" i="24"/>
  <c r="M345" i="24"/>
  <c r="H184" i="24"/>
  <c r="H224" i="24" s="1"/>
  <c r="G197" i="24"/>
  <c r="G233" i="24"/>
  <c r="G224" i="24"/>
  <c r="G236" i="24"/>
  <c r="S944" i="24"/>
  <c r="S980" i="24"/>
  <c r="S971" i="24"/>
  <c r="S983" i="24"/>
  <c r="H563" i="24"/>
  <c r="H599" i="24"/>
  <c r="H590" i="24"/>
  <c r="H602" i="24"/>
  <c r="D84" i="24"/>
  <c r="D87" i="24"/>
  <c r="D92" i="24"/>
  <c r="B31" i="24"/>
  <c r="B37" i="24"/>
  <c r="B429" i="24"/>
  <c r="R954" i="24"/>
  <c r="R957" i="24"/>
  <c r="R900" i="24"/>
  <c r="R891" i="24"/>
  <c r="R903" i="24"/>
  <c r="B954" i="24"/>
  <c r="B957" i="24"/>
  <c r="B900" i="24"/>
  <c r="B891" i="24"/>
  <c r="B903" i="24"/>
  <c r="C858" i="24"/>
  <c r="C849" i="24"/>
  <c r="C861" i="24"/>
  <c r="I559" i="24"/>
  <c r="I550" i="24"/>
  <c r="I563" i="24" s="1"/>
  <c r="I562" i="24"/>
  <c r="R315" i="24"/>
  <c r="R306" i="24"/>
  <c r="R319" i="24" s="1"/>
  <c r="R318" i="24"/>
  <c r="O342" i="24"/>
  <c r="O345" i="24"/>
  <c r="I193" i="24"/>
  <c r="I184" i="24"/>
  <c r="I233" i="24" s="1"/>
  <c r="I196" i="24"/>
  <c r="R220" i="24"/>
  <c r="R223" i="24"/>
  <c r="R153" i="24"/>
  <c r="R144" i="24"/>
  <c r="R156" i="24"/>
  <c r="B220" i="24"/>
  <c r="B223" i="24"/>
  <c r="B153" i="24"/>
  <c r="B144" i="24"/>
  <c r="B156" i="24"/>
  <c r="M94" i="12"/>
  <c r="M91" i="12"/>
  <c r="K688" i="9"/>
  <c r="K691" i="9"/>
  <c r="E691" i="9"/>
  <c r="E688" i="9"/>
  <c r="C403" i="9"/>
  <c r="C483" i="9" s="1"/>
  <c r="C481" i="9"/>
  <c r="J648" i="9"/>
  <c r="J651" i="9"/>
  <c r="J723" i="9"/>
  <c r="F660" i="9"/>
  <c r="F740" i="9" s="1"/>
  <c r="F714" i="9"/>
  <c r="P675" i="9"/>
  <c r="P678" i="9"/>
  <c r="P696" i="9"/>
  <c r="D656" i="9"/>
  <c r="D736" i="9" s="1"/>
  <c r="D635" i="9"/>
  <c r="D638" i="9"/>
  <c r="D710" i="9"/>
  <c r="I648" i="9"/>
  <c r="I651" i="9"/>
  <c r="I723" i="9"/>
  <c r="F717" i="9"/>
  <c r="F663" i="9"/>
  <c r="F743" i="9" s="1"/>
  <c r="B419" i="9"/>
  <c r="B499" i="9" s="1"/>
  <c r="B473" i="9"/>
  <c r="P774" i="9"/>
  <c r="P786" i="9"/>
  <c r="P837" i="9"/>
  <c r="P783" i="9"/>
  <c r="P840" i="9"/>
  <c r="E524" i="9"/>
  <c r="D604" i="9"/>
  <c r="E564" i="9"/>
  <c r="E442" i="9" s="1"/>
  <c r="D402" i="9"/>
  <c r="D482" i="9" s="1"/>
  <c r="Q224" i="24"/>
  <c r="Q236" i="24"/>
  <c r="O712" i="24"/>
  <c r="O724" i="24"/>
  <c r="O685" i="24"/>
  <c r="O721" i="24"/>
  <c r="K644" i="24"/>
  <c r="F275" i="24"/>
  <c r="F266" i="24"/>
  <c r="F278" i="24"/>
  <c r="F329" i="24"/>
  <c r="F332" i="24"/>
  <c r="I278" i="24"/>
  <c r="B434" i="24"/>
  <c r="N954" i="24"/>
  <c r="N957" i="24"/>
  <c r="N900" i="24"/>
  <c r="N891" i="24"/>
  <c r="N903" i="24"/>
  <c r="L695" i="24"/>
  <c r="L698" i="24"/>
  <c r="L641" i="24"/>
  <c r="L632" i="24"/>
  <c r="L644" i="24"/>
  <c r="K342" i="24"/>
  <c r="K345" i="24"/>
  <c r="N220" i="24"/>
  <c r="N223" i="24"/>
  <c r="H34" i="2"/>
  <c r="H32" i="2"/>
  <c r="H35" i="2"/>
  <c r="H33" i="2"/>
  <c r="B45" i="24"/>
  <c r="C33" i="24"/>
  <c r="BF27" i="27"/>
  <c r="T729" i="9"/>
  <c r="H651" i="9"/>
  <c r="H723" i="9"/>
  <c r="H648" i="9"/>
  <c r="H735" i="9"/>
  <c r="N691" i="9"/>
  <c r="N688" i="9"/>
  <c r="N700" i="9"/>
  <c r="N660" i="9"/>
  <c r="N714" i="9"/>
  <c r="I827" i="9"/>
  <c r="I863" i="9"/>
  <c r="I854" i="9"/>
  <c r="I866" i="9"/>
  <c r="B330" i="9"/>
  <c r="G678" i="9"/>
  <c r="G675" i="9"/>
  <c r="G696" i="9"/>
  <c r="D735" i="9"/>
  <c r="D577" i="9"/>
  <c r="D429" i="9"/>
  <c r="D455" i="9" s="1"/>
  <c r="R716" i="9"/>
  <c r="R662" i="9"/>
  <c r="R742" i="9" s="1"/>
  <c r="I716" i="9"/>
  <c r="I662" i="9"/>
  <c r="C324" i="9"/>
  <c r="C300" i="9"/>
  <c r="M850" i="9"/>
  <c r="M853" i="9"/>
  <c r="C553" i="9"/>
  <c r="C556" i="9"/>
  <c r="C574" i="9"/>
  <c r="P814" i="9"/>
  <c r="P823" i="9"/>
  <c r="P826" i="9"/>
  <c r="N774" i="9"/>
  <c r="N837" i="9"/>
  <c r="N783" i="9"/>
  <c r="N786" i="9"/>
  <c r="N840" i="9"/>
  <c r="Y459" i="7"/>
  <c r="Y450" i="7"/>
  <c r="Y462" i="7"/>
  <c r="G450" i="7"/>
  <c r="I459" i="7" s="1"/>
  <c r="G462" i="7"/>
  <c r="G459" i="7"/>
  <c r="L774" i="9"/>
  <c r="L786" i="9"/>
  <c r="L837" i="9"/>
  <c r="L840" i="9"/>
  <c r="L783" i="9"/>
  <c r="D525" i="9"/>
  <c r="D605" i="9" s="1"/>
  <c r="E523" i="9"/>
  <c r="D603" i="9"/>
  <c r="E563" i="9"/>
  <c r="D401" i="9"/>
  <c r="R696" i="9"/>
  <c r="R678" i="9"/>
  <c r="R675" i="9"/>
  <c r="C850" i="9"/>
  <c r="C853" i="9"/>
  <c r="F864" i="9"/>
  <c r="M774" i="9"/>
  <c r="M783" i="9"/>
  <c r="R459" i="7"/>
  <c r="R519" i="24"/>
  <c r="N590" i="24"/>
  <c r="N602" i="24"/>
  <c r="N563" i="24"/>
  <c r="N599" i="24"/>
  <c r="B519" i="24"/>
  <c r="S346" i="24"/>
  <c r="S358" i="24"/>
  <c r="S319" i="24"/>
  <c r="S355" i="24"/>
  <c r="O278" i="24"/>
  <c r="C346" i="24"/>
  <c r="C358" i="24"/>
  <c r="C319" i="24"/>
  <c r="C355" i="24"/>
  <c r="B288" i="9"/>
  <c r="E210" i="24"/>
  <c r="Q644" i="24"/>
  <c r="P522" i="24"/>
  <c r="B285" i="9"/>
  <c r="C357" i="9"/>
  <c r="B231" i="9"/>
  <c r="B38" i="24"/>
  <c r="B430" i="24"/>
  <c r="AB1414" i="24"/>
  <c r="K858" i="24"/>
  <c r="K849" i="24"/>
  <c r="K861" i="24"/>
  <c r="J315" i="24"/>
  <c r="J306" i="24"/>
  <c r="J318" i="24"/>
  <c r="Y1414" i="24"/>
  <c r="L1399" i="24"/>
  <c r="L1407" i="24"/>
  <c r="L1409" i="24" s="1"/>
  <c r="L1392" i="24"/>
  <c r="L1394" i="24" s="1"/>
  <c r="D1399" i="24"/>
  <c r="D1407" i="24"/>
  <c r="D1409" i="24" s="1"/>
  <c r="D1392" i="24"/>
  <c r="D1394" i="24" s="1"/>
  <c r="AG1432" i="24"/>
  <c r="W31" i="16"/>
  <c r="W41" i="16"/>
  <c r="BA1399" i="24"/>
  <c r="B41" i="16"/>
  <c r="B31" i="16"/>
  <c r="AK1399" i="24"/>
  <c r="U1399" i="24"/>
  <c r="U1392" i="24"/>
  <c r="U1407" i="24"/>
  <c r="E1399" i="24"/>
  <c r="E1392" i="24"/>
  <c r="E1407" i="24"/>
  <c r="O31" i="16"/>
  <c r="O41" i="16"/>
  <c r="AU1399" i="24"/>
  <c r="AE1407" i="24"/>
  <c r="AE1409" i="24" s="1"/>
  <c r="AE1392" i="24"/>
  <c r="AE1394" i="24" s="1"/>
  <c r="AE1399" i="24"/>
  <c r="O1407" i="24"/>
  <c r="O1409" i="24" s="1"/>
  <c r="O1392" i="24"/>
  <c r="O1394" i="24" s="1"/>
  <c r="O1399" i="24"/>
  <c r="H31" i="16"/>
  <c r="H41" i="16"/>
  <c r="AP1399" i="24"/>
  <c r="Z1392" i="24"/>
  <c r="Z1394" i="24" s="1"/>
  <c r="Z1407" i="24"/>
  <c r="Z1409" i="24" s="1"/>
  <c r="Z1399" i="24"/>
  <c r="J1392" i="24"/>
  <c r="J1394" i="24" s="1"/>
  <c r="J1407" i="24"/>
  <c r="J1409" i="24" s="1"/>
  <c r="J1399" i="24"/>
  <c r="D18" i="19"/>
  <c r="D1496" i="24"/>
  <c r="T675" i="9"/>
  <c r="T678" i="9"/>
  <c r="T696" i="9"/>
  <c r="K729" i="9"/>
  <c r="T738" i="9"/>
  <c r="D714" i="9"/>
  <c r="D660" i="9"/>
  <c r="D740" i="9" s="1"/>
  <c r="K735" i="9"/>
  <c r="T774" i="9"/>
  <c r="T786" i="9"/>
  <c r="T783" i="9"/>
  <c r="T837" i="9"/>
  <c r="T840" i="9"/>
  <c r="G854" i="9"/>
  <c r="G866" i="9"/>
  <c r="G827" i="9"/>
  <c r="G863" i="9"/>
  <c r="R660" i="9"/>
  <c r="R740" i="9" s="1"/>
  <c r="R714" i="9"/>
  <c r="C469" i="9"/>
  <c r="S717" i="9"/>
  <c r="S663" i="9"/>
  <c r="S743" i="9" s="1"/>
  <c r="P734" i="9"/>
  <c r="F729" i="9"/>
  <c r="R735" i="9"/>
  <c r="C465" i="9"/>
  <c r="I702" i="9"/>
  <c r="C612" i="9"/>
  <c r="I708" i="24"/>
  <c r="I711" i="24"/>
  <c r="D900" i="24"/>
  <c r="D891" i="24"/>
  <c r="D903" i="24"/>
  <c r="D954" i="24"/>
  <c r="D957" i="24"/>
  <c r="Q900" i="24"/>
  <c r="M891" i="24"/>
  <c r="I903" i="24"/>
  <c r="H586" i="24"/>
  <c r="H589" i="24"/>
  <c r="S197" i="24"/>
  <c r="S233" i="24"/>
  <c r="S224" i="24"/>
  <c r="S236" i="24"/>
  <c r="L522" i="24"/>
  <c r="B925" i="22"/>
  <c r="B938" i="22" s="1"/>
  <c r="B931" i="22"/>
  <c r="B944" i="22" s="1"/>
  <c r="Q275" i="24"/>
  <c r="Q266" i="24"/>
  <c r="B24" i="14"/>
  <c r="B1222" i="24"/>
  <c r="B27" i="14"/>
  <c r="B1219" i="24"/>
  <c r="B1423" i="24"/>
  <c r="C90" i="16" s="1"/>
  <c r="B1422" i="24"/>
  <c r="P940" i="24"/>
  <c r="P931" i="24"/>
  <c r="P971" i="24" s="1"/>
  <c r="P943" i="24"/>
  <c r="F954" i="24"/>
  <c r="F957" i="24"/>
  <c r="F900" i="24"/>
  <c r="F891" i="24"/>
  <c r="F903" i="24"/>
  <c r="R681" i="24"/>
  <c r="R672" i="24"/>
  <c r="R684" i="24"/>
  <c r="O708" i="24"/>
  <c r="O711" i="24"/>
  <c r="M559" i="24"/>
  <c r="M550" i="24"/>
  <c r="M562" i="24"/>
  <c r="F315" i="24"/>
  <c r="F306" i="24"/>
  <c r="F318" i="24"/>
  <c r="C342" i="24"/>
  <c r="C345" i="24"/>
  <c r="C234" i="24"/>
  <c r="E1408" i="24"/>
  <c r="E1393" i="24"/>
  <c r="Q32" i="16"/>
  <c r="AW1408" i="24" s="1"/>
  <c r="Q42" i="16"/>
  <c r="AW1393" i="24" s="1"/>
  <c r="I1408" i="24"/>
  <c r="I1393" i="24"/>
  <c r="M32" i="16"/>
  <c r="AT1408" i="24" s="1"/>
  <c r="M42" i="16"/>
  <c r="AT1393" i="24" s="1"/>
  <c r="AD1393" i="24"/>
  <c r="AD1408" i="24"/>
  <c r="N1393" i="24"/>
  <c r="N1408" i="24"/>
  <c r="E32" i="16"/>
  <c r="AN1408" i="24" s="1"/>
  <c r="E42" i="16"/>
  <c r="AN1393" i="24" s="1"/>
  <c r="X1408" i="24"/>
  <c r="X1393" i="24"/>
  <c r="H1408" i="24"/>
  <c r="H1393" i="24"/>
  <c r="T42" i="16"/>
  <c r="AY1393" i="24" s="1"/>
  <c r="T32" i="16"/>
  <c r="AY1408" i="24" s="1"/>
  <c r="AI1393" i="24"/>
  <c r="AI1408" i="24"/>
  <c r="S1393" i="24"/>
  <c r="S1408" i="24"/>
  <c r="C1393" i="24"/>
  <c r="C1408" i="24"/>
  <c r="T730" i="9"/>
  <c r="M660" i="9"/>
  <c r="M740" i="9" s="1"/>
  <c r="M714" i="9"/>
  <c r="T727" i="9"/>
  <c r="S714" i="9"/>
  <c r="S660" i="9"/>
  <c r="S740" i="9" s="1"/>
  <c r="K738" i="9"/>
  <c r="Q648" i="9"/>
  <c r="Q651" i="9"/>
  <c r="Q723" i="9"/>
  <c r="I660" i="9"/>
  <c r="I740" i="9" s="1"/>
  <c r="I714" i="9"/>
  <c r="P703" i="9"/>
  <c r="P663" i="9"/>
  <c r="P717" i="9"/>
  <c r="J734" i="9"/>
  <c r="G656" i="9"/>
  <c r="G635" i="9"/>
  <c r="G638" i="9"/>
  <c r="G710" i="9"/>
  <c r="E814" i="9"/>
  <c r="E866" i="9" s="1"/>
  <c r="E823" i="9"/>
  <c r="E826" i="9"/>
  <c r="D555" i="9"/>
  <c r="D581" i="9" s="1"/>
  <c r="D573" i="9"/>
  <c r="D425" i="9"/>
  <c r="E507" i="9"/>
  <c r="D515" i="9"/>
  <c r="D533" i="9"/>
  <c r="D613" i="9" s="1"/>
  <c r="D587" i="9"/>
  <c r="E547" i="9"/>
  <c r="D385" i="9"/>
  <c r="F635" i="9"/>
  <c r="F638" i="9"/>
  <c r="F710" i="9"/>
  <c r="F656" i="9"/>
  <c r="F736" i="9" s="1"/>
  <c r="B305" i="9"/>
  <c r="B308" i="9"/>
  <c r="B326" i="9"/>
  <c r="B391" i="9"/>
  <c r="B394" i="9"/>
  <c r="B412" i="9"/>
  <c r="B466" i="9"/>
  <c r="G853" i="9"/>
  <c r="G850" i="9"/>
  <c r="I850" i="9"/>
  <c r="I853" i="9"/>
  <c r="T823" i="9"/>
  <c r="T826" i="9"/>
  <c r="T814" i="9"/>
  <c r="K814" i="9"/>
  <c r="C566" i="9"/>
  <c r="C569" i="9"/>
  <c r="Y454" i="7"/>
  <c r="I454" i="7"/>
  <c r="Q406" i="7"/>
  <c r="I403" i="7"/>
  <c r="D80" i="26"/>
  <c r="L651" i="9"/>
  <c r="L723" i="9"/>
  <c r="L648" i="9"/>
  <c r="L702" i="9"/>
  <c r="F702" i="9"/>
  <c r="S826" i="9"/>
  <c r="O783" i="9"/>
  <c r="O786" i="9"/>
  <c r="O840" i="9"/>
  <c r="O774" i="9"/>
  <c r="O837" i="9"/>
  <c r="E454" i="7"/>
  <c r="M436" i="7"/>
  <c r="H957" i="24"/>
  <c r="Q563" i="24"/>
  <c r="Q599" i="24"/>
  <c r="Q590" i="24"/>
  <c r="Q602" i="24"/>
  <c r="P944" i="24"/>
  <c r="P980" i="24"/>
  <c r="P983" i="24"/>
  <c r="R329" i="24"/>
  <c r="B332" i="24"/>
  <c r="L957" i="24"/>
  <c r="E563" i="24"/>
  <c r="E599" i="24"/>
  <c r="E590" i="24"/>
  <c r="E602" i="24"/>
  <c r="H827" i="9"/>
  <c r="H863" i="9"/>
  <c r="H854" i="9"/>
  <c r="H866" i="9"/>
  <c r="E684" i="24" l="1"/>
  <c r="E698" i="24"/>
  <c r="E681" i="24"/>
  <c r="E695" i="24"/>
  <c r="E672" i="24"/>
  <c r="D672" i="24"/>
  <c r="D684" i="24"/>
  <c r="D708" i="24"/>
  <c r="D711" i="24"/>
  <c r="D681" i="24"/>
  <c r="P672" i="24"/>
  <c r="P684" i="24"/>
  <c r="P708" i="24"/>
  <c r="P711" i="24"/>
  <c r="P681" i="24"/>
  <c r="Q695" i="24"/>
  <c r="Q698" i="24"/>
  <c r="Q672" i="24"/>
  <c r="Q681" i="24"/>
  <c r="Q684" i="24"/>
  <c r="F413" i="7"/>
  <c r="F419" i="7"/>
  <c r="F397" i="7"/>
  <c r="E462" i="7"/>
  <c r="P1394" i="24"/>
  <c r="B32" i="16"/>
  <c r="AK1408" i="24" s="1"/>
  <c r="L740" i="9"/>
  <c r="J740" i="9"/>
  <c r="T743" i="9"/>
  <c r="L711" i="24"/>
  <c r="L684" i="24"/>
  <c r="L681" i="24"/>
  <c r="L672" i="24"/>
  <c r="L708" i="24"/>
  <c r="M589" i="24"/>
  <c r="M586" i="24"/>
  <c r="D405" i="7"/>
  <c r="E405" i="7" s="1"/>
  <c r="C75" i="26"/>
  <c r="D399" i="7"/>
  <c r="E397" i="7"/>
  <c r="H681" i="24"/>
  <c r="H711" i="24"/>
  <c r="H684" i="24"/>
  <c r="H708" i="24"/>
  <c r="H672" i="24"/>
  <c r="K286" i="2"/>
  <c r="G411" i="7"/>
  <c r="Z101" i="27"/>
  <c r="B492" i="9"/>
  <c r="U1409" i="24"/>
  <c r="Q233" i="24"/>
  <c r="E450" i="7"/>
  <c r="P1409" i="24"/>
  <c r="D742" i="9"/>
  <c r="E23" i="4"/>
  <c r="D168" i="26" s="1"/>
  <c r="D166" i="26"/>
  <c r="F21" i="4"/>
  <c r="F23" i="4"/>
  <c r="G736" i="9"/>
  <c r="U1394" i="24"/>
  <c r="K740" i="9"/>
  <c r="L743" i="9"/>
  <c r="M684" i="24"/>
  <c r="M695" i="24"/>
  <c r="M698" i="24"/>
  <c r="M681" i="24"/>
  <c r="M672" i="24"/>
  <c r="F550" i="24"/>
  <c r="F562" i="24"/>
  <c r="F559" i="24"/>
  <c r="D421" i="7"/>
  <c r="E413" i="7"/>
  <c r="D418" i="7"/>
  <c r="I698" i="24"/>
  <c r="I695" i="24"/>
  <c r="I681" i="24"/>
  <c r="G26" i="17"/>
  <c r="BF126" i="27"/>
  <c r="K421" i="2"/>
  <c r="G21" i="4"/>
  <c r="F13" i="5"/>
  <c r="G684" i="24"/>
  <c r="G681" i="24"/>
  <c r="G672" i="24"/>
  <c r="E1409" i="24"/>
  <c r="D612" i="9"/>
  <c r="C214" i="22"/>
  <c r="C491" i="9"/>
  <c r="AS1407" i="24"/>
  <c r="C33" i="16"/>
  <c r="AL1407" i="24"/>
  <c r="T33" i="16"/>
  <c r="AY1407" i="24"/>
  <c r="AY1409" i="24" s="1"/>
  <c r="D33" i="16"/>
  <c r="AM1407" i="24"/>
  <c r="AM1409" i="24" s="1"/>
  <c r="Q33" i="16"/>
  <c r="AW1407" i="24"/>
  <c r="AW1409" i="24" s="1"/>
  <c r="P33" i="16"/>
  <c r="AV1407" i="24"/>
  <c r="AV1409" i="24" s="1"/>
  <c r="F661" i="9"/>
  <c r="F652" i="9"/>
  <c r="F664" i="9"/>
  <c r="F718" i="9"/>
  <c r="F715" i="9"/>
  <c r="T827" i="9"/>
  <c r="T863" i="9"/>
  <c r="T854" i="9"/>
  <c r="T866" i="9"/>
  <c r="B438" i="24"/>
  <c r="B416" i="24"/>
  <c r="C462" i="24"/>
  <c r="C316" i="9"/>
  <c r="C370" i="9"/>
  <c r="C358" i="9"/>
  <c r="M827" i="9"/>
  <c r="M863" i="9"/>
  <c r="M854" i="9"/>
  <c r="M866" i="9"/>
  <c r="R692" i="9"/>
  <c r="R704" i="9"/>
  <c r="R701" i="9"/>
  <c r="E565" i="9"/>
  <c r="E441" i="9"/>
  <c r="E443" i="9" s="1"/>
  <c r="L827" i="9"/>
  <c r="L863" i="9"/>
  <c r="L854" i="9"/>
  <c r="L866" i="9"/>
  <c r="H728" i="9"/>
  <c r="H731" i="9"/>
  <c r="D34" i="24"/>
  <c r="D28" i="27"/>
  <c r="L685" i="24"/>
  <c r="L721" i="24"/>
  <c r="L712" i="24"/>
  <c r="L724" i="24"/>
  <c r="P827" i="9"/>
  <c r="P863" i="9"/>
  <c r="P854" i="9"/>
  <c r="P866" i="9"/>
  <c r="B36" i="24"/>
  <c r="B39" i="24"/>
  <c r="R685" i="24"/>
  <c r="R721" i="24"/>
  <c r="R712" i="24"/>
  <c r="R724" i="24"/>
  <c r="C937" i="22"/>
  <c r="C940" i="22"/>
  <c r="D566" i="9"/>
  <c r="D569" i="9"/>
  <c r="P345" i="2"/>
  <c r="N24" i="15"/>
  <c r="T120" i="27"/>
  <c r="B448" i="9"/>
  <c r="B457" i="9"/>
  <c r="B460" i="9"/>
  <c r="F742" i="9"/>
  <c r="AR1408" i="24"/>
  <c r="AX1408" i="24"/>
  <c r="C23" i="14"/>
  <c r="C1215" i="24"/>
  <c r="C1221" i="24"/>
  <c r="D51" i="13"/>
  <c r="D55" i="13"/>
  <c r="D52" i="13"/>
  <c r="D56" i="13"/>
  <c r="E56" i="13" s="1"/>
  <c r="D95" i="14"/>
  <c r="D99" i="14"/>
  <c r="D96" i="14"/>
  <c r="D100" i="14"/>
  <c r="E9" i="24"/>
  <c r="D1072" i="24"/>
  <c r="D1217" i="24"/>
  <c r="D1069" i="24"/>
  <c r="D1214" i="24"/>
  <c r="F12" i="24"/>
  <c r="D1068" i="24"/>
  <c r="D1213" i="24"/>
  <c r="D1073" i="24"/>
  <c r="D484" i="11" s="1"/>
  <c r="D1218" i="24"/>
  <c r="D28" i="14" s="1"/>
  <c r="B368" i="7"/>
  <c r="B355" i="7"/>
  <c r="B25" i="14"/>
  <c r="B52" i="22"/>
  <c r="C114" i="22"/>
  <c r="C101" i="22"/>
  <c r="B8" i="14"/>
  <c r="B31" i="14"/>
  <c r="B103" i="14" s="1"/>
  <c r="B37" i="14"/>
  <c r="B81" i="14"/>
  <c r="B56" i="22"/>
  <c r="B346" i="22"/>
  <c r="B48" i="22"/>
  <c r="B374" i="22"/>
  <c r="D142" i="22"/>
  <c r="D155" i="22"/>
  <c r="D265" i="22"/>
  <c r="D278" i="22"/>
  <c r="B360" i="22"/>
  <c r="A82" i="26"/>
  <c r="B1237" i="24"/>
  <c r="B494" i="11"/>
  <c r="B508" i="11"/>
  <c r="B11" i="12"/>
  <c r="B19" i="12" s="1"/>
  <c r="B488" i="11"/>
  <c r="B1184" i="24" s="1"/>
  <c r="B105" i="13"/>
  <c r="C184" i="22"/>
  <c r="B106" i="13"/>
  <c r="B104" i="13"/>
  <c r="D307" i="22"/>
  <c r="D225" i="22"/>
  <c r="D238" i="22"/>
  <c r="D246" i="22" s="1"/>
  <c r="C197" i="22"/>
  <c r="C205" i="22" s="1"/>
  <c r="D320" i="22"/>
  <c r="D328" i="22" s="1"/>
  <c r="B899" i="22"/>
  <c r="B901" i="22" s="1"/>
  <c r="B8" i="21" s="1"/>
  <c r="B1195" i="24"/>
  <c r="A69" i="26"/>
  <c r="B1143" i="24"/>
  <c r="M563" i="24"/>
  <c r="M599" i="24"/>
  <c r="M590" i="24"/>
  <c r="M602" i="24"/>
  <c r="Q971" i="24"/>
  <c r="Q983" i="24"/>
  <c r="Q944" i="24"/>
  <c r="Q980" i="24"/>
  <c r="C614" i="9"/>
  <c r="D701" i="9"/>
  <c r="D692" i="9"/>
  <c r="D704" i="9"/>
  <c r="P736" i="9"/>
  <c r="H701" i="9"/>
  <c r="H692" i="9"/>
  <c r="H704" i="9"/>
  <c r="Z46" i="16"/>
  <c r="W48" i="16"/>
  <c r="BA1412" i="24"/>
  <c r="H38" i="16"/>
  <c r="AP1430" i="24"/>
  <c r="AP1432" i="24" s="1"/>
  <c r="R46" i="16"/>
  <c r="O48" i="16"/>
  <c r="AU1412" i="24"/>
  <c r="N46" i="16"/>
  <c r="K48" i="16"/>
  <c r="AR1412" i="24"/>
  <c r="P38" i="16"/>
  <c r="AV1430" i="24"/>
  <c r="AV1432" i="24" s="1"/>
  <c r="N36" i="16"/>
  <c r="K38" i="16"/>
  <c r="AR1430" i="24"/>
  <c r="Y48" i="16"/>
  <c r="BC1412" i="24"/>
  <c r="BC1414" i="24" s="1"/>
  <c r="B48" i="16"/>
  <c r="AK1412" i="24"/>
  <c r="AK1414" i="24" s="1"/>
  <c r="D38" i="16"/>
  <c r="AM1430" i="24"/>
  <c r="AM1432" i="24" s="1"/>
  <c r="X38" i="16"/>
  <c r="BB1430" i="24"/>
  <c r="BB1432" i="24" s="1"/>
  <c r="M33" i="16"/>
  <c r="AT1407" i="24"/>
  <c r="AT1409" i="24" s="1"/>
  <c r="C1409" i="24"/>
  <c r="T43" i="16"/>
  <c r="AY1392" i="24"/>
  <c r="AY1394" i="24" s="1"/>
  <c r="AB1394" i="24"/>
  <c r="J224" i="24"/>
  <c r="J236" i="24"/>
  <c r="J197" i="24"/>
  <c r="J233" i="24"/>
  <c r="B590" i="24"/>
  <c r="B602" i="24"/>
  <c r="B563" i="24"/>
  <c r="B599" i="24"/>
  <c r="A81" i="26"/>
  <c r="F827" i="9"/>
  <c r="F863" i="9"/>
  <c r="F854" i="9"/>
  <c r="F866" i="9"/>
  <c r="D415" i="9"/>
  <c r="D495" i="9" s="1"/>
  <c r="D469" i="9"/>
  <c r="E577" i="9"/>
  <c r="E429" i="9"/>
  <c r="E455" i="9" s="1"/>
  <c r="S718" i="9"/>
  <c r="S661" i="9"/>
  <c r="S652" i="9"/>
  <c r="S715" i="9"/>
  <c r="S664" i="9"/>
  <c r="S866" i="9"/>
  <c r="K718" i="9"/>
  <c r="K661" i="9"/>
  <c r="K652" i="9"/>
  <c r="K715" i="9"/>
  <c r="K664" i="9"/>
  <c r="D563" i="24"/>
  <c r="J319" i="24"/>
  <c r="J355" i="24"/>
  <c r="J346" i="24"/>
  <c r="J358" i="24"/>
  <c r="D319" i="24"/>
  <c r="D355" i="24"/>
  <c r="D346" i="24"/>
  <c r="D358" i="24"/>
  <c r="I712" i="24"/>
  <c r="N661" i="9"/>
  <c r="N652" i="9"/>
  <c r="N664" i="9"/>
  <c r="N718" i="9"/>
  <c r="N715" i="9"/>
  <c r="H736" i="9"/>
  <c r="J685" i="24"/>
  <c r="J721" i="24"/>
  <c r="J712" i="24"/>
  <c r="J724" i="24"/>
  <c r="R358" i="24"/>
  <c r="D607" i="9"/>
  <c r="D616" i="9"/>
  <c r="E568" i="9"/>
  <c r="E438" i="9"/>
  <c r="E446" i="9" s="1"/>
  <c r="S692" i="9"/>
  <c r="S704" i="9"/>
  <c r="S701" i="9"/>
  <c r="G728" i="9"/>
  <c r="G731" i="9"/>
  <c r="K692" i="9"/>
  <c r="K704" i="9"/>
  <c r="K701" i="9"/>
  <c r="F32" i="16"/>
  <c r="AL1408" i="24"/>
  <c r="AO1408" i="24"/>
  <c r="B481" i="11"/>
  <c r="B507" i="11"/>
  <c r="B10" i="12"/>
  <c r="B487" i="11"/>
  <c r="B1183" i="24" s="1"/>
  <c r="B493" i="11"/>
  <c r="B1142" i="24" s="1"/>
  <c r="B101" i="13"/>
  <c r="C196" i="22"/>
  <c r="B99" i="13"/>
  <c r="B100" i="13"/>
  <c r="D306" i="22"/>
  <c r="D224" i="22"/>
  <c r="D237" i="22"/>
  <c r="B895" i="22"/>
  <c r="C183" i="22"/>
  <c r="D319" i="22"/>
  <c r="B1194" i="24"/>
  <c r="A68" i="26"/>
  <c r="D173" i="22"/>
  <c r="D513" i="9"/>
  <c r="D516" i="9"/>
  <c r="D534" i="9"/>
  <c r="D588" i="9"/>
  <c r="D553" i="9"/>
  <c r="D556" i="9"/>
  <c r="D574" i="9"/>
  <c r="R1409" i="24"/>
  <c r="AH1394" i="24"/>
  <c r="W1394" i="24"/>
  <c r="M1409" i="24"/>
  <c r="AC1394" i="24"/>
  <c r="X1409" i="24"/>
  <c r="K31" i="16"/>
  <c r="H685" i="24"/>
  <c r="H721" i="24"/>
  <c r="H712" i="24"/>
  <c r="H724" i="24"/>
  <c r="F590" i="24"/>
  <c r="F602" i="24"/>
  <c r="F563" i="24"/>
  <c r="F599" i="24"/>
  <c r="M652" i="9"/>
  <c r="M664" i="9"/>
  <c r="M715" i="9"/>
  <c r="M661" i="9"/>
  <c r="M718" i="9"/>
  <c r="E736" i="9"/>
  <c r="I602" i="24"/>
  <c r="L701" i="9"/>
  <c r="L692" i="9"/>
  <c r="L704" i="9"/>
  <c r="R37" i="16"/>
  <c r="AU1431" i="24"/>
  <c r="N37" i="16"/>
  <c r="AR1431" i="24"/>
  <c r="R42" i="16"/>
  <c r="AU1393" i="24"/>
  <c r="U32" i="16"/>
  <c r="AZ1408" i="24" s="1"/>
  <c r="Z42" i="16"/>
  <c r="BA1393" i="24"/>
  <c r="B123" i="13"/>
  <c r="B219" i="9"/>
  <c r="B243" i="9"/>
  <c r="B221" i="9"/>
  <c r="B247" i="9" s="1"/>
  <c r="H233" i="24"/>
  <c r="V1409" i="24"/>
  <c r="K1409" i="24"/>
  <c r="P43" i="16"/>
  <c r="AV1392" i="24"/>
  <c r="AV1394" i="24" s="1"/>
  <c r="U43" i="16"/>
  <c r="AZ1392" i="24"/>
  <c r="AZ1394" i="24" s="1"/>
  <c r="I197" i="24"/>
  <c r="C418" i="9"/>
  <c r="C498" i="9" s="1"/>
  <c r="C472" i="9"/>
  <c r="I736" i="9"/>
  <c r="C38" i="24"/>
  <c r="C430" i="24"/>
  <c r="K712" i="24"/>
  <c r="K724" i="24"/>
  <c r="K685" i="24"/>
  <c r="K721" i="24"/>
  <c r="E854" i="9"/>
  <c r="E742" i="9"/>
  <c r="D97" i="24"/>
  <c r="D100" i="24"/>
  <c r="M197" i="24"/>
  <c r="N685" i="24"/>
  <c r="N721" i="24"/>
  <c r="N712" i="24"/>
  <c r="N724" i="24"/>
  <c r="F685" i="24"/>
  <c r="F721" i="24"/>
  <c r="F712" i="24"/>
  <c r="F724" i="24"/>
  <c r="K563" i="24"/>
  <c r="K599" i="24"/>
  <c r="K590" i="24"/>
  <c r="K602" i="24"/>
  <c r="Q827" i="9"/>
  <c r="B331" i="9"/>
  <c r="B334" i="9"/>
  <c r="B322" i="9"/>
  <c r="Q319" i="24"/>
  <c r="Q355" i="24"/>
  <c r="Q346" i="24"/>
  <c r="Q358" i="24"/>
  <c r="B33" i="16"/>
  <c r="B20" i="16" s="1"/>
  <c r="B12" i="4" s="1"/>
  <c r="AK1407" i="24"/>
  <c r="AK1409" i="24" s="1"/>
  <c r="B408" i="9"/>
  <c r="B417" i="9"/>
  <c r="B420" i="9"/>
  <c r="B471" i="9"/>
  <c r="B474" i="9"/>
  <c r="D393" i="9"/>
  <c r="D411" i="9"/>
  <c r="D465" i="9"/>
  <c r="D541" i="9"/>
  <c r="D621" i="9" s="1"/>
  <c r="D595" i="9"/>
  <c r="Q728" i="9"/>
  <c r="Q731" i="9"/>
  <c r="D944" i="24"/>
  <c r="D980" i="24"/>
  <c r="D971" i="24"/>
  <c r="D983" i="24"/>
  <c r="B43" i="16"/>
  <c r="AK1392" i="24"/>
  <c r="AK1394" i="24" s="1"/>
  <c r="C570" i="9"/>
  <c r="C579" i="9"/>
  <c r="C582" i="9"/>
  <c r="C35" i="24"/>
  <c r="C433" i="24"/>
  <c r="D29" i="24"/>
  <c r="AR27" i="27"/>
  <c r="N944" i="24"/>
  <c r="N980" i="24"/>
  <c r="N971" i="24"/>
  <c r="N983" i="24"/>
  <c r="B420" i="24"/>
  <c r="B224" i="24"/>
  <c r="B236" i="24"/>
  <c r="B197" i="24"/>
  <c r="B233" i="24"/>
  <c r="B944" i="24"/>
  <c r="B980" i="24"/>
  <c r="B971" i="24"/>
  <c r="B983" i="24"/>
  <c r="C263" i="9"/>
  <c r="C214" i="9"/>
  <c r="D340" i="9"/>
  <c r="C275" i="9"/>
  <c r="C226" i="9"/>
  <c r="D352" i="9"/>
  <c r="N42" i="16"/>
  <c r="AR1393" i="24"/>
  <c r="V42" i="16"/>
  <c r="AX1393" i="24"/>
  <c r="F224" i="24"/>
  <c r="F236" i="24"/>
  <c r="F197" i="24"/>
  <c r="F233" i="24"/>
  <c r="D685" i="24"/>
  <c r="D721" i="24"/>
  <c r="D712" i="24"/>
  <c r="D724" i="24"/>
  <c r="C483" i="11"/>
  <c r="C1074" i="24"/>
  <c r="C480" i="11"/>
  <c r="C1077" i="24"/>
  <c r="C60" i="13"/>
  <c r="B484" i="9"/>
  <c r="B487" i="9"/>
  <c r="I48" i="16"/>
  <c r="AQ1412" i="24"/>
  <c r="AQ1414" i="24" s="1"/>
  <c r="Q38" i="16"/>
  <c r="AW1430" i="24"/>
  <c r="AW1432" i="24" s="1"/>
  <c r="X48" i="16"/>
  <c r="BB1412" i="24"/>
  <c r="BB1414" i="24" s="1"/>
  <c r="V46" i="16"/>
  <c r="S48" i="16"/>
  <c r="AX1412" i="24"/>
  <c r="T38" i="16"/>
  <c r="AY1430" i="24"/>
  <c r="AY1432" i="24" s="1"/>
  <c r="L48" i="16"/>
  <c r="AS1412" i="24"/>
  <c r="AS1414" i="24" s="1"/>
  <c r="Y38" i="16"/>
  <c r="BC1430" i="24"/>
  <c r="BC1432" i="24" s="1"/>
  <c r="F36" i="16"/>
  <c r="C38" i="16"/>
  <c r="AL1430" i="24"/>
  <c r="L38" i="16"/>
  <c r="AS1430" i="24"/>
  <c r="AS1432" i="24" s="1"/>
  <c r="AD1409" i="24"/>
  <c r="M43" i="16"/>
  <c r="AT1392" i="24"/>
  <c r="AT1394" i="24" s="1"/>
  <c r="AI1394" i="24"/>
  <c r="Y1409" i="24"/>
  <c r="J41" i="16"/>
  <c r="G43" i="16"/>
  <c r="AO1392" i="24"/>
  <c r="H1394" i="24"/>
  <c r="AB1409" i="24"/>
  <c r="E224" i="24"/>
  <c r="U459" i="7"/>
  <c r="U450" i="7"/>
  <c r="U462" i="7"/>
  <c r="C230" i="9"/>
  <c r="D356" i="9"/>
  <c r="S854" i="9"/>
  <c r="D602" i="24"/>
  <c r="J692" i="9"/>
  <c r="J704" i="9"/>
  <c r="J701" i="9"/>
  <c r="Q652" i="9"/>
  <c r="Q664" i="9"/>
  <c r="Q715" i="9"/>
  <c r="Q661" i="9"/>
  <c r="Q718" i="9"/>
  <c r="I721" i="24"/>
  <c r="R346" i="24"/>
  <c r="D399" i="9"/>
  <c r="D405" i="9"/>
  <c r="D477" i="9"/>
  <c r="E521" i="9"/>
  <c r="F519" i="9"/>
  <c r="E527" i="9"/>
  <c r="E599" i="9"/>
  <c r="F559" i="9"/>
  <c r="E397" i="9"/>
  <c r="C606" i="9"/>
  <c r="C609" i="9"/>
  <c r="F510" i="9"/>
  <c r="E536" i="9"/>
  <c r="E590" i="9"/>
  <c r="F550" i="9"/>
  <c r="E512" i="9"/>
  <c r="E388" i="9"/>
  <c r="B268" i="9"/>
  <c r="B915" i="22"/>
  <c r="B466" i="24"/>
  <c r="B479" i="24" s="1"/>
  <c r="B471" i="24"/>
  <c r="B459" i="24"/>
  <c r="J827" i="9"/>
  <c r="J863" i="9"/>
  <c r="J854" i="9"/>
  <c r="J866" i="9"/>
  <c r="F42" i="16"/>
  <c r="AL1393" i="24"/>
  <c r="J42" i="16"/>
  <c r="AO1393" i="24"/>
  <c r="B1242" i="24"/>
  <c r="B56" i="14" s="1"/>
  <c r="D432" i="9"/>
  <c r="D450" i="9"/>
  <c r="D426" i="9"/>
  <c r="L715" i="9"/>
  <c r="L718" i="9"/>
  <c r="L652" i="9"/>
  <c r="L664" i="9"/>
  <c r="L661" i="9"/>
  <c r="P728" i="9"/>
  <c r="P731" i="9"/>
  <c r="B1409" i="24"/>
  <c r="R1394" i="24"/>
  <c r="G1394" i="24"/>
  <c r="W1409" i="24"/>
  <c r="M1394" i="24"/>
  <c r="AF1394" i="24"/>
  <c r="L319" i="24"/>
  <c r="L355" i="24"/>
  <c r="L346" i="24"/>
  <c r="L358" i="24"/>
  <c r="C431" i="9"/>
  <c r="C434" i="9"/>
  <c r="C452" i="9"/>
  <c r="O718" i="9"/>
  <c r="O661" i="9"/>
  <c r="O652" i="9"/>
  <c r="O715" i="9"/>
  <c r="O664" i="9"/>
  <c r="K742" i="9"/>
  <c r="P197" i="24"/>
  <c r="P233" i="24"/>
  <c r="P224" i="24"/>
  <c r="P236" i="24"/>
  <c r="N319" i="24"/>
  <c r="N355" i="24"/>
  <c r="N346" i="24"/>
  <c r="N358" i="24"/>
  <c r="E652" i="9"/>
  <c r="E664" i="9"/>
  <c r="E715" i="9"/>
  <c r="E661" i="9"/>
  <c r="E718" i="9"/>
  <c r="I590" i="24"/>
  <c r="Z47" i="16"/>
  <c r="BA1413" i="24"/>
  <c r="Z37" i="16"/>
  <c r="BA1431" i="24"/>
  <c r="R47" i="16"/>
  <c r="AU1413" i="24"/>
  <c r="H32" i="16"/>
  <c r="AP1408" i="24" s="1"/>
  <c r="B1376" i="24"/>
  <c r="B526" i="11" s="1"/>
  <c r="B467" i="11"/>
  <c r="B324" i="11"/>
  <c r="B75" i="12" s="1"/>
  <c r="B43" i="12"/>
  <c r="A108" i="26"/>
  <c r="I971" i="24"/>
  <c r="I983" i="24"/>
  <c r="I944" i="24"/>
  <c r="I980" i="24"/>
  <c r="H197" i="24"/>
  <c r="I701" i="9"/>
  <c r="I692" i="9"/>
  <c r="I704" i="9"/>
  <c r="L742" i="9"/>
  <c r="F731" i="9"/>
  <c r="F728" i="9"/>
  <c r="K728" i="9"/>
  <c r="K731" i="9"/>
  <c r="F1409" i="24"/>
  <c r="V1394" i="24"/>
  <c r="I31" i="16"/>
  <c r="AG1409" i="24"/>
  <c r="E27" i="4"/>
  <c r="F1438" i="24"/>
  <c r="B264" i="9"/>
  <c r="I236" i="24"/>
  <c r="I462" i="7"/>
  <c r="C391" i="9"/>
  <c r="C394" i="9"/>
  <c r="C412" i="9"/>
  <c r="C466" i="9"/>
  <c r="I652" i="9"/>
  <c r="I664" i="9"/>
  <c r="I715" i="9"/>
  <c r="I661" i="9"/>
  <c r="I718" i="9"/>
  <c r="O742" i="9"/>
  <c r="R661" i="9"/>
  <c r="R652" i="9"/>
  <c r="R664" i="9"/>
  <c r="R718" i="9"/>
  <c r="R715" i="9"/>
  <c r="E863" i="9"/>
  <c r="R731" i="9"/>
  <c r="R728" i="9"/>
  <c r="H742" i="9"/>
  <c r="M236" i="24"/>
  <c r="Q866" i="9"/>
  <c r="Q462" i="7"/>
  <c r="M971" i="24"/>
  <c r="M983" i="24"/>
  <c r="M944" i="24"/>
  <c r="M980" i="24"/>
  <c r="BA1407" i="24"/>
  <c r="B372" i="7"/>
  <c r="B359" i="7"/>
  <c r="B29" i="14"/>
  <c r="C105" i="22"/>
  <c r="D146" i="22"/>
  <c r="D269" i="22"/>
  <c r="B65" i="22"/>
  <c r="B73" i="22"/>
  <c r="B75" i="22" s="1"/>
  <c r="B155" i="13" s="1"/>
  <c r="B9" i="14"/>
  <c r="B41" i="14"/>
  <c r="B85" i="14"/>
  <c r="B69" i="22"/>
  <c r="B71" i="22" s="1"/>
  <c r="B154" i="13" s="1"/>
  <c r="C118" i="22"/>
  <c r="C120" i="22" s="1"/>
  <c r="D159" i="22"/>
  <c r="D161" i="22" s="1"/>
  <c r="D282" i="22"/>
  <c r="D284" i="22" s="1"/>
  <c r="B378" i="22"/>
  <c r="B380" i="22" s="1"/>
  <c r="B364" i="22"/>
  <c r="B366" i="22" s="1"/>
  <c r="B350" i="22"/>
  <c r="B352" i="22" s="1"/>
  <c r="A85" i="26"/>
  <c r="B1241" i="24"/>
  <c r="K866" i="9"/>
  <c r="K827" i="9"/>
  <c r="K863" i="9"/>
  <c r="K854" i="9"/>
  <c r="E555" i="9"/>
  <c r="E581" i="9" s="1"/>
  <c r="E573" i="9"/>
  <c r="E425" i="9"/>
  <c r="F547" i="9"/>
  <c r="F507" i="9"/>
  <c r="E515" i="9"/>
  <c r="E533" i="9"/>
  <c r="E613" i="9" s="1"/>
  <c r="E587" i="9"/>
  <c r="E385" i="9"/>
  <c r="F944" i="24"/>
  <c r="F980" i="24"/>
  <c r="F971" i="24"/>
  <c r="F983" i="24"/>
  <c r="C89" i="16"/>
  <c r="B1424" i="24"/>
  <c r="E18" i="19"/>
  <c r="F18" i="19"/>
  <c r="E1496" i="24"/>
  <c r="H43" i="16"/>
  <c r="AP1392" i="24"/>
  <c r="AP1394" i="24" s="1"/>
  <c r="E1394" i="24"/>
  <c r="F563" i="9"/>
  <c r="E525" i="9"/>
  <c r="E605" i="9" s="1"/>
  <c r="F523" i="9"/>
  <c r="E603" i="9"/>
  <c r="E401" i="9"/>
  <c r="I33" i="2"/>
  <c r="I34" i="2"/>
  <c r="I32" i="2"/>
  <c r="I35" i="2"/>
  <c r="D33" i="24"/>
  <c r="BH27" i="27"/>
  <c r="D715" i="9"/>
  <c r="D718" i="9"/>
  <c r="D652" i="9"/>
  <c r="D664" i="9"/>
  <c r="D661" i="9"/>
  <c r="P701" i="9"/>
  <c r="P692" i="9"/>
  <c r="P704" i="9"/>
  <c r="R224" i="24"/>
  <c r="R236" i="24"/>
  <c r="R197" i="24"/>
  <c r="R233" i="24"/>
  <c r="R944" i="24"/>
  <c r="R980" i="24"/>
  <c r="R971" i="24"/>
  <c r="R983" i="24"/>
  <c r="B437" i="24"/>
  <c r="B415" i="24"/>
  <c r="B431" i="24"/>
  <c r="D439" i="9"/>
  <c r="D445" i="9"/>
  <c r="C854" i="9"/>
  <c r="C866" i="9"/>
  <c r="C827" i="9"/>
  <c r="C863" i="9"/>
  <c r="E728" i="9"/>
  <c r="E731" i="9"/>
  <c r="C27" i="14"/>
  <c r="C1219" i="24"/>
  <c r="C1422" i="24"/>
  <c r="C1424" i="24" s="1"/>
  <c r="C1423" i="24"/>
  <c r="C498" i="11"/>
  <c r="C512" i="11"/>
  <c r="C15" i="12"/>
  <c r="C120" i="13"/>
  <c r="D188" i="22"/>
  <c r="E242" i="22"/>
  <c r="C121" i="13"/>
  <c r="C122" i="13"/>
  <c r="D201" i="22"/>
  <c r="E229" i="22"/>
  <c r="E255" i="22" s="1"/>
  <c r="E324" i="22"/>
  <c r="E311" i="22"/>
  <c r="C900" i="22"/>
  <c r="B72" i="26"/>
  <c r="C1199" i="24"/>
  <c r="C24" i="14"/>
  <c r="C1222" i="24"/>
  <c r="C57" i="13"/>
  <c r="B485" i="11"/>
  <c r="B511" i="11"/>
  <c r="B14" i="12"/>
  <c r="B16" i="12" s="1"/>
  <c r="B497" i="11"/>
  <c r="B1146" i="24" s="1"/>
  <c r="B117" i="13"/>
  <c r="C187" i="22"/>
  <c r="D228" i="22"/>
  <c r="B115" i="13"/>
  <c r="B116" i="13"/>
  <c r="D323" i="22"/>
  <c r="D325" i="22" s="1"/>
  <c r="B896" i="22"/>
  <c r="B904" i="22" s="1"/>
  <c r="C200" i="22"/>
  <c r="C202" i="22" s="1"/>
  <c r="D310" i="22"/>
  <c r="D241" i="22"/>
  <c r="D243" i="22" s="1"/>
  <c r="A71" i="26"/>
  <c r="B1198" i="24"/>
  <c r="G944" i="24"/>
  <c r="G980" i="24"/>
  <c r="G971" i="24"/>
  <c r="G983" i="24"/>
  <c r="C530" i="9"/>
  <c r="C539" i="9"/>
  <c r="C542" i="9"/>
  <c r="C593" i="9"/>
  <c r="C596" i="9"/>
  <c r="I38" i="16"/>
  <c r="AQ1430" i="24"/>
  <c r="AQ1432" i="24" s="1"/>
  <c r="F46" i="16"/>
  <c r="C48" i="16"/>
  <c r="AL1412" i="24"/>
  <c r="T48" i="16"/>
  <c r="AY1412" i="24"/>
  <c r="AY1414" i="24" s="1"/>
  <c r="H48" i="16"/>
  <c r="AP1412" i="24"/>
  <c r="AP1414" i="24" s="1"/>
  <c r="U48" i="16"/>
  <c r="AZ1412" i="24"/>
  <c r="AZ1414" i="24" s="1"/>
  <c r="M48" i="16"/>
  <c r="AT1412" i="24"/>
  <c r="AT1414" i="24" s="1"/>
  <c r="J46" i="16"/>
  <c r="G48" i="16"/>
  <c r="J48" i="16" s="1"/>
  <c r="AO1412" i="24"/>
  <c r="E48" i="16"/>
  <c r="AN1412" i="24"/>
  <c r="AN1414" i="24" s="1"/>
  <c r="J36" i="16"/>
  <c r="G38" i="16"/>
  <c r="AO1430" i="24"/>
  <c r="N1409" i="24"/>
  <c r="AD1394" i="24"/>
  <c r="S1394" i="24"/>
  <c r="AI1409" i="24"/>
  <c r="I1409" i="24"/>
  <c r="Y1394" i="24"/>
  <c r="G31" i="16"/>
  <c r="H1409" i="24"/>
  <c r="E233" i="24"/>
  <c r="R590" i="24"/>
  <c r="R602" i="24"/>
  <c r="R563" i="24"/>
  <c r="R599" i="24"/>
  <c r="D617" i="9"/>
  <c r="S863" i="9"/>
  <c r="C31" i="24"/>
  <c r="C37" i="24"/>
  <c r="C429" i="24"/>
  <c r="D590" i="24"/>
  <c r="D728" i="9"/>
  <c r="D731" i="9"/>
  <c r="I685" i="24"/>
  <c r="R355" i="24"/>
  <c r="M459" i="7"/>
  <c r="M450" i="7"/>
  <c r="M462" i="7"/>
  <c r="E561" i="9"/>
  <c r="E567" i="9"/>
  <c r="E437" i="9"/>
  <c r="D526" i="9"/>
  <c r="D529" i="9"/>
  <c r="D601" i="9"/>
  <c r="D414" i="9"/>
  <c r="D468" i="9"/>
  <c r="D390" i="9"/>
  <c r="D538" i="9"/>
  <c r="D618" i="9" s="1"/>
  <c r="D592" i="9"/>
  <c r="B359" i="9"/>
  <c r="B362" i="9"/>
  <c r="B367" i="9"/>
  <c r="D608" i="9"/>
  <c r="C218" i="9"/>
  <c r="D344" i="9"/>
  <c r="N731" i="9"/>
  <c r="N728" i="9"/>
  <c r="O563" i="24"/>
  <c r="O599" i="24"/>
  <c r="O590" i="24"/>
  <c r="O602" i="24"/>
  <c r="C132" i="22"/>
  <c r="B78" i="22"/>
  <c r="B386" i="7"/>
  <c r="D386" i="9"/>
  <c r="D392" i="9"/>
  <c r="D410" i="9"/>
  <c r="D490" i="9" s="1"/>
  <c r="D464" i="9"/>
  <c r="D540" i="9"/>
  <c r="D594" i="9"/>
  <c r="M701" i="9"/>
  <c r="M692" i="9"/>
  <c r="M704" i="9"/>
  <c r="B1394" i="24"/>
  <c r="V41" i="16"/>
  <c r="S43" i="16"/>
  <c r="V43" i="16" s="1"/>
  <c r="AX1392" i="24"/>
  <c r="AX1394" i="24" s="1"/>
  <c r="G1409" i="24"/>
  <c r="Y31" i="16"/>
  <c r="AF1409" i="24"/>
  <c r="C563" i="24"/>
  <c r="C599" i="24"/>
  <c r="C590" i="24"/>
  <c r="C602" i="24"/>
  <c r="O736" i="9"/>
  <c r="C494" i="9"/>
  <c r="Q701" i="9"/>
  <c r="Q704" i="9"/>
  <c r="Q692" i="9"/>
  <c r="T715" i="9"/>
  <c r="T718" i="9"/>
  <c r="T652" i="9"/>
  <c r="T664" i="9"/>
  <c r="T661" i="9"/>
  <c r="I599" i="24"/>
  <c r="R827" i="9"/>
  <c r="R863" i="9"/>
  <c r="R854" i="9"/>
  <c r="R866" i="9"/>
  <c r="N47" i="16"/>
  <c r="AR1413" i="24"/>
  <c r="F47" i="16"/>
  <c r="AL1413" i="24"/>
  <c r="V37" i="16"/>
  <c r="AX1431" i="24"/>
  <c r="V47" i="16"/>
  <c r="AX1413" i="24"/>
  <c r="D337" i="22"/>
  <c r="D255" i="22"/>
  <c r="B29" i="12"/>
  <c r="B1147" i="24"/>
  <c r="B1161" i="24" s="1"/>
  <c r="B197" i="13" s="1"/>
  <c r="H236" i="24"/>
  <c r="M728" i="9"/>
  <c r="M731" i="9"/>
  <c r="F1394" i="24"/>
  <c r="X43" i="16"/>
  <c r="BB1392" i="24"/>
  <c r="BB1394" i="24" s="1"/>
  <c r="AA1394" i="24"/>
  <c r="I43" i="16"/>
  <c r="AQ1392" i="24"/>
  <c r="AQ1394" i="24" s="1"/>
  <c r="Q1409" i="24"/>
  <c r="AG1394" i="24"/>
  <c r="Q43" i="16"/>
  <c r="AW1392" i="24"/>
  <c r="AW1394" i="24" s="1"/>
  <c r="E31" i="16"/>
  <c r="D7" i="18"/>
  <c r="C170" i="26"/>
  <c r="B261" i="9"/>
  <c r="I224" i="24"/>
  <c r="I450" i="7"/>
  <c r="R736" i="9"/>
  <c r="P319" i="24"/>
  <c r="P355" i="24"/>
  <c r="P346" i="24"/>
  <c r="P358" i="24"/>
  <c r="I319" i="24"/>
  <c r="I355" i="24"/>
  <c r="I346" i="24"/>
  <c r="I358" i="24"/>
  <c r="E827" i="9"/>
  <c r="M224" i="24"/>
  <c r="Q854" i="9"/>
  <c r="Q450" i="7"/>
  <c r="O854" i="9"/>
  <c r="O866" i="9"/>
  <c r="O827" i="9"/>
  <c r="O863" i="9"/>
  <c r="T701" i="9"/>
  <c r="T692" i="9"/>
  <c r="T704" i="9"/>
  <c r="R31" i="16"/>
  <c r="AU1407" i="24"/>
  <c r="L728" i="9"/>
  <c r="L731" i="9"/>
  <c r="D433" i="9"/>
  <c r="D459" i="9" s="1"/>
  <c r="D451" i="9"/>
  <c r="G718" i="9"/>
  <c r="G661" i="9"/>
  <c r="G652" i="9"/>
  <c r="G715" i="9"/>
  <c r="G664" i="9"/>
  <c r="P743" i="9"/>
  <c r="B356" i="7"/>
  <c r="B369" i="7"/>
  <c r="B38" i="14"/>
  <c r="B82" i="14"/>
  <c r="C102" i="22"/>
  <c r="B49" i="22"/>
  <c r="B57" i="22"/>
  <c r="B91" i="22" s="1"/>
  <c r="B32" i="14"/>
  <c r="B104" i="14" s="1"/>
  <c r="B53" i="22"/>
  <c r="B87" i="22" s="1"/>
  <c r="C115" i="22"/>
  <c r="C123" i="22" s="1"/>
  <c r="B375" i="22"/>
  <c r="B383" i="22" s="1"/>
  <c r="B361" i="22"/>
  <c r="B369" i="22" s="1"/>
  <c r="D143" i="22"/>
  <c r="D156" i="22"/>
  <c r="D164" i="22" s="1"/>
  <c r="D266" i="22"/>
  <c r="D279" i="22"/>
  <c r="D287" i="22" s="1"/>
  <c r="B347" i="22"/>
  <c r="B355" i="22" s="1"/>
  <c r="A83" i="26"/>
  <c r="B1238" i="24"/>
  <c r="B930" i="22"/>
  <c r="B933" i="22"/>
  <c r="H33" i="16"/>
  <c r="AP1407" i="24"/>
  <c r="AP1409" i="24" s="1"/>
  <c r="R41" i="16"/>
  <c r="O43" i="16"/>
  <c r="R43" i="16" s="1"/>
  <c r="AU1392" i="24"/>
  <c r="AU1394" i="24" s="1"/>
  <c r="Z41" i="16"/>
  <c r="W43" i="16"/>
  <c r="BA1392" i="24"/>
  <c r="BA1394" i="24" s="1"/>
  <c r="B244" i="9"/>
  <c r="B232" i="9"/>
  <c r="D403" i="9"/>
  <c r="D483" i="9" s="1"/>
  <c r="D481" i="9"/>
  <c r="N827" i="9"/>
  <c r="N863" i="9"/>
  <c r="N854" i="9"/>
  <c r="N866" i="9"/>
  <c r="I742" i="9"/>
  <c r="G692" i="9"/>
  <c r="G704" i="9"/>
  <c r="G701" i="9"/>
  <c r="N740" i="9"/>
  <c r="D30" i="24"/>
  <c r="AZ27" i="27"/>
  <c r="F319" i="24"/>
  <c r="F355" i="24"/>
  <c r="F346" i="24"/>
  <c r="F358" i="24"/>
  <c r="F564" i="9"/>
  <c r="F442" i="9" s="1"/>
  <c r="F524" i="9"/>
  <c r="E604" i="9"/>
  <c r="E402" i="9"/>
  <c r="E482" i="9" s="1"/>
  <c r="I728" i="9"/>
  <c r="I731" i="9"/>
  <c r="J731" i="9"/>
  <c r="J728" i="9"/>
  <c r="B685" i="24"/>
  <c r="B721" i="24"/>
  <c r="B712" i="24"/>
  <c r="B724" i="24"/>
  <c r="D430" i="9"/>
  <c r="D456" i="9" s="1"/>
  <c r="D454" i="9"/>
  <c r="C444" i="9"/>
  <c r="C447" i="9"/>
  <c r="J661" i="9"/>
  <c r="J652" i="9"/>
  <c r="J664" i="9"/>
  <c r="J718" i="9"/>
  <c r="J715" i="9"/>
  <c r="B61" i="13"/>
  <c r="B58" i="13"/>
  <c r="C360" i="7"/>
  <c r="C373" i="7"/>
  <c r="D106" i="22"/>
  <c r="E160" i="22"/>
  <c r="C42" i="14"/>
  <c r="C1242" i="24" s="1"/>
  <c r="C56" i="14" s="1"/>
  <c r="C214" i="13" s="1"/>
  <c r="C86" i="14"/>
  <c r="C66" i="22"/>
  <c r="C74" i="22"/>
  <c r="C70" i="22"/>
  <c r="D119" i="22"/>
  <c r="C379" i="22"/>
  <c r="E283" i="22"/>
  <c r="C365" i="22"/>
  <c r="C351" i="22"/>
  <c r="E147" i="22"/>
  <c r="E270" i="22"/>
  <c r="E296" i="22" s="1"/>
  <c r="B86" i="26"/>
  <c r="C479" i="11"/>
  <c r="C1070" i="24"/>
  <c r="C1076" i="24"/>
  <c r="C53" i="13"/>
  <c r="C59" i="13"/>
  <c r="B1223" i="24"/>
  <c r="B1220" i="24"/>
  <c r="P715" i="9"/>
  <c r="P718" i="9"/>
  <c r="P652" i="9"/>
  <c r="P664" i="9"/>
  <c r="P661" i="9"/>
  <c r="U38" i="16"/>
  <c r="AZ1430" i="24"/>
  <c r="AZ1432" i="24" s="1"/>
  <c r="V36" i="16"/>
  <c r="S38" i="16"/>
  <c r="V38" i="16" s="1"/>
  <c r="AX1430" i="24"/>
  <c r="AX1432" i="24" s="1"/>
  <c r="E38" i="16"/>
  <c r="AN1430" i="24"/>
  <c r="AN1432" i="24" s="1"/>
  <c r="Z36" i="16"/>
  <c r="W38" i="16"/>
  <c r="Z38" i="16" s="1"/>
  <c r="BA1430" i="24"/>
  <c r="BA1432" i="24" s="1"/>
  <c r="B38" i="16"/>
  <c r="B21" i="16" s="1"/>
  <c r="AK1430" i="24"/>
  <c r="AK1432" i="24" s="1"/>
  <c r="D48" i="16"/>
  <c r="AM1412" i="24"/>
  <c r="AM1414" i="24" s="1"/>
  <c r="M38" i="16"/>
  <c r="AT1430" i="24"/>
  <c r="AT1432" i="24" s="1"/>
  <c r="Q48" i="16"/>
  <c r="AW1412" i="24"/>
  <c r="AW1414" i="24" s="1"/>
  <c r="P48" i="16"/>
  <c r="AV1412" i="24"/>
  <c r="AV1414" i="24" s="1"/>
  <c r="R36" i="16"/>
  <c r="O38" i="16"/>
  <c r="R38" i="16" s="1"/>
  <c r="AU1430" i="24"/>
  <c r="AU1432" i="24" s="1"/>
  <c r="N1394" i="24"/>
  <c r="C1394" i="24"/>
  <c r="S1409" i="24"/>
  <c r="I1394" i="24"/>
  <c r="J944" i="24"/>
  <c r="J980" i="24"/>
  <c r="J971" i="24"/>
  <c r="J983" i="24"/>
  <c r="E319" i="24"/>
  <c r="E355" i="24"/>
  <c r="E346" i="24"/>
  <c r="E358" i="24"/>
  <c r="O1453" i="24"/>
  <c r="F511" i="9"/>
  <c r="E537" i="9"/>
  <c r="E617" i="9" s="1"/>
  <c r="E591" i="9"/>
  <c r="F551" i="9"/>
  <c r="E389" i="9"/>
  <c r="E701" i="9"/>
  <c r="E704" i="9"/>
  <c r="E692" i="9"/>
  <c r="P685" i="24"/>
  <c r="P721" i="24"/>
  <c r="P712" i="24"/>
  <c r="P724" i="24"/>
  <c r="H715" i="9"/>
  <c r="H718" i="9"/>
  <c r="H652" i="9"/>
  <c r="H664" i="9"/>
  <c r="H661" i="9"/>
  <c r="E552" i="9"/>
  <c r="E578" i="9" s="1"/>
  <c r="E576" i="9"/>
  <c r="E428" i="9"/>
  <c r="D406" i="9"/>
  <c r="D486" i="9" s="1"/>
  <c r="D478" i="9"/>
  <c r="F520" i="9"/>
  <c r="E528" i="9"/>
  <c r="E608" i="9" s="1"/>
  <c r="E600" i="9"/>
  <c r="F560" i="9"/>
  <c r="E398" i="9"/>
  <c r="O692" i="9"/>
  <c r="O704" i="9"/>
  <c r="O701" i="9"/>
  <c r="O728" i="9"/>
  <c r="O731" i="9"/>
  <c r="B1078" i="24"/>
  <c r="B1075" i="24"/>
  <c r="D296" i="22"/>
  <c r="B119" i="14"/>
  <c r="B72" i="14" s="1"/>
  <c r="E554" i="9"/>
  <c r="E580" i="9" s="1"/>
  <c r="E572" i="9"/>
  <c r="E548" i="9"/>
  <c r="E424" i="9"/>
  <c r="F546" i="9"/>
  <c r="E508" i="9"/>
  <c r="F506" i="9"/>
  <c r="E514" i="9"/>
  <c r="E532" i="9"/>
  <c r="E586" i="9"/>
  <c r="E384" i="9"/>
  <c r="D580" i="9"/>
  <c r="AH1409" i="24"/>
  <c r="S31" i="16"/>
  <c r="D43" i="16"/>
  <c r="AM1392" i="24"/>
  <c r="AM1394" i="24" s="1"/>
  <c r="Y43" i="16"/>
  <c r="BC1392" i="24"/>
  <c r="BC1394" i="24" s="1"/>
  <c r="AC1409" i="24"/>
  <c r="L43" i="16"/>
  <c r="AS1392" i="24"/>
  <c r="AS1394" i="24" s="1"/>
  <c r="X1394" i="24"/>
  <c r="N41" i="16"/>
  <c r="K43" i="16"/>
  <c r="N43" i="16" s="1"/>
  <c r="AR1392" i="24"/>
  <c r="AR1394" i="24" s="1"/>
  <c r="S563" i="24"/>
  <c r="S599" i="24"/>
  <c r="S590" i="24"/>
  <c r="S602" i="24"/>
  <c r="M736" i="9"/>
  <c r="C416" i="9"/>
  <c r="C496" i="9" s="1"/>
  <c r="C470" i="9"/>
  <c r="S728" i="9"/>
  <c r="S731" i="9"/>
  <c r="H743" i="9"/>
  <c r="G563" i="24"/>
  <c r="G599" i="24"/>
  <c r="G590" i="24"/>
  <c r="G602" i="24"/>
  <c r="T736" i="9"/>
  <c r="F692" i="9"/>
  <c r="F704" i="9"/>
  <c r="F701" i="9"/>
  <c r="C404" i="9"/>
  <c r="C407" i="9"/>
  <c r="C479" i="9"/>
  <c r="C111" i="24"/>
  <c r="D111" i="24" s="1"/>
  <c r="C114" i="24"/>
  <c r="F37" i="16"/>
  <c r="AL1431" i="24"/>
  <c r="J47" i="16"/>
  <c r="AO1413" i="24"/>
  <c r="J37" i="16"/>
  <c r="AO1431" i="24"/>
  <c r="O32" i="16"/>
  <c r="O33" i="16" s="1"/>
  <c r="R33" i="16" s="1"/>
  <c r="L32" i="16"/>
  <c r="AS1408" i="24" s="1"/>
  <c r="W32" i="16"/>
  <c r="W33" i="16" s="1"/>
  <c r="H319" i="24"/>
  <c r="H355" i="24"/>
  <c r="H346" i="24"/>
  <c r="H358" i="24"/>
  <c r="B419" i="24"/>
  <c r="B435" i="24"/>
  <c r="E52" i="13"/>
  <c r="C345" i="9"/>
  <c r="C369" i="9"/>
  <c r="C448" i="24"/>
  <c r="C302" i="9"/>
  <c r="C347" i="9"/>
  <c r="C373" i="9" s="1"/>
  <c r="D827" i="9"/>
  <c r="D863" i="9"/>
  <c r="D854" i="9"/>
  <c r="D866" i="9"/>
  <c r="F41" i="16"/>
  <c r="C43" i="16"/>
  <c r="AL1392" i="24"/>
  <c r="AL1394" i="24" s="1"/>
  <c r="X31" i="16"/>
  <c r="K1394" i="24"/>
  <c r="AA1409" i="24"/>
  <c r="Q1394" i="24"/>
  <c r="U31" i="16"/>
  <c r="E43" i="16"/>
  <c r="AN1392" i="24"/>
  <c r="AN1394" i="24" s="1"/>
  <c r="O346" i="24"/>
  <c r="O358" i="24"/>
  <c r="O319" i="24"/>
  <c r="O355" i="24"/>
  <c r="C912" i="22"/>
  <c r="C918" i="22"/>
  <c r="C280" i="9"/>
  <c r="C256" i="9"/>
  <c r="C213" i="9"/>
  <c r="D339" i="9"/>
  <c r="C490" i="9"/>
  <c r="N692" i="9"/>
  <c r="N704" i="9"/>
  <c r="N701" i="9"/>
  <c r="T728" i="9"/>
  <c r="T731" i="9"/>
  <c r="T742" i="9"/>
  <c r="E173" i="22" l="1"/>
  <c r="H21" i="4"/>
  <c r="H26" i="17"/>
  <c r="G13" i="5"/>
  <c r="L421" i="2"/>
  <c r="BH126" i="27"/>
  <c r="M724" i="24"/>
  <c r="M685" i="24"/>
  <c r="M721" i="24"/>
  <c r="M712" i="24"/>
  <c r="G419" i="7"/>
  <c r="G413" i="7"/>
  <c r="G397" i="7"/>
  <c r="E399" i="7"/>
  <c r="D407" i="7"/>
  <c r="D404" i="7"/>
  <c r="C77" i="26"/>
  <c r="F399" i="7"/>
  <c r="D75" i="26"/>
  <c r="F405" i="7"/>
  <c r="L286" i="2"/>
  <c r="H411" i="7"/>
  <c r="AB101" i="27"/>
  <c r="I411" i="7"/>
  <c r="E418" i="7"/>
  <c r="E421" i="7"/>
  <c r="Q685" i="24"/>
  <c r="Q721" i="24"/>
  <c r="Q712" i="24"/>
  <c r="Q724" i="24"/>
  <c r="G685" i="24"/>
  <c r="G721" i="24"/>
  <c r="G712" i="24"/>
  <c r="G724" i="24"/>
  <c r="G23" i="4"/>
  <c r="E168" i="26" s="1"/>
  <c r="E166" i="26"/>
  <c r="F421" i="7"/>
  <c r="F418" i="7"/>
  <c r="E685" i="24"/>
  <c r="E721" i="24"/>
  <c r="E712" i="24"/>
  <c r="E724" i="24"/>
  <c r="E57" i="13"/>
  <c r="D57" i="13"/>
  <c r="E612" i="9"/>
  <c r="D60" i="13"/>
  <c r="E60" i="13" s="1"/>
  <c r="B1148" i="24"/>
  <c r="B1160" i="24"/>
  <c r="C215" i="9"/>
  <c r="C239" i="9"/>
  <c r="U33" i="16"/>
  <c r="AZ1407" i="24"/>
  <c r="AZ1409" i="24" s="1"/>
  <c r="X33" i="16"/>
  <c r="BB1407" i="24"/>
  <c r="BB1409" i="24" s="1"/>
  <c r="C484" i="9"/>
  <c r="C487" i="9"/>
  <c r="E392" i="9"/>
  <c r="E410" i="9"/>
  <c r="E464" i="9"/>
  <c r="E386" i="9"/>
  <c r="G506" i="9"/>
  <c r="F514" i="9"/>
  <c r="F532" i="9"/>
  <c r="F586" i="9"/>
  <c r="G546" i="9"/>
  <c r="F508" i="9"/>
  <c r="F384" i="9"/>
  <c r="E553" i="9"/>
  <c r="E556" i="9"/>
  <c r="E574" i="9"/>
  <c r="E415" i="9"/>
  <c r="E495" i="9" s="1"/>
  <c r="E469" i="9"/>
  <c r="G511" i="9"/>
  <c r="F537" i="9"/>
  <c r="F591" i="9"/>
  <c r="G551" i="9"/>
  <c r="F389" i="9"/>
  <c r="P705" i="9"/>
  <c r="P741" i="9"/>
  <c r="P744" i="9"/>
  <c r="P732" i="9"/>
  <c r="C1075" i="24"/>
  <c r="C1078" i="24"/>
  <c r="B61" i="22"/>
  <c r="B95" i="22" s="1"/>
  <c r="B83" i="22"/>
  <c r="B377" i="7"/>
  <c r="D418" i="9"/>
  <c r="D472" i="9"/>
  <c r="D449" i="24"/>
  <c r="D303" i="9"/>
  <c r="C39" i="24"/>
  <c r="C36" i="24"/>
  <c r="G33" i="16"/>
  <c r="J31" i="16"/>
  <c r="AO1407" i="24"/>
  <c r="AO1409" i="24" s="1"/>
  <c r="J38" i="16"/>
  <c r="AO1414" i="24"/>
  <c r="F48" i="16"/>
  <c r="C610" i="9"/>
  <c r="C583" i="9"/>
  <c r="C619" i="9"/>
  <c r="C622" i="9"/>
  <c r="C213" i="22"/>
  <c r="C189" i="22"/>
  <c r="C215" i="22" s="1"/>
  <c r="B323" i="11"/>
  <c r="B74" i="12" s="1"/>
  <c r="B513" i="11"/>
  <c r="B466" i="11"/>
  <c r="B42" i="12"/>
  <c r="A107" i="26"/>
  <c r="C356" i="7"/>
  <c r="C369" i="7"/>
  <c r="C377" i="7" s="1"/>
  <c r="C32" i="14"/>
  <c r="C104" i="14" s="1"/>
  <c r="C53" i="22"/>
  <c r="C87" i="22" s="1"/>
  <c r="D115" i="22"/>
  <c r="D123" i="22" s="1"/>
  <c r="E143" i="22"/>
  <c r="E266" i="22"/>
  <c r="C38" i="14"/>
  <c r="C46" i="14" s="1"/>
  <c r="C82" i="14"/>
  <c r="D102" i="22"/>
  <c r="E156" i="22"/>
  <c r="E164" i="22" s="1"/>
  <c r="E279" i="22"/>
  <c r="E287" i="22" s="1"/>
  <c r="C347" i="22"/>
  <c r="C355" i="22" s="1"/>
  <c r="C57" i="22"/>
  <c r="C91" i="22" s="1"/>
  <c r="C375" i="22"/>
  <c r="C383" i="22" s="1"/>
  <c r="C49" i="22"/>
  <c r="C361" i="22"/>
  <c r="C369" i="22" s="1"/>
  <c r="B83" i="26"/>
  <c r="C1238" i="24"/>
  <c r="E337" i="22"/>
  <c r="C123" i="13"/>
  <c r="E29" i="24"/>
  <c r="F29" i="24" s="1"/>
  <c r="F31" i="24" s="1"/>
  <c r="AT27" i="27"/>
  <c r="C91" i="16"/>
  <c r="E541" i="9"/>
  <c r="E621" i="9" s="1"/>
  <c r="E595" i="9"/>
  <c r="B80" i="13"/>
  <c r="B43" i="14"/>
  <c r="D271" i="22"/>
  <c r="D297" i="22" s="1"/>
  <c r="D295" i="22"/>
  <c r="B361" i="7"/>
  <c r="B385" i="7"/>
  <c r="C492" i="9"/>
  <c r="E705" i="9"/>
  <c r="E741" i="9"/>
  <c r="E744" i="9"/>
  <c r="E732" i="9"/>
  <c r="O732" i="9"/>
  <c r="O744" i="9"/>
  <c r="O705" i="9"/>
  <c r="O741" i="9"/>
  <c r="L705" i="9"/>
  <c r="L741" i="9"/>
  <c r="L744" i="9"/>
  <c r="L732" i="9"/>
  <c r="B941" i="22"/>
  <c r="B919" i="22"/>
  <c r="B945" i="22" s="1"/>
  <c r="B916" i="22"/>
  <c r="F552" i="9"/>
  <c r="F576" i="9"/>
  <c r="F428" i="9"/>
  <c r="AO1394" i="24"/>
  <c r="V48" i="16"/>
  <c r="C488" i="11"/>
  <c r="C1184" i="24" s="1"/>
  <c r="C494" i="11"/>
  <c r="C1143" i="24" s="1"/>
  <c r="C508" i="11"/>
  <c r="C11" i="12"/>
  <c r="C19" i="12" s="1"/>
  <c r="C104" i="13"/>
  <c r="D197" i="22"/>
  <c r="D205" i="22" s="1"/>
  <c r="E225" i="22"/>
  <c r="C105" i="13"/>
  <c r="C137" i="13" s="1"/>
  <c r="C106" i="13"/>
  <c r="C138" i="13" s="1"/>
  <c r="E320" i="22"/>
  <c r="E328" i="22" s="1"/>
  <c r="C899" i="22"/>
  <c r="C901" i="22" s="1"/>
  <c r="C8" i="21" s="1"/>
  <c r="E307" i="22"/>
  <c r="D184" i="22"/>
  <c r="E238" i="22"/>
  <c r="E246" i="22" s="1"/>
  <c r="C1195" i="24"/>
  <c r="B69" i="26"/>
  <c r="D360" i="9"/>
  <c r="D457" i="24"/>
  <c r="D311" i="9"/>
  <c r="D348" i="9"/>
  <c r="D445" i="24"/>
  <c r="D299" i="9"/>
  <c r="C419" i="24"/>
  <c r="C421" i="24" s="1"/>
  <c r="C435" i="24"/>
  <c r="D491" i="9"/>
  <c r="A161" i="26"/>
  <c r="B13" i="4"/>
  <c r="B1371" i="24"/>
  <c r="B521" i="11" s="1"/>
  <c r="B1196" i="24"/>
  <c r="B1202" i="24"/>
  <c r="D239" i="22"/>
  <c r="D245" i="22"/>
  <c r="B109" i="13"/>
  <c r="B102" i="13"/>
  <c r="B131" i="13"/>
  <c r="N48" i="16"/>
  <c r="Z48" i="16"/>
  <c r="B107" i="13"/>
  <c r="B136" i="13"/>
  <c r="B1239" i="24"/>
  <c r="B1245" i="24"/>
  <c r="B51" i="14"/>
  <c r="D273" i="22"/>
  <c r="D291" i="22"/>
  <c r="D267" i="22"/>
  <c r="B50" i="22"/>
  <c r="B82" i="22"/>
  <c r="B60" i="22"/>
  <c r="B39" i="14"/>
  <c r="B45" i="14"/>
  <c r="C116" i="22"/>
  <c r="C122" i="22"/>
  <c r="B376" i="7"/>
  <c r="B370" i="7"/>
  <c r="D480" i="11"/>
  <c r="D1077" i="24"/>
  <c r="C1220" i="24"/>
  <c r="C1223" i="24"/>
  <c r="C272" i="9"/>
  <c r="C928" i="22"/>
  <c r="C463" i="24"/>
  <c r="C475" i="24"/>
  <c r="F705" i="9"/>
  <c r="F741" i="9"/>
  <c r="F744" i="9"/>
  <c r="F732" i="9"/>
  <c r="F43" i="16"/>
  <c r="B24" i="3"/>
  <c r="F548" i="9"/>
  <c r="F554" i="9"/>
  <c r="F572" i="9"/>
  <c r="F424" i="9"/>
  <c r="E406" i="9"/>
  <c r="E486" i="9" s="1"/>
  <c r="E478" i="9"/>
  <c r="Z32" i="16"/>
  <c r="BA1408" i="24"/>
  <c r="E426" i="9"/>
  <c r="E432" i="9"/>
  <c r="E450" i="9"/>
  <c r="F568" i="9"/>
  <c r="F438" i="9"/>
  <c r="F446" i="9" s="1"/>
  <c r="C304" i="9"/>
  <c r="C328" i="9"/>
  <c r="C306" i="9"/>
  <c r="C332" i="9" s="1"/>
  <c r="C371" i="9"/>
  <c r="C346" i="9"/>
  <c r="C349" i="9"/>
  <c r="R32" i="16"/>
  <c r="AU1408" i="24"/>
  <c r="S33" i="16"/>
  <c r="V33" i="16" s="1"/>
  <c r="V31" i="16"/>
  <c r="AX1407" i="24"/>
  <c r="AX1409" i="24" s="1"/>
  <c r="E513" i="9"/>
  <c r="E516" i="9"/>
  <c r="E534" i="9"/>
  <c r="E614" i="9" s="1"/>
  <c r="E588" i="9"/>
  <c r="E430" i="9"/>
  <c r="E456" i="9" s="1"/>
  <c r="E454" i="9"/>
  <c r="F577" i="9"/>
  <c r="F429" i="9"/>
  <c r="F455" i="9" s="1"/>
  <c r="N1453" i="24"/>
  <c r="C493" i="11"/>
  <c r="C1142" i="24" s="1"/>
  <c r="C481" i="11"/>
  <c r="C507" i="11"/>
  <c r="C10" i="12"/>
  <c r="C487" i="11"/>
  <c r="C1183" i="24" s="1"/>
  <c r="C100" i="13"/>
  <c r="E224" i="22"/>
  <c r="C101" i="13"/>
  <c r="C99" i="13"/>
  <c r="D183" i="22"/>
  <c r="E319" i="22"/>
  <c r="D196" i="22"/>
  <c r="E306" i="22"/>
  <c r="E237" i="22"/>
  <c r="C895" i="22"/>
  <c r="B68" i="26"/>
  <c r="C1194" i="24"/>
  <c r="C78" i="22"/>
  <c r="D132" i="22"/>
  <c r="D151" i="22"/>
  <c r="D177" i="22" s="1"/>
  <c r="D169" i="22"/>
  <c r="C110" i="22"/>
  <c r="C136" i="22" s="1"/>
  <c r="C128" i="22"/>
  <c r="B364" i="7"/>
  <c r="B382" i="7"/>
  <c r="T705" i="9"/>
  <c r="T741" i="9"/>
  <c r="T744" i="9"/>
  <c r="T732" i="9"/>
  <c r="D620" i="9"/>
  <c r="D391" i="9"/>
  <c r="D394" i="9"/>
  <c r="D412" i="9"/>
  <c r="D466" i="9"/>
  <c r="D416" i="9"/>
  <c r="D496" i="9" s="1"/>
  <c r="D470" i="9"/>
  <c r="E566" i="9"/>
  <c r="E569" i="9"/>
  <c r="D312" i="22"/>
  <c r="D338" i="22" s="1"/>
  <c r="D336" i="22"/>
  <c r="B126" i="13"/>
  <c r="B127" i="13"/>
  <c r="A73" i="26"/>
  <c r="B1181" i="24"/>
  <c r="C1376" i="24"/>
  <c r="C526" i="11" s="1"/>
  <c r="C57" i="12" s="1"/>
  <c r="B436" i="24"/>
  <c r="B439" i="24"/>
  <c r="E33" i="24"/>
  <c r="BJ27" i="27"/>
  <c r="G523" i="9"/>
  <c r="F603" i="9"/>
  <c r="G563" i="9"/>
  <c r="F525" i="9"/>
  <c r="F401" i="9"/>
  <c r="G18" i="19"/>
  <c r="F1496" i="24"/>
  <c r="E393" i="9"/>
  <c r="E411" i="9"/>
  <c r="E465" i="9"/>
  <c r="G507" i="9"/>
  <c r="F515" i="9"/>
  <c r="F533" i="9"/>
  <c r="F587" i="9"/>
  <c r="G547" i="9"/>
  <c r="F385" i="9"/>
  <c r="B101" i="14"/>
  <c r="A87" i="26"/>
  <c r="D148" i="22"/>
  <c r="D174" i="22" s="1"/>
  <c r="D172" i="22"/>
  <c r="B374" i="7"/>
  <c r="I33" i="16"/>
  <c r="AQ1407" i="24"/>
  <c r="AQ1409" i="24" s="1"/>
  <c r="C457" i="9"/>
  <c r="C460" i="9"/>
  <c r="C448" i="9"/>
  <c r="D458" i="9"/>
  <c r="B464" i="24"/>
  <c r="B467" i="24"/>
  <c r="B472" i="24"/>
  <c r="B29" i="21" s="1"/>
  <c r="B31" i="21" s="1"/>
  <c r="B276" i="9"/>
  <c r="B289" i="9" s="1"/>
  <c r="B227" i="9"/>
  <c r="B281" i="9"/>
  <c r="B269" i="9"/>
  <c r="C353" i="9"/>
  <c r="E607" i="9"/>
  <c r="D485" i="9"/>
  <c r="Q705" i="9"/>
  <c r="Q741" i="9"/>
  <c r="Q744" i="9"/>
  <c r="Q732" i="9"/>
  <c r="J43" i="16"/>
  <c r="C234" i="9"/>
  <c r="C222" i="9"/>
  <c r="D419" i="9"/>
  <c r="D499" i="9" s="1"/>
  <c r="D473" i="9"/>
  <c r="B245" i="9"/>
  <c r="B223" i="9"/>
  <c r="B220" i="9"/>
  <c r="M705" i="9"/>
  <c r="M732" i="9"/>
  <c r="M741" i="9"/>
  <c r="M744" i="9"/>
  <c r="D614" i="9"/>
  <c r="D327" i="22"/>
  <c r="D321" i="22"/>
  <c r="D232" i="22"/>
  <c r="D258" i="22" s="1"/>
  <c r="D250" i="22"/>
  <c r="D226" i="22"/>
  <c r="C198" i="22"/>
  <c r="C204" i="22"/>
  <c r="B18" i="12"/>
  <c r="B12" i="12"/>
  <c r="J32" i="16"/>
  <c r="N705" i="9"/>
  <c r="N741" i="9"/>
  <c r="N744" i="9"/>
  <c r="N732" i="9"/>
  <c r="S732" i="9"/>
  <c r="S744" i="9"/>
  <c r="S705" i="9"/>
  <c r="S741" i="9"/>
  <c r="B1372" i="24"/>
  <c r="B1380" i="24" s="1"/>
  <c r="B1203" i="24"/>
  <c r="B138" i="13"/>
  <c r="D163" i="22"/>
  <c r="D157" i="22"/>
  <c r="B348" i="22"/>
  <c r="B354" i="22"/>
  <c r="B86" i="22"/>
  <c r="B54" i="22"/>
  <c r="D24" i="14"/>
  <c r="D1222" i="24"/>
  <c r="D483" i="11"/>
  <c r="D1074" i="24"/>
  <c r="C355" i="7"/>
  <c r="C368" i="7"/>
  <c r="C37" i="14"/>
  <c r="C1237" i="24" s="1"/>
  <c r="C81" i="14"/>
  <c r="E142" i="22"/>
  <c r="E265" i="22"/>
  <c r="C25" i="14"/>
  <c r="C52" i="22"/>
  <c r="D114" i="22"/>
  <c r="C8" i="14"/>
  <c r="C31" i="14"/>
  <c r="C103" i="14" s="1"/>
  <c r="C48" i="22"/>
  <c r="C56" i="22"/>
  <c r="E155" i="22"/>
  <c r="E278" i="22"/>
  <c r="C360" i="22"/>
  <c r="C346" i="22"/>
  <c r="D101" i="22"/>
  <c r="C374" i="22"/>
  <c r="B82" i="26"/>
  <c r="N32" i="16"/>
  <c r="Q345" i="2"/>
  <c r="O24" i="15"/>
  <c r="V120" i="27"/>
  <c r="E55" i="13"/>
  <c r="C258" i="9"/>
  <c r="C474" i="24"/>
  <c r="C923" i="22"/>
  <c r="C450" i="24"/>
  <c r="C452" i="24"/>
  <c r="C478" i="24" s="1"/>
  <c r="G560" i="9"/>
  <c r="G520" i="9"/>
  <c r="F528" i="9"/>
  <c r="F608" i="9" s="1"/>
  <c r="F600" i="9"/>
  <c r="F398" i="9"/>
  <c r="H705" i="9"/>
  <c r="H741" i="9"/>
  <c r="H732" i="9"/>
  <c r="H744" i="9"/>
  <c r="C61" i="13"/>
  <c r="C58" i="13"/>
  <c r="C119" i="14"/>
  <c r="J741" i="9"/>
  <c r="J744" i="9"/>
  <c r="J732" i="9"/>
  <c r="J705" i="9"/>
  <c r="Z43" i="16"/>
  <c r="B90" i="14"/>
  <c r="B115" i="14"/>
  <c r="B68" i="14"/>
  <c r="AU1409" i="24"/>
  <c r="E33" i="16"/>
  <c r="F33" i="16" s="1"/>
  <c r="AN1407" i="24"/>
  <c r="AN1409" i="24" s="1"/>
  <c r="B372" i="9"/>
  <c r="B375" i="9"/>
  <c r="B363" i="9"/>
  <c r="D606" i="9"/>
  <c r="D609" i="9"/>
  <c r="C415" i="24"/>
  <c r="C431" i="24"/>
  <c r="C437" i="24"/>
  <c r="B1200" i="24"/>
  <c r="B1375" i="24"/>
  <c r="B1377" i="24" s="1"/>
  <c r="B125" i="13"/>
  <c r="B118" i="13"/>
  <c r="B499" i="11"/>
  <c r="B28" i="12"/>
  <c r="C43" i="12"/>
  <c r="C467" i="11"/>
  <c r="C324" i="11"/>
  <c r="C75" i="12" s="1"/>
  <c r="B108" i="26"/>
  <c r="D705" i="9"/>
  <c r="D741" i="9"/>
  <c r="D744" i="9"/>
  <c r="D732" i="9"/>
  <c r="D35" i="24"/>
  <c r="D433" i="24"/>
  <c r="E30" i="24"/>
  <c r="BB27" i="27"/>
  <c r="F555" i="9"/>
  <c r="F581" i="9" s="1"/>
  <c r="F573" i="9"/>
  <c r="F425" i="9"/>
  <c r="B1243" i="24"/>
  <c r="B55" i="14"/>
  <c r="B134" i="14"/>
  <c r="B135" i="14"/>
  <c r="C131" i="22"/>
  <c r="C107" i="22"/>
  <c r="C133" i="22" s="1"/>
  <c r="BA1409" i="24"/>
  <c r="I705" i="9"/>
  <c r="I741" i="9"/>
  <c r="I744" i="9"/>
  <c r="I732" i="9"/>
  <c r="C408" i="9"/>
  <c r="C417" i="9"/>
  <c r="C420" i="9"/>
  <c r="C471" i="9"/>
  <c r="C474" i="9"/>
  <c r="G27" i="4"/>
  <c r="G1438" i="24"/>
  <c r="B162" i="12"/>
  <c r="B345" i="7"/>
  <c r="B57" i="12"/>
  <c r="E390" i="9"/>
  <c r="E414" i="9"/>
  <c r="E494" i="9" s="1"/>
  <c r="E468" i="9"/>
  <c r="E616" i="9"/>
  <c r="E399" i="9"/>
  <c r="E405" i="9"/>
  <c r="E477" i="9"/>
  <c r="G559" i="9"/>
  <c r="F521" i="9"/>
  <c r="G519" i="9"/>
  <c r="F527" i="9"/>
  <c r="F599" i="9"/>
  <c r="F397" i="9"/>
  <c r="D404" i="9"/>
  <c r="D407" i="9"/>
  <c r="D479" i="9"/>
  <c r="AL1432" i="24"/>
  <c r="C497" i="11"/>
  <c r="C485" i="11"/>
  <c r="C511" i="11"/>
  <c r="C14" i="12"/>
  <c r="C16" i="12" s="1"/>
  <c r="C116" i="13"/>
  <c r="C126" i="13" s="1"/>
  <c r="D200" i="22"/>
  <c r="D202" i="22" s="1"/>
  <c r="E241" i="22"/>
  <c r="E243" i="22" s="1"/>
  <c r="C117" i="13"/>
  <c r="C127" i="13" s="1"/>
  <c r="C115" i="13"/>
  <c r="D187" i="22"/>
  <c r="E323" i="22"/>
  <c r="E325" i="22" s="1"/>
  <c r="C896" i="22"/>
  <c r="C904" i="22" s="1"/>
  <c r="E228" i="22"/>
  <c r="E310" i="22"/>
  <c r="C1198" i="24"/>
  <c r="B71" i="26"/>
  <c r="C1146" i="24"/>
  <c r="B488" i="9"/>
  <c r="B461" i="9"/>
  <c r="B497" i="9"/>
  <c r="B500" i="9"/>
  <c r="C438" i="24"/>
  <c r="C416" i="24"/>
  <c r="C424" i="24" s="1"/>
  <c r="K33" i="16"/>
  <c r="N31" i="16"/>
  <c r="AR1407" i="24"/>
  <c r="AR1409" i="24" s="1"/>
  <c r="B1144" i="24"/>
  <c r="B1150" i="24"/>
  <c r="B1156" i="24"/>
  <c r="C185" i="22"/>
  <c r="C209" i="22"/>
  <c r="C191" i="22"/>
  <c r="C217" i="22" s="1"/>
  <c r="D308" i="22"/>
  <c r="D314" i="22"/>
  <c r="D340" i="22" s="1"/>
  <c r="D332" i="22"/>
  <c r="B133" i="13"/>
  <c r="B111" i="13"/>
  <c r="B319" i="11"/>
  <c r="B70" i="12" s="1"/>
  <c r="B515" i="11"/>
  <c r="B509" i="11"/>
  <c r="B462" i="11"/>
  <c r="B38" i="12"/>
  <c r="A104" i="26"/>
  <c r="AR1432" i="24"/>
  <c r="AU1414" i="24"/>
  <c r="D233" i="22"/>
  <c r="D259" i="22" s="1"/>
  <c r="D251" i="22"/>
  <c r="C192" i="22"/>
  <c r="C218" i="22" s="1"/>
  <c r="C210" i="22"/>
  <c r="B463" i="11"/>
  <c r="B320" i="11"/>
  <c r="B71" i="12" s="1"/>
  <c r="B516" i="11"/>
  <c r="B39" i="12"/>
  <c r="A105" i="26"/>
  <c r="B362" i="22"/>
  <c r="B368" i="22"/>
  <c r="D150" i="22"/>
  <c r="D168" i="22"/>
  <c r="D144" i="22"/>
  <c r="B58" i="22"/>
  <c r="B90" i="22"/>
  <c r="B10" i="14"/>
  <c r="B97" i="14"/>
  <c r="A84" i="26"/>
  <c r="B33" i="14"/>
  <c r="B30" i="14"/>
  <c r="E15" i="12"/>
  <c r="E484" i="11"/>
  <c r="D498" i="11"/>
  <c r="D1147" i="24" s="1"/>
  <c r="D1161" i="24" s="1"/>
  <c r="D197" i="13" s="1"/>
  <c r="D512" i="11"/>
  <c r="D15" i="12"/>
  <c r="E201" i="22"/>
  <c r="D120" i="13"/>
  <c r="D121" i="13"/>
  <c r="E121" i="13" s="1"/>
  <c r="D122" i="13"/>
  <c r="E122" i="13" s="1"/>
  <c r="D900" i="22"/>
  <c r="F229" i="22"/>
  <c r="F324" i="22"/>
  <c r="E188" i="22"/>
  <c r="F242" i="22"/>
  <c r="F311" i="22"/>
  <c r="F337" i="22" s="1"/>
  <c r="D1199" i="24"/>
  <c r="C72" i="26"/>
  <c r="D479" i="11"/>
  <c r="D1070" i="24"/>
  <c r="D1076" i="24"/>
  <c r="D27" i="14"/>
  <c r="D1219" i="24"/>
  <c r="D1422" i="24"/>
  <c r="D1424" i="24" s="1"/>
  <c r="D1423" i="24"/>
  <c r="D59" i="13"/>
  <c r="E59" i="13" s="1"/>
  <c r="D53" i="13"/>
  <c r="E51" i="13"/>
  <c r="AL1409" i="24"/>
  <c r="AS1409" i="24"/>
  <c r="D341" i="9"/>
  <c r="D365" i="9"/>
  <c r="D444" i="24"/>
  <c r="D298" i="9"/>
  <c r="B421" i="24"/>
  <c r="E540" i="9"/>
  <c r="E620" i="9" s="1"/>
  <c r="E594" i="9"/>
  <c r="C386" i="7"/>
  <c r="G524" i="9"/>
  <c r="F604" i="9"/>
  <c r="G564" i="9"/>
  <c r="G442" i="9" s="1"/>
  <c r="F402" i="9"/>
  <c r="F482" i="9" s="1"/>
  <c r="D38" i="24"/>
  <c r="D430" i="24"/>
  <c r="F30" i="24"/>
  <c r="B1246" i="24"/>
  <c r="B52" i="14"/>
  <c r="D274" i="22"/>
  <c r="D300" i="22" s="1"/>
  <c r="D292" i="22"/>
  <c r="B46" i="14"/>
  <c r="G732" i="9"/>
  <c r="G744" i="9"/>
  <c r="G705" i="9"/>
  <c r="G741" i="9"/>
  <c r="Y33" i="16"/>
  <c r="BC1407" i="24"/>
  <c r="BC1409" i="24" s="1"/>
  <c r="D494" i="9"/>
  <c r="E445" i="9"/>
  <c r="E439" i="9"/>
  <c r="AO1432" i="24"/>
  <c r="AL1414" i="24"/>
  <c r="D230" i="22"/>
  <c r="D256" i="22" s="1"/>
  <c r="D254" i="22"/>
  <c r="D214" i="22"/>
  <c r="C29" i="12"/>
  <c r="C1147" i="24"/>
  <c r="C1161" i="24" s="1"/>
  <c r="C197" i="13" s="1"/>
  <c r="C359" i="7"/>
  <c r="C372" i="7"/>
  <c r="C374" i="7" s="1"/>
  <c r="C9" i="14"/>
  <c r="C41" i="14"/>
  <c r="C43" i="14" s="1"/>
  <c r="C85" i="14"/>
  <c r="C69" i="22"/>
  <c r="C71" i="22" s="1"/>
  <c r="C154" i="13" s="1"/>
  <c r="C134" i="14" s="1"/>
  <c r="D118" i="22"/>
  <c r="D120" i="22" s="1"/>
  <c r="E159" i="22"/>
  <c r="E161" i="22" s="1"/>
  <c r="C29" i="14"/>
  <c r="D105" i="22"/>
  <c r="C73" i="22"/>
  <c r="C75" i="22" s="1"/>
  <c r="C155" i="13" s="1"/>
  <c r="C135" i="14" s="1"/>
  <c r="E146" i="22"/>
  <c r="E269" i="22"/>
  <c r="C65" i="22"/>
  <c r="E282" i="22"/>
  <c r="E284" i="22" s="1"/>
  <c r="C378" i="22"/>
  <c r="C380" i="22" s="1"/>
  <c r="C364" i="22"/>
  <c r="C366" i="22" s="1"/>
  <c r="C350" i="22"/>
  <c r="C352" i="22" s="1"/>
  <c r="B85" i="26"/>
  <c r="C1241" i="24"/>
  <c r="D444" i="9"/>
  <c r="D447" i="9"/>
  <c r="B423" i="24"/>
  <c r="B417" i="24"/>
  <c r="E34" i="24"/>
  <c r="E434" i="24" s="1"/>
  <c r="E420" i="24" s="1"/>
  <c r="F28" i="27"/>
  <c r="E481" i="9"/>
  <c r="E403" i="9"/>
  <c r="E483" i="9" s="1"/>
  <c r="F565" i="9"/>
  <c r="F441" i="9"/>
  <c r="F443" i="9" s="1"/>
  <c r="E433" i="9"/>
  <c r="E459" i="9" s="1"/>
  <c r="E451" i="9"/>
  <c r="B87" i="14"/>
  <c r="B118" i="14"/>
  <c r="B71" i="14" s="1"/>
  <c r="B77" i="22"/>
  <c r="B67" i="22"/>
  <c r="Z31" i="16"/>
  <c r="R732" i="9"/>
  <c r="R705" i="9"/>
  <c r="R741" i="9"/>
  <c r="R744" i="9"/>
  <c r="F27" i="4"/>
  <c r="E7" i="18"/>
  <c r="F7" i="18"/>
  <c r="D170" i="26"/>
  <c r="E324" i="11"/>
  <c r="F33" i="24"/>
  <c r="D431" i="9"/>
  <c r="D434" i="9"/>
  <c r="D452" i="9"/>
  <c r="B214" i="13"/>
  <c r="E538" i="9"/>
  <c r="E618" i="9" s="1"/>
  <c r="E592" i="9"/>
  <c r="F512" i="9"/>
  <c r="G510" i="9"/>
  <c r="F536" i="9"/>
  <c r="F590" i="9"/>
  <c r="G550" i="9"/>
  <c r="F388" i="9"/>
  <c r="F567" i="9"/>
  <c r="F561" i="9"/>
  <c r="F437" i="9"/>
  <c r="E526" i="9"/>
  <c r="E529" i="9"/>
  <c r="E601" i="9"/>
  <c r="D461" i="24"/>
  <c r="D315" i="9"/>
  <c r="F38" i="16"/>
  <c r="AX1414" i="24"/>
  <c r="D37" i="24"/>
  <c r="D31" i="24"/>
  <c r="D429" i="24"/>
  <c r="E120" i="13"/>
  <c r="D579" i="9"/>
  <c r="D582" i="9"/>
  <c r="D570" i="9"/>
  <c r="D530" i="9"/>
  <c r="D539" i="9"/>
  <c r="D542" i="9"/>
  <c r="D593" i="9"/>
  <c r="D596" i="9"/>
  <c r="B897" i="22"/>
  <c r="B903" i="22"/>
  <c r="B110" i="13"/>
  <c r="B132" i="13"/>
  <c r="B495" i="11"/>
  <c r="B24" i="12"/>
  <c r="B501" i="11"/>
  <c r="B489" i="11"/>
  <c r="B486" i="11"/>
  <c r="B1177" i="24"/>
  <c r="A70" i="26"/>
  <c r="K732" i="9"/>
  <c r="K744" i="9"/>
  <c r="K705" i="9"/>
  <c r="K741" i="9"/>
  <c r="N38" i="16"/>
  <c r="AR1414" i="24"/>
  <c r="R48" i="16"/>
  <c r="BA1414" i="24"/>
  <c r="B1151" i="24"/>
  <c r="B1157" i="24"/>
  <c r="D315" i="22"/>
  <c r="D341" i="22" s="1"/>
  <c r="D333" i="22"/>
  <c r="B137" i="13"/>
  <c r="B502" i="11"/>
  <c r="B25" i="12"/>
  <c r="D286" i="22"/>
  <c r="D280" i="22"/>
  <c r="B376" i="22"/>
  <c r="B382" i="22"/>
  <c r="B83" i="14"/>
  <c r="B114" i="14"/>
  <c r="B89" i="14"/>
  <c r="C103" i="22"/>
  <c r="C109" i="22"/>
  <c r="C135" i="22" s="1"/>
  <c r="C127" i="22"/>
  <c r="B357" i="7"/>
  <c r="B381" i="7"/>
  <c r="B363" i="7"/>
  <c r="D360" i="7"/>
  <c r="D373" i="7"/>
  <c r="E373" i="7" s="1"/>
  <c r="E100" i="14"/>
  <c r="D70" i="22"/>
  <c r="E119" i="22"/>
  <c r="E106" i="22"/>
  <c r="E28" i="14"/>
  <c r="D42" i="14"/>
  <c r="E42" i="14" s="1"/>
  <c r="D86" i="14"/>
  <c r="F147" i="22"/>
  <c r="F270" i="22"/>
  <c r="F160" i="22"/>
  <c r="D379" i="22"/>
  <c r="D74" i="22"/>
  <c r="F283" i="22"/>
  <c r="D365" i="22"/>
  <c r="D66" i="22"/>
  <c r="D351" i="22"/>
  <c r="C86" i="26"/>
  <c r="D23" i="14"/>
  <c r="D1215" i="24"/>
  <c r="D1221" i="24"/>
  <c r="F95" i="14"/>
  <c r="F99" i="14"/>
  <c r="F96" i="14"/>
  <c r="F100" i="14"/>
  <c r="F51" i="13"/>
  <c r="F55" i="13"/>
  <c r="F52" i="13"/>
  <c r="F56" i="13"/>
  <c r="F9" i="24"/>
  <c r="G12" i="24"/>
  <c r="E1073" i="24"/>
  <c r="F484" i="11" s="1"/>
  <c r="E1218" i="24"/>
  <c r="F28" i="14" s="1"/>
  <c r="E1072" i="24"/>
  <c r="E1217" i="24"/>
  <c r="E1069" i="24"/>
  <c r="E1214" i="24"/>
  <c r="E1068" i="24"/>
  <c r="E1213" i="24"/>
  <c r="V32" i="16"/>
  <c r="D434" i="24"/>
  <c r="C329" i="9"/>
  <c r="C317" i="9"/>
  <c r="B424" i="24"/>
  <c r="F31" i="16"/>
  <c r="L33" i="16"/>
  <c r="C80" i="13" l="1"/>
  <c r="C81" i="26"/>
  <c r="E407" i="7"/>
  <c r="E404" i="7"/>
  <c r="G421" i="7"/>
  <c r="G418" i="7"/>
  <c r="F255" i="22"/>
  <c r="D176" i="22"/>
  <c r="H413" i="7"/>
  <c r="I413" i="7" s="1"/>
  <c r="H419" i="7"/>
  <c r="I419" i="7" s="1"/>
  <c r="H397" i="7"/>
  <c r="F616" i="9"/>
  <c r="M286" i="2"/>
  <c r="J411" i="7"/>
  <c r="AD101" i="27"/>
  <c r="F407" i="7"/>
  <c r="D77" i="26"/>
  <c r="F404" i="7"/>
  <c r="F166" i="26"/>
  <c r="H23" i="4"/>
  <c r="F168" i="26" s="1"/>
  <c r="G399" i="7"/>
  <c r="G405" i="7"/>
  <c r="E75" i="26"/>
  <c r="H13" i="5"/>
  <c r="I13" i="5" s="1"/>
  <c r="M421" i="2"/>
  <c r="J26" i="17"/>
  <c r="I21" i="4"/>
  <c r="I26" i="17"/>
  <c r="BJ126" i="27"/>
  <c r="F173" i="22"/>
  <c r="E132" i="22"/>
  <c r="D123" i="13"/>
  <c r="E123" i="13" s="1"/>
  <c r="B525" i="11"/>
  <c r="Z33" i="16"/>
  <c r="B73" i="14"/>
  <c r="B14" i="14"/>
  <c r="E197" i="13"/>
  <c r="B529" i="11"/>
  <c r="B52" i="12"/>
  <c r="C1239" i="24"/>
  <c r="C1245" i="24"/>
  <c r="C51" i="14"/>
  <c r="C1151" i="24"/>
  <c r="C1157" i="24"/>
  <c r="F23" i="14"/>
  <c r="E1215" i="24"/>
  <c r="E1221" i="24"/>
  <c r="B122" i="14"/>
  <c r="B116" i="14"/>
  <c r="F498" i="11"/>
  <c r="F512" i="11"/>
  <c r="F15" i="12"/>
  <c r="F121" i="13"/>
  <c r="F122" i="13"/>
  <c r="F120" i="13"/>
  <c r="F188" i="22"/>
  <c r="G242" i="22"/>
  <c r="G311" i="22"/>
  <c r="F201" i="22"/>
  <c r="E900" i="22"/>
  <c r="G229" i="22"/>
  <c r="G255" i="22" s="1"/>
  <c r="G324" i="22"/>
  <c r="E1199" i="24"/>
  <c r="D72" i="26"/>
  <c r="D78" i="22"/>
  <c r="D119" i="14"/>
  <c r="E119" i="14" s="1"/>
  <c r="E86" i="14"/>
  <c r="D386" i="7"/>
  <c r="E386" i="7" s="1"/>
  <c r="B91" i="14"/>
  <c r="B88" i="14"/>
  <c r="B193" i="13"/>
  <c r="B1165" i="24"/>
  <c r="B25" i="6"/>
  <c r="B21" i="21"/>
  <c r="B1286" i="24"/>
  <c r="B1182" i="24"/>
  <c r="B1285" i="24"/>
  <c r="B1185" i="24"/>
  <c r="B1287" i="24"/>
  <c r="A74" i="26"/>
  <c r="B1288" i="24"/>
  <c r="B1284" i="24"/>
  <c r="B32" i="12"/>
  <c r="B26" i="12"/>
  <c r="B142" i="13"/>
  <c r="C67" i="22"/>
  <c r="C77" i="22"/>
  <c r="D107" i="22"/>
  <c r="D133" i="22" s="1"/>
  <c r="D131" i="22"/>
  <c r="E360" i="7"/>
  <c r="H524" i="9"/>
  <c r="G604" i="9"/>
  <c r="H564" i="9"/>
  <c r="H442" i="9" s="1"/>
  <c r="G402" i="9"/>
  <c r="G482" i="9" s="1"/>
  <c r="D61" i="13"/>
  <c r="D58" i="13"/>
  <c r="E58" i="13" s="1"/>
  <c r="D487" i="11"/>
  <c r="D1183" i="24" s="1"/>
  <c r="E479" i="11"/>
  <c r="E487" i="11"/>
  <c r="D493" i="11"/>
  <c r="D481" i="11"/>
  <c r="D507" i="11"/>
  <c r="D10" i="12"/>
  <c r="E481" i="11"/>
  <c r="E10" i="12"/>
  <c r="D99" i="13"/>
  <c r="F237" i="22"/>
  <c r="D100" i="13"/>
  <c r="D101" i="13"/>
  <c r="E183" i="22"/>
  <c r="F319" i="22"/>
  <c r="E196" i="22"/>
  <c r="F224" i="22"/>
  <c r="F306" i="22"/>
  <c r="D895" i="22"/>
  <c r="C68" i="26"/>
  <c r="D1194" i="24"/>
  <c r="D1142" i="24"/>
  <c r="F34" i="24"/>
  <c r="F35" i="24" s="1"/>
  <c r="F39" i="24" s="1"/>
  <c r="F360" i="7"/>
  <c r="F373" i="7"/>
  <c r="F42" i="14"/>
  <c r="F86" i="14"/>
  <c r="E70" i="22"/>
  <c r="F119" i="22"/>
  <c r="E66" i="22"/>
  <c r="E74" i="22"/>
  <c r="E351" i="22"/>
  <c r="F106" i="22"/>
  <c r="F132" i="22" s="1"/>
  <c r="G147" i="22"/>
  <c r="G270" i="22"/>
  <c r="G296" i="22" s="1"/>
  <c r="G160" i="22"/>
  <c r="E379" i="22"/>
  <c r="G283" i="22"/>
  <c r="E365" i="22"/>
  <c r="D86" i="26"/>
  <c r="G52" i="13"/>
  <c r="G60" i="13" s="1"/>
  <c r="G56" i="13"/>
  <c r="G95" i="14"/>
  <c r="G99" i="14"/>
  <c r="G96" i="14"/>
  <c r="G100" i="14"/>
  <c r="G51" i="13"/>
  <c r="G55" i="13"/>
  <c r="G57" i="13" s="1"/>
  <c r="F1068" i="24"/>
  <c r="F1213" i="24"/>
  <c r="G9" i="24"/>
  <c r="F1073" i="24"/>
  <c r="G484" i="11" s="1"/>
  <c r="F1218" i="24"/>
  <c r="G28" i="14" s="1"/>
  <c r="F1072" i="24"/>
  <c r="F1217" i="24"/>
  <c r="H12" i="24"/>
  <c r="F1069" i="24"/>
  <c r="F1214" i="24"/>
  <c r="F57" i="13"/>
  <c r="D355" i="7"/>
  <c r="D368" i="7"/>
  <c r="D8" i="14"/>
  <c r="D31" i="14"/>
  <c r="D48" i="22"/>
  <c r="D56" i="22"/>
  <c r="F155" i="22"/>
  <c r="E8" i="14"/>
  <c r="E23" i="14"/>
  <c r="E31" i="14"/>
  <c r="D37" i="14"/>
  <c r="D1237" i="24" s="1"/>
  <c r="D81" i="14"/>
  <c r="D25" i="14"/>
  <c r="E25" i="14"/>
  <c r="E95" i="14"/>
  <c r="E101" i="22"/>
  <c r="F142" i="22"/>
  <c r="F265" i="22"/>
  <c r="D374" i="22"/>
  <c r="F278" i="22"/>
  <c r="D360" i="22"/>
  <c r="E114" i="22"/>
  <c r="D346" i="22"/>
  <c r="D52" i="22"/>
  <c r="C82" i="26"/>
  <c r="B389" i="7"/>
  <c r="B503" i="11"/>
  <c r="B500" i="11"/>
  <c r="D437" i="24"/>
  <c r="D415" i="24"/>
  <c r="D431" i="24"/>
  <c r="E606" i="9"/>
  <c r="E609" i="9"/>
  <c r="F390" i="9"/>
  <c r="F414" i="9"/>
  <c r="F468" i="9"/>
  <c r="G512" i="9"/>
  <c r="H510" i="9"/>
  <c r="G536" i="9"/>
  <c r="G590" i="9"/>
  <c r="H550" i="9"/>
  <c r="G388" i="9"/>
  <c r="D457" i="9"/>
  <c r="D460" i="9"/>
  <c r="D448" i="9"/>
  <c r="B422" i="24"/>
  <c r="B425" i="24"/>
  <c r="E271" i="22"/>
  <c r="E297" i="22" s="1"/>
  <c r="E295" i="22"/>
  <c r="C87" i="14"/>
  <c r="C118" i="14"/>
  <c r="C120" i="14" s="1"/>
  <c r="C71" i="14"/>
  <c r="C361" i="7"/>
  <c r="C387" i="7" s="1"/>
  <c r="C385" i="7"/>
  <c r="E444" i="9"/>
  <c r="E447" i="9"/>
  <c r="D359" i="7"/>
  <c r="D372" i="7"/>
  <c r="D374" i="7" s="1"/>
  <c r="D9" i="14"/>
  <c r="E27" i="14"/>
  <c r="D41" i="14"/>
  <c r="D43" i="14" s="1"/>
  <c r="D85" i="14"/>
  <c r="D69" i="22"/>
  <c r="D71" i="22" s="1"/>
  <c r="D154" i="13" s="1"/>
  <c r="D134" i="14" s="1"/>
  <c r="E118" i="22"/>
  <c r="E120" i="22" s="1"/>
  <c r="E9" i="14"/>
  <c r="D29" i="14"/>
  <c r="E29" i="14"/>
  <c r="E99" i="14"/>
  <c r="D65" i="22"/>
  <c r="D73" i="22"/>
  <c r="D75" i="22" s="1"/>
  <c r="D155" i="13" s="1"/>
  <c r="D135" i="14" s="1"/>
  <c r="E105" i="22"/>
  <c r="D350" i="22"/>
  <c r="D352" i="22" s="1"/>
  <c r="F146" i="22"/>
  <c r="F159" i="22"/>
  <c r="F161" i="22" s="1"/>
  <c r="F269" i="22"/>
  <c r="F282" i="22"/>
  <c r="F284" i="22" s="1"/>
  <c r="D378" i="22"/>
  <c r="D380" i="22" s="1"/>
  <c r="D364" i="22"/>
  <c r="D366" i="22" s="1"/>
  <c r="C85" i="26"/>
  <c r="D1241" i="24"/>
  <c r="E214" i="22"/>
  <c r="D149" i="22"/>
  <c r="D152" i="22"/>
  <c r="D170" i="22"/>
  <c r="B367" i="22"/>
  <c r="B370" i="22"/>
  <c r="B471" i="11"/>
  <c r="B328" i="11"/>
  <c r="B40" i="12"/>
  <c r="B46" i="12"/>
  <c r="B464" i="11"/>
  <c r="B321" i="11"/>
  <c r="B517" i="11"/>
  <c r="B514" i="11"/>
  <c r="A106" i="26"/>
  <c r="C190" i="22"/>
  <c r="C193" i="22"/>
  <c r="C211" i="22"/>
  <c r="C1375" i="24"/>
  <c r="C1377" i="24" s="1"/>
  <c r="C1200" i="24"/>
  <c r="C466" i="11"/>
  <c r="C323" i="11"/>
  <c r="C74" i="12" s="1"/>
  <c r="C513" i="11"/>
  <c r="C42" i="12"/>
  <c r="C44" i="12" s="1"/>
  <c r="B107" i="26"/>
  <c r="G561" i="9"/>
  <c r="G567" i="9"/>
  <c r="G437" i="9"/>
  <c r="C162" i="12"/>
  <c r="C345" i="7"/>
  <c r="C436" i="24"/>
  <c r="C439" i="24"/>
  <c r="B123" i="14"/>
  <c r="C72" i="14"/>
  <c r="C260" i="9"/>
  <c r="C284" i="9"/>
  <c r="C217" i="9"/>
  <c r="D343" i="9"/>
  <c r="C262" i="9"/>
  <c r="C288" i="9" s="1"/>
  <c r="C348" i="22"/>
  <c r="C354" i="22"/>
  <c r="C58" i="22"/>
  <c r="C90" i="22"/>
  <c r="D116" i="22"/>
  <c r="D122" i="22"/>
  <c r="E144" i="22"/>
  <c r="E150" i="22"/>
  <c r="E168" i="22"/>
  <c r="C363" i="7"/>
  <c r="C357" i="7"/>
  <c r="C381" i="7"/>
  <c r="D356" i="7"/>
  <c r="D369" i="7"/>
  <c r="D377" i="7" s="1"/>
  <c r="E96" i="14"/>
  <c r="F156" i="22"/>
  <c r="F164" i="22" s="1"/>
  <c r="D32" i="14"/>
  <c r="D53" i="22"/>
  <c r="D87" i="22" s="1"/>
  <c r="E115" i="22"/>
  <c r="E123" i="22" s="1"/>
  <c r="E24" i="14"/>
  <c r="E32" i="14"/>
  <c r="D38" i="14"/>
  <c r="D82" i="14"/>
  <c r="D49" i="22"/>
  <c r="D57" i="22"/>
  <c r="D91" i="22" s="1"/>
  <c r="E102" i="22"/>
  <c r="F143" i="22"/>
  <c r="F266" i="22"/>
  <c r="D361" i="22"/>
  <c r="D369" i="22" s="1"/>
  <c r="F279" i="22"/>
  <c r="F287" i="22" s="1"/>
  <c r="D347" i="22"/>
  <c r="D355" i="22" s="1"/>
  <c r="D375" i="22"/>
  <c r="D383" i="22" s="1"/>
  <c r="C83" i="26"/>
  <c r="D1238" i="24"/>
  <c r="B79" i="13"/>
  <c r="B356" i="22"/>
  <c r="B353" i="22"/>
  <c r="C203" i="22"/>
  <c r="C206" i="22"/>
  <c r="D326" i="22"/>
  <c r="D329" i="22"/>
  <c r="C361" i="9"/>
  <c r="C374" i="9" s="1"/>
  <c r="C458" i="24"/>
  <c r="C312" i="9"/>
  <c r="C366" i="9"/>
  <c r="C354" i="9"/>
  <c r="F393" i="9"/>
  <c r="F411" i="9"/>
  <c r="F465" i="9"/>
  <c r="F541" i="9"/>
  <c r="F621" i="9" s="1"/>
  <c r="F595" i="9"/>
  <c r="E419" i="9"/>
  <c r="E499" i="9" s="1"/>
  <c r="E473" i="9"/>
  <c r="F605" i="9"/>
  <c r="D492" i="9"/>
  <c r="D198" i="22"/>
  <c r="D204" i="22"/>
  <c r="C133" i="13"/>
  <c r="C111" i="13"/>
  <c r="C143" i="13" s="1"/>
  <c r="C18" i="12"/>
  <c r="C12" i="12"/>
  <c r="M1453" i="24"/>
  <c r="E431" i="9"/>
  <c r="E434" i="9"/>
  <c r="E452" i="9"/>
  <c r="F553" i="9"/>
  <c r="F556" i="9"/>
  <c r="F574" i="9"/>
  <c r="C231" i="9"/>
  <c r="C285" i="9"/>
  <c r="D357" i="9"/>
  <c r="C273" i="9"/>
  <c r="E11" i="12"/>
  <c r="D488" i="11"/>
  <c r="D1184" i="24" s="1"/>
  <c r="E480" i="11"/>
  <c r="E488" i="11"/>
  <c r="D494" i="11"/>
  <c r="D508" i="11"/>
  <c r="D11" i="12"/>
  <c r="F238" i="22"/>
  <c r="F246" i="22" s="1"/>
  <c r="D104" i="13"/>
  <c r="D105" i="13"/>
  <c r="D106" i="13"/>
  <c r="E197" i="22"/>
  <c r="E205" i="22" s="1"/>
  <c r="F320" i="22"/>
  <c r="F328" i="22" s="1"/>
  <c r="D899" i="22"/>
  <c r="D901" i="22" s="1"/>
  <c r="D8" i="21" s="1"/>
  <c r="F225" i="22"/>
  <c r="F307" i="22"/>
  <c r="E184" i="22"/>
  <c r="D1195" i="24"/>
  <c r="C69" i="26"/>
  <c r="D1143" i="24"/>
  <c r="B47" i="14"/>
  <c r="B44" i="14"/>
  <c r="D272" i="22"/>
  <c r="D275" i="22"/>
  <c r="D293" i="22"/>
  <c r="B134" i="13"/>
  <c r="B108" i="13"/>
  <c r="B112" i="13"/>
  <c r="D244" i="22"/>
  <c r="D247" i="22"/>
  <c r="D267" i="9"/>
  <c r="D914" i="22"/>
  <c r="D465" i="24"/>
  <c r="D192" i="22"/>
  <c r="D218" i="22" s="1"/>
  <c r="D210" i="22"/>
  <c r="C136" i="13"/>
  <c r="C107" i="13"/>
  <c r="C139" i="13" s="1"/>
  <c r="F430" i="9"/>
  <c r="F456" i="9" s="1"/>
  <c r="F454" i="9"/>
  <c r="E41" i="14"/>
  <c r="C61" i="22"/>
  <c r="C95" i="22" s="1"/>
  <c r="C83" i="22"/>
  <c r="F617" i="9"/>
  <c r="F513" i="9"/>
  <c r="F516" i="9"/>
  <c r="F534" i="9"/>
  <c r="F588" i="9"/>
  <c r="F540" i="9"/>
  <c r="F594" i="9"/>
  <c r="E490" i="9"/>
  <c r="F24" i="14"/>
  <c r="E1222" i="24"/>
  <c r="F27" i="14"/>
  <c r="E1219" i="24"/>
  <c r="F60" i="13"/>
  <c r="D1220" i="24"/>
  <c r="D1223" i="24"/>
  <c r="D420" i="24"/>
  <c r="F420" i="24" s="1"/>
  <c r="F434" i="24"/>
  <c r="F479" i="11"/>
  <c r="E1070" i="24"/>
  <c r="E1076" i="24"/>
  <c r="F480" i="11"/>
  <c r="E1077" i="24"/>
  <c r="E1423" i="24"/>
  <c r="E1422" i="24"/>
  <c r="E1424" i="24" s="1"/>
  <c r="F53" i="13"/>
  <c r="F59" i="13"/>
  <c r="F296" i="22"/>
  <c r="B67" i="14"/>
  <c r="B381" i="22"/>
  <c r="B384" i="22"/>
  <c r="B33" i="12"/>
  <c r="B7" i="21"/>
  <c r="B9" i="21" s="1"/>
  <c r="B902" i="22"/>
  <c r="B905" i="22"/>
  <c r="D39" i="24"/>
  <c r="D36" i="24"/>
  <c r="F439" i="9"/>
  <c r="F445" i="9"/>
  <c r="G552" i="9"/>
  <c r="G576" i="9"/>
  <c r="G428" i="9"/>
  <c r="F538" i="9"/>
  <c r="F592" i="9"/>
  <c r="C1243" i="24"/>
  <c r="C55" i="14"/>
  <c r="E148" i="22"/>
  <c r="E174" i="22" s="1"/>
  <c r="E172" i="22"/>
  <c r="D438" i="24"/>
  <c r="D416" i="24"/>
  <c r="D300" i="9"/>
  <c r="D324" i="9"/>
  <c r="D1376" i="24"/>
  <c r="D526" i="11" s="1"/>
  <c r="D43" i="12"/>
  <c r="E43" i="12" s="1"/>
  <c r="D467" i="11"/>
  <c r="D324" i="11"/>
  <c r="D75" i="12" s="1"/>
  <c r="C108" i="26"/>
  <c r="B105" i="14"/>
  <c r="B102" i="14"/>
  <c r="B1303" i="24"/>
  <c r="B1302" i="24"/>
  <c r="B1304" i="24"/>
  <c r="B1305" i="24"/>
  <c r="B1301" i="24"/>
  <c r="A88" i="26"/>
  <c r="B143" i="13"/>
  <c r="D313" i="22"/>
  <c r="D316" i="22"/>
  <c r="D334" i="22"/>
  <c r="B192" i="13"/>
  <c r="B1158" i="24"/>
  <c r="B1164" i="24"/>
  <c r="E312" i="22"/>
  <c r="E338" i="22" s="1"/>
  <c r="E336" i="22"/>
  <c r="D189" i="22"/>
  <c r="D215" i="22" s="1"/>
  <c r="D213" i="22"/>
  <c r="C1181" i="24"/>
  <c r="B73" i="26"/>
  <c r="F607" i="9"/>
  <c r="H27" i="4"/>
  <c r="H1438" i="24"/>
  <c r="E154" i="13"/>
  <c r="F433" i="9"/>
  <c r="F459" i="9" s="1"/>
  <c r="F451" i="9"/>
  <c r="E430" i="24"/>
  <c r="E38" i="24"/>
  <c r="B124" i="13"/>
  <c r="B128" i="13"/>
  <c r="C417" i="24"/>
  <c r="C423" i="24"/>
  <c r="C476" i="24"/>
  <c r="C30" i="21" s="1"/>
  <c r="C451" i="24"/>
  <c r="C454" i="24"/>
  <c r="C362" i="22"/>
  <c r="C368" i="22"/>
  <c r="C50" i="22"/>
  <c r="C60" i="22"/>
  <c r="C94" i="22" s="1"/>
  <c r="C82" i="22"/>
  <c r="C86" i="22"/>
  <c r="C54" i="22"/>
  <c r="C89" i="14"/>
  <c r="C83" i="14"/>
  <c r="C114" i="14"/>
  <c r="C67" i="14"/>
  <c r="B149" i="13"/>
  <c r="B88" i="22"/>
  <c r="D162" i="22"/>
  <c r="D165" i="22"/>
  <c r="B20" i="12"/>
  <c r="B17" i="12"/>
  <c r="D231" i="22"/>
  <c r="D234" i="22"/>
  <c r="D252" i="22"/>
  <c r="B277" i="9"/>
  <c r="B274" i="9"/>
  <c r="B282" i="9"/>
  <c r="G555" i="9"/>
  <c r="G573" i="9"/>
  <c r="G425" i="9"/>
  <c r="H507" i="9"/>
  <c r="G515" i="9"/>
  <c r="G533" i="9"/>
  <c r="G613" i="9" s="1"/>
  <c r="G587" i="9"/>
  <c r="H547" i="9"/>
  <c r="G385" i="9"/>
  <c r="G565" i="9"/>
  <c r="G441" i="9"/>
  <c r="G443" i="9" s="1"/>
  <c r="E35" i="24"/>
  <c r="E433" i="24"/>
  <c r="C897" i="22"/>
  <c r="C903" i="22"/>
  <c r="E321" i="22"/>
  <c r="E327" i="22"/>
  <c r="E226" i="22"/>
  <c r="E232" i="22"/>
  <c r="E250" i="22"/>
  <c r="C462" i="11"/>
  <c r="C319" i="11"/>
  <c r="C70" i="12" s="1"/>
  <c r="C515" i="11"/>
  <c r="C509" i="11"/>
  <c r="C38" i="12"/>
  <c r="B104" i="26"/>
  <c r="C330" i="9"/>
  <c r="C308" i="9"/>
  <c r="C305" i="9"/>
  <c r="F426" i="9"/>
  <c r="F432" i="9"/>
  <c r="F450" i="9"/>
  <c r="B12" i="5"/>
  <c r="C22" i="16"/>
  <c r="C121" i="22"/>
  <c r="C65" i="16" s="1"/>
  <c r="C124" i="22"/>
  <c r="B94" i="22"/>
  <c r="B1247" i="24"/>
  <c r="B1244" i="24"/>
  <c r="B1435" i="24"/>
  <c r="A162" i="26"/>
  <c r="E315" i="22"/>
  <c r="E341" i="22" s="1"/>
  <c r="E333" i="22"/>
  <c r="B387" i="7"/>
  <c r="E43" i="14"/>
  <c r="E31" i="24"/>
  <c r="E37" i="24"/>
  <c r="E429" i="24"/>
  <c r="C1246" i="24"/>
  <c r="C52" i="14"/>
  <c r="E274" i="22"/>
  <c r="E300" i="22" s="1"/>
  <c r="E292" i="22"/>
  <c r="B44" i="12"/>
  <c r="B468" i="11"/>
  <c r="B325" i="11"/>
  <c r="A109" i="26"/>
  <c r="F415" i="9"/>
  <c r="F495" i="9" s="1"/>
  <c r="F469" i="9"/>
  <c r="H511" i="9"/>
  <c r="G537" i="9"/>
  <c r="G591" i="9"/>
  <c r="H551" i="9"/>
  <c r="G389" i="9"/>
  <c r="G548" i="9"/>
  <c r="G554" i="9"/>
  <c r="G580" i="9" s="1"/>
  <c r="G572" i="9"/>
  <c r="G424" i="9"/>
  <c r="G508" i="9"/>
  <c r="H506" i="9"/>
  <c r="G514" i="9"/>
  <c r="G532" i="9"/>
  <c r="G586" i="9"/>
  <c r="H546" i="9"/>
  <c r="G384" i="9"/>
  <c r="E418" i="9"/>
  <c r="E472" i="9"/>
  <c r="D1242" i="24"/>
  <c r="D56" i="14" s="1"/>
  <c r="C108" i="22"/>
  <c r="C111" i="22"/>
  <c r="C129" i="22"/>
  <c r="D583" i="9"/>
  <c r="D619" i="9"/>
  <c r="D622" i="9"/>
  <c r="D610" i="9"/>
  <c r="F37" i="24"/>
  <c r="F566" i="9"/>
  <c r="F569" i="9"/>
  <c r="B153" i="13"/>
  <c r="B79" i="22"/>
  <c r="B76" i="22"/>
  <c r="B120" i="14"/>
  <c r="C101" i="14"/>
  <c r="B87" i="26"/>
  <c r="B60" i="14"/>
  <c r="B210" i="13"/>
  <c r="F38" i="24"/>
  <c r="D254" i="9"/>
  <c r="D910" i="22"/>
  <c r="D446" i="24"/>
  <c r="D470" i="24"/>
  <c r="D1075" i="24"/>
  <c r="D1078" i="24"/>
  <c r="D29" i="12"/>
  <c r="E29" i="12" s="1"/>
  <c r="E498" i="11"/>
  <c r="B47" i="12"/>
  <c r="B157" i="12"/>
  <c r="B340" i="7"/>
  <c r="B327" i="11"/>
  <c r="B470" i="11"/>
  <c r="N33" i="16"/>
  <c r="C1148" i="24"/>
  <c r="C1160" i="24"/>
  <c r="E230" i="22"/>
  <c r="E256" i="22" s="1"/>
  <c r="E254" i="22"/>
  <c r="C125" i="13"/>
  <c r="C118" i="13"/>
  <c r="C499" i="11"/>
  <c r="C28" i="12"/>
  <c r="C30" i="12" s="1"/>
  <c r="D484" i="9"/>
  <c r="D487" i="9"/>
  <c r="H519" i="9"/>
  <c r="G527" i="9"/>
  <c r="G607" i="9" s="1"/>
  <c r="G599" i="9"/>
  <c r="H559" i="9"/>
  <c r="G521" i="9"/>
  <c r="G397" i="9"/>
  <c r="E485" i="9"/>
  <c r="G7" i="18"/>
  <c r="E170" i="26"/>
  <c r="E134" i="14"/>
  <c r="D419" i="24"/>
  <c r="D435" i="24"/>
  <c r="F433" i="24"/>
  <c r="F435" i="24" s="1"/>
  <c r="B527" i="11"/>
  <c r="B56" i="12"/>
  <c r="H520" i="9"/>
  <c r="G528" i="9"/>
  <c r="G600" i="9"/>
  <c r="H560" i="9"/>
  <c r="G398" i="9"/>
  <c r="C925" i="22"/>
  <c r="C931" i="22"/>
  <c r="C944" i="22" s="1"/>
  <c r="C936" i="22"/>
  <c r="R345" i="2"/>
  <c r="P24" i="15"/>
  <c r="Q24" i="15" s="1"/>
  <c r="X120" i="27"/>
  <c r="C376" i="22"/>
  <c r="C382" i="22"/>
  <c r="E280" i="22"/>
  <c r="E286" i="22"/>
  <c r="C33" i="14"/>
  <c r="C30" i="14"/>
  <c r="C45" i="14"/>
  <c r="C39" i="14"/>
  <c r="E483" i="11"/>
  <c r="D497" i="11"/>
  <c r="E497" i="11" s="1"/>
  <c r="D485" i="11"/>
  <c r="D511" i="11"/>
  <c r="E323" i="11" s="1"/>
  <c r="D14" i="12"/>
  <c r="E485" i="11"/>
  <c r="E14" i="12"/>
  <c r="D115" i="13"/>
  <c r="D116" i="13"/>
  <c r="D126" i="13" s="1"/>
  <c r="D117" i="13"/>
  <c r="D127" i="13" s="1"/>
  <c r="E127" i="13" s="1"/>
  <c r="E187" i="22"/>
  <c r="E200" i="22"/>
  <c r="E202" i="22" s="1"/>
  <c r="F323" i="22"/>
  <c r="F325" i="22" s="1"/>
  <c r="F228" i="22"/>
  <c r="F241" i="22"/>
  <c r="F243" i="22" s="1"/>
  <c r="F310" i="22"/>
  <c r="D1198" i="24"/>
  <c r="D896" i="22"/>
  <c r="D904" i="22" s="1"/>
  <c r="C71" i="26"/>
  <c r="E372" i="7"/>
  <c r="H18" i="19"/>
  <c r="G1496" i="24"/>
  <c r="D417" i="9"/>
  <c r="D420" i="9"/>
  <c r="D471" i="9"/>
  <c r="D474" i="9"/>
  <c r="D408" i="9"/>
  <c r="E61" i="13"/>
  <c r="C1144" i="24"/>
  <c r="C1150" i="24"/>
  <c r="C1156" i="24"/>
  <c r="E245" i="22"/>
  <c r="E239" i="22"/>
  <c r="D191" i="22"/>
  <c r="D217" i="22" s="1"/>
  <c r="D209" i="22"/>
  <c r="D185" i="22"/>
  <c r="C132" i="13"/>
  <c r="C110" i="13"/>
  <c r="C142" i="13" s="1"/>
  <c r="C489" i="11"/>
  <c r="C486" i="11"/>
  <c r="B70" i="26"/>
  <c r="C1177" i="24"/>
  <c r="E539" i="9"/>
  <c r="E542" i="9"/>
  <c r="E593" i="9"/>
  <c r="E596" i="9"/>
  <c r="E530" i="9"/>
  <c r="B378" i="7"/>
  <c r="B375" i="7"/>
  <c r="D299" i="22"/>
  <c r="B141" i="13"/>
  <c r="B1201" i="24"/>
  <c r="B1204" i="24"/>
  <c r="D307" i="9"/>
  <c r="C1372" i="24"/>
  <c r="C1380" i="24" s="1"/>
  <c r="C1203" i="24"/>
  <c r="E233" i="22"/>
  <c r="E259" i="22" s="1"/>
  <c r="E251" i="22"/>
  <c r="C39" i="12"/>
  <c r="C47" i="12" s="1"/>
  <c r="C463" i="11"/>
  <c r="C320" i="11"/>
  <c r="C71" i="12" s="1"/>
  <c r="C516" i="11"/>
  <c r="B105" i="26"/>
  <c r="F578" i="9"/>
  <c r="D110" i="22"/>
  <c r="D136" i="22" s="1"/>
  <c r="D128" i="22"/>
  <c r="E169" i="22"/>
  <c r="E151" i="22"/>
  <c r="E177" i="22" s="1"/>
  <c r="E377" i="7"/>
  <c r="G577" i="9"/>
  <c r="G429" i="9"/>
  <c r="G455" i="9" s="1"/>
  <c r="E579" i="9"/>
  <c r="E582" i="9"/>
  <c r="E570" i="9"/>
  <c r="E391" i="9"/>
  <c r="E394" i="9"/>
  <c r="E412" i="9"/>
  <c r="E492" i="9" s="1"/>
  <c r="E466" i="9"/>
  <c r="E512" i="11"/>
  <c r="E53" i="13"/>
  <c r="F483" i="11"/>
  <c r="E1074" i="24"/>
  <c r="D285" i="22"/>
  <c r="D288" i="22"/>
  <c r="B365" i="7"/>
  <c r="B362" i="7"/>
  <c r="B383" i="7"/>
  <c r="D271" i="9"/>
  <c r="D927" i="22"/>
  <c r="B150" i="13"/>
  <c r="B92" i="22"/>
  <c r="B158" i="12"/>
  <c r="B341" i="7"/>
  <c r="B1152" i="24"/>
  <c r="B1149" i="24"/>
  <c r="F405" i="9"/>
  <c r="F477" i="9"/>
  <c r="F399" i="9"/>
  <c r="F526" i="9"/>
  <c r="F529" i="9"/>
  <c r="F601" i="9"/>
  <c r="E404" i="9"/>
  <c r="E407" i="9"/>
  <c r="E479" i="9"/>
  <c r="E416" i="9"/>
  <c r="E496" i="9" s="1"/>
  <c r="E470" i="9"/>
  <c r="C461" i="9"/>
  <c r="C497" i="9"/>
  <c r="C500" i="9"/>
  <c r="C488" i="9"/>
  <c r="E135" i="14"/>
  <c r="B213" i="13"/>
  <c r="B57" i="14"/>
  <c r="B30" i="12"/>
  <c r="B76" i="14"/>
  <c r="F406" i="9"/>
  <c r="F486" i="9" s="1"/>
  <c r="F478" i="9"/>
  <c r="G568" i="9"/>
  <c r="G438" i="9"/>
  <c r="G446" i="9" s="1"/>
  <c r="D109" i="22"/>
  <c r="D135" i="22" s="1"/>
  <c r="D127" i="22"/>
  <c r="D103" i="22"/>
  <c r="E163" i="22"/>
  <c r="E157" i="22"/>
  <c r="C10" i="14"/>
  <c r="C97" i="14"/>
  <c r="B84" i="26"/>
  <c r="E267" i="22"/>
  <c r="E273" i="22"/>
  <c r="E299" i="22" s="1"/>
  <c r="E291" i="22"/>
  <c r="C376" i="7"/>
  <c r="C370" i="7"/>
  <c r="B522" i="11"/>
  <c r="B235" i="9"/>
  <c r="B248" i="9" s="1"/>
  <c r="B228" i="9"/>
  <c r="B240" i="9"/>
  <c r="B468" i="24"/>
  <c r="B480" i="24"/>
  <c r="B477" i="24"/>
  <c r="E374" i="7"/>
  <c r="F613" i="9"/>
  <c r="E491" i="9"/>
  <c r="F403" i="9"/>
  <c r="F483" i="9" s="1"/>
  <c r="F481" i="9"/>
  <c r="G525" i="9"/>
  <c r="G605" i="9" s="1"/>
  <c r="H523" i="9"/>
  <c r="G603" i="9"/>
  <c r="H563" i="9"/>
  <c r="G401" i="9"/>
  <c r="E126" i="13"/>
  <c r="B390" i="7"/>
  <c r="C1196" i="24"/>
  <c r="C1202" i="24"/>
  <c r="C1371" i="24"/>
  <c r="C521" i="11" s="1"/>
  <c r="E308" i="22"/>
  <c r="E314" i="22"/>
  <c r="E340" i="22" s="1"/>
  <c r="E332" i="22"/>
  <c r="C109" i="13"/>
  <c r="C141" i="13" s="1"/>
  <c r="C102" i="13"/>
  <c r="C131" i="13"/>
  <c r="C501" i="11"/>
  <c r="C495" i="11"/>
  <c r="C24" i="12"/>
  <c r="E458" i="9"/>
  <c r="F580" i="9"/>
  <c r="C929" i="22"/>
  <c r="C932" i="22"/>
  <c r="E37" i="14"/>
  <c r="B62" i="22"/>
  <c r="B84" i="22"/>
  <c r="B148" i="13"/>
  <c r="B59" i="22"/>
  <c r="B59" i="14"/>
  <c r="B209" i="13"/>
  <c r="B53" i="14"/>
  <c r="B139" i="13"/>
  <c r="B1373" i="24"/>
  <c r="B1379" i="24"/>
  <c r="D255" i="9"/>
  <c r="D453" i="24"/>
  <c r="D911" i="22"/>
  <c r="D319" i="9"/>
  <c r="C502" i="11"/>
  <c r="C25" i="12"/>
  <c r="C33" i="12" s="1"/>
  <c r="B942" i="22"/>
  <c r="B917" i="22"/>
  <c r="B920" i="22"/>
  <c r="E359" i="7"/>
  <c r="C90" i="14"/>
  <c r="C115" i="14"/>
  <c r="C123" i="14" s="1"/>
  <c r="C364" i="7"/>
  <c r="C390" i="7" s="1"/>
  <c r="C382" i="7"/>
  <c r="B161" i="12"/>
  <c r="B344" i="7"/>
  <c r="J33" i="16"/>
  <c r="D259" i="9"/>
  <c r="D924" i="22"/>
  <c r="D498" i="9"/>
  <c r="E369" i="7"/>
  <c r="F386" i="9"/>
  <c r="F392" i="9"/>
  <c r="F410" i="9"/>
  <c r="F464" i="9"/>
  <c r="F612" i="9"/>
  <c r="B196" i="13"/>
  <c r="B1162" i="24"/>
  <c r="F490" i="9" l="1"/>
  <c r="E155" i="13"/>
  <c r="D72" i="14"/>
  <c r="G166" i="26"/>
  <c r="J21" i="4"/>
  <c r="J23" i="4"/>
  <c r="I23" i="4"/>
  <c r="G168" i="26" s="1"/>
  <c r="D81" i="26"/>
  <c r="H399" i="7"/>
  <c r="H405" i="7"/>
  <c r="I405" i="7" s="1"/>
  <c r="F75" i="26"/>
  <c r="I397" i="7"/>
  <c r="F485" i="9"/>
  <c r="E511" i="11"/>
  <c r="F458" i="9"/>
  <c r="E72" i="14"/>
  <c r="J13" i="5"/>
  <c r="BL126" i="27"/>
  <c r="N421" i="2"/>
  <c r="K26" i="17"/>
  <c r="K21" i="4"/>
  <c r="G404" i="7"/>
  <c r="E81" i="26" s="1"/>
  <c r="G407" i="7"/>
  <c r="E77" i="26"/>
  <c r="I399" i="7"/>
  <c r="J419" i="7"/>
  <c r="J413" i="7"/>
  <c r="J397" i="7"/>
  <c r="F614" i="9"/>
  <c r="N286" i="2"/>
  <c r="K411" i="7"/>
  <c r="AF101" i="27"/>
  <c r="H421" i="7"/>
  <c r="H418" i="7"/>
  <c r="I418" i="7" s="1"/>
  <c r="C68" i="14"/>
  <c r="C76" i="14" s="1"/>
  <c r="C522" i="11"/>
  <c r="G173" i="22"/>
  <c r="D80" i="13"/>
  <c r="E80" i="13" s="1"/>
  <c r="D1239" i="24"/>
  <c r="D1245" i="24"/>
  <c r="D51" i="14"/>
  <c r="D57" i="12"/>
  <c r="E57" i="12" s="1"/>
  <c r="E526" i="11"/>
  <c r="D218" i="9"/>
  <c r="E344" i="9"/>
  <c r="B198" i="13"/>
  <c r="F391" i="9"/>
  <c r="F394" i="9"/>
  <c r="F412" i="9"/>
  <c r="F466" i="9"/>
  <c r="D263" i="9"/>
  <c r="D214" i="9"/>
  <c r="E340" i="9"/>
  <c r="B217" i="13"/>
  <c r="B211" i="13"/>
  <c r="C26" i="12"/>
  <c r="C32" i="12"/>
  <c r="C1201" i="24"/>
  <c r="C1204" i="24"/>
  <c r="B233" i="9"/>
  <c r="B236" i="9"/>
  <c r="B241" i="9"/>
  <c r="F606" i="9"/>
  <c r="F609" i="9"/>
  <c r="B130" i="14"/>
  <c r="B160" i="13"/>
  <c r="C471" i="11"/>
  <c r="C328" i="11"/>
  <c r="C53" i="12"/>
  <c r="C61" i="12" s="1"/>
  <c r="C530" i="11"/>
  <c r="C25" i="6"/>
  <c r="C21" i="21"/>
  <c r="C1287" i="24"/>
  <c r="B74" i="26"/>
  <c r="C1286" i="24"/>
  <c r="C1182" i="24"/>
  <c r="C1185" i="24"/>
  <c r="C1284" i="24"/>
  <c r="C1288" i="24"/>
  <c r="C1285" i="24"/>
  <c r="D190" i="22"/>
  <c r="D193" i="22"/>
  <c r="D211" i="22"/>
  <c r="E189" i="22"/>
  <c r="E215" i="22" s="1"/>
  <c r="E213" i="22"/>
  <c r="D1181" i="24"/>
  <c r="C73" i="26"/>
  <c r="H568" i="9"/>
  <c r="H438" i="9"/>
  <c r="H446" i="9" s="1"/>
  <c r="B58" i="12"/>
  <c r="G526" i="9"/>
  <c r="G529" i="9"/>
  <c r="G601" i="9"/>
  <c r="H521" i="9"/>
  <c r="I519" i="9"/>
  <c r="H527" i="9"/>
  <c r="H599" i="9"/>
  <c r="I559" i="9"/>
  <c r="H397" i="9"/>
  <c r="B166" i="12"/>
  <c r="B79" i="12"/>
  <c r="D280" i="9"/>
  <c r="D256" i="9"/>
  <c r="D213" i="9"/>
  <c r="E339" i="9"/>
  <c r="B156" i="13"/>
  <c r="B133" i="14"/>
  <c r="C134" i="22"/>
  <c r="C137" i="22"/>
  <c r="C64" i="16"/>
  <c r="C125" i="22"/>
  <c r="G386" i="9"/>
  <c r="G392" i="9"/>
  <c r="G410" i="9"/>
  <c r="G464" i="9"/>
  <c r="G540" i="9"/>
  <c r="G620" i="9" s="1"/>
  <c r="G594" i="9"/>
  <c r="H577" i="9"/>
  <c r="H429" i="9"/>
  <c r="H455" i="9" s="1"/>
  <c r="C470" i="11"/>
  <c r="C327" i="11"/>
  <c r="E258" i="22"/>
  <c r="H555" i="9"/>
  <c r="H573" i="9"/>
  <c r="H425" i="9"/>
  <c r="I507" i="9"/>
  <c r="H515" i="9"/>
  <c r="H533" i="9"/>
  <c r="H613" i="9" s="1"/>
  <c r="H587" i="9"/>
  <c r="I547" i="9"/>
  <c r="H385" i="9"/>
  <c r="B159" i="13"/>
  <c r="B129" i="14"/>
  <c r="G454" i="9"/>
  <c r="G430" i="9"/>
  <c r="G456" i="9" s="1"/>
  <c r="F444" i="9"/>
  <c r="F447" i="9"/>
  <c r="B69" i="14"/>
  <c r="B13" i="14"/>
  <c r="B75" i="14"/>
  <c r="F61" i="13"/>
  <c r="F58" i="13"/>
  <c r="F494" i="11"/>
  <c r="F508" i="11"/>
  <c r="F11" i="12"/>
  <c r="F19" i="12" s="1"/>
  <c r="F488" i="11"/>
  <c r="E1184" i="24" s="1"/>
  <c r="F105" i="13"/>
  <c r="F106" i="13"/>
  <c r="F104" i="13"/>
  <c r="F184" i="22"/>
  <c r="F197" i="22"/>
  <c r="F205" i="22" s="1"/>
  <c r="G320" i="22"/>
  <c r="G328" i="22" s="1"/>
  <c r="G225" i="22"/>
  <c r="G238" i="22"/>
  <c r="G246" i="22" s="1"/>
  <c r="G307" i="22"/>
  <c r="D69" i="26"/>
  <c r="E899" i="22"/>
  <c r="E901" i="22" s="1"/>
  <c r="E8" i="21" s="1"/>
  <c r="E1195" i="24"/>
  <c r="E1143" i="24"/>
  <c r="F356" i="7"/>
  <c r="F369" i="7"/>
  <c r="F38" i="14"/>
  <c r="F82" i="14"/>
  <c r="E49" i="22"/>
  <c r="E57" i="22"/>
  <c r="E91" i="22" s="1"/>
  <c r="F32" i="14"/>
  <c r="F104" i="14" s="1"/>
  <c r="F102" i="22"/>
  <c r="E53" i="22"/>
  <c r="E87" i="22" s="1"/>
  <c r="E375" i="22"/>
  <c r="E383" i="22" s="1"/>
  <c r="G143" i="22"/>
  <c r="G156" i="22"/>
  <c r="G164" i="22" s="1"/>
  <c r="G266" i="22"/>
  <c r="E361" i="22"/>
  <c r="E369" i="22" s="1"/>
  <c r="G279" i="22"/>
  <c r="G287" i="22" s="1"/>
  <c r="E347" i="22"/>
  <c r="E355" i="22" s="1"/>
  <c r="F115" i="22"/>
  <c r="F123" i="22" s="1"/>
  <c r="D83" i="26"/>
  <c r="E1238" i="24"/>
  <c r="D275" i="9"/>
  <c r="D226" i="9"/>
  <c r="E352" i="9"/>
  <c r="B129" i="13"/>
  <c r="B140" i="13"/>
  <c r="B144" i="13"/>
  <c r="E210" i="22"/>
  <c r="E192" i="22"/>
  <c r="E218" i="22" s="1"/>
  <c r="D107" i="13"/>
  <c r="D136" i="13"/>
  <c r="E136" i="13" s="1"/>
  <c r="E104" i="13"/>
  <c r="D25" i="12"/>
  <c r="D33" i="12" s="1"/>
  <c r="E33" i="12" s="1"/>
  <c r="D502" i="11"/>
  <c r="E502" i="11" s="1"/>
  <c r="E494" i="11"/>
  <c r="C232" i="9"/>
  <c r="C244" i="9"/>
  <c r="E117" i="13"/>
  <c r="F419" i="9"/>
  <c r="F499" i="9" s="1"/>
  <c r="F473" i="9"/>
  <c r="C268" i="9"/>
  <c r="C915" i="22"/>
  <c r="C466" i="24"/>
  <c r="C479" i="24" s="1"/>
  <c r="C459" i="24"/>
  <c r="C471" i="24"/>
  <c r="F274" i="22"/>
  <c r="F300" i="22" s="1"/>
  <c r="F292" i="22"/>
  <c r="D61" i="22"/>
  <c r="D95" i="22" s="1"/>
  <c r="D83" i="22"/>
  <c r="E176" i="22"/>
  <c r="C286" i="9"/>
  <c r="C264" i="9"/>
  <c r="C261" i="9"/>
  <c r="C525" i="11"/>
  <c r="F172" i="22"/>
  <c r="F148" i="22"/>
  <c r="F174" i="22" s="1"/>
  <c r="D67" i="22"/>
  <c r="D77" i="22"/>
  <c r="D361" i="7"/>
  <c r="D385" i="7"/>
  <c r="E385" i="7" s="1"/>
  <c r="G390" i="9"/>
  <c r="G414" i="9"/>
  <c r="G494" i="9" s="1"/>
  <c r="G468" i="9"/>
  <c r="I550" i="9"/>
  <c r="H512" i="9"/>
  <c r="I510" i="9"/>
  <c r="H536" i="9"/>
  <c r="H590" i="9"/>
  <c r="H388" i="9"/>
  <c r="F416" i="9"/>
  <c r="F496" i="9" s="1"/>
  <c r="F470" i="9"/>
  <c r="D423" i="24"/>
  <c r="D417" i="24"/>
  <c r="E122" i="22"/>
  <c r="E116" i="22"/>
  <c r="F267" i="22"/>
  <c r="F273" i="22"/>
  <c r="F291" i="22"/>
  <c r="D90" i="22"/>
  <c r="D58" i="22"/>
  <c r="D370" i="7"/>
  <c r="E370" i="7" s="1"/>
  <c r="D376" i="7"/>
  <c r="E376" i="7" s="1"/>
  <c r="G360" i="7"/>
  <c r="G373" i="7"/>
  <c r="F66" i="22"/>
  <c r="F74" i="22"/>
  <c r="H147" i="22"/>
  <c r="H270" i="22"/>
  <c r="G42" i="14"/>
  <c r="F1242" i="24" s="1"/>
  <c r="G56" i="14" s="1"/>
  <c r="G214" i="13" s="1"/>
  <c r="G86" i="14"/>
  <c r="G106" i="22"/>
  <c r="F70" i="22"/>
  <c r="H283" i="22"/>
  <c r="F365" i="22"/>
  <c r="G119" i="22"/>
  <c r="F351" i="22"/>
  <c r="H160" i="22"/>
  <c r="F379" i="22"/>
  <c r="E86" i="26"/>
  <c r="F1423" i="24"/>
  <c r="F1422" i="24"/>
  <c r="E78" i="22"/>
  <c r="E1242" i="24"/>
  <c r="F56" i="14" s="1"/>
  <c r="D1144" i="24"/>
  <c r="D1156" i="24"/>
  <c r="F308" i="22"/>
  <c r="F314" i="22"/>
  <c r="F332" i="22"/>
  <c r="E191" i="22"/>
  <c r="E209" i="22"/>
  <c r="E185" i="22"/>
  <c r="D131" i="13"/>
  <c r="E131" i="13" s="1"/>
  <c r="D109" i="13"/>
  <c r="D102" i="13"/>
  <c r="D509" i="11"/>
  <c r="D38" i="12"/>
  <c r="D462" i="11"/>
  <c r="D319" i="11"/>
  <c r="D70" i="12" s="1"/>
  <c r="D515" i="11"/>
  <c r="C104" i="26"/>
  <c r="E319" i="11"/>
  <c r="E507" i="11"/>
  <c r="F214" i="22"/>
  <c r="E1223" i="24"/>
  <c r="E1220" i="24"/>
  <c r="E99" i="13"/>
  <c r="E484" i="9"/>
  <c r="E487" i="9"/>
  <c r="F404" i="9"/>
  <c r="F407" i="9"/>
  <c r="F479" i="9"/>
  <c r="E417" i="9"/>
  <c r="E420" i="9"/>
  <c r="E471" i="9"/>
  <c r="E474" i="9"/>
  <c r="E408" i="9"/>
  <c r="E109" i="13"/>
  <c r="E583" i="9"/>
  <c r="E619" i="9"/>
  <c r="E622" i="9"/>
  <c r="E610" i="9"/>
  <c r="C192" i="13"/>
  <c r="C1158" i="24"/>
  <c r="C1164" i="24"/>
  <c r="I18" i="19"/>
  <c r="J18" i="19"/>
  <c r="H1496" i="24"/>
  <c r="F230" i="22"/>
  <c r="F256" i="22" s="1"/>
  <c r="F254" i="22"/>
  <c r="D499" i="11"/>
  <c r="E499" i="11" s="1"/>
  <c r="D28" i="12"/>
  <c r="E285" i="22"/>
  <c r="E288" i="22"/>
  <c r="H561" i="9"/>
  <c r="H567" i="9"/>
  <c r="H437" i="9"/>
  <c r="C124" i="13"/>
  <c r="C128" i="13"/>
  <c r="C196" i="13"/>
  <c r="C198" i="13" s="1"/>
  <c r="C1162" i="24"/>
  <c r="B348" i="7"/>
  <c r="B342" i="7"/>
  <c r="D214" i="13"/>
  <c r="E214" i="13" s="1"/>
  <c r="E56" i="14"/>
  <c r="H548" i="9"/>
  <c r="H554" i="9"/>
  <c r="H580" i="9" s="1"/>
  <c r="H572" i="9"/>
  <c r="H424" i="9"/>
  <c r="H508" i="9"/>
  <c r="I506" i="9"/>
  <c r="H514" i="9"/>
  <c r="H532" i="9"/>
  <c r="H612" i="9" s="1"/>
  <c r="H586" i="9"/>
  <c r="I546" i="9"/>
  <c r="H384" i="9"/>
  <c r="B76" i="12"/>
  <c r="B163" i="12"/>
  <c r="C60" i="14"/>
  <c r="C210" i="13"/>
  <c r="C218" i="13" s="1"/>
  <c r="E36" i="24"/>
  <c r="E39" i="24"/>
  <c r="B28" i="4"/>
  <c r="F431" i="9"/>
  <c r="F434" i="9"/>
  <c r="F452" i="9"/>
  <c r="C40" i="12"/>
  <c r="C46" i="12"/>
  <c r="E234" i="22"/>
  <c r="E252" i="22"/>
  <c r="E231" i="22"/>
  <c r="C7" i="21"/>
  <c r="C9" i="21" s="1"/>
  <c r="C902" i="22"/>
  <c r="C905" i="22"/>
  <c r="G433" i="9"/>
  <c r="G459" i="9" s="1"/>
  <c r="G451" i="9"/>
  <c r="B278" i="9"/>
  <c r="B290" i="9"/>
  <c r="B287" i="9"/>
  <c r="C69" i="14"/>
  <c r="C13" i="14"/>
  <c r="C75" i="14"/>
  <c r="C149" i="13"/>
  <c r="C88" i="22"/>
  <c r="C59" i="22"/>
  <c r="C62" i="22"/>
  <c r="C84" i="22"/>
  <c r="C148" i="13"/>
  <c r="C422" i="24"/>
  <c r="C425" i="24"/>
  <c r="B1163" i="24"/>
  <c r="B1166" i="24"/>
  <c r="D330" i="22"/>
  <c r="D339" i="22"/>
  <c r="D342" i="22"/>
  <c r="D424" i="24"/>
  <c r="C213" i="13"/>
  <c r="C215" i="13" s="1"/>
  <c r="C57" i="14"/>
  <c r="F36" i="24"/>
  <c r="E25" i="12"/>
  <c r="F372" i="7"/>
  <c r="F359" i="7"/>
  <c r="F29" i="14"/>
  <c r="E65" i="22"/>
  <c r="E73" i="22"/>
  <c r="E75" i="22" s="1"/>
  <c r="F155" i="13" s="1"/>
  <c r="F9" i="14"/>
  <c r="F41" i="14"/>
  <c r="E1241" i="24" s="1"/>
  <c r="F85" i="14"/>
  <c r="F105" i="22"/>
  <c r="E364" i="22"/>
  <c r="E366" i="22" s="1"/>
  <c r="E350" i="22"/>
  <c r="E352" i="22" s="1"/>
  <c r="F80" i="13" s="1"/>
  <c r="E69" i="22"/>
  <c r="E71" i="22" s="1"/>
  <c r="F154" i="13" s="1"/>
  <c r="G146" i="22"/>
  <c r="G159" i="22"/>
  <c r="G161" i="22" s="1"/>
  <c r="G269" i="22"/>
  <c r="F118" i="22"/>
  <c r="F120" i="22" s="1"/>
  <c r="G282" i="22"/>
  <c r="G284" i="22" s="1"/>
  <c r="E378" i="22"/>
  <c r="E380" i="22" s="1"/>
  <c r="D85" i="26"/>
  <c r="D289" i="22"/>
  <c r="D298" i="22"/>
  <c r="D301" i="22"/>
  <c r="D1151" i="24"/>
  <c r="D1157" i="24"/>
  <c r="F315" i="22"/>
  <c r="F341" i="22" s="1"/>
  <c r="F333" i="22"/>
  <c r="C17" i="12"/>
  <c r="C20" i="12"/>
  <c r="C362" i="9"/>
  <c r="C359" i="9"/>
  <c r="C367" i="9"/>
  <c r="B81" i="13"/>
  <c r="F151" i="22"/>
  <c r="F177" i="22" s="1"/>
  <c r="F169" i="22"/>
  <c r="D115" i="14"/>
  <c r="D123" i="14" s="1"/>
  <c r="D90" i="14"/>
  <c r="E90" i="14" s="1"/>
  <c r="E82" i="14"/>
  <c r="C383" i="7"/>
  <c r="C365" i="7"/>
  <c r="C362" i="7"/>
  <c r="E149" i="22"/>
  <c r="E152" i="22"/>
  <c r="E170" i="22"/>
  <c r="C150" i="13"/>
  <c r="C92" i="22"/>
  <c r="D345" i="9"/>
  <c r="D369" i="9"/>
  <c r="D448" i="24"/>
  <c r="D302" i="9"/>
  <c r="D347" i="9"/>
  <c r="D373" i="9" s="1"/>
  <c r="G439" i="9"/>
  <c r="G445" i="9"/>
  <c r="C76" i="12"/>
  <c r="C163" i="12"/>
  <c r="C161" i="12"/>
  <c r="C344" i="7"/>
  <c r="C346" i="7" s="1"/>
  <c r="B472" i="11"/>
  <c r="B329" i="11"/>
  <c r="B469" i="11"/>
  <c r="B326" i="11"/>
  <c r="A110" i="26"/>
  <c r="E38" i="12"/>
  <c r="D1243" i="24"/>
  <c r="D55" i="14"/>
  <c r="C14" i="14"/>
  <c r="C73" i="14"/>
  <c r="H576" i="9"/>
  <c r="H552" i="9"/>
  <c r="H428" i="9"/>
  <c r="G538" i="9"/>
  <c r="G592" i="9"/>
  <c r="D362" i="22"/>
  <c r="D368" i="22"/>
  <c r="F144" i="22"/>
  <c r="F150" i="22"/>
  <c r="F168" i="22"/>
  <c r="E30" i="14"/>
  <c r="D33" i="14"/>
  <c r="D30" i="14"/>
  <c r="E33" i="14"/>
  <c r="D60" i="22"/>
  <c r="D94" i="22" s="1"/>
  <c r="D82" i="22"/>
  <c r="D50" i="22"/>
  <c r="D363" i="7"/>
  <c r="D389" i="7" s="1"/>
  <c r="D357" i="7"/>
  <c r="D381" i="7"/>
  <c r="E381" i="7" s="1"/>
  <c r="E355" i="7"/>
  <c r="G480" i="11"/>
  <c r="F1077" i="24"/>
  <c r="G479" i="11"/>
  <c r="F1070" i="24"/>
  <c r="F1076" i="24"/>
  <c r="D1196" i="24"/>
  <c r="D1202" i="24"/>
  <c r="D1371" i="24"/>
  <c r="D521" i="11" s="1"/>
  <c r="E521" i="11" s="1"/>
  <c r="F250" i="22"/>
  <c r="F226" i="22"/>
  <c r="F232" i="22"/>
  <c r="D111" i="13"/>
  <c r="D133" i="13"/>
  <c r="E133" i="13" s="1"/>
  <c r="E101" i="13"/>
  <c r="E486" i="11"/>
  <c r="D489" i="11"/>
  <c r="D486" i="11"/>
  <c r="E489" i="11"/>
  <c r="C70" i="26"/>
  <c r="D1177" i="24"/>
  <c r="B31" i="12"/>
  <c r="B34" i="12"/>
  <c r="E1376" i="24"/>
  <c r="F526" i="11" s="1"/>
  <c r="F123" i="13"/>
  <c r="F467" i="11"/>
  <c r="F324" i="11"/>
  <c r="F75" i="12" s="1"/>
  <c r="F43" i="12"/>
  <c r="D108" i="26"/>
  <c r="F368" i="7"/>
  <c r="F355" i="7"/>
  <c r="F25" i="14"/>
  <c r="F101" i="22"/>
  <c r="E48" i="22"/>
  <c r="E56" i="22"/>
  <c r="F8" i="14"/>
  <c r="F31" i="14"/>
  <c r="F103" i="14" s="1"/>
  <c r="F37" i="14"/>
  <c r="F81" i="14"/>
  <c r="E52" i="22"/>
  <c r="F114" i="22"/>
  <c r="G142" i="22"/>
  <c r="G155" i="22"/>
  <c r="G265" i="22"/>
  <c r="E374" i="22"/>
  <c r="G278" i="22"/>
  <c r="E360" i="22"/>
  <c r="E346" i="22"/>
  <c r="D82" i="26"/>
  <c r="E1237" i="24"/>
  <c r="C59" i="14"/>
  <c r="C209" i="13"/>
  <c r="C53" i="14"/>
  <c r="B60" i="12"/>
  <c r="C523" i="11"/>
  <c r="C52" i="12"/>
  <c r="C529" i="11"/>
  <c r="B53" i="12"/>
  <c r="B530" i="11"/>
  <c r="D108" i="22"/>
  <c r="D111" i="22"/>
  <c r="D129" i="22"/>
  <c r="C1373" i="24"/>
  <c r="C1379" i="24"/>
  <c r="B349" i="7"/>
  <c r="C158" i="12"/>
  <c r="C341" i="7"/>
  <c r="C349" i="7" s="1"/>
  <c r="D461" i="9"/>
  <c r="D497" i="9"/>
  <c r="D500" i="9"/>
  <c r="D488" i="9"/>
  <c r="D1375" i="24"/>
  <c r="D1377" i="24" s="1"/>
  <c r="D1200" i="24"/>
  <c r="D16" i="12"/>
  <c r="E16" i="12"/>
  <c r="C933" i="22"/>
  <c r="C930" i="22"/>
  <c r="C938" i="22"/>
  <c r="G608" i="9"/>
  <c r="B218" i="13"/>
  <c r="G513" i="9"/>
  <c r="G516" i="9"/>
  <c r="G534" i="9"/>
  <c r="G588" i="9"/>
  <c r="G553" i="9"/>
  <c r="G556" i="9"/>
  <c r="G574" i="9"/>
  <c r="G617" i="9"/>
  <c r="C514" i="11"/>
  <c r="C464" i="11"/>
  <c r="C321" i="11"/>
  <c r="C517" i="11"/>
  <c r="B106" i="26"/>
  <c r="C157" i="12"/>
  <c r="C340" i="7"/>
  <c r="D257" i="22"/>
  <c r="D248" i="22"/>
  <c r="D260" i="22"/>
  <c r="C116" i="14"/>
  <c r="C122" i="14"/>
  <c r="E416" i="24"/>
  <c r="E424" i="24" s="1"/>
  <c r="E438" i="24"/>
  <c r="F438" i="24" s="1"/>
  <c r="I27" i="4"/>
  <c r="I1438" i="24"/>
  <c r="B194" i="13"/>
  <c r="B200" i="13"/>
  <c r="D162" i="12"/>
  <c r="E162" i="12" s="1"/>
  <c r="D345" i="7"/>
  <c r="E345" i="7" s="1"/>
  <c r="E467" i="11"/>
  <c r="G578" i="9"/>
  <c r="E1075" i="24"/>
  <c r="E1078" i="24"/>
  <c r="F233" i="22"/>
  <c r="F259" i="22" s="1"/>
  <c r="F251" i="22"/>
  <c r="D138" i="13"/>
  <c r="E138" i="13" s="1"/>
  <c r="E106" i="13"/>
  <c r="E19" i="12"/>
  <c r="D19" i="12"/>
  <c r="D462" i="24"/>
  <c r="D316" i="9"/>
  <c r="D358" i="9"/>
  <c r="D370" i="9"/>
  <c r="E448" i="9"/>
  <c r="E457" i="9"/>
  <c r="E460" i="9"/>
  <c r="D203" i="22"/>
  <c r="D206" i="22"/>
  <c r="D1246" i="24"/>
  <c r="D52" i="14"/>
  <c r="E110" i="22"/>
  <c r="E136" i="22" s="1"/>
  <c r="E128" i="22"/>
  <c r="D46" i="14"/>
  <c r="E46" i="14" s="1"/>
  <c r="E38" i="14"/>
  <c r="C389" i="7"/>
  <c r="C243" i="9"/>
  <c r="C219" i="9"/>
  <c r="C221" i="9"/>
  <c r="C247" i="9" s="1"/>
  <c r="E123" i="14"/>
  <c r="C468" i="11"/>
  <c r="C325" i="11"/>
  <c r="B109" i="26"/>
  <c r="E321" i="11"/>
  <c r="B48" i="12"/>
  <c r="B72" i="12"/>
  <c r="B45" i="12"/>
  <c r="B159" i="12"/>
  <c r="F295" i="22"/>
  <c r="F271" i="22"/>
  <c r="F297" i="22" s="1"/>
  <c r="E107" i="22"/>
  <c r="E133" i="22" s="1"/>
  <c r="E131" i="22"/>
  <c r="D101" i="14"/>
  <c r="E101" i="14"/>
  <c r="C87" i="26"/>
  <c r="E363" i="7"/>
  <c r="D54" i="22"/>
  <c r="D86" i="22"/>
  <c r="F280" i="22"/>
  <c r="F286" i="22"/>
  <c r="E109" i="22"/>
  <c r="E135" i="22" s="1"/>
  <c r="E127" i="22"/>
  <c r="E103" i="22"/>
  <c r="D89" i="14"/>
  <c r="E89" i="14" s="1"/>
  <c r="D83" i="14"/>
  <c r="E83" i="14" s="1"/>
  <c r="D114" i="14"/>
  <c r="D67" i="14" s="1"/>
  <c r="E81" i="14"/>
  <c r="D103" i="14"/>
  <c r="E103" i="14"/>
  <c r="G24" i="14"/>
  <c r="F1222" i="24"/>
  <c r="H51" i="13"/>
  <c r="H55" i="13"/>
  <c r="H52" i="13"/>
  <c r="H56" i="13"/>
  <c r="I56" i="13" s="1"/>
  <c r="H95" i="14"/>
  <c r="H99" i="14"/>
  <c r="H96" i="14"/>
  <c r="H100" i="14"/>
  <c r="I12" i="24"/>
  <c r="G1069" i="24"/>
  <c r="G1214" i="24"/>
  <c r="G1068" i="24"/>
  <c r="G1213" i="24"/>
  <c r="H9" i="24"/>
  <c r="G1073" i="24"/>
  <c r="H484" i="11" s="1"/>
  <c r="G1218" i="24"/>
  <c r="H28" i="14" s="1"/>
  <c r="G1072" i="24"/>
  <c r="G1217" i="24"/>
  <c r="G483" i="11"/>
  <c r="F1074" i="24"/>
  <c r="G23" i="14"/>
  <c r="F1215" i="24"/>
  <c r="F1221" i="24"/>
  <c r="F386" i="7"/>
  <c r="E204" i="22"/>
  <c r="E198" i="22"/>
  <c r="D132" i="13"/>
  <c r="E132" i="13" s="1"/>
  <c r="D110" i="13"/>
  <c r="D142" i="13" s="1"/>
  <c r="E100" i="13"/>
  <c r="D501" i="11"/>
  <c r="E501" i="11" s="1"/>
  <c r="D495" i="11"/>
  <c r="D24" i="12"/>
  <c r="E24" i="12" s="1"/>
  <c r="E493" i="11"/>
  <c r="G337" i="22"/>
  <c r="F29" i="12"/>
  <c r="E1147" i="24"/>
  <c r="E1161" i="24" s="1"/>
  <c r="F197" i="13" s="1"/>
  <c r="E368" i="7"/>
  <c r="C193" i="13"/>
  <c r="C201" i="13" s="1"/>
  <c r="C1165" i="24"/>
  <c r="B523" i="11"/>
  <c r="C503" i="11"/>
  <c r="C500" i="11"/>
  <c r="C108" i="13"/>
  <c r="C112" i="13"/>
  <c r="C134" i="13"/>
  <c r="E313" i="22"/>
  <c r="E316" i="22"/>
  <c r="E334" i="22"/>
  <c r="H525" i="9"/>
  <c r="I523" i="9"/>
  <c r="H603" i="9"/>
  <c r="I563" i="9"/>
  <c r="H401" i="9"/>
  <c r="B388" i="7"/>
  <c r="B379" i="7"/>
  <c r="B391" i="7"/>
  <c r="D937" i="22"/>
  <c r="B1378" i="24"/>
  <c r="B1381" i="24"/>
  <c r="B96" i="22"/>
  <c r="B93" i="22"/>
  <c r="B80" i="22"/>
  <c r="G403" i="9"/>
  <c r="G483" i="9" s="1"/>
  <c r="G481" i="9"/>
  <c r="C102" i="14"/>
  <c r="C105" i="14"/>
  <c r="C1304" i="24"/>
  <c r="B88" i="26"/>
  <c r="C1303" i="24"/>
  <c r="C1301" i="24"/>
  <c r="C1305" i="24"/>
  <c r="C1302" i="24"/>
  <c r="F418" i="9"/>
  <c r="F498" i="9" s="1"/>
  <c r="F472" i="9"/>
  <c r="B346" i="7"/>
  <c r="B943" i="22"/>
  <c r="B946" i="22"/>
  <c r="B934" i="22"/>
  <c r="B61" i="14"/>
  <c r="B58" i="14"/>
  <c r="B158" i="13"/>
  <c r="B151" i="13"/>
  <c r="B128" i="14"/>
  <c r="H565" i="9"/>
  <c r="H441" i="9"/>
  <c r="H443" i="9" s="1"/>
  <c r="C375" i="7"/>
  <c r="C378" i="7"/>
  <c r="E272" i="22"/>
  <c r="E275" i="22"/>
  <c r="E293" i="22"/>
  <c r="E162" i="22"/>
  <c r="E165" i="22"/>
  <c r="B215" i="13"/>
  <c r="D230" i="9"/>
  <c r="E356" i="9"/>
  <c r="F485" i="11"/>
  <c r="F511" i="11"/>
  <c r="F14" i="12"/>
  <c r="F16" i="12" s="1"/>
  <c r="F497" i="11"/>
  <c r="E1146" i="24" s="1"/>
  <c r="F117" i="13"/>
  <c r="F115" i="13"/>
  <c r="F116" i="13"/>
  <c r="G228" i="22"/>
  <c r="G241" i="22"/>
  <c r="G243" i="22" s="1"/>
  <c r="G310" i="22"/>
  <c r="F187" i="22"/>
  <c r="F200" i="22"/>
  <c r="F202" i="22" s="1"/>
  <c r="G323" i="22"/>
  <c r="G325" i="22" s="1"/>
  <c r="E896" i="22"/>
  <c r="E904" i="22" s="1"/>
  <c r="D71" i="26"/>
  <c r="E1198" i="24"/>
  <c r="C79" i="12"/>
  <c r="C166" i="12"/>
  <c r="E244" i="22"/>
  <c r="E247" i="22"/>
  <c r="C1149" i="24"/>
  <c r="C1152" i="24"/>
  <c r="E116" i="13"/>
  <c r="D1146" i="24"/>
  <c r="D1150" i="24" s="1"/>
  <c r="F336" i="22"/>
  <c r="F312" i="22"/>
  <c r="F338" i="22" s="1"/>
  <c r="D125" i="13"/>
  <c r="E125" i="13" s="1"/>
  <c r="D118" i="13"/>
  <c r="D513" i="11"/>
  <c r="D42" i="12"/>
  <c r="D466" i="11"/>
  <c r="D323" i="11"/>
  <c r="D74" i="12" s="1"/>
  <c r="C107" i="26"/>
  <c r="C47" i="14"/>
  <c r="C44" i="14"/>
  <c r="C381" i="22"/>
  <c r="C384" i="22"/>
  <c r="S345" i="2"/>
  <c r="R24" i="15"/>
  <c r="Z120" i="27"/>
  <c r="G406" i="9"/>
  <c r="G486" i="9" s="1"/>
  <c r="G478" i="9"/>
  <c r="I520" i="9"/>
  <c r="H528" i="9"/>
  <c r="H608" i="9" s="1"/>
  <c r="H600" i="9"/>
  <c r="I560" i="9"/>
  <c r="H398" i="9"/>
  <c r="E115" i="13"/>
  <c r="D421" i="24"/>
  <c r="G399" i="9"/>
  <c r="G405" i="9"/>
  <c r="G485" i="9" s="1"/>
  <c r="G477" i="9"/>
  <c r="D912" i="22"/>
  <c r="D918" i="22"/>
  <c r="E498" i="9"/>
  <c r="G612" i="9"/>
  <c r="G426" i="9"/>
  <c r="G432" i="9"/>
  <c r="G458" i="9" s="1"/>
  <c r="G450" i="9"/>
  <c r="G415" i="9"/>
  <c r="G495" i="9" s="1"/>
  <c r="G469" i="9"/>
  <c r="I551" i="9"/>
  <c r="I511" i="9"/>
  <c r="H537" i="9"/>
  <c r="H617" i="9" s="1"/>
  <c r="H591" i="9"/>
  <c r="H389" i="9"/>
  <c r="E437" i="24"/>
  <c r="F437" i="24" s="1"/>
  <c r="E415" i="24"/>
  <c r="E431" i="24"/>
  <c r="C60" i="16"/>
  <c r="E326" i="22"/>
  <c r="E329" i="22"/>
  <c r="E419" i="24"/>
  <c r="E421" i="24" s="1"/>
  <c r="E435" i="24"/>
  <c r="G393" i="9"/>
  <c r="G411" i="9"/>
  <c r="G491" i="9" s="1"/>
  <c r="G465" i="9"/>
  <c r="G541" i="9"/>
  <c r="G595" i="9"/>
  <c r="G581" i="9"/>
  <c r="C91" i="14"/>
  <c r="C88" i="14"/>
  <c r="C370" i="22"/>
  <c r="C367" i="22"/>
  <c r="H7" i="18"/>
  <c r="F170" i="26"/>
  <c r="F430" i="24"/>
  <c r="F618" i="9"/>
  <c r="F481" i="11"/>
  <c r="F507" i="11"/>
  <c r="F10" i="12"/>
  <c r="F487" i="11"/>
  <c r="E1183" i="24" s="1"/>
  <c r="F493" i="11"/>
  <c r="F101" i="13"/>
  <c r="F183" i="22"/>
  <c r="F99" i="13"/>
  <c r="F100" i="13"/>
  <c r="E895" i="22"/>
  <c r="G319" i="22"/>
  <c r="F196" i="22"/>
  <c r="G224" i="22"/>
  <c r="G237" i="22"/>
  <c r="G306" i="22"/>
  <c r="E1194" i="24"/>
  <c r="D68" i="26"/>
  <c r="E1142" i="24"/>
  <c r="F620" i="9"/>
  <c r="F539" i="9"/>
  <c r="F542" i="9"/>
  <c r="F593" i="9"/>
  <c r="F596" i="9"/>
  <c r="F530" i="9"/>
  <c r="D940" i="22"/>
  <c r="D1203" i="24"/>
  <c r="D1372" i="24"/>
  <c r="D1380" i="24" s="1"/>
  <c r="D137" i="13"/>
  <c r="E137" i="13" s="1"/>
  <c r="E105" i="13"/>
  <c r="D39" i="12"/>
  <c r="D47" i="12" s="1"/>
  <c r="E79" i="12" s="1"/>
  <c r="D463" i="11"/>
  <c r="E463" i="11" s="1"/>
  <c r="D320" i="11"/>
  <c r="D71" i="12" s="1"/>
  <c r="D516" i="11"/>
  <c r="C105" i="26"/>
  <c r="E508" i="11"/>
  <c r="E320" i="11"/>
  <c r="F570" i="9"/>
  <c r="F579" i="9"/>
  <c r="F582" i="9"/>
  <c r="L1453" i="24"/>
  <c r="F491" i="9"/>
  <c r="C320" i="9"/>
  <c r="C333" i="9" s="1"/>
  <c r="C325" i="9"/>
  <c r="C313" i="9"/>
  <c r="E104" i="14"/>
  <c r="D104" i="14"/>
  <c r="D382" i="7"/>
  <c r="E382" i="7" s="1"/>
  <c r="D364" i="7"/>
  <c r="D390" i="7" s="1"/>
  <c r="E390" i="7" s="1"/>
  <c r="E356" i="7"/>
  <c r="D121" i="22"/>
  <c r="D65" i="16" s="1"/>
  <c r="D124" i="22"/>
  <c r="C79" i="13"/>
  <c r="C353" i="22"/>
  <c r="C356" i="22"/>
  <c r="E115" i="14"/>
  <c r="F429" i="24"/>
  <c r="F431" i="24" s="1"/>
  <c r="F439" i="24" s="1"/>
  <c r="G566" i="9"/>
  <c r="G569" i="9"/>
  <c r="C216" i="22"/>
  <c r="C219" i="22"/>
  <c r="C207" i="22"/>
  <c r="B78" i="12"/>
  <c r="B165" i="12"/>
  <c r="D166" i="22"/>
  <c r="D178" i="22"/>
  <c r="D175" i="22"/>
  <c r="D87" i="14"/>
  <c r="E87" i="14" s="1"/>
  <c r="D118" i="14"/>
  <c r="E85" i="14"/>
  <c r="G616" i="9"/>
  <c r="F494" i="9"/>
  <c r="D439" i="24"/>
  <c r="D436" i="24"/>
  <c r="E389" i="7"/>
  <c r="D348" i="22"/>
  <c r="D354" i="22"/>
  <c r="D376" i="22"/>
  <c r="D382" i="22"/>
  <c r="D45" i="14"/>
  <c r="E45" i="14" s="1"/>
  <c r="D39" i="14"/>
  <c r="F157" i="22"/>
  <c r="F163" i="22"/>
  <c r="D97" i="14"/>
  <c r="E97" i="14"/>
  <c r="D10" i="14"/>
  <c r="E10" i="14"/>
  <c r="C84" i="26"/>
  <c r="G27" i="14"/>
  <c r="F1219" i="24"/>
  <c r="G498" i="11"/>
  <c r="G29" i="12" s="1"/>
  <c r="G512" i="11"/>
  <c r="G15" i="12"/>
  <c r="G120" i="13"/>
  <c r="H229" i="22"/>
  <c r="G121" i="13"/>
  <c r="G122" i="13"/>
  <c r="H324" i="22"/>
  <c r="G188" i="22"/>
  <c r="H242" i="22"/>
  <c r="H311" i="22"/>
  <c r="G201" i="22"/>
  <c r="F1199" i="24"/>
  <c r="F900" i="22"/>
  <c r="E72" i="26"/>
  <c r="G53" i="13"/>
  <c r="G59" i="13"/>
  <c r="F119" i="14"/>
  <c r="F72" i="14" s="1"/>
  <c r="D897" i="22"/>
  <c r="D903" i="22"/>
  <c r="F321" i="22"/>
  <c r="F327" i="22"/>
  <c r="F239" i="22"/>
  <c r="F245" i="22"/>
  <c r="D12" i="12"/>
  <c r="E12" i="12"/>
  <c r="D18" i="12"/>
  <c r="E18" i="12"/>
  <c r="I524" i="9"/>
  <c r="H604" i="9"/>
  <c r="I564" i="9"/>
  <c r="I442" i="9" s="1"/>
  <c r="H402" i="9"/>
  <c r="H482" i="9" s="1"/>
  <c r="C153" i="13"/>
  <c r="C79" i="22"/>
  <c r="C76" i="22"/>
  <c r="E142" i="13"/>
  <c r="B201" i="13"/>
  <c r="B121" i="14"/>
  <c r="B124" i="14"/>
  <c r="C1247" i="24"/>
  <c r="C1244" i="24"/>
  <c r="E75" i="12"/>
  <c r="M411" i="7" l="1"/>
  <c r="O286" i="2"/>
  <c r="L411" i="7"/>
  <c r="AH101" i="27"/>
  <c r="O421" i="2"/>
  <c r="B127" i="27"/>
  <c r="K13" i="5"/>
  <c r="L21" i="4"/>
  <c r="L26" i="17"/>
  <c r="J405" i="7"/>
  <c r="J399" i="7"/>
  <c r="G75" i="26"/>
  <c r="K23" i="4"/>
  <c r="H168" i="26" s="1"/>
  <c r="H166" i="26"/>
  <c r="F77" i="26"/>
  <c r="H407" i="7"/>
  <c r="H404" i="7"/>
  <c r="F81" i="26" s="1"/>
  <c r="I421" i="7"/>
  <c r="K419" i="7"/>
  <c r="K413" i="7"/>
  <c r="K397" i="7"/>
  <c r="J421" i="7"/>
  <c r="J418" i="7"/>
  <c r="G618" i="9"/>
  <c r="H173" i="22"/>
  <c r="D522" i="11"/>
  <c r="E39" i="12"/>
  <c r="F419" i="24"/>
  <c r="F421" i="24" s="1"/>
  <c r="H605" i="9"/>
  <c r="H296" i="22"/>
  <c r="E1148" i="24"/>
  <c r="E1160" i="24"/>
  <c r="E67" i="14"/>
  <c r="E1243" i="24"/>
  <c r="F55" i="14"/>
  <c r="D44" i="14"/>
  <c r="E47" i="14" s="1"/>
  <c r="D47" i="14"/>
  <c r="K1453" i="24"/>
  <c r="D471" i="11"/>
  <c r="E471" i="11" s="1"/>
  <c r="D328" i="11"/>
  <c r="E1371" i="24"/>
  <c r="F521" i="11" s="1"/>
  <c r="E1196" i="24"/>
  <c r="E1202" i="24"/>
  <c r="F109" i="13"/>
  <c r="F102" i="13"/>
  <c r="F131" i="13"/>
  <c r="F244" i="22"/>
  <c r="F247" i="22"/>
  <c r="D7" i="21"/>
  <c r="D9" i="21" s="1"/>
  <c r="D905" i="22"/>
  <c r="D902" i="22"/>
  <c r="F1376" i="24"/>
  <c r="G526" i="11" s="1"/>
  <c r="G57" i="12" s="1"/>
  <c r="G214" i="22"/>
  <c r="H255" i="22"/>
  <c r="D79" i="13"/>
  <c r="D353" i="22"/>
  <c r="D356" i="22"/>
  <c r="D120" i="14"/>
  <c r="E120" i="14" s="1"/>
  <c r="E118" i="14"/>
  <c r="D530" i="11"/>
  <c r="E530" i="11" s="1"/>
  <c r="D53" i="12"/>
  <c r="D61" i="12" s="1"/>
  <c r="G314" i="22"/>
  <c r="G332" i="22"/>
  <c r="G308" i="22"/>
  <c r="G321" i="22"/>
  <c r="G327" i="22"/>
  <c r="F191" i="22"/>
  <c r="F209" i="22"/>
  <c r="F185" i="22"/>
  <c r="F18" i="12"/>
  <c r="F12" i="12"/>
  <c r="G419" i="9"/>
  <c r="G499" i="9" s="1"/>
  <c r="G473" i="9"/>
  <c r="E439" i="24"/>
  <c r="E436" i="24"/>
  <c r="G431" i="9"/>
  <c r="G434" i="9"/>
  <c r="G452" i="9"/>
  <c r="T345" i="2"/>
  <c r="S24" i="15"/>
  <c r="AB120" i="27"/>
  <c r="D161" i="12"/>
  <c r="E161" i="12" s="1"/>
  <c r="D344" i="7"/>
  <c r="E466" i="11"/>
  <c r="F127" i="13"/>
  <c r="D73" i="26"/>
  <c r="E1181" i="24"/>
  <c r="E289" i="22"/>
  <c r="E298" i="22"/>
  <c r="E301" i="22"/>
  <c r="J563" i="9"/>
  <c r="I525" i="9"/>
  <c r="J523" i="9"/>
  <c r="I603" i="9"/>
  <c r="I401" i="9"/>
  <c r="E330" i="22"/>
  <c r="E339" i="22"/>
  <c r="E342" i="22"/>
  <c r="D500" i="11"/>
  <c r="E500" i="11" s="1"/>
  <c r="D503" i="11"/>
  <c r="H27" i="14"/>
  <c r="G1219" i="24"/>
  <c r="H360" i="7"/>
  <c r="H373" i="7"/>
  <c r="I373" i="7" s="1"/>
  <c r="I100" i="14"/>
  <c r="H106" i="22"/>
  <c r="I160" i="22"/>
  <c r="G66" i="22"/>
  <c r="G74" i="22"/>
  <c r="I28" i="14"/>
  <c r="H42" i="14"/>
  <c r="H86" i="14"/>
  <c r="G70" i="22"/>
  <c r="H119" i="22"/>
  <c r="G379" i="22"/>
  <c r="I283" i="22"/>
  <c r="G365" i="22"/>
  <c r="I147" i="22"/>
  <c r="I270" i="22"/>
  <c r="G351" i="22"/>
  <c r="F86" i="26"/>
  <c r="G1422" i="24"/>
  <c r="G1423" i="24"/>
  <c r="D272" i="9"/>
  <c r="D928" i="22"/>
  <c r="D463" i="24"/>
  <c r="D475" i="24"/>
  <c r="E44" i="14"/>
  <c r="K27" i="4"/>
  <c r="J1438" i="24"/>
  <c r="G614" i="9"/>
  <c r="B61" i="12"/>
  <c r="E61" i="12" s="1"/>
  <c r="E53" i="12"/>
  <c r="B54" i="12"/>
  <c r="E1239" i="24"/>
  <c r="E1245" i="24"/>
  <c r="F51" i="14"/>
  <c r="G280" i="22"/>
  <c r="G286" i="22"/>
  <c r="G144" i="22"/>
  <c r="G150" i="22"/>
  <c r="G168" i="22"/>
  <c r="F39" i="14"/>
  <c r="F45" i="14"/>
  <c r="E60" i="22"/>
  <c r="E82" i="22"/>
  <c r="E50" i="22"/>
  <c r="F376" i="7"/>
  <c r="F370" i="7"/>
  <c r="D143" i="13"/>
  <c r="E143" i="13" s="1"/>
  <c r="E111" i="13"/>
  <c r="D1373" i="24"/>
  <c r="D1379" i="24"/>
  <c r="D362" i="7"/>
  <c r="D383" i="7"/>
  <c r="E383" i="7" s="1"/>
  <c r="D365" i="7"/>
  <c r="E357" i="7"/>
  <c r="H430" i="9"/>
  <c r="H456" i="9" s="1"/>
  <c r="H454" i="9"/>
  <c r="C330" i="7"/>
  <c r="C70" i="13" s="1"/>
  <c r="D371" i="9"/>
  <c r="D346" i="9"/>
  <c r="D349" i="9"/>
  <c r="D68" i="14"/>
  <c r="D69" i="14" s="1"/>
  <c r="C372" i="9"/>
  <c r="C375" i="9"/>
  <c r="C363" i="9"/>
  <c r="F134" i="14"/>
  <c r="F87" i="14"/>
  <c r="F118" i="14"/>
  <c r="F71" i="14" s="1"/>
  <c r="E77" i="22"/>
  <c r="E67" i="22"/>
  <c r="F416" i="24"/>
  <c r="C158" i="13"/>
  <c r="C151" i="13"/>
  <c r="C128" i="14"/>
  <c r="C77" i="14"/>
  <c r="C74" i="14"/>
  <c r="C165" i="12"/>
  <c r="C78" i="12"/>
  <c r="F448" i="9"/>
  <c r="F457" i="9"/>
  <c r="F460" i="9"/>
  <c r="H386" i="9"/>
  <c r="H392" i="9"/>
  <c r="H410" i="9"/>
  <c r="H464" i="9"/>
  <c r="H540" i="9"/>
  <c r="H620" i="9" s="1"/>
  <c r="H594" i="9"/>
  <c r="H439" i="9"/>
  <c r="H445" i="9"/>
  <c r="D157" i="12"/>
  <c r="E157" i="12" s="1"/>
  <c r="D340" i="7"/>
  <c r="E462" i="11"/>
  <c r="D141" i="13"/>
  <c r="E141" i="13" s="1"/>
  <c r="E217" i="22"/>
  <c r="D192" i="13"/>
  <c r="D1158" i="24"/>
  <c r="G132" i="22"/>
  <c r="G386" i="7"/>
  <c r="E121" i="22"/>
  <c r="E124" i="22"/>
  <c r="I552" i="9"/>
  <c r="I576" i="9"/>
  <c r="I428" i="9"/>
  <c r="C276" i="9"/>
  <c r="C289" i="9" s="1"/>
  <c r="C227" i="9"/>
  <c r="C269" i="9"/>
  <c r="C281" i="9"/>
  <c r="D353" i="9"/>
  <c r="D234" i="9"/>
  <c r="F377" i="7"/>
  <c r="G251" i="22"/>
  <c r="G233" i="22"/>
  <c r="G259" i="22" s="1"/>
  <c r="F107" i="13"/>
  <c r="F136" i="13"/>
  <c r="H433" i="9"/>
  <c r="H459" i="9" s="1"/>
  <c r="H451" i="9"/>
  <c r="G490" i="9"/>
  <c r="C66" i="16"/>
  <c r="C59" i="16"/>
  <c r="D215" i="9"/>
  <c r="D239" i="9"/>
  <c r="E47" i="12"/>
  <c r="H399" i="9"/>
  <c r="H405" i="9"/>
  <c r="H485" i="9" s="1"/>
  <c r="H477" i="9"/>
  <c r="I521" i="9"/>
  <c r="J519" i="9"/>
  <c r="I527" i="9"/>
  <c r="I599" i="9"/>
  <c r="J559" i="9"/>
  <c r="I397" i="9"/>
  <c r="G606" i="9"/>
  <c r="G609" i="9"/>
  <c r="B216" i="13"/>
  <c r="B219" i="13"/>
  <c r="E348" i="9"/>
  <c r="E445" i="24"/>
  <c r="E299" i="9"/>
  <c r="F408" i="9"/>
  <c r="F417" i="9"/>
  <c r="F420" i="9"/>
  <c r="F471" i="9"/>
  <c r="F474" i="9"/>
  <c r="D158" i="12"/>
  <c r="E158" i="12" s="1"/>
  <c r="D341" i="7"/>
  <c r="D349" i="7" s="1"/>
  <c r="F133" i="13"/>
  <c r="F111" i="13"/>
  <c r="G254" i="22"/>
  <c r="G230" i="22"/>
  <c r="G256" i="22" s="1"/>
  <c r="B330" i="7"/>
  <c r="H403" i="9"/>
  <c r="H483" i="9" s="1"/>
  <c r="H481" i="9"/>
  <c r="E203" i="22"/>
  <c r="E206" i="22"/>
  <c r="G497" i="11"/>
  <c r="G485" i="11"/>
  <c r="G511" i="11"/>
  <c r="G14" i="12"/>
  <c r="G16" i="12" s="1"/>
  <c r="G116" i="13"/>
  <c r="G126" i="13" s="1"/>
  <c r="G187" i="22"/>
  <c r="H228" i="22"/>
  <c r="G117" i="13"/>
  <c r="G127" i="13" s="1"/>
  <c r="G115" i="13"/>
  <c r="G200" i="22"/>
  <c r="G202" i="22" s="1"/>
  <c r="H323" i="22"/>
  <c r="H325" i="22" s="1"/>
  <c r="F896" i="22"/>
  <c r="F904" i="22" s="1"/>
  <c r="H241" i="22"/>
  <c r="H243" i="22" s="1"/>
  <c r="H310" i="22"/>
  <c r="E71" i="26"/>
  <c r="F1198" i="24"/>
  <c r="F1146" i="24"/>
  <c r="H479" i="11"/>
  <c r="G1070" i="24"/>
  <c r="G1076" i="24"/>
  <c r="H60" i="13"/>
  <c r="I60" i="13" s="1"/>
  <c r="I52" i="13"/>
  <c r="G356" i="7"/>
  <c r="G369" i="7"/>
  <c r="G377" i="7" s="1"/>
  <c r="G32" i="14"/>
  <c r="G104" i="14" s="1"/>
  <c r="G102" i="22"/>
  <c r="G38" i="14"/>
  <c r="G46" i="14" s="1"/>
  <c r="G82" i="14"/>
  <c r="F49" i="22"/>
  <c r="F57" i="22"/>
  <c r="F91" i="22" s="1"/>
  <c r="F53" i="22"/>
  <c r="F87" i="22" s="1"/>
  <c r="G115" i="22"/>
  <c r="G123" i="22" s="1"/>
  <c r="F375" i="22"/>
  <c r="F383" i="22" s="1"/>
  <c r="H143" i="22"/>
  <c r="H156" i="22"/>
  <c r="H164" i="22" s="1"/>
  <c r="H266" i="22"/>
  <c r="F361" i="22"/>
  <c r="F369" i="22" s="1"/>
  <c r="H279" i="22"/>
  <c r="H287" i="22" s="1"/>
  <c r="F347" i="22"/>
  <c r="F355" i="22" s="1"/>
  <c r="E83" i="26"/>
  <c r="F1238" i="24"/>
  <c r="D116" i="14"/>
  <c r="D122" i="14"/>
  <c r="E122" i="14" s="1"/>
  <c r="E108" i="22"/>
  <c r="E111" i="22"/>
  <c r="E129" i="22"/>
  <c r="F285" i="22"/>
  <c r="F288" i="22"/>
  <c r="J27" i="4"/>
  <c r="I7" i="18"/>
  <c r="J7" i="18"/>
  <c r="G170" i="26"/>
  <c r="C124" i="14"/>
  <c r="C121" i="14"/>
  <c r="C342" i="7"/>
  <c r="C348" i="7"/>
  <c r="C326" i="11"/>
  <c r="C472" i="11"/>
  <c r="C329" i="11"/>
  <c r="C469" i="11"/>
  <c r="B110" i="26"/>
  <c r="E71" i="12"/>
  <c r="E349" i="7"/>
  <c r="C1378" i="24"/>
  <c r="C1381" i="24"/>
  <c r="D134" i="22"/>
  <c r="D64" i="16"/>
  <c r="D66" i="16" s="1"/>
  <c r="C21" i="5" s="1"/>
  <c r="D21" i="16" s="1"/>
  <c r="D125" i="22"/>
  <c r="D137" i="22"/>
  <c r="C58" i="14"/>
  <c r="C61" i="14"/>
  <c r="E376" i="22"/>
  <c r="E382" i="22"/>
  <c r="F122" i="22"/>
  <c r="F116" i="22"/>
  <c r="F103" i="22"/>
  <c r="F109" i="22"/>
  <c r="F127" i="22"/>
  <c r="F258" i="22"/>
  <c r="G488" i="11"/>
  <c r="F1184" i="24" s="1"/>
  <c r="G494" i="11"/>
  <c r="F1143" i="24" s="1"/>
  <c r="G508" i="11"/>
  <c r="G11" i="12"/>
  <c r="G19" i="12" s="1"/>
  <c r="G104" i="13"/>
  <c r="G184" i="22"/>
  <c r="G105" i="13"/>
  <c r="G137" i="13" s="1"/>
  <c r="G106" i="13"/>
  <c r="G138" i="13" s="1"/>
  <c r="H225" i="22"/>
  <c r="H238" i="22"/>
  <c r="H246" i="22" s="1"/>
  <c r="H307" i="22"/>
  <c r="G197" i="22"/>
  <c r="G205" i="22" s="1"/>
  <c r="H320" i="22"/>
  <c r="H328" i="22" s="1"/>
  <c r="F899" i="22"/>
  <c r="F901" i="22" s="1"/>
  <c r="F8" i="21" s="1"/>
  <c r="F1195" i="24"/>
  <c r="E69" i="26"/>
  <c r="D367" i="22"/>
  <c r="D370" i="22"/>
  <c r="H578" i="9"/>
  <c r="D304" i="9"/>
  <c r="D328" i="9"/>
  <c r="D306" i="9"/>
  <c r="D332" i="9" s="1"/>
  <c r="G271" i="22"/>
  <c r="G297" i="22" s="1"/>
  <c r="G295" i="22"/>
  <c r="F43" i="14"/>
  <c r="F424" i="24"/>
  <c r="C129" i="14"/>
  <c r="C139" i="14" s="1"/>
  <c r="C159" i="13"/>
  <c r="E248" i="22"/>
  <c r="E257" i="22"/>
  <c r="E260" i="22"/>
  <c r="C48" i="12"/>
  <c r="C72" i="12"/>
  <c r="C159" i="12"/>
  <c r="C45" i="12"/>
  <c r="I554" i="9"/>
  <c r="I572" i="9"/>
  <c r="I548" i="9"/>
  <c r="I424" i="9"/>
  <c r="J546" i="9"/>
  <c r="I508" i="9"/>
  <c r="J506" i="9"/>
  <c r="I514" i="9"/>
  <c r="I532" i="9"/>
  <c r="I586" i="9"/>
  <c r="I384" i="9"/>
  <c r="B329" i="7"/>
  <c r="B347" i="7"/>
  <c r="B350" i="7"/>
  <c r="E488" i="9"/>
  <c r="E461" i="9"/>
  <c r="E497" i="9"/>
  <c r="E500" i="9"/>
  <c r="F484" i="9"/>
  <c r="F487" i="9"/>
  <c r="E110" i="13"/>
  <c r="D46" i="12"/>
  <c r="D40" i="12"/>
  <c r="G119" i="14"/>
  <c r="G72" i="14" s="1"/>
  <c r="H616" i="9"/>
  <c r="D387" i="7"/>
  <c r="E387" i="7" s="1"/>
  <c r="E361" i="7"/>
  <c r="C464" i="24"/>
  <c r="C467" i="24"/>
  <c r="C472" i="24"/>
  <c r="C29" i="21" s="1"/>
  <c r="C31" i="21" s="1"/>
  <c r="G274" i="22"/>
  <c r="G300" i="22" s="1"/>
  <c r="G292" i="22"/>
  <c r="E61" i="22"/>
  <c r="E95" i="22" s="1"/>
  <c r="E83" i="22"/>
  <c r="F364" i="7"/>
  <c r="F382" i="7"/>
  <c r="F138" i="13"/>
  <c r="F463" i="11"/>
  <c r="F320" i="11"/>
  <c r="F71" i="12" s="1"/>
  <c r="F516" i="11"/>
  <c r="F39" i="12"/>
  <c r="D105" i="26"/>
  <c r="B77" i="14"/>
  <c r="B74" i="14"/>
  <c r="G418" i="9"/>
  <c r="G498" i="9" s="1"/>
  <c r="G472" i="9"/>
  <c r="I561" i="9"/>
  <c r="I567" i="9"/>
  <c r="I437" i="9"/>
  <c r="H526" i="9"/>
  <c r="H529" i="9"/>
  <c r="H601" i="9"/>
  <c r="B140" i="14"/>
  <c r="D222" i="9"/>
  <c r="D53" i="14"/>
  <c r="D59" i="14"/>
  <c r="E59" i="14" s="1"/>
  <c r="D209" i="13"/>
  <c r="E51" i="14"/>
  <c r="E114" i="14"/>
  <c r="E495" i="11"/>
  <c r="G61" i="13"/>
  <c r="G58" i="13"/>
  <c r="G123" i="13"/>
  <c r="E1144" i="24"/>
  <c r="E1150" i="24"/>
  <c r="E1156" i="24"/>
  <c r="G245" i="22"/>
  <c r="G239" i="22"/>
  <c r="E897" i="22"/>
  <c r="E903" i="22"/>
  <c r="F319" i="11"/>
  <c r="F70" i="12" s="1"/>
  <c r="F515" i="11"/>
  <c r="F509" i="11"/>
  <c r="F462" i="11"/>
  <c r="F38" i="12"/>
  <c r="D104" i="26"/>
  <c r="G621" i="9"/>
  <c r="D70" i="16"/>
  <c r="D60" i="16" s="1"/>
  <c r="E423" i="24"/>
  <c r="F423" i="24" s="1"/>
  <c r="E417" i="24"/>
  <c r="D44" i="12"/>
  <c r="E74" i="12"/>
  <c r="E42" i="12"/>
  <c r="E1200" i="24"/>
  <c r="E1375" i="24"/>
  <c r="E1377" i="24" s="1"/>
  <c r="F499" i="11"/>
  <c r="F28" i="12"/>
  <c r="E461" i="24"/>
  <c r="E315" i="9"/>
  <c r="E364" i="7"/>
  <c r="C133" i="14"/>
  <c r="C136" i="14" s="1"/>
  <c r="C156" i="13"/>
  <c r="J564" i="9"/>
  <c r="J442" i="9" s="1"/>
  <c r="J524" i="9"/>
  <c r="I604" i="9"/>
  <c r="I402" i="9"/>
  <c r="I482" i="9" s="1"/>
  <c r="D20" i="12"/>
  <c r="D17" i="12"/>
  <c r="E20" i="12"/>
  <c r="E17" i="12"/>
  <c r="F326" i="22"/>
  <c r="F329" i="22"/>
  <c r="H337" i="22"/>
  <c r="G359" i="7"/>
  <c r="G372" i="7"/>
  <c r="G374" i="7" s="1"/>
  <c r="G9" i="14"/>
  <c r="G41" i="14"/>
  <c r="G43" i="14" s="1"/>
  <c r="G85" i="14"/>
  <c r="G105" i="22"/>
  <c r="H146" i="22"/>
  <c r="H269" i="22"/>
  <c r="G29" i="14"/>
  <c r="F65" i="22"/>
  <c r="F73" i="22"/>
  <c r="F75" i="22" s="1"/>
  <c r="G155" i="13" s="1"/>
  <c r="G135" i="14" s="1"/>
  <c r="F69" i="22"/>
  <c r="F71" i="22" s="1"/>
  <c r="G154" i="13" s="1"/>
  <c r="G134" i="14" s="1"/>
  <c r="G118" i="22"/>
  <c r="G120" i="22" s="1"/>
  <c r="H282" i="22"/>
  <c r="H284" i="22" s="1"/>
  <c r="F378" i="22"/>
  <c r="F380" i="22" s="1"/>
  <c r="F364" i="22"/>
  <c r="F366" i="22" s="1"/>
  <c r="F350" i="22"/>
  <c r="F352" i="22" s="1"/>
  <c r="H159" i="22"/>
  <c r="H161" i="22" s="1"/>
  <c r="E85" i="26"/>
  <c r="F1241" i="24"/>
  <c r="D105" i="14"/>
  <c r="D102" i="14"/>
  <c r="E105" i="14"/>
  <c r="E102" i="14"/>
  <c r="D1301" i="24"/>
  <c r="D1305" i="24"/>
  <c r="D1304" i="24"/>
  <c r="D1302" i="24"/>
  <c r="D1303" i="24"/>
  <c r="C88" i="26"/>
  <c r="F162" i="22"/>
  <c r="F165" i="22"/>
  <c r="D384" i="22"/>
  <c r="D381" i="22"/>
  <c r="F436" i="24"/>
  <c r="D71" i="14"/>
  <c r="D79" i="12"/>
  <c r="D166" i="12"/>
  <c r="G232" i="22"/>
  <c r="G258" i="22" s="1"/>
  <c r="G250" i="22"/>
  <c r="G226" i="22"/>
  <c r="F110" i="13"/>
  <c r="F132" i="13"/>
  <c r="F495" i="11"/>
  <c r="F24" i="12"/>
  <c r="F501" i="11"/>
  <c r="F489" i="11"/>
  <c r="F486" i="11"/>
  <c r="E1177" i="24"/>
  <c r="D70" i="26"/>
  <c r="J511" i="9"/>
  <c r="I537" i="9"/>
  <c r="I591" i="9"/>
  <c r="J551" i="9"/>
  <c r="I389" i="9"/>
  <c r="G404" i="9"/>
  <c r="G407" i="9"/>
  <c r="G479" i="9"/>
  <c r="H406" i="9"/>
  <c r="H486" i="9" s="1"/>
  <c r="H478" i="9"/>
  <c r="J520" i="9"/>
  <c r="I528" i="9"/>
  <c r="I600" i="9"/>
  <c r="J560" i="9"/>
  <c r="I398" i="9"/>
  <c r="D325" i="11"/>
  <c r="D468" i="11"/>
  <c r="E468" i="11" s="1"/>
  <c r="C109" i="26"/>
  <c r="E325" i="11"/>
  <c r="E513" i="11"/>
  <c r="F213" i="22"/>
  <c r="F189" i="22"/>
  <c r="F215" i="22" s="1"/>
  <c r="F126" i="13"/>
  <c r="B138" i="14"/>
  <c r="B131" i="14"/>
  <c r="I565" i="9"/>
  <c r="I441" i="9"/>
  <c r="I443" i="9" s="1"/>
  <c r="F1223" i="24"/>
  <c r="F1220" i="24"/>
  <c r="H23" i="14"/>
  <c r="G1215" i="24"/>
  <c r="G1221" i="24"/>
  <c r="H480" i="11"/>
  <c r="G1077" i="24"/>
  <c r="H57" i="13"/>
  <c r="I57" i="13" s="1"/>
  <c r="I55" i="13"/>
  <c r="D88" i="14"/>
  <c r="E88" i="14" s="1"/>
  <c r="D91" i="14"/>
  <c r="E328" i="11"/>
  <c r="B80" i="12"/>
  <c r="B77" i="12"/>
  <c r="B164" i="12"/>
  <c r="B167" i="12"/>
  <c r="D210" i="13"/>
  <c r="D60" i="14"/>
  <c r="E60" i="14" s="1"/>
  <c r="G570" i="9"/>
  <c r="G579" i="9"/>
  <c r="G582" i="9"/>
  <c r="G530" i="9"/>
  <c r="G539" i="9"/>
  <c r="G542" i="9"/>
  <c r="G593" i="9"/>
  <c r="G596" i="9"/>
  <c r="D525" i="11"/>
  <c r="E341" i="7"/>
  <c r="C54" i="12"/>
  <c r="C211" i="13"/>
  <c r="C217" i="13"/>
  <c r="E348" i="22"/>
  <c r="E354" i="22"/>
  <c r="G273" i="22"/>
  <c r="G299" i="22" s="1"/>
  <c r="G291" i="22"/>
  <c r="G267" i="22"/>
  <c r="E54" i="22"/>
  <c r="E86" i="22"/>
  <c r="F10" i="14"/>
  <c r="F97" i="14"/>
  <c r="D84" i="26"/>
  <c r="F33" i="14"/>
  <c r="F30" i="14"/>
  <c r="F162" i="12"/>
  <c r="F345" i="7"/>
  <c r="F231" i="22"/>
  <c r="F234" i="22"/>
  <c r="F252" i="22"/>
  <c r="D1201" i="24"/>
  <c r="D1204" i="24"/>
  <c r="F1078" i="24"/>
  <c r="F1075" i="24"/>
  <c r="D148" i="13"/>
  <c r="D59" i="22"/>
  <c r="D84" i="22"/>
  <c r="D62" i="22"/>
  <c r="F176" i="22"/>
  <c r="D57" i="14"/>
  <c r="E57" i="14" s="1"/>
  <c r="D213" i="13"/>
  <c r="E55" i="14"/>
  <c r="D258" i="9"/>
  <c r="D923" i="22"/>
  <c r="D474" i="24"/>
  <c r="D450" i="24"/>
  <c r="D452" i="24"/>
  <c r="D478" i="24" s="1"/>
  <c r="E166" i="22"/>
  <c r="E175" i="22"/>
  <c r="E178" i="22"/>
  <c r="D193" i="13"/>
  <c r="D1165" i="24"/>
  <c r="F101" i="14"/>
  <c r="D87" i="26"/>
  <c r="F361" i="7"/>
  <c r="F385" i="7"/>
  <c r="B8" i="18"/>
  <c r="B9" i="18" s="1"/>
  <c r="A171" i="26"/>
  <c r="B29" i="4"/>
  <c r="H513" i="9"/>
  <c r="H516" i="9"/>
  <c r="H534" i="9"/>
  <c r="H588" i="9"/>
  <c r="H553" i="9"/>
  <c r="H556" i="9"/>
  <c r="H574" i="9"/>
  <c r="H566" i="9"/>
  <c r="H569" i="9"/>
  <c r="D30" i="12"/>
  <c r="E30" i="12" s="1"/>
  <c r="E28" i="12"/>
  <c r="C1166" i="24"/>
  <c r="C1163" i="24"/>
  <c r="D470" i="11"/>
  <c r="E470" i="11" s="1"/>
  <c r="D327" i="11"/>
  <c r="E327" i="11"/>
  <c r="E515" i="11"/>
  <c r="D321" i="11"/>
  <c r="D517" i="11"/>
  <c r="D514" i="11"/>
  <c r="D464" i="11"/>
  <c r="E464" i="11" s="1"/>
  <c r="C106" i="26"/>
  <c r="E190" i="22"/>
  <c r="E193" i="22"/>
  <c r="E211" i="22"/>
  <c r="F340" i="22"/>
  <c r="F1424" i="24"/>
  <c r="F78" i="22"/>
  <c r="D378" i="7"/>
  <c r="D375" i="7"/>
  <c r="E378" i="7" s="1"/>
  <c r="F299" i="22"/>
  <c r="F415" i="24"/>
  <c r="F417" i="24" s="1"/>
  <c r="F425" i="24" s="1"/>
  <c r="J510" i="9"/>
  <c r="I536" i="9"/>
  <c r="I616" i="9" s="1"/>
  <c r="I590" i="9"/>
  <c r="J550" i="9"/>
  <c r="I512" i="9"/>
  <c r="I388" i="9"/>
  <c r="E516" i="11"/>
  <c r="F110" i="22"/>
  <c r="F136" i="22" s="1"/>
  <c r="F128" i="22"/>
  <c r="F90" i="14"/>
  <c r="F115" i="14"/>
  <c r="F68" i="14"/>
  <c r="E1151" i="24"/>
  <c r="E1157" i="24"/>
  <c r="G315" i="22"/>
  <c r="G341" i="22" s="1"/>
  <c r="G333" i="22"/>
  <c r="F137" i="13"/>
  <c r="F502" i="11"/>
  <c r="F25" i="12"/>
  <c r="H393" i="9"/>
  <c r="H411" i="9"/>
  <c r="H491" i="9" s="1"/>
  <c r="H465" i="9"/>
  <c r="H541" i="9"/>
  <c r="H595" i="9"/>
  <c r="H581" i="9"/>
  <c r="G391" i="9"/>
  <c r="G394" i="9"/>
  <c r="G412" i="9"/>
  <c r="G492" i="9" s="1"/>
  <c r="G466" i="9"/>
  <c r="E209" i="13"/>
  <c r="F492" i="9"/>
  <c r="F1147" i="24"/>
  <c r="F1161" i="24" s="1"/>
  <c r="G197" i="13" s="1"/>
  <c r="E52" i="14"/>
  <c r="E509" i="11"/>
  <c r="G43" i="12"/>
  <c r="G467" i="11"/>
  <c r="G324" i="11"/>
  <c r="G75" i="12" s="1"/>
  <c r="E108" i="26"/>
  <c r="C81" i="13"/>
  <c r="C318" i="9"/>
  <c r="C321" i="9"/>
  <c r="C326" i="9"/>
  <c r="F610" i="9"/>
  <c r="F583" i="9"/>
  <c r="F619" i="9"/>
  <c r="F622" i="9"/>
  <c r="F198" i="22"/>
  <c r="F204" i="22"/>
  <c r="H415" i="9"/>
  <c r="H495" i="9" s="1"/>
  <c r="H469" i="9"/>
  <c r="I577" i="9"/>
  <c r="I429" i="9"/>
  <c r="I455" i="9" s="1"/>
  <c r="I568" i="9"/>
  <c r="I438" i="9"/>
  <c r="I446" i="9" s="1"/>
  <c r="D124" i="13"/>
  <c r="D128" i="13"/>
  <c r="D1148" i="24"/>
  <c r="D1149" i="24" s="1"/>
  <c r="D1160" i="24"/>
  <c r="D1164" i="24" s="1"/>
  <c r="G312" i="22"/>
  <c r="G338" i="22" s="1"/>
  <c r="G336" i="22"/>
  <c r="F125" i="13"/>
  <c r="F118" i="13"/>
  <c r="F323" i="11"/>
  <c r="F74" i="12" s="1"/>
  <c r="F513" i="11"/>
  <c r="F466" i="11"/>
  <c r="F42" i="12"/>
  <c r="D107" i="26"/>
  <c r="B157" i="13"/>
  <c r="B161" i="13"/>
  <c r="C140" i="13"/>
  <c r="C144" i="13"/>
  <c r="C129" i="13"/>
  <c r="B528" i="11"/>
  <c r="B531" i="11"/>
  <c r="D26" i="12"/>
  <c r="D32" i="12"/>
  <c r="E32" i="12" s="1"/>
  <c r="G355" i="7"/>
  <c r="G368" i="7"/>
  <c r="G37" i="14"/>
  <c r="G81" i="14"/>
  <c r="F52" i="22"/>
  <c r="G114" i="22"/>
  <c r="G25" i="14"/>
  <c r="G101" i="22"/>
  <c r="G8" i="14"/>
  <c r="G31" i="14"/>
  <c r="G103" i="14" s="1"/>
  <c r="F346" i="22"/>
  <c r="F56" i="22"/>
  <c r="F48" i="22"/>
  <c r="H142" i="22"/>
  <c r="H155" i="22"/>
  <c r="H265" i="22"/>
  <c r="F374" i="22"/>
  <c r="H278" i="22"/>
  <c r="F360" i="22"/>
  <c r="E82" i="26"/>
  <c r="H483" i="11"/>
  <c r="G1074" i="24"/>
  <c r="I15" i="12"/>
  <c r="I484" i="11"/>
  <c r="H498" i="11"/>
  <c r="H29" i="12" s="1"/>
  <c r="I29" i="12" s="1"/>
  <c r="H512" i="11"/>
  <c r="I324" i="11" s="1"/>
  <c r="H15" i="12"/>
  <c r="H188" i="22"/>
  <c r="I242" i="22"/>
  <c r="H120" i="13"/>
  <c r="H121" i="13"/>
  <c r="I121" i="13" s="1"/>
  <c r="H122" i="13"/>
  <c r="I122" i="13" s="1"/>
  <c r="I229" i="22"/>
  <c r="I255" i="22" s="1"/>
  <c r="I324" i="22"/>
  <c r="I311" i="22"/>
  <c r="H201" i="22"/>
  <c r="G900" i="22"/>
  <c r="F72" i="26"/>
  <c r="G1199" i="24"/>
  <c r="H24" i="14"/>
  <c r="G1222" i="24"/>
  <c r="J95" i="14"/>
  <c r="J99" i="14"/>
  <c r="J96" i="14"/>
  <c r="J100" i="14"/>
  <c r="J12" i="24"/>
  <c r="I9" i="24"/>
  <c r="H59" i="13"/>
  <c r="I59" i="13" s="1"/>
  <c r="H53" i="13"/>
  <c r="I51" i="13"/>
  <c r="D88" i="22"/>
  <c r="D149" i="13"/>
  <c r="C245" i="9"/>
  <c r="C220" i="9"/>
  <c r="C223" i="9"/>
  <c r="D317" i="9"/>
  <c r="D329" i="9"/>
  <c r="B202" i="13"/>
  <c r="B199" i="13"/>
  <c r="E522" i="11"/>
  <c r="E362" i="22"/>
  <c r="E368" i="22"/>
  <c r="G157" i="22"/>
  <c r="G163" i="22"/>
  <c r="F83" i="14"/>
  <c r="F114" i="14"/>
  <c r="F67" i="14" s="1"/>
  <c r="F89" i="14"/>
  <c r="E90" i="22"/>
  <c r="E58" i="22"/>
  <c r="F357" i="7"/>
  <c r="F381" i="7"/>
  <c r="F363" i="7"/>
  <c r="F57" i="12"/>
  <c r="D25" i="6"/>
  <c r="E25" i="6"/>
  <c r="D21" i="21"/>
  <c r="D1185" i="24"/>
  <c r="D1284" i="24"/>
  <c r="D1288" i="24"/>
  <c r="D1287" i="24"/>
  <c r="C74" i="26"/>
  <c r="D1182" i="24"/>
  <c r="D1285" i="24"/>
  <c r="D1286" i="24"/>
  <c r="D523" i="11"/>
  <c r="D52" i="12"/>
  <c r="D529" i="11"/>
  <c r="E529" i="11" s="1"/>
  <c r="G493" i="11"/>
  <c r="F1142" i="24" s="1"/>
  <c r="G481" i="11"/>
  <c r="G507" i="11"/>
  <c r="G10" i="12"/>
  <c r="G487" i="11"/>
  <c r="F1183" i="24" s="1"/>
  <c r="G100" i="13"/>
  <c r="G196" i="22"/>
  <c r="G101" i="13"/>
  <c r="G99" i="13"/>
  <c r="H224" i="22"/>
  <c r="H237" i="22"/>
  <c r="H306" i="22"/>
  <c r="F895" i="22"/>
  <c r="G183" i="22"/>
  <c r="H319" i="22"/>
  <c r="F1194" i="24"/>
  <c r="E68" i="26"/>
  <c r="F170" i="22"/>
  <c r="F149" i="22"/>
  <c r="F152" i="22"/>
  <c r="E329" i="11"/>
  <c r="G444" i="9"/>
  <c r="G447" i="9"/>
  <c r="C130" i="14"/>
  <c r="C140" i="14" s="1"/>
  <c r="C160" i="13"/>
  <c r="C379" i="7"/>
  <c r="C391" i="7"/>
  <c r="C388" i="7"/>
  <c r="G172" i="22"/>
  <c r="G148" i="22"/>
  <c r="G174" i="22" s="1"/>
  <c r="F131" i="22"/>
  <c r="F107" i="22"/>
  <c r="F133" i="22" s="1"/>
  <c r="F135" i="14"/>
  <c r="F374" i="7"/>
  <c r="C93" i="22"/>
  <c r="C96" i="22"/>
  <c r="C80" i="22"/>
  <c r="C15" i="14"/>
  <c r="H432" i="9"/>
  <c r="H458" i="9" s="1"/>
  <c r="H450" i="9"/>
  <c r="H426" i="9"/>
  <c r="E340" i="7"/>
  <c r="K18" i="19"/>
  <c r="I1496" i="24"/>
  <c r="C194" i="13"/>
  <c r="C200" i="13"/>
  <c r="D108" i="13"/>
  <c r="E112" i="13" s="1"/>
  <c r="D112" i="13"/>
  <c r="D134" i="13"/>
  <c r="E134" i="13" s="1"/>
  <c r="F313" i="22"/>
  <c r="F316" i="22"/>
  <c r="F334" i="22"/>
  <c r="F214" i="13"/>
  <c r="D150" i="13"/>
  <c r="D92" i="22"/>
  <c r="F272" i="22"/>
  <c r="F275" i="22"/>
  <c r="F293" i="22"/>
  <c r="D425" i="24"/>
  <c r="D422" i="24"/>
  <c r="H414" i="9"/>
  <c r="H494" i="9" s="1"/>
  <c r="H468" i="9"/>
  <c r="H390" i="9"/>
  <c r="H538" i="9"/>
  <c r="H618" i="9" s="1"/>
  <c r="H592" i="9"/>
  <c r="G416" i="9"/>
  <c r="G496" i="9" s="1"/>
  <c r="G470" i="9"/>
  <c r="D76" i="22"/>
  <c r="D153" i="13"/>
  <c r="D79" i="22"/>
  <c r="C527" i="11"/>
  <c r="C528" i="11" s="1"/>
  <c r="C56" i="12"/>
  <c r="C60" i="12" s="1"/>
  <c r="E525" i="11"/>
  <c r="C941" i="22"/>
  <c r="C919" i="22"/>
  <c r="C945" i="22" s="1"/>
  <c r="C916" i="22"/>
  <c r="D139" i="13"/>
  <c r="E139" i="13" s="1"/>
  <c r="E107" i="13"/>
  <c r="E360" i="9"/>
  <c r="E457" i="24"/>
  <c r="E311" i="9"/>
  <c r="E1246" i="24"/>
  <c r="F52" i="14"/>
  <c r="G151" i="22"/>
  <c r="G177" i="22" s="1"/>
  <c r="G169" i="22"/>
  <c r="F46" i="14"/>
  <c r="E1203" i="24"/>
  <c r="E1372" i="24"/>
  <c r="E1380" i="24" s="1"/>
  <c r="F192" i="22"/>
  <c r="F218" i="22" s="1"/>
  <c r="F210" i="22"/>
  <c r="I53" i="13"/>
  <c r="B15" i="14"/>
  <c r="B139" i="14"/>
  <c r="I555" i="9"/>
  <c r="I581" i="9" s="1"/>
  <c r="I573" i="9"/>
  <c r="I425" i="9"/>
  <c r="J547" i="9"/>
  <c r="J507" i="9"/>
  <c r="I515" i="9"/>
  <c r="I533" i="9"/>
  <c r="I613" i="9" s="1"/>
  <c r="I587" i="9"/>
  <c r="I385" i="9"/>
  <c r="B136" i="14"/>
  <c r="E365" i="9"/>
  <c r="E341" i="9"/>
  <c r="E444" i="24"/>
  <c r="E298" i="9"/>
  <c r="E166" i="12"/>
  <c r="H607" i="9"/>
  <c r="D207" i="22"/>
  <c r="D219" i="22"/>
  <c r="D216" i="22"/>
  <c r="E150" i="13"/>
  <c r="B237" i="9"/>
  <c r="B249" i="9"/>
  <c r="B246" i="9"/>
  <c r="C34" i="12"/>
  <c r="C31" i="12"/>
  <c r="E449" i="24"/>
  <c r="E303" i="9"/>
  <c r="E39" i="14"/>
  <c r="D1244" i="24"/>
  <c r="D1247" i="24"/>
  <c r="E118" i="13"/>
  <c r="E70" i="12"/>
  <c r="E102" i="13"/>
  <c r="G1424" i="24" l="1"/>
  <c r="I173" i="22"/>
  <c r="K421" i="7"/>
  <c r="K418" i="7"/>
  <c r="I407" i="7"/>
  <c r="I166" i="26"/>
  <c r="L23" i="4"/>
  <c r="I168" i="26" s="1"/>
  <c r="J407" i="7"/>
  <c r="G77" i="26"/>
  <c r="J404" i="7"/>
  <c r="L419" i="7"/>
  <c r="M419" i="7" s="1"/>
  <c r="L413" i="7"/>
  <c r="L397" i="7"/>
  <c r="I404" i="7"/>
  <c r="P286" i="2"/>
  <c r="N411" i="7"/>
  <c r="AJ101" i="27"/>
  <c r="I612" i="9"/>
  <c r="K399" i="7"/>
  <c r="K405" i="7"/>
  <c r="H75" i="26"/>
  <c r="P421" i="2"/>
  <c r="N26" i="17"/>
  <c r="M21" i="4"/>
  <c r="D127" i="27"/>
  <c r="L13" i="5"/>
  <c r="M13" i="5" s="1"/>
  <c r="M26" i="17"/>
  <c r="F522" i="11"/>
  <c r="I337" i="22"/>
  <c r="H621" i="9"/>
  <c r="G78" i="22"/>
  <c r="E69" i="14"/>
  <c r="F523" i="11"/>
  <c r="F52" i="12"/>
  <c r="F73" i="14"/>
  <c r="F14" i="14"/>
  <c r="F1151" i="24"/>
  <c r="F1157" i="24"/>
  <c r="F365" i="7"/>
  <c r="F362" i="7"/>
  <c r="F383" i="7"/>
  <c r="H123" i="13"/>
  <c r="I123" i="13" s="1"/>
  <c r="H43" i="12"/>
  <c r="I43" i="12" s="1"/>
  <c r="H467" i="11"/>
  <c r="H324" i="11"/>
  <c r="H75" i="12" s="1"/>
  <c r="F108" i="26"/>
  <c r="F362" i="22"/>
  <c r="F368" i="22"/>
  <c r="H157" i="22"/>
  <c r="H163" i="22"/>
  <c r="F348" i="22"/>
  <c r="F354" i="22"/>
  <c r="G33" i="14"/>
  <c r="G30" i="14"/>
  <c r="G45" i="14"/>
  <c r="G39" i="14"/>
  <c r="F161" i="12"/>
  <c r="F344" i="7"/>
  <c r="G162" i="12"/>
  <c r="G345" i="7"/>
  <c r="F193" i="13"/>
  <c r="E1165" i="24"/>
  <c r="F123" i="14"/>
  <c r="I390" i="9"/>
  <c r="I414" i="9"/>
  <c r="I468" i="9"/>
  <c r="D1152" i="24"/>
  <c r="D329" i="11"/>
  <c r="D469" i="11"/>
  <c r="D326" i="11"/>
  <c r="D472" i="11"/>
  <c r="C110" i="26"/>
  <c r="H579" i="9"/>
  <c r="H582" i="9"/>
  <c r="H570" i="9"/>
  <c r="H530" i="9"/>
  <c r="H539" i="9"/>
  <c r="H542" i="9"/>
  <c r="H593" i="9"/>
  <c r="H596" i="9"/>
  <c r="D476" i="24"/>
  <c r="D30" i="21" s="1"/>
  <c r="D451" i="24"/>
  <c r="D454" i="24"/>
  <c r="D80" i="22"/>
  <c r="D93" i="22"/>
  <c r="D96" i="22"/>
  <c r="F260" i="22"/>
  <c r="F248" i="22"/>
  <c r="F257" i="22"/>
  <c r="F105" i="14"/>
  <c r="F102" i="14"/>
  <c r="E1302" i="24"/>
  <c r="E1301" i="24"/>
  <c r="E1305" i="24"/>
  <c r="E1303" i="24"/>
  <c r="D88" i="26"/>
  <c r="E1304" i="24"/>
  <c r="G610" i="9"/>
  <c r="G583" i="9"/>
  <c r="G619" i="9"/>
  <c r="G622" i="9"/>
  <c r="I11" i="12"/>
  <c r="H488" i="11"/>
  <c r="G1184" i="24" s="1"/>
  <c r="I480" i="11"/>
  <c r="I488" i="11"/>
  <c r="H494" i="11"/>
  <c r="H508" i="11"/>
  <c r="H11" i="12"/>
  <c r="H197" i="22"/>
  <c r="H205" i="22" s="1"/>
  <c r="I225" i="22"/>
  <c r="H104" i="13"/>
  <c r="H105" i="13"/>
  <c r="H106" i="13"/>
  <c r="H138" i="13" s="1"/>
  <c r="I320" i="22"/>
  <c r="I328" i="22" s="1"/>
  <c r="G899" i="22"/>
  <c r="G901" i="22" s="1"/>
  <c r="G8" i="21" s="1"/>
  <c r="H184" i="22"/>
  <c r="I238" i="22"/>
  <c r="I246" i="22" s="1"/>
  <c r="I307" i="22"/>
  <c r="G1195" i="24"/>
  <c r="F69" i="26"/>
  <c r="G1143" i="24"/>
  <c r="J577" i="9"/>
  <c r="J429" i="9"/>
  <c r="J455" i="9" s="1"/>
  <c r="G80" i="13"/>
  <c r="G87" i="14"/>
  <c r="G118" i="14"/>
  <c r="G120" i="14" s="1"/>
  <c r="G361" i="7"/>
  <c r="G387" i="7" s="1"/>
  <c r="G385" i="7"/>
  <c r="F40" i="12"/>
  <c r="F46" i="12"/>
  <c r="F464" i="11"/>
  <c r="F321" i="11"/>
  <c r="F517" i="11"/>
  <c r="F514" i="11"/>
  <c r="D106" i="26"/>
  <c r="F192" i="13"/>
  <c r="E1158" i="24"/>
  <c r="E1164" i="24"/>
  <c r="D61" i="14"/>
  <c r="D58" i="14"/>
  <c r="E53" i="14"/>
  <c r="I566" i="9"/>
  <c r="I569" i="9"/>
  <c r="F47" i="12"/>
  <c r="D45" i="12"/>
  <c r="D159" i="12"/>
  <c r="E159" i="12" s="1"/>
  <c r="D48" i="12"/>
  <c r="D72" i="12"/>
  <c r="E40" i="12"/>
  <c r="E72" i="12"/>
  <c r="B331" i="7"/>
  <c r="B69" i="13"/>
  <c r="I540" i="9"/>
  <c r="I594" i="9"/>
  <c r="I426" i="9"/>
  <c r="I432" i="9"/>
  <c r="I450" i="9"/>
  <c r="C80" i="12"/>
  <c r="C164" i="12"/>
  <c r="C167" i="12"/>
  <c r="C77" i="12"/>
  <c r="E514" i="11"/>
  <c r="H233" i="22"/>
  <c r="H259" i="22" s="1"/>
  <c r="H251" i="22"/>
  <c r="G136" i="13"/>
  <c r="G107" i="13"/>
  <c r="G139" i="13" s="1"/>
  <c r="F135" i="22"/>
  <c r="F1246" i="24"/>
  <c r="G52" i="14"/>
  <c r="F61" i="22"/>
  <c r="F95" i="22" s="1"/>
  <c r="F83" i="22"/>
  <c r="F1148" i="24"/>
  <c r="F1160" i="24"/>
  <c r="G125" i="13"/>
  <c r="G118" i="13"/>
  <c r="G499" i="11"/>
  <c r="G28" i="12"/>
  <c r="G30" i="12" s="1"/>
  <c r="B21" i="5"/>
  <c r="F139" i="13"/>
  <c r="C235" i="9"/>
  <c r="C248" i="9" s="1"/>
  <c r="C240" i="9"/>
  <c r="C228" i="9"/>
  <c r="C157" i="13"/>
  <c r="C161" i="13"/>
  <c r="F378" i="7"/>
  <c r="F375" i="7"/>
  <c r="E94" i="22"/>
  <c r="G285" i="22"/>
  <c r="G288" i="22"/>
  <c r="B62" i="12"/>
  <c r="B59" i="12"/>
  <c r="I296" i="22"/>
  <c r="G1242" i="24"/>
  <c r="H56" i="14" s="1"/>
  <c r="I42" i="14"/>
  <c r="H386" i="7"/>
  <c r="I386" i="7" s="1"/>
  <c r="I360" i="7"/>
  <c r="I605" i="9"/>
  <c r="G457" i="9"/>
  <c r="G460" i="9"/>
  <c r="G448" i="9"/>
  <c r="G313" i="22"/>
  <c r="G316" i="22"/>
  <c r="G334" i="22"/>
  <c r="F141" i="13"/>
  <c r="F213" i="13"/>
  <c r="F57" i="14"/>
  <c r="F196" i="13"/>
  <c r="E1162" i="24"/>
  <c r="I120" i="13"/>
  <c r="E326" i="11"/>
  <c r="H327" i="22"/>
  <c r="H321" i="22"/>
  <c r="H239" i="22"/>
  <c r="H245" i="22"/>
  <c r="G198" i="22"/>
  <c r="G204" i="22"/>
  <c r="G462" i="11"/>
  <c r="G319" i="11"/>
  <c r="G70" i="12" s="1"/>
  <c r="G515" i="11"/>
  <c r="G509" i="11"/>
  <c r="G38" i="12"/>
  <c r="E104" i="26"/>
  <c r="D54" i="12"/>
  <c r="E259" i="9"/>
  <c r="E924" i="22"/>
  <c r="I433" i="9"/>
  <c r="I459" i="9" s="1"/>
  <c r="I451" i="9"/>
  <c r="C942" i="22"/>
  <c r="C917" i="22"/>
  <c r="C920" i="22"/>
  <c r="H431" i="9"/>
  <c r="H434" i="9"/>
  <c r="H452" i="9"/>
  <c r="G132" i="13"/>
  <c r="G110" i="13"/>
  <c r="G142" i="13" s="1"/>
  <c r="F150" i="13"/>
  <c r="E92" i="22"/>
  <c r="D129" i="14"/>
  <c r="D159" i="13"/>
  <c r="E159" i="13" s="1"/>
  <c r="H1422" i="24"/>
  <c r="H1423" i="24"/>
  <c r="H150" i="22"/>
  <c r="H176" i="22" s="1"/>
  <c r="H168" i="22"/>
  <c r="H144" i="22"/>
  <c r="F124" i="13"/>
  <c r="F128" i="13"/>
  <c r="G408" i="9"/>
  <c r="G417" i="9"/>
  <c r="G420" i="9"/>
  <c r="G471" i="9"/>
  <c r="G474" i="9"/>
  <c r="I538" i="9"/>
  <c r="I592" i="9"/>
  <c r="J512" i="9"/>
  <c r="K510" i="9"/>
  <c r="J536" i="9"/>
  <c r="J590" i="9"/>
  <c r="K550" i="9"/>
  <c r="J388" i="9"/>
  <c r="E207" i="22"/>
  <c r="E216" i="22"/>
  <c r="E219" i="22"/>
  <c r="B1462" i="24"/>
  <c r="B1465" i="24"/>
  <c r="A172" i="26"/>
  <c r="B33" i="4"/>
  <c r="D128" i="14"/>
  <c r="D158" i="13"/>
  <c r="E158" i="13" s="1"/>
  <c r="D151" i="13"/>
  <c r="E148" i="13"/>
  <c r="C219" i="13"/>
  <c r="C216" i="13"/>
  <c r="D218" i="13"/>
  <c r="E218" i="13" s="1"/>
  <c r="E210" i="13"/>
  <c r="I608" i="9"/>
  <c r="D14" i="14"/>
  <c r="D73" i="14"/>
  <c r="E73" i="14" s="1"/>
  <c r="E71" i="14"/>
  <c r="F1243" i="24"/>
  <c r="G55" i="14"/>
  <c r="H271" i="22"/>
  <c r="H297" i="22" s="1"/>
  <c r="H295" i="22"/>
  <c r="D76" i="12"/>
  <c r="D163" i="12"/>
  <c r="E163" i="12" s="1"/>
  <c r="E44" i="12"/>
  <c r="E76" i="12"/>
  <c r="E70" i="16"/>
  <c r="F70" i="16" s="1"/>
  <c r="E7" i="21"/>
  <c r="E9" i="21" s="1"/>
  <c r="E905" i="22"/>
  <c r="E902" i="22"/>
  <c r="H606" i="9"/>
  <c r="H609" i="9"/>
  <c r="F158" i="12"/>
  <c r="F341" i="7"/>
  <c r="D78" i="12"/>
  <c r="D165" i="12"/>
  <c r="E165" i="12" s="1"/>
  <c r="E46" i="12"/>
  <c r="E78" i="12"/>
  <c r="I392" i="9"/>
  <c r="I410" i="9"/>
  <c r="I490" i="9" s="1"/>
  <c r="I464" i="9"/>
  <c r="I386" i="9"/>
  <c r="K506" i="9"/>
  <c r="J514" i="9"/>
  <c r="J532" i="9"/>
  <c r="J586" i="9"/>
  <c r="K546" i="9"/>
  <c r="J508" i="9"/>
  <c r="J384" i="9"/>
  <c r="I553" i="9"/>
  <c r="I556" i="9"/>
  <c r="I574" i="9"/>
  <c r="F108" i="22"/>
  <c r="F111" i="22"/>
  <c r="F129" i="22"/>
  <c r="E381" i="22"/>
  <c r="E384" i="22"/>
  <c r="E64" i="16"/>
  <c r="E125" i="22"/>
  <c r="E134" i="22"/>
  <c r="E137" i="22"/>
  <c r="H274" i="22"/>
  <c r="H300" i="22" s="1"/>
  <c r="H292" i="22"/>
  <c r="G90" i="14"/>
  <c r="G115" i="14"/>
  <c r="G123" i="14" s="1"/>
  <c r="F1200" i="24"/>
  <c r="F1375" i="24"/>
  <c r="F1377" i="24" s="1"/>
  <c r="F488" i="9"/>
  <c r="F461" i="9"/>
  <c r="F497" i="9"/>
  <c r="F500" i="9"/>
  <c r="I607" i="9"/>
  <c r="I104" i="13"/>
  <c r="D361" i="9"/>
  <c r="D374" i="9" s="1"/>
  <c r="D458" i="24"/>
  <c r="D312" i="9"/>
  <c r="D354" i="9"/>
  <c r="D366" i="9"/>
  <c r="I430" i="9"/>
  <c r="I456" i="9" s="1"/>
  <c r="I454" i="9"/>
  <c r="H444" i="9"/>
  <c r="H447" i="9"/>
  <c r="H490" i="9"/>
  <c r="D379" i="7"/>
  <c r="E379" i="7" s="1"/>
  <c r="D391" i="7"/>
  <c r="D388" i="7"/>
  <c r="E362" i="7"/>
  <c r="E365" i="7"/>
  <c r="G176" i="22"/>
  <c r="F59" i="14"/>
  <c r="F209" i="13"/>
  <c r="F53" i="14"/>
  <c r="L27" i="4"/>
  <c r="K1438" i="24"/>
  <c r="H132" i="22"/>
  <c r="I481" i="9"/>
  <c r="I403" i="9"/>
  <c r="I483" i="9" s="1"/>
  <c r="J565" i="9"/>
  <c r="J441" i="9"/>
  <c r="J443" i="9" s="1"/>
  <c r="U345" i="2"/>
  <c r="T24" i="15"/>
  <c r="U24" i="15" s="1"/>
  <c r="AD120" i="27"/>
  <c r="F20" i="12"/>
  <c r="F17" i="12"/>
  <c r="F217" i="22"/>
  <c r="D81" i="13"/>
  <c r="E81" i="13" s="1"/>
  <c r="E503" i="11"/>
  <c r="E79" i="13"/>
  <c r="D75" i="14"/>
  <c r="E75" i="14" s="1"/>
  <c r="C58" i="12"/>
  <c r="F298" i="22"/>
  <c r="F301" i="22"/>
  <c r="F289" i="22"/>
  <c r="C202" i="13"/>
  <c r="C199" i="13"/>
  <c r="F1144" i="24"/>
  <c r="F1150" i="24"/>
  <c r="F1156" i="24"/>
  <c r="G185" i="22"/>
  <c r="G191" i="22"/>
  <c r="G217" i="22" s="1"/>
  <c r="G209" i="22"/>
  <c r="H232" i="22"/>
  <c r="H258" i="22" s="1"/>
  <c r="H250" i="22"/>
  <c r="H226" i="22"/>
  <c r="G489" i="11"/>
  <c r="G486" i="11"/>
  <c r="F1177" i="24"/>
  <c r="E70" i="26"/>
  <c r="F389" i="7"/>
  <c r="F69" i="14"/>
  <c r="F13" i="14"/>
  <c r="F75" i="14"/>
  <c r="G162" i="22"/>
  <c r="G165" i="22"/>
  <c r="B185" i="13"/>
  <c r="H61" i="13"/>
  <c r="H58" i="13"/>
  <c r="I58" i="13" s="1"/>
  <c r="I483" i="11"/>
  <c r="H497" i="11"/>
  <c r="H485" i="11"/>
  <c r="H511" i="11"/>
  <c r="H14" i="12"/>
  <c r="I485" i="11"/>
  <c r="I14" i="12"/>
  <c r="H115" i="13"/>
  <c r="H200" i="22"/>
  <c r="H202" i="22" s="1"/>
  <c r="I241" i="22"/>
  <c r="I243" i="22" s="1"/>
  <c r="H116" i="13"/>
  <c r="H117" i="13"/>
  <c r="H127" i="13" s="1"/>
  <c r="I127" i="13" s="1"/>
  <c r="I228" i="22"/>
  <c r="I323" i="22"/>
  <c r="I325" i="22" s="1"/>
  <c r="G896" i="22"/>
  <c r="G904" i="22" s="1"/>
  <c r="I310" i="22"/>
  <c r="H187" i="22"/>
  <c r="G1198" i="24"/>
  <c r="F71" i="26"/>
  <c r="G1146" i="24"/>
  <c r="H286" i="22"/>
  <c r="H280" i="22"/>
  <c r="G116" i="22"/>
  <c r="G122" i="22"/>
  <c r="G376" i="7"/>
  <c r="G370" i="7"/>
  <c r="D34" i="12"/>
  <c r="D31" i="12"/>
  <c r="E34" i="12" s="1"/>
  <c r="E26" i="12"/>
  <c r="E124" i="13"/>
  <c r="E128" i="13"/>
  <c r="I541" i="9"/>
  <c r="I621" i="9" s="1"/>
  <c r="I595" i="9"/>
  <c r="E319" i="9"/>
  <c r="H416" i="9"/>
  <c r="H496" i="9" s="1"/>
  <c r="H470" i="9"/>
  <c r="F897" i="22"/>
  <c r="F903" i="22"/>
  <c r="G109" i="13"/>
  <c r="G141" i="13" s="1"/>
  <c r="G102" i="13"/>
  <c r="G131" i="13"/>
  <c r="G501" i="11"/>
  <c r="G495" i="11"/>
  <c r="G24" i="12"/>
  <c r="F122" i="14"/>
  <c r="F116" i="14"/>
  <c r="C531" i="11"/>
  <c r="H356" i="7"/>
  <c r="H369" i="7"/>
  <c r="H377" i="7" s="1"/>
  <c r="I377" i="7" s="1"/>
  <c r="I96" i="14"/>
  <c r="G53" i="22"/>
  <c r="G87" i="22" s="1"/>
  <c r="H115" i="22"/>
  <c r="H123" i="22" s="1"/>
  <c r="I143" i="22"/>
  <c r="I266" i="22"/>
  <c r="H32" i="14"/>
  <c r="H102" i="22"/>
  <c r="I24" i="14"/>
  <c r="I32" i="14"/>
  <c r="H38" i="14"/>
  <c r="G1238" i="24" s="1"/>
  <c r="H82" i="14"/>
  <c r="G49" i="22"/>
  <c r="I279" i="22"/>
  <c r="I287" i="22" s="1"/>
  <c r="G347" i="22"/>
  <c r="G355" i="22" s="1"/>
  <c r="G375" i="22"/>
  <c r="G383" i="22" s="1"/>
  <c r="G57" i="22"/>
  <c r="G91" i="22" s="1"/>
  <c r="I156" i="22"/>
  <c r="I164" i="22" s="1"/>
  <c r="G361" i="22"/>
  <c r="G369" i="22" s="1"/>
  <c r="F83" i="26"/>
  <c r="H214" i="22"/>
  <c r="F1237" i="24"/>
  <c r="F376" i="22"/>
  <c r="F382" i="22"/>
  <c r="F50" i="22"/>
  <c r="F82" i="22"/>
  <c r="F60" i="22"/>
  <c r="G10" i="14"/>
  <c r="G97" i="14"/>
  <c r="E84" i="26"/>
  <c r="F86" i="22"/>
  <c r="F54" i="22"/>
  <c r="G363" i="7"/>
  <c r="G357" i="7"/>
  <c r="G381" i="7"/>
  <c r="F44" i="12"/>
  <c r="F468" i="11"/>
  <c r="F325" i="11"/>
  <c r="D109" i="26"/>
  <c r="D196" i="13"/>
  <c r="D1162" i="24"/>
  <c r="C331" i="9"/>
  <c r="C334" i="9"/>
  <c r="C322" i="9"/>
  <c r="F33" i="12"/>
  <c r="J552" i="9"/>
  <c r="J578" i="9" s="1"/>
  <c r="J576" i="9"/>
  <c r="J428" i="9"/>
  <c r="H614" i="9"/>
  <c r="F387" i="7"/>
  <c r="D201" i="13"/>
  <c r="E201" i="13" s="1"/>
  <c r="E193" i="13"/>
  <c r="D931" i="22"/>
  <c r="D944" i="22" s="1"/>
  <c r="D925" i="22"/>
  <c r="D936" i="22"/>
  <c r="I467" i="11"/>
  <c r="I75" i="12"/>
  <c r="E88" i="22"/>
  <c r="F149" i="13"/>
  <c r="E52" i="12"/>
  <c r="G1220" i="24"/>
  <c r="G1223" i="24"/>
  <c r="I498" i="11"/>
  <c r="I406" i="9"/>
  <c r="I486" i="9" s="1"/>
  <c r="I478" i="9"/>
  <c r="K560" i="9"/>
  <c r="K520" i="9"/>
  <c r="J528" i="9"/>
  <c r="J600" i="9"/>
  <c r="J398" i="9"/>
  <c r="I617" i="9"/>
  <c r="F25" i="6"/>
  <c r="E21" i="21"/>
  <c r="E1182" i="24"/>
  <c r="E1285" i="24"/>
  <c r="E1185" i="24"/>
  <c r="E1284" i="24"/>
  <c r="E1288" i="24"/>
  <c r="E1286" i="24"/>
  <c r="E1287" i="24"/>
  <c r="D74" i="26"/>
  <c r="F32" i="12"/>
  <c r="F26" i="12"/>
  <c r="F142" i="13"/>
  <c r="H148" i="22"/>
  <c r="H174" i="22" s="1"/>
  <c r="H172" i="22"/>
  <c r="G101" i="14"/>
  <c r="E87" i="26"/>
  <c r="K524" i="9"/>
  <c r="J604" i="9"/>
  <c r="K564" i="9"/>
  <c r="K442" i="9" s="1"/>
  <c r="J402" i="9"/>
  <c r="J482" i="9" s="1"/>
  <c r="E271" i="9"/>
  <c r="E927" i="22"/>
  <c r="F30" i="12"/>
  <c r="F525" i="11"/>
  <c r="F529" i="11" s="1"/>
  <c r="E425" i="24"/>
  <c r="E422" i="24"/>
  <c r="F422" i="24" s="1"/>
  <c r="F157" i="12"/>
  <c r="F340" i="7"/>
  <c r="F327" i="11"/>
  <c r="F470" i="11"/>
  <c r="G244" i="22"/>
  <c r="G247" i="22"/>
  <c r="E1149" i="24"/>
  <c r="E1152" i="24"/>
  <c r="D211" i="13"/>
  <c r="D217" i="13"/>
  <c r="E217" i="13" s="1"/>
  <c r="I445" i="9"/>
  <c r="I439" i="9"/>
  <c r="F471" i="11"/>
  <c r="F328" i="11"/>
  <c r="C477" i="24"/>
  <c r="C468" i="24"/>
  <c r="C480" i="24"/>
  <c r="I513" i="9"/>
  <c r="I516" i="9"/>
  <c r="I534" i="9"/>
  <c r="I614" i="9" s="1"/>
  <c r="I588" i="9"/>
  <c r="D330" i="9"/>
  <c r="D305" i="9"/>
  <c r="D308" i="9"/>
  <c r="F1372" i="24"/>
  <c r="F1380" i="24" s="1"/>
  <c r="F1203" i="24"/>
  <c r="H315" i="22"/>
  <c r="H341" i="22" s="1"/>
  <c r="H333" i="22"/>
  <c r="G39" i="12"/>
  <c r="G47" i="12" s="1"/>
  <c r="G463" i="11"/>
  <c r="G320" i="11"/>
  <c r="G71" i="12" s="1"/>
  <c r="G516" i="11"/>
  <c r="E105" i="26"/>
  <c r="F121" i="22"/>
  <c r="F124" i="22"/>
  <c r="G364" i="7"/>
  <c r="G390" i="7" s="1"/>
  <c r="G382" i="7"/>
  <c r="G1075" i="24"/>
  <c r="G1078" i="24"/>
  <c r="H230" i="22"/>
  <c r="H256" i="22" s="1"/>
  <c r="H254" i="22"/>
  <c r="G466" i="11"/>
  <c r="G323" i="11"/>
  <c r="G74" i="12" s="1"/>
  <c r="G513" i="11"/>
  <c r="G42" i="12"/>
  <c r="G44" i="12" s="1"/>
  <c r="E107" i="26"/>
  <c r="F143" i="13"/>
  <c r="E307" i="9"/>
  <c r="I399" i="9"/>
  <c r="I405" i="9"/>
  <c r="I485" i="9" s="1"/>
  <c r="I477" i="9"/>
  <c r="K559" i="9"/>
  <c r="J521" i="9"/>
  <c r="K519" i="9"/>
  <c r="J527" i="9"/>
  <c r="J599" i="9"/>
  <c r="J397" i="9"/>
  <c r="H404" i="9"/>
  <c r="H407" i="9"/>
  <c r="H479" i="9"/>
  <c r="E65" i="16"/>
  <c r="F65" i="16" s="1"/>
  <c r="D1163" i="24"/>
  <c r="D1166" i="24"/>
  <c r="H418" i="9"/>
  <c r="H498" i="9" s="1"/>
  <c r="H472" i="9"/>
  <c r="D76" i="14"/>
  <c r="E76" i="14" s="1"/>
  <c r="E68" i="14"/>
  <c r="D85" i="16"/>
  <c r="C67" i="26"/>
  <c r="F148" i="13"/>
  <c r="E62" i="22"/>
  <c r="E84" i="22"/>
  <c r="E59" i="22"/>
  <c r="G152" i="22"/>
  <c r="G170" i="22"/>
  <c r="G149" i="22"/>
  <c r="K7" i="18"/>
  <c r="H170" i="26"/>
  <c r="D932" i="22"/>
  <c r="D929" i="22"/>
  <c r="H359" i="7"/>
  <c r="H372" i="7"/>
  <c r="G69" i="22"/>
  <c r="G71" i="22" s="1"/>
  <c r="H154" i="13" s="1"/>
  <c r="H134" i="14" s="1"/>
  <c r="I134" i="14" s="1"/>
  <c r="H118" i="22"/>
  <c r="H120" i="22" s="1"/>
  <c r="I159" i="22"/>
  <c r="I161" i="22" s="1"/>
  <c r="H9" i="14"/>
  <c r="I27" i="14"/>
  <c r="H41" i="14"/>
  <c r="H43" i="14" s="1"/>
  <c r="H85" i="14"/>
  <c r="I85" i="14" s="1"/>
  <c r="H105" i="22"/>
  <c r="I9" i="14"/>
  <c r="H29" i="14"/>
  <c r="I29" i="14"/>
  <c r="I99" i="14"/>
  <c r="G73" i="22"/>
  <c r="G75" i="22" s="1"/>
  <c r="H155" i="13" s="1"/>
  <c r="I282" i="22"/>
  <c r="I284" i="22" s="1"/>
  <c r="G378" i="22"/>
  <c r="G380" i="22" s="1"/>
  <c r="G65" i="22"/>
  <c r="G364" i="22"/>
  <c r="G366" i="22" s="1"/>
  <c r="I146" i="22"/>
  <c r="I269" i="22"/>
  <c r="G350" i="22"/>
  <c r="G352" i="22" s="1"/>
  <c r="F85" i="26"/>
  <c r="G1241" i="24"/>
  <c r="D346" i="7"/>
  <c r="E344" i="7"/>
  <c r="G340" i="22"/>
  <c r="F134" i="13"/>
  <c r="F108" i="13"/>
  <c r="F112" i="13"/>
  <c r="E1204" i="24"/>
  <c r="E1201" i="24"/>
  <c r="D13" i="14"/>
  <c r="G1147" i="24"/>
  <c r="G1161" i="24" s="1"/>
  <c r="H197" i="13" s="1"/>
  <c r="I197" i="13" s="1"/>
  <c r="I512" i="11"/>
  <c r="E254" i="9"/>
  <c r="E910" i="22"/>
  <c r="E470" i="24"/>
  <c r="E446" i="24"/>
  <c r="J555" i="9"/>
  <c r="J573" i="9"/>
  <c r="J425" i="9"/>
  <c r="F60" i="14"/>
  <c r="F210" i="13"/>
  <c r="D156" i="13"/>
  <c r="D133" i="14"/>
  <c r="F339" i="22"/>
  <c r="F342" i="22"/>
  <c r="F330" i="22"/>
  <c r="E300" i="9"/>
  <c r="E324" i="9"/>
  <c r="I393" i="9"/>
  <c r="I411" i="9"/>
  <c r="I491" i="9" s="1"/>
  <c r="I465" i="9"/>
  <c r="K507" i="9"/>
  <c r="J515" i="9"/>
  <c r="J533" i="9"/>
  <c r="J613" i="9" s="1"/>
  <c r="J587" i="9"/>
  <c r="K547" i="9"/>
  <c r="J385" i="9"/>
  <c r="F53" i="12"/>
  <c r="F530" i="11"/>
  <c r="E267" i="9"/>
  <c r="E914" i="22"/>
  <c r="E465" i="24"/>
  <c r="D160" i="13"/>
  <c r="E160" i="13" s="1"/>
  <c r="D130" i="14"/>
  <c r="D140" i="14" s="1"/>
  <c r="E140" i="14" s="1"/>
  <c r="D140" i="13"/>
  <c r="D144" i="13"/>
  <c r="D129" i="13"/>
  <c r="E129" i="13" s="1"/>
  <c r="L18" i="19"/>
  <c r="J1496" i="24"/>
  <c r="F166" i="22"/>
  <c r="F175" i="22"/>
  <c r="F178" i="22"/>
  <c r="F1371" i="24"/>
  <c r="F1196" i="24"/>
  <c r="F1202" i="24"/>
  <c r="H308" i="22"/>
  <c r="H314" i="22"/>
  <c r="H340" i="22" s="1"/>
  <c r="H332" i="22"/>
  <c r="G133" i="13"/>
  <c r="G111" i="13"/>
  <c r="G143" i="13" s="1"/>
  <c r="G18" i="12"/>
  <c r="G12" i="12"/>
  <c r="F91" i="14"/>
  <c r="F88" i="14"/>
  <c r="E367" i="22"/>
  <c r="E370" i="22"/>
  <c r="K95" i="14"/>
  <c r="K99" i="14"/>
  <c r="K96" i="14"/>
  <c r="K100" i="14"/>
  <c r="J9" i="24"/>
  <c r="K12" i="24"/>
  <c r="G1376" i="24"/>
  <c r="H526" i="11" s="1"/>
  <c r="H273" i="22"/>
  <c r="H299" i="22" s="1"/>
  <c r="H291" i="22"/>
  <c r="H267" i="22"/>
  <c r="F58" i="22"/>
  <c r="F90" i="22"/>
  <c r="G103" i="22"/>
  <c r="G109" i="22"/>
  <c r="G135" i="22" s="1"/>
  <c r="G127" i="22"/>
  <c r="G89" i="14"/>
  <c r="G83" i="14"/>
  <c r="G114" i="14"/>
  <c r="G67" i="14" s="1"/>
  <c r="E523" i="11"/>
  <c r="F203" i="22"/>
  <c r="F206" i="22"/>
  <c r="H419" i="9"/>
  <c r="H499" i="9" s="1"/>
  <c r="H473" i="9"/>
  <c r="F76" i="14"/>
  <c r="D260" i="9"/>
  <c r="D284" i="9"/>
  <c r="D217" i="9"/>
  <c r="D262" i="9"/>
  <c r="D288" i="9" s="1"/>
  <c r="E343" i="9"/>
  <c r="D215" i="13"/>
  <c r="E215" i="13" s="1"/>
  <c r="E213" i="13"/>
  <c r="G272" i="22"/>
  <c r="G275" i="22"/>
  <c r="G293" i="22"/>
  <c r="F79" i="13"/>
  <c r="E353" i="22"/>
  <c r="E356" i="22"/>
  <c r="C59" i="12"/>
  <c r="C62" i="12"/>
  <c r="D527" i="11"/>
  <c r="D531" i="11" s="1"/>
  <c r="D56" i="12"/>
  <c r="D58" i="12" s="1"/>
  <c r="H355" i="7"/>
  <c r="H368" i="7"/>
  <c r="H8" i="14"/>
  <c r="H31" i="14"/>
  <c r="I142" i="22"/>
  <c r="I265" i="22"/>
  <c r="I8" i="14"/>
  <c r="I23" i="14"/>
  <c r="I31" i="14"/>
  <c r="H37" i="14"/>
  <c r="H81" i="14"/>
  <c r="I81" i="14" s="1"/>
  <c r="G52" i="22"/>
  <c r="H114" i="22"/>
  <c r="H25" i="14"/>
  <c r="I25" i="14"/>
  <c r="I95" i="14"/>
  <c r="G48" i="22"/>
  <c r="G56" i="22"/>
  <c r="I278" i="22"/>
  <c r="G360" i="22"/>
  <c r="G346" i="22"/>
  <c r="H101" i="22"/>
  <c r="I155" i="22"/>
  <c r="G374" i="22"/>
  <c r="F82" i="26"/>
  <c r="G1237" i="24"/>
  <c r="B137" i="14"/>
  <c r="B141" i="14"/>
  <c r="J568" i="9"/>
  <c r="J438" i="9"/>
  <c r="J446" i="9" s="1"/>
  <c r="G484" i="9"/>
  <c r="G487" i="9"/>
  <c r="I415" i="9"/>
  <c r="I495" i="9" s="1"/>
  <c r="I469" i="9"/>
  <c r="K511" i="9"/>
  <c r="J537" i="9"/>
  <c r="J617" i="9" s="1"/>
  <c r="J591" i="9"/>
  <c r="K551" i="9"/>
  <c r="J389" i="9"/>
  <c r="F503" i="11"/>
  <c r="F500" i="11"/>
  <c r="G231" i="22"/>
  <c r="G234" i="22"/>
  <c r="G252" i="22"/>
  <c r="F77" i="22"/>
  <c r="F67" i="22"/>
  <c r="G131" i="22"/>
  <c r="G107" i="22"/>
  <c r="G133" i="22" s="1"/>
  <c r="I138" i="13"/>
  <c r="F390" i="7"/>
  <c r="J548" i="9"/>
  <c r="J554" i="9"/>
  <c r="J572" i="9"/>
  <c r="J424" i="9"/>
  <c r="I580" i="9"/>
  <c r="I43" i="14"/>
  <c r="E517" i="11"/>
  <c r="G192" i="22"/>
  <c r="G218" i="22" s="1"/>
  <c r="G210" i="22"/>
  <c r="G502" i="11"/>
  <c r="G25" i="12"/>
  <c r="G33" i="12" s="1"/>
  <c r="E375" i="7"/>
  <c r="C350" i="7"/>
  <c r="C347" i="7"/>
  <c r="C329" i="7"/>
  <c r="D124" i="14"/>
  <c r="D121" i="14"/>
  <c r="E116" i="14"/>
  <c r="H151" i="22"/>
  <c r="H177" i="22" s="1"/>
  <c r="H169" i="22"/>
  <c r="G110" i="22"/>
  <c r="G136" i="22" s="1"/>
  <c r="G128" i="22"/>
  <c r="H487" i="11"/>
  <c r="G1183" i="24" s="1"/>
  <c r="I479" i="11"/>
  <c r="I487" i="11"/>
  <c r="H493" i="11"/>
  <c r="G1142" i="24" s="1"/>
  <c r="H481" i="11"/>
  <c r="H507" i="11"/>
  <c r="I319" i="11" s="1"/>
  <c r="H10" i="12"/>
  <c r="I481" i="11"/>
  <c r="I10" i="12"/>
  <c r="H99" i="13"/>
  <c r="I224" i="22"/>
  <c r="H100" i="13"/>
  <c r="I100" i="13" s="1"/>
  <c r="H101" i="13"/>
  <c r="H196" i="22"/>
  <c r="I319" i="22"/>
  <c r="I237" i="22"/>
  <c r="I306" i="22"/>
  <c r="H183" i="22"/>
  <c r="F68" i="26"/>
  <c r="G895" i="22"/>
  <c r="G1194" i="24"/>
  <c r="H312" i="22"/>
  <c r="H338" i="22" s="1"/>
  <c r="H336" i="22"/>
  <c r="G213" i="22"/>
  <c r="G189" i="22"/>
  <c r="G215" i="22" s="1"/>
  <c r="E73" i="26"/>
  <c r="F1181" i="24"/>
  <c r="B70" i="13"/>
  <c r="E255" i="9"/>
  <c r="E911" i="22"/>
  <c r="E453" i="24"/>
  <c r="J567" i="9"/>
  <c r="J561" i="9"/>
  <c r="J437" i="9"/>
  <c r="I526" i="9"/>
  <c r="I529" i="9"/>
  <c r="I601" i="9"/>
  <c r="D69" i="16"/>
  <c r="D59" i="16" s="1"/>
  <c r="C61" i="16"/>
  <c r="C274" i="9"/>
  <c r="C277" i="9"/>
  <c r="C282" i="9"/>
  <c r="I578" i="9"/>
  <c r="D200" i="13"/>
  <c r="E200" i="13" s="1"/>
  <c r="D194" i="13"/>
  <c r="E192" i="13"/>
  <c r="D342" i="7"/>
  <c r="D348" i="7"/>
  <c r="E348" i="7" s="1"/>
  <c r="E91" i="14"/>
  <c r="H391" i="9"/>
  <c r="H394" i="9"/>
  <c r="H412" i="9"/>
  <c r="H492" i="9" s="1"/>
  <c r="H466" i="9"/>
  <c r="C138" i="14"/>
  <c r="C131" i="14"/>
  <c r="E76" i="22"/>
  <c r="F153" i="13"/>
  <c r="E79" i="22"/>
  <c r="F120" i="14"/>
  <c r="D1381" i="24"/>
  <c r="D1378" i="24"/>
  <c r="F47" i="14"/>
  <c r="F44" i="14"/>
  <c r="E1244" i="24"/>
  <c r="E1247" i="24"/>
  <c r="D231" i="9"/>
  <c r="D273" i="9"/>
  <c r="D285" i="9"/>
  <c r="E357" i="9"/>
  <c r="H119" i="14"/>
  <c r="I119" i="14" s="1"/>
  <c r="I86" i="14"/>
  <c r="K523" i="9"/>
  <c r="J603" i="9"/>
  <c r="K563" i="9"/>
  <c r="J525" i="9"/>
  <c r="J605" i="9" s="1"/>
  <c r="J401" i="9"/>
  <c r="I117" i="13"/>
  <c r="F211" i="22"/>
  <c r="F190" i="22"/>
  <c r="F193" i="22"/>
  <c r="G326" i="22"/>
  <c r="G329" i="22"/>
  <c r="I99" i="13"/>
  <c r="E1373" i="24"/>
  <c r="E1379" i="24"/>
  <c r="J1453" i="24"/>
  <c r="E149" i="13"/>
  <c r="E108" i="13"/>
  <c r="E153" i="13"/>
  <c r="O26" i="17" l="1"/>
  <c r="Q421" i="2"/>
  <c r="F127" i="27"/>
  <c r="O21" i="4"/>
  <c r="N13" i="5"/>
  <c r="H77" i="26"/>
  <c r="K407" i="7"/>
  <c r="K404" i="7"/>
  <c r="H81" i="26" s="1"/>
  <c r="Q286" i="2"/>
  <c r="O411" i="7"/>
  <c r="AL101" i="27"/>
  <c r="G81" i="26"/>
  <c r="J166" i="26"/>
  <c r="N21" i="4"/>
  <c r="N23" i="4"/>
  <c r="M23" i="4"/>
  <c r="J168" i="26" s="1"/>
  <c r="L405" i="7"/>
  <c r="M405" i="7" s="1"/>
  <c r="I75" i="26"/>
  <c r="L399" i="7"/>
  <c r="M397" i="7"/>
  <c r="N419" i="7"/>
  <c r="N413" i="7"/>
  <c r="N397" i="7"/>
  <c r="L421" i="7"/>
  <c r="L418" i="7"/>
  <c r="M418" i="7" s="1"/>
  <c r="M413" i="7"/>
  <c r="M399" i="7"/>
  <c r="G522" i="11"/>
  <c r="G525" i="11"/>
  <c r="H1424" i="24"/>
  <c r="D61" i="16"/>
  <c r="E69" i="16"/>
  <c r="E71" i="16" s="1"/>
  <c r="H57" i="12"/>
  <c r="I57" i="12" s="1"/>
  <c r="I526" i="11"/>
  <c r="G1246" i="24"/>
  <c r="H52" i="14"/>
  <c r="E1381" i="24"/>
  <c r="E1378" i="24"/>
  <c r="F156" i="13"/>
  <c r="F133" i="14"/>
  <c r="H12" i="12"/>
  <c r="I12" i="12"/>
  <c r="H18" i="12"/>
  <c r="I18" i="12"/>
  <c r="E124" i="14"/>
  <c r="E121" i="14"/>
  <c r="F207" i="22"/>
  <c r="F216" i="22"/>
  <c r="F219" i="22"/>
  <c r="C85" i="16"/>
  <c r="B67" i="26"/>
  <c r="G1144" i="24"/>
  <c r="G1150" i="24"/>
  <c r="G1156" i="24"/>
  <c r="H191" i="22"/>
  <c r="H209" i="22"/>
  <c r="H185" i="22"/>
  <c r="H198" i="22"/>
  <c r="H204" i="22"/>
  <c r="H131" i="13"/>
  <c r="I131" i="13" s="1"/>
  <c r="H109" i="13"/>
  <c r="H102" i="13"/>
  <c r="J426" i="9"/>
  <c r="J432" i="9"/>
  <c r="J450" i="9"/>
  <c r="G1239" i="24"/>
  <c r="G1245" i="24"/>
  <c r="H51" i="14"/>
  <c r="G58" i="22"/>
  <c r="G90" i="22"/>
  <c r="I30" i="14"/>
  <c r="H33" i="14"/>
  <c r="H30" i="14"/>
  <c r="I33" i="14"/>
  <c r="H45" i="14"/>
  <c r="I45" i="14" s="1"/>
  <c r="H39" i="14"/>
  <c r="H370" i="7"/>
  <c r="H376" i="7"/>
  <c r="I376" i="7" s="1"/>
  <c r="E345" i="9"/>
  <c r="E369" i="9"/>
  <c r="E448" i="24"/>
  <c r="E302" i="9"/>
  <c r="E347" i="9"/>
  <c r="E373" i="9" s="1"/>
  <c r="G116" i="14"/>
  <c r="G122" i="14"/>
  <c r="H272" i="22"/>
  <c r="H275" i="22"/>
  <c r="H293" i="22"/>
  <c r="F1373" i="24"/>
  <c r="F1379" i="24"/>
  <c r="E275" i="9"/>
  <c r="E226" i="9"/>
  <c r="F352" i="9"/>
  <c r="J393" i="9"/>
  <c r="J411" i="9"/>
  <c r="J465" i="9"/>
  <c r="I419" i="9"/>
  <c r="I499" i="9" s="1"/>
  <c r="I473" i="9"/>
  <c r="D136" i="14"/>
  <c r="E136" i="14" s="1"/>
  <c r="E133" i="14"/>
  <c r="J581" i="9"/>
  <c r="E912" i="22"/>
  <c r="E918" i="22"/>
  <c r="K565" i="9"/>
  <c r="K441" i="9"/>
  <c r="K443" i="9" s="1"/>
  <c r="H72" i="14"/>
  <c r="I72" i="14" s="1"/>
  <c r="I368" i="7"/>
  <c r="C137" i="14"/>
  <c r="C141" i="14"/>
  <c r="D350" i="7"/>
  <c r="D347" i="7"/>
  <c r="E347" i="7" s="1"/>
  <c r="D329" i="7"/>
  <c r="J566" i="9"/>
  <c r="J569" i="9"/>
  <c r="E937" i="22"/>
  <c r="G1196" i="24"/>
  <c r="G1202" i="24"/>
  <c r="G1371" i="24"/>
  <c r="H521" i="11" s="1"/>
  <c r="I308" i="22"/>
  <c r="I314" i="22"/>
  <c r="I332" i="22"/>
  <c r="H111" i="13"/>
  <c r="H143" i="13" s="1"/>
  <c r="H133" i="13"/>
  <c r="I133" i="13" s="1"/>
  <c r="I486" i="11"/>
  <c r="H489" i="11"/>
  <c r="H486" i="11"/>
  <c r="I489" i="11"/>
  <c r="F70" i="26"/>
  <c r="G1177" i="24"/>
  <c r="C331" i="7"/>
  <c r="C69" i="13"/>
  <c r="G348" i="22"/>
  <c r="G354" i="22"/>
  <c r="G50" i="22"/>
  <c r="G60" i="22"/>
  <c r="G82" i="22"/>
  <c r="H116" i="22"/>
  <c r="H122" i="22"/>
  <c r="I144" i="22"/>
  <c r="I168" i="22"/>
  <c r="I150" i="22"/>
  <c r="H363" i="7"/>
  <c r="H357" i="7"/>
  <c r="I357" i="7" s="1"/>
  <c r="H381" i="7"/>
  <c r="I381" i="7" s="1"/>
  <c r="I355" i="7"/>
  <c r="G298" i="22"/>
  <c r="G301" i="22"/>
  <c r="G289" i="22"/>
  <c r="G91" i="14"/>
  <c r="G88" i="14"/>
  <c r="G108" i="22"/>
  <c r="G111" i="22"/>
  <c r="G129" i="22"/>
  <c r="L95" i="14"/>
  <c r="L99" i="14"/>
  <c r="L96" i="14"/>
  <c r="L100" i="14"/>
  <c r="K9" i="24"/>
  <c r="L12" i="24"/>
  <c r="H313" i="22"/>
  <c r="H316" i="22"/>
  <c r="H334" i="22"/>
  <c r="G521" i="11"/>
  <c r="K555" i="9"/>
  <c r="K573" i="9"/>
  <c r="K425" i="9"/>
  <c r="L507" i="9"/>
  <c r="K515" i="9"/>
  <c r="K533" i="9"/>
  <c r="K613" i="9" s="1"/>
  <c r="K587" i="9"/>
  <c r="L547" i="9"/>
  <c r="K385" i="9"/>
  <c r="E256" i="9"/>
  <c r="E280" i="9"/>
  <c r="E213" i="9"/>
  <c r="F339" i="9"/>
  <c r="D15" i="14"/>
  <c r="E15" i="14" s="1"/>
  <c r="E13" i="14"/>
  <c r="F129" i="13"/>
  <c r="F140" i="13"/>
  <c r="F144" i="13"/>
  <c r="H80" i="13"/>
  <c r="I80" i="13" s="1"/>
  <c r="G67" i="22"/>
  <c r="G77" i="22"/>
  <c r="H107" i="22"/>
  <c r="H133" i="22" s="1"/>
  <c r="H131" i="22"/>
  <c r="H101" i="14"/>
  <c r="I101" i="14"/>
  <c r="F87" i="26"/>
  <c r="H374" i="7"/>
  <c r="I374" i="7" s="1"/>
  <c r="I372" i="7"/>
  <c r="G175" i="22"/>
  <c r="G178" i="22"/>
  <c r="G166" i="22"/>
  <c r="E80" i="22"/>
  <c r="E96" i="22"/>
  <c r="E93" i="22"/>
  <c r="J405" i="9"/>
  <c r="J477" i="9"/>
  <c r="J399" i="9"/>
  <c r="J526" i="9"/>
  <c r="J529" i="9"/>
  <c r="J601" i="9"/>
  <c r="I404" i="9"/>
  <c r="I407" i="9"/>
  <c r="I479" i="9"/>
  <c r="G79" i="12"/>
  <c r="G166" i="12"/>
  <c r="F348" i="7"/>
  <c r="F342" i="7"/>
  <c r="E230" i="9"/>
  <c r="F356" i="9"/>
  <c r="L524" i="9"/>
  <c r="K604" i="9"/>
  <c r="L564" i="9"/>
  <c r="L442" i="9" s="1"/>
  <c r="K402" i="9"/>
  <c r="K482" i="9" s="1"/>
  <c r="L520" i="9"/>
  <c r="K528" i="9"/>
  <c r="K600" i="9"/>
  <c r="L560" i="9"/>
  <c r="K398" i="9"/>
  <c r="F159" i="13"/>
  <c r="F129" i="14"/>
  <c r="J430" i="9"/>
  <c r="J456" i="9" s="1"/>
  <c r="J454" i="9"/>
  <c r="G389" i="7"/>
  <c r="F62" i="22"/>
  <c r="F84" i="22"/>
  <c r="G148" i="13"/>
  <c r="F59" i="22"/>
  <c r="I274" i="22"/>
  <c r="I300" i="22" s="1"/>
  <c r="I292" i="22"/>
  <c r="E527" i="11"/>
  <c r="G375" i="7"/>
  <c r="G378" i="7"/>
  <c r="H285" i="22"/>
  <c r="H288" i="22"/>
  <c r="G1375" i="24"/>
  <c r="G1377" i="24" s="1"/>
  <c r="G1200" i="24"/>
  <c r="H499" i="11"/>
  <c r="I499" i="11" s="1"/>
  <c r="H28" i="12"/>
  <c r="I497" i="11"/>
  <c r="F77" i="14"/>
  <c r="F74" i="14"/>
  <c r="G193" i="22"/>
  <c r="G211" i="22"/>
  <c r="G190" i="22"/>
  <c r="C185" i="13"/>
  <c r="F61" i="14"/>
  <c r="F58" i="14"/>
  <c r="D320" i="9"/>
  <c r="D333" i="9" s="1"/>
  <c r="D313" i="9"/>
  <c r="D325" i="9"/>
  <c r="I369" i="7"/>
  <c r="F125" i="22"/>
  <c r="G64" i="16"/>
  <c r="F134" i="22"/>
  <c r="F137" i="22"/>
  <c r="J386" i="9"/>
  <c r="J392" i="9"/>
  <c r="J410" i="9"/>
  <c r="J490" i="9" s="1"/>
  <c r="J464" i="9"/>
  <c r="J612" i="9"/>
  <c r="E130" i="14"/>
  <c r="I507" i="11"/>
  <c r="E388" i="7"/>
  <c r="D139" i="14"/>
  <c r="E139" i="14" s="1"/>
  <c r="E129" i="14"/>
  <c r="E218" i="9"/>
  <c r="F344" i="9"/>
  <c r="G40" i="12"/>
  <c r="G46" i="12"/>
  <c r="F198" i="13"/>
  <c r="I109" i="13"/>
  <c r="G339" i="22"/>
  <c r="G342" i="22"/>
  <c r="G330" i="22"/>
  <c r="C233" i="9"/>
  <c r="C236" i="9"/>
  <c r="C241" i="9"/>
  <c r="G196" i="13"/>
  <c r="G198" i="13" s="1"/>
  <c r="F1162" i="24"/>
  <c r="G60" i="14"/>
  <c r="G210" i="13"/>
  <c r="G218" i="13" s="1"/>
  <c r="I431" i="9"/>
  <c r="I434" i="9"/>
  <c r="I452" i="9"/>
  <c r="I106" i="13"/>
  <c r="E391" i="7"/>
  <c r="H192" i="22"/>
  <c r="H218" i="22" s="1"/>
  <c r="H210" i="22"/>
  <c r="H137" i="13"/>
  <c r="I137" i="13" s="1"/>
  <c r="I105" i="13"/>
  <c r="I19" i="12"/>
  <c r="H19" i="12"/>
  <c r="E472" i="11"/>
  <c r="E469" i="11"/>
  <c r="I494" i="9"/>
  <c r="G193" i="13"/>
  <c r="G201" i="13" s="1"/>
  <c r="F1165" i="24"/>
  <c r="D77" i="14"/>
  <c r="E140" i="13"/>
  <c r="K525" i="9"/>
  <c r="K605" i="9" s="1"/>
  <c r="L523" i="9"/>
  <c r="K603" i="9"/>
  <c r="L563" i="9"/>
  <c r="K401" i="9"/>
  <c r="I606" i="9"/>
  <c r="I609" i="9"/>
  <c r="I226" i="22"/>
  <c r="I232" i="22"/>
  <c r="I250" i="22"/>
  <c r="D232" i="9"/>
  <c r="D244" i="9"/>
  <c r="H417" i="9"/>
  <c r="H420" i="9"/>
  <c r="H471" i="9"/>
  <c r="H474" i="9"/>
  <c r="H408" i="9"/>
  <c r="E263" i="9"/>
  <c r="E214" i="9"/>
  <c r="F340" i="9"/>
  <c r="G897" i="22"/>
  <c r="G903" i="22"/>
  <c r="I245" i="22"/>
  <c r="I239" i="22"/>
  <c r="H132" i="13"/>
  <c r="I132" i="13" s="1"/>
  <c r="H110" i="13"/>
  <c r="H501" i="11"/>
  <c r="I501" i="11" s="1"/>
  <c r="H495" i="11"/>
  <c r="H24" i="12"/>
  <c r="J580" i="9"/>
  <c r="G153" i="13"/>
  <c r="F79" i="22"/>
  <c r="F76" i="22"/>
  <c r="G257" i="22"/>
  <c r="G260" i="22"/>
  <c r="G248" i="22"/>
  <c r="J415" i="9"/>
  <c r="J495" i="9" s="1"/>
  <c r="J469" i="9"/>
  <c r="L511" i="9"/>
  <c r="K537" i="9"/>
  <c r="K591" i="9"/>
  <c r="L551" i="9"/>
  <c r="K389" i="9"/>
  <c r="G376" i="22"/>
  <c r="G382" i="22"/>
  <c r="G362" i="22"/>
  <c r="G368" i="22"/>
  <c r="G86" i="22"/>
  <c r="G54" i="22"/>
  <c r="H103" i="14"/>
  <c r="I103" i="14"/>
  <c r="F81" i="13"/>
  <c r="D243" i="9"/>
  <c r="D219" i="9"/>
  <c r="D221" i="9"/>
  <c r="D247" i="9" s="1"/>
  <c r="I1423" i="24"/>
  <c r="I1422" i="24"/>
  <c r="F218" i="13"/>
  <c r="J433" i="9"/>
  <c r="J459" i="9" s="1"/>
  <c r="J451" i="9"/>
  <c r="D330" i="7"/>
  <c r="E346" i="7"/>
  <c r="I271" i="22"/>
  <c r="I297" i="22" s="1"/>
  <c r="I295" i="22"/>
  <c r="H87" i="14"/>
  <c r="I87" i="14" s="1"/>
  <c r="H118" i="14"/>
  <c r="H71" i="14" s="1"/>
  <c r="H361" i="7"/>
  <c r="H385" i="7"/>
  <c r="I385" i="7" s="1"/>
  <c r="I359" i="7"/>
  <c r="K561" i="9"/>
  <c r="K567" i="9"/>
  <c r="K437" i="9"/>
  <c r="G471" i="11"/>
  <c r="G328" i="11"/>
  <c r="G53" i="12"/>
  <c r="G61" i="12" s="1"/>
  <c r="G530" i="11"/>
  <c r="I41" i="14"/>
  <c r="I539" i="9"/>
  <c r="I542" i="9"/>
  <c r="I593" i="9"/>
  <c r="I596" i="9"/>
  <c r="I530" i="9"/>
  <c r="J406" i="9"/>
  <c r="J486" i="9" s="1"/>
  <c r="J478" i="9"/>
  <c r="K568" i="9"/>
  <c r="K438" i="9"/>
  <c r="K446" i="9" s="1"/>
  <c r="D933" i="22"/>
  <c r="D930" i="22"/>
  <c r="D938" i="22"/>
  <c r="D198" i="13"/>
  <c r="E198" i="13" s="1"/>
  <c r="E196" i="13"/>
  <c r="F76" i="12"/>
  <c r="F163" i="12"/>
  <c r="G149" i="13"/>
  <c r="F88" i="22"/>
  <c r="G102" i="14"/>
  <c r="G105" i="14"/>
  <c r="F1303" i="24"/>
  <c r="F1302" i="24"/>
  <c r="F1304" i="24"/>
  <c r="F1305" i="24"/>
  <c r="E88" i="26"/>
  <c r="F1301" i="24"/>
  <c r="G83" i="22"/>
  <c r="G61" i="22"/>
  <c r="G95" i="22" s="1"/>
  <c r="I151" i="22"/>
  <c r="I177" i="22" s="1"/>
  <c r="I169" i="22"/>
  <c r="F7" i="21"/>
  <c r="F9" i="21" s="1"/>
  <c r="F902" i="22"/>
  <c r="F905" i="22"/>
  <c r="H189" i="22"/>
  <c r="H215" i="22" s="1"/>
  <c r="H213" i="22"/>
  <c r="I254" i="22"/>
  <c r="I230" i="22"/>
  <c r="I256" i="22" s="1"/>
  <c r="H16" i="12"/>
  <c r="I16" i="12"/>
  <c r="D528" i="11"/>
  <c r="G25" i="6"/>
  <c r="F21" i="21"/>
  <c r="F1286" i="24"/>
  <c r="F1182" i="24"/>
  <c r="F1285" i="24"/>
  <c r="F1185" i="24"/>
  <c r="F1287" i="24"/>
  <c r="E74" i="26"/>
  <c r="F1284" i="24"/>
  <c r="F1288" i="24"/>
  <c r="G192" i="13"/>
  <c r="F1158" i="24"/>
  <c r="F1164" i="24"/>
  <c r="E56" i="12"/>
  <c r="M27" i="4"/>
  <c r="L1438" i="24"/>
  <c r="F217" i="13"/>
  <c r="F211" i="13"/>
  <c r="D268" i="9"/>
  <c r="D915" i="22"/>
  <c r="D466" i="24"/>
  <c r="D479" i="24" s="1"/>
  <c r="D471" i="24"/>
  <c r="D459" i="24"/>
  <c r="G68" i="14"/>
  <c r="G13" i="14" s="1"/>
  <c r="J513" i="9"/>
  <c r="J516" i="9"/>
  <c r="J534" i="9"/>
  <c r="J588" i="9"/>
  <c r="J540" i="9"/>
  <c r="J620" i="9" s="1"/>
  <c r="J594" i="9"/>
  <c r="D138" i="14"/>
  <c r="E138" i="14" s="1"/>
  <c r="D131" i="14"/>
  <c r="E128" i="14"/>
  <c r="J616" i="9"/>
  <c r="I618" i="9"/>
  <c r="D59" i="12"/>
  <c r="D62" i="12"/>
  <c r="G514" i="11"/>
  <c r="G464" i="11"/>
  <c r="G321" i="11"/>
  <c r="G517" i="11"/>
  <c r="E106" i="26"/>
  <c r="G157" i="12"/>
  <c r="G340" i="7"/>
  <c r="H244" i="22"/>
  <c r="H247" i="22"/>
  <c r="H214" i="13"/>
  <c r="I214" i="13" s="1"/>
  <c r="I56" i="14"/>
  <c r="E54" i="12"/>
  <c r="E329" i="7"/>
  <c r="F472" i="11"/>
  <c r="F329" i="11"/>
  <c r="F469" i="11"/>
  <c r="F326" i="11"/>
  <c r="D110" i="26"/>
  <c r="G1372" i="24"/>
  <c r="G1380" i="24" s="1"/>
  <c r="G1203" i="24"/>
  <c r="H107" i="13"/>
  <c r="H136" i="13"/>
  <c r="I136" i="13" s="1"/>
  <c r="H39" i="12"/>
  <c r="H47" i="12" s="1"/>
  <c r="H463" i="11"/>
  <c r="H320" i="11"/>
  <c r="H71" i="12" s="1"/>
  <c r="H516" i="11"/>
  <c r="I328" i="11" s="1"/>
  <c r="F105" i="26"/>
  <c r="I320" i="11"/>
  <c r="I508" i="11"/>
  <c r="H583" i="9"/>
  <c r="H619" i="9"/>
  <c r="H622" i="9"/>
  <c r="H610" i="9"/>
  <c r="I416" i="9"/>
  <c r="I496" i="9" s="1"/>
  <c r="I470" i="9"/>
  <c r="H162" i="22"/>
  <c r="H165" i="22"/>
  <c r="E194" i="13"/>
  <c r="E462" i="24"/>
  <c r="E316" i="9"/>
  <c r="E358" i="9"/>
  <c r="E370" i="9"/>
  <c r="J553" i="9"/>
  <c r="J556" i="9"/>
  <c r="J574" i="9"/>
  <c r="K577" i="9"/>
  <c r="K429" i="9"/>
  <c r="K455" i="9" s="1"/>
  <c r="I163" i="22"/>
  <c r="I157" i="22"/>
  <c r="I280" i="22"/>
  <c r="I286" i="22"/>
  <c r="H89" i="14"/>
  <c r="I89" i="14" s="1"/>
  <c r="H83" i="14"/>
  <c r="H114" i="14"/>
  <c r="I114" i="14" s="1"/>
  <c r="H97" i="14"/>
  <c r="I97" i="14"/>
  <c r="H10" i="14"/>
  <c r="I10" i="14"/>
  <c r="F84" i="26"/>
  <c r="G69" i="14"/>
  <c r="F92" i="22"/>
  <c r="G150" i="13"/>
  <c r="G17" i="12"/>
  <c r="G20" i="12"/>
  <c r="F1201" i="24"/>
  <c r="F1204" i="24"/>
  <c r="M18" i="19"/>
  <c r="N18" i="19"/>
  <c r="K1496" i="24"/>
  <c r="E940" i="22"/>
  <c r="F61" i="12"/>
  <c r="G1243" i="24"/>
  <c r="H55" i="14"/>
  <c r="I148" i="22"/>
  <c r="I174" i="22" s="1"/>
  <c r="I172" i="22"/>
  <c r="J607" i="9"/>
  <c r="G76" i="12"/>
  <c r="G163" i="12"/>
  <c r="G161" i="12"/>
  <c r="G344" i="7"/>
  <c r="G346" i="7" s="1"/>
  <c r="G330" i="7" s="1"/>
  <c r="G70" i="13" s="1"/>
  <c r="G65" i="16"/>
  <c r="I444" i="9"/>
  <c r="I447" i="9"/>
  <c r="D219" i="13"/>
  <c r="D216" i="13"/>
  <c r="F94" i="22"/>
  <c r="F381" i="22"/>
  <c r="F384" i="22"/>
  <c r="H115" i="14"/>
  <c r="H123" i="14" s="1"/>
  <c r="H90" i="14"/>
  <c r="I90" i="14" s="1"/>
  <c r="I82" i="14"/>
  <c r="H110" i="22"/>
  <c r="H136" i="22" s="1"/>
  <c r="H128" i="22"/>
  <c r="H382" i="7"/>
  <c r="I382" i="7" s="1"/>
  <c r="H364" i="7"/>
  <c r="I356" i="7"/>
  <c r="G26" i="12"/>
  <c r="G32" i="12"/>
  <c r="G108" i="13"/>
  <c r="G112" i="13"/>
  <c r="G134" i="13"/>
  <c r="G1148" i="24"/>
  <c r="G1160" i="24"/>
  <c r="I312" i="22"/>
  <c r="I338" i="22" s="1"/>
  <c r="I336" i="22"/>
  <c r="H125" i="13"/>
  <c r="I125" i="13" s="1"/>
  <c r="H118" i="13"/>
  <c r="I115" i="13"/>
  <c r="H513" i="11"/>
  <c r="H42" i="12"/>
  <c r="H44" i="12" s="1"/>
  <c r="H466" i="11"/>
  <c r="I466" i="11" s="1"/>
  <c r="H323" i="11"/>
  <c r="H74" i="12" s="1"/>
  <c r="F107" i="26"/>
  <c r="I511" i="11"/>
  <c r="I323" i="11"/>
  <c r="F15" i="14"/>
  <c r="E58" i="12"/>
  <c r="V345" i="2"/>
  <c r="V24" i="15"/>
  <c r="AF120" i="27"/>
  <c r="L7" i="18"/>
  <c r="I170" i="26"/>
  <c r="I61" i="13"/>
  <c r="G527" i="11"/>
  <c r="G56" i="12"/>
  <c r="G58" i="12" s="1"/>
  <c r="K548" i="9"/>
  <c r="K554" i="9"/>
  <c r="K580" i="9" s="1"/>
  <c r="K572" i="9"/>
  <c r="K424" i="9"/>
  <c r="K508" i="9"/>
  <c r="L506" i="9"/>
  <c r="K514" i="9"/>
  <c r="K532" i="9"/>
  <c r="K586" i="9"/>
  <c r="L546" i="9"/>
  <c r="K384" i="9"/>
  <c r="I418" i="9"/>
  <c r="I472" i="9"/>
  <c r="E60" i="16"/>
  <c r="J390" i="9"/>
  <c r="J414" i="9"/>
  <c r="J468" i="9"/>
  <c r="K512" i="9"/>
  <c r="L510" i="9"/>
  <c r="K536" i="9"/>
  <c r="K590" i="9"/>
  <c r="L550" i="9"/>
  <c r="K388" i="9"/>
  <c r="E144" i="13"/>
  <c r="G461" i="9"/>
  <c r="G497" i="9"/>
  <c r="G500" i="9"/>
  <c r="G488" i="9"/>
  <c r="H149" i="22"/>
  <c r="H152" i="22"/>
  <c r="H170" i="22"/>
  <c r="F130" i="14"/>
  <c r="F160" i="13"/>
  <c r="C943" i="22"/>
  <c r="C946" i="22"/>
  <c r="C934" i="22"/>
  <c r="D60" i="12"/>
  <c r="E60" i="12" s="1"/>
  <c r="H326" i="22"/>
  <c r="H329" i="22"/>
  <c r="G124" i="13"/>
  <c r="G128" i="13"/>
  <c r="I620" i="9"/>
  <c r="I71" i="12"/>
  <c r="E1163" i="24"/>
  <c r="E1166" i="24"/>
  <c r="F48" i="12"/>
  <c r="F72" i="12"/>
  <c r="F45" i="12"/>
  <c r="F159" i="12"/>
  <c r="G71" i="14"/>
  <c r="I315" i="22"/>
  <c r="I341" i="22" s="1"/>
  <c r="I333" i="22"/>
  <c r="I233" i="22"/>
  <c r="I259" i="22" s="1"/>
  <c r="I251" i="22"/>
  <c r="H25" i="12"/>
  <c r="H33" i="12" s="1"/>
  <c r="H502" i="11"/>
  <c r="I502" i="11" s="1"/>
  <c r="I494" i="11"/>
  <c r="F201" i="13"/>
  <c r="G47" i="14"/>
  <c r="G44" i="14"/>
  <c r="H162" i="12"/>
  <c r="I162" i="12" s="1"/>
  <c r="H345" i="7"/>
  <c r="I345" i="7" s="1"/>
  <c r="E342" i="7"/>
  <c r="I101" i="13"/>
  <c r="F54" i="12"/>
  <c r="I493" i="11"/>
  <c r="J403" i="9"/>
  <c r="J483" i="9" s="1"/>
  <c r="J481" i="9"/>
  <c r="D71" i="16"/>
  <c r="F69" i="16"/>
  <c r="I321" i="22"/>
  <c r="I327" i="22"/>
  <c r="I1453" i="24"/>
  <c r="C290" i="9"/>
  <c r="C287" i="9"/>
  <c r="C278" i="9"/>
  <c r="J439" i="9"/>
  <c r="J445" i="9"/>
  <c r="H509" i="11"/>
  <c r="I509" i="11" s="1"/>
  <c r="H38" i="12"/>
  <c r="H462" i="11"/>
  <c r="H319" i="11"/>
  <c r="H70" i="12" s="1"/>
  <c r="H515" i="11"/>
  <c r="F104" i="26"/>
  <c r="H109" i="22"/>
  <c r="H135" i="22" s="1"/>
  <c r="H127" i="22"/>
  <c r="H103" i="22"/>
  <c r="I267" i="22"/>
  <c r="I273" i="22"/>
  <c r="I299" i="22" s="1"/>
  <c r="I291" i="22"/>
  <c r="D286" i="9"/>
  <c r="D261" i="9"/>
  <c r="D264" i="9"/>
  <c r="J541" i="9"/>
  <c r="J621" i="9" s="1"/>
  <c r="J595" i="9"/>
  <c r="H135" i="14"/>
  <c r="I135" i="14" s="1"/>
  <c r="I155" i="13"/>
  <c r="I37" i="14"/>
  <c r="F158" i="13"/>
  <c r="F151" i="13"/>
  <c r="F128" i="14"/>
  <c r="H484" i="9"/>
  <c r="H487" i="9"/>
  <c r="L519" i="9"/>
  <c r="K527" i="9"/>
  <c r="K607" i="9" s="1"/>
  <c r="K599" i="9"/>
  <c r="L559" i="9"/>
  <c r="K521" i="9"/>
  <c r="K397" i="9"/>
  <c r="I143" i="13"/>
  <c r="G468" i="11"/>
  <c r="G325" i="11"/>
  <c r="E109" i="26"/>
  <c r="G158" i="12"/>
  <c r="G341" i="7"/>
  <c r="G349" i="7" s="1"/>
  <c r="F527" i="11"/>
  <c r="F528" i="11" s="1"/>
  <c r="F56" i="12"/>
  <c r="F60" i="12" s="1"/>
  <c r="F31" i="12"/>
  <c r="F34" i="12"/>
  <c r="J608" i="9"/>
  <c r="I33" i="12"/>
  <c r="I74" i="12"/>
  <c r="G383" i="7"/>
  <c r="G365" i="7"/>
  <c r="G362" i="7"/>
  <c r="F1239" i="24"/>
  <c r="F1245" i="24"/>
  <c r="G51" i="14"/>
  <c r="H46" i="14"/>
  <c r="I46" i="14" s="1"/>
  <c r="I38" i="14"/>
  <c r="I104" i="14"/>
  <c r="H104" i="14"/>
  <c r="F121" i="14"/>
  <c r="F124" i="14"/>
  <c r="G503" i="11"/>
  <c r="G500" i="11"/>
  <c r="G121" i="22"/>
  <c r="G124" i="22"/>
  <c r="H126" i="13"/>
  <c r="I126" i="13" s="1"/>
  <c r="I116" i="13"/>
  <c r="G1181" i="24"/>
  <c r="F73" i="26"/>
  <c r="H231" i="22"/>
  <c r="H234" i="22"/>
  <c r="H252" i="22"/>
  <c r="F1152" i="24"/>
  <c r="F1149" i="24"/>
  <c r="I154" i="13"/>
  <c r="D359" i="9"/>
  <c r="D362" i="9"/>
  <c r="D367" i="9"/>
  <c r="E156" i="13"/>
  <c r="E66" i="16"/>
  <c r="F64" i="16"/>
  <c r="I579" i="9"/>
  <c r="I582" i="9"/>
  <c r="I570" i="9"/>
  <c r="I391" i="9"/>
  <c r="I394" i="9"/>
  <c r="I412" i="9"/>
  <c r="I492" i="9" s="1"/>
  <c r="I466" i="9"/>
  <c r="F349" i="7"/>
  <c r="G213" i="13"/>
  <c r="G215" i="13" s="1"/>
  <c r="G57" i="14"/>
  <c r="E14" i="14"/>
  <c r="D157" i="13"/>
  <c r="D161" i="13"/>
  <c r="E151" i="13"/>
  <c r="K552" i="9"/>
  <c r="K578" i="9" s="1"/>
  <c r="K576" i="9"/>
  <c r="K428" i="9"/>
  <c r="J538" i="9"/>
  <c r="J618" i="9" s="1"/>
  <c r="J592" i="9"/>
  <c r="H457" i="9"/>
  <c r="H460" i="9"/>
  <c r="H448" i="9"/>
  <c r="G470" i="11"/>
  <c r="G327" i="11"/>
  <c r="G203" i="22"/>
  <c r="G206" i="22"/>
  <c r="F215" i="13"/>
  <c r="E62" i="12"/>
  <c r="E59" i="12"/>
  <c r="I370" i="7"/>
  <c r="C21" i="16"/>
  <c r="I458" i="9"/>
  <c r="B22" i="5"/>
  <c r="B71" i="13"/>
  <c r="C84" i="16"/>
  <c r="B66" i="26"/>
  <c r="D164" i="12"/>
  <c r="D77" i="12"/>
  <c r="D80" i="12"/>
  <c r="D167" i="12"/>
  <c r="E45" i="12"/>
  <c r="E48" i="12"/>
  <c r="E77" i="12"/>
  <c r="E80" i="12"/>
  <c r="F166" i="12"/>
  <c r="F79" i="12"/>
  <c r="I47" i="12"/>
  <c r="I79" i="12"/>
  <c r="E61" i="14"/>
  <c r="E58" i="14"/>
  <c r="F194" i="13"/>
  <c r="F200" i="13"/>
  <c r="F165" i="12"/>
  <c r="F78" i="12"/>
  <c r="G1151" i="24"/>
  <c r="G1157" i="24"/>
  <c r="E31" i="12"/>
  <c r="I123" i="14"/>
  <c r="F346" i="7"/>
  <c r="G79" i="13"/>
  <c r="F356" i="22"/>
  <c r="F353" i="22"/>
  <c r="F367" i="22"/>
  <c r="F370" i="22"/>
  <c r="F388" i="7"/>
  <c r="F379" i="7"/>
  <c r="F391" i="7"/>
  <c r="E211" i="13"/>
  <c r="F531" i="11"/>
  <c r="D74" i="14"/>
  <c r="I111" i="13" l="1"/>
  <c r="N399" i="7"/>
  <c r="J75" i="26"/>
  <c r="N405" i="7"/>
  <c r="M421" i="7"/>
  <c r="O419" i="7"/>
  <c r="O413" i="7"/>
  <c r="O397" i="7"/>
  <c r="P26" i="17"/>
  <c r="R421" i="2"/>
  <c r="H127" i="27"/>
  <c r="P21" i="4"/>
  <c r="O13" i="5"/>
  <c r="N421" i="7"/>
  <c r="N418" i="7"/>
  <c r="L407" i="7"/>
  <c r="L404" i="7"/>
  <c r="I77" i="26"/>
  <c r="R286" i="2"/>
  <c r="P411" i="7"/>
  <c r="AN101" i="27"/>
  <c r="J494" i="9"/>
  <c r="O23" i="4"/>
  <c r="K168" i="26" s="1"/>
  <c r="K166" i="26"/>
  <c r="H67" i="14"/>
  <c r="I67" i="14" s="1"/>
  <c r="D202" i="13"/>
  <c r="H65" i="16"/>
  <c r="J614" i="9"/>
  <c r="I258" i="22"/>
  <c r="D199" i="13"/>
  <c r="H525" i="11"/>
  <c r="I525" i="11" s="1"/>
  <c r="H14" i="14"/>
  <c r="H73" i="14"/>
  <c r="K526" i="9"/>
  <c r="K529" i="9"/>
  <c r="K601" i="9"/>
  <c r="I321" i="11"/>
  <c r="F140" i="14"/>
  <c r="K616" i="9"/>
  <c r="K513" i="9"/>
  <c r="K516" i="9"/>
  <c r="K534" i="9"/>
  <c r="K588" i="9"/>
  <c r="K553" i="9"/>
  <c r="K556" i="9"/>
  <c r="K574" i="9"/>
  <c r="H76" i="12"/>
  <c r="H163" i="12"/>
  <c r="E74" i="14"/>
  <c r="E77" i="14"/>
  <c r="G81" i="13"/>
  <c r="H193" i="13"/>
  <c r="G1165" i="24"/>
  <c r="F202" i="13"/>
  <c r="F199" i="13"/>
  <c r="C86" i="16"/>
  <c r="C79" i="16"/>
  <c r="E161" i="13"/>
  <c r="E157" i="13"/>
  <c r="I417" i="9"/>
  <c r="I420" i="9"/>
  <c r="I471" i="9"/>
  <c r="I474" i="9"/>
  <c r="I408" i="9"/>
  <c r="G59" i="14"/>
  <c r="G209" i="13"/>
  <c r="G53" i="14"/>
  <c r="I51" i="14"/>
  <c r="F58" i="12"/>
  <c r="F59" i="12" s="1"/>
  <c r="L561" i="9"/>
  <c r="L567" i="9"/>
  <c r="L437" i="9"/>
  <c r="I272" i="22"/>
  <c r="I275" i="22"/>
  <c r="I293" i="22"/>
  <c r="H157" i="12"/>
  <c r="I157" i="12" s="1"/>
  <c r="H340" i="7"/>
  <c r="I462" i="11"/>
  <c r="J444" i="9"/>
  <c r="J447" i="9"/>
  <c r="I326" i="22"/>
  <c r="I329" i="22"/>
  <c r="F62" i="12"/>
  <c r="G14" i="14"/>
  <c r="G73" i="14"/>
  <c r="I73" i="14" s="1"/>
  <c r="I71" i="14"/>
  <c r="F80" i="12"/>
  <c r="F77" i="12"/>
  <c r="F167" i="12"/>
  <c r="F164" i="12"/>
  <c r="K390" i="9"/>
  <c r="K414" i="9"/>
  <c r="K468" i="9"/>
  <c r="M550" i="9"/>
  <c r="L512" i="9"/>
  <c r="M510" i="9"/>
  <c r="L536" i="9"/>
  <c r="L590" i="9"/>
  <c r="L388" i="9"/>
  <c r="J416" i="9"/>
  <c r="J496" i="9" s="1"/>
  <c r="J470" i="9"/>
  <c r="I498" i="9"/>
  <c r="K612" i="9"/>
  <c r="K426" i="9"/>
  <c r="K432" i="9"/>
  <c r="K450" i="9"/>
  <c r="H325" i="11"/>
  <c r="H468" i="11"/>
  <c r="I468" i="11" s="1"/>
  <c r="F109" i="26"/>
  <c r="G34" i="12"/>
  <c r="G31" i="12"/>
  <c r="H68" i="14"/>
  <c r="H76" i="14" s="1"/>
  <c r="O18" i="19"/>
  <c r="L1496" i="24"/>
  <c r="G75" i="14"/>
  <c r="H116" i="14"/>
  <c r="H122" i="14"/>
  <c r="I122" i="14" s="1"/>
  <c r="H158" i="12"/>
  <c r="I158" i="12" s="1"/>
  <c r="H341" i="7"/>
  <c r="H349" i="7" s="1"/>
  <c r="I349" i="7" s="1"/>
  <c r="H139" i="13"/>
  <c r="I139" i="13" s="1"/>
  <c r="I107" i="13"/>
  <c r="F216" i="13"/>
  <c r="F219" i="13"/>
  <c r="N27" i="4"/>
  <c r="M7" i="18"/>
  <c r="N7" i="18"/>
  <c r="J170" i="26"/>
  <c r="G194" i="13"/>
  <c r="G200" i="13"/>
  <c r="I44" i="12"/>
  <c r="D70" i="13"/>
  <c r="E330" i="7"/>
  <c r="D245" i="9"/>
  <c r="D220" i="9"/>
  <c r="D223" i="9"/>
  <c r="G381" i="22"/>
  <c r="G384" i="22"/>
  <c r="L577" i="9"/>
  <c r="L429" i="9"/>
  <c r="L455" i="9" s="1"/>
  <c r="E222" i="9"/>
  <c r="H461" i="9"/>
  <c r="H497" i="9"/>
  <c r="H500" i="9"/>
  <c r="H488" i="9"/>
  <c r="K403" i="9"/>
  <c r="K483" i="9" s="1"/>
  <c r="K481" i="9"/>
  <c r="J418" i="9"/>
  <c r="J472" i="9"/>
  <c r="G66" i="16"/>
  <c r="D318" i="9"/>
  <c r="D321" i="9"/>
  <c r="D326" i="9"/>
  <c r="I513" i="11"/>
  <c r="F139" i="14"/>
  <c r="L568" i="9"/>
  <c r="L438" i="9"/>
  <c r="L446" i="9" s="1"/>
  <c r="M524" i="9"/>
  <c r="L604" i="9"/>
  <c r="M564" i="9"/>
  <c r="M442" i="9" s="1"/>
  <c r="L402" i="9"/>
  <c r="L482" i="9" s="1"/>
  <c r="J485" i="9"/>
  <c r="I176" i="22"/>
  <c r="H121" i="22"/>
  <c r="H124" i="22"/>
  <c r="H25" i="6"/>
  <c r="I25" i="6"/>
  <c r="G21" i="21"/>
  <c r="G1287" i="24"/>
  <c r="F74" i="26"/>
  <c r="G1286" i="24"/>
  <c r="G1182" i="24"/>
  <c r="G1185" i="24"/>
  <c r="G1284" i="24"/>
  <c r="G1288" i="24"/>
  <c r="G1285" i="24"/>
  <c r="G1373" i="24"/>
  <c r="G1379" i="24"/>
  <c r="D331" i="7"/>
  <c r="E331" i="7" s="1"/>
  <c r="D69" i="13"/>
  <c r="F360" i="9"/>
  <c r="F457" i="24"/>
  <c r="F311" i="9"/>
  <c r="H289" i="22"/>
  <c r="H298" i="22"/>
  <c r="H301" i="22"/>
  <c r="E304" i="9"/>
  <c r="E328" i="9"/>
  <c r="E306" i="9"/>
  <c r="E332" i="9" s="1"/>
  <c r="J431" i="9"/>
  <c r="J434" i="9"/>
  <c r="J452" i="9"/>
  <c r="H217" i="22"/>
  <c r="H20" i="12"/>
  <c r="H17" i="12"/>
  <c r="I20" i="12"/>
  <c r="I17" i="12"/>
  <c r="B26" i="13"/>
  <c r="B30" i="13"/>
  <c r="B22" i="13"/>
  <c r="B28" i="13"/>
  <c r="B19" i="13"/>
  <c r="B18" i="13"/>
  <c r="B27" i="13"/>
  <c r="B20" i="13"/>
  <c r="F1247" i="24"/>
  <c r="F1244" i="24"/>
  <c r="H257" i="22"/>
  <c r="H248" i="22"/>
  <c r="H260" i="22"/>
  <c r="F157" i="13"/>
  <c r="F161" i="13"/>
  <c r="F330" i="7"/>
  <c r="D21" i="5"/>
  <c r="F66" i="16"/>
  <c r="D363" i="9"/>
  <c r="D372" i="9"/>
  <c r="D375" i="9"/>
  <c r="H108" i="22"/>
  <c r="H111" i="22"/>
  <c r="H129" i="22"/>
  <c r="H46" i="12"/>
  <c r="H40" i="12"/>
  <c r="H1453" i="24"/>
  <c r="L576" i="9"/>
  <c r="L552" i="9"/>
  <c r="L428" i="9"/>
  <c r="K538" i="9"/>
  <c r="K618" i="9" s="1"/>
  <c r="K592" i="9"/>
  <c r="K386" i="9"/>
  <c r="K392" i="9"/>
  <c r="K410" i="9"/>
  <c r="K490" i="9" s="1"/>
  <c r="K464" i="9"/>
  <c r="K540" i="9"/>
  <c r="K620" i="9" s="1"/>
  <c r="K594" i="9"/>
  <c r="H57" i="14"/>
  <c r="I57" i="14" s="1"/>
  <c r="H213" i="13"/>
  <c r="H105" i="14"/>
  <c r="H102" i="14"/>
  <c r="I105" i="14"/>
  <c r="I102" i="14"/>
  <c r="G1304" i="24"/>
  <c r="F88" i="26"/>
  <c r="G1303" i="24"/>
  <c r="G1301" i="24"/>
  <c r="G1305" i="24"/>
  <c r="G1302" i="24"/>
  <c r="H88" i="14"/>
  <c r="I88" i="14" s="1"/>
  <c r="H91" i="14"/>
  <c r="I83" i="14"/>
  <c r="I285" i="22"/>
  <c r="I288" i="22"/>
  <c r="E317" i="9"/>
  <c r="E329" i="9"/>
  <c r="H79" i="12"/>
  <c r="H166" i="12"/>
  <c r="I166" i="12" s="1"/>
  <c r="I39" i="12"/>
  <c r="J539" i="9"/>
  <c r="J542" i="9"/>
  <c r="J593" i="9"/>
  <c r="J596" i="9"/>
  <c r="J530" i="9"/>
  <c r="G129" i="14"/>
  <c r="G139" i="14" s="1"/>
  <c r="G159" i="13"/>
  <c r="I583" i="9"/>
  <c r="I619" i="9"/>
  <c r="I622" i="9"/>
  <c r="I610" i="9"/>
  <c r="K566" i="9"/>
  <c r="K569" i="9"/>
  <c r="H387" i="7"/>
  <c r="I387" i="7" s="1"/>
  <c r="I361" i="7"/>
  <c r="I1424" i="24"/>
  <c r="H142" i="13"/>
  <c r="I142" i="13" s="1"/>
  <c r="I110" i="13"/>
  <c r="L565" i="9"/>
  <c r="L441" i="9"/>
  <c r="L443" i="9" s="1"/>
  <c r="I70" i="12"/>
  <c r="G165" i="12"/>
  <c r="G78" i="12"/>
  <c r="J391" i="9"/>
  <c r="J394" i="9"/>
  <c r="J412" i="9"/>
  <c r="J466" i="9"/>
  <c r="H30" i="12"/>
  <c r="I30" i="12" s="1"/>
  <c r="I28" i="12"/>
  <c r="H527" i="11"/>
  <c r="I527" i="11" s="1"/>
  <c r="H56" i="12"/>
  <c r="H58" i="12" s="1"/>
  <c r="I25" i="12"/>
  <c r="F461" i="24"/>
  <c r="F315" i="9"/>
  <c r="F329" i="7"/>
  <c r="F347" i="7"/>
  <c r="F350" i="7"/>
  <c r="J606" i="9"/>
  <c r="J609" i="9"/>
  <c r="F341" i="9"/>
  <c r="F365" i="9"/>
  <c r="F444" i="24"/>
  <c r="F298" i="9"/>
  <c r="K393" i="9"/>
  <c r="K411" i="9"/>
  <c r="K465" i="9"/>
  <c r="K541" i="9"/>
  <c r="K595" i="9"/>
  <c r="K581" i="9"/>
  <c r="G134" i="22"/>
  <c r="G137" i="22"/>
  <c r="H64" i="16"/>
  <c r="H66" i="16" s="1"/>
  <c r="G21" i="5" s="1"/>
  <c r="H21" i="16" s="1"/>
  <c r="G125" i="22"/>
  <c r="H79" i="13"/>
  <c r="G353" i="22"/>
  <c r="G356" i="22"/>
  <c r="E234" i="9"/>
  <c r="F1378" i="24"/>
  <c r="F1381" i="24"/>
  <c r="E258" i="9"/>
  <c r="E450" i="24"/>
  <c r="E923" i="22"/>
  <c r="E474" i="24"/>
  <c r="E452" i="24"/>
  <c r="E478" i="24" s="1"/>
  <c r="G1247" i="24"/>
  <c r="G1244" i="24"/>
  <c r="H108" i="13"/>
  <c r="I108" i="13" s="1"/>
  <c r="H112" i="13"/>
  <c r="H134" i="13"/>
  <c r="I134" i="13" s="1"/>
  <c r="I102" i="13"/>
  <c r="H203" i="22"/>
  <c r="H206" i="22"/>
  <c r="H192" i="13"/>
  <c r="G1158" i="24"/>
  <c r="G1164" i="24"/>
  <c r="C80" i="16"/>
  <c r="F136" i="14"/>
  <c r="E350" i="7"/>
  <c r="I463" i="11"/>
  <c r="K399" i="9"/>
  <c r="K405" i="9"/>
  <c r="K477" i="9"/>
  <c r="F138" i="14"/>
  <c r="F131" i="14"/>
  <c r="H470" i="11"/>
  <c r="I470" i="11" s="1"/>
  <c r="H327" i="11"/>
  <c r="I327" i="11"/>
  <c r="I515" i="11"/>
  <c r="H321" i="11"/>
  <c r="H517" i="11"/>
  <c r="H514" i="11"/>
  <c r="H464" i="11"/>
  <c r="I464" i="11" s="1"/>
  <c r="F106" i="26"/>
  <c r="F71" i="16"/>
  <c r="H175" i="22"/>
  <c r="H166" i="22"/>
  <c r="H178" i="22"/>
  <c r="F60" i="16"/>
  <c r="G70" i="16"/>
  <c r="G60" i="16" s="1"/>
  <c r="L548" i="9"/>
  <c r="L554" i="9"/>
  <c r="L580" i="9" s="1"/>
  <c r="L572" i="9"/>
  <c r="L424" i="9"/>
  <c r="L508" i="9"/>
  <c r="M506" i="9"/>
  <c r="L514" i="9"/>
  <c r="L532" i="9"/>
  <c r="L612" i="9" s="1"/>
  <c r="L586" i="9"/>
  <c r="M546" i="9"/>
  <c r="L384" i="9"/>
  <c r="W345" i="2"/>
  <c r="W24" i="15"/>
  <c r="AH120" i="27"/>
  <c r="H161" i="12"/>
  <c r="I161" i="12" s="1"/>
  <c r="H344" i="7"/>
  <c r="H124" i="13"/>
  <c r="I128" i="13" s="1"/>
  <c r="H128" i="13"/>
  <c r="I118" i="13"/>
  <c r="H196" i="13"/>
  <c r="H198" i="13" s="1"/>
  <c r="I198" i="13" s="1"/>
  <c r="G1162" i="24"/>
  <c r="G140" i="13"/>
  <c r="G144" i="13"/>
  <c r="G129" i="13"/>
  <c r="H390" i="7"/>
  <c r="I390" i="7" s="1"/>
  <c r="I364" i="7"/>
  <c r="E219" i="13"/>
  <c r="E216" i="13"/>
  <c r="G130" i="14"/>
  <c r="G140" i="14" s="1"/>
  <c r="G160" i="13"/>
  <c r="G77" i="14"/>
  <c r="G74" i="14"/>
  <c r="I162" i="22"/>
  <c r="I165" i="22"/>
  <c r="J570" i="9"/>
  <c r="J579" i="9"/>
  <c r="J582" i="9"/>
  <c r="E272" i="9"/>
  <c r="E928" i="22"/>
  <c r="E463" i="24"/>
  <c r="E475" i="24"/>
  <c r="H471" i="11"/>
  <c r="I471" i="11" s="1"/>
  <c r="H328" i="11"/>
  <c r="I516" i="11"/>
  <c r="I38" i="12"/>
  <c r="D137" i="14"/>
  <c r="D141" i="14"/>
  <c r="E131" i="14"/>
  <c r="G76" i="14"/>
  <c r="I76" i="14" s="1"/>
  <c r="I68" i="14"/>
  <c r="D941" i="22"/>
  <c r="D919" i="22"/>
  <c r="D945" i="22" s="1"/>
  <c r="D916" i="22"/>
  <c r="I163" i="12"/>
  <c r="H120" i="14"/>
  <c r="I120" i="14" s="1"/>
  <c r="I118" i="14"/>
  <c r="G370" i="22"/>
  <c r="G367" i="22"/>
  <c r="K617" i="9"/>
  <c r="H26" i="12"/>
  <c r="H32" i="12"/>
  <c r="I32" i="12" s="1"/>
  <c r="I24" i="12"/>
  <c r="G7" i="21"/>
  <c r="G9" i="21" s="1"/>
  <c r="G902" i="22"/>
  <c r="G905" i="22"/>
  <c r="D185" i="13"/>
  <c r="E185" i="13" s="1"/>
  <c r="E199" i="13"/>
  <c r="E202" i="13"/>
  <c r="I115" i="14"/>
  <c r="I448" i="9"/>
  <c r="I457" i="9"/>
  <c r="I460" i="9"/>
  <c r="C249" i="9"/>
  <c r="C246" i="9"/>
  <c r="C237" i="9"/>
  <c r="G48" i="12"/>
  <c r="G72" i="12"/>
  <c r="G45" i="12"/>
  <c r="G159" i="12"/>
  <c r="G216" i="22"/>
  <c r="G219" i="22"/>
  <c r="G207" i="22"/>
  <c r="F96" i="22"/>
  <c r="F93" i="22"/>
  <c r="F80" i="22"/>
  <c r="K608" i="9"/>
  <c r="I484" i="9"/>
  <c r="I487" i="9"/>
  <c r="J404" i="9"/>
  <c r="J407" i="9"/>
  <c r="J479" i="9"/>
  <c r="E239" i="9"/>
  <c r="E215" i="9"/>
  <c r="L555" i="9"/>
  <c r="L581" i="9" s="1"/>
  <c r="L573" i="9"/>
  <c r="L425" i="9"/>
  <c r="M507" i="9"/>
  <c r="L515" i="9"/>
  <c r="L533" i="9"/>
  <c r="L613" i="9" s="1"/>
  <c r="L587" i="9"/>
  <c r="M547" i="9"/>
  <c r="L385" i="9"/>
  <c r="H330" i="22"/>
  <c r="H339" i="22"/>
  <c r="H342" i="22"/>
  <c r="J1423" i="24"/>
  <c r="J1422" i="24"/>
  <c r="H362" i="7"/>
  <c r="I362" i="7" s="1"/>
  <c r="H383" i="7"/>
  <c r="I383" i="7" s="1"/>
  <c r="H365" i="7"/>
  <c r="I149" i="22"/>
  <c r="I152" i="22"/>
  <c r="I170" i="22"/>
  <c r="G94" i="22"/>
  <c r="C22" i="5"/>
  <c r="D84" i="16"/>
  <c r="D86" i="16" s="1"/>
  <c r="C71" i="13"/>
  <c r="C66" i="26"/>
  <c r="I340" i="22"/>
  <c r="G1201" i="24"/>
  <c r="G1204" i="24"/>
  <c r="J491" i="9"/>
  <c r="G124" i="14"/>
  <c r="G121" i="14"/>
  <c r="H378" i="7"/>
  <c r="H375" i="7"/>
  <c r="G92" i="22"/>
  <c r="H150" i="13"/>
  <c r="I150" i="13" s="1"/>
  <c r="H141" i="13"/>
  <c r="I141" i="13" s="1"/>
  <c r="H190" i="22"/>
  <c r="H193" i="22"/>
  <c r="H211" i="22"/>
  <c r="I325" i="11"/>
  <c r="I55" i="14"/>
  <c r="E167" i="12"/>
  <c r="E164" i="12"/>
  <c r="K454" i="9"/>
  <c r="K430" i="9"/>
  <c r="K456" i="9" s="1"/>
  <c r="G379" i="7"/>
  <c r="G391" i="7"/>
  <c r="G388" i="7"/>
  <c r="L521" i="9"/>
  <c r="M519" i="9"/>
  <c r="L527" i="9"/>
  <c r="L607" i="9" s="1"/>
  <c r="L599" i="9"/>
  <c r="M559" i="9"/>
  <c r="L397" i="9"/>
  <c r="H85" i="16"/>
  <c r="F67" i="26"/>
  <c r="H13" i="14"/>
  <c r="I13" i="14" s="1"/>
  <c r="H75" i="14"/>
  <c r="H69" i="14"/>
  <c r="H522" i="11"/>
  <c r="G342" i="7"/>
  <c r="G348" i="7"/>
  <c r="G326" i="11"/>
  <c r="G472" i="11"/>
  <c r="G329" i="11"/>
  <c r="G469" i="11"/>
  <c r="E110" i="26"/>
  <c r="D467" i="24"/>
  <c r="D464" i="24"/>
  <c r="D472" i="24"/>
  <c r="D29" i="21" s="1"/>
  <c r="D31" i="21" s="1"/>
  <c r="D276" i="9"/>
  <c r="D289" i="9" s="1"/>
  <c r="D227" i="9"/>
  <c r="D281" i="9"/>
  <c r="D269" i="9"/>
  <c r="E353" i="9"/>
  <c r="O27" i="4"/>
  <c r="M1438" i="24"/>
  <c r="F1163" i="24"/>
  <c r="F1166" i="24"/>
  <c r="E531" i="11"/>
  <c r="E528" i="11"/>
  <c r="I76" i="12"/>
  <c r="K439" i="9"/>
  <c r="K445" i="9"/>
  <c r="I79" i="13"/>
  <c r="H149" i="13"/>
  <c r="I149" i="13" s="1"/>
  <c r="G88" i="22"/>
  <c r="K415" i="9"/>
  <c r="K495" i="9" s="1"/>
  <c r="K469" i="9"/>
  <c r="M551" i="9"/>
  <c r="M511" i="9"/>
  <c r="L537" i="9"/>
  <c r="L617" i="9" s="1"/>
  <c r="L591" i="9"/>
  <c r="L389" i="9"/>
  <c r="G133" i="14"/>
  <c r="G136" i="14" s="1"/>
  <c r="G156" i="13"/>
  <c r="H500" i="11"/>
  <c r="I500" i="11" s="1"/>
  <c r="H503" i="11"/>
  <c r="I495" i="11"/>
  <c r="I244" i="22"/>
  <c r="I247" i="22"/>
  <c r="F348" i="9"/>
  <c r="F445" i="24"/>
  <c r="F299" i="9"/>
  <c r="I252" i="22"/>
  <c r="I231" i="22"/>
  <c r="I234" i="22"/>
  <c r="L525" i="9"/>
  <c r="M523" i="9"/>
  <c r="L603" i="9"/>
  <c r="M563" i="9"/>
  <c r="L401" i="9"/>
  <c r="I196" i="13"/>
  <c r="F449" i="24"/>
  <c r="F303" i="9"/>
  <c r="G158" i="13"/>
  <c r="G151" i="13"/>
  <c r="G128" i="14"/>
  <c r="I42" i="12"/>
  <c r="K406" i="9"/>
  <c r="K486" i="9" s="1"/>
  <c r="K478" i="9"/>
  <c r="M520" i="9"/>
  <c r="L528" i="9"/>
  <c r="L608" i="9" s="1"/>
  <c r="L600" i="9"/>
  <c r="M560" i="9"/>
  <c r="L398" i="9"/>
  <c r="I340" i="7"/>
  <c r="G79" i="22"/>
  <c r="H153" i="13"/>
  <c r="I153" i="13" s="1"/>
  <c r="G76" i="22"/>
  <c r="K433" i="9"/>
  <c r="K459" i="9" s="1"/>
  <c r="K451" i="9"/>
  <c r="G523" i="11"/>
  <c r="G52" i="12"/>
  <c r="G529" i="11"/>
  <c r="I521" i="11"/>
  <c r="N95" i="14"/>
  <c r="N99" i="14"/>
  <c r="N96" i="14"/>
  <c r="N100" i="14"/>
  <c r="L9" i="24"/>
  <c r="M12" i="24"/>
  <c r="H389" i="7"/>
  <c r="I389" i="7" s="1"/>
  <c r="I363" i="7"/>
  <c r="H148" i="13"/>
  <c r="G59" i="22"/>
  <c r="G62" i="22"/>
  <c r="G84" i="22"/>
  <c r="I313" i="22"/>
  <c r="I316" i="22"/>
  <c r="I334" i="22"/>
  <c r="H523" i="11"/>
  <c r="H52" i="12"/>
  <c r="H529" i="11"/>
  <c r="J419" i="9"/>
  <c r="J499" i="9" s="1"/>
  <c r="J473" i="9"/>
  <c r="E371" i="9"/>
  <c r="E346" i="9"/>
  <c r="E349" i="9"/>
  <c r="H44" i="14"/>
  <c r="I44" i="14" s="1"/>
  <c r="H47" i="14"/>
  <c r="I39" i="14"/>
  <c r="H53" i="14"/>
  <c r="H59" i="14"/>
  <c r="H209" i="13"/>
  <c r="J458" i="9"/>
  <c r="G1149" i="24"/>
  <c r="G1152" i="24"/>
  <c r="H210" i="13"/>
  <c r="H218" i="13" s="1"/>
  <c r="I218" i="13" s="1"/>
  <c r="H60" i="14"/>
  <c r="I60" i="14" s="1"/>
  <c r="I52" i="14"/>
  <c r="E59" i="16"/>
  <c r="O421" i="7" l="1"/>
  <c r="O418" i="7"/>
  <c r="L605" i="9"/>
  <c r="J1424" i="24"/>
  <c r="J492" i="9"/>
  <c r="I81" i="26"/>
  <c r="M407" i="7"/>
  <c r="M404" i="7"/>
  <c r="Q21" i="4"/>
  <c r="R26" i="17"/>
  <c r="P13" i="5"/>
  <c r="Q13" i="5" s="1"/>
  <c r="J127" i="27"/>
  <c r="S421" i="2"/>
  <c r="Q26" i="17"/>
  <c r="I112" i="13"/>
  <c r="P413" i="7"/>
  <c r="P419" i="7"/>
  <c r="Q419" i="7" s="1"/>
  <c r="P397" i="7"/>
  <c r="Q411" i="7"/>
  <c r="N404" i="7"/>
  <c r="J77" i="26"/>
  <c r="N407" i="7"/>
  <c r="S286" i="2"/>
  <c r="R411" i="7"/>
  <c r="AP101" i="27"/>
  <c r="P23" i="4"/>
  <c r="L168" i="26" s="1"/>
  <c r="L166" i="26"/>
  <c r="K75" i="26"/>
  <c r="O399" i="7"/>
  <c r="O405" i="7"/>
  <c r="Q397" i="7"/>
  <c r="H70" i="16"/>
  <c r="H60" i="16" s="1"/>
  <c r="H531" i="11"/>
  <c r="H528" i="11"/>
  <c r="H156" i="13"/>
  <c r="H133" i="14"/>
  <c r="H136" i="14" s="1"/>
  <c r="L406" i="9"/>
  <c r="L486" i="9" s="1"/>
  <c r="L478" i="9"/>
  <c r="G138" i="14"/>
  <c r="G131" i="14"/>
  <c r="F307" i="9"/>
  <c r="L415" i="9"/>
  <c r="L495" i="9" s="1"/>
  <c r="L469" i="9"/>
  <c r="H61" i="14"/>
  <c r="H58" i="14"/>
  <c r="I529" i="11"/>
  <c r="M568" i="9"/>
  <c r="M438" i="9"/>
  <c r="M446" i="9" s="1"/>
  <c r="G157" i="13"/>
  <c r="G161" i="13"/>
  <c r="M565" i="9"/>
  <c r="M441" i="9"/>
  <c r="M443" i="9" s="1"/>
  <c r="F255" i="9"/>
  <c r="F911" i="22"/>
  <c r="F453" i="24"/>
  <c r="D274" i="9"/>
  <c r="D277" i="9"/>
  <c r="D282" i="9"/>
  <c r="H530" i="11"/>
  <c r="I530" i="11" s="1"/>
  <c r="H53" i="12"/>
  <c r="I522" i="11"/>
  <c r="L393" i="9"/>
  <c r="L411" i="9"/>
  <c r="L465" i="9"/>
  <c r="L541" i="9"/>
  <c r="L621" i="9" s="1"/>
  <c r="L595" i="9"/>
  <c r="G80" i="12"/>
  <c r="G77" i="12"/>
  <c r="G164" i="12"/>
  <c r="G167" i="12"/>
  <c r="L386" i="9"/>
  <c r="L392" i="9"/>
  <c r="L410" i="9"/>
  <c r="L464" i="9"/>
  <c r="L540" i="9"/>
  <c r="L620" i="9" s="1"/>
  <c r="L594" i="9"/>
  <c r="G1166" i="24"/>
  <c r="G1163" i="24"/>
  <c r="E925" i="22"/>
  <c r="E931" i="22"/>
  <c r="E944" i="22" s="1"/>
  <c r="E936" i="22"/>
  <c r="K491" i="9"/>
  <c r="H215" i="13"/>
  <c r="I215" i="13" s="1"/>
  <c r="I213" i="13"/>
  <c r="K391" i="9"/>
  <c r="K394" i="9"/>
  <c r="K412" i="9"/>
  <c r="K466" i="9"/>
  <c r="L578" i="9"/>
  <c r="A119" i="26"/>
  <c r="B38" i="13"/>
  <c r="A115" i="26"/>
  <c r="E330" i="9"/>
  <c r="E305" i="9"/>
  <c r="E308" i="9"/>
  <c r="F319" i="9"/>
  <c r="G1378" i="24"/>
  <c r="G1381" i="24"/>
  <c r="N564" i="9"/>
  <c r="N442" i="9" s="1"/>
  <c r="N524" i="9"/>
  <c r="M604" i="9"/>
  <c r="M402" i="9"/>
  <c r="M482" i="9" s="1"/>
  <c r="D322" i="9"/>
  <c r="D331" i="9"/>
  <c r="D334" i="9"/>
  <c r="J498" i="9"/>
  <c r="I210" i="13"/>
  <c r="I75" i="14"/>
  <c r="L414" i="9"/>
  <c r="L468" i="9"/>
  <c r="L390" i="9"/>
  <c r="L538" i="9"/>
  <c r="L618" i="9" s="1"/>
  <c r="L592" i="9"/>
  <c r="K416" i="9"/>
  <c r="K496" i="9" s="1"/>
  <c r="K470" i="9"/>
  <c r="H342" i="7"/>
  <c r="I342" i="7" s="1"/>
  <c r="H348" i="7"/>
  <c r="I348" i="7" s="1"/>
  <c r="L566" i="9"/>
  <c r="L569" i="9"/>
  <c r="G58" i="14"/>
  <c r="G61" i="14"/>
  <c r="I53" i="14"/>
  <c r="I488" i="9"/>
  <c r="I461" i="9"/>
  <c r="I497" i="9"/>
  <c r="I500" i="9"/>
  <c r="C81" i="16"/>
  <c r="C20" i="16" s="1"/>
  <c r="C12" i="4" s="1"/>
  <c r="B161" i="26" s="1"/>
  <c r="D89" i="16"/>
  <c r="F185" i="13"/>
  <c r="K606" i="9"/>
  <c r="K609" i="9"/>
  <c r="I124" i="13"/>
  <c r="G60" i="12"/>
  <c r="G54" i="12"/>
  <c r="I52" i="12"/>
  <c r="P27" i="4"/>
  <c r="N1438" i="24"/>
  <c r="I375" i="7"/>
  <c r="I378" i="7"/>
  <c r="C26" i="13"/>
  <c r="C22" i="13"/>
  <c r="C18" i="13"/>
  <c r="C27" i="13"/>
  <c r="B119" i="26" s="1"/>
  <c r="C19" i="13"/>
  <c r="C28" i="13"/>
  <c r="B120" i="26" s="1"/>
  <c r="C30" i="13"/>
  <c r="B122" i="26" s="1"/>
  <c r="C20" i="13"/>
  <c r="M555" i="9"/>
  <c r="M581" i="9" s="1"/>
  <c r="M573" i="9"/>
  <c r="M425" i="9"/>
  <c r="N547" i="9"/>
  <c r="N507" i="9"/>
  <c r="M515" i="9"/>
  <c r="M533" i="9"/>
  <c r="M587" i="9"/>
  <c r="M385" i="9"/>
  <c r="E929" i="22"/>
  <c r="E932" i="22"/>
  <c r="M554" i="9"/>
  <c r="M572" i="9"/>
  <c r="M548" i="9"/>
  <c r="M424" i="9"/>
  <c r="N546" i="9"/>
  <c r="M508" i="9"/>
  <c r="N506" i="9"/>
  <c r="M514" i="9"/>
  <c r="M532" i="9"/>
  <c r="M612" i="9" s="1"/>
  <c r="M586" i="9"/>
  <c r="M384" i="9"/>
  <c r="F137" i="14"/>
  <c r="F141" i="14"/>
  <c r="K485" i="9"/>
  <c r="D90" i="16"/>
  <c r="H200" i="13"/>
  <c r="I200" i="13" s="1"/>
  <c r="H194" i="13"/>
  <c r="I192" i="13"/>
  <c r="E476" i="24"/>
  <c r="E30" i="21" s="1"/>
  <c r="E451" i="24"/>
  <c r="E454" i="24"/>
  <c r="K419" i="9"/>
  <c r="K499" i="9" s="1"/>
  <c r="K473" i="9"/>
  <c r="F300" i="9"/>
  <c r="F324" i="9"/>
  <c r="F271" i="9"/>
  <c r="F927" i="22"/>
  <c r="J408" i="9"/>
  <c r="J417" i="9"/>
  <c r="J420" i="9"/>
  <c r="J471" i="9"/>
  <c r="J474" i="9"/>
  <c r="H45" i="12"/>
  <c r="H159" i="12"/>
  <c r="I159" i="12" s="1"/>
  <c r="H48" i="12"/>
  <c r="H72" i="12"/>
  <c r="I72" i="12"/>
  <c r="I40" i="12"/>
  <c r="I64" i="16"/>
  <c r="J64" i="16" s="1"/>
  <c r="H134" i="22"/>
  <c r="H125" i="22"/>
  <c r="H137" i="22"/>
  <c r="E21" i="16"/>
  <c r="F21" i="16" s="1"/>
  <c r="E21" i="5"/>
  <c r="F70" i="13"/>
  <c r="B34" i="13"/>
  <c r="A111" i="26"/>
  <c r="A122" i="26"/>
  <c r="J448" i="9"/>
  <c r="J457" i="9"/>
  <c r="J460" i="9"/>
  <c r="F267" i="9"/>
  <c r="F914" i="22"/>
  <c r="F465" i="24"/>
  <c r="D22" i="5"/>
  <c r="E22" i="5" s="1"/>
  <c r="D71" i="13"/>
  <c r="E84" i="16"/>
  <c r="D66" i="26"/>
  <c r="E69" i="13"/>
  <c r="I65" i="16"/>
  <c r="J65" i="16" s="1"/>
  <c r="F21" i="5"/>
  <c r="G202" i="13"/>
  <c r="G199" i="13"/>
  <c r="M552" i="9"/>
  <c r="M578" i="9" s="1"/>
  <c r="M576" i="9"/>
  <c r="M428" i="9"/>
  <c r="I56" i="12"/>
  <c r="G211" i="13"/>
  <c r="G217" i="13"/>
  <c r="I209" i="13"/>
  <c r="I341" i="7"/>
  <c r="K614" i="9"/>
  <c r="I503" i="11"/>
  <c r="G69" i="16"/>
  <c r="E61" i="16"/>
  <c r="F59" i="16"/>
  <c r="F61" i="16"/>
  <c r="G59" i="16"/>
  <c r="G93" i="22"/>
  <c r="G96" i="22"/>
  <c r="G80" i="22"/>
  <c r="K1422" i="24"/>
  <c r="K1423" i="24"/>
  <c r="I248" i="22"/>
  <c r="I257" i="22"/>
  <c r="I260" i="22"/>
  <c r="D468" i="24"/>
  <c r="D480" i="24"/>
  <c r="D477" i="24"/>
  <c r="G350" i="7"/>
  <c r="G329" i="7"/>
  <c r="G347" i="7"/>
  <c r="H77" i="14"/>
  <c r="H74" i="14"/>
  <c r="I74" i="14" s="1"/>
  <c r="H216" i="22"/>
  <c r="H207" i="22"/>
  <c r="H219" i="22"/>
  <c r="H211" i="13"/>
  <c r="H217" i="13"/>
  <c r="H60" i="12"/>
  <c r="H54" i="12"/>
  <c r="I330" i="22"/>
  <c r="I339" i="22"/>
  <c r="I342" i="22"/>
  <c r="H128" i="14"/>
  <c r="I128" i="14" s="1"/>
  <c r="H158" i="13"/>
  <c r="I158" i="13" s="1"/>
  <c r="H151" i="13"/>
  <c r="I151" i="13" s="1"/>
  <c r="I148" i="13"/>
  <c r="G531" i="11"/>
  <c r="G528" i="11"/>
  <c r="I523" i="11"/>
  <c r="N563" i="9"/>
  <c r="M525" i="9"/>
  <c r="M605" i="9" s="1"/>
  <c r="N523" i="9"/>
  <c r="M603" i="9"/>
  <c r="M401" i="9"/>
  <c r="N511" i="9"/>
  <c r="M537" i="9"/>
  <c r="M591" i="9"/>
  <c r="N551" i="9"/>
  <c r="M389" i="9"/>
  <c r="O7" i="18"/>
  <c r="K170" i="26"/>
  <c r="D235" i="9"/>
  <c r="D248" i="9" s="1"/>
  <c r="D228" i="9"/>
  <c r="D240" i="9"/>
  <c r="L399" i="9"/>
  <c r="L405" i="9"/>
  <c r="L477" i="9"/>
  <c r="M521" i="9"/>
  <c r="N519" i="9"/>
  <c r="M527" i="9"/>
  <c r="M599" i="9"/>
  <c r="N559" i="9"/>
  <c r="M397" i="9"/>
  <c r="H379" i="7"/>
  <c r="I388" i="7" s="1"/>
  <c r="H391" i="7"/>
  <c r="H388" i="7"/>
  <c r="I365" i="7"/>
  <c r="L433" i="9"/>
  <c r="L459" i="9" s="1"/>
  <c r="L451" i="9"/>
  <c r="J484" i="9"/>
  <c r="J487" i="9"/>
  <c r="H34" i="12"/>
  <c r="H31" i="12"/>
  <c r="I31" i="12" s="1"/>
  <c r="I26" i="12"/>
  <c r="E137" i="14"/>
  <c r="E141" i="14"/>
  <c r="E231" i="9"/>
  <c r="E273" i="9"/>
  <c r="F357" i="9"/>
  <c r="E285" i="9"/>
  <c r="L513" i="9"/>
  <c r="L516" i="9"/>
  <c r="L534" i="9"/>
  <c r="L588" i="9"/>
  <c r="L553" i="9"/>
  <c r="L556" i="9"/>
  <c r="L574" i="9"/>
  <c r="H329" i="11"/>
  <c r="H469" i="11"/>
  <c r="I472" i="11" s="1"/>
  <c r="H326" i="11"/>
  <c r="H472" i="11"/>
  <c r="F110" i="26"/>
  <c r="I517" i="11"/>
  <c r="I514" i="11"/>
  <c r="K404" i="9"/>
  <c r="K407" i="9"/>
  <c r="K479" i="9"/>
  <c r="E284" i="9"/>
  <c r="E260" i="9"/>
  <c r="E217" i="9"/>
  <c r="F343" i="9"/>
  <c r="E262" i="9"/>
  <c r="E288" i="9" s="1"/>
  <c r="K621" i="9"/>
  <c r="F254" i="9"/>
  <c r="F910" i="22"/>
  <c r="F470" i="24"/>
  <c r="F446" i="24"/>
  <c r="H78" i="12"/>
  <c r="H165" i="12"/>
  <c r="I165" i="12" s="1"/>
  <c r="I46" i="12"/>
  <c r="I78" i="12"/>
  <c r="B35" i="13"/>
  <c r="A112" i="26"/>
  <c r="A118" i="26"/>
  <c r="E85" i="16"/>
  <c r="F85" i="16" s="1"/>
  <c r="D67" i="26"/>
  <c r="E70" i="13"/>
  <c r="P18" i="19"/>
  <c r="M1496" i="24"/>
  <c r="K458" i="9"/>
  <c r="L616" i="9"/>
  <c r="I289" i="22"/>
  <c r="I298" i="22"/>
  <c r="I301" i="22"/>
  <c r="L439" i="9"/>
  <c r="L445" i="9"/>
  <c r="I58" i="12"/>
  <c r="I59" i="14"/>
  <c r="F84" i="16"/>
  <c r="I391" i="7"/>
  <c r="I69" i="14"/>
  <c r="I47" i="14"/>
  <c r="O95" i="14"/>
  <c r="O99" i="14"/>
  <c r="O96" i="14"/>
  <c r="O100" i="14"/>
  <c r="N12" i="24"/>
  <c r="M9" i="24"/>
  <c r="N520" i="9"/>
  <c r="M528" i="9"/>
  <c r="M608" i="9" s="1"/>
  <c r="M600" i="9"/>
  <c r="N560" i="9"/>
  <c r="M398" i="9"/>
  <c r="F259" i="9"/>
  <c r="F924" i="22"/>
  <c r="L403" i="9"/>
  <c r="L483" i="9" s="1"/>
  <c r="L481" i="9"/>
  <c r="M577" i="9"/>
  <c r="M429" i="9"/>
  <c r="M455" i="9" s="1"/>
  <c r="H129" i="14"/>
  <c r="H139" i="14" s="1"/>
  <c r="I139" i="14" s="1"/>
  <c r="H159" i="13"/>
  <c r="I159" i="13" s="1"/>
  <c r="K444" i="9"/>
  <c r="K447" i="9"/>
  <c r="E361" i="9"/>
  <c r="E374" i="9" s="1"/>
  <c r="E458" i="24"/>
  <c r="E312" i="9"/>
  <c r="E354" i="9"/>
  <c r="E366" i="9"/>
  <c r="H15" i="14"/>
  <c r="M561" i="9"/>
  <c r="M567" i="9"/>
  <c r="M437" i="9"/>
  <c r="L526" i="9"/>
  <c r="L529" i="9"/>
  <c r="L601" i="9"/>
  <c r="H160" i="13"/>
  <c r="I160" i="13" s="1"/>
  <c r="H130" i="14"/>
  <c r="H140" i="14" s="1"/>
  <c r="I140" i="14" s="1"/>
  <c r="I166" i="22"/>
  <c r="I178" i="22"/>
  <c r="I175" i="22"/>
  <c r="D942" i="22"/>
  <c r="D917" i="22"/>
  <c r="D920" i="22"/>
  <c r="H346" i="7"/>
  <c r="I344" i="7"/>
  <c r="X24" i="15"/>
  <c r="Y24" i="15" s="1"/>
  <c r="AJ120" i="27"/>
  <c r="L432" i="9"/>
  <c r="L458" i="9" s="1"/>
  <c r="L450" i="9"/>
  <c r="L426" i="9"/>
  <c r="I136" i="14"/>
  <c r="H140" i="13"/>
  <c r="H144" i="13"/>
  <c r="H129" i="13"/>
  <c r="I140" i="13" s="1"/>
  <c r="H81" i="13"/>
  <c r="I81" i="13" s="1"/>
  <c r="F331" i="7"/>
  <c r="F69" i="13"/>
  <c r="J610" i="9"/>
  <c r="J583" i="9"/>
  <c r="J619" i="9"/>
  <c r="J622" i="9"/>
  <c r="K418" i="9"/>
  <c r="K498" i="9" s="1"/>
  <c r="K472" i="9"/>
  <c r="L430" i="9"/>
  <c r="L456" i="9" s="1"/>
  <c r="L454" i="9"/>
  <c r="G1453" i="24"/>
  <c r="B36" i="13"/>
  <c r="A113" i="26"/>
  <c r="A120" i="26"/>
  <c r="E71" i="13"/>
  <c r="I129" i="14"/>
  <c r="I329" i="11"/>
  <c r="H124" i="14"/>
  <c r="H121" i="14"/>
  <c r="I121" i="14" s="1"/>
  <c r="I116" i="14"/>
  <c r="K431" i="9"/>
  <c r="K434" i="9"/>
  <c r="K452" i="9"/>
  <c r="N510" i="9"/>
  <c r="M536" i="9"/>
  <c r="M590" i="9"/>
  <c r="N550" i="9"/>
  <c r="M512" i="9"/>
  <c r="M388" i="9"/>
  <c r="K494" i="9"/>
  <c r="I80" i="12"/>
  <c r="I77" i="12"/>
  <c r="I14" i="14"/>
  <c r="I194" i="13"/>
  <c r="H201" i="13"/>
  <c r="I201" i="13" s="1"/>
  <c r="I193" i="13"/>
  <c r="K570" i="9"/>
  <c r="K579" i="9"/>
  <c r="K582" i="9"/>
  <c r="K530" i="9"/>
  <c r="K539" i="9"/>
  <c r="K542" i="9"/>
  <c r="K593" i="9"/>
  <c r="K596" i="9"/>
  <c r="I91" i="14"/>
  <c r="G15" i="14"/>
  <c r="I326" i="11"/>
  <c r="I15" i="14" l="1"/>
  <c r="M616" i="9"/>
  <c r="P405" i="7"/>
  <c r="Q405" i="7" s="1"/>
  <c r="L75" i="26"/>
  <c r="P399" i="7"/>
  <c r="R413" i="7"/>
  <c r="R419" i="7"/>
  <c r="R397" i="7"/>
  <c r="S21" i="4"/>
  <c r="R13" i="5"/>
  <c r="S26" i="17"/>
  <c r="T421" i="2"/>
  <c r="L127" i="27"/>
  <c r="Q23" i="4"/>
  <c r="M168" i="26" s="1"/>
  <c r="M166" i="26"/>
  <c r="R21" i="4"/>
  <c r="R23" i="4"/>
  <c r="I133" i="14"/>
  <c r="O407" i="7"/>
  <c r="K77" i="26"/>
  <c r="O404" i="7"/>
  <c r="K81" i="26" s="1"/>
  <c r="T286" i="2"/>
  <c r="S411" i="7"/>
  <c r="AR101" i="27"/>
  <c r="J81" i="26"/>
  <c r="P421" i="7"/>
  <c r="P418" i="7"/>
  <c r="Q413" i="7"/>
  <c r="L431" i="9"/>
  <c r="L434" i="9"/>
  <c r="L452" i="9"/>
  <c r="F218" i="9"/>
  <c r="G344" i="9"/>
  <c r="L1422" i="24"/>
  <c r="L1423" i="24"/>
  <c r="L444" i="9"/>
  <c r="L447" i="9"/>
  <c r="E286" i="9"/>
  <c r="E261" i="9"/>
  <c r="E264" i="9"/>
  <c r="K484" i="9"/>
  <c r="K487" i="9"/>
  <c r="M399" i="9"/>
  <c r="M405" i="9"/>
  <c r="M477" i="9"/>
  <c r="O559" i="9"/>
  <c r="N521" i="9"/>
  <c r="O519" i="9"/>
  <c r="N527" i="9"/>
  <c r="N599" i="9"/>
  <c r="N397" i="9"/>
  <c r="L404" i="9"/>
  <c r="L407" i="9"/>
  <c r="L479" i="9"/>
  <c r="N577" i="9"/>
  <c r="N429" i="9"/>
  <c r="N455" i="9" s="1"/>
  <c r="I531" i="11"/>
  <c r="I528" i="11"/>
  <c r="H219" i="13"/>
  <c r="H216" i="13"/>
  <c r="I34" i="12"/>
  <c r="D22" i="13"/>
  <c r="D28" i="13"/>
  <c r="D30" i="13"/>
  <c r="D19" i="13"/>
  <c r="D26" i="13"/>
  <c r="D20" i="13"/>
  <c r="D27" i="13"/>
  <c r="C119" i="26" s="1"/>
  <c r="D18" i="13"/>
  <c r="F940" i="22"/>
  <c r="I66" i="16"/>
  <c r="H202" i="13"/>
  <c r="H199" i="13"/>
  <c r="H185" i="13" s="1"/>
  <c r="M392" i="9"/>
  <c r="M410" i="9"/>
  <c r="M464" i="9"/>
  <c r="M386" i="9"/>
  <c r="O506" i="9"/>
  <c r="N514" i="9"/>
  <c r="N532" i="9"/>
  <c r="N586" i="9"/>
  <c r="O546" i="9"/>
  <c r="N508" i="9"/>
  <c r="N384" i="9"/>
  <c r="M553" i="9"/>
  <c r="M556" i="9"/>
  <c r="M574" i="9"/>
  <c r="M541" i="9"/>
  <c r="M621" i="9" s="1"/>
  <c r="M595" i="9"/>
  <c r="C38" i="13"/>
  <c r="B115" i="26"/>
  <c r="Q27" i="4"/>
  <c r="O1438" i="24"/>
  <c r="I60" i="12"/>
  <c r="L416" i="9"/>
  <c r="L496" i="9" s="1"/>
  <c r="L470" i="9"/>
  <c r="I124" i="14"/>
  <c r="L490" i="9"/>
  <c r="F937" i="22"/>
  <c r="I70" i="16"/>
  <c r="J70" i="16" s="1"/>
  <c r="N552" i="9"/>
  <c r="N576" i="9"/>
  <c r="N428" i="9"/>
  <c r="F22" i="5"/>
  <c r="F71" i="13"/>
  <c r="G84" i="16"/>
  <c r="E66" i="26"/>
  <c r="D934" i="22"/>
  <c r="D943" i="22"/>
  <c r="D946" i="22"/>
  <c r="M566" i="9"/>
  <c r="M569" i="9"/>
  <c r="E359" i="9"/>
  <c r="E362" i="9"/>
  <c r="E367" i="9"/>
  <c r="M406" i="9"/>
  <c r="M486" i="9" s="1"/>
  <c r="M478" i="9"/>
  <c r="O560" i="9"/>
  <c r="O520" i="9"/>
  <c r="N528" i="9"/>
  <c r="N600" i="9"/>
  <c r="N398" i="9"/>
  <c r="L614" i="9"/>
  <c r="F462" i="24"/>
  <c r="F316" i="9"/>
  <c r="F358" i="9"/>
  <c r="F370" i="9"/>
  <c r="N567" i="9"/>
  <c r="N561" i="9"/>
  <c r="N437" i="9"/>
  <c r="M526" i="9"/>
  <c r="M529" i="9"/>
  <c r="M601" i="9"/>
  <c r="M481" i="9"/>
  <c r="M403" i="9"/>
  <c r="M483" i="9" s="1"/>
  <c r="N565" i="9"/>
  <c r="N441" i="9"/>
  <c r="N443" i="9" s="1"/>
  <c r="H138" i="14"/>
  <c r="I138" i="14" s="1"/>
  <c r="H131" i="14"/>
  <c r="H59" i="12"/>
  <c r="H62" i="12"/>
  <c r="I130" i="14"/>
  <c r="F275" i="9"/>
  <c r="F226" i="9"/>
  <c r="G352" i="9"/>
  <c r="G85" i="16"/>
  <c r="E67" i="26"/>
  <c r="M513" i="9"/>
  <c r="M516" i="9"/>
  <c r="M534" i="9"/>
  <c r="M614" i="9" s="1"/>
  <c r="M588" i="9"/>
  <c r="M393" i="9"/>
  <c r="M411" i="9"/>
  <c r="M465" i="9"/>
  <c r="O507" i="9"/>
  <c r="N515" i="9"/>
  <c r="N533" i="9"/>
  <c r="N587" i="9"/>
  <c r="O547" i="9"/>
  <c r="N385" i="9"/>
  <c r="C35" i="13"/>
  <c r="B112" i="26"/>
  <c r="B118" i="26"/>
  <c r="P7" i="18"/>
  <c r="L170" i="26"/>
  <c r="I379" i="7"/>
  <c r="I199" i="13"/>
  <c r="E22" i="13"/>
  <c r="K408" i="9"/>
  <c r="K417" i="9"/>
  <c r="K420" i="9"/>
  <c r="K471" i="9"/>
  <c r="K474" i="9"/>
  <c r="I144" i="13"/>
  <c r="E930" i="22"/>
  <c r="E933" i="22"/>
  <c r="E938" i="22"/>
  <c r="L418" i="9"/>
  <c r="L498" i="9" s="1"/>
  <c r="L472" i="9"/>
  <c r="H61" i="12"/>
  <c r="I61" i="12" s="1"/>
  <c r="I53" i="12"/>
  <c r="D290" i="9"/>
  <c r="D287" i="9"/>
  <c r="D278" i="9"/>
  <c r="F263" i="9"/>
  <c r="F214" i="9"/>
  <c r="G340" i="9"/>
  <c r="G137" i="14"/>
  <c r="G141" i="14"/>
  <c r="I129" i="13"/>
  <c r="I469" i="11"/>
  <c r="K610" i="9"/>
  <c r="K583" i="9"/>
  <c r="K619" i="9"/>
  <c r="K622" i="9"/>
  <c r="M390" i="9"/>
  <c r="M414" i="9"/>
  <c r="M468" i="9"/>
  <c r="K457" i="9"/>
  <c r="K460" i="9"/>
  <c r="K448" i="9"/>
  <c r="L606" i="9"/>
  <c r="L609" i="9"/>
  <c r="E320" i="9"/>
  <c r="E333" i="9" s="1"/>
  <c r="E313" i="9"/>
  <c r="E325" i="9"/>
  <c r="N568" i="9"/>
  <c r="N438" i="9"/>
  <c r="N446" i="9" s="1"/>
  <c r="F912" i="22"/>
  <c r="F918" i="22"/>
  <c r="F345" i="9"/>
  <c r="F369" i="9"/>
  <c r="F448" i="24"/>
  <c r="F302" i="9"/>
  <c r="F347" i="9"/>
  <c r="F373" i="9" s="1"/>
  <c r="D236" i="9"/>
  <c r="D233" i="9"/>
  <c r="D241" i="9"/>
  <c r="M617" i="9"/>
  <c r="H69" i="16"/>
  <c r="H71" i="16" s="1"/>
  <c r="G61" i="16"/>
  <c r="G71" i="16"/>
  <c r="I217" i="13"/>
  <c r="H164" i="12"/>
  <c r="H77" i="12"/>
  <c r="H80" i="12"/>
  <c r="H167" i="12"/>
  <c r="F230" i="9"/>
  <c r="G356" i="9"/>
  <c r="N548" i="9"/>
  <c r="N554" i="9"/>
  <c r="N580" i="9" s="1"/>
  <c r="N572" i="9"/>
  <c r="N424" i="9"/>
  <c r="M580" i="9"/>
  <c r="N555" i="9"/>
  <c r="N581" i="9" s="1"/>
  <c r="N573" i="9"/>
  <c r="N425" i="9"/>
  <c r="C36" i="13"/>
  <c r="B113" i="26"/>
  <c r="D91" i="16"/>
  <c r="I45" i="12"/>
  <c r="L494" i="9"/>
  <c r="O524" i="9"/>
  <c r="N604" i="9"/>
  <c r="O564" i="9"/>
  <c r="O442" i="9" s="1"/>
  <c r="N402" i="9"/>
  <c r="N482" i="9" s="1"/>
  <c r="L391" i="9"/>
  <c r="L394" i="9"/>
  <c r="L412" i="9"/>
  <c r="L492" i="9" s="1"/>
  <c r="L466" i="9"/>
  <c r="L491" i="9"/>
  <c r="I77" i="14"/>
  <c r="I156" i="13"/>
  <c r="M538" i="9"/>
  <c r="M618" i="9" s="1"/>
  <c r="M592" i="9"/>
  <c r="N512" i="9"/>
  <c r="O510" i="9"/>
  <c r="N536" i="9"/>
  <c r="N616" i="9" s="1"/>
  <c r="N590" i="9"/>
  <c r="O550" i="9"/>
  <c r="N388" i="9"/>
  <c r="F1453" i="24"/>
  <c r="H330" i="7"/>
  <c r="I346" i="7"/>
  <c r="M445" i="9"/>
  <c r="M439" i="9"/>
  <c r="E268" i="9"/>
  <c r="E915" i="22"/>
  <c r="E466" i="24"/>
  <c r="E479" i="24" s="1"/>
  <c r="E459" i="24"/>
  <c r="E471" i="24"/>
  <c r="P95" i="14"/>
  <c r="P99" i="14"/>
  <c r="P96" i="14"/>
  <c r="P100" i="14"/>
  <c r="N9" i="24"/>
  <c r="O12" i="24"/>
  <c r="Q18" i="19"/>
  <c r="R18" i="19"/>
  <c r="N1496" i="24"/>
  <c r="F256" i="9"/>
  <c r="F280" i="9"/>
  <c r="F213" i="9"/>
  <c r="G339" i="9"/>
  <c r="E219" i="9"/>
  <c r="E243" i="9"/>
  <c r="E221" i="9"/>
  <c r="E247" i="9" s="1"/>
  <c r="L579" i="9"/>
  <c r="L582" i="9"/>
  <c r="L570" i="9"/>
  <c r="L530" i="9"/>
  <c r="L539" i="9"/>
  <c r="L542" i="9"/>
  <c r="L593" i="9"/>
  <c r="L596" i="9"/>
  <c r="E244" i="9"/>
  <c r="E232" i="9"/>
  <c r="M607" i="9"/>
  <c r="L485" i="9"/>
  <c r="M415" i="9"/>
  <c r="M495" i="9" s="1"/>
  <c r="M469" i="9"/>
  <c r="O511" i="9"/>
  <c r="N537" i="9"/>
  <c r="N617" i="9" s="1"/>
  <c r="N591" i="9"/>
  <c r="O551" i="9"/>
  <c r="N389" i="9"/>
  <c r="O523" i="9"/>
  <c r="N603" i="9"/>
  <c r="O563" i="9"/>
  <c r="N525" i="9"/>
  <c r="N605" i="9" s="1"/>
  <c r="N401" i="9"/>
  <c r="H157" i="13"/>
  <c r="H161" i="13"/>
  <c r="G331" i="7"/>
  <c r="G69" i="13"/>
  <c r="K1424" i="24"/>
  <c r="G219" i="13"/>
  <c r="G216" i="13"/>
  <c r="I211" i="13"/>
  <c r="M430" i="9"/>
  <c r="M456" i="9" s="1"/>
  <c r="M454" i="9"/>
  <c r="G21" i="16"/>
  <c r="E86" i="16"/>
  <c r="F86" i="16" s="1"/>
  <c r="J488" i="9"/>
  <c r="J461" i="9"/>
  <c r="J497" i="9"/>
  <c r="J500" i="9"/>
  <c r="D80" i="16"/>
  <c r="M540" i="9"/>
  <c r="M594" i="9"/>
  <c r="M426" i="9"/>
  <c r="M432" i="9"/>
  <c r="M458" i="9" s="1"/>
  <c r="M450" i="9"/>
  <c r="M613" i="9"/>
  <c r="M433" i="9"/>
  <c r="M459" i="9" s="1"/>
  <c r="M451" i="9"/>
  <c r="C34" i="13"/>
  <c r="B111" i="26"/>
  <c r="G59" i="12"/>
  <c r="G62" i="12"/>
  <c r="I54" i="12"/>
  <c r="I202" i="13"/>
  <c r="D79" i="16"/>
  <c r="I61" i="14"/>
  <c r="I58" i="14"/>
  <c r="H350" i="7"/>
  <c r="H329" i="7"/>
  <c r="H347" i="7"/>
  <c r="I48" i="12"/>
  <c r="E27" i="13"/>
  <c r="K492" i="9"/>
  <c r="L419" i="9"/>
  <c r="L499" i="9" s="1"/>
  <c r="L473" i="9"/>
  <c r="U286" i="2" l="1"/>
  <c r="T411" i="7"/>
  <c r="AT101" i="27"/>
  <c r="Q418" i="7"/>
  <c r="Q421" i="7"/>
  <c r="N166" i="26"/>
  <c r="S23" i="4"/>
  <c r="N168" i="26" s="1"/>
  <c r="R421" i="7"/>
  <c r="R418" i="7"/>
  <c r="M620" i="9"/>
  <c r="T21" i="4"/>
  <c r="T26" i="17"/>
  <c r="U421" i="2"/>
  <c r="N127" i="27"/>
  <c r="S13" i="5"/>
  <c r="R405" i="7"/>
  <c r="R399" i="7"/>
  <c r="M75" i="26"/>
  <c r="P407" i="7"/>
  <c r="P404" i="7"/>
  <c r="L77" i="26"/>
  <c r="Q399" i="7"/>
  <c r="Q404" i="7"/>
  <c r="S419" i="7"/>
  <c r="S413" i="7"/>
  <c r="S397" i="7"/>
  <c r="U411" i="7"/>
  <c r="H59" i="16"/>
  <c r="I60" i="16"/>
  <c r="M431" i="9"/>
  <c r="M434" i="9"/>
  <c r="M452" i="9"/>
  <c r="I350" i="7"/>
  <c r="I347" i="7"/>
  <c r="G22" i="5"/>
  <c r="H84" i="16"/>
  <c r="H86" i="16" s="1"/>
  <c r="G71" i="13"/>
  <c r="F66" i="26"/>
  <c r="I157" i="13"/>
  <c r="I161" i="13"/>
  <c r="O577" i="9"/>
  <c r="O429" i="9"/>
  <c r="O455" i="9" s="1"/>
  <c r="E245" i="9"/>
  <c r="E220" i="9"/>
  <c r="E223" i="9"/>
  <c r="H331" i="7"/>
  <c r="I331" i="7" s="1"/>
  <c r="H69" i="13"/>
  <c r="I329" i="7"/>
  <c r="D81" i="16"/>
  <c r="D20" i="16" s="1"/>
  <c r="D12" i="4" s="1"/>
  <c r="C161" i="26" s="1"/>
  <c r="E89" i="16"/>
  <c r="I62" i="12"/>
  <c r="I59" i="12"/>
  <c r="I219" i="13"/>
  <c r="I216" i="13"/>
  <c r="G341" i="9"/>
  <c r="G365" i="9"/>
  <c r="G444" i="24"/>
  <c r="G298" i="9"/>
  <c r="R95" i="14"/>
  <c r="R99" i="14"/>
  <c r="R96" i="14"/>
  <c r="R100" i="14"/>
  <c r="A72" i="23"/>
  <c r="A88" i="23"/>
  <c r="A104" i="23"/>
  <c r="A120" i="23"/>
  <c r="A136" i="23"/>
  <c r="A152" i="23"/>
  <c r="A168" i="23"/>
  <c r="A64" i="23"/>
  <c r="A84" i="23"/>
  <c r="A108" i="23"/>
  <c r="A128" i="23"/>
  <c r="A148" i="23"/>
  <c r="A80" i="23"/>
  <c r="A100" i="23"/>
  <c r="A124" i="23"/>
  <c r="A144" i="23"/>
  <c r="A164" i="23"/>
  <c r="P12" i="24"/>
  <c r="A76" i="23"/>
  <c r="A96" i="23"/>
  <c r="A116" i="23"/>
  <c r="A140" i="23"/>
  <c r="A160" i="23"/>
  <c r="A68" i="23"/>
  <c r="A92" i="23"/>
  <c r="A112" i="23"/>
  <c r="A132" i="23"/>
  <c r="A156" i="23"/>
  <c r="O9" i="24"/>
  <c r="E464" i="24"/>
  <c r="E467" i="24"/>
  <c r="E472" i="24"/>
  <c r="E29" i="21" s="1"/>
  <c r="E31" i="21" s="1"/>
  <c r="M444" i="9"/>
  <c r="M447" i="9"/>
  <c r="E1453" i="24"/>
  <c r="L417" i="9"/>
  <c r="L420" i="9"/>
  <c r="L471" i="9"/>
  <c r="L474" i="9"/>
  <c r="L408" i="9"/>
  <c r="P524" i="9"/>
  <c r="O604" i="9"/>
  <c r="P564" i="9"/>
  <c r="P442" i="9" s="1"/>
  <c r="O402" i="9"/>
  <c r="O482" i="9" s="1"/>
  <c r="C24" i="3"/>
  <c r="I167" i="12"/>
  <c r="I164" i="12"/>
  <c r="F328" i="9"/>
  <c r="F304" i="9"/>
  <c r="F306" i="9"/>
  <c r="F332" i="9" s="1"/>
  <c r="F371" i="9"/>
  <c r="F346" i="9"/>
  <c r="F349" i="9"/>
  <c r="E318" i="9"/>
  <c r="E321" i="9"/>
  <c r="E326" i="9"/>
  <c r="F222" i="9"/>
  <c r="N613" i="9"/>
  <c r="M491" i="9"/>
  <c r="N566" i="9"/>
  <c r="N569" i="9"/>
  <c r="F329" i="9"/>
  <c r="F317" i="9"/>
  <c r="N406" i="9"/>
  <c r="N486" i="9" s="1"/>
  <c r="N478" i="9"/>
  <c r="O568" i="9"/>
  <c r="O438" i="9"/>
  <c r="O446" i="9" s="1"/>
  <c r="G86" i="16"/>
  <c r="N430" i="9"/>
  <c r="N456" i="9" s="1"/>
  <c r="N454" i="9"/>
  <c r="J60" i="16"/>
  <c r="K70" i="16"/>
  <c r="R27" i="4"/>
  <c r="Q7" i="18"/>
  <c r="R7" i="18"/>
  <c r="M170" i="26"/>
  <c r="N386" i="9"/>
  <c r="N392" i="9"/>
  <c r="N410" i="9"/>
  <c r="N464" i="9"/>
  <c r="N612" i="9"/>
  <c r="D34" i="13"/>
  <c r="E34" i="13" s="1"/>
  <c r="C111" i="26"/>
  <c r="E18" i="13"/>
  <c r="D35" i="13"/>
  <c r="E35" i="13" s="1"/>
  <c r="C112" i="26"/>
  <c r="E19" i="13"/>
  <c r="G185" i="13"/>
  <c r="I185" i="13" s="1"/>
  <c r="O561" i="9"/>
  <c r="O567" i="9"/>
  <c r="O437" i="9"/>
  <c r="G449" i="24"/>
  <c r="G303" i="9"/>
  <c r="E90" i="16"/>
  <c r="F90" i="16" s="1"/>
  <c r="N403" i="9"/>
  <c r="N483" i="9" s="1"/>
  <c r="N481" i="9"/>
  <c r="O525" i="9"/>
  <c r="P523" i="9"/>
  <c r="O603" i="9"/>
  <c r="P563" i="9"/>
  <c r="O401" i="9"/>
  <c r="L583" i="9"/>
  <c r="L619" i="9"/>
  <c r="L622" i="9"/>
  <c r="L610" i="9"/>
  <c r="F239" i="9"/>
  <c r="F215" i="9"/>
  <c r="M1423" i="24"/>
  <c r="M1422" i="24"/>
  <c r="D246" i="9"/>
  <c r="D237" i="9"/>
  <c r="D249" i="9"/>
  <c r="F258" i="9"/>
  <c r="F450" i="24"/>
  <c r="F923" i="22"/>
  <c r="F474" i="24"/>
  <c r="F452" i="24"/>
  <c r="F478" i="24" s="1"/>
  <c r="M494" i="9"/>
  <c r="N393" i="9"/>
  <c r="N411" i="9"/>
  <c r="N465" i="9"/>
  <c r="N541" i="9"/>
  <c r="N621" i="9" s="1"/>
  <c r="N595" i="9"/>
  <c r="M419" i="9"/>
  <c r="M499" i="9" s="1"/>
  <c r="M473" i="9"/>
  <c r="M539" i="9"/>
  <c r="M542" i="9"/>
  <c r="M593" i="9"/>
  <c r="M596" i="9"/>
  <c r="M530" i="9"/>
  <c r="G360" i="9"/>
  <c r="G457" i="24"/>
  <c r="G311" i="9"/>
  <c r="H137" i="14"/>
  <c r="H141" i="14"/>
  <c r="I131" i="14"/>
  <c r="F272" i="9"/>
  <c r="F928" i="22"/>
  <c r="F475" i="24"/>
  <c r="F463" i="24"/>
  <c r="E375" i="9"/>
  <c r="E363" i="9"/>
  <c r="E372" i="9"/>
  <c r="I69" i="13"/>
  <c r="N513" i="9"/>
  <c r="N516" i="9"/>
  <c r="N534" i="9"/>
  <c r="N588" i="9"/>
  <c r="N540" i="9"/>
  <c r="N620" i="9" s="1"/>
  <c r="N594" i="9"/>
  <c r="M490" i="9"/>
  <c r="H21" i="5"/>
  <c r="J66" i="16"/>
  <c r="C122" i="26"/>
  <c r="E30" i="13"/>
  <c r="N607" i="9"/>
  <c r="L457" i="9"/>
  <c r="L460" i="9"/>
  <c r="L448" i="9"/>
  <c r="N415" i="9"/>
  <c r="N495" i="9" s="1"/>
  <c r="N469" i="9"/>
  <c r="P511" i="9"/>
  <c r="O537" i="9"/>
  <c r="O617" i="9" s="1"/>
  <c r="O591" i="9"/>
  <c r="P551" i="9"/>
  <c r="O389" i="9"/>
  <c r="S18" i="19"/>
  <c r="O1496" i="24"/>
  <c r="E941" i="22"/>
  <c r="E916" i="22"/>
  <c r="E919" i="22"/>
  <c r="E945" i="22" s="1"/>
  <c r="N390" i="9"/>
  <c r="N414" i="9"/>
  <c r="N494" i="9" s="1"/>
  <c r="N468" i="9"/>
  <c r="O512" i="9"/>
  <c r="P510" i="9"/>
  <c r="O536" i="9"/>
  <c r="O590" i="9"/>
  <c r="P550" i="9"/>
  <c r="O388" i="9"/>
  <c r="N553" i="9"/>
  <c r="N556" i="9"/>
  <c r="N574" i="9"/>
  <c r="G461" i="24"/>
  <c r="G315" i="9"/>
  <c r="H61" i="16"/>
  <c r="I69" i="16"/>
  <c r="I59" i="16" s="1"/>
  <c r="M416" i="9"/>
  <c r="M496" i="9" s="1"/>
  <c r="M470" i="9"/>
  <c r="K461" i="9"/>
  <c r="K497" i="9"/>
  <c r="K500" i="9"/>
  <c r="K488" i="9"/>
  <c r="O555" i="9"/>
  <c r="O581" i="9" s="1"/>
  <c r="O573" i="9"/>
  <c r="O425" i="9"/>
  <c r="P507" i="9"/>
  <c r="O515" i="9"/>
  <c r="O533" i="9"/>
  <c r="O613" i="9" s="1"/>
  <c r="O587" i="9"/>
  <c r="P547" i="9"/>
  <c r="O385" i="9"/>
  <c r="F234" i="9"/>
  <c r="M606" i="9"/>
  <c r="M609" i="9"/>
  <c r="N608" i="9"/>
  <c r="F18" i="13"/>
  <c r="F26" i="13"/>
  <c r="F22" i="13"/>
  <c r="F30" i="13"/>
  <c r="F20" i="13"/>
  <c r="F28" i="13"/>
  <c r="F19" i="13"/>
  <c r="F27" i="13"/>
  <c r="N578" i="9"/>
  <c r="O548" i="9"/>
  <c r="O554" i="9"/>
  <c r="O580" i="9" s="1"/>
  <c r="O572" i="9"/>
  <c r="O424" i="9"/>
  <c r="O508" i="9"/>
  <c r="P506" i="9"/>
  <c r="O514" i="9"/>
  <c r="O532" i="9"/>
  <c r="O612" i="9" s="1"/>
  <c r="O586" i="9"/>
  <c r="P546" i="9"/>
  <c r="O384" i="9"/>
  <c r="M418" i="9"/>
  <c r="M498" i="9" s="1"/>
  <c r="M472" i="9"/>
  <c r="D36" i="13"/>
  <c r="E36" i="13" s="1"/>
  <c r="C113" i="26"/>
  <c r="E20" i="13"/>
  <c r="C120" i="26"/>
  <c r="E28" i="13"/>
  <c r="L484" i="9"/>
  <c r="L487" i="9"/>
  <c r="P519" i="9"/>
  <c r="O527" i="9"/>
  <c r="O607" i="9" s="1"/>
  <c r="O599" i="9"/>
  <c r="P559" i="9"/>
  <c r="O521" i="9"/>
  <c r="O397" i="9"/>
  <c r="M485" i="9"/>
  <c r="O565" i="9"/>
  <c r="O441" i="9"/>
  <c r="O443" i="9" s="1"/>
  <c r="E276" i="9"/>
  <c r="E289" i="9" s="1"/>
  <c r="E227" i="9"/>
  <c r="E269" i="9"/>
  <c r="E281" i="9"/>
  <c r="F353" i="9"/>
  <c r="H70" i="13"/>
  <c r="I330" i="7"/>
  <c r="O552" i="9"/>
  <c r="O576" i="9"/>
  <c r="O428" i="9"/>
  <c r="N538" i="9"/>
  <c r="N592" i="9"/>
  <c r="N433" i="9"/>
  <c r="N459" i="9" s="1"/>
  <c r="N451" i="9"/>
  <c r="N426" i="9"/>
  <c r="N432" i="9"/>
  <c r="N450" i="9"/>
  <c r="G348" i="9"/>
  <c r="G445" i="24"/>
  <c r="G299" i="9"/>
  <c r="N439" i="9"/>
  <c r="N445" i="9"/>
  <c r="P520" i="9"/>
  <c r="O528" i="9"/>
  <c r="O608" i="9" s="1"/>
  <c r="O600" i="9"/>
  <c r="P560" i="9"/>
  <c r="O398" i="9"/>
  <c r="S27" i="4"/>
  <c r="P1438" i="24"/>
  <c r="M579" i="9"/>
  <c r="M582" i="9"/>
  <c r="M570" i="9"/>
  <c r="M391" i="9"/>
  <c r="M394" i="9"/>
  <c r="M412" i="9"/>
  <c r="M492" i="9" s="1"/>
  <c r="M466" i="9"/>
  <c r="C118" i="26"/>
  <c r="E26" i="13"/>
  <c r="D38" i="13"/>
  <c r="E38" i="13" s="1"/>
  <c r="C115" i="26"/>
  <c r="N405" i="9"/>
  <c r="N485" i="9" s="1"/>
  <c r="N477" i="9"/>
  <c r="N399" i="9"/>
  <c r="N526" i="9"/>
  <c r="N529" i="9"/>
  <c r="N601" i="9"/>
  <c r="M404" i="9"/>
  <c r="M407" i="9"/>
  <c r="M479" i="9"/>
  <c r="L1424" i="24"/>
  <c r="S421" i="7" l="1"/>
  <c r="S418" i="7"/>
  <c r="R404" i="7"/>
  <c r="R407" i="7"/>
  <c r="M77" i="26"/>
  <c r="L81" i="26"/>
  <c r="Q407" i="7"/>
  <c r="U26" i="17"/>
  <c r="P127" i="27"/>
  <c r="T13" i="5"/>
  <c r="U13" i="5" s="1"/>
  <c r="V421" i="2"/>
  <c r="V26" i="17"/>
  <c r="U21" i="4"/>
  <c r="T413" i="7"/>
  <c r="T419" i="7"/>
  <c r="U419" i="7" s="1"/>
  <c r="T397" i="7"/>
  <c r="S399" i="7"/>
  <c r="S405" i="7"/>
  <c r="N75" i="26"/>
  <c r="O166" i="26"/>
  <c r="T23" i="4"/>
  <c r="O168" i="26" s="1"/>
  <c r="U413" i="7"/>
  <c r="V286" i="2"/>
  <c r="V411" i="7"/>
  <c r="AV101" i="27"/>
  <c r="M1424" i="24"/>
  <c r="O578" i="9"/>
  <c r="K69" i="16"/>
  <c r="I61" i="16"/>
  <c r="J59" i="16"/>
  <c r="J61" i="16"/>
  <c r="G307" i="9"/>
  <c r="N458" i="9"/>
  <c r="O386" i="9"/>
  <c r="O392" i="9"/>
  <c r="O410" i="9"/>
  <c r="O464" i="9"/>
  <c r="D122" i="26"/>
  <c r="N606" i="9"/>
  <c r="N609" i="9"/>
  <c r="O406" i="9"/>
  <c r="O486" i="9" s="1"/>
  <c r="O478" i="9"/>
  <c r="Q520" i="9"/>
  <c r="P528" i="9"/>
  <c r="P600" i="9"/>
  <c r="Q560" i="9"/>
  <c r="P398" i="9"/>
  <c r="G255" i="9"/>
  <c r="G911" i="22"/>
  <c r="G453" i="24"/>
  <c r="N431" i="9"/>
  <c r="N434" i="9"/>
  <c r="N452" i="9"/>
  <c r="N618" i="9"/>
  <c r="E274" i="9"/>
  <c r="E277" i="9"/>
  <c r="E282" i="9"/>
  <c r="O399" i="9"/>
  <c r="O405" i="9"/>
  <c r="O477" i="9"/>
  <c r="P548" i="9"/>
  <c r="P554" i="9"/>
  <c r="P572" i="9"/>
  <c r="P424" i="9"/>
  <c r="P508" i="9"/>
  <c r="Q506" i="9"/>
  <c r="P514" i="9"/>
  <c r="P532" i="9"/>
  <c r="P586" i="9"/>
  <c r="Q546" i="9"/>
  <c r="P384" i="9"/>
  <c r="F35" i="13"/>
  <c r="D112" i="26"/>
  <c r="F38" i="13"/>
  <c r="D115" i="26"/>
  <c r="O433" i="9"/>
  <c r="O459" i="9" s="1"/>
  <c r="O451" i="9"/>
  <c r="N570" i="9"/>
  <c r="N579" i="9"/>
  <c r="N582" i="9"/>
  <c r="O616" i="9"/>
  <c r="P577" i="9"/>
  <c r="P429" i="9"/>
  <c r="P455" i="9" s="1"/>
  <c r="N614" i="9"/>
  <c r="F476" i="24"/>
  <c r="F30" i="21" s="1"/>
  <c r="F451" i="24"/>
  <c r="F454" i="24"/>
  <c r="P565" i="9"/>
  <c r="P441" i="9"/>
  <c r="P443" i="9" s="1"/>
  <c r="O439" i="9"/>
  <c r="O445" i="9"/>
  <c r="N391" i="9"/>
  <c r="N394" i="9"/>
  <c r="N412" i="9"/>
  <c r="N492" i="9" s="1"/>
  <c r="N466" i="9"/>
  <c r="E322" i="9"/>
  <c r="E331" i="9"/>
  <c r="E334" i="9"/>
  <c r="L461" i="9"/>
  <c r="L497" i="9"/>
  <c r="L500" i="9"/>
  <c r="L488" i="9"/>
  <c r="G324" i="9"/>
  <c r="G300" i="9"/>
  <c r="G18" i="13"/>
  <c r="G19" i="13"/>
  <c r="G22" i="13"/>
  <c r="G27" i="13"/>
  <c r="E119" i="26" s="1"/>
  <c r="G26" i="13"/>
  <c r="G28" i="13"/>
  <c r="E120" i="26" s="1"/>
  <c r="G20" i="13"/>
  <c r="G30" i="13"/>
  <c r="E122" i="26" s="1"/>
  <c r="M448" i="9"/>
  <c r="M457" i="9"/>
  <c r="M460" i="9"/>
  <c r="M484" i="9"/>
  <c r="M487" i="9"/>
  <c r="N404" i="9"/>
  <c r="N407" i="9"/>
  <c r="N479" i="9"/>
  <c r="M417" i="9"/>
  <c r="M420" i="9"/>
  <c r="M471" i="9"/>
  <c r="M474" i="9"/>
  <c r="M408" i="9"/>
  <c r="T27" i="4"/>
  <c r="Q1438" i="24"/>
  <c r="P568" i="9"/>
  <c r="P438" i="9"/>
  <c r="P446" i="9" s="1"/>
  <c r="O454" i="9"/>
  <c r="O430" i="9"/>
  <c r="O456" i="9" s="1"/>
  <c r="I85" i="16"/>
  <c r="J85" i="16" s="1"/>
  <c r="G67" i="26"/>
  <c r="I70" i="13"/>
  <c r="E235" i="9"/>
  <c r="E248" i="9" s="1"/>
  <c r="E240" i="9"/>
  <c r="E228" i="9"/>
  <c r="O526" i="9"/>
  <c r="O529" i="9"/>
  <c r="O601" i="9"/>
  <c r="P521" i="9"/>
  <c r="Q519" i="9"/>
  <c r="P527" i="9"/>
  <c r="P599" i="9"/>
  <c r="Q559" i="9"/>
  <c r="P397" i="9"/>
  <c r="O513" i="9"/>
  <c r="O516" i="9"/>
  <c r="O534" i="9"/>
  <c r="O588" i="9"/>
  <c r="O553" i="9"/>
  <c r="O556" i="9"/>
  <c r="O574" i="9"/>
  <c r="D120" i="26"/>
  <c r="D118" i="26"/>
  <c r="O390" i="9"/>
  <c r="O414" i="9"/>
  <c r="O494" i="9" s="1"/>
  <c r="O468" i="9"/>
  <c r="Q550" i="9"/>
  <c r="P512" i="9"/>
  <c r="Q510" i="9"/>
  <c r="P536" i="9"/>
  <c r="P590" i="9"/>
  <c r="P388" i="9"/>
  <c r="N416" i="9"/>
  <c r="N496" i="9" s="1"/>
  <c r="N470" i="9"/>
  <c r="F932" i="22"/>
  <c r="F929" i="22"/>
  <c r="I141" i="14"/>
  <c r="I137" i="14"/>
  <c r="N491" i="9"/>
  <c r="F284" i="9"/>
  <c r="F260" i="9"/>
  <c r="F217" i="9"/>
  <c r="G343" i="9"/>
  <c r="F262" i="9"/>
  <c r="F288" i="9" s="1"/>
  <c r="G259" i="9"/>
  <c r="G924" i="22"/>
  <c r="F330" i="9"/>
  <c r="F305" i="9"/>
  <c r="F308" i="9"/>
  <c r="D1453" i="24"/>
  <c r="G254" i="9"/>
  <c r="G910" i="22"/>
  <c r="G446" i="24"/>
  <c r="G470" i="24"/>
  <c r="S7" i="18"/>
  <c r="N170" i="26"/>
  <c r="N444" i="9"/>
  <c r="N447" i="9"/>
  <c r="F361" i="9"/>
  <c r="F374" i="9" s="1"/>
  <c r="F458" i="24"/>
  <c r="F312" i="9"/>
  <c r="F354" i="9"/>
  <c r="F366" i="9"/>
  <c r="P561" i="9"/>
  <c r="P567" i="9"/>
  <c r="P437" i="9"/>
  <c r="O426" i="9"/>
  <c r="O432" i="9"/>
  <c r="O458" i="9" s="1"/>
  <c r="O450" i="9"/>
  <c r="F36" i="13"/>
  <c r="D113" i="26"/>
  <c r="F34" i="13"/>
  <c r="D111" i="26"/>
  <c r="O393" i="9"/>
  <c r="O411" i="9"/>
  <c r="O491" i="9" s="1"/>
  <c r="O465" i="9"/>
  <c r="O541" i="9"/>
  <c r="O621" i="9" s="1"/>
  <c r="O595" i="9"/>
  <c r="P576" i="9"/>
  <c r="P552" i="9"/>
  <c r="P578" i="9" s="1"/>
  <c r="P428" i="9"/>
  <c r="O538" i="9"/>
  <c r="O618" i="9" s="1"/>
  <c r="O592" i="9"/>
  <c r="T18" i="19"/>
  <c r="P1496" i="24"/>
  <c r="N539" i="9"/>
  <c r="N542" i="9"/>
  <c r="N593" i="9"/>
  <c r="N596" i="9"/>
  <c r="N530" i="9"/>
  <c r="F231" i="9"/>
  <c r="F285" i="9"/>
  <c r="G357" i="9"/>
  <c r="F273" i="9"/>
  <c r="G319" i="9"/>
  <c r="N419" i="9"/>
  <c r="N499" i="9" s="1"/>
  <c r="N473" i="9"/>
  <c r="P525" i="9"/>
  <c r="P605" i="9" s="1"/>
  <c r="Q523" i="9"/>
  <c r="P603" i="9"/>
  <c r="Q563" i="9"/>
  <c r="P401" i="9"/>
  <c r="O566" i="9"/>
  <c r="O569" i="9"/>
  <c r="N490" i="9"/>
  <c r="C12" i="5"/>
  <c r="D22" i="16"/>
  <c r="N1423" i="24"/>
  <c r="N1422" i="24"/>
  <c r="S95" i="14"/>
  <c r="S99" i="14"/>
  <c r="S96" i="14"/>
  <c r="S100" i="14"/>
  <c r="B76" i="23"/>
  <c r="B92" i="23"/>
  <c r="B108" i="23"/>
  <c r="B124" i="23"/>
  <c r="B140" i="23"/>
  <c r="B156" i="23"/>
  <c r="B68" i="23"/>
  <c r="B88" i="23"/>
  <c r="B112" i="23"/>
  <c r="B132" i="23"/>
  <c r="B152" i="23"/>
  <c r="P9" i="24"/>
  <c r="B64" i="23"/>
  <c r="B84" i="23"/>
  <c r="B104" i="23"/>
  <c r="B128" i="23"/>
  <c r="B148" i="23"/>
  <c r="B168" i="23"/>
  <c r="B80" i="23"/>
  <c r="B100" i="23"/>
  <c r="B120" i="23"/>
  <c r="B144" i="23"/>
  <c r="B164" i="23"/>
  <c r="Q12" i="24"/>
  <c r="B72" i="23"/>
  <c r="B96" i="23"/>
  <c r="B116" i="23"/>
  <c r="B136" i="23"/>
  <c r="B160" i="23"/>
  <c r="E91" i="16"/>
  <c r="F89" i="16"/>
  <c r="H22" i="5"/>
  <c r="I22" i="5" s="1"/>
  <c r="H71" i="13"/>
  <c r="I84" i="16"/>
  <c r="G66" i="26"/>
  <c r="O540" i="9"/>
  <c r="O620" i="9" s="1"/>
  <c r="O594" i="9"/>
  <c r="D119" i="26"/>
  <c r="P555" i="9"/>
  <c r="P581" i="9" s="1"/>
  <c r="P573" i="9"/>
  <c r="P425" i="9"/>
  <c r="Q507" i="9"/>
  <c r="P515" i="9"/>
  <c r="P533" i="9"/>
  <c r="P613" i="9" s="1"/>
  <c r="P587" i="9"/>
  <c r="Q547" i="9"/>
  <c r="P385" i="9"/>
  <c r="I71" i="16"/>
  <c r="J69" i="16"/>
  <c r="G271" i="9"/>
  <c r="G927" i="22"/>
  <c r="E942" i="22"/>
  <c r="E917" i="22"/>
  <c r="E920" i="22"/>
  <c r="O415" i="9"/>
  <c r="O495" i="9" s="1"/>
  <c r="O469" i="9"/>
  <c r="Q551" i="9"/>
  <c r="Q511" i="9"/>
  <c r="P537" i="9"/>
  <c r="P591" i="9"/>
  <c r="P389" i="9"/>
  <c r="I21" i="16"/>
  <c r="J21" i="16" s="1"/>
  <c r="I21" i="5"/>
  <c r="G267" i="9"/>
  <c r="G914" i="22"/>
  <c r="G465" i="24"/>
  <c r="M583" i="9"/>
  <c r="M619" i="9"/>
  <c r="M622" i="9"/>
  <c r="M610" i="9"/>
  <c r="F925" i="22"/>
  <c r="F931" i="22"/>
  <c r="F944" i="22" s="1"/>
  <c r="F936" i="22"/>
  <c r="O403" i="9"/>
  <c r="O483" i="9" s="1"/>
  <c r="O481" i="9"/>
  <c r="O605" i="9"/>
  <c r="E80" i="16"/>
  <c r="N418" i="9"/>
  <c r="N498" i="9" s="1"/>
  <c r="N472" i="9"/>
  <c r="Q524" i="9"/>
  <c r="P604" i="9"/>
  <c r="Q564" i="9"/>
  <c r="Q442" i="9" s="1"/>
  <c r="P402" i="9"/>
  <c r="P482" i="9" s="1"/>
  <c r="E480" i="24"/>
  <c r="E477" i="24"/>
  <c r="E468" i="24"/>
  <c r="E79" i="16"/>
  <c r="T421" i="7" l="1"/>
  <c r="T418" i="7"/>
  <c r="U421" i="7" s="1"/>
  <c r="U23" i="4"/>
  <c r="P168" i="26" s="1"/>
  <c r="P166" i="26"/>
  <c r="V21" i="4"/>
  <c r="V23" i="4"/>
  <c r="S404" i="7"/>
  <c r="N81" i="26" s="1"/>
  <c r="S407" i="7"/>
  <c r="N77" i="26"/>
  <c r="V419" i="7"/>
  <c r="V413" i="7"/>
  <c r="V397" i="7"/>
  <c r="T399" i="7"/>
  <c r="T405" i="7"/>
  <c r="U405" i="7" s="1"/>
  <c r="O75" i="26"/>
  <c r="U418" i="7"/>
  <c r="W421" i="2"/>
  <c r="R127" i="27"/>
  <c r="W21" i="4"/>
  <c r="V13" i="5"/>
  <c r="W26" i="17"/>
  <c r="M81" i="26"/>
  <c r="U397" i="7"/>
  <c r="P617" i="9"/>
  <c r="W286" i="2"/>
  <c r="W411" i="7"/>
  <c r="AX101" i="27"/>
  <c r="U399" i="7"/>
  <c r="G940" i="22"/>
  <c r="Q577" i="9"/>
  <c r="Q429" i="9"/>
  <c r="Q455" i="9" s="1"/>
  <c r="E934" i="22"/>
  <c r="E946" i="22"/>
  <c r="E943" i="22"/>
  <c r="G230" i="9"/>
  <c r="H356" i="9"/>
  <c r="R547" i="9"/>
  <c r="R507" i="9"/>
  <c r="Q515" i="9"/>
  <c r="Q533" i="9"/>
  <c r="Q587" i="9"/>
  <c r="Q385" i="9"/>
  <c r="R564" i="9"/>
  <c r="R442" i="9" s="1"/>
  <c r="R524" i="9"/>
  <c r="Q604" i="9"/>
  <c r="Q402" i="9"/>
  <c r="Q482" i="9" s="1"/>
  <c r="F933" i="22"/>
  <c r="F930" i="22"/>
  <c r="F938" i="22"/>
  <c r="G275" i="9"/>
  <c r="G226" i="9"/>
  <c r="H352" i="9"/>
  <c r="P433" i="9"/>
  <c r="P459" i="9" s="1"/>
  <c r="P451" i="9"/>
  <c r="I86" i="16"/>
  <c r="J86" i="16" s="1"/>
  <c r="J84" i="16"/>
  <c r="D24" i="3"/>
  <c r="F91" i="16"/>
  <c r="T95" i="14"/>
  <c r="T99" i="14"/>
  <c r="T96" i="14"/>
  <c r="T100" i="14"/>
  <c r="C64" i="23"/>
  <c r="C80" i="23"/>
  <c r="C96" i="23"/>
  <c r="C112" i="23"/>
  <c r="C128" i="23"/>
  <c r="C144" i="23"/>
  <c r="C160" i="23"/>
  <c r="C72" i="23"/>
  <c r="C92" i="23"/>
  <c r="C116" i="23"/>
  <c r="C136" i="23"/>
  <c r="C156" i="23"/>
  <c r="C68" i="23"/>
  <c r="C88" i="23"/>
  <c r="C108" i="23"/>
  <c r="C132" i="23"/>
  <c r="C152" i="23"/>
  <c r="Q9" i="24"/>
  <c r="C84" i="23"/>
  <c r="C104" i="23"/>
  <c r="C124" i="23"/>
  <c r="C148" i="23"/>
  <c r="C168" i="23"/>
  <c r="C76" i="23"/>
  <c r="C100" i="23"/>
  <c r="C120" i="23"/>
  <c r="C140" i="23"/>
  <c r="C164" i="23"/>
  <c r="R12" i="24"/>
  <c r="N1424" i="24"/>
  <c r="Q565" i="9"/>
  <c r="Q441" i="9"/>
  <c r="Q443" i="9" s="1"/>
  <c r="N610" i="9"/>
  <c r="N583" i="9"/>
  <c r="N619" i="9"/>
  <c r="N622" i="9"/>
  <c r="O431" i="9"/>
  <c r="O434" i="9"/>
  <c r="O452" i="9"/>
  <c r="G912" i="22"/>
  <c r="G918" i="22"/>
  <c r="C1453" i="24"/>
  <c r="G369" i="9"/>
  <c r="G345" i="9"/>
  <c r="G448" i="24"/>
  <c r="G302" i="9"/>
  <c r="G347" i="9"/>
  <c r="G373" i="9" s="1"/>
  <c r="Q552" i="9"/>
  <c r="Q578" i="9" s="1"/>
  <c r="Q576" i="9"/>
  <c r="Q428" i="9"/>
  <c r="G36" i="13"/>
  <c r="E113" i="26"/>
  <c r="G38" i="13"/>
  <c r="E115" i="26"/>
  <c r="P612" i="9"/>
  <c r="P432" i="9"/>
  <c r="P450" i="9"/>
  <c r="P426" i="9"/>
  <c r="G937" i="22"/>
  <c r="O391" i="9"/>
  <c r="O394" i="9"/>
  <c r="O412" i="9"/>
  <c r="O492" i="9" s="1"/>
  <c r="O466" i="9"/>
  <c r="R511" i="9"/>
  <c r="Q537" i="9"/>
  <c r="Q617" i="9" s="1"/>
  <c r="Q591" i="9"/>
  <c r="R551" i="9"/>
  <c r="Q389" i="9"/>
  <c r="G89" i="16"/>
  <c r="E81" i="16"/>
  <c r="E20" i="16" s="1"/>
  <c r="F79" i="16"/>
  <c r="F81" i="16"/>
  <c r="J71" i="16"/>
  <c r="H18" i="13"/>
  <c r="H26" i="13"/>
  <c r="H22" i="13"/>
  <c r="H27" i="13"/>
  <c r="H28" i="13"/>
  <c r="H20" i="13"/>
  <c r="H30" i="13"/>
  <c r="F122" i="26" s="1"/>
  <c r="H19" i="13"/>
  <c r="I71" i="13"/>
  <c r="G462" i="24"/>
  <c r="G316" i="9"/>
  <c r="G370" i="9"/>
  <c r="G358" i="9"/>
  <c r="P430" i="9"/>
  <c r="P456" i="9" s="1"/>
  <c r="P454" i="9"/>
  <c r="O419" i="9"/>
  <c r="O499" i="9" s="1"/>
  <c r="O473" i="9"/>
  <c r="P439" i="9"/>
  <c r="P445" i="9"/>
  <c r="F359" i="9"/>
  <c r="F362" i="9"/>
  <c r="F367" i="9"/>
  <c r="G280" i="9"/>
  <c r="G256" i="9"/>
  <c r="G213" i="9"/>
  <c r="H339" i="9"/>
  <c r="F219" i="9"/>
  <c r="F243" i="9"/>
  <c r="F221" i="9"/>
  <c r="F247" i="9" s="1"/>
  <c r="P616" i="9"/>
  <c r="O570" i="9"/>
  <c r="O579" i="9"/>
  <c r="O582" i="9"/>
  <c r="O530" i="9"/>
  <c r="O539" i="9"/>
  <c r="O542" i="9"/>
  <c r="O593" i="9"/>
  <c r="O596" i="9"/>
  <c r="P607" i="9"/>
  <c r="U27" i="4"/>
  <c r="R1438" i="24"/>
  <c r="G35" i="13"/>
  <c r="E112" i="26"/>
  <c r="N408" i="9"/>
  <c r="N417" i="9"/>
  <c r="N420" i="9"/>
  <c r="N471" i="9"/>
  <c r="N474" i="9"/>
  <c r="I22" i="13"/>
  <c r="P386" i="9"/>
  <c r="P392" i="9"/>
  <c r="P410" i="9"/>
  <c r="P490" i="9" s="1"/>
  <c r="P464" i="9"/>
  <c r="P540" i="9"/>
  <c r="P594" i="9"/>
  <c r="O485" i="9"/>
  <c r="E287" i="9"/>
  <c r="E278" i="9"/>
  <c r="E290" i="9"/>
  <c r="N448" i="9"/>
  <c r="N457" i="9"/>
  <c r="N460" i="9"/>
  <c r="G263" i="9"/>
  <c r="G214" i="9"/>
  <c r="H340" i="9"/>
  <c r="P608" i="9"/>
  <c r="P393" i="9"/>
  <c r="P411" i="9"/>
  <c r="P491" i="9" s="1"/>
  <c r="P465" i="9"/>
  <c r="P541" i="9"/>
  <c r="P621" i="9" s="1"/>
  <c r="P595" i="9"/>
  <c r="O1422" i="24"/>
  <c r="O1423" i="24"/>
  <c r="R563" i="9"/>
  <c r="Q525" i="9"/>
  <c r="Q605" i="9" s="1"/>
  <c r="R523" i="9"/>
  <c r="Q603" i="9"/>
  <c r="Q401" i="9"/>
  <c r="U18" i="19"/>
  <c r="V18" i="19"/>
  <c r="Q1496" i="24"/>
  <c r="F320" i="9"/>
  <c r="F333" i="9" s="1"/>
  <c r="F325" i="9"/>
  <c r="F313" i="9"/>
  <c r="F286" i="9"/>
  <c r="F261" i="9"/>
  <c r="F264" i="9"/>
  <c r="R510" i="9"/>
  <c r="Q536" i="9"/>
  <c r="Q616" i="9" s="1"/>
  <c r="Q590" i="9"/>
  <c r="R550" i="9"/>
  <c r="Q512" i="9"/>
  <c r="Q388" i="9"/>
  <c r="P399" i="9"/>
  <c r="P405" i="9"/>
  <c r="P485" i="9" s="1"/>
  <c r="P477" i="9"/>
  <c r="Q521" i="9"/>
  <c r="R519" i="9"/>
  <c r="Q527" i="9"/>
  <c r="Q599" i="9"/>
  <c r="R559" i="9"/>
  <c r="Q397" i="9"/>
  <c r="O606" i="9"/>
  <c r="O609" i="9"/>
  <c r="T7" i="18"/>
  <c r="O170" i="26"/>
  <c r="N484" i="9"/>
  <c r="N487" i="9"/>
  <c r="E118" i="26"/>
  <c r="G34" i="13"/>
  <c r="E111" i="26"/>
  <c r="Q554" i="9"/>
  <c r="Q572" i="9"/>
  <c r="Q548" i="9"/>
  <c r="Q424" i="9"/>
  <c r="R546" i="9"/>
  <c r="Q508" i="9"/>
  <c r="R506" i="9"/>
  <c r="Q514" i="9"/>
  <c r="Q532" i="9"/>
  <c r="Q586" i="9"/>
  <c r="Q384" i="9"/>
  <c r="P580" i="9"/>
  <c r="O404" i="9"/>
  <c r="O407" i="9"/>
  <c r="O479" i="9"/>
  <c r="P406" i="9"/>
  <c r="P486" i="9" s="1"/>
  <c r="P478" i="9"/>
  <c r="R520" i="9"/>
  <c r="Q528" i="9"/>
  <c r="Q600" i="9"/>
  <c r="R560" i="9"/>
  <c r="Q398" i="9"/>
  <c r="O490" i="9"/>
  <c r="K71" i="16"/>
  <c r="F80" i="16"/>
  <c r="G90" i="16"/>
  <c r="G80" i="16" s="1"/>
  <c r="P415" i="9"/>
  <c r="P495" i="9" s="1"/>
  <c r="P469" i="9"/>
  <c r="Q555" i="9"/>
  <c r="Q573" i="9"/>
  <c r="Q425" i="9"/>
  <c r="P403" i="9"/>
  <c r="P483" i="9" s="1"/>
  <c r="P481" i="9"/>
  <c r="F244" i="9"/>
  <c r="F232" i="9"/>
  <c r="P566" i="9"/>
  <c r="P569" i="9"/>
  <c r="F268" i="9"/>
  <c r="F915" i="22"/>
  <c r="F466" i="24"/>
  <c r="F479" i="24" s="1"/>
  <c r="F471" i="24"/>
  <c r="F459" i="24"/>
  <c r="G218" i="9"/>
  <c r="H344" i="9"/>
  <c r="P414" i="9"/>
  <c r="P494" i="9" s="1"/>
  <c r="P468" i="9"/>
  <c r="P390" i="9"/>
  <c r="P538" i="9"/>
  <c r="P618" i="9" s="1"/>
  <c r="P592" i="9"/>
  <c r="O416" i="9"/>
  <c r="O496" i="9" s="1"/>
  <c r="O470" i="9"/>
  <c r="O614" i="9"/>
  <c r="Q561" i="9"/>
  <c r="Q567" i="9"/>
  <c r="Q437" i="9"/>
  <c r="P526" i="9"/>
  <c r="P529" i="9"/>
  <c r="P601" i="9"/>
  <c r="E233" i="9"/>
  <c r="E236" i="9"/>
  <c r="E241" i="9"/>
  <c r="M488" i="9"/>
  <c r="M461" i="9"/>
  <c r="M497" i="9"/>
  <c r="M500" i="9"/>
  <c r="O444" i="9"/>
  <c r="O447" i="9"/>
  <c r="P513" i="9"/>
  <c r="P516" i="9"/>
  <c r="P534" i="9"/>
  <c r="P588" i="9"/>
  <c r="P553" i="9"/>
  <c r="P556" i="9"/>
  <c r="P574" i="9"/>
  <c r="Q568" i="9"/>
  <c r="Q438" i="9"/>
  <c r="Q446" i="9" s="1"/>
  <c r="O418" i="9"/>
  <c r="O498" i="9" s="1"/>
  <c r="O472" i="9"/>
  <c r="Q612" i="9" l="1"/>
  <c r="X26" i="17"/>
  <c r="T127" i="27"/>
  <c r="X421" i="2"/>
  <c r="X21" i="4"/>
  <c r="W13" i="5"/>
  <c r="O77" i="26"/>
  <c r="T407" i="7"/>
  <c r="T404" i="7"/>
  <c r="W419" i="7"/>
  <c r="W397" i="7"/>
  <c r="W413" i="7"/>
  <c r="X411" i="7"/>
  <c r="AZ101" i="27"/>
  <c r="U407" i="7"/>
  <c r="Q166" i="26"/>
  <c r="W23" i="4"/>
  <c r="Q168" i="26" s="1"/>
  <c r="V399" i="7"/>
  <c r="P75" i="26"/>
  <c r="V405" i="7"/>
  <c r="V418" i="7"/>
  <c r="V421" i="7"/>
  <c r="I30" i="13"/>
  <c r="Q581" i="9"/>
  <c r="P614" i="9"/>
  <c r="O484" i="9"/>
  <c r="O487" i="9"/>
  <c r="R548" i="9"/>
  <c r="R554" i="9"/>
  <c r="R572" i="9"/>
  <c r="R424" i="9"/>
  <c r="Q580" i="9"/>
  <c r="R567" i="9"/>
  <c r="R561" i="9"/>
  <c r="R437" i="9"/>
  <c r="Q526" i="9"/>
  <c r="Q529" i="9"/>
  <c r="Q601" i="9"/>
  <c r="Q390" i="9"/>
  <c r="Q414" i="9"/>
  <c r="Q468" i="9"/>
  <c r="Q481" i="9"/>
  <c r="Q403" i="9"/>
  <c r="Q483" i="9" s="1"/>
  <c r="R565" i="9"/>
  <c r="R441" i="9"/>
  <c r="R443" i="9" s="1"/>
  <c r="G222" i="9"/>
  <c r="W27" i="4"/>
  <c r="S1438" i="24"/>
  <c r="G215" i="9"/>
  <c r="G239" i="9"/>
  <c r="F120" i="26"/>
  <c r="I28" i="13"/>
  <c r="H34" i="13"/>
  <c r="I34" i="13" s="1"/>
  <c r="F111" i="26"/>
  <c r="I18" i="13"/>
  <c r="Q415" i="9"/>
  <c r="Q495" i="9" s="1"/>
  <c r="Q469" i="9"/>
  <c r="S511" i="9"/>
  <c r="R537" i="9"/>
  <c r="R591" i="9"/>
  <c r="S551" i="9"/>
  <c r="R389" i="9"/>
  <c r="O408" i="9"/>
  <c r="O417" i="9"/>
  <c r="O420" i="9"/>
  <c r="O471" i="9"/>
  <c r="O474" i="9"/>
  <c r="P431" i="9"/>
  <c r="P434" i="9"/>
  <c r="P452" i="9"/>
  <c r="Q430" i="9"/>
  <c r="Q456" i="9" s="1"/>
  <c r="Q454" i="9"/>
  <c r="G304" i="9"/>
  <c r="G328" i="9"/>
  <c r="G306" i="9"/>
  <c r="G332" i="9" s="1"/>
  <c r="O457" i="9"/>
  <c r="O460" i="9"/>
  <c r="O448" i="9"/>
  <c r="V95" i="14"/>
  <c r="V99" i="14"/>
  <c r="V96" i="14"/>
  <c r="V100" i="14"/>
  <c r="D68" i="23"/>
  <c r="D84" i="23"/>
  <c r="D100" i="23"/>
  <c r="D116" i="23"/>
  <c r="D132" i="23"/>
  <c r="D148" i="23"/>
  <c r="D164" i="23"/>
  <c r="R9" i="24"/>
  <c r="S12" i="24"/>
  <c r="D76" i="23"/>
  <c r="D96" i="23"/>
  <c r="D120" i="23"/>
  <c r="D140" i="23"/>
  <c r="D160" i="23"/>
  <c r="D72" i="23"/>
  <c r="D92" i="23"/>
  <c r="D112" i="23"/>
  <c r="D136" i="23"/>
  <c r="D156" i="23"/>
  <c r="D64" i="23"/>
  <c r="D88" i="23"/>
  <c r="D108" i="23"/>
  <c r="D128" i="23"/>
  <c r="D152" i="23"/>
  <c r="D80" i="23"/>
  <c r="D104" i="23"/>
  <c r="D124" i="23"/>
  <c r="D144" i="23"/>
  <c r="D168" i="23"/>
  <c r="P1422" i="24"/>
  <c r="P1423" i="24"/>
  <c r="D12" i="5"/>
  <c r="E12" i="5" s="1"/>
  <c r="E22" i="16"/>
  <c r="F22" i="16" s="1"/>
  <c r="E24" i="3"/>
  <c r="Q393" i="9"/>
  <c r="Q411" i="9"/>
  <c r="Q465" i="9"/>
  <c r="S507" i="9"/>
  <c r="R515" i="9"/>
  <c r="R533" i="9"/>
  <c r="R587" i="9"/>
  <c r="S547" i="9"/>
  <c r="R385" i="9"/>
  <c r="Q566" i="9"/>
  <c r="Q569" i="9"/>
  <c r="H90" i="16"/>
  <c r="Q608" i="9"/>
  <c r="Q540" i="9"/>
  <c r="Q620" i="9" s="1"/>
  <c r="Q594" i="9"/>
  <c r="Q426" i="9"/>
  <c r="Q432" i="9"/>
  <c r="Q450" i="9"/>
  <c r="Q538" i="9"/>
  <c r="Q618" i="9" s="1"/>
  <c r="Q592" i="9"/>
  <c r="R512" i="9"/>
  <c r="S510" i="9"/>
  <c r="R536" i="9"/>
  <c r="R590" i="9"/>
  <c r="S550" i="9"/>
  <c r="R388" i="9"/>
  <c r="N488" i="9"/>
  <c r="N461" i="9"/>
  <c r="N497" i="9"/>
  <c r="N500" i="9"/>
  <c r="V27" i="4"/>
  <c r="U7" i="18"/>
  <c r="V7" i="18"/>
  <c r="P170" i="26"/>
  <c r="P444" i="9"/>
  <c r="P447" i="9"/>
  <c r="G329" i="9"/>
  <c r="G317" i="9"/>
  <c r="H35" i="13"/>
  <c r="I35" i="13" s="1"/>
  <c r="F112" i="26"/>
  <c r="F119" i="26"/>
  <c r="I27" i="13"/>
  <c r="E12" i="4"/>
  <c r="F20" i="16"/>
  <c r="R577" i="9"/>
  <c r="R429" i="9"/>
  <c r="R455" i="9" s="1"/>
  <c r="G258" i="9"/>
  <c r="G923" i="22"/>
  <c r="G474" i="24"/>
  <c r="G450" i="24"/>
  <c r="G452" i="24"/>
  <c r="G478" i="24" s="1"/>
  <c r="B1453" i="24"/>
  <c r="H360" i="9"/>
  <c r="H457" i="24"/>
  <c r="H311" i="9"/>
  <c r="R555" i="9"/>
  <c r="R573" i="9"/>
  <c r="R425" i="9"/>
  <c r="P579" i="9"/>
  <c r="P582" i="9"/>
  <c r="P570" i="9"/>
  <c r="P530" i="9"/>
  <c r="P539" i="9"/>
  <c r="P542" i="9"/>
  <c r="P593" i="9"/>
  <c r="P596" i="9"/>
  <c r="P606" i="9"/>
  <c r="P609" i="9"/>
  <c r="H449" i="24"/>
  <c r="H303" i="9"/>
  <c r="F941" i="22"/>
  <c r="F916" i="22"/>
  <c r="F919" i="22"/>
  <c r="F945" i="22" s="1"/>
  <c r="Q406" i="9"/>
  <c r="Q486" i="9" s="1"/>
  <c r="Q478" i="9"/>
  <c r="S560" i="9"/>
  <c r="S520" i="9"/>
  <c r="R528" i="9"/>
  <c r="R600" i="9"/>
  <c r="R398" i="9"/>
  <c r="Q392" i="9"/>
  <c r="Q410" i="9"/>
  <c r="Q490" i="9" s="1"/>
  <c r="Q464" i="9"/>
  <c r="Q386" i="9"/>
  <c r="S506" i="9"/>
  <c r="R514" i="9"/>
  <c r="R532" i="9"/>
  <c r="R612" i="9" s="1"/>
  <c r="R586" i="9"/>
  <c r="S546" i="9"/>
  <c r="R508" i="9"/>
  <c r="R384" i="9"/>
  <c r="Q553" i="9"/>
  <c r="Q556" i="9"/>
  <c r="Q574" i="9"/>
  <c r="Q607" i="9"/>
  <c r="R552" i="9"/>
  <c r="R578" i="9" s="1"/>
  <c r="R576" i="9"/>
  <c r="R428" i="9"/>
  <c r="F318" i="9"/>
  <c r="F321" i="9"/>
  <c r="F326" i="9"/>
  <c r="W18" i="19"/>
  <c r="R1496" i="24"/>
  <c r="S523" i="9"/>
  <c r="R603" i="9"/>
  <c r="S563" i="9"/>
  <c r="R525" i="9"/>
  <c r="R605" i="9" s="1"/>
  <c r="R401" i="9"/>
  <c r="O1424" i="24"/>
  <c r="P418" i="9"/>
  <c r="P472" i="9"/>
  <c r="F245" i="9"/>
  <c r="F220" i="9"/>
  <c r="F223" i="9"/>
  <c r="G272" i="9"/>
  <c r="G928" i="22"/>
  <c r="G475" i="24"/>
  <c r="G463" i="24"/>
  <c r="H38" i="13"/>
  <c r="I38" i="13" s="1"/>
  <c r="F115" i="26"/>
  <c r="G91" i="16"/>
  <c r="P458" i="9"/>
  <c r="G234" i="9"/>
  <c r="S524" i="9"/>
  <c r="R604" i="9"/>
  <c r="S564" i="9"/>
  <c r="S442" i="9" s="1"/>
  <c r="R402" i="9"/>
  <c r="R482" i="9" s="1"/>
  <c r="Q613" i="9"/>
  <c r="H461" i="24"/>
  <c r="H315" i="9"/>
  <c r="E246" i="9"/>
  <c r="E237" i="9"/>
  <c r="E249" i="9"/>
  <c r="Q445" i="9"/>
  <c r="Q439" i="9"/>
  <c r="P416" i="9"/>
  <c r="P496" i="9" s="1"/>
  <c r="P470" i="9"/>
  <c r="F464" i="24"/>
  <c r="F467" i="24"/>
  <c r="F472" i="24"/>
  <c r="F29" i="21" s="1"/>
  <c r="F31" i="21" s="1"/>
  <c r="F276" i="9"/>
  <c r="F289" i="9" s="1"/>
  <c r="F227" i="9"/>
  <c r="F281" i="9"/>
  <c r="F269" i="9"/>
  <c r="G353" i="9"/>
  <c r="Q433" i="9"/>
  <c r="Q459" i="9" s="1"/>
  <c r="Q451" i="9"/>
  <c r="R568" i="9"/>
  <c r="R438" i="9"/>
  <c r="R446" i="9" s="1"/>
  <c r="Q513" i="9"/>
  <c r="Q516" i="9"/>
  <c r="Q534" i="9"/>
  <c r="Q614" i="9" s="1"/>
  <c r="Q588" i="9"/>
  <c r="Q399" i="9"/>
  <c r="Q405" i="9"/>
  <c r="Q485" i="9" s="1"/>
  <c r="Q477" i="9"/>
  <c r="S559" i="9"/>
  <c r="R521" i="9"/>
  <c r="S519" i="9"/>
  <c r="R527" i="9"/>
  <c r="R599" i="9"/>
  <c r="R397" i="9"/>
  <c r="P404" i="9"/>
  <c r="P407" i="9"/>
  <c r="P479" i="9"/>
  <c r="P419" i="9"/>
  <c r="P499" i="9" s="1"/>
  <c r="P473" i="9"/>
  <c r="H348" i="9"/>
  <c r="H445" i="24"/>
  <c r="H299" i="9"/>
  <c r="P620" i="9"/>
  <c r="P391" i="9"/>
  <c r="P394" i="9"/>
  <c r="P412" i="9"/>
  <c r="P492" i="9" s="1"/>
  <c r="P466" i="9"/>
  <c r="O610" i="9"/>
  <c r="O583" i="9"/>
  <c r="O619" i="9"/>
  <c r="O622" i="9"/>
  <c r="H365" i="9"/>
  <c r="H341" i="9"/>
  <c r="H444" i="24"/>
  <c r="H298" i="9"/>
  <c r="F363" i="9"/>
  <c r="F372" i="9"/>
  <c r="F375" i="9"/>
  <c r="H36" i="13"/>
  <c r="I36" i="13" s="1"/>
  <c r="F113" i="26"/>
  <c r="I20" i="13"/>
  <c r="F118" i="26"/>
  <c r="I26" i="13"/>
  <c r="G79" i="16"/>
  <c r="G371" i="9"/>
  <c r="G349" i="9"/>
  <c r="G346" i="9"/>
  <c r="Q541" i="9"/>
  <c r="Q621" i="9" s="1"/>
  <c r="Q595" i="9"/>
  <c r="I19" i="13"/>
  <c r="R607" i="9" l="1"/>
  <c r="X413" i="7"/>
  <c r="X419" i="7"/>
  <c r="Y419" i="7" s="1"/>
  <c r="X397" i="7"/>
  <c r="Q75" i="26"/>
  <c r="W399" i="7"/>
  <c r="W405" i="7"/>
  <c r="Y411" i="7"/>
  <c r="Z26" i="17"/>
  <c r="Y21" i="4"/>
  <c r="V127" i="27"/>
  <c r="X13" i="5"/>
  <c r="Y13" i="5" s="1"/>
  <c r="Y26" i="17"/>
  <c r="V407" i="7"/>
  <c r="P77" i="26"/>
  <c r="V404" i="7"/>
  <c r="Y413" i="7"/>
  <c r="W421" i="7"/>
  <c r="W418" i="7"/>
  <c r="O81" i="26"/>
  <c r="U404" i="7"/>
  <c r="X23" i="4"/>
  <c r="R168" i="26" s="1"/>
  <c r="R166" i="26"/>
  <c r="G361" i="9"/>
  <c r="G374" i="9" s="1"/>
  <c r="G458" i="24"/>
  <c r="G312" i="9"/>
  <c r="G354" i="9"/>
  <c r="G366" i="9"/>
  <c r="T524" i="9"/>
  <c r="S604" i="9"/>
  <c r="T564" i="9"/>
  <c r="T442" i="9" s="1"/>
  <c r="S402" i="9"/>
  <c r="S482" i="9" s="1"/>
  <c r="S548" i="9"/>
  <c r="S554" i="9"/>
  <c r="S572" i="9"/>
  <c r="S424" i="9"/>
  <c r="S508" i="9"/>
  <c r="T506" i="9"/>
  <c r="S514" i="9"/>
  <c r="S532" i="9"/>
  <c r="S586" i="9"/>
  <c r="T546" i="9"/>
  <c r="S384" i="9"/>
  <c r="Q418" i="9"/>
  <c r="Q472" i="9"/>
  <c r="T520" i="9"/>
  <c r="S528" i="9"/>
  <c r="S600" i="9"/>
  <c r="T560" i="9"/>
  <c r="S398" i="9"/>
  <c r="H259" i="9"/>
  <c r="H924" i="22"/>
  <c r="H319" i="9"/>
  <c r="R616" i="9"/>
  <c r="H80" i="16"/>
  <c r="S555" i="9"/>
  <c r="S573" i="9"/>
  <c r="S425" i="9"/>
  <c r="T507" i="9"/>
  <c r="S515" i="9"/>
  <c r="S533" i="9"/>
  <c r="S613" i="9" s="1"/>
  <c r="S587" i="9"/>
  <c r="T547" i="9"/>
  <c r="S385" i="9"/>
  <c r="W95" i="14"/>
  <c r="W99" i="14"/>
  <c r="W96" i="14"/>
  <c r="W100" i="14"/>
  <c r="E72" i="23"/>
  <c r="E88" i="23"/>
  <c r="E104" i="23"/>
  <c r="E120" i="23"/>
  <c r="E136" i="23"/>
  <c r="E152" i="23"/>
  <c r="E168" i="23"/>
  <c r="E80" i="23"/>
  <c r="E100" i="23"/>
  <c r="E124" i="23"/>
  <c r="E144" i="23"/>
  <c r="E164" i="23"/>
  <c r="T12" i="24"/>
  <c r="E76" i="23"/>
  <c r="E96" i="23"/>
  <c r="E116" i="23"/>
  <c r="E140" i="23"/>
  <c r="E160" i="23"/>
  <c r="E68" i="23"/>
  <c r="E92" i="23"/>
  <c r="E112" i="23"/>
  <c r="E132" i="23"/>
  <c r="E156" i="23"/>
  <c r="S9" i="24"/>
  <c r="E64" i="23"/>
  <c r="E84" i="23"/>
  <c r="E108" i="23"/>
  <c r="E128" i="23"/>
  <c r="E148" i="23"/>
  <c r="P457" i="9"/>
  <c r="P460" i="9"/>
  <c r="P448" i="9"/>
  <c r="W7" i="18"/>
  <c r="Q170" i="26"/>
  <c r="Q494" i="9"/>
  <c r="Q606" i="9"/>
  <c r="Q609" i="9"/>
  <c r="R553" i="9"/>
  <c r="R556" i="9"/>
  <c r="R574" i="9"/>
  <c r="P484" i="9"/>
  <c r="P487" i="9"/>
  <c r="F277" i="9"/>
  <c r="F274" i="9"/>
  <c r="F282" i="9"/>
  <c r="H271" i="9"/>
  <c r="H927" i="22"/>
  <c r="R403" i="9"/>
  <c r="R483" i="9" s="1"/>
  <c r="R481" i="9"/>
  <c r="S525" i="9"/>
  <c r="T523" i="9"/>
  <c r="S603" i="9"/>
  <c r="T563" i="9"/>
  <c r="S401" i="9"/>
  <c r="Q579" i="9"/>
  <c r="Q582" i="9"/>
  <c r="Q570" i="9"/>
  <c r="Q391" i="9"/>
  <c r="Q394" i="9"/>
  <c r="Q412" i="9"/>
  <c r="Q466" i="9"/>
  <c r="R406" i="9"/>
  <c r="R486" i="9" s="1"/>
  <c r="R478" i="9"/>
  <c r="S568" i="9"/>
  <c r="S438" i="9"/>
  <c r="S446" i="9" s="1"/>
  <c r="F942" i="22"/>
  <c r="F917" i="22"/>
  <c r="F920" i="22"/>
  <c r="P583" i="9"/>
  <c r="P619" i="9"/>
  <c r="P622" i="9"/>
  <c r="P610" i="9"/>
  <c r="R433" i="9"/>
  <c r="R459" i="9" s="1"/>
  <c r="R451" i="9"/>
  <c r="H267" i="9"/>
  <c r="H914" i="22"/>
  <c r="H465" i="24"/>
  <c r="G925" i="22"/>
  <c r="G931" i="22"/>
  <c r="G944" i="22" s="1"/>
  <c r="G936" i="22"/>
  <c r="R390" i="9"/>
  <c r="R414" i="9"/>
  <c r="R468" i="9"/>
  <c r="S512" i="9"/>
  <c r="T510" i="9"/>
  <c r="S536" i="9"/>
  <c r="S590" i="9"/>
  <c r="T550" i="9"/>
  <c r="S388" i="9"/>
  <c r="Q1423" i="24"/>
  <c r="Q1422" i="24"/>
  <c r="O461" i="9"/>
  <c r="O497" i="9"/>
  <c r="O500" i="9"/>
  <c r="O488" i="9"/>
  <c r="R617" i="9"/>
  <c r="Q416" i="9"/>
  <c r="Q496" i="9" s="1"/>
  <c r="Q470" i="9"/>
  <c r="R439" i="9"/>
  <c r="R445" i="9"/>
  <c r="R426" i="9"/>
  <c r="R432" i="9"/>
  <c r="R450" i="9"/>
  <c r="H307" i="9"/>
  <c r="T519" i="9"/>
  <c r="S527" i="9"/>
  <c r="S599" i="9"/>
  <c r="T559" i="9"/>
  <c r="S521" i="9"/>
  <c r="S397" i="9"/>
  <c r="G932" i="22"/>
  <c r="G929" i="22"/>
  <c r="H300" i="9"/>
  <c r="H324" i="9"/>
  <c r="H255" i="9"/>
  <c r="H453" i="24"/>
  <c r="H911" i="22"/>
  <c r="R405" i="9"/>
  <c r="R485" i="9" s="1"/>
  <c r="R477" i="9"/>
  <c r="R399" i="9"/>
  <c r="R526" i="9"/>
  <c r="R529" i="9"/>
  <c r="R601" i="9"/>
  <c r="Q404" i="9"/>
  <c r="Q407" i="9"/>
  <c r="Q479" i="9"/>
  <c r="G231" i="9"/>
  <c r="H357" i="9"/>
  <c r="G273" i="9"/>
  <c r="G285" i="9"/>
  <c r="P498" i="9"/>
  <c r="F331" i="9"/>
  <c r="F334" i="9"/>
  <c r="F322" i="9"/>
  <c r="R386" i="9"/>
  <c r="R392" i="9"/>
  <c r="R410" i="9"/>
  <c r="R490" i="9" s="1"/>
  <c r="R464" i="9"/>
  <c r="G260" i="9"/>
  <c r="G284" i="9"/>
  <c r="G217" i="9"/>
  <c r="H343" i="9"/>
  <c r="G262" i="9"/>
  <c r="G288" i="9" s="1"/>
  <c r="F12" i="4"/>
  <c r="D161" i="26"/>
  <c r="S552" i="9"/>
  <c r="S576" i="9"/>
  <c r="S428" i="9"/>
  <c r="R538" i="9"/>
  <c r="R618" i="9" s="1"/>
  <c r="R592" i="9"/>
  <c r="Q458" i="9"/>
  <c r="R613" i="9"/>
  <c r="Q491" i="9"/>
  <c r="P1424" i="24"/>
  <c r="R415" i="9"/>
  <c r="R495" i="9" s="1"/>
  <c r="R469" i="9"/>
  <c r="T511" i="9"/>
  <c r="S537" i="9"/>
  <c r="S591" i="9"/>
  <c r="T551" i="9"/>
  <c r="S389" i="9"/>
  <c r="R566" i="9"/>
  <c r="R569" i="9"/>
  <c r="G81" i="16"/>
  <c r="G20" i="16" s="1"/>
  <c r="G12" i="4" s="1"/>
  <c r="E161" i="26" s="1"/>
  <c r="H89" i="16"/>
  <c r="H79" i="16" s="1"/>
  <c r="H254" i="9"/>
  <c r="H910" i="22"/>
  <c r="H446" i="24"/>
  <c r="H470" i="24"/>
  <c r="P417" i="9"/>
  <c r="P420" i="9"/>
  <c r="P471" i="9"/>
  <c r="P474" i="9"/>
  <c r="P408" i="9"/>
  <c r="S561" i="9"/>
  <c r="S567" i="9"/>
  <c r="S437" i="9"/>
  <c r="Q539" i="9"/>
  <c r="Q542" i="9"/>
  <c r="Q593" i="9"/>
  <c r="Q596" i="9"/>
  <c r="Q530" i="9"/>
  <c r="F235" i="9"/>
  <c r="F248" i="9" s="1"/>
  <c r="F240" i="9"/>
  <c r="F228" i="9"/>
  <c r="F477" i="24"/>
  <c r="F468" i="24"/>
  <c r="F480" i="24"/>
  <c r="Q444" i="9"/>
  <c r="Q447" i="9"/>
  <c r="F24" i="3"/>
  <c r="S565" i="9"/>
  <c r="S441" i="9"/>
  <c r="S443" i="9" s="1"/>
  <c r="X18" i="19"/>
  <c r="S1496" i="24"/>
  <c r="R430" i="9"/>
  <c r="R456" i="9" s="1"/>
  <c r="R454" i="9"/>
  <c r="R513" i="9"/>
  <c r="R516" i="9"/>
  <c r="R534" i="9"/>
  <c r="R614" i="9" s="1"/>
  <c r="R588" i="9"/>
  <c r="R540" i="9"/>
  <c r="R594" i="9"/>
  <c r="R608" i="9"/>
  <c r="R581" i="9"/>
  <c r="G476" i="24"/>
  <c r="G30" i="21" s="1"/>
  <c r="G451" i="24"/>
  <c r="G454" i="24"/>
  <c r="Q431" i="9"/>
  <c r="Q434" i="9"/>
  <c r="Q452" i="9"/>
  <c r="R393" i="9"/>
  <c r="R411" i="9"/>
  <c r="R465" i="9"/>
  <c r="R541" i="9"/>
  <c r="R621" i="9" s="1"/>
  <c r="R595" i="9"/>
  <c r="Q419" i="9"/>
  <c r="Q499" i="9" s="1"/>
  <c r="Q473" i="9"/>
  <c r="G330" i="9"/>
  <c r="G308" i="9"/>
  <c r="G305" i="9"/>
  <c r="S577" i="9"/>
  <c r="S429" i="9"/>
  <c r="S455" i="9" s="1"/>
  <c r="X27" i="4"/>
  <c r="T1438" i="24"/>
  <c r="Y27" i="4" s="1"/>
  <c r="R580" i="9"/>
  <c r="R491" i="9" l="1"/>
  <c r="Z23" i="4"/>
  <c r="S166" i="26"/>
  <c r="Y23" i="4"/>
  <c r="S168" i="26" s="1"/>
  <c r="Z21" i="4"/>
  <c r="W404" i="7"/>
  <c r="Q81" i="26" s="1"/>
  <c r="W407" i="7"/>
  <c r="Q77" i="26"/>
  <c r="X421" i="7"/>
  <c r="X418" i="7"/>
  <c r="Y421" i="7" s="1"/>
  <c r="S612" i="9"/>
  <c r="P81" i="26"/>
  <c r="R75" i="26"/>
  <c r="X405" i="7"/>
  <c r="Y405" i="7" s="1"/>
  <c r="X399" i="7"/>
  <c r="Y397" i="7"/>
  <c r="F12" i="5"/>
  <c r="G22" i="16"/>
  <c r="H91" i="16"/>
  <c r="S415" i="9"/>
  <c r="S495" i="9" s="1"/>
  <c r="S469" i="9"/>
  <c r="T537" i="9"/>
  <c r="T591" i="9"/>
  <c r="T389" i="9"/>
  <c r="G243" i="9"/>
  <c r="G219" i="9"/>
  <c r="G221" i="9"/>
  <c r="G247" i="9" s="1"/>
  <c r="R606" i="9"/>
  <c r="R609" i="9"/>
  <c r="S390" i="9"/>
  <c r="S414" i="9"/>
  <c r="S468" i="9"/>
  <c r="T512" i="9"/>
  <c r="T536" i="9"/>
  <c r="T590" i="9"/>
  <c r="T388" i="9"/>
  <c r="R416" i="9"/>
  <c r="R496" i="9" s="1"/>
  <c r="R470" i="9"/>
  <c r="H940" i="22"/>
  <c r="Q492" i="9"/>
  <c r="R1423" i="24"/>
  <c r="R1422" i="24"/>
  <c r="S433" i="9"/>
  <c r="S459" i="9" s="1"/>
  <c r="S451" i="9"/>
  <c r="T568" i="9"/>
  <c r="T438" i="9"/>
  <c r="T446" i="9" s="1"/>
  <c r="S513" i="9"/>
  <c r="S516" i="9"/>
  <c r="S534" i="9"/>
  <c r="S588" i="9"/>
  <c r="S553" i="9"/>
  <c r="S556" i="9"/>
  <c r="S574" i="9"/>
  <c r="T604" i="9"/>
  <c r="T402" i="9"/>
  <c r="T482" i="9" s="1"/>
  <c r="G320" i="9"/>
  <c r="G333" i="9" s="1"/>
  <c r="G313" i="9"/>
  <c r="G325" i="9"/>
  <c r="T577" i="9"/>
  <c r="T429" i="9"/>
  <c r="T455" i="9" s="1"/>
  <c r="H462" i="24"/>
  <c r="H316" i="9"/>
  <c r="H358" i="9"/>
  <c r="H370" i="9"/>
  <c r="Q484" i="9"/>
  <c r="Q487" i="9"/>
  <c r="R404" i="9"/>
  <c r="R407" i="9"/>
  <c r="R479" i="9"/>
  <c r="H937" i="22"/>
  <c r="S399" i="9"/>
  <c r="S405" i="9"/>
  <c r="S477" i="9"/>
  <c r="S607" i="9"/>
  <c r="R444" i="9"/>
  <c r="R447" i="9"/>
  <c r="T576" i="9"/>
  <c r="T552" i="9"/>
  <c r="T428" i="9"/>
  <c r="S538" i="9"/>
  <c r="S592" i="9"/>
  <c r="G930" i="22"/>
  <c r="G933" i="22"/>
  <c r="G938" i="22"/>
  <c r="H275" i="9"/>
  <c r="H226" i="9"/>
  <c r="I352" i="9"/>
  <c r="F943" i="22"/>
  <c r="F946" i="22"/>
  <c r="F934" i="22"/>
  <c r="T525" i="9"/>
  <c r="T603" i="9"/>
  <c r="T401" i="9"/>
  <c r="F287" i="9"/>
  <c r="F278" i="9"/>
  <c r="F290" i="9"/>
  <c r="X95" i="14"/>
  <c r="X99" i="14"/>
  <c r="X96" i="14"/>
  <c r="X100" i="14"/>
  <c r="F76" i="23"/>
  <c r="F92" i="23"/>
  <c r="F108" i="23"/>
  <c r="F124" i="23"/>
  <c r="F140" i="23"/>
  <c r="F156" i="23"/>
  <c r="F64" i="23"/>
  <c r="F84" i="23"/>
  <c r="F104" i="23"/>
  <c r="F128" i="23"/>
  <c r="F148" i="23"/>
  <c r="F168" i="23"/>
  <c r="F80" i="23"/>
  <c r="F100" i="23"/>
  <c r="F120" i="23"/>
  <c r="F144" i="23"/>
  <c r="F164" i="23"/>
  <c r="F72" i="23"/>
  <c r="F96" i="23"/>
  <c r="F116" i="23"/>
  <c r="F136" i="23"/>
  <c r="F160" i="23"/>
  <c r="F68" i="23"/>
  <c r="F88" i="23"/>
  <c r="F112" i="23"/>
  <c r="F132" i="23"/>
  <c r="F152" i="23"/>
  <c r="T9" i="24"/>
  <c r="Q498" i="9"/>
  <c r="S426" i="9"/>
  <c r="S432" i="9"/>
  <c r="S450" i="9"/>
  <c r="G268" i="9"/>
  <c r="G915" i="22"/>
  <c r="G466" i="24"/>
  <c r="G479" i="24" s="1"/>
  <c r="G471" i="24"/>
  <c r="G459" i="24"/>
  <c r="S566" i="9"/>
  <c r="S569" i="9"/>
  <c r="H81" i="16"/>
  <c r="H20" i="16" s="1"/>
  <c r="H12" i="4" s="1"/>
  <c r="F161" i="26" s="1"/>
  <c r="I89" i="16"/>
  <c r="J89" i="16" s="1"/>
  <c r="S454" i="9"/>
  <c r="S430" i="9"/>
  <c r="S456" i="9" s="1"/>
  <c r="R418" i="9"/>
  <c r="R472" i="9"/>
  <c r="Z27" i="4"/>
  <c r="Y7" i="18"/>
  <c r="Z7" i="18"/>
  <c r="S170" i="26"/>
  <c r="Q448" i="9"/>
  <c r="Q457" i="9"/>
  <c r="Q460" i="9"/>
  <c r="R620" i="9"/>
  <c r="R539" i="9"/>
  <c r="R542" i="9"/>
  <c r="R593" i="9"/>
  <c r="R596" i="9"/>
  <c r="R530" i="9"/>
  <c r="Y18" i="19"/>
  <c r="T1496" i="24"/>
  <c r="Q583" i="9"/>
  <c r="Q619" i="9"/>
  <c r="Q622" i="9"/>
  <c r="Q610" i="9"/>
  <c r="P461" i="9"/>
  <c r="P497" i="9"/>
  <c r="P500" i="9"/>
  <c r="P488" i="9"/>
  <c r="H912" i="22"/>
  <c r="H918" i="22"/>
  <c r="G286" i="9"/>
  <c r="G261" i="9"/>
  <c r="G264" i="9"/>
  <c r="R391" i="9"/>
  <c r="R394" i="9"/>
  <c r="R412" i="9"/>
  <c r="R466" i="9"/>
  <c r="G232" i="9"/>
  <c r="G244" i="9"/>
  <c r="S526" i="9"/>
  <c r="S529" i="9"/>
  <c r="S601" i="9"/>
  <c r="T521" i="9"/>
  <c r="T527" i="9"/>
  <c r="T599" i="9"/>
  <c r="T397" i="9"/>
  <c r="R458" i="9"/>
  <c r="Q1424" i="24"/>
  <c r="Q417" i="9"/>
  <c r="Q420" i="9"/>
  <c r="Q471" i="9"/>
  <c r="Q474" i="9"/>
  <c r="Q408" i="9"/>
  <c r="S403" i="9"/>
  <c r="S483" i="9" s="1"/>
  <c r="S481" i="9"/>
  <c r="S605" i="9"/>
  <c r="S393" i="9"/>
  <c r="S411" i="9"/>
  <c r="S491" i="9" s="1"/>
  <c r="S465" i="9"/>
  <c r="S541" i="9"/>
  <c r="S595" i="9"/>
  <c r="S581" i="9"/>
  <c r="H218" i="9"/>
  <c r="I344" i="9"/>
  <c r="S608" i="9"/>
  <c r="S386" i="9"/>
  <c r="S392" i="9"/>
  <c r="S410" i="9"/>
  <c r="S490" i="9" s="1"/>
  <c r="S464" i="9"/>
  <c r="S540" i="9"/>
  <c r="S594" i="9"/>
  <c r="X7" i="18"/>
  <c r="R170" i="26"/>
  <c r="R419" i="9"/>
  <c r="R499" i="9" s="1"/>
  <c r="R473" i="9"/>
  <c r="F233" i="9"/>
  <c r="F236" i="9"/>
  <c r="F241" i="9"/>
  <c r="S439" i="9"/>
  <c r="S445" i="9"/>
  <c r="H280" i="9"/>
  <c r="H256" i="9"/>
  <c r="H213" i="9"/>
  <c r="I339" i="9"/>
  <c r="S617" i="9"/>
  <c r="S578" i="9"/>
  <c r="H369" i="9"/>
  <c r="H345" i="9"/>
  <c r="H448" i="24"/>
  <c r="H302" i="9"/>
  <c r="H347" i="9"/>
  <c r="H373" i="9" s="1"/>
  <c r="H263" i="9"/>
  <c r="H214" i="9"/>
  <c r="I340" i="9"/>
  <c r="T561" i="9"/>
  <c r="T567" i="9"/>
  <c r="T437" i="9"/>
  <c r="R431" i="9"/>
  <c r="R434" i="9"/>
  <c r="R452" i="9"/>
  <c r="S616" i="9"/>
  <c r="R494" i="9"/>
  <c r="T565" i="9"/>
  <c r="T441" i="9"/>
  <c r="T443" i="9" s="1"/>
  <c r="H230" i="9"/>
  <c r="I356" i="9"/>
  <c r="R570" i="9"/>
  <c r="R579" i="9"/>
  <c r="R582" i="9"/>
  <c r="T555" i="9"/>
  <c r="T581" i="9" s="1"/>
  <c r="T573" i="9"/>
  <c r="T425" i="9"/>
  <c r="T515" i="9"/>
  <c r="T533" i="9"/>
  <c r="T587" i="9"/>
  <c r="T385" i="9"/>
  <c r="I90" i="16"/>
  <c r="J90" i="16" s="1"/>
  <c r="S406" i="9"/>
  <c r="S486" i="9" s="1"/>
  <c r="S478" i="9"/>
  <c r="T528" i="9"/>
  <c r="T608" i="9" s="1"/>
  <c r="T600" i="9"/>
  <c r="T398" i="9"/>
  <c r="T548" i="9"/>
  <c r="T554" i="9"/>
  <c r="T572" i="9"/>
  <c r="T424" i="9"/>
  <c r="T508" i="9"/>
  <c r="T514" i="9"/>
  <c r="T532" i="9"/>
  <c r="T612" i="9" s="1"/>
  <c r="T586" i="9"/>
  <c r="T384" i="9"/>
  <c r="S580" i="9"/>
  <c r="G359" i="9"/>
  <c r="G362" i="9"/>
  <c r="G367" i="9"/>
  <c r="R77" i="26" l="1"/>
  <c r="X407" i="7"/>
  <c r="X404" i="7"/>
  <c r="R81" i="26" s="1"/>
  <c r="Y399" i="7"/>
  <c r="T613" i="9"/>
  <c r="R1424" i="24"/>
  <c r="Y407" i="7"/>
  <c r="Y418" i="7"/>
  <c r="S621" i="9"/>
  <c r="T432" i="9"/>
  <c r="T450" i="9"/>
  <c r="T426" i="9"/>
  <c r="T406" i="9"/>
  <c r="T486" i="9" s="1"/>
  <c r="T478" i="9"/>
  <c r="T439" i="9"/>
  <c r="T445" i="9"/>
  <c r="H222" i="9"/>
  <c r="H304" i="9"/>
  <c r="H328" i="9"/>
  <c r="H306" i="9"/>
  <c r="H332" i="9" s="1"/>
  <c r="H215" i="9"/>
  <c r="H239" i="9"/>
  <c r="F246" i="9"/>
  <c r="F237" i="9"/>
  <c r="F249" i="9"/>
  <c r="Q488" i="9"/>
  <c r="Q461" i="9"/>
  <c r="Q497" i="9"/>
  <c r="Q500" i="9"/>
  <c r="R610" i="9"/>
  <c r="R583" i="9"/>
  <c r="R619" i="9"/>
  <c r="R622" i="9"/>
  <c r="S458" i="9"/>
  <c r="T403" i="9"/>
  <c r="T483" i="9" s="1"/>
  <c r="T481" i="9"/>
  <c r="T578" i="9"/>
  <c r="R484" i="9"/>
  <c r="R487" i="9"/>
  <c r="T616" i="9"/>
  <c r="S416" i="9"/>
  <c r="S496" i="9" s="1"/>
  <c r="S470" i="9"/>
  <c r="I449" i="24"/>
  <c r="I303" i="9"/>
  <c r="T607" i="9"/>
  <c r="S606" i="9"/>
  <c r="S609" i="9"/>
  <c r="R492" i="9"/>
  <c r="G941" i="22"/>
  <c r="G916" i="22"/>
  <c r="G919" i="22"/>
  <c r="G945" i="22" s="1"/>
  <c r="S431" i="9"/>
  <c r="S434" i="9"/>
  <c r="S452" i="9"/>
  <c r="H329" i="9"/>
  <c r="H317" i="9"/>
  <c r="S570" i="9"/>
  <c r="S579" i="9"/>
  <c r="S582" i="9"/>
  <c r="S530" i="9"/>
  <c r="S539" i="9"/>
  <c r="S542" i="9"/>
  <c r="S593" i="9"/>
  <c r="S596" i="9"/>
  <c r="T538" i="9"/>
  <c r="T618" i="9" s="1"/>
  <c r="T592" i="9"/>
  <c r="G245" i="9"/>
  <c r="G220" i="9"/>
  <c r="G223" i="9"/>
  <c r="T617" i="9"/>
  <c r="G24" i="3"/>
  <c r="G372" i="9"/>
  <c r="G375" i="9"/>
  <c r="G363" i="9"/>
  <c r="S444" i="9"/>
  <c r="S447" i="9"/>
  <c r="S419" i="9"/>
  <c r="S499" i="9" s="1"/>
  <c r="S473" i="9"/>
  <c r="T540" i="9"/>
  <c r="T594" i="9"/>
  <c r="S418" i="9"/>
  <c r="S498" i="9" s="1"/>
  <c r="S472" i="9"/>
  <c r="T526" i="9"/>
  <c r="T529" i="9"/>
  <c r="T601" i="9"/>
  <c r="I91" i="16"/>
  <c r="H24" i="3" s="1"/>
  <c r="G464" i="24"/>
  <c r="G467" i="24"/>
  <c r="G472" i="24"/>
  <c r="G29" i="21" s="1"/>
  <c r="G31" i="21" s="1"/>
  <c r="G276" i="9"/>
  <c r="G289" i="9" s="1"/>
  <c r="G227" i="9"/>
  <c r="G281" i="9"/>
  <c r="G269" i="9"/>
  <c r="H353" i="9"/>
  <c r="T605" i="9"/>
  <c r="I360" i="9"/>
  <c r="I457" i="24"/>
  <c r="I311" i="9"/>
  <c r="S618" i="9"/>
  <c r="S485" i="9"/>
  <c r="H272" i="9"/>
  <c r="H928" i="22"/>
  <c r="H463" i="24"/>
  <c r="H475" i="24"/>
  <c r="T414" i="9"/>
  <c r="T468" i="9"/>
  <c r="T390" i="9"/>
  <c r="H258" i="9"/>
  <c r="H923" i="22"/>
  <c r="H474" i="24"/>
  <c r="H450" i="24"/>
  <c r="H452" i="24"/>
  <c r="H478" i="24" s="1"/>
  <c r="T580" i="9"/>
  <c r="I80" i="16"/>
  <c r="T541" i="9"/>
  <c r="T621" i="9" s="1"/>
  <c r="T595" i="9"/>
  <c r="I461" i="24"/>
  <c r="I315" i="9"/>
  <c r="T566" i="9"/>
  <c r="T569" i="9"/>
  <c r="H371" i="9"/>
  <c r="H346" i="9"/>
  <c r="H349" i="9"/>
  <c r="T386" i="9"/>
  <c r="T392" i="9"/>
  <c r="T410" i="9"/>
  <c r="T464" i="9"/>
  <c r="T513" i="9"/>
  <c r="T516" i="9"/>
  <c r="T534" i="9"/>
  <c r="T588" i="9"/>
  <c r="T553" i="9"/>
  <c r="T556" i="9"/>
  <c r="T574" i="9"/>
  <c r="T393" i="9"/>
  <c r="T411" i="9"/>
  <c r="T465" i="9"/>
  <c r="T433" i="9"/>
  <c r="T459" i="9" s="1"/>
  <c r="T451" i="9"/>
  <c r="R448" i="9"/>
  <c r="R457" i="9"/>
  <c r="R460" i="9"/>
  <c r="I348" i="9"/>
  <c r="I445" i="24"/>
  <c r="I299" i="9"/>
  <c r="I365" i="9"/>
  <c r="I341" i="9"/>
  <c r="I444" i="24"/>
  <c r="I298" i="9"/>
  <c r="S620" i="9"/>
  <c r="S391" i="9"/>
  <c r="S394" i="9"/>
  <c r="S412" i="9"/>
  <c r="S492" i="9" s="1"/>
  <c r="S466" i="9"/>
  <c r="T399" i="9"/>
  <c r="T405" i="9"/>
  <c r="T485" i="9" s="1"/>
  <c r="T477" i="9"/>
  <c r="R408" i="9"/>
  <c r="R417" i="9"/>
  <c r="R420" i="9"/>
  <c r="R471" i="9"/>
  <c r="R474" i="9"/>
  <c r="R498" i="9"/>
  <c r="I79" i="16"/>
  <c r="H13" i="2"/>
  <c r="H14" i="2"/>
  <c r="S167" i="9" s="1"/>
  <c r="S178" i="9"/>
  <c r="S164" i="9"/>
  <c r="S181" i="9"/>
  <c r="S1422" i="24"/>
  <c r="S1423" i="24"/>
  <c r="H234" i="9"/>
  <c r="T430" i="9"/>
  <c r="T456" i="9" s="1"/>
  <c r="T454" i="9"/>
  <c r="S404" i="9"/>
  <c r="S407" i="9"/>
  <c r="S479" i="9"/>
  <c r="G318" i="9"/>
  <c r="G321" i="9"/>
  <c r="G326" i="9"/>
  <c r="S614" i="9"/>
  <c r="S494" i="9"/>
  <c r="T415" i="9"/>
  <c r="T495" i="9" s="1"/>
  <c r="T469" i="9"/>
  <c r="T490" i="9" l="1"/>
  <c r="S182" i="9"/>
  <c r="S815" i="24" s="1"/>
  <c r="S53" i="9" s="1"/>
  <c r="S1488" i="24" s="1"/>
  <c r="S168" i="9"/>
  <c r="Y404" i="7"/>
  <c r="T491" i="9"/>
  <c r="T458" i="9"/>
  <c r="S169" i="9"/>
  <c r="S195" i="9"/>
  <c r="S747" i="22"/>
  <c r="S820" i="22"/>
  <c r="S746" i="22"/>
  <c r="S819" i="22"/>
  <c r="S815" i="22"/>
  <c r="S816" i="22"/>
  <c r="G322" i="9"/>
  <c r="G331" i="9"/>
  <c r="G334" i="9"/>
  <c r="S172" i="9"/>
  <c r="S25" i="21" s="1"/>
  <c r="S192" i="9"/>
  <c r="S792" i="22"/>
  <c r="S738" i="22"/>
  <c r="S789" i="22"/>
  <c r="S737" i="22"/>
  <c r="S793" i="22"/>
  <c r="S788" i="22"/>
  <c r="S196" i="9"/>
  <c r="S828" i="22"/>
  <c r="S833" i="22"/>
  <c r="S751" i="22"/>
  <c r="S750" i="22"/>
  <c r="S829" i="22"/>
  <c r="S837" i="22" s="1"/>
  <c r="S832" i="22"/>
  <c r="S834" i="22" s="1"/>
  <c r="S136" i="9" s="1"/>
  <c r="H27" i="27"/>
  <c r="B164" i="9"/>
  <c r="B177" i="9"/>
  <c r="B163" i="9"/>
  <c r="B178" i="9"/>
  <c r="C164" i="9"/>
  <c r="C177" i="9"/>
  <c r="C163" i="9"/>
  <c r="C178" i="9"/>
  <c r="D178" i="9"/>
  <c r="D164" i="9"/>
  <c r="D177" i="9"/>
  <c r="D163" i="9"/>
  <c r="E177" i="9"/>
  <c r="E163" i="9"/>
  <c r="E178" i="9"/>
  <c r="E164" i="9"/>
  <c r="F164" i="9"/>
  <c r="F177" i="9"/>
  <c r="F163" i="9"/>
  <c r="F178" i="9"/>
  <c r="G164" i="9"/>
  <c r="G177" i="9"/>
  <c r="G163" i="9"/>
  <c r="G178" i="9"/>
  <c r="H178" i="9"/>
  <c r="H164" i="9"/>
  <c r="H177" i="9"/>
  <c r="H163" i="9"/>
  <c r="I177" i="9"/>
  <c r="I163" i="9"/>
  <c r="I178" i="9"/>
  <c r="I164" i="9"/>
  <c r="J177" i="9"/>
  <c r="J163" i="9"/>
  <c r="J178" i="9"/>
  <c r="J164" i="9"/>
  <c r="K163" i="9"/>
  <c r="K178" i="9"/>
  <c r="K164" i="9"/>
  <c r="K177" i="9"/>
  <c r="L164" i="9"/>
  <c r="L177" i="9"/>
  <c r="L163" i="9"/>
  <c r="L178" i="9"/>
  <c r="M163" i="9"/>
  <c r="M178" i="9"/>
  <c r="M164" i="9"/>
  <c r="M177" i="9"/>
  <c r="N163" i="9"/>
  <c r="N178" i="9"/>
  <c r="N164" i="9"/>
  <c r="N177" i="9"/>
  <c r="O177" i="9"/>
  <c r="O163" i="9"/>
  <c r="O178" i="9"/>
  <c r="O164" i="9"/>
  <c r="P178" i="9"/>
  <c r="P164" i="9"/>
  <c r="P177" i="9"/>
  <c r="P163" i="9"/>
  <c r="Q163" i="9"/>
  <c r="Q178" i="9"/>
  <c r="Q164" i="9"/>
  <c r="Q177" i="9"/>
  <c r="R178" i="9"/>
  <c r="R164" i="9"/>
  <c r="R177" i="9"/>
  <c r="R163" i="9"/>
  <c r="I300" i="9"/>
  <c r="I324" i="9"/>
  <c r="T614" i="9"/>
  <c r="I271" i="9"/>
  <c r="I927" i="22"/>
  <c r="H476" i="24"/>
  <c r="H30" i="21" s="1"/>
  <c r="H451" i="24"/>
  <c r="H454" i="24"/>
  <c r="H361" i="9"/>
  <c r="H374" i="9" s="1"/>
  <c r="H458" i="24"/>
  <c r="H312" i="9"/>
  <c r="H366" i="9"/>
  <c r="H354" i="9"/>
  <c r="H12" i="5"/>
  <c r="I22" i="16"/>
  <c r="G12" i="5"/>
  <c r="H22" i="16"/>
  <c r="I24" i="3"/>
  <c r="I259" i="9"/>
  <c r="I924" i="22"/>
  <c r="T418" i="9"/>
  <c r="T498" i="9" s="1"/>
  <c r="T472" i="9"/>
  <c r="J80" i="16"/>
  <c r="K90" i="16"/>
  <c r="T416" i="9"/>
  <c r="T496" i="9" s="1"/>
  <c r="T470" i="9"/>
  <c r="G274" i="9"/>
  <c r="G277" i="9"/>
  <c r="G282" i="9"/>
  <c r="T606" i="9"/>
  <c r="T609" i="9"/>
  <c r="S457" i="9"/>
  <c r="S460" i="9"/>
  <c r="S448" i="9"/>
  <c r="S186" i="9"/>
  <c r="S811" i="24"/>
  <c r="I254" i="9"/>
  <c r="I910" i="22"/>
  <c r="I470" i="24"/>
  <c r="I446" i="24"/>
  <c r="S1424" i="24"/>
  <c r="S163" i="9"/>
  <c r="T404" i="9"/>
  <c r="T407" i="9"/>
  <c r="T479" i="9"/>
  <c r="S408" i="9"/>
  <c r="S417" i="9"/>
  <c r="S420" i="9"/>
  <c r="S471" i="9"/>
  <c r="S474" i="9"/>
  <c r="I307" i="9"/>
  <c r="T579" i="9"/>
  <c r="T582" i="9"/>
  <c r="T570" i="9"/>
  <c r="T530" i="9"/>
  <c r="T539" i="9"/>
  <c r="T542" i="9"/>
  <c r="T593" i="9"/>
  <c r="T596" i="9"/>
  <c r="T391" i="9"/>
  <c r="T394" i="9"/>
  <c r="T412" i="9"/>
  <c r="T466" i="9"/>
  <c r="H925" i="22"/>
  <c r="H931" i="22"/>
  <c r="H944" i="22" s="1"/>
  <c r="H936" i="22"/>
  <c r="H929" i="22"/>
  <c r="H932" i="22"/>
  <c r="I319" i="9"/>
  <c r="T620" i="9"/>
  <c r="T431" i="9"/>
  <c r="T434" i="9"/>
  <c r="T452" i="9"/>
  <c r="K89" i="16"/>
  <c r="I81" i="16"/>
  <c r="I20" i="16" s="1"/>
  <c r="J79" i="16"/>
  <c r="J81" i="16"/>
  <c r="S484" i="9"/>
  <c r="S487" i="9"/>
  <c r="S183" i="9"/>
  <c r="S814" i="24"/>
  <c r="S177" i="9"/>
  <c r="N27" i="27"/>
  <c r="B168" i="9"/>
  <c r="B181" i="9"/>
  <c r="B182" i="9"/>
  <c r="B815" i="24" s="1"/>
  <c r="B53" i="9" s="1"/>
  <c r="B167" i="9"/>
  <c r="C168" i="9"/>
  <c r="C181" i="9"/>
  <c r="C167" i="9"/>
  <c r="C182" i="9"/>
  <c r="C815" i="24" s="1"/>
  <c r="C53" i="9" s="1"/>
  <c r="D182" i="9"/>
  <c r="D815" i="24" s="1"/>
  <c r="D53" i="9" s="1"/>
  <c r="D168" i="9"/>
  <c r="D181" i="9"/>
  <c r="D167" i="9"/>
  <c r="E181" i="9"/>
  <c r="E167" i="9"/>
  <c r="E182" i="9"/>
  <c r="E815" i="24" s="1"/>
  <c r="E53" i="9" s="1"/>
  <c r="E168" i="9"/>
  <c r="F168" i="9"/>
  <c r="F181" i="9"/>
  <c r="F167" i="9"/>
  <c r="F182" i="9"/>
  <c r="F815" i="24" s="1"/>
  <c r="F53" i="9" s="1"/>
  <c r="G168" i="9"/>
  <c r="G181" i="9"/>
  <c r="G167" i="9"/>
  <c r="G182" i="9"/>
  <c r="G815" i="24" s="1"/>
  <c r="G53" i="9" s="1"/>
  <c r="H182" i="9"/>
  <c r="H815" i="24" s="1"/>
  <c r="H53" i="9" s="1"/>
  <c r="H168" i="9"/>
  <c r="H181" i="9"/>
  <c r="H167" i="9"/>
  <c r="I181" i="9"/>
  <c r="I167" i="9"/>
  <c r="I182" i="9"/>
  <c r="I815" i="24" s="1"/>
  <c r="I53" i="9" s="1"/>
  <c r="I168" i="9"/>
  <c r="J181" i="9"/>
  <c r="J167" i="9"/>
  <c r="J182" i="9"/>
  <c r="J815" i="24" s="1"/>
  <c r="J53" i="9" s="1"/>
  <c r="J168" i="9"/>
  <c r="K167" i="9"/>
  <c r="K182" i="9"/>
  <c r="K815" i="24" s="1"/>
  <c r="K53" i="9" s="1"/>
  <c r="K168" i="9"/>
  <c r="K181" i="9"/>
  <c r="L168" i="9"/>
  <c r="L181" i="9"/>
  <c r="L167" i="9"/>
  <c r="L182" i="9"/>
  <c r="L815" i="24" s="1"/>
  <c r="L53" i="9" s="1"/>
  <c r="M167" i="9"/>
  <c r="M182" i="9"/>
  <c r="M815" i="24" s="1"/>
  <c r="M53" i="9" s="1"/>
  <c r="M168" i="9"/>
  <c r="M181" i="9"/>
  <c r="N167" i="9"/>
  <c r="N182" i="9"/>
  <c r="N815" i="24" s="1"/>
  <c r="N53" i="9" s="1"/>
  <c r="N168" i="9"/>
  <c r="N181" i="9"/>
  <c r="O181" i="9"/>
  <c r="O167" i="9"/>
  <c r="O182" i="9"/>
  <c r="O815" i="24" s="1"/>
  <c r="O53" i="9" s="1"/>
  <c r="O168" i="9"/>
  <c r="P182" i="9"/>
  <c r="P815" i="24" s="1"/>
  <c r="P53" i="9" s="1"/>
  <c r="P168" i="9"/>
  <c r="P181" i="9"/>
  <c r="P167" i="9"/>
  <c r="Q167" i="9"/>
  <c r="Q182" i="9"/>
  <c r="Q815" i="24" s="1"/>
  <c r="Q53" i="9" s="1"/>
  <c r="Q168" i="9"/>
  <c r="Q181" i="9"/>
  <c r="R182" i="9"/>
  <c r="R815" i="24" s="1"/>
  <c r="R53" i="9" s="1"/>
  <c r="R168" i="9"/>
  <c r="R181" i="9"/>
  <c r="R167" i="9"/>
  <c r="R488" i="9"/>
  <c r="R461" i="9"/>
  <c r="R497" i="9"/>
  <c r="R500" i="9"/>
  <c r="I255" i="9"/>
  <c r="I911" i="22"/>
  <c r="I453" i="24"/>
  <c r="T419" i="9"/>
  <c r="T499" i="9" s="1"/>
  <c r="T473" i="9"/>
  <c r="H260" i="9"/>
  <c r="H284" i="9"/>
  <c r="H217" i="9"/>
  <c r="H262" i="9"/>
  <c r="H288" i="9" s="1"/>
  <c r="I343" i="9"/>
  <c r="T494" i="9"/>
  <c r="H231" i="9"/>
  <c r="I357" i="9"/>
  <c r="H285" i="9"/>
  <c r="H273" i="9"/>
  <c r="I267" i="9"/>
  <c r="I914" i="22"/>
  <c r="I465" i="24"/>
  <c r="G235" i="9"/>
  <c r="G248" i="9" s="1"/>
  <c r="G240" i="9"/>
  <c r="G228" i="9"/>
  <c r="G477" i="24"/>
  <c r="G468" i="24"/>
  <c r="G480" i="24"/>
  <c r="J91" i="16"/>
  <c r="S610" i="9"/>
  <c r="S583" i="9"/>
  <c r="S619" i="9"/>
  <c r="S622" i="9"/>
  <c r="G942" i="22"/>
  <c r="G917" i="22"/>
  <c r="G920" i="22"/>
  <c r="H330" i="9"/>
  <c r="H308" i="9"/>
  <c r="H305" i="9"/>
  <c r="T444" i="9"/>
  <c r="T447" i="9"/>
  <c r="S873" i="22" l="1"/>
  <c r="I345" i="9"/>
  <c r="I369" i="9"/>
  <c r="I448" i="24"/>
  <c r="I302" i="9"/>
  <c r="I347" i="9"/>
  <c r="I373" i="9" s="1"/>
  <c r="Q196" i="9"/>
  <c r="Q751" i="22"/>
  <c r="Q832" i="22"/>
  <c r="Q750" i="22"/>
  <c r="Q829" i="22"/>
  <c r="Q833" i="22"/>
  <c r="Q828" i="22"/>
  <c r="G943" i="22"/>
  <c r="G946" i="22"/>
  <c r="G934" i="22"/>
  <c r="R169" i="9"/>
  <c r="R195" i="9"/>
  <c r="R746" i="22"/>
  <c r="R819" i="22"/>
  <c r="R816" i="22"/>
  <c r="R747" i="22"/>
  <c r="R820" i="22"/>
  <c r="R815" i="22"/>
  <c r="Q183" i="9"/>
  <c r="Q814" i="24"/>
  <c r="P169" i="9"/>
  <c r="P195" i="9"/>
  <c r="P815" i="22"/>
  <c r="P747" i="22"/>
  <c r="P820" i="22"/>
  <c r="P746" i="22"/>
  <c r="P816" i="22"/>
  <c r="P819" i="22"/>
  <c r="O196" i="9"/>
  <c r="O828" i="22"/>
  <c r="O833" i="22"/>
  <c r="O751" i="22"/>
  <c r="O750" i="22"/>
  <c r="O829" i="22"/>
  <c r="O837" i="22" s="1"/>
  <c r="O832" i="22"/>
  <c r="O834" i="22" s="1"/>
  <c r="O136" i="9" s="1"/>
  <c r="N183" i="9"/>
  <c r="N814" i="24"/>
  <c r="M183" i="9"/>
  <c r="M814" i="24"/>
  <c r="L1488" i="24"/>
  <c r="K183" i="9"/>
  <c r="K814" i="24"/>
  <c r="J196" i="9"/>
  <c r="J833" i="22"/>
  <c r="J751" i="22"/>
  <c r="J832" i="22"/>
  <c r="J750" i="22"/>
  <c r="J828" i="22"/>
  <c r="J829" i="22"/>
  <c r="J837" i="22" s="1"/>
  <c r="I196" i="9"/>
  <c r="I751" i="22"/>
  <c r="I832" i="22"/>
  <c r="I750" i="22"/>
  <c r="I829" i="22"/>
  <c r="I833" i="22"/>
  <c r="I828" i="22"/>
  <c r="H169" i="9"/>
  <c r="H195" i="9"/>
  <c r="H815" i="22"/>
  <c r="H747" i="22"/>
  <c r="H820" i="22"/>
  <c r="H746" i="22"/>
  <c r="H816" i="22"/>
  <c r="H819" i="22"/>
  <c r="F1488" i="24"/>
  <c r="E196" i="9"/>
  <c r="E67" i="9"/>
  <c r="E751" i="22"/>
  <c r="E832" i="22"/>
  <c r="E750" i="22"/>
  <c r="E752" i="22" s="1"/>
  <c r="E829" i="22"/>
  <c r="E837" i="22" s="1"/>
  <c r="E833" i="22"/>
  <c r="E828" i="22"/>
  <c r="D169" i="9"/>
  <c r="D195" i="9"/>
  <c r="D66" i="9"/>
  <c r="D815" i="22"/>
  <c r="D747" i="22"/>
  <c r="D820" i="22"/>
  <c r="D746" i="22"/>
  <c r="D816" i="22"/>
  <c r="D819" i="22"/>
  <c r="C1488" i="24"/>
  <c r="B66" i="9"/>
  <c r="B169" i="9"/>
  <c r="B195" i="9"/>
  <c r="B746" i="22"/>
  <c r="B819" i="22"/>
  <c r="B816" i="22"/>
  <c r="B747" i="22"/>
  <c r="B820" i="22"/>
  <c r="B815" i="22"/>
  <c r="I12" i="4"/>
  <c r="J20" i="16"/>
  <c r="T583" i="9"/>
  <c r="T619" i="9"/>
  <c r="T622" i="9"/>
  <c r="T610" i="9"/>
  <c r="T484" i="9"/>
  <c r="T487" i="9"/>
  <c r="I256" i="9"/>
  <c r="I280" i="9"/>
  <c r="I213" i="9"/>
  <c r="J339" i="9"/>
  <c r="I218" i="9"/>
  <c r="J344" i="9"/>
  <c r="H320" i="9"/>
  <c r="H333" i="9" s="1"/>
  <c r="H325" i="9"/>
  <c r="H313" i="9"/>
  <c r="R172" i="9"/>
  <c r="R25" i="21" s="1"/>
  <c r="R192" i="9"/>
  <c r="R738" i="22"/>
  <c r="R789" i="22"/>
  <c r="R737" i="22"/>
  <c r="R788" i="22"/>
  <c r="R792" i="22"/>
  <c r="R793" i="22"/>
  <c r="Q186" i="9"/>
  <c r="Q811" i="24"/>
  <c r="P172" i="9"/>
  <c r="P25" i="21" s="1"/>
  <c r="P192" i="9"/>
  <c r="P793" i="22"/>
  <c r="P792" i="22"/>
  <c r="P738" i="22"/>
  <c r="P737" i="22"/>
  <c r="P788" i="22"/>
  <c r="P789" i="22"/>
  <c r="O165" i="9"/>
  <c r="O171" i="9"/>
  <c r="O24" i="21" s="1"/>
  <c r="O191" i="9"/>
  <c r="O733" i="22"/>
  <c r="O776" i="22"/>
  <c r="O775" i="22"/>
  <c r="O780" i="22"/>
  <c r="O734" i="22"/>
  <c r="O779" i="22"/>
  <c r="N186" i="9"/>
  <c r="N811" i="24"/>
  <c r="M186" i="9"/>
  <c r="M811" i="24"/>
  <c r="L179" i="9"/>
  <c r="L185" i="9"/>
  <c r="L810" i="24"/>
  <c r="K186" i="9"/>
  <c r="K811" i="24"/>
  <c r="J165" i="9"/>
  <c r="J171" i="9"/>
  <c r="J24" i="21" s="1"/>
  <c r="J191" i="9"/>
  <c r="J775" i="22"/>
  <c r="J780" i="22"/>
  <c r="J734" i="22"/>
  <c r="J779" i="22"/>
  <c r="J733" i="22"/>
  <c r="J776" i="22"/>
  <c r="I165" i="9"/>
  <c r="I171" i="9"/>
  <c r="I24" i="21" s="1"/>
  <c r="I191" i="9"/>
  <c r="I780" i="22"/>
  <c r="I734" i="22"/>
  <c r="I779" i="22"/>
  <c r="I733" i="22"/>
  <c r="I776" i="22"/>
  <c r="I775" i="22"/>
  <c r="I1083" i="24"/>
  <c r="I1084" i="24"/>
  <c r="I1096" i="24"/>
  <c r="H172" i="9"/>
  <c r="H25" i="21" s="1"/>
  <c r="H192" i="9"/>
  <c r="H793" i="22"/>
  <c r="H792" i="22"/>
  <c r="H738" i="22"/>
  <c r="H737" i="22"/>
  <c r="H788" i="22"/>
  <c r="H789" i="22"/>
  <c r="H1088" i="24"/>
  <c r="H1100" i="24"/>
  <c r="H1101" i="24"/>
  <c r="H1087" i="24"/>
  <c r="G179" i="9"/>
  <c r="G185" i="9"/>
  <c r="G810" i="24"/>
  <c r="H521" i="8"/>
  <c r="H522" i="8"/>
  <c r="H185" i="10"/>
  <c r="H184" i="10"/>
  <c r="H535" i="8"/>
  <c r="H197" i="10"/>
  <c r="H198" i="10"/>
  <c r="H534" i="8"/>
  <c r="F179" i="9"/>
  <c r="F185" i="9"/>
  <c r="F810" i="24"/>
  <c r="G521" i="8"/>
  <c r="G184" i="10"/>
  <c r="G535" i="8"/>
  <c r="G197" i="10"/>
  <c r="G522" i="8"/>
  <c r="G185" i="10"/>
  <c r="G534" i="8"/>
  <c r="G198" i="10"/>
  <c r="E165" i="9"/>
  <c r="E171" i="9"/>
  <c r="E24" i="21" s="1"/>
  <c r="E191" i="9"/>
  <c r="E62" i="9"/>
  <c r="E780" i="22"/>
  <c r="E734" i="22"/>
  <c r="E779" i="22"/>
  <c r="E733" i="22"/>
  <c r="E776" i="22"/>
  <c r="E775" i="22"/>
  <c r="E1084" i="24"/>
  <c r="E1096" i="24"/>
  <c r="E1097" i="24"/>
  <c r="E1083" i="24"/>
  <c r="D172" i="9"/>
  <c r="D25" i="21" s="1"/>
  <c r="D192" i="9"/>
  <c r="D63" i="9"/>
  <c r="D793" i="22"/>
  <c r="D792" i="22"/>
  <c r="D738" i="22"/>
  <c r="D737" i="22"/>
  <c r="D788" i="22"/>
  <c r="D789" i="22"/>
  <c r="D1100" i="24"/>
  <c r="D1101" i="24"/>
  <c r="D1087" i="24"/>
  <c r="D1088" i="24"/>
  <c r="C179" i="9"/>
  <c r="C185" i="9"/>
  <c r="C810" i="24"/>
  <c r="C535" i="8"/>
  <c r="C197" i="10"/>
  <c r="C522" i="8"/>
  <c r="C185" i="10"/>
  <c r="C534" i="8"/>
  <c r="C198" i="10"/>
  <c r="C521" i="8"/>
  <c r="C184" i="10"/>
  <c r="B179" i="9"/>
  <c r="B185" i="9"/>
  <c r="B810" i="24"/>
  <c r="B534" i="8"/>
  <c r="B535" i="8"/>
  <c r="B197" i="10"/>
  <c r="B522" i="8"/>
  <c r="B185" i="10"/>
  <c r="B198" i="10"/>
  <c r="B521" i="8"/>
  <c r="B184" i="10"/>
  <c r="S830" i="22"/>
  <c r="S836" i="22"/>
  <c r="S872" i="22"/>
  <c r="S794" i="22"/>
  <c r="S817" i="22"/>
  <c r="S823" i="22"/>
  <c r="S849" i="22" s="1"/>
  <c r="S841" i="22"/>
  <c r="S755" i="22"/>
  <c r="P183" i="9"/>
  <c r="P814" i="24"/>
  <c r="O1488" i="24"/>
  <c r="N196" i="9"/>
  <c r="N833" i="22"/>
  <c r="N751" i="22"/>
  <c r="N832" i="22"/>
  <c r="N750" i="22"/>
  <c r="N752" i="22" s="1"/>
  <c r="N828" i="22"/>
  <c r="N829" i="22"/>
  <c r="M196" i="9"/>
  <c r="M751" i="22"/>
  <c r="M832" i="22"/>
  <c r="M750" i="22"/>
  <c r="M829" i="22"/>
  <c r="M833" i="22"/>
  <c r="M828" i="22"/>
  <c r="L169" i="9"/>
  <c r="L195" i="9"/>
  <c r="L815" i="22"/>
  <c r="L747" i="22"/>
  <c r="L820" i="22"/>
  <c r="L746" i="22"/>
  <c r="L816" i="22"/>
  <c r="L819" i="22"/>
  <c r="K196" i="9"/>
  <c r="K828" i="22"/>
  <c r="K833" i="22"/>
  <c r="K751" i="22"/>
  <c r="K750" i="22"/>
  <c r="K829" i="22"/>
  <c r="K832" i="22"/>
  <c r="K834" i="22" s="1"/>
  <c r="K136" i="9" s="1"/>
  <c r="J1488" i="24"/>
  <c r="H183" i="9"/>
  <c r="H814" i="24"/>
  <c r="G169" i="9"/>
  <c r="G195" i="9"/>
  <c r="G66" i="9"/>
  <c r="G747" i="22"/>
  <c r="G820" i="22"/>
  <c r="G746" i="22"/>
  <c r="G819" i="22"/>
  <c r="G815" i="22"/>
  <c r="G816" i="22"/>
  <c r="F66" i="9"/>
  <c r="F169" i="9"/>
  <c r="F195" i="9"/>
  <c r="F746" i="22"/>
  <c r="F819" i="22"/>
  <c r="F816" i="22"/>
  <c r="F747" i="22"/>
  <c r="F820" i="22"/>
  <c r="F815" i="22"/>
  <c r="E1488" i="24"/>
  <c r="D183" i="9"/>
  <c r="D814" i="24"/>
  <c r="C169" i="9"/>
  <c r="C195" i="9"/>
  <c r="C66" i="9"/>
  <c r="C747" i="22"/>
  <c r="C820" i="22"/>
  <c r="C746" i="22"/>
  <c r="C819" i="22"/>
  <c r="C815" i="22"/>
  <c r="C816" i="22"/>
  <c r="B1488" i="24"/>
  <c r="S179" i="9"/>
  <c r="S185" i="9"/>
  <c r="S810" i="24"/>
  <c r="K91" i="16"/>
  <c r="T492" i="9"/>
  <c r="S461" i="9"/>
  <c r="S497" i="9"/>
  <c r="S500" i="9"/>
  <c r="S488" i="9"/>
  <c r="S165" i="9"/>
  <c r="S171" i="9"/>
  <c r="S24" i="21" s="1"/>
  <c r="S26" i="21" s="1"/>
  <c r="S191" i="9"/>
  <c r="S733" i="22"/>
  <c r="S776" i="22"/>
  <c r="S775" i="22"/>
  <c r="S780" i="22"/>
  <c r="S734" i="22"/>
  <c r="S779" i="22"/>
  <c r="S49" i="9"/>
  <c r="S819" i="24"/>
  <c r="H268" i="9"/>
  <c r="H915" i="22"/>
  <c r="H466" i="24"/>
  <c r="H479" i="24" s="1"/>
  <c r="H459" i="24"/>
  <c r="H471" i="24"/>
  <c r="I230" i="9"/>
  <c r="J356" i="9"/>
  <c r="R186" i="9"/>
  <c r="R811" i="24"/>
  <c r="Q165" i="9"/>
  <c r="Q171" i="9"/>
  <c r="Q24" i="21" s="1"/>
  <c r="Q191" i="9"/>
  <c r="Q780" i="22"/>
  <c r="Q734" i="22"/>
  <c r="Q779" i="22"/>
  <c r="Q733" i="22"/>
  <c r="Q776" i="22"/>
  <c r="Q775" i="22"/>
  <c r="P186" i="9"/>
  <c r="P811" i="24"/>
  <c r="O179" i="9"/>
  <c r="O185" i="9"/>
  <c r="O810" i="24"/>
  <c r="N165" i="9"/>
  <c r="N171" i="9"/>
  <c r="N24" i="21" s="1"/>
  <c r="N191" i="9"/>
  <c r="N775" i="22"/>
  <c r="N780" i="22"/>
  <c r="N734" i="22"/>
  <c r="N779" i="22"/>
  <c r="N733" i="22"/>
  <c r="N776" i="22"/>
  <c r="M165" i="9"/>
  <c r="M171" i="9"/>
  <c r="M24" i="21" s="1"/>
  <c r="M191" i="9"/>
  <c r="M780" i="22"/>
  <c r="M734" i="22"/>
  <c r="M779" i="22"/>
  <c r="M733" i="22"/>
  <c r="M776" i="22"/>
  <c r="M775" i="22"/>
  <c r="L172" i="9"/>
  <c r="L25" i="21" s="1"/>
  <c r="L192" i="9"/>
  <c r="L793" i="22"/>
  <c r="L792" i="22"/>
  <c r="L738" i="22"/>
  <c r="L737" i="22"/>
  <c r="L788" i="22"/>
  <c r="L789" i="22"/>
  <c r="K165" i="9"/>
  <c r="K171" i="9"/>
  <c r="K24" i="21" s="1"/>
  <c r="K191" i="9"/>
  <c r="K733" i="22"/>
  <c r="K776" i="22"/>
  <c r="K775" i="22"/>
  <c r="K780" i="22"/>
  <c r="K734" i="22"/>
  <c r="K779" i="22"/>
  <c r="J179" i="9"/>
  <c r="J185" i="9"/>
  <c r="J810" i="24"/>
  <c r="I179" i="9"/>
  <c r="I185" i="9"/>
  <c r="I810" i="24"/>
  <c r="K534" i="8"/>
  <c r="K521" i="8"/>
  <c r="K184" i="10"/>
  <c r="K197" i="10"/>
  <c r="K522" i="8"/>
  <c r="K185" i="10"/>
  <c r="H186" i="9"/>
  <c r="H811" i="24"/>
  <c r="J538" i="8"/>
  <c r="J201" i="10"/>
  <c r="J202" i="10"/>
  <c r="J539" i="8"/>
  <c r="J525" i="8"/>
  <c r="J526" i="8"/>
  <c r="J188" i="10"/>
  <c r="J189" i="10"/>
  <c r="G172" i="9"/>
  <c r="G25" i="21" s="1"/>
  <c r="G192" i="9"/>
  <c r="G63" i="9"/>
  <c r="G792" i="22"/>
  <c r="G738" i="22"/>
  <c r="G789" i="22"/>
  <c r="G737" i="22"/>
  <c r="G793" i="22"/>
  <c r="G788" i="22"/>
  <c r="G1101" i="24"/>
  <c r="G1087" i="24"/>
  <c r="G1088" i="24"/>
  <c r="G1100" i="24"/>
  <c r="F172" i="9"/>
  <c r="F25" i="21" s="1"/>
  <c r="F192" i="9"/>
  <c r="F63" i="9"/>
  <c r="F738" i="22"/>
  <c r="F789" i="22"/>
  <c r="F737" i="22"/>
  <c r="F788" i="22"/>
  <c r="F792" i="22"/>
  <c r="F793" i="22"/>
  <c r="F1100" i="24"/>
  <c r="F1101" i="24"/>
  <c r="F1087" i="24"/>
  <c r="F1088" i="24"/>
  <c r="E179" i="9"/>
  <c r="E185" i="9"/>
  <c r="E810" i="24"/>
  <c r="F521" i="8"/>
  <c r="F184" i="10"/>
  <c r="F534" i="8"/>
  <c r="F535" i="8"/>
  <c r="F197" i="10"/>
  <c r="F522" i="8"/>
  <c r="F185" i="10"/>
  <c r="F198" i="10"/>
  <c r="D186" i="9"/>
  <c r="D811" i="24"/>
  <c r="D201" i="10"/>
  <c r="D526" i="8"/>
  <c r="D189" i="10"/>
  <c r="D539" i="8"/>
  <c r="D538" i="8"/>
  <c r="D202" i="10"/>
  <c r="D525" i="8"/>
  <c r="D188" i="10"/>
  <c r="C172" i="9"/>
  <c r="C25" i="21" s="1"/>
  <c r="C192" i="9"/>
  <c r="C63" i="9"/>
  <c r="C792" i="22"/>
  <c r="C738" i="22"/>
  <c r="C789" i="22"/>
  <c r="C737" i="22"/>
  <c r="C793" i="22"/>
  <c r="C788" i="22"/>
  <c r="C1088" i="24"/>
  <c r="C1100" i="24"/>
  <c r="C1101" i="24"/>
  <c r="C1087" i="24"/>
  <c r="B172" i="9"/>
  <c r="B25" i="21" s="1"/>
  <c r="B192" i="9"/>
  <c r="B63" i="9"/>
  <c r="B738" i="22"/>
  <c r="B789" i="22"/>
  <c r="B737" i="22"/>
  <c r="B788" i="22"/>
  <c r="B792" i="22"/>
  <c r="B793" i="22"/>
  <c r="B1100" i="24"/>
  <c r="B1101" i="24"/>
  <c r="B1087" i="24"/>
  <c r="B1088" i="24"/>
  <c r="S752" i="22"/>
  <c r="S739" i="22"/>
  <c r="S763" i="22"/>
  <c r="S845" i="22"/>
  <c r="S821" i="22"/>
  <c r="H286" i="9"/>
  <c r="H261" i="9"/>
  <c r="H264" i="9"/>
  <c r="R196" i="9"/>
  <c r="R833" i="22"/>
  <c r="R751" i="22"/>
  <c r="R832" i="22"/>
  <c r="R750" i="22"/>
  <c r="R752" i="22" s="1"/>
  <c r="R828" i="22"/>
  <c r="R829" i="22"/>
  <c r="Q1488" i="24"/>
  <c r="P196" i="9"/>
  <c r="P750" i="22"/>
  <c r="P752" i="22" s="1"/>
  <c r="P829" i="22"/>
  <c r="P828" i="22"/>
  <c r="P751" i="22"/>
  <c r="P832" i="22"/>
  <c r="P833" i="22"/>
  <c r="O169" i="9"/>
  <c r="O195" i="9"/>
  <c r="O197" i="9" s="1"/>
  <c r="O747" i="22"/>
  <c r="O755" i="22" s="1"/>
  <c r="O820" i="22"/>
  <c r="O846" i="22" s="1"/>
  <c r="O746" i="22"/>
  <c r="O819" i="22"/>
  <c r="O815" i="22"/>
  <c r="O816" i="22"/>
  <c r="N1488" i="24"/>
  <c r="M1488" i="24"/>
  <c r="L183" i="9"/>
  <c r="L814" i="24"/>
  <c r="K1488" i="24"/>
  <c r="J169" i="9"/>
  <c r="J195" i="9"/>
  <c r="J197" i="9" s="1"/>
  <c r="J746" i="22"/>
  <c r="J819" i="22"/>
  <c r="J816" i="22"/>
  <c r="J747" i="22"/>
  <c r="J755" i="22" s="1"/>
  <c r="J820" i="22"/>
  <c r="J846" i="22" s="1"/>
  <c r="J815" i="22"/>
  <c r="I169" i="9"/>
  <c r="I195" i="9"/>
  <c r="I197" i="9" s="1"/>
  <c r="I816" i="22"/>
  <c r="I815" i="22"/>
  <c r="I747" i="22"/>
  <c r="I755" i="22" s="1"/>
  <c r="I746" i="22"/>
  <c r="I819" i="22"/>
  <c r="I820" i="22"/>
  <c r="I846" i="22" s="1"/>
  <c r="H196" i="9"/>
  <c r="H750" i="22"/>
  <c r="H829" i="22"/>
  <c r="H828" i="22"/>
  <c r="H751" i="22"/>
  <c r="H832" i="22"/>
  <c r="H833" i="22"/>
  <c r="G183" i="9"/>
  <c r="G814" i="24"/>
  <c r="F183" i="9"/>
  <c r="F814" i="24"/>
  <c r="E169" i="9"/>
  <c r="E195" i="9"/>
  <c r="E197" i="9" s="1"/>
  <c r="E66" i="9"/>
  <c r="E816" i="22"/>
  <c r="E815" i="22"/>
  <c r="E747" i="22"/>
  <c r="E755" i="22" s="1"/>
  <c r="E746" i="22"/>
  <c r="E819" i="22"/>
  <c r="E820" i="22"/>
  <c r="E846" i="22" s="1"/>
  <c r="D196" i="9"/>
  <c r="D67" i="9"/>
  <c r="D750" i="22"/>
  <c r="D829" i="22"/>
  <c r="D828" i="22"/>
  <c r="D751" i="22"/>
  <c r="D832" i="22"/>
  <c r="D833" i="22"/>
  <c r="C183" i="9"/>
  <c r="C814" i="24"/>
  <c r="B183" i="9"/>
  <c r="B814" i="24"/>
  <c r="S52" i="9"/>
  <c r="S816" i="24"/>
  <c r="J22" i="16"/>
  <c r="H362" i="9"/>
  <c r="H359" i="9"/>
  <c r="H367" i="9"/>
  <c r="R165" i="9"/>
  <c r="R171" i="9"/>
  <c r="R24" i="21" s="1"/>
  <c r="R26" i="21" s="1"/>
  <c r="R191" i="9"/>
  <c r="R775" i="22"/>
  <c r="R780" i="22"/>
  <c r="R734" i="22"/>
  <c r="R779" i="22"/>
  <c r="R733" i="22"/>
  <c r="R776" i="22"/>
  <c r="Q179" i="9"/>
  <c r="Q185" i="9"/>
  <c r="Q810" i="24"/>
  <c r="P165" i="9"/>
  <c r="P171" i="9"/>
  <c r="P24" i="21" s="1"/>
  <c r="P26" i="21" s="1"/>
  <c r="P191" i="9"/>
  <c r="P734" i="22"/>
  <c r="P779" i="22"/>
  <c r="P733" i="22"/>
  <c r="P776" i="22"/>
  <c r="P775" i="22"/>
  <c r="P780" i="22"/>
  <c r="O172" i="9"/>
  <c r="O25" i="21" s="1"/>
  <c r="O192" i="9"/>
  <c r="O200" i="9" s="1"/>
  <c r="O792" i="22"/>
  <c r="O738" i="22"/>
  <c r="O764" i="22" s="1"/>
  <c r="O789" i="22"/>
  <c r="O737" i="22"/>
  <c r="O793" i="22"/>
  <c r="O873" i="22" s="1"/>
  <c r="O788" i="22"/>
  <c r="N179" i="9"/>
  <c r="N185" i="9"/>
  <c r="N810" i="24"/>
  <c r="M179" i="9"/>
  <c r="M185" i="9"/>
  <c r="M810" i="24"/>
  <c r="L186" i="9"/>
  <c r="L811" i="24"/>
  <c r="K179" i="9"/>
  <c r="K185" i="9"/>
  <c r="K810" i="24"/>
  <c r="J172" i="9"/>
  <c r="J25" i="21" s="1"/>
  <c r="J192" i="9"/>
  <c r="J200" i="9" s="1"/>
  <c r="J738" i="22"/>
  <c r="J764" i="22" s="1"/>
  <c r="J789" i="22"/>
  <c r="J737" i="22"/>
  <c r="J788" i="22"/>
  <c r="J792" i="22"/>
  <c r="J793" i="22"/>
  <c r="J873" i="22" s="1"/>
  <c r="I172" i="9"/>
  <c r="I25" i="21" s="1"/>
  <c r="I192" i="9"/>
  <c r="I200" i="9" s="1"/>
  <c r="I737" i="22"/>
  <c r="I788" i="22"/>
  <c r="I793" i="22"/>
  <c r="I873" i="22" s="1"/>
  <c r="I738" i="22"/>
  <c r="I764" i="22" s="1"/>
  <c r="I789" i="22"/>
  <c r="I792" i="22"/>
  <c r="I1100" i="24"/>
  <c r="I1088" i="24"/>
  <c r="H165" i="9"/>
  <c r="H171" i="9"/>
  <c r="H24" i="21" s="1"/>
  <c r="H26" i="21" s="1"/>
  <c r="H191" i="9"/>
  <c r="H734" i="22"/>
  <c r="H779" i="22"/>
  <c r="H733" i="22"/>
  <c r="H776" i="22"/>
  <c r="H775" i="22"/>
  <c r="H780" i="22"/>
  <c r="H1096" i="24"/>
  <c r="H1097" i="24"/>
  <c r="H1083" i="24"/>
  <c r="H1084" i="24"/>
  <c r="G186" i="9"/>
  <c r="G811" i="24"/>
  <c r="H525" i="8"/>
  <c r="H188" i="10"/>
  <c r="H201" i="10"/>
  <c r="H526" i="8"/>
  <c r="H189" i="10"/>
  <c r="H539" i="8"/>
  <c r="H538" i="8"/>
  <c r="H202" i="10"/>
  <c r="F186" i="9"/>
  <c r="F811" i="24"/>
  <c r="G525" i="8"/>
  <c r="G188" i="10"/>
  <c r="G539" i="8"/>
  <c r="G538" i="8"/>
  <c r="G540" i="8" s="1"/>
  <c r="G201" i="10"/>
  <c r="G526" i="8"/>
  <c r="G552" i="8" s="1"/>
  <c r="G189" i="10"/>
  <c r="G202" i="10"/>
  <c r="E63" i="9"/>
  <c r="E71" i="9" s="1"/>
  <c r="E172" i="9"/>
  <c r="E25" i="21" s="1"/>
  <c r="E192" i="9"/>
  <c r="E200" i="9" s="1"/>
  <c r="E737" i="22"/>
  <c r="E788" i="22"/>
  <c r="E793" i="22"/>
  <c r="E873" i="22" s="1"/>
  <c r="E738" i="22"/>
  <c r="E764" i="22" s="1"/>
  <c r="E789" i="22"/>
  <c r="E792" i="22"/>
  <c r="E1101" i="24"/>
  <c r="E1087" i="24"/>
  <c r="E1088" i="24"/>
  <c r="E1100" i="24"/>
  <c r="D62" i="9"/>
  <c r="D165" i="9"/>
  <c r="D171" i="9"/>
  <c r="D24" i="21" s="1"/>
  <c r="D26" i="21" s="1"/>
  <c r="D191" i="9"/>
  <c r="D734" i="22"/>
  <c r="D779" i="22"/>
  <c r="D733" i="22"/>
  <c r="D776" i="22"/>
  <c r="D775" i="22"/>
  <c r="D780" i="22"/>
  <c r="D1096" i="24"/>
  <c r="D1097" i="24"/>
  <c r="D1083" i="24"/>
  <c r="D1084" i="24"/>
  <c r="C186" i="9"/>
  <c r="C811" i="24"/>
  <c r="C539" i="8"/>
  <c r="C201" i="10"/>
  <c r="C526" i="8"/>
  <c r="C552" i="8" s="1"/>
  <c r="C189" i="10"/>
  <c r="C538" i="8"/>
  <c r="C540" i="8" s="1"/>
  <c r="C202" i="10"/>
  <c r="C525" i="8"/>
  <c r="C188" i="10"/>
  <c r="B186" i="9"/>
  <c r="B811" i="24"/>
  <c r="B539" i="8"/>
  <c r="E539" i="8" s="1"/>
  <c r="B525" i="8"/>
  <c r="B526" i="8"/>
  <c r="B188" i="10"/>
  <c r="B189" i="10"/>
  <c r="B201" i="10"/>
  <c r="B202" i="10"/>
  <c r="B538" i="8"/>
  <c r="S797" i="22"/>
  <c r="S877" i="22" s="1"/>
  <c r="S869" i="22"/>
  <c r="S200" i="9"/>
  <c r="S748" i="22"/>
  <c r="S754" i="22"/>
  <c r="S197" i="9"/>
  <c r="G233" i="9"/>
  <c r="G236" i="9"/>
  <c r="G241" i="9"/>
  <c r="R183" i="9"/>
  <c r="R814" i="24"/>
  <c r="I940" i="22"/>
  <c r="I462" i="24"/>
  <c r="I316" i="9"/>
  <c r="I370" i="9"/>
  <c r="I358" i="9"/>
  <c r="I937" i="22"/>
  <c r="I275" i="9"/>
  <c r="I226" i="9"/>
  <c r="J352" i="9"/>
  <c r="H244" i="9"/>
  <c r="H232" i="9"/>
  <c r="H243" i="9"/>
  <c r="H219" i="9"/>
  <c r="H221" i="9"/>
  <c r="H247" i="9" s="1"/>
  <c r="I263" i="9"/>
  <c r="I214" i="9"/>
  <c r="J340" i="9"/>
  <c r="R1488" i="24"/>
  <c r="Q169" i="9"/>
  <c r="Q195" i="9"/>
  <c r="Q197" i="9" s="1"/>
  <c r="Q816" i="22"/>
  <c r="Q815" i="22"/>
  <c r="Q747" i="22"/>
  <c r="Q755" i="22" s="1"/>
  <c r="Q746" i="22"/>
  <c r="Q819" i="22"/>
  <c r="Q820" i="22"/>
  <c r="Q846" i="22" s="1"/>
  <c r="P1488" i="24"/>
  <c r="O183" i="9"/>
  <c r="O814" i="24"/>
  <c r="N169" i="9"/>
  <c r="N195" i="9"/>
  <c r="N197" i="9" s="1"/>
  <c r="N746" i="22"/>
  <c r="N819" i="22"/>
  <c r="N816" i="22"/>
  <c r="N747" i="22"/>
  <c r="N755" i="22" s="1"/>
  <c r="N820" i="22"/>
  <c r="N846" i="22" s="1"/>
  <c r="N815" i="22"/>
  <c r="M169" i="9"/>
  <c r="M195" i="9"/>
  <c r="M197" i="9" s="1"/>
  <c r="M816" i="22"/>
  <c r="M815" i="22"/>
  <c r="M747" i="22"/>
  <c r="M755" i="22" s="1"/>
  <c r="M746" i="22"/>
  <c r="M819" i="22"/>
  <c r="M820" i="22"/>
  <c r="M846" i="22" s="1"/>
  <c r="L196" i="9"/>
  <c r="L750" i="22"/>
  <c r="L829" i="22"/>
  <c r="L828" i="22"/>
  <c r="L751" i="22"/>
  <c r="L832" i="22"/>
  <c r="L833" i="22"/>
  <c r="K169" i="9"/>
  <c r="K195" i="9"/>
  <c r="K197" i="9" s="1"/>
  <c r="K747" i="22"/>
  <c r="K755" i="22" s="1"/>
  <c r="K820" i="22"/>
  <c r="K846" i="22" s="1"/>
  <c r="K746" i="22"/>
  <c r="K819" i="22"/>
  <c r="K815" i="22"/>
  <c r="K816" i="22"/>
  <c r="J183" i="9"/>
  <c r="J814" i="24"/>
  <c r="I183" i="9"/>
  <c r="I814" i="24"/>
  <c r="G67" i="9"/>
  <c r="G196" i="9"/>
  <c r="G828" i="22"/>
  <c r="G833" i="22"/>
  <c r="G751" i="22"/>
  <c r="G750" i="22"/>
  <c r="G752" i="22" s="1"/>
  <c r="G829" i="22"/>
  <c r="G832" i="22"/>
  <c r="G834" i="22" s="1"/>
  <c r="G136" i="9" s="1"/>
  <c r="F196" i="9"/>
  <c r="F67" i="9"/>
  <c r="F833" i="22"/>
  <c r="F751" i="22"/>
  <c r="F832" i="22"/>
  <c r="F750" i="22"/>
  <c r="F752" i="22" s="1"/>
  <c r="F828" i="22"/>
  <c r="F829" i="22"/>
  <c r="E183" i="9"/>
  <c r="E814" i="24"/>
  <c r="D1488" i="24"/>
  <c r="C67" i="9"/>
  <c r="C196" i="9"/>
  <c r="C828" i="22"/>
  <c r="C833" i="22"/>
  <c r="C751" i="22"/>
  <c r="C750" i="22"/>
  <c r="C829" i="22"/>
  <c r="C832" i="22"/>
  <c r="C834" i="22" s="1"/>
  <c r="C136" i="9" s="1"/>
  <c r="B196" i="9"/>
  <c r="B67" i="9"/>
  <c r="B833" i="22"/>
  <c r="B751" i="22"/>
  <c r="B832" i="22"/>
  <c r="B750" i="22"/>
  <c r="B828" i="22"/>
  <c r="B829" i="22"/>
  <c r="T457" i="9"/>
  <c r="T460" i="9"/>
  <c r="T448" i="9"/>
  <c r="H933" i="22"/>
  <c r="H930" i="22"/>
  <c r="H938" i="22"/>
  <c r="T417" i="9"/>
  <c r="T420" i="9"/>
  <c r="T471" i="9"/>
  <c r="T474" i="9"/>
  <c r="T408" i="9"/>
  <c r="I918" i="22"/>
  <c r="I912" i="22"/>
  <c r="G278" i="9"/>
  <c r="G290" i="9"/>
  <c r="G287" i="9"/>
  <c r="I12" i="5"/>
  <c r="R179" i="9"/>
  <c r="R185" i="9"/>
  <c r="R810" i="24"/>
  <c r="Q172" i="9"/>
  <c r="Q25" i="21" s="1"/>
  <c r="Q192" i="9"/>
  <c r="Q200" i="9" s="1"/>
  <c r="Q737" i="22"/>
  <c r="Q788" i="22"/>
  <c r="Q793" i="22"/>
  <c r="Q873" i="22" s="1"/>
  <c r="Q738" i="22"/>
  <c r="Q764" i="22" s="1"/>
  <c r="Q789" i="22"/>
  <c r="Q792" i="22"/>
  <c r="P179" i="9"/>
  <c r="P185" i="9"/>
  <c r="P810" i="24"/>
  <c r="O186" i="9"/>
  <c r="O811" i="24"/>
  <c r="N172" i="9"/>
  <c r="N25" i="21" s="1"/>
  <c r="N192" i="9"/>
  <c r="N200" i="9" s="1"/>
  <c r="N738" i="22"/>
  <c r="N764" i="22" s="1"/>
  <c r="N789" i="22"/>
  <c r="N737" i="22"/>
  <c r="N788" i="22"/>
  <c r="N792" i="22"/>
  <c r="N793" i="22"/>
  <c r="N873" i="22" s="1"/>
  <c r="M172" i="9"/>
  <c r="M25" i="21" s="1"/>
  <c r="M192" i="9"/>
  <c r="M200" i="9" s="1"/>
  <c r="M737" i="22"/>
  <c r="M788" i="22"/>
  <c r="M793" i="22"/>
  <c r="M873" i="22" s="1"/>
  <c r="M738" i="22"/>
  <c r="M764" i="22" s="1"/>
  <c r="M789" i="22"/>
  <c r="M792" i="22"/>
  <c r="L165" i="9"/>
  <c r="L171" i="9"/>
  <c r="L24" i="21" s="1"/>
  <c r="L26" i="21" s="1"/>
  <c r="L191" i="9"/>
  <c r="L734" i="22"/>
  <c r="L779" i="22"/>
  <c r="L733" i="22"/>
  <c r="L776" i="22"/>
  <c r="L775" i="22"/>
  <c r="L780" i="22"/>
  <c r="K172" i="9"/>
  <c r="K25" i="21" s="1"/>
  <c r="K192" i="9"/>
  <c r="K200" i="9" s="1"/>
  <c r="K792" i="22"/>
  <c r="K738" i="22"/>
  <c r="K764" i="22" s="1"/>
  <c r="K789" i="22"/>
  <c r="K737" i="22"/>
  <c r="K793" i="22"/>
  <c r="K873" i="22" s="1"/>
  <c r="K788" i="22"/>
  <c r="J186" i="9"/>
  <c r="J811" i="24"/>
  <c r="I186" i="9"/>
  <c r="I811" i="24"/>
  <c r="K201" i="10"/>
  <c r="K538" i="8"/>
  <c r="K526" i="8"/>
  <c r="K189" i="10"/>
  <c r="H179" i="9"/>
  <c r="H185" i="9"/>
  <c r="H810" i="24"/>
  <c r="J198" i="10"/>
  <c r="J521" i="8"/>
  <c r="J184" i="10"/>
  <c r="J534" i="8"/>
  <c r="J535" i="8"/>
  <c r="J197" i="10"/>
  <c r="J522" i="8"/>
  <c r="J185" i="10"/>
  <c r="G165" i="9"/>
  <c r="G171" i="9"/>
  <c r="G24" i="21" s="1"/>
  <c r="G26" i="21" s="1"/>
  <c r="G191" i="9"/>
  <c r="G62" i="9"/>
  <c r="G733" i="22"/>
  <c r="G776" i="22"/>
  <c r="G775" i="22"/>
  <c r="G780" i="22"/>
  <c r="G734" i="22"/>
  <c r="G779" i="22"/>
  <c r="G1097" i="24"/>
  <c r="G1083" i="24"/>
  <c r="G1084" i="24"/>
  <c r="G1096" i="24"/>
  <c r="F165" i="9"/>
  <c r="F171" i="9"/>
  <c r="F24" i="21" s="1"/>
  <c r="F26" i="21" s="1"/>
  <c r="F191" i="9"/>
  <c r="F62" i="9"/>
  <c r="F775" i="22"/>
  <c r="F780" i="22"/>
  <c r="F734" i="22"/>
  <c r="F779" i="22"/>
  <c r="F733" i="22"/>
  <c r="F776" i="22"/>
  <c r="F1096" i="24"/>
  <c r="F1097" i="24"/>
  <c r="F1083" i="24"/>
  <c r="F1084" i="24"/>
  <c r="E186" i="9"/>
  <c r="E811" i="24"/>
  <c r="F539" i="8"/>
  <c r="I539" i="8" s="1"/>
  <c r="F538" i="8"/>
  <c r="F525" i="8"/>
  <c r="F526" i="8"/>
  <c r="F188" i="10"/>
  <c r="F189" i="10"/>
  <c r="F201" i="10"/>
  <c r="F202" i="10"/>
  <c r="D179" i="9"/>
  <c r="D185" i="9"/>
  <c r="D810" i="24"/>
  <c r="D535" i="8"/>
  <c r="D197" i="10"/>
  <c r="D198" i="10"/>
  <c r="D534" i="8"/>
  <c r="D521" i="8"/>
  <c r="D522" i="8"/>
  <c r="D185" i="10"/>
  <c r="D184" i="10"/>
  <c r="C165" i="9"/>
  <c r="C171" i="9"/>
  <c r="C24" i="21" s="1"/>
  <c r="C26" i="21" s="1"/>
  <c r="C191" i="9"/>
  <c r="C62" i="9"/>
  <c r="C733" i="22"/>
  <c r="C776" i="22"/>
  <c r="C775" i="22"/>
  <c r="C780" i="22"/>
  <c r="C734" i="22"/>
  <c r="C779" i="22"/>
  <c r="C1084" i="24"/>
  <c r="C1096" i="24"/>
  <c r="C1097" i="24"/>
  <c r="C1083" i="24"/>
  <c r="B165" i="9"/>
  <c r="B171" i="9"/>
  <c r="B24" i="21" s="1"/>
  <c r="B26" i="21" s="1"/>
  <c r="B191" i="9"/>
  <c r="B62" i="9"/>
  <c r="B775" i="22"/>
  <c r="B780" i="22"/>
  <c r="B734" i="22"/>
  <c r="B779" i="22"/>
  <c r="B733" i="22"/>
  <c r="B776" i="22"/>
  <c r="B1096" i="24"/>
  <c r="B1097" i="24"/>
  <c r="B1083" i="24"/>
  <c r="B1084" i="24"/>
  <c r="S790" i="22"/>
  <c r="S796" i="22"/>
  <c r="S876" i="22" s="1"/>
  <c r="S868" i="22"/>
  <c r="S764" i="22"/>
  <c r="S824" i="22"/>
  <c r="S850" i="22" s="1"/>
  <c r="S842" i="22"/>
  <c r="S846" i="22"/>
  <c r="C837" i="22" l="1"/>
  <c r="B752" i="22"/>
  <c r="F834" i="22"/>
  <c r="F136" i="9" s="1"/>
  <c r="R834" i="22"/>
  <c r="R136" i="9" s="1"/>
  <c r="Q752" i="22"/>
  <c r="B834" i="22"/>
  <c r="B136" i="9" s="1"/>
  <c r="D752" i="22"/>
  <c r="K752" i="22"/>
  <c r="C752" i="22"/>
  <c r="G837" i="22"/>
  <c r="H540" i="8"/>
  <c r="K837" i="22"/>
  <c r="Q837" i="22"/>
  <c r="Q834" i="22"/>
  <c r="Q136" i="9" s="1"/>
  <c r="B801" i="22"/>
  <c r="B777" i="22"/>
  <c r="B783" i="22"/>
  <c r="B855" i="22"/>
  <c r="D151" i="7"/>
  <c r="F593" i="8"/>
  <c r="D61" i="10"/>
  <c r="D206" i="10"/>
  <c r="F247" i="10" s="1"/>
  <c r="F239" i="10"/>
  <c r="D422" i="11"/>
  <c r="D117" i="12"/>
  <c r="D743" i="24"/>
  <c r="F784" i="22"/>
  <c r="F856" i="22"/>
  <c r="F802" i="22"/>
  <c r="G64" i="9"/>
  <c r="G70" i="9"/>
  <c r="G17" i="9"/>
  <c r="J150" i="8"/>
  <c r="J536" i="8"/>
  <c r="J542" i="8"/>
  <c r="L860" i="22"/>
  <c r="L806" i="22"/>
  <c r="L805" i="22"/>
  <c r="L781" i="22"/>
  <c r="L859" i="22"/>
  <c r="L170" i="9"/>
  <c r="L173" i="9"/>
  <c r="N794" i="22"/>
  <c r="N872" i="22"/>
  <c r="O49" i="9"/>
  <c r="O819" i="24"/>
  <c r="P184" i="9"/>
  <c r="P187" i="9"/>
  <c r="R187" i="9"/>
  <c r="R184" i="9"/>
  <c r="B95" i="9"/>
  <c r="B94" i="9"/>
  <c r="B96" i="9" s="1"/>
  <c r="C94" i="9"/>
  <c r="C95" i="9"/>
  <c r="E52" i="9"/>
  <c r="E816" i="24"/>
  <c r="F95" i="9"/>
  <c r="F94" i="9"/>
  <c r="F96" i="9" s="1"/>
  <c r="G94" i="9"/>
  <c r="G95" i="9"/>
  <c r="I52" i="9"/>
  <c r="I816" i="24"/>
  <c r="K824" i="22"/>
  <c r="K850" i="22" s="1"/>
  <c r="K842" i="22"/>
  <c r="L830" i="22"/>
  <c r="L836" i="22"/>
  <c r="Q821" i="22"/>
  <c r="Q845" i="22"/>
  <c r="Q842" i="22"/>
  <c r="Q824" i="22"/>
  <c r="Q850" i="22" s="1"/>
  <c r="I234" i="9"/>
  <c r="B301" i="7"/>
  <c r="C581" i="8"/>
  <c r="I581" i="8"/>
  <c r="B203" i="10"/>
  <c r="E201" i="10"/>
  <c r="C242" i="10"/>
  <c r="B94" i="10"/>
  <c r="I242" i="10"/>
  <c r="B425" i="11"/>
  <c r="B120" i="12"/>
  <c r="B746" i="24"/>
  <c r="B527" i="8"/>
  <c r="E525" i="8"/>
  <c r="B551" i="8"/>
  <c r="C297" i="7"/>
  <c r="D577" i="8"/>
  <c r="C90" i="10"/>
  <c r="C190" i="10"/>
  <c r="C214" i="10"/>
  <c r="D229" i="10"/>
  <c r="C412" i="11"/>
  <c r="C107" i="12"/>
  <c r="C733" i="24"/>
  <c r="D590" i="8"/>
  <c r="C215" i="10"/>
  <c r="D230" i="10"/>
  <c r="C413" i="11"/>
  <c r="C108" i="12"/>
  <c r="C734" i="24"/>
  <c r="C49" i="9"/>
  <c r="C819" i="24"/>
  <c r="D279" i="8"/>
  <c r="D357" i="8"/>
  <c r="D358" i="8"/>
  <c r="D140" i="11"/>
  <c r="D68" i="11"/>
  <c r="D141" i="11"/>
  <c r="D1105" i="24"/>
  <c r="D27" i="11"/>
  <c r="D238" i="8"/>
  <c r="D802" i="22"/>
  <c r="D784" i="22"/>
  <c r="D856" i="22"/>
  <c r="D193" i="9"/>
  <c r="D199" i="9"/>
  <c r="F267" i="8"/>
  <c r="F322" i="8"/>
  <c r="F321" i="8"/>
  <c r="F150" i="11"/>
  <c r="F71" i="11"/>
  <c r="F149" i="11"/>
  <c r="E1102" i="24"/>
  <c r="F356" i="11" s="1"/>
  <c r="F226" i="8"/>
  <c r="F30" i="11"/>
  <c r="E794" i="22"/>
  <c r="E872" i="22"/>
  <c r="E790" i="22"/>
  <c r="E796" i="22"/>
  <c r="E868" i="22"/>
  <c r="G301" i="7"/>
  <c r="H581" i="8"/>
  <c r="G94" i="10"/>
  <c r="G203" i="10"/>
  <c r="H244" i="10" s="1"/>
  <c r="H242" i="10"/>
  <c r="G425" i="11"/>
  <c r="G120" i="12"/>
  <c r="F746" i="24"/>
  <c r="G527" i="8"/>
  <c r="G553" i="8" s="1"/>
  <c r="G551" i="8"/>
  <c r="H301" i="7"/>
  <c r="J581" i="8"/>
  <c r="J242" i="10"/>
  <c r="H94" i="10"/>
  <c r="H203" i="10"/>
  <c r="J244" i="10" s="1"/>
  <c r="H425" i="11"/>
  <c r="H120" i="12"/>
  <c r="G746" i="24"/>
  <c r="J317" i="8"/>
  <c r="J266" i="8"/>
  <c r="J318" i="8"/>
  <c r="J67" i="11"/>
  <c r="J137" i="11"/>
  <c r="J136" i="11"/>
  <c r="H1098" i="24"/>
  <c r="H1104" i="24"/>
  <c r="H759" i="22"/>
  <c r="H735" i="22"/>
  <c r="H741" i="22"/>
  <c r="I797" i="22"/>
  <c r="I869" i="22"/>
  <c r="I763" i="22"/>
  <c r="I739" i="22"/>
  <c r="J797" i="22"/>
  <c r="J877" i="22" s="1"/>
  <c r="J869" i="22"/>
  <c r="L49" i="9"/>
  <c r="L819" i="24"/>
  <c r="M184" i="9"/>
  <c r="M187" i="9"/>
  <c r="O790" i="22"/>
  <c r="O796" i="22"/>
  <c r="O868" i="22"/>
  <c r="P759" i="22"/>
  <c r="P735" i="22"/>
  <c r="P741" i="22"/>
  <c r="R781" i="22"/>
  <c r="R859" i="22"/>
  <c r="R805" i="22"/>
  <c r="B52" i="9"/>
  <c r="B816" i="24"/>
  <c r="D837" i="22"/>
  <c r="E841" i="22"/>
  <c r="E817" i="22"/>
  <c r="E823" i="22"/>
  <c r="H830" i="22"/>
  <c r="H836" i="22"/>
  <c r="O817" i="22"/>
  <c r="O823" i="22"/>
  <c r="O841" i="22"/>
  <c r="P837" i="22"/>
  <c r="R95" i="9"/>
  <c r="R94" i="9"/>
  <c r="S82" i="9"/>
  <c r="S81" i="9"/>
  <c r="S765" i="22"/>
  <c r="B280" i="8"/>
  <c r="B362" i="8"/>
  <c r="B361" i="8"/>
  <c r="B154" i="11"/>
  <c r="B72" i="11"/>
  <c r="B153" i="11"/>
  <c r="B239" i="8"/>
  <c r="B31" i="11"/>
  <c r="B790" i="22"/>
  <c r="B796" i="22"/>
  <c r="B868" i="22"/>
  <c r="B71" i="9"/>
  <c r="C280" i="8"/>
  <c r="C361" i="8"/>
  <c r="C363" i="8" s="1"/>
  <c r="C362" i="8"/>
  <c r="C72" i="11"/>
  <c r="C153" i="11"/>
  <c r="C154" i="11"/>
  <c r="C239" i="8"/>
  <c r="C31" i="11"/>
  <c r="C873" i="22"/>
  <c r="C872" i="22"/>
  <c r="C794" i="22"/>
  <c r="D297" i="7"/>
  <c r="F577" i="8"/>
  <c r="D90" i="10"/>
  <c r="D190" i="10"/>
  <c r="D214" i="10"/>
  <c r="F229" i="10"/>
  <c r="D412" i="11"/>
  <c r="D107" i="12"/>
  <c r="D733" i="24"/>
  <c r="D49" i="9"/>
  <c r="D819" i="24"/>
  <c r="F147" i="8"/>
  <c r="I522" i="8"/>
  <c r="F530" i="8"/>
  <c r="F548" i="8"/>
  <c r="F146" i="7"/>
  <c r="F296" i="7"/>
  <c r="G576" i="8"/>
  <c r="I184" i="10"/>
  <c r="F192" i="10"/>
  <c r="G225" i="10"/>
  <c r="F56" i="10"/>
  <c r="F89" i="10"/>
  <c r="F186" i="10"/>
  <c r="F210" i="10"/>
  <c r="F408" i="11"/>
  <c r="F103" i="12"/>
  <c r="E729" i="24"/>
  <c r="E184" i="9"/>
  <c r="E187" i="9"/>
  <c r="G321" i="8"/>
  <c r="G267" i="8"/>
  <c r="G322" i="8"/>
  <c r="G149" i="11"/>
  <c r="G71" i="11"/>
  <c r="G150" i="11"/>
  <c r="F1102" i="24"/>
  <c r="G356" i="11" s="1"/>
  <c r="G30" i="11"/>
  <c r="G226" i="8"/>
  <c r="F763" i="22"/>
  <c r="F739" i="22"/>
  <c r="F200" i="9"/>
  <c r="H263" i="8"/>
  <c r="H308" i="8"/>
  <c r="H309" i="8"/>
  <c r="H58" i="11"/>
  <c r="H110" i="11"/>
  <c r="H109" i="11"/>
  <c r="G1089" i="24"/>
  <c r="G1113" i="24"/>
  <c r="H17" i="11"/>
  <c r="H222" i="8"/>
  <c r="G739" i="22"/>
  <c r="G763" i="22"/>
  <c r="G71" i="9"/>
  <c r="J297" i="7"/>
  <c r="J90" i="10"/>
  <c r="J190" i="10"/>
  <c r="J214" i="10"/>
  <c r="J412" i="11"/>
  <c r="J107" i="12"/>
  <c r="H733" i="24"/>
  <c r="K594" i="8"/>
  <c r="K243" i="10"/>
  <c r="J426" i="11"/>
  <c r="J121" i="12"/>
  <c r="H747" i="24"/>
  <c r="K150" i="8"/>
  <c r="K542" i="8"/>
  <c r="J48" i="9"/>
  <c r="J812" i="24"/>
  <c r="J818" i="24"/>
  <c r="K742" i="22"/>
  <c r="K768" i="22" s="1"/>
  <c r="K760" i="22"/>
  <c r="K759" i="22"/>
  <c r="K735" i="22"/>
  <c r="K741" i="22"/>
  <c r="K173" i="9"/>
  <c r="K170" i="9"/>
  <c r="L764" i="22"/>
  <c r="L200" i="9"/>
  <c r="M735" i="22"/>
  <c r="M741" i="22"/>
  <c r="M759" i="22"/>
  <c r="N784" i="22"/>
  <c r="N856" i="22"/>
  <c r="N802" i="22"/>
  <c r="N806" i="22"/>
  <c r="N886" i="22" s="1"/>
  <c r="N860" i="22"/>
  <c r="N26" i="21"/>
  <c r="O184" i="9"/>
  <c r="O187" i="9"/>
  <c r="Q784" i="22"/>
  <c r="Q856" i="22"/>
  <c r="Q802" i="22"/>
  <c r="Q882" i="22" s="1"/>
  <c r="Q806" i="22"/>
  <c r="Q886" i="22" s="1"/>
  <c r="Q860" i="22"/>
  <c r="Q170" i="9"/>
  <c r="Q173" i="9"/>
  <c r="H276" i="9"/>
  <c r="H289" i="9" s="1"/>
  <c r="H227" i="9"/>
  <c r="H281" i="9"/>
  <c r="H269" i="9"/>
  <c r="I353" i="9"/>
  <c r="S860" i="22"/>
  <c r="S806" i="22"/>
  <c r="S886" i="22" s="1"/>
  <c r="S48" i="9"/>
  <c r="S812" i="24"/>
  <c r="S818" i="24"/>
  <c r="C748" i="22"/>
  <c r="C754" i="22"/>
  <c r="C197" i="9"/>
  <c r="F755" i="22"/>
  <c r="F197" i="9"/>
  <c r="G817" i="22"/>
  <c r="G823" i="22"/>
  <c r="G841" i="22"/>
  <c r="G755" i="22"/>
  <c r="H52" i="9"/>
  <c r="H816" i="24"/>
  <c r="K94" i="9"/>
  <c r="K96" i="9" s="1"/>
  <c r="K95" i="9"/>
  <c r="L748" i="22"/>
  <c r="L754" i="22"/>
  <c r="N830" i="22"/>
  <c r="N836" i="22"/>
  <c r="S123" i="9"/>
  <c r="S149" i="9" s="1"/>
  <c r="S874" i="22"/>
  <c r="B146" i="7"/>
  <c r="B296" i="7"/>
  <c r="I576" i="8"/>
  <c r="C576" i="8"/>
  <c r="E184" i="10"/>
  <c r="B192" i="10"/>
  <c r="C225" i="10"/>
  <c r="B56" i="10"/>
  <c r="B89" i="10"/>
  <c r="B186" i="10"/>
  <c r="B210" i="10"/>
  <c r="I225" i="10"/>
  <c r="B408" i="11"/>
  <c r="B103" i="12"/>
  <c r="B729" i="24"/>
  <c r="B147" i="8"/>
  <c r="E522" i="8"/>
  <c r="B530" i="8"/>
  <c r="B548" i="8"/>
  <c r="B48" i="9"/>
  <c r="B812" i="24"/>
  <c r="B818" i="24"/>
  <c r="C146" i="8"/>
  <c r="C529" i="8"/>
  <c r="C523" i="8"/>
  <c r="C547" i="8"/>
  <c r="C147" i="8"/>
  <c r="C530" i="8"/>
  <c r="C548" i="8"/>
  <c r="D280" i="8"/>
  <c r="D361" i="8"/>
  <c r="D362" i="8"/>
  <c r="D72" i="11"/>
  <c r="D154" i="11"/>
  <c r="D153" i="11"/>
  <c r="D155" i="11" s="1"/>
  <c r="D239" i="8"/>
  <c r="D31" i="11"/>
  <c r="D739" i="22"/>
  <c r="D763" i="22"/>
  <c r="D71" i="9"/>
  <c r="F279" i="8"/>
  <c r="F358" i="8"/>
  <c r="F357" i="8"/>
  <c r="F68" i="11"/>
  <c r="F140" i="11"/>
  <c r="F141" i="11"/>
  <c r="E1105" i="24"/>
  <c r="F238" i="8"/>
  <c r="F27" i="11"/>
  <c r="E784" i="22"/>
  <c r="E856" i="22"/>
  <c r="E802" i="22"/>
  <c r="E806" i="22"/>
  <c r="E886" i="22" s="1"/>
  <c r="E860" i="22"/>
  <c r="E170" i="9"/>
  <c r="E173" i="9"/>
  <c r="G530" i="8"/>
  <c r="G147" i="8"/>
  <c r="G548" i="8"/>
  <c r="G146" i="8"/>
  <c r="G529" i="8"/>
  <c r="G523" i="8"/>
  <c r="G547" i="8"/>
  <c r="H150" i="8"/>
  <c r="H542" i="8"/>
  <c r="H536" i="8"/>
  <c r="H544" i="8" s="1"/>
  <c r="H146" i="7"/>
  <c r="H296" i="7"/>
  <c r="J576" i="8"/>
  <c r="H56" i="10"/>
  <c r="H89" i="10"/>
  <c r="J225" i="10"/>
  <c r="H186" i="10"/>
  <c r="H210" i="10"/>
  <c r="H192" i="10"/>
  <c r="H408" i="11"/>
  <c r="H103" i="12"/>
  <c r="G729" i="24"/>
  <c r="G48" i="9"/>
  <c r="G812" i="24"/>
  <c r="G818" i="24"/>
  <c r="J280" i="8"/>
  <c r="J362" i="8"/>
  <c r="J361" i="8"/>
  <c r="J154" i="11"/>
  <c r="J72" i="11"/>
  <c r="J153" i="11"/>
  <c r="H790" i="22"/>
  <c r="H796" i="22"/>
  <c r="H876" i="22" s="1"/>
  <c r="H868" i="22"/>
  <c r="H873" i="22"/>
  <c r="K266" i="8"/>
  <c r="K318" i="8"/>
  <c r="K317" i="8"/>
  <c r="K137" i="11"/>
  <c r="K67" i="11"/>
  <c r="K136" i="11"/>
  <c r="I1104" i="24"/>
  <c r="I777" i="22"/>
  <c r="I783" i="22"/>
  <c r="I855" i="22"/>
  <c r="I801" i="22"/>
  <c r="I760" i="22"/>
  <c r="I742" i="22"/>
  <c r="I768" i="22" s="1"/>
  <c r="I26" i="21"/>
  <c r="J781" i="22"/>
  <c r="J859" i="22"/>
  <c r="J805" i="22"/>
  <c r="K49" i="9"/>
  <c r="K819" i="24"/>
  <c r="L184" i="9"/>
  <c r="L187" i="9"/>
  <c r="O801" i="22"/>
  <c r="O881" i="22" s="1"/>
  <c r="O777" i="22"/>
  <c r="O783" i="22"/>
  <c r="O855" i="22"/>
  <c r="O193" i="9"/>
  <c r="O199" i="9"/>
  <c r="P790" i="22"/>
  <c r="P796" i="22"/>
  <c r="P868" i="22"/>
  <c r="P873" i="22"/>
  <c r="Q49" i="9"/>
  <c r="Q819" i="24"/>
  <c r="R790" i="22"/>
  <c r="R796" i="22"/>
  <c r="R868" i="22"/>
  <c r="B755" i="22"/>
  <c r="B197" i="9"/>
  <c r="D846" i="22"/>
  <c r="D197" i="9"/>
  <c r="H748" i="22"/>
  <c r="H754" i="22"/>
  <c r="J830" i="22"/>
  <c r="J836" i="22"/>
  <c r="O836" i="22"/>
  <c r="O830" i="22"/>
  <c r="P824" i="22"/>
  <c r="P850" i="22" s="1"/>
  <c r="P842" i="22"/>
  <c r="P841" i="22"/>
  <c r="P817" i="22"/>
  <c r="P823" i="22"/>
  <c r="Q52" i="9"/>
  <c r="Q816" i="24"/>
  <c r="R755" i="22"/>
  <c r="R197" i="9"/>
  <c r="I258" i="9"/>
  <c r="I450" i="24"/>
  <c r="I923" i="22"/>
  <c r="I474" i="24"/>
  <c r="I452" i="24"/>
  <c r="I478" i="24" s="1"/>
  <c r="B304" i="8"/>
  <c r="B305" i="8"/>
  <c r="B262" i="8"/>
  <c r="B54" i="11"/>
  <c r="B97" i="11"/>
  <c r="B96" i="11"/>
  <c r="B1109" i="24"/>
  <c r="B1085" i="24"/>
  <c r="B1091" i="24"/>
  <c r="B13" i="11"/>
  <c r="B221" i="8"/>
  <c r="B170" i="9"/>
  <c r="B173" i="9"/>
  <c r="C193" i="9"/>
  <c r="C199" i="9"/>
  <c r="G590" i="8"/>
  <c r="F215" i="10"/>
  <c r="I189" i="10"/>
  <c r="G230" i="10"/>
  <c r="F413" i="11"/>
  <c r="F108" i="12"/>
  <c r="E734" i="24"/>
  <c r="G860" i="22"/>
  <c r="G806" i="22"/>
  <c r="J147" i="7"/>
  <c r="K589" i="8"/>
  <c r="J211" i="10"/>
  <c r="K226" i="10"/>
  <c r="J193" i="10"/>
  <c r="J57" i="10"/>
  <c r="J409" i="11"/>
  <c r="J104" i="12"/>
  <c r="H730" i="24"/>
  <c r="B781" i="22"/>
  <c r="B859" i="22"/>
  <c r="B805" i="22"/>
  <c r="C262" i="8"/>
  <c r="C304" i="8"/>
  <c r="C305" i="8"/>
  <c r="C97" i="11"/>
  <c r="C54" i="11"/>
  <c r="C96" i="11"/>
  <c r="C1109" i="24"/>
  <c r="C1085" i="24"/>
  <c r="C1091" i="24"/>
  <c r="C13" i="11"/>
  <c r="C221" i="8"/>
  <c r="D150" i="7"/>
  <c r="D300" i="7"/>
  <c r="F580" i="8"/>
  <c r="D60" i="10"/>
  <c r="D95" i="10" s="1"/>
  <c r="D93" i="10"/>
  <c r="D205" i="10"/>
  <c r="F246" i="10" s="1"/>
  <c r="D199" i="10"/>
  <c r="F238" i="10"/>
  <c r="D421" i="11"/>
  <c r="D116" i="12"/>
  <c r="D742" i="24"/>
  <c r="F297" i="7"/>
  <c r="G577" i="8"/>
  <c r="I188" i="10"/>
  <c r="G229" i="10"/>
  <c r="F90" i="10"/>
  <c r="F190" i="10"/>
  <c r="F214" i="10"/>
  <c r="F412" i="11"/>
  <c r="F107" i="12"/>
  <c r="E733" i="24"/>
  <c r="G262" i="8"/>
  <c r="G304" i="8"/>
  <c r="G305" i="8"/>
  <c r="G97" i="11"/>
  <c r="G96" i="11"/>
  <c r="G54" i="11"/>
  <c r="F1109" i="24"/>
  <c r="F1085" i="24"/>
  <c r="F1091" i="24"/>
  <c r="G13" i="11"/>
  <c r="G221" i="8"/>
  <c r="F801" i="22"/>
  <c r="F777" i="22"/>
  <c r="F783" i="22"/>
  <c r="F855" i="22"/>
  <c r="H279" i="8"/>
  <c r="H357" i="8"/>
  <c r="H358" i="8"/>
  <c r="H140" i="11"/>
  <c r="H68" i="11"/>
  <c r="H141" i="11"/>
  <c r="G1105" i="24"/>
  <c r="H27" i="11"/>
  <c r="H238" i="8"/>
  <c r="G193" i="9"/>
  <c r="G199" i="9"/>
  <c r="J146" i="7"/>
  <c r="J296" i="7"/>
  <c r="K576" i="8"/>
  <c r="J192" i="10"/>
  <c r="K225" i="10"/>
  <c r="J56" i="10"/>
  <c r="J89" i="10"/>
  <c r="J186" i="10"/>
  <c r="J210" i="10"/>
  <c r="J408" i="11"/>
  <c r="J103" i="12"/>
  <c r="H729" i="24"/>
  <c r="L760" i="22"/>
  <c r="L742" i="22"/>
  <c r="N790" i="22"/>
  <c r="N796" i="22"/>
  <c r="N876" i="22" s="1"/>
  <c r="N868" i="22"/>
  <c r="Q794" i="22"/>
  <c r="Q872" i="22"/>
  <c r="Q790" i="22"/>
  <c r="Q796" i="22"/>
  <c r="Q868" i="22"/>
  <c r="K817" i="22"/>
  <c r="K823" i="22"/>
  <c r="K841" i="22"/>
  <c r="L837" i="22"/>
  <c r="M841" i="22"/>
  <c r="M817" i="22"/>
  <c r="M823" i="22"/>
  <c r="N842" i="22"/>
  <c r="N824" i="22"/>
  <c r="Q748" i="22"/>
  <c r="Q754" i="22"/>
  <c r="I590" i="8"/>
  <c r="C590" i="8"/>
  <c r="B215" i="10"/>
  <c r="I230" i="10"/>
  <c r="E189" i="10"/>
  <c r="C230" i="10"/>
  <c r="B413" i="11"/>
  <c r="B108" i="12"/>
  <c r="B734" i="24"/>
  <c r="C527" i="8"/>
  <c r="C553" i="8" s="1"/>
  <c r="C551" i="8"/>
  <c r="D318" i="8"/>
  <c r="D317" i="8"/>
  <c r="D266" i="8"/>
  <c r="D67" i="11"/>
  <c r="D136" i="11"/>
  <c r="D137" i="11"/>
  <c r="D1098" i="24"/>
  <c r="D1104" i="24"/>
  <c r="D26" i="11"/>
  <c r="D225" i="8"/>
  <c r="D759" i="22"/>
  <c r="D735" i="22"/>
  <c r="D741" i="22"/>
  <c r="F276" i="8"/>
  <c r="F348" i="8"/>
  <c r="F349" i="8"/>
  <c r="F114" i="11"/>
  <c r="F59" i="11"/>
  <c r="F113" i="11"/>
  <c r="E1114" i="24"/>
  <c r="F235" i="8"/>
  <c r="F18" i="11"/>
  <c r="E797" i="22"/>
  <c r="E877" i="22" s="1"/>
  <c r="E869" i="22"/>
  <c r="E763" i="22"/>
  <c r="E739" i="22"/>
  <c r="H594" i="8"/>
  <c r="H243" i="10"/>
  <c r="G426" i="11"/>
  <c r="G121" i="12"/>
  <c r="F747" i="24"/>
  <c r="F49" i="9"/>
  <c r="F819" i="24"/>
  <c r="H297" i="7"/>
  <c r="J577" i="8"/>
  <c r="H90" i="10"/>
  <c r="H98" i="10" s="1"/>
  <c r="H190" i="10"/>
  <c r="H214" i="10"/>
  <c r="J229" i="10"/>
  <c r="H412" i="11"/>
  <c r="H107" i="12"/>
  <c r="G733" i="24"/>
  <c r="J275" i="8"/>
  <c r="J344" i="8"/>
  <c r="J345" i="8"/>
  <c r="J101" i="11"/>
  <c r="J100" i="11"/>
  <c r="J55" i="11"/>
  <c r="H1110" i="24"/>
  <c r="H1092" i="24"/>
  <c r="H860" i="22"/>
  <c r="H806" i="22"/>
  <c r="H805" i="22"/>
  <c r="H781" i="22"/>
  <c r="H859" i="22"/>
  <c r="H170" i="9"/>
  <c r="H173" i="9"/>
  <c r="J794" i="22"/>
  <c r="J872" i="22"/>
  <c r="K48" i="9"/>
  <c r="K812" i="24"/>
  <c r="K818" i="24"/>
  <c r="N48" i="9"/>
  <c r="N812" i="24"/>
  <c r="N818" i="24"/>
  <c r="O794" i="22"/>
  <c r="O872" i="22"/>
  <c r="P860" i="22"/>
  <c r="P806" i="22"/>
  <c r="P805" i="22"/>
  <c r="P781" i="22"/>
  <c r="P859" i="22"/>
  <c r="P170" i="9"/>
  <c r="P173" i="9"/>
  <c r="Q184" i="9"/>
  <c r="Q187" i="9"/>
  <c r="R742" i="22"/>
  <c r="R760" i="22"/>
  <c r="R193" i="9"/>
  <c r="R199" i="9"/>
  <c r="H363" i="9"/>
  <c r="H372" i="9"/>
  <c r="H375" i="9"/>
  <c r="D834" i="22"/>
  <c r="D136" i="9" s="1"/>
  <c r="D95" i="9"/>
  <c r="D94" i="9"/>
  <c r="D96" i="9" s="1"/>
  <c r="E821" i="22"/>
  <c r="E845" i="22"/>
  <c r="E842" i="22"/>
  <c r="E824" i="22"/>
  <c r="E850" i="22" s="1"/>
  <c r="F52" i="9"/>
  <c r="F816" i="24"/>
  <c r="H837" i="22"/>
  <c r="I841" i="22"/>
  <c r="I817" i="22"/>
  <c r="I823" i="22"/>
  <c r="J842" i="22"/>
  <c r="J824" i="22"/>
  <c r="J850" i="22" s="1"/>
  <c r="L52" i="9"/>
  <c r="L816" i="24"/>
  <c r="O845" i="22"/>
  <c r="O821" i="22"/>
  <c r="P834" i="22"/>
  <c r="P136" i="9" s="1"/>
  <c r="P95" i="9"/>
  <c r="P94" i="9"/>
  <c r="S132" i="9"/>
  <c r="S140" i="9" s="1"/>
  <c r="S847" i="22"/>
  <c r="S94" i="9"/>
  <c r="S95" i="9"/>
  <c r="B267" i="8"/>
  <c r="B321" i="8"/>
  <c r="B322" i="8"/>
  <c r="B150" i="11"/>
  <c r="B71" i="11"/>
  <c r="B149" i="11"/>
  <c r="B1102" i="24"/>
  <c r="B356" i="11" s="1"/>
  <c r="B226" i="8"/>
  <c r="B30" i="11"/>
  <c r="B763" i="22"/>
  <c r="B739" i="22"/>
  <c r="B200" i="9"/>
  <c r="C322" i="8"/>
  <c r="C402" i="8" s="1"/>
  <c r="C321" i="8"/>
  <c r="C267" i="8"/>
  <c r="C293" i="8" s="1"/>
  <c r="C149" i="11"/>
  <c r="C71" i="11"/>
  <c r="C150" i="11"/>
  <c r="C1102" i="24"/>
  <c r="C356" i="11" s="1"/>
  <c r="C30" i="11"/>
  <c r="C226" i="8"/>
  <c r="C252" i="8" s="1"/>
  <c r="C739" i="22"/>
  <c r="C763" i="22"/>
  <c r="C71" i="9"/>
  <c r="D527" i="8"/>
  <c r="D551" i="8"/>
  <c r="F590" i="8"/>
  <c r="F230" i="10"/>
  <c r="D215" i="10"/>
  <c r="D413" i="11"/>
  <c r="D108" i="12"/>
  <c r="D734" i="24"/>
  <c r="F150" i="7"/>
  <c r="F300" i="7"/>
  <c r="G580" i="8"/>
  <c r="M580" i="8"/>
  <c r="F199" i="10"/>
  <c r="G238" i="10"/>
  <c r="I197" i="10"/>
  <c r="F60" i="10"/>
  <c r="F93" i="10"/>
  <c r="F205" i="10"/>
  <c r="M238" i="10"/>
  <c r="F421" i="11"/>
  <c r="F116" i="12"/>
  <c r="E742" i="24"/>
  <c r="F146" i="8"/>
  <c r="F529" i="8"/>
  <c r="F523" i="8"/>
  <c r="I521" i="8"/>
  <c r="F547" i="8"/>
  <c r="G276" i="8"/>
  <c r="G349" i="8"/>
  <c r="G348" i="8"/>
  <c r="G113" i="11"/>
  <c r="G59" i="11"/>
  <c r="G114" i="11"/>
  <c r="F1114" i="24"/>
  <c r="G235" i="8"/>
  <c r="G18" i="11"/>
  <c r="F873" i="22"/>
  <c r="F869" i="22"/>
  <c r="F797" i="22"/>
  <c r="H361" i="8"/>
  <c r="H362" i="8"/>
  <c r="H280" i="8"/>
  <c r="H72" i="11"/>
  <c r="H154" i="11"/>
  <c r="H153" i="11"/>
  <c r="H155" i="11" s="1"/>
  <c r="H239" i="8"/>
  <c r="H31" i="11"/>
  <c r="G797" i="22"/>
  <c r="G877" i="22" s="1"/>
  <c r="G869" i="22"/>
  <c r="G200" i="9"/>
  <c r="J552" i="8"/>
  <c r="J301" i="7"/>
  <c r="K581" i="8"/>
  <c r="J203" i="10"/>
  <c r="K242" i="10"/>
  <c r="J94" i="10"/>
  <c r="J425" i="11"/>
  <c r="J120" i="12"/>
  <c r="H746" i="24"/>
  <c r="H748" i="24" s="1"/>
  <c r="K147" i="7"/>
  <c r="K57" i="10"/>
  <c r="K193" i="10"/>
  <c r="K409" i="11"/>
  <c r="K104" i="12"/>
  <c r="I730" i="24"/>
  <c r="K296" i="7"/>
  <c r="K186" i="10"/>
  <c r="K210" i="10"/>
  <c r="K89" i="10"/>
  <c r="K408" i="11"/>
  <c r="K103" i="12"/>
  <c r="I729" i="24"/>
  <c r="I48" i="9"/>
  <c r="I812" i="24"/>
  <c r="I818" i="24"/>
  <c r="K860" i="22"/>
  <c r="K806" i="22"/>
  <c r="K886" i="22" s="1"/>
  <c r="L797" i="22"/>
  <c r="L877" i="22" s="1"/>
  <c r="L869" i="22"/>
  <c r="L794" i="22"/>
  <c r="L872" i="22"/>
  <c r="M805" i="22"/>
  <c r="M781" i="22"/>
  <c r="M859" i="22"/>
  <c r="M193" i="9"/>
  <c r="M199" i="9"/>
  <c r="N735" i="22"/>
  <c r="N741" i="22"/>
  <c r="N759" i="22"/>
  <c r="N801" i="22"/>
  <c r="N777" i="22"/>
  <c r="N783" i="22"/>
  <c r="N855" i="22"/>
  <c r="N170" i="9"/>
  <c r="N173" i="9"/>
  <c r="P49" i="9"/>
  <c r="P819" i="24"/>
  <c r="Q735" i="22"/>
  <c r="Q741" i="22"/>
  <c r="Q767" i="22" s="1"/>
  <c r="Q759" i="22"/>
  <c r="R49" i="9"/>
  <c r="R819" i="24"/>
  <c r="H467" i="24"/>
  <c r="H464" i="24"/>
  <c r="H472" i="24"/>
  <c r="H29" i="21" s="1"/>
  <c r="H31" i="21" s="1"/>
  <c r="S801" i="22"/>
  <c r="S881" i="22" s="1"/>
  <c r="S777" i="22"/>
  <c r="S783" i="22"/>
  <c r="S855" i="22"/>
  <c r="S193" i="9"/>
  <c r="S199" i="9"/>
  <c r="C824" i="22"/>
  <c r="C850" i="22" s="1"/>
  <c r="C842" i="22"/>
  <c r="C846" i="22"/>
  <c r="F842" i="22"/>
  <c r="F824" i="22"/>
  <c r="G845" i="22"/>
  <c r="G821" i="22"/>
  <c r="G18" i="9"/>
  <c r="G68" i="9"/>
  <c r="L846" i="22"/>
  <c r="L197" i="9"/>
  <c r="M837" i="22"/>
  <c r="N95" i="9"/>
  <c r="N94" i="9"/>
  <c r="N96" i="9" s="1"/>
  <c r="P52" i="9"/>
  <c r="P816" i="24"/>
  <c r="B146" i="8"/>
  <c r="B529" i="8"/>
  <c r="B523" i="8"/>
  <c r="E521" i="8"/>
  <c r="B547" i="8"/>
  <c r="B150" i="7"/>
  <c r="B300" i="7"/>
  <c r="C580" i="8"/>
  <c r="I580" i="8"/>
  <c r="B199" i="10"/>
  <c r="C238" i="10"/>
  <c r="E197" i="10"/>
  <c r="B60" i="10"/>
  <c r="B93" i="10"/>
  <c r="B205" i="10"/>
  <c r="I238" i="10"/>
  <c r="B421" i="11"/>
  <c r="B116" i="12"/>
  <c r="B742" i="24"/>
  <c r="C151" i="7"/>
  <c r="D593" i="8"/>
  <c r="C61" i="10"/>
  <c r="C206" i="10"/>
  <c r="D247" i="10" s="1"/>
  <c r="D239" i="10"/>
  <c r="C422" i="11"/>
  <c r="C117" i="12"/>
  <c r="C743" i="24"/>
  <c r="C150" i="7"/>
  <c r="C300" i="7"/>
  <c r="D580" i="8"/>
  <c r="C199" i="10"/>
  <c r="D238" i="10"/>
  <c r="C60" i="10"/>
  <c r="C93" i="10"/>
  <c r="C205" i="10"/>
  <c r="D246" i="10" s="1"/>
  <c r="C421" i="11"/>
  <c r="C116" i="12"/>
  <c r="C742" i="24"/>
  <c r="C184" i="9"/>
  <c r="C187" i="9"/>
  <c r="D322" i="8"/>
  <c r="D402" i="8" s="1"/>
  <c r="D267" i="8"/>
  <c r="D293" i="8" s="1"/>
  <c r="D321" i="8"/>
  <c r="D71" i="11"/>
  <c r="D150" i="11"/>
  <c r="D149" i="11"/>
  <c r="D1102" i="24"/>
  <c r="D356" i="11" s="1"/>
  <c r="D226" i="8"/>
  <c r="D252" i="8" s="1"/>
  <c r="D30" i="11"/>
  <c r="D764" i="22"/>
  <c r="D200" i="9"/>
  <c r="F266" i="8"/>
  <c r="F318" i="8"/>
  <c r="F317" i="8"/>
  <c r="F137" i="11"/>
  <c r="F136" i="11"/>
  <c r="F67" i="11"/>
  <c r="E1098" i="24"/>
  <c r="E1104" i="24"/>
  <c r="F225" i="8"/>
  <c r="F26" i="11"/>
  <c r="E735" i="22"/>
  <c r="E741" i="22"/>
  <c r="E759" i="22"/>
  <c r="E17" i="9"/>
  <c r="E64" i="9"/>
  <c r="E70" i="9"/>
  <c r="G151" i="7"/>
  <c r="H593" i="8"/>
  <c r="G61" i="10"/>
  <c r="G206" i="10"/>
  <c r="H247" i="10" s="1"/>
  <c r="H239" i="10"/>
  <c r="G422" i="11"/>
  <c r="G430" i="11" s="1"/>
  <c r="G117" i="12"/>
  <c r="G125" i="12" s="1"/>
  <c r="F743" i="24"/>
  <c r="F751" i="24" s="1"/>
  <c r="G150" i="7"/>
  <c r="G300" i="7"/>
  <c r="H580" i="8"/>
  <c r="G199" i="10"/>
  <c r="H238" i="10"/>
  <c r="G60" i="10"/>
  <c r="G93" i="10"/>
  <c r="G205" i="10"/>
  <c r="H246" i="10" s="1"/>
  <c r="G421" i="11"/>
  <c r="G116" i="12"/>
  <c r="F742" i="24"/>
  <c r="F48" i="9"/>
  <c r="F812" i="24"/>
  <c r="F818" i="24"/>
  <c r="H151" i="7"/>
  <c r="J593" i="8"/>
  <c r="H61" i="10"/>
  <c r="H206" i="10"/>
  <c r="J247" i="10" s="1"/>
  <c r="J239" i="10"/>
  <c r="H422" i="11"/>
  <c r="H117" i="12"/>
  <c r="G743" i="24"/>
  <c r="H147" i="7"/>
  <c r="J589" i="8"/>
  <c r="H193" i="10"/>
  <c r="J226" i="10"/>
  <c r="H57" i="10"/>
  <c r="H211" i="10"/>
  <c r="H409" i="11"/>
  <c r="H104" i="12"/>
  <c r="G730" i="24"/>
  <c r="J267" i="8"/>
  <c r="J322" i="8"/>
  <c r="J321" i="8"/>
  <c r="J150" i="11"/>
  <c r="J71" i="11"/>
  <c r="J149" i="11"/>
  <c r="H1102" i="24"/>
  <c r="J356" i="11" s="1"/>
  <c r="H739" i="22"/>
  <c r="H763" i="22"/>
  <c r="K345" i="8"/>
  <c r="K275" i="8"/>
  <c r="K344" i="8"/>
  <c r="K101" i="11"/>
  <c r="K55" i="11"/>
  <c r="K100" i="11"/>
  <c r="I1092" i="24"/>
  <c r="I784" i="22"/>
  <c r="I856" i="22"/>
  <c r="I802" i="22"/>
  <c r="I806" i="22"/>
  <c r="I886" i="22" s="1"/>
  <c r="I860" i="22"/>
  <c r="I170" i="9"/>
  <c r="I173" i="9"/>
  <c r="J742" i="22"/>
  <c r="J768" i="22" s="1"/>
  <c r="J760" i="22"/>
  <c r="J193" i="9"/>
  <c r="J199" i="9"/>
  <c r="M49" i="9"/>
  <c r="M819" i="24"/>
  <c r="O781" i="22"/>
  <c r="O859" i="22"/>
  <c r="O805" i="22"/>
  <c r="O885" i="22" s="1"/>
  <c r="O802" i="22"/>
  <c r="O784" i="22"/>
  <c r="O856" i="22"/>
  <c r="O26" i="21"/>
  <c r="P739" i="22"/>
  <c r="P763" i="22"/>
  <c r="R763" i="22"/>
  <c r="R739" i="22"/>
  <c r="R200" i="9"/>
  <c r="J341" i="9"/>
  <c r="J365" i="9"/>
  <c r="J444" i="24"/>
  <c r="J298" i="9"/>
  <c r="J12" i="4"/>
  <c r="G161" i="26"/>
  <c r="B842" i="22"/>
  <c r="B824" i="22"/>
  <c r="D821" i="22"/>
  <c r="D845" i="22"/>
  <c r="D755" i="22"/>
  <c r="E95" i="9"/>
  <c r="E94" i="9"/>
  <c r="H846" i="22"/>
  <c r="H197" i="9"/>
  <c r="I837" i="22"/>
  <c r="J752" i="22"/>
  <c r="N52" i="9"/>
  <c r="N816" i="24"/>
  <c r="O752" i="22"/>
  <c r="P748" i="22"/>
  <c r="P754" i="22"/>
  <c r="R842" i="22"/>
  <c r="R824" i="22"/>
  <c r="Q95" i="9"/>
  <c r="Q94" i="9"/>
  <c r="B735" i="22"/>
  <c r="B741" i="22"/>
  <c r="B759" i="22"/>
  <c r="C801" i="22"/>
  <c r="C777" i="22"/>
  <c r="C783" i="22"/>
  <c r="C855" i="22"/>
  <c r="G345" i="8"/>
  <c r="G275" i="8"/>
  <c r="G344" i="8"/>
  <c r="G101" i="11"/>
  <c r="G55" i="11"/>
  <c r="G100" i="11"/>
  <c r="F1092" i="24"/>
  <c r="F1110" i="24"/>
  <c r="G234" i="8"/>
  <c r="G14" i="11"/>
  <c r="H48" i="9"/>
  <c r="H812" i="24"/>
  <c r="H818" i="24"/>
  <c r="B279" i="8"/>
  <c r="B358" i="8"/>
  <c r="B357" i="8"/>
  <c r="B68" i="11"/>
  <c r="B141" i="11"/>
  <c r="B140" i="11"/>
  <c r="B1105" i="24"/>
  <c r="B238" i="8"/>
  <c r="B27" i="11"/>
  <c r="B64" i="9"/>
  <c r="B70" i="9"/>
  <c r="B17" i="9"/>
  <c r="C781" i="22"/>
  <c r="C859" i="22"/>
  <c r="C805" i="22"/>
  <c r="C802" i="22"/>
  <c r="C882" i="22" s="1"/>
  <c r="C784" i="22"/>
  <c r="C856" i="22"/>
  <c r="D147" i="8"/>
  <c r="D530" i="8"/>
  <c r="D548" i="8"/>
  <c r="D184" i="9"/>
  <c r="D187" i="9"/>
  <c r="F735" i="22"/>
  <c r="F741" i="22"/>
  <c r="F759" i="22"/>
  <c r="F170" i="9"/>
  <c r="F173" i="9"/>
  <c r="G801" i="22"/>
  <c r="G881" i="22" s="1"/>
  <c r="G777" i="22"/>
  <c r="G783" i="22"/>
  <c r="G855" i="22"/>
  <c r="J147" i="8"/>
  <c r="J530" i="8"/>
  <c r="J548" i="8"/>
  <c r="J49" i="9"/>
  <c r="J819" i="24"/>
  <c r="K739" i="22"/>
  <c r="K763" i="22"/>
  <c r="L777" i="22"/>
  <c r="L783" i="22"/>
  <c r="L855" i="22"/>
  <c r="L801" i="22"/>
  <c r="S122" i="9"/>
  <c r="S795" i="22"/>
  <c r="S798" i="22"/>
  <c r="S870" i="22"/>
  <c r="B318" i="8"/>
  <c r="B266" i="8"/>
  <c r="B317" i="8"/>
  <c r="B67" i="11"/>
  <c r="B137" i="11"/>
  <c r="B136" i="11"/>
  <c r="B1098" i="24"/>
  <c r="B1104" i="24"/>
  <c r="B225" i="8"/>
  <c r="B26" i="11"/>
  <c r="B742" i="22"/>
  <c r="B768" i="22" s="1"/>
  <c r="B760" i="22"/>
  <c r="B193" i="9"/>
  <c r="B199" i="9"/>
  <c r="C357" i="8"/>
  <c r="C358" i="8"/>
  <c r="C366" i="8" s="1"/>
  <c r="C279" i="8"/>
  <c r="C281" i="8" s="1"/>
  <c r="C85" i="8" s="1"/>
  <c r="C68" i="11"/>
  <c r="C76" i="11" s="1"/>
  <c r="C85" i="7" s="1"/>
  <c r="C141" i="11"/>
  <c r="C167" i="11" s="1"/>
  <c r="C140" i="11"/>
  <c r="C1105" i="24"/>
  <c r="C238" i="8"/>
  <c r="C240" i="8" s="1"/>
  <c r="C27" i="11"/>
  <c r="C35" i="11" s="1"/>
  <c r="C742" i="22"/>
  <c r="C760" i="22"/>
  <c r="C759" i="22"/>
  <c r="C735" i="22"/>
  <c r="C741" i="22"/>
  <c r="C767" i="22" s="1"/>
  <c r="C173" i="9"/>
  <c r="C170" i="9"/>
  <c r="D146" i="8"/>
  <c r="D523" i="8"/>
  <c r="D529" i="8"/>
  <c r="D547" i="8"/>
  <c r="D151" i="8"/>
  <c r="D543" i="8"/>
  <c r="M594" i="8"/>
  <c r="G594" i="8"/>
  <c r="G243" i="10"/>
  <c r="I202" i="10"/>
  <c r="M243" i="10"/>
  <c r="F426" i="11"/>
  <c r="F121" i="12"/>
  <c r="E747" i="24"/>
  <c r="I526" i="8"/>
  <c r="F552" i="8"/>
  <c r="E49" i="9"/>
  <c r="E819" i="24"/>
  <c r="G357" i="8"/>
  <c r="G279" i="8"/>
  <c r="G358" i="8"/>
  <c r="G68" i="11"/>
  <c r="G141" i="11"/>
  <c r="G140" i="11"/>
  <c r="F1105" i="24"/>
  <c r="G238" i="8"/>
  <c r="G27" i="11"/>
  <c r="F781" i="22"/>
  <c r="F859" i="22"/>
  <c r="F805" i="22"/>
  <c r="F64" i="9"/>
  <c r="F70" i="9"/>
  <c r="F17" i="9"/>
  <c r="H318" i="8"/>
  <c r="H266" i="8"/>
  <c r="H317" i="8"/>
  <c r="H67" i="11"/>
  <c r="H136" i="11"/>
  <c r="H137" i="11"/>
  <c r="G1098" i="24"/>
  <c r="G1104" i="24"/>
  <c r="H225" i="8"/>
  <c r="H26" i="11"/>
  <c r="G781" i="22"/>
  <c r="G859" i="22"/>
  <c r="G805" i="22"/>
  <c r="G885" i="22" s="1"/>
  <c r="G802" i="22"/>
  <c r="G784" i="22"/>
  <c r="G856" i="22"/>
  <c r="J150" i="7"/>
  <c r="J300" i="7"/>
  <c r="K580" i="8"/>
  <c r="J199" i="10"/>
  <c r="K238" i="10"/>
  <c r="J60" i="10"/>
  <c r="J93" i="10"/>
  <c r="J205" i="10"/>
  <c r="J421" i="11"/>
  <c r="J116" i="12"/>
  <c r="H742" i="24"/>
  <c r="J146" i="8"/>
  <c r="J529" i="8"/>
  <c r="J523" i="8"/>
  <c r="J547" i="8"/>
  <c r="H184" i="9"/>
  <c r="H187" i="9"/>
  <c r="L581" i="8"/>
  <c r="L242" i="10"/>
  <c r="K425" i="11"/>
  <c r="K120" i="12"/>
  <c r="I746" i="24"/>
  <c r="K797" i="22"/>
  <c r="K877" i="22" s="1"/>
  <c r="K869" i="22"/>
  <c r="L802" i="22"/>
  <c r="L784" i="22"/>
  <c r="L856" i="22"/>
  <c r="L193" i="9"/>
  <c r="L199" i="9"/>
  <c r="M794" i="22"/>
  <c r="M872" i="22"/>
  <c r="M868" i="22"/>
  <c r="M790" i="22"/>
  <c r="M796" i="22"/>
  <c r="N763" i="22"/>
  <c r="N739" i="22"/>
  <c r="P48" i="9"/>
  <c r="P812" i="24"/>
  <c r="P818" i="24"/>
  <c r="Q797" i="22"/>
  <c r="Q877" i="22" s="1"/>
  <c r="Q869" i="22"/>
  <c r="Q763" i="22"/>
  <c r="Q739" i="22"/>
  <c r="R48" i="9"/>
  <c r="R812" i="24"/>
  <c r="R818" i="24"/>
  <c r="B837" i="22"/>
  <c r="F837" i="22"/>
  <c r="J52" i="9"/>
  <c r="J816" i="24"/>
  <c r="K845" i="22"/>
  <c r="K821" i="22"/>
  <c r="L834" i="22"/>
  <c r="L136" i="9" s="1"/>
  <c r="L752" i="22"/>
  <c r="M821" i="22"/>
  <c r="M845" i="22"/>
  <c r="M842" i="22"/>
  <c r="M824" i="22"/>
  <c r="M850" i="22" s="1"/>
  <c r="N817" i="22"/>
  <c r="N823" i="22"/>
  <c r="N849" i="22" s="1"/>
  <c r="N841" i="22"/>
  <c r="N845" i="22"/>
  <c r="N821" i="22"/>
  <c r="J348" i="9"/>
  <c r="J445" i="24"/>
  <c r="J299" i="9"/>
  <c r="I317" i="9"/>
  <c r="I329" i="9"/>
  <c r="S91" i="9"/>
  <c r="S99" i="9" s="1"/>
  <c r="S90" i="9"/>
  <c r="S753" i="22"/>
  <c r="S756" i="22"/>
  <c r="E538" i="8"/>
  <c r="B540" i="8"/>
  <c r="B297" i="7"/>
  <c r="I577" i="8"/>
  <c r="C577" i="8"/>
  <c r="E188" i="10"/>
  <c r="I229" i="10"/>
  <c r="C229" i="10"/>
  <c r="B90" i="10"/>
  <c r="B190" i="10"/>
  <c r="B214" i="10"/>
  <c r="B412" i="11"/>
  <c r="B107" i="12"/>
  <c r="B733" i="24"/>
  <c r="B49" i="9"/>
  <c r="B819" i="24"/>
  <c r="D594" i="8"/>
  <c r="D243" i="10"/>
  <c r="C426" i="11"/>
  <c r="C121" i="12"/>
  <c r="C747" i="24"/>
  <c r="C301" i="7"/>
  <c r="D581" i="8"/>
  <c r="C94" i="10"/>
  <c r="C203" i="10"/>
  <c r="D244" i="10" s="1"/>
  <c r="D242" i="10"/>
  <c r="C425" i="11"/>
  <c r="C427" i="11" s="1"/>
  <c r="C120" i="12"/>
  <c r="C122" i="12" s="1"/>
  <c r="C746" i="24"/>
  <c r="C748" i="24" s="1"/>
  <c r="D275" i="8"/>
  <c r="D344" i="8"/>
  <c r="D345" i="8"/>
  <c r="D55" i="11"/>
  <c r="D100" i="11"/>
  <c r="D101" i="11"/>
  <c r="D1110" i="24"/>
  <c r="D1092" i="24"/>
  <c r="D1118" i="24" s="1"/>
  <c r="D234" i="8"/>
  <c r="D14" i="11"/>
  <c r="D860" i="22"/>
  <c r="D806" i="22"/>
  <c r="D886" i="22" s="1"/>
  <c r="D805" i="22"/>
  <c r="D885" i="22" s="1"/>
  <c r="D781" i="22"/>
  <c r="D859" i="22"/>
  <c r="D170" i="9"/>
  <c r="D173" i="9"/>
  <c r="F263" i="8"/>
  <c r="F308" i="8"/>
  <c r="F309" i="8"/>
  <c r="F110" i="11"/>
  <c r="F58" i="11"/>
  <c r="F109" i="11"/>
  <c r="E1113" i="24"/>
  <c r="E1089" i="24"/>
  <c r="F222" i="8"/>
  <c r="F17" i="11"/>
  <c r="H590" i="8"/>
  <c r="G215" i="10"/>
  <c r="H230" i="10"/>
  <c r="G413" i="11"/>
  <c r="G439" i="11" s="1"/>
  <c r="G108" i="12"/>
  <c r="G134" i="12" s="1"/>
  <c r="F734" i="24"/>
  <c r="F760" i="24" s="1"/>
  <c r="J590" i="8"/>
  <c r="J230" i="10"/>
  <c r="H215" i="10"/>
  <c r="H413" i="11"/>
  <c r="H108" i="12"/>
  <c r="G734" i="24"/>
  <c r="H527" i="8"/>
  <c r="H553" i="8" s="1"/>
  <c r="H551" i="8"/>
  <c r="J304" i="8"/>
  <c r="J262" i="8"/>
  <c r="J305" i="8"/>
  <c r="J54" i="11"/>
  <c r="J97" i="11"/>
  <c r="J96" i="11"/>
  <c r="H1085" i="24"/>
  <c r="H1091" i="24"/>
  <c r="H1117" i="24" s="1"/>
  <c r="H1109" i="24"/>
  <c r="H777" i="22"/>
  <c r="H783" i="22"/>
  <c r="H855" i="22"/>
  <c r="H801" i="22"/>
  <c r="H760" i="22"/>
  <c r="H742" i="22"/>
  <c r="K322" i="8"/>
  <c r="K267" i="8"/>
  <c r="K321" i="8"/>
  <c r="K149" i="11"/>
  <c r="K71" i="11"/>
  <c r="K150" i="11"/>
  <c r="J790" i="22"/>
  <c r="J796" i="22"/>
  <c r="J876" i="22" s="1"/>
  <c r="J868" i="22"/>
  <c r="M48" i="9"/>
  <c r="M812" i="24"/>
  <c r="M818" i="24"/>
  <c r="O739" i="22"/>
  <c r="O763" i="22"/>
  <c r="P777" i="22"/>
  <c r="P783" i="22"/>
  <c r="P855" i="22"/>
  <c r="P801" i="22"/>
  <c r="P881" i="22" s="1"/>
  <c r="P760" i="22"/>
  <c r="P742" i="22"/>
  <c r="R784" i="22"/>
  <c r="R856" i="22"/>
  <c r="R802" i="22"/>
  <c r="R882" i="22" s="1"/>
  <c r="R806" i="22"/>
  <c r="R860" i="22"/>
  <c r="C52" i="9"/>
  <c r="C816" i="24"/>
  <c r="E748" i="22"/>
  <c r="E754" i="22"/>
  <c r="E68" i="9"/>
  <c r="E18" i="9"/>
  <c r="H834" i="22"/>
  <c r="H136" i="9" s="1"/>
  <c r="H752" i="22"/>
  <c r="I821" i="22"/>
  <c r="I845" i="22"/>
  <c r="I842" i="22"/>
  <c r="I824" i="22"/>
  <c r="J817" i="22"/>
  <c r="J823" i="22"/>
  <c r="J849" i="22" s="1"/>
  <c r="J841" i="22"/>
  <c r="J845" i="22"/>
  <c r="J821" i="22"/>
  <c r="O748" i="22"/>
  <c r="O754" i="22"/>
  <c r="R837" i="22"/>
  <c r="B276" i="8"/>
  <c r="B348" i="8"/>
  <c r="B349" i="8"/>
  <c r="B114" i="11"/>
  <c r="B113" i="11"/>
  <c r="B59" i="11"/>
  <c r="B1114" i="24"/>
  <c r="B18" i="11"/>
  <c r="B235" i="8"/>
  <c r="B873" i="22"/>
  <c r="B797" i="22"/>
  <c r="B877" i="22" s="1"/>
  <c r="B869" i="22"/>
  <c r="C276" i="8"/>
  <c r="C284" i="8" s="1"/>
  <c r="C349" i="8"/>
  <c r="C375" i="8" s="1"/>
  <c r="C348" i="8"/>
  <c r="C113" i="11"/>
  <c r="C59" i="11"/>
  <c r="C85" i="11" s="1"/>
  <c r="C114" i="11"/>
  <c r="C194" i="11" s="1"/>
  <c r="C1114" i="24"/>
  <c r="C235" i="8"/>
  <c r="C243" i="8" s="1"/>
  <c r="C18" i="11"/>
  <c r="C44" i="11" s="1"/>
  <c r="C797" i="22"/>
  <c r="C877" i="22" s="1"/>
  <c r="C869" i="22"/>
  <c r="C200" i="9"/>
  <c r="F594" i="8"/>
  <c r="F243" i="10"/>
  <c r="D426" i="11"/>
  <c r="D121" i="12"/>
  <c r="D747" i="24"/>
  <c r="D552" i="8"/>
  <c r="F151" i="7"/>
  <c r="M593" i="8"/>
  <c r="G593" i="8"/>
  <c r="G239" i="10"/>
  <c r="I198" i="10"/>
  <c r="M239" i="10"/>
  <c r="F61" i="10"/>
  <c r="I61" i="10" s="1"/>
  <c r="F206" i="10"/>
  <c r="F422" i="11"/>
  <c r="F117" i="12"/>
  <c r="E743" i="24"/>
  <c r="F151" i="8"/>
  <c r="I535" i="8"/>
  <c r="F543" i="8"/>
  <c r="E48" i="9"/>
  <c r="E812" i="24"/>
  <c r="E818" i="24"/>
  <c r="G263" i="8"/>
  <c r="G308" i="8"/>
  <c r="G309" i="8"/>
  <c r="G109" i="11"/>
  <c r="G58" i="11"/>
  <c r="G110" i="11"/>
  <c r="F1089" i="24"/>
  <c r="F1113" i="24"/>
  <c r="G222" i="8"/>
  <c r="G17" i="11"/>
  <c r="F794" i="22"/>
  <c r="F872" i="22"/>
  <c r="F764" i="22"/>
  <c r="H322" i="8"/>
  <c r="H402" i="8" s="1"/>
  <c r="H267" i="8"/>
  <c r="H293" i="8" s="1"/>
  <c r="H321" i="8"/>
  <c r="H71" i="11"/>
  <c r="H149" i="11"/>
  <c r="H150" i="11"/>
  <c r="G1102" i="24"/>
  <c r="H356" i="11" s="1"/>
  <c r="H30" i="11"/>
  <c r="H226" i="8"/>
  <c r="G790" i="22"/>
  <c r="G796" i="22"/>
  <c r="G868" i="22"/>
  <c r="G764" i="22"/>
  <c r="J527" i="8"/>
  <c r="J551" i="8"/>
  <c r="J540" i="8"/>
  <c r="K147" i="8"/>
  <c r="K530" i="8"/>
  <c r="K523" i="8"/>
  <c r="K547" i="8"/>
  <c r="J187" i="9"/>
  <c r="J184" i="9"/>
  <c r="K801" i="22"/>
  <c r="K881" i="22" s="1"/>
  <c r="K777" i="22"/>
  <c r="K783" i="22"/>
  <c r="K855" i="22"/>
  <c r="K193" i="9"/>
  <c r="K199" i="9"/>
  <c r="L790" i="22"/>
  <c r="L796" i="22"/>
  <c r="L876" i="22" s="1"/>
  <c r="L868" i="22"/>
  <c r="L873" i="22"/>
  <c r="M777" i="22"/>
  <c r="M783" i="22"/>
  <c r="M855" i="22"/>
  <c r="M801" i="22"/>
  <c r="M881" i="22" s="1"/>
  <c r="M760" i="22"/>
  <c r="M742" i="22"/>
  <c r="M768" i="22" s="1"/>
  <c r="M26" i="21"/>
  <c r="N781" i="22"/>
  <c r="N859" i="22"/>
  <c r="N805" i="22"/>
  <c r="O48" i="9"/>
  <c r="O812" i="24"/>
  <c r="O818" i="24"/>
  <c r="Q805" i="22"/>
  <c r="Q885" i="22" s="1"/>
  <c r="Q781" i="22"/>
  <c r="Q859" i="22"/>
  <c r="Q193" i="9"/>
  <c r="Q199" i="9"/>
  <c r="J461" i="24"/>
  <c r="J315" i="9"/>
  <c r="S57" i="9"/>
  <c r="S1484" i="24"/>
  <c r="S1492" i="24" s="1"/>
  <c r="S781" i="22"/>
  <c r="S859" i="22"/>
  <c r="S805" i="22"/>
  <c r="S885" i="22" s="1"/>
  <c r="S802" i="22"/>
  <c r="S882" i="22" s="1"/>
  <c r="S784" i="22"/>
  <c r="S856" i="22"/>
  <c r="J24" i="3"/>
  <c r="S184" i="9"/>
  <c r="S187" i="9"/>
  <c r="C817" i="22"/>
  <c r="C823" i="22"/>
  <c r="C841" i="22"/>
  <c r="C755" i="22"/>
  <c r="D52" i="9"/>
  <c r="D816" i="24"/>
  <c r="F817" i="22"/>
  <c r="F823" i="22"/>
  <c r="F841" i="22"/>
  <c r="F845" i="22"/>
  <c r="F821" i="22"/>
  <c r="F18" i="9"/>
  <c r="F68" i="9"/>
  <c r="G748" i="22"/>
  <c r="G754" i="22"/>
  <c r="G197" i="9"/>
  <c r="L821" i="22"/>
  <c r="L845" i="22"/>
  <c r="L755" i="22"/>
  <c r="M752" i="22"/>
  <c r="N834" i="22"/>
  <c r="N136" i="9" s="1"/>
  <c r="B151" i="7"/>
  <c r="I593" i="8"/>
  <c r="C593" i="8"/>
  <c r="C239" i="10"/>
  <c r="E198" i="10"/>
  <c r="I239" i="10"/>
  <c r="B61" i="10"/>
  <c r="E61" i="10" s="1"/>
  <c r="B206" i="10"/>
  <c r="B422" i="11"/>
  <c r="B117" i="12"/>
  <c r="B743" i="24"/>
  <c r="B151" i="8"/>
  <c r="E535" i="8"/>
  <c r="B543" i="8"/>
  <c r="B187" i="9"/>
  <c r="B184" i="9"/>
  <c r="C150" i="8"/>
  <c r="C536" i="8"/>
  <c r="C544" i="8" s="1"/>
  <c r="C542" i="8"/>
  <c r="C151" i="8"/>
  <c r="C543" i="8"/>
  <c r="D348" i="8"/>
  <c r="D276" i="8"/>
  <c r="D284" i="8" s="1"/>
  <c r="D349" i="8"/>
  <c r="D375" i="8" s="1"/>
  <c r="D59" i="11"/>
  <c r="D85" i="11" s="1"/>
  <c r="D114" i="11"/>
  <c r="D194" i="11" s="1"/>
  <c r="D113" i="11"/>
  <c r="D1114" i="24"/>
  <c r="D235" i="8"/>
  <c r="D243" i="8" s="1"/>
  <c r="D18" i="11"/>
  <c r="D44" i="11" s="1"/>
  <c r="D797" i="22"/>
  <c r="D877" i="22" s="1"/>
  <c r="D869" i="22"/>
  <c r="D794" i="22"/>
  <c r="D872" i="22"/>
  <c r="F275" i="8"/>
  <c r="F344" i="8"/>
  <c r="F345" i="8"/>
  <c r="F55" i="11"/>
  <c r="F101" i="11"/>
  <c r="F100" i="11"/>
  <c r="E1092" i="24"/>
  <c r="E1118" i="24" s="1"/>
  <c r="E1110" i="24"/>
  <c r="F14" i="11"/>
  <c r="F234" i="8"/>
  <c r="E805" i="22"/>
  <c r="E885" i="22" s="1"/>
  <c r="E781" i="22"/>
  <c r="E859" i="22"/>
  <c r="E193" i="9"/>
  <c r="E199" i="9"/>
  <c r="G150" i="8"/>
  <c r="G536" i="8"/>
  <c r="G544" i="8" s="1"/>
  <c r="G542" i="8"/>
  <c r="G151" i="8"/>
  <c r="G543" i="8"/>
  <c r="H150" i="7"/>
  <c r="H300" i="7"/>
  <c r="J580" i="8"/>
  <c r="H60" i="10"/>
  <c r="H95" i="10" s="1"/>
  <c r="H93" i="10"/>
  <c r="H205" i="10"/>
  <c r="J246" i="10" s="1"/>
  <c r="H199" i="10"/>
  <c r="J238" i="10"/>
  <c r="H421" i="11"/>
  <c r="H116" i="12"/>
  <c r="G742" i="24"/>
  <c r="H147" i="8"/>
  <c r="H530" i="8"/>
  <c r="H548" i="8"/>
  <c r="G184" i="9"/>
  <c r="G187" i="9"/>
  <c r="J276" i="8"/>
  <c r="J348" i="8"/>
  <c r="J349" i="8"/>
  <c r="J114" i="11"/>
  <c r="J59" i="11"/>
  <c r="J113" i="11"/>
  <c r="H1114" i="24"/>
  <c r="H764" i="22"/>
  <c r="H200" i="9"/>
  <c r="K262" i="8"/>
  <c r="K304" i="8"/>
  <c r="K305" i="8"/>
  <c r="K97" i="11"/>
  <c r="K96" i="11"/>
  <c r="K54" i="11"/>
  <c r="I1085" i="24"/>
  <c r="I1109" i="24"/>
  <c r="I735" i="22"/>
  <c r="I741" i="22"/>
  <c r="I759" i="22"/>
  <c r="J784" i="22"/>
  <c r="J856" i="22"/>
  <c r="J802" i="22"/>
  <c r="J882" i="22" s="1"/>
  <c r="J806" i="22"/>
  <c r="J886" i="22" s="1"/>
  <c r="J860" i="22"/>
  <c r="J26" i="21"/>
  <c r="L48" i="9"/>
  <c r="L812" i="24"/>
  <c r="L818" i="24"/>
  <c r="O742" i="22"/>
  <c r="O768" i="22" s="1"/>
  <c r="O760" i="22"/>
  <c r="O759" i="22"/>
  <c r="O735" i="22"/>
  <c r="O741" i="22"/>
  <c r="O173" i="9"/>
  <c r="O170" i="9"/>
  <c r="P764" i="22"/>
  <c r="P200" i="9"/>
  <c r="R873" i="22"/>
  <c r="R797" i="22"/>
  <c r="R877" i="22" s="1"/>
  <c r="R869" i="22"/>
  <c r="J449" i="24"/>
  <c r="J303" i="9"/>
  <c r="I239" i="9"/>
  <c r="I215" i="9"/>
  <c r="B817" i="22"/>
  <c r="B823" i="22"/>
  <c r="B841" i="22"/>
  <c r="B845" i="22"/>
  <c r="B821" i="22"/>
  <c r="B18" i="9"/>
  <c r="B68" i="9"/>
  <c r="D824" i="22"/>
  <c r="D850" i="22" s="1"/>
  <c r="D842" i="22"/>
  <c r="D841" i="22"/>
  <c r="D817" i="22"/>
  <c r="D823" i="22"/>
  <c r="E830" i="22"/>
  <c r="E836" i="22"/>
  <c r="E834" i="22"/>
  <c r="E136" i="9" s="1"/>
  <c r="H821" i="22"/>
  <c r="H845" i="22"/>
  <c r="H755" i="22"/>
  <c r="I752" i="22"/>
  <c r="J834" i="22"/>
  <c r="J136" i="9" s="1"/>
  <c r="P846" i="22"/>
  <c r="P197" i="9"/>
  <c r="R817" i="22"/>
  <c r="R823" i="22"/>
  <c r="R841" i="22"/>
  <c r="R845" i="22"/>
  <c r="R821" i="22"/>
  <c r="Q830" i="22"/>
  <c r="Q836" i="22"/>
  <c r="I371" i="9"/>
  <c r="I349" i="9"/>
  <c r="I346" i="9"/>
  <c r="C345" i="8"/>
  <c r="C275" i="8"/>
  <c r="C344" i="8"/>
  <c r="C101" i="11"/>
  <c r="C55" i="11"/>
  <c r="C100" i="11"/>
  <c r="C1110" i="24"/>
  <c r="C1092" i="24"/>
  <c r="C1118" i="24" s="1"/>
  <c r="C234" i="8"/>
  <c r="C14" i="11"/>
  <c r="D147" i="7"/>
  <c r="F589" i="8"/>
  <c r="D193" i="10"/>
  <c r="F226" i="10"/>
  <c r="D57" i="10"/>
  <c r="D65" i="10" s="1"/>
  <c r="D211" i="10"/>
  <c r="D409" i="11"/>
  <c r="D104" i="12"/>
  <c r="D730" i="24"/>
  <c r="I538" i="8"/>
  <c r="F540" i="8"/>
  <c r="I540" i="8" s="1"/>
  <c r="F806" i="22"/>
  <c r="F860" i="22"/>
  <c r="H262" i="8"/>
  <c r="H304" i="8"/>
  <c r="H305" i="8"/>
  <c r="H96" i="11"/>
  <c r="H54" i="11"/>
  <c r="H97" i="11"/>
  <c r="G1109" i="24"/>
  <c r="G1085" i="24"/>
  <c r="G1091" i="24"/>
  <c r="H221" i="8"/>
  <c r="H13" i="11"/>
  <c r="K794" i="22"/>
  <c r="K872" i="22"/>
  <c r="B275" i="8"/>
  <c r="B344" i="8"/>
  <c r="B345" i="8"/>
  <c r="B55" i="11"/>
  <c r="B101" i="11"/>
  <c r="B100" i="11"/>
  <c r="B1092" i="24"/>
  <c r="B1118" i="24" s="1"/>
  <c r="B1110" i="24"/>
  <c r="B14" i="11"/>
  <c r="B234" i="8"/>
  <c r="B784" i="22"/>
  <c r="B856" i="22"/>
  <c r="B802" i="22"/>
  <c r="B882" i="22" s="1"/>
  <c r="B806" i="22"/>
  <c r="B860" i="22"/>
  <c r="C266" i="8"/>
  <c r="C318" i="8"/>
  <c r="C317" i="8"/>
  <c r="C137" i="11"/>
  <c r="C67" i="11"/>
  <c r="C136" i="11"/>
  <c r="C1098" i="24"/>
  <c r="C1104" i="24"/>
  <c r="C225" i="8"/>
  <c r="C26" i="11"/>
  <c r="C860" i="22"/>
  <c r="C806" i="22"/>
  <c r="C886" i="22" s="1"/>
  <c r="C64" i="9"/>
  <c r="C70" i="9"/>
  <c r="C17" i="9"/>
  <c r="D146" i="7"/>
  <c r="D296" i="7"/>
  <c r="F576" i="8"/>
  <c r="D56" i="10"/>
  <c r="D89" i="10"/>
  <c r="F225" i="10"/>
  <c r="D186" i="10"/>
  <c r="D210" i="10"/>
  <c r="D192" i="10"/>
  <c r="D408" i="11"/>
  <c r="D103" i="12"/>
  <c r="D729" i="24"/>
  <c r="D150" i="8"/>
  <c r="D152" i="8" s="1"/>
  <c r="D542" i="8"/>
  <c r="D541" i="8" s="1"/>
  <c r="D536" i="8"/>
  <c r="D48" i="9"/>
  <c r="D812" i="24"/>
  <c r="D818" i="24"/>
  <c r="F301" i="7"/>
  <c r="G581" i="8"/>
  <c r="M581" i="8"/>
  <c r="F203" i="10"/>
  <c r="I201" i="10"/>
  <c r="G242" i="10"/>
  <c r="F94" i="10"/>
  <c r="M242" i="10"/>
  <c r="F425" i="11"/>
  <c r="F120" i="12"/>
  <c r="E746" i="24"/>
  <c r="E748" i="24" s="1"/>
  <c r="F527" i="8"/>
  <c r="I525" i="8"/>
  <c r="F551" i="8"/>
  <c r="I551" i="8" s="1"/>
  <c r="G266" i="8"/>
  <c r="G318" i="8"/>
  <c r="G317" i="8"/>
  <c r="G137" i="11"/>
  <c r="G67" i="11"/>
  <c r="G136" i="11"/>
  <c r="F1098" i="24"/>
  <c r="F1104" i="24"/>
  <c r="G26" i="11"/>
  <c r="G225" i="8"/>
  <c r="F742" i="22"/>
  <c r="F768" i="22" s="1"/>
  <c r="F760" i="22"/>
  <c r="F193" i="9"/>
  <c r="F199" i="9"/>
  <c r="H275" i="8"/>
  <c r="H344" i="8"/>
  <c r="H345" i="8"/>
  <c r="H55" i="11"/>
  <c r="H100" i="11"/>
  <c r="H101" i="11"/>
  <c r="G1110" i="24"/>
  <c r="G1092" i="24"/>
  <c r="G1118" i="24" s="1"/>
  <c r="H234" i="8"/>
  <c r="H14" i="11"/>
  <c r="G742" i="22"/>
  <c r="G768" i="22" s="1"/>
  <c r="G760" i="22"/>
  <c r="G759" i="22"/>
  <c r="G735" i="22"/>
  <c r="G741" i="22"/>
  <c r="G767" i="22" s="1"/>
  <c r="G173" i="9"/>
  <c r="G170" i="9"/>
  <c r="J151" i="8"/>
  <c r="J543" i="8"/>
  <c r="J151" i="7"/>
  <c r="K593" i="8"/>
  <c r="K239" i="10"/>
  <c r="J61" i="10"/>
  <c r="J206" i="10"/>
  <c r="J422" i="11"/>
  <c r="J117" i="12"/>
  <c r="H743" i="24"/>
  <c r="H751" i="24" s="1"/>
  <c r="K413" i="11"/>
  <c r="K108" i="12"/>
  <c r="I734" i="24"/>
  <c r="I49" i="9"/>
  <c r="I819" i="24"/>
  <c r="K790" i="22"/>
  <c r="K796" i="22"/>
  <c r="K868" i="22"/>
  <c r="L759" i="22"/>
  <c r="L735" i="22"/>
  <c r="L741" i="22"/>
  <c r="L767" i="22" s="1"/>
  <c r="M797" i="22"/>
  <c r="M877" i="22" s="1"/>
  <c r="M869" i="22"/>
  <c r="M763" i="22"/>
  <c r="M739" i="22"/>
  <c r="N797" i="22"/>
  <c r="N869" i="22"/>
  <c r="T461" i="9"/>
  <c r="T497" i="9"/>
  <c r="T500" i="9"/>
  <c r="T488" i="9"/>
  <c r="B830" i="22"/>
  <c r="B836" i="22"/>
  <c r="C830" i="22"/>
  <c r="C836" i="22"/>
  <c r="F830" i="22"/>
  <c r="F836" i="22"/>
  <c r="G830" i="22"/>
  <c r="G836" i="22"/>
  <c r="K748" i="22"/>
  <c r="K754" i="22"/>
  <c r="M748" i="22"/>
  <c r="M754" i="22"/>
  <c r="N748" i="22"/>
  <c r="N754" i="22"/>
  <c r="O52" i="9"/>
  <c r="O816" i="24"/>
  <c r="Q841" i="22"/>
  <c r="Q817" i="22"/>
  <c r="Q823" i="22"/>
  <c r="I222" i="9"/>
  <c r="H245" i="9"/>
  <c r="H223" i="9"/>
  <c r="H220" i="9"/>
  <c r="J360" i="9"/>
  <c r="J457" i="24"/>
  <c r="J311" i="9"/>
  <c r="I272" i="9"/>
  <c r="I928" i="22"/>
  <c r="I475" i="24"/>
  <c r="I463" i="24"/>
  <c r="R52" i="9"/>
  <c r="R816" i="24"/>
  <c r="G237" i="9"/>
  <c r="G246" i="9"/>
  <c r="G249" i="9"/>
  <c r="I594" i="8"/>
  <c r="C594" i="8"/>
  <c r="C243" i="10"/>
  <c r="E202" i="10"/>
  <c r="I243" i="10"/>
  <c r="B426" i="11"/>
  <c r="E426" i="11" s="1"/>
  <c r="B121" i="12"/>
  <c r="B747" i="24"/>
  <c r="E526" i="8"/>
  <c r="B552" i="8"/>
  <c r="D304" i="8"/>
  <c r="D305" i="8"/>
  <c r="D262" i="8"/>
  <c r="D96" i="11"/>
  <c r="D54" i="11"/>
  <c r="D97" i="11"/>
  <c r="D1085" i="24"/>
  <c r="D1091" i="24"/>
  <c r="D1117" i="24" s="1"/>
  <c r="D1109" i="24"/>
  <c r="D13" i="11"/>
  <c r="D221" i="8"/>
  <c r="D777" i="22"/>
  <c r="D783" i="22"/>
  <c r="D855" i="22"/>
  <c r="D801" i="22"/>
  <c r="D881" i="22" s="1"/>
  <c r="D760" i="22"/>
  <c r="D742" i="22"/>
  <c r="D768" i="22" s="1"/>
  <c r="D64" i="9"/>
  <c r="D70" i="9"/>
  <c r="D17" i="9"/>
  <c r="F362" i="8"/>
  <c r="F280" i="8"/>
  <c r="F361" i="8"/>
  <c r="F154" i="11"/>
  <c r="F72" i="11"/>
  <c r="F153" i="11"/>
  <c r="F31" i="11"/>
  <c r="F239" i="8"/>
  <c r="G297" i="7"/>
  <c r="H577" i="8"/>
  <c r="G90" i="10"/>
  <c r="G98" i="10" s="1"/>
  <c r="G287" i="10" s="1"/>
  <c r="G190" i="10"/>
  <c r="G214" i="10"/>
  <c r="H229" i="10"/>
  <c r="G412" i="11"/>
  <c r="G107" i="12"/>
  <c r="F733" i="24"/>
  <c r="J594" i="8"/>
  <c r="J243" i="10"/>
  <c r="H426" i="11"/>
  <c r="H121" i="12"/>
  <c r="G747" i="24"/>
  <c r="H552" i="8"/>
  <c r="G49" i="9"/>
  <c r="G819" i="24"/>
  <c r="J279" i="8"/>
  <c r="J358" i="8"/>
  <c r="J357" i="8"/>
  <c r="J68" i="11"/>
  <c r="J141" i="11"/>
  <c r="J140" i="11"/>
  <c r="H1105" i="24"/>
  <c r="H802" i="22"/>
  <c r="H784" i="22"/>
  <c r="H856" i="22"/>
  <c r="H193" i="9"/>
  <c r="H199" i="9"/>
  <c r="K276" i="8"/>
  <c r="K349" i="8"/>
  <c r="K348" i="8"/>
  <c r="K113" i="11"/>
  <c r="K59" i="11"/>
  <c r="K114" i="11"/>
  <c r="I794" i="22"/>
  <c r="I872" i="22"/>
  <c r="I790" i="22"/>
  <c r="I796" i="22"/>
  <c r="I868" i="22"/>
  <c r="J763" i="22"/>
  <c r="J739" i="22"/>
  <c r="K184" i="9"/>
  <c r="K187" i="9"/>
  <c r="N187" i="9"/>
  <c r="N184" i="9"/>
  <c r="O797" i="22"/>
  <c r="O877" i="22" s="1"/>
  <c r="O869" i="22"/>
  <c r="P802" i="22"/>
  <c r="P882" i="22" s="1"/>
  <c r="P784" i="22"/>
  <c r="P856" i="22"/>
  <c r="P193" i="9"/>
  <c r="P199" i="9"/>
  <c r="Q48" i="9"/>
  <c r="Q812" i="24"/>
  <c r="Q818" i="24"/>
  <c r="R735" i="22"/>
  <c r="R741" i="22"/>
  <c r="R759" i="22"/>
  <c r="R801" i="22"/>
  <c r="R881" i="22" s="1"/>
  <c r="R777" i="22"/>
  <c r="R783" i="22"/>
  <c r="R855" i="22"/>
  <c r="R170" i="9"/>
  <c r="R173" i="9"/>
  <c r="S54" i="9"/>
  <c r="S13" i="9"/>
  <c r="S1487" i="24"/>
  <c r="D830" i="22"/>
  <c r="D836" i="22"/>
  <c r="G52" i="9"/>
  <c r="G816" i="24"/>
  <c r="I748" i="22"/>
  <c r="I754" i="22"/>
  <c r="J748" i="22"/>
  <c r="J754" i="22"/>
  <c r="O824" i="22"/>
  <c r="O850" i="22" s="1"/>
  <c r="O842" i="22"/>
  <c r="P830" i="22"/>
  <c r="P836" i="22"/>
  <c r="R830" i="22"/>
  <c r="R836" i="22"/>
  <c r="B263" i="8"/>
  <c r="B308" i="8"/>
  <c r="B309" i="8"/>
  <c r="B110" i="11"/>
  <c r="B58" i="11"/>
  <c r="B109" i="11"/>
  <c r="B1089" i="24"/>
  <c r="B1113" i="24"/>
  <c r="B222" i="8"/>
  <c r="B17" i="11"/>
  <c r="B794" i="22"/>
  <c r="B872" i="22"/>
  <c r="B764" i="22"/>
  <c r="C263" i="8"/>
  <c r="C308" i="8"/>
  <c r="C309" i="8"/>
  <c r="C109" i="11"/>
  <c r="C110" i="11"/>
  <c r="C58" i="11"/>
  <c r="C1089" i="24"/>
  <c r="C1113" i="24"/>
  <c r="C222" i="8"/>
  <c r="C17" i="11"/>
  <c r="C790" i="22"/>
  <c r="C796" i="22"/>
  <c r="C876" i="22" s="1"/>
  <c r="C868" i="22"/>
  <c r="C764" i="22"/>
  <c r="D540" i="8"/>
  <c r="D301" i="7"/>
  <c r="F581" i="8"/>
  <c r="F242" i="10"/>
  <c r="D94" i="10"/>
  <c r="D203" i="10"/>
  <c r="F244" i="10" s="1"/>
  <c r="D425" i="11"/>
  <c r="D427" i="11" s="1"/>
  <c r="D120" i="12"/>
  <c r="D122" i="12" s="1"/>
  <c r="D746" i="24"/>
  <c r="D748" i="24" s="1"/>
  <c r="F147" i="7"/>
  <c r="G589" i="8"/>
  <c r="F211" i="10"/>
  <c r="I185" i="10"/>
  <c r="G226" i="10"/>
  <c r="F193" i="10"/>
  <c r="F57" i="10"/>
  <c r="F409" i="11"/>
  <c r="F104" i="12"/>
  <c r="E730" i="24"/>
  <c r="F150" i="8"/>
  <c r="I534" i="8"/>
  <c r="F536" i="8"/>
  <c r="F542" i="8"/>
  <c r="G280" i="8"/>
  <c r="G361" i="8"/>
  <c r="G362" i="8"/>
  <c r="G72" i="11"/>
  <c r="G153" i="11"/>
  <c r="G154" i="11"/>
  <c r="G239" i="8"/>
  <c r="G31" i="11"/>
  <c r="F790" i="22"/>
  <c r="F796" i="22"/>
  <c r="F876" i="22" s="1"/>
  <c r="F868" i="22"/>
  <c r="F71" i="9"/>
  <c r="H348" i="8"/>
  <c r="H349" i="8"/>
  <c r="H375" i="8" s="1"/>
  <c r="H276" i="8"/>
  <c r="H284" i="8" s="1"/>
  <c r="H59" i="11"/>
  <c r="H85" i="11" s="1"/>
  <c r="H113" i="11"/>
  <c r="H114" i="11"/>
  <c r="H194" i="11" s="1"/>
  <c r="G1114" i="24"/>
  <c r="H18" i="11"/>
  <c r="H44" i="11" s="1"/>
  <c r="H235" i="8"/>
  <c r="H243" i="8" s="1"/>
  <c r="G873" i="22"/>
  <c r="G872" i="22"/>
  <c r="G794" i="22"/>
  <c r="K590" i="8"/>
  <c r="J215" i="10"/>
  <c r="K230" i="10"/>
  <c r="J413" i="11"/>
  <c r="J108" i="12"/>
  <c r="H734" i="24"/>
  <c r="H760" i="24" s="1"/>
  <c r="H49" i="9"/>
  <c r="H819" i="24"/>
  <c r="K150" i="7"/>
  <c r="L580" i="8"/>
  <c r="L238" i="10"/>
  <c r="K60" i="10"/>
  <c r="K205" i="10"/>
  <c r="L246" i="10" s="1"/>
  <c r="K421" i="11"/>
  <c r="K116" i="12"/>
  <c r="I742" i="24"/>
  <c r="I184" i="9"/>
  <c r="I187" i="9"/>
  <c r="K781" i="22"/>
  <c r="K859" i="22"/>
  <c r="K805" i="22"/>
  <c r="K885" i="22" s="1"/>
  <c r="K802" i="22"/>
  <c r="K882" i="22" s="1"/>
  <c r="K784" i="22"/>
  <c r="K856" i="22"/>
  <c r="K26" i="21"/>
  <c r="L739" i="22"/>
  <c r="L763" i="22"/>
  <c r="M784" i="22"/>
  <c r="M856" i="22"/>
  <c r="M802" i="22"/>
  <c r="M882" i="22" s="1"/>
  <c r="M806" i="22"/>
  <c r="M886" i="22" s="1"/>
  <c r="M860" i="22"/>
  <c r="M170" i="9"/>
  <c r="M173" i="9"/>
  <c r="N742" i="22"/>
  <c r="N768" i="22" s="1"/>
  <c r="N760" i="22"/>
  <c r="N193" i="9"/>
  <c r="N199" i="9"/>
  <c r="Q777" i="22"/>
  <c r="Q783" i="22"/>
  <c r="Q855" i="22"/>
  <c r="Q801" i="22"/>
  <c r="Q881" i="22" s="1"/>
  <c r="Q760" i="22"/>
  <c r="Q742" i="22"/>
  <c r="Q768" i="22" s="1"/>
  <c r="Q26" i="21"/>
  <c r="H941" i="22"/>
  <c r="H916" i="22"/>
  <c r="H919" i="22"/>
  <c r="H945" i="22" s="1"/>
  <c r="S742" i="22"/>
  <c r="S768" i="22" s="1"/>
  <c r="S760" i="22"/>
  <c r="S759" i="22"/>
  <c r="S735" i="22"/>
  <c r="S741" i="22"/>
  <c r="S767" i="22" s="1"/>
  <c r="S173" i="9"/>
  <c r="S170" i="9"/>
  <c r="C845" i="22"/>
  <c r="C821" i="22"/>
  <c r="C18" i="9"/>
  <c r="C68" i="9"/>
  <c r="F846" i="22"/>
  <c r="F748" i="22"/>
  <c r="F754" i="22"/>
  <c r="G824" i="22"/>
  <c r="G850" i="22" s="1"/>
  <c r="G842" i="22"/>
  <c r="G846" i="22"/>
  <c r="K830" i="22"/>
  <c r="K836" i="22"/>
  <c r="L824" i="22"/>
  <c r="L850" i="22" s="1"/>
  <c r="L842" i="22"/>
  <c r="L841" i="22"/>
  <c r="L817" i="22"/>
  <c r="L823" i="22"/>
  <c r="L849" i="22" s="1"/>
  <c r="M830" i="22"/>
  <c r="M836" i="22"/>
  <c r="M834" i="22"/>
  <c r="M136" i="9" s="1"/>
  <c r="N837" i="22"/>
  <c r="S131" i="9"/>
  <c r="S843" i="22"/>
  <c r="S825" i="22"/>
  <c r="S822" i="22"/>
  <c r="S135" i="9"/>
  <c r="S137" i="9" s="1"/>
  <c r="S838" i="22"/>
  <c r="S835" i="22"/>
  <c r="B147" i="7"/>
  <c r="I589" i="8"/>
  <c r="C589" i="8"/>
  <c r="B211" i="10"/>
  <c r="E185" i="10"/>
  <c r="C226" i="10"/>
  <c r="B193" i="10"/>
  <c r="B57" i="10"/>
  <c r="I226" i="10"/>
  <c r="B409" i="11"/>
  <c r="B104" i="12"/>
  <c r="B730" i="24"/>
  <c r="B150" i="8"/>
  <c r="E534" i="8"/>
  <c r="B536" i="8"/>
  <c r="B542" i="8"/>
  <c r="C146" i="7"/>
  <c r="C296" i="7"/>
  <c r="D576" i="8"/>
  <c r="C186" i="10"/>
  <c r="C210" i="10"/>
  <c r="C192" i="10"/>
  <c r="D225" i="10"/>
  <c r="C56" i="10"/>
  <c r="C89" i="10"/>
  <c r="C408" i="11"/>
  <c r="C103" i="12"/>
  <c r="C729" i="24"/>
  <c r="C147" i="7"/>
  <c r="D589" i="8"/>
  <c r="C57" i="10"/>
  <c r="C65" i="10" s="1"/>
  <c r="C211" i="10"/>
  <c r="D226" i="10"/>
  <c r="C193" i="10"/>
  <c r="C409" i="11"/>
  <c r="C104" i="12"/>
  <c r="C730" i="24"/>
  <c r="C48" i="9"/>
  <c r="C812" i="24"/>
  <c r="C818" i="24"/>
  <c r="D263" i="8"/>
  <c r="D308" i="8"/>
  <c r="D309" i="8"/>
  <c r="D58" i="11"/>
  <c r="D110" i="11"/>
  <c r="D109" i="11"/>
  <c r="D1113" i="24"/>
  <c r="D1089" i="24"/>
  <c r="D222" i="8"/>
  <c r="D17" i="11"/>
  <c r="D790" i="22"/>
  <c r="D796" i="22"/>
  <c r="D868" i="22"/>
  <c r="D873" i="22"/>
  <c r="F304" i="8"/>
  <c r="F262" i="8"/>
  <c r="F305" i="8"/>
  <c r="F54" i="11"/>
  <c r="F96" i="11"/>
  <c r="F97" i="11"/>
  <c r="E1085" i="24"/>
  <c r="E1091" i="24"/>
  <c r="E1117" i="24" s="1"/>
  <c r="E1109" i="24"/>
  <c r="F221" i="8"/>
  <c r="F13" i="11"/>
  <c r="E777" i="22"/>
  <c r="E783" i="22"/>
  <c r="E855" i="22"/>
  <c r="E801" i="22"/>
  <c r="E881" i="22" s="1"/>
  <c r="E760" i="22"/>
  <c r="E742" i="22"/>
  <c r="E768" i="22" s="1"/>
  <c r="E26" i="21"/>
  <c r="G147" i="7"/>
  <c r="H589" i="8"/>
  <c r="G57" i="10"/>
  <c r="G65" i="10" s="1"/>
  <c r="G211" i="10"/>
  <c r="H226" i="10"/>
  <c r="G193" i="10"/>
  <c r="G409" i="11"/>
  <c r="G104" i="12"/>
  <c r="F730" i="24"/>
  <c r="G146" i="7"/>
  <c r="G296" i="7"/>
  <c r="H576" i="8"/>
  <c r="G186" i="10"/>
  <c r="G210" i="10"/>
  <c r="G192" i="10"/>
  <c r="H225" i="10"/>
  <c r="G56" i="10"/>
  <c r="G89" i="10"/>
  <c r="G408" i="11"/>
  <c r="G103" i="12"/>
  <c r="F729" i="24"/>
  <c r="F187" i="9"/>
  <c r="F184" i="9"/>
  <c r="H151" i="8"/>
  <c r="H543" i="8"/>
  <c r="H146" i="8"/>
  <c r="H523" i="8"/>
  <c r="H529" i="8"/>
  <c r="H547" i="8"/>
  <c r="J263" i="8"/>
  <c r="J308" i="8"/>
  <c r="J309" i="8"/>
  <c r="J110" i="11"/>
  <c r="J58" i="11"/>
  <c r="J109" i="11"/>
  <c r="H1113" i="24"/>
  <c r="H1089" i="24"/>
  <c r="H797" i="22"/>
  <c r="H877" i="22" s="1"/>
  <c r="H869" i="22"/>
  <c r="H794" i="22"/>
  <c r="H872" i="22"/>
  <c r="I805" i="22"/>
  <c r="I781" i="22"/>
  <c r="I859" i="22"/>
  <c r="I193" i="9"/>
  <c r="I199" i="9"/>
  <c r="J735" i="22"/>
  <c r="J741" i="22"/>
  <c r="J767" i="22" s="1"/>
  <c r="J759" i="22"/>
  <c r="J801" i="22"/>
  <c r="J881" i="22" s="1"/>
  <c r="J777" i="22"/>
  <c r="J783" i="22"/>
  <c r="J855" i="22"/>
  <c r="J170" i="9"/>
  <c r="J173" i="9"/>
  <c r="N49" i="9"/>
  <c r="N819" i="24"/>
  <c r="O860" i="22"/>
  <c r="O806" i="22"/>
  <c r="O886" i="22" s="1"/>
  <c r="P797" i="22"/>
  <c r="P877" i="22" s="1"/>
  <c r="P869" i="22"/>
  <c r="P794" i="22"/>
  <c r="P872" i="22"/>
  <c r="R794" i="22"/>
  <c r="R872" i="22"/>
  <c r="R764" i="22"/>
  <c r="H318" i="9"/>
  <c r="H321" i="9"/>
  <c r="H326" i="9"/>
  <c r="B846" i="22"/>
  <c r="B748" i="22"/>
  <c r="B754" i="22"/>
  <c r="D748" i="22"/>
  <c r="D754" i="22"/>
  <c r="D68" i="9"/>
  <c r="D18" i="9"/>
  <c r="H824" i="22"/>
  <c r="H850" i="22" s="1"/>
  <c r="H842" i="22"/>
  <c r="H841" i="22"/>
  <c r="H817" i="22"/>
  <c r="H823" i="22"/>
  <c r="H849" i="22" s="1"/>
  <c r="I830" i="22"/>
  <c r="I836" i="22"/>
  <c r="I834" i="22"/>
  <c r="I136" i="9" s="1"/>
  <c r="K52" i="9"/>
  <c r="K816" i="24"/>
  <c r="M52" i="9"/>
  <c r="M816" i="24"/>
  <c r="P821" i="22"/>
  <c r="P845" i="22"/>
  <c r="P755" i="22"/>
  <c r="R846" i="22"/>
  <c r="R748" i="22"/>
  <c r="R754" i="22"/>
  <c r="I304" i="9"/>
  <c r="I328" i="9"/>
  <c r="I306" i="9"/>
  <c r="I332" i="9" s="1"/>
  <c r="E552" i="8" l="1"/>
  <c r="O767" i="22"/>
  <c r="I850" i="22"/>
  <c r="Q96" i="9"/>
  <c r="R768" i="22"/>
  <c r="G1117" i="24"/>
  <c r="E96" i="9"/>
  <c r="I885" i="22"/>
  <c r="E121" i="12"/>
  <c r="H252" i="8"/>
  <c r="E751" i="24"/>
  <c r="H65" i="10"/>
  <c r="G363" i="8"/>
  <c r="I239" i="8"/>
  <c r="D19" i="9"/>
  <c r="G541" i="8"/>
  <c r="I72" i="11"/>
  <c r="I362" i="8"/>
  <c r="C541" i="8"/>
  <c r="S96" i="9"/>
  <c r="J118" i="9"/>
  <c r="J785" i="22"/>
  <c r="J857" i="22"/>
  <c r="J782" i="22"/>
  <c r="J803" i="22"/>
  <c r="J226" i="7"/>
  <c r="J189" i="11"/>
  <c r="J111" i="11"/>
  <c r="J117" i="11"/>
  <c r="G218" i="10"/>
  <c r="H259" i="10" s="1"/>
  <c r="H233" i="10"/>
  <c r="K54" i="9"/>
  <c r="K13" i="9"/>
  <c r="K1487" i="24"/>
  <c r="J208" i="7"/>
  <c r="J60" i="11"/>
  <c r="J84" i="11"/>
  <c r="H32" i="8"/>
  <c r="H148" i="8"/>
  <c r="H154" i="8"/>
  <c r="G23" i="10"/>
  <c r="G58" i="10"/>
  <c r="G97" i="10"/>
  <c r="G286" i="10" s="1"/>
  <c r="F207" i="7"/>
  <c r="I54" i="11"/>
  <c r="F62" i="11"/>
  <c r="F56" i="11"/>
  <c r="F80" i="11"/>
  <c r="D194" i="7"/>
  <c r="D19" i="11"/>
  <c r="D43" i="11"/>
  <c r="C12" i="9"/>
  <c r="C50" i="9"/>
  <c r="C56" i="9"/>
  <c r="C770" i="24"/>
  <c r="C784" i="24"/>
  <c r="C783" i="24"/>
  <c r="C771" i="24"/>
  <c r="C1483" i="24"/>
  <c r="C219" i="10"/>
  <c r="D260" i="10" s="1"/>
  <c r="D234" i="10"/>
  <c r="C218" i="10"/>
  <c r="D259" i="10" s="1"/>
  <c r="D233" i="10"/>
  <c r="S133" i="9"/>
  <c r="S139" i="9"/>
  <c r="C132" i="9"/>
  <c r="C140" i="9" s="1"/>
  <c r="C847" i="22"/>
  <c r="K429" i="11"/>
  <c r="H193" i="11"/>
  <c r="H115" i="11"/>
  <c r="H195" i="11" s="1"/>
  <c r="G155" i="11"/>
  <c r="I147" i="7"/>
  <c r="F155" i="7"/>
  <c r="G161" i="7"/>
  <c r="G164" i="8"/>
  <c r="G591" i="8"/>
  <c r="C226" i="7"/>
  <c r="C117" i="11"/>
  <c r="C111" i="11"/>
  <c r="C189" i="11"/>
  <c r="B230" i="8"/>
  <c r="B248" i="8"/>
  <c r="E222" i="8"/>
  <c r="B208" i="7"/>
  <c r="E58" i="11"/>
  <c r="B60" i="11"/>
  <c r="B84" i="11"/>
  <c r="Q817" i="24"/>
  <c r="Q820" i="24"/>
  <c r="K350" i="8"/>
  <c r="J359" i="8"/>
  <c r="J365" i="8"/>
  <c r="D118" i="9"/>
  <c r="D803" i="22"/>
  <c r="D782" i="22"/>
  <c r="D785" i="22"/>
  <c r="D857" i="22"/>
  <c r="H131" i="9"/>
  <c r="H825" i="22"/>
  <c r="H822" i="22"/>
  <c r="H843" i="22"/>
  <c r="I201" i="9"/>
  <c r="I198" i="9"/>
  <c r="J352" i="11"/>
  <c r="H1115" i="24"/>
  <c r="J227" i="7"/>
  <c r="J118" i="11"/>
  <c r="J190" i="11"/>
  <c r="F731" i="24"/>
  <c r="F737" i="24"/>
  <c r="F755" i="24"/>
  <c r="G91" i="10"/>
  <c r="G64" i="10"/>
  <c r="G194" i="10"/>
  <c r="G191" i="10"/>
  <c r="G212" i="10"/>
  <c r="H253" i="10" s="1"/>
  <c r="H227" i="10"/>
  <c r="F738" i="24"/>
  <c r="F764" i="24" s="1"/>
  <c r="F756" i="24"/>
  <c r="G155" i="7"/>
  <c r="H161" i="7"/>
  <c r="H164" i="8"/>
  <c r="H591" i="8"/>
  <c r="F193" i="7"/>
  <c r="I13" i="11"/>
  <c r="F21" i="11"/>
  <c r="F15" i="11"/>
  <c r="F39" i="11"/>
  <c r="F351" i="11"/>
  <c r="E1111" i="24"/>
  <c r="E1090" i="24"/>
  <c r="E1093" i="24"/>
  <c r="I305" i="8"/>
  <c r="F313" i="8"/>
  <c r="F331" i="8"/>
  <c r="F385" i="8"/>
  <c r="D248" i="8"/>
  <c r="D230" i="8"/>
  <c r="D256" i="8" s="1"/>
  <c r="D227" i="7"/>
  <c r="D118" i="11"/>
  <c r="D190" i="11"/>
  <c r="D289" i="8"/>
  <c r="D271" i="8"/>
  <c r="D297" i="8" s="1"/>
  <c r="C738" i="24"/>
  <c r="C756" i="24"/>
  <c r="C155" i="7"/>
  <c r="D161" i="7"/>
  <c r="D164" i="8"/>
  <c r="D591" i="8"/>
  <c r="C23" i="10"/>
  <c r="C58" i="10"/>
  <c r="C97" i="10"/>
  <c r="C286" i="10" s="1"/>
  <c r="D584" i="8"/>
  <c r="D251" i="10"/>
  <c r="C154" i="7"/>
  <c r="D160" i="7"/>
  <c r="C298" i="7"/>
  <c r="D160" i="8"/>
  <c r="D578" i="8"/>
  <c r="E150" i="8"/>
  <c r="B152" i="8"/>
  <c r="E147" i="7"/>
  <c r="B155" i="7"/>
  <c r="C161" i="7"/>
  <c r="I161" i="7"/>
  <c r="I164" i="8"/>
  <c r="C164" i="8"/>
  <c r="I591" i="8"/>
  <c r="C591" i="8"/>
  <c r="S839" i="22"/>
  <c r="S851" i="22"/>
  <c r="S848" i="22"/>
  <c r="S78" i="9"/>
  <c r="S77" i="9"/>
  <c r="S743" i="22"/>
  <c r="S761" i="22"/>
  <c r="S740" i="22"/>
  <c r="N198" i="9"/>
  <c r="N201" i="9"/>
  <c r="J134" i="12"/>
  <c r="G123" i="9"/>
  <c r="G149" i="9" s="1"/>
  <c r="G874" i="22"/>
  <c r="I542" i="8"/>
  <c r="F541" i="8"/>
  <c r="E756" i="24"/>
  <c r="E738" i="24"/>
  <c r="E764" i="24" s="1"/>
  <c r="I57" i="10"/>
  <c r="F65" i="10"/>
  <c r="I65" i="10" s="1"/>
  <c r="G597" i="8"/>
  <c r="G252" i="10"/>
  <c r="I211" i="10"/>
  <c r="C122" i="9"/>
  <c r="C795" i="22"/>
  <c r="C798" i="22"/>
  <c r="C870" i="22"/>
  <c r="C352" i="11"/>
  <c r="C1115" i="24"/>
  <c r="C389" i="8"/>
  <c r="C335" i="8"/>
  <c r="C415" i="8" s="1"/>
  <c r="B227" i="7"/>
  <c r="B118" i="11"/>
  <c r="B190" i="11"/>
  <c r="E110" i="11"/>
  <c r="R135" i="9"/>
  <c r="R137" i="9" s="1"/>
  <c r="R838" i="22"/>
  <c r="R835" i="22"/>
  <c r="I90" i="9"/>
  <c r="I91" i="9"/>
  <c r="I753" i="22"/>
  <c r="I756" i="22"/>
  <c r="D135" i="9"/>
  <c r="D137" i="9" s="1"/>
  <c r="D1474" i="24" s="1"/>
  <c r="D835" i="22"/>
  <c r="D838" i="22"/>
  <c r="R863" i="22"/>
  <c r="R809" i="22"/>
  <c r="R767" i="22"/>
  <c r="Q12" i="9"/>
  <c r="Q50" i="9"/>
  <c r="Q56" i="9"/>
  <c r="Q1483" i="24"/>
  <c r="P864" i="22"/>
  <c r="P810" i="22"/>
  <c r="P890" i="22" s="1"/>
  <c r="J82" i="9"/>
  <c r="J81" i="9"/>
  <c r="J765" i="22"/>
  <c r="I122" i="9"/>
  <c r="I798" i="22"/>
  <c r="I870" i="22"/>
  <c r="I795" i="22"/>
  <c r="J142" i="11"/>
  <c r="J166" i="11"/>
  <c r="J366" i="8"/>
  <c r="G414" i="11"/>
  <c r="G438" i="11"/>
  <c r="I31" i="11"/>
  <c r="F363" i="8"/>
  <c r="I361" i="8"/>
  <c r="D229" i="8"/>
  <c r="D223" i="8"/>
  <c r="D247" i="8"/>
  <c r="D351" i="11"/>
  <c r="D1111" i="24"/>
  <c r="D1090" i="24"/>
  <c r="D1093" i="24"/>
  <c r="D264" i="8"/>
  <c r="D288" i="8"/>
  <c r="D270" i="8"/>
  <c r="I932" i="22"/>
  <c r="I929" i="22"/>
  <c r="Q849" i="22"/>
  <c r="O54" i="9"/>
  <c r="O13" i="9"/>
  <c r="O1487" i="24"/>
  <c r="M90" i="9"/>
  <c r="M91" i="9"/>
  <c r="M753" i="22"/>
  <c r="M756" i="22"/>
  <c r="G135" i="9"/>
  <c r="G137" i="9" s="1"/>
  <c r="G1474" i="24" s="1"/>
  <c r="G1488" i="24" s="1"/>
  <c r="G838" i="22"/>
  <c r="G835" i="22"/>
  <c r="C135" i="9"/>
  <c r="C137" i="9" s="1"/>
  <c r="C1474" i="24" s="1"/>
  <c r="C838" i="22"/>
  <c r="C835" i="22"/>
  <c r="N877" i="22"/>
  <c r="I57" i="9"/>
  <c r="I787" i="24"/>
  <c r="I775" i="24"/>
  <c r="I1484" i="24"/>
  <c r="J125" i="12"/>
  <c r="G78" i="9"/>
  <c r="G77" i="9"/>
  <c r="G743" i="22"/>
  <c r="G761" i="22"/>
  <c r="G740" i="22"/>
  <c r="H22" i="11"/>
  <c r="H40" i="11"/>
  <c r="H181" i="11"/>
  <c r="H127" i="11"/>
  <c r="H352" i="8"/>
  <c r="H346" i="8"/>
  <c r="H370" i="8"/>
  <c r="G236" i="7"/>
  <c r="G145" i="11"/>
  <c r="G163" i="11"/>
  <c r="I120" i="12"/>
  <c r="F122" i="12"/>
  <c r="D12" i="9"/>
  <c r="D50" i="9"/>
  <c r="D56" i="9"/>
  <c r="D771" i="24"/>
  <c r="D770" i="24"/>
  <c r="D784" i="24"/>
  <c r="D783" i="24"/>
  <c r="D755" i="24"/>
  <c r="D731" i="24"/>
  <c r="D737" i="24"/>
  <c r="F584" i="8"/>
  <c r="F251" i="10"/>
  <c r="D64" i="10"/>
  <c r="D91" i="10"/>
  <c r="C19" i="9"/>
  <c r="C355" i="11"/>
  <c r="C1103" i="24"/>
  <c r="C1106" i="24"/>
  <c r="C319" i="8"/>
  <c r="C325" i="8"/>
  <c r="C397" i="8"/>
  <c r="B886" i="22"/>
  <c r="B242" i="8"/>
  <c r="B236" i="8"/>
  <c r="E234" i="8"/>
  <c r="B102" i="11"/>
  <c r="B126" i="11"/>
  <c r="E100" i="11"/>
  <c r="B180" i="11"/>
  <c r="B346" i="8"/>
  <c r="B370" i="8"/>
  <c r="E344" i="8"/>
  <c r="B352" i="8"/>
  <c r="H351" i="11"/>
  <c r="G1090" i="24"/>
  <c r="G1093" i="24"/>
  <c r="G1111" i="24"/>
  <c r="H222" i="7"/>
  <c r="H104" i="11"/>
  <c r="H122" i="11"/>
  <c r="H176" i="11"/>
  <c r="H98" i="11"/>
  <c r="D756" i="24"/>
  <c r="D738" i="24"/>
  <c r="F161" i="7"/>
  <c r="D155" i="7"/>
  <c r="F164" i="8"/>
  <c r="F591" i="8"/>
  <c r="C346" i="8"/>
  <c r="C370" i="8"/>
  <c r="C352" i="8"/>
  <c r="R132" i="9"/>
  <c r="R140" i="9" s="1"/>
  <c r="R847" i="22"/>
  <c r="R131" i="9"/>
  <c r="R843" i="22"/>
  <c r="R822" i="22"/>
  <c r="R825" i="22"/>
  <c r="I95" i="9"/>
  <c r="I94" i="9"/>
  <c r="D131" i="9"/>
  <c r="D825" i="22"/>
  <c r="D822" i="22"/>
  <c r="D843" i="22"/>
  <c r="L12" i="9"/>
  <c r="L50" i="9"/>
  <c r="L56" i="9"/>
  <c r="L1483" i="24"/>
  <c r="I767" i="22"/>
  <c r="K351" i="11"/>
  <c r="K385" i="8"/>
  <c r="K331" i="8"/>
  <c r="J194" i="11"/>
  <c r="H33" i="8"/>
  <c r="H155" i="8"/>
  <c r="G152" i="8"/>
  <c r="E119" i="9"/>
  <c r="E861" i="22"/>
  <c r="E807" i="22"/>
  <c r="F81" i="11"/>
  <c r="I55" i="11"/>
  <c r="F63" i="11"/>
  <c r="D350" i="8"/>
  <c r="D374" i="8"/>
  <c r="E543" i="8"/>
  <c r="E117" i="12"/>
  <c r="B125" i="12"/>
  <c r="F132" i="9"/>
  <c r="F140" i="9" s="1"/>
  <c r="F847" i="22"/>
  <c r="F131" i="9"/>
  <c r="F843" i="22"/>
  <c r="F822" i="22"/>
  <c r="F825" i="22"/>
  <c r="S864" i="22"/>
  <c r="S810" i="22"/>
  <c r="S890" i="22" s="1"/>
  <c r="S119" i="9"/>
  <c r="S807" i="22"/>
  <c r="S887" i="22" s="1"/>
  <c r="S861" i="22"/>
  <c r="N885" i="22"/>
  <c r="M809" i="22"/>
  <c r="M863" i="22"/>
  <c r="G876" i="22"/>
  <c r="H566" i="8"/>
  <c r="F208" i="26" s="1"/>
  <c r="H180" i="12"/>
  <c r="H369" i="11"/>
  <c r="H401" i="8"/>
  <c r="H323" i="8"/>
  <c r="G226" i="7"/>
  <c r="G117" i="11"/>
  <c r="G111" i="11"/>
  <c r="G189" i="11"/>
  <c r="I422" i="11"/>
  <c r="F430" i="11"/>
  <c r="I151" i="7"/>
  <c r="M165" i="7"/>
  <c r="G165" i="7"/>
  <c r="M165" i="8"/>
  <c r="G165" i="8"/>
  <c r="M595" i="8"/>
  <c r="G595" i="8"/>
  <c r="C350" i="8"/>
  <c r="C376" i="8" s="1"/>
  <c r="C374" i="8"/>
  <c r="B375" i="8"/>
  <c r="E375" i="8" s="1"/>
  <c r="E349" i="8"/>
  <c r="E90" i="9"/>
  <c r="E91" i="9"/>
  <c r="E99" i="9" s="1"/>
  <c r="E753" i="22"/>
  <c r="E756" i="22"/>
  <c r="R886" i="22"/>
  <c r="P768" i="22"/>
  <c r="P809" i="22"/>
  <c r="P863" i="22"/>
  <c r="J207" i="7"/>
  <c r="J62" i="11"/>
  <c r="J56" i="11"/>
  <c r="J80" i="11"/>
  <c r="H439" i="11"/>
  <c r="H598" i="8"/>
  <c r="H256" i="10"/>
  <c r="F352" i="11"/>
  <c r="E1115" i="24"/>
  <c r="F227" i="7"/>
  <c r="F118" i="11"/>
  <c r="F190" i="11"/>
  <c r="I110" i="11"/>
  <c r="D236" i="8"/>
  <c r="D242" i="8"/>
  <c r="D126" i="11"/>
  <c r="D180" i="11"/>
  <c r="D102" i="11"/>
  <c r="D277" i="8"/>
  <c r="D283" i="8"/>
  <c r="D315" i="7"/>
  <c r="D607" i="8"/>
  <c r="B759" i="24"/>
  <c r="B735" i="24"/>
  <c r="I231" i="10"/>
  <c r="B216" i="10"/>
  <c r="E190" i="10"/>
  <c r="C231" i="10"/>
  <c r="E540" i="8"/>
  <c r="S92" i="9"/>
  <c r="S98" i="9"/>
  <c r="J307" i="9"/>
  <c r="K132" i="9"/>
  <c r="K140" i="9" s="1"/>
  <c r="K847" i="22"/>
  <c r="R12" i="9"/>
  <c r="R50" i="9"/>
  <c r="R56" i="9"/>
  <c r="R1483" i="24"/>
  <c r="N82" i="9"/>
  <c r="N108" i="9" s="1"/>
  <c r="N81" i="9"/>
  <c r="N765" i="22"/>
  <c r="L198" i="9"/>
  <c r="L201" i="9"/>
  <c r="J154" i="8"/>
  <c r="J32" i="8"/>
  <c r="J148" i="8"/>
  <c r="G864" i="22"/>
  <c r="G810" i="22"/>
  <c r="G890" i="22" s="1"/>
  <c r="G119" i="9"/>
  <c r="G807" i="22"/>
  <c r="G861" i="22"/>
  <c r="H355" i="11"/>
  <c r="G1103" i="24"/>
  <c r="G1106" i="24"/>
  <c r="H319" i="8"/>
  <c r="H325" i="8"/>
  <c r="H397" i="8"/>
  <c r="F119" i="9"/>
  <c r="F807" i="22"/>
  <c r="F887" i="22" s="1"/>
  <c r="F861" i="22"/>
  <c r="G166" i="11"/>
  <c r="G142" i="11"/>
  <c r="G168" i="11" s="1"/>
  <c r="G281" i="8"/>
  <c r="G85" i="8" s="1"/>
  <c r="I552" i="8"/>
  <c r="I426" i="11"/>
  <c r="B197" i="7"/>
  <c r="B28" i="11"/>
  <c r="E26" i="11"/>
  <c r="B34" i="11"/>
  <c r="B235" i="7"/>
  <c r="B138" i="11"/>
  <c r="B162" i="11"/>
  <c r="E136" i="11"/>
  <c r="B144" i="11"/>
  <c r="E266" i="8"/>
  <c r="B268" i="8"/>
  <c r="B292" i="8"/>
  <c r="S878" i="22"/>
  <c r="S875" i="22"/>
  <c r="L809" i="22"/>
  <c r="L889" i="22" s="1"/>
  <c r="L863" i="22"/>
  <c r="G118" i="9"/>
  <c r="G782" i="22"/>
  <c r="G785" i="22"/>
  <c r="G857" i="22"/>
  <c r="G803" i="22"/>
  <c r="B69" i="9"/>
  <c r="B72" i="9"/>
  <c r="B142" i="11"/>
  <c r="B166" i="11"/>
  <c r="E140" i="11"/>
  <c r="B366" i="8"/>
  <c r="E358" i="8"/>
  <c r="H12" i="9"/>
  <c r="H50" i="9"/>
  <c r="H56" i="9"/>
  <c r="H771" i="24"/>
  <c r="H770" i="24"/>
  <c r="H784" i="24"/>
  <c r="H783" i="24"/>
  <c r="H1483" i="24"/>
  <c r="F1118" i="24"/>
  <c r="G346" i="8"/>
  <c r="G370" i="8"/>
  <c r="G352" i="8"/>
  <c r="C863" i="22"/>
  <c r="C809" i="22"/>
  <c r="B767" i="22"/>
  <c r="R850" i="22"/>
  <c r="O94" i="9"/>
  <c r="O95" i="9"/>
  <c r="B850" i="22"/>
  <c r="J254" i="9"/>
  <c r="J910" i="22"/>
  <c r="J470" i="24"/>
  <c r="J446" i="24"/>
  <c r="O864" i="22"/>
  <c r="O810" i="22"/>
  <c r="O890" i="22" s="1"/>
  <c r="O119" i="9"/>
  <c r="O807" i="22"/>
  <c r="O861" i="22"/>
  <c r="J198" i="9"/>
  <c r="J201" i="9"/>
  <c r="K126" i="11"/>
  <c r="K102" i="11"/>
  <c r="K277" i="8"/>
  <c r="J566" i="8"/>
  <c r="J180" i="12"/>
  <c r="J323" i="8"/>
  <c r="J401" i="8"/>
  <c r="H130" i="12"/>
  <c r="H112" i="12"/>
  <c r="G751" i="24"/>
  <c r="G124" i="12"/>
  <c r="G118" i="12"/>
  <c r="G95" i="10"/>
  <c r="G33" i="7"/>
  <c r="G152" i="7"/>
  <c r="H166" i="7" s="1"/>
  <c r="H314" i="7"/>
  <c r="H606" i="8"/>
  <c r="E19" i="9"/>
  <c r="F197" i="7"/>
  <c r="F28" i="11"/>
  <c r="I26" i="11"/>
  <c r="F34" i="11"/>
  <c r="F211" i="7"/>
  <c r="F69" i="11"/>
  <c r="I67" i="11"/>
  <c r="F75" i="11"/>
  <c r="F326" i="8"/>
  <c r="F398" i="8"/>
  <c r="I318" i="8"/>
  <c r="D198" i="7"/>
  <c r="D32" i="11"/>
  <c r="D240" i="7"/>
  <c r="D158" i="11"/>
  <c r="C124" i="12"/>
  <c r="C118" i="12"/>
  <c r="C95" i="10"/>
  <c r="C33" i="7"/>
  <c r="C152" i="7"/>
  <c r="D166" i="7" s="1"/>
  <c r="D314" i="7"/>
  <c r="D606" i="8"/>
  <c r="C430" i="11"/>
  <c r="B429" i="11"/>
  <c r="B423" i="11"/>
  <c r="E421" i="11"/>
  <c r="B95" i="10"/>
  <c r="E60" i="10"/>
  <c r="E547" i="8"/>
  <c r="B154" i="8"/>
  <c r="B32" i="8"/>
  <c r="E146" i="8"/>
  <c r="B148" i="8"/>
  <c r="F850" i="22"/>
  <c r="S863" i="22"/>
  <c r="S809" i="22"/>
  <c r="S889" i="22" s="1"/>
  <c r="H477" i="24"/>
  <c r="H468" i="24"/>
  <c r="H480" i="24"/>
  <c r="P57" i="9"/>
  <c r="P1484" i="24"/>
  <c r="P1492" i="24" s="1"/>
  <c r="N863" i="22"/>
  <c r="N809" i="22"/>
  <c r="N889" i="22" s="1"/>
  <c r="N767" i="22"/>
  <c r="L123" i="9"/>
  <c r="L149" i="9" s="1"/>
  <c r="L874" i="22"/>
  <c r="I731" i="24"/>
  <c r="I755" i="24"/>
  <c r="I738" i="24"/>
  <c r="K244" i="10"/>
  <c r="H363" i="8"/>
  <c r="G44" i="11"/>
  <c r="G85" i="11"/>
  <c r="G284" i="8"/>
  <c r="F528" i="8"/>
  <c r="I529" i="8"/>
  <c r="F555" i="8"/>
  <c r="F429" i="11"/>
  <c r="F423" i="11"/>
  <c r="I421" i="11"/>
  <c r="F95" i="10"/>
  <c r="I95" i="10" s="1"/>
  <c r="I60" i="10"/>
  <c r="D760" i="24"/>
  <c r="C198" i="7"/>
  <c r="C32" i="11"/>
  <c r="C239" i="7"/>
  <c r="C157" i="11"/>
  <c r="C151" i="11"/>
  <c r="B252" i="8"/>
  <c r="E252" i="8" s="1"/>
  <c r="E226" i="8"/>
  <c r="B240" i="7"/>
  <c r="B158" i="11"/>
  <c r="E150" i="11"/>
  <c r="P96" i="9"/>
  <c r="P886" i="22"/>
  <c r="K817" i="24"/>
  <c r="K820" i="24"/>
  <c r="H885" i="22"/>
  <c r="J371" i="8"/>
  <c r="J353" i="8"/>
  <c r="H109" i="12"/>
  <c r="H133" i="12"/>
  <c r="J231" i="10"/>
  <c r="H216" i="10"/>
  <c r="I235" i="8"/>
  <c r="F243" i="8"/>
  <c r="I114" i="11"/>
  <c r="F194" i="11"/>
  <c r="D767" i="22"/>
  <c r="D197" i="7"/>
  <c r="D34" i="11"/>
  <c r="D28" i="11"/>
  <c r="D235" i="7"/>
  <c r="D144" i="11"/>
  <c r="D162" i="11"/>
  <c r="D138" i="11"/>
  <c r="D326" i="8"/>
  <c r="D398" i="8"/>
  <c r="E108" i="12"/>
  <c r="B134" i="12"/>
  <c r="M849" i="22"/>
  <c r="Q123" i="9"/>
  <c r="Q149" i="9" s="1"/>
  <c r="Q874" i="22"/>
  <c r="L768" i="22"/>
  <c r="J105" i="12"/>
  <c r="J129" i="12"/>
  <c r="J111" i="12"/>
  <c r="J191" i="10"/>
  <c r="J212" i="10"/>
  <c r="K227" i="10"/>
  <c r="J194" i="10"/>
  <c r="J218" i="10"/>
  <c r="J32" i="7"/>
  <c r="J148" i="7"/>
  <c r="J304" i="7"/>
  <c r="K310" i="7"/>
  <c r="K602" i="8"/>
  <c r="H240" i="8"/>
  <c r="H76" i="11"/>
  <c r="H85" i="7" s="1"/>
  <c r="H281" i="8"/>
  <c r="H85" i="8" s="1"/>
  <c r="F881" i="22"/>
  <c r="G351" i="11"/>
  <c r="F1093" i="24"/>
  <c r="F1111" i="24"/>
  <c r="F1090" i="24"/>
  <c r="G223" i="7"/>
  <c r="G105" i="11"/>
  <c r="G123" i="11"/>
  <c r="G177" i="11"/>
  <c r="E759" i="24"/>
  <c r="E735" i="24"/>
  <c r="F216" i="10"/>
  <c r="I190" i="10"/>
  <c r="G231" i="10"/>
  <c r="D744" i="24"/>
  <c r="D750" i="24"/>
  <c r="D207" i="10"/>
  <c r="D204" i="10"/>
  <c r="F240" i="10"/>
  <c r="C193" i="7"/>
  <c r="C15" i="11"/>
  <c r="C39" i="11"/>
  <c r="C21" i="11"/>
  <c r="C222" i="7"/>
  <c r="C104" i="11"/>
  <c r="C176" i="11"/>
  <c r="C122" i="11"/>
  <c r="C98" i="11"/>
  <c r="C306" i="8"/>
  <c r="C330" i="8"/>
  <c r="C410" i="8" s="1"/>
  <c r="C312" i="8"/>
  <c r="C384" i="8"/>
  <c r="B119" i="9"/>
  <c r="B807" i="22"/>
  <c r="B861" i="22"/>
  <c r="J155" i="7"/>
  <c r="K161" i="7"/>
  <c r="K164" i="8"/>
  <c r="K591" i="8"/>
  <c r="I108" i="12"/>
  <c r="F134" i="12"/>
  <c r="B223" i="8"/>
  <c r="E221" i="8"/>
  <c r="B229" i="8"/>
  <c r="B247" i="8"/>
  <c r="E262" i="8"/>
  <c r="B264" i="8"/>
  <c r="B288" i="8"/>
  <c r="B270" i="8"/>
  <c r="P849" i="22"/>
  <c r="J135" i="9"/>
  <c r="J137" i="9" s="1"/>
  <c r="J838" i="22"/>
  <c r="J835" i="22"/>
  <c r="R876" i="22"/>
  <c r="O118" i="9"/>
  <c r="O782" i="22"/>
  <c r="O785" i="22"/>
  <c r="O857" i="22"/>
  <c r="O803" i="22"/>
  <c r="J119" i="9"/>
  <c r="J807" i="22"/>
  <c r="J861" i="22"/>
  <c r="I881" i="22"/>
  <c r="K163" i="11"/>
  <c r="J155" i="11"/>
  <c r="G12" i="9"/>
  <c r="G50" i="9"/>
  <c r="G56" i="9"/>
  <c r="G770" i="24"/>
  <c r="G784" i="24"/>
  <c r="G783" i="24"/>
  <c r="G771" i="24"/>
  <c r="G1483" i="24"/>
  <c r="H218" i="10"/>
  <c r="J259" i="10" s="1"/>
  <c r="J233" i="10"/>
  <c r="H97" i="10"/>
  <c r="H23" i="10"/>
  <c r="H58" i="10"/>
  <c r="J160" i="7"/>
  <c r="H154" i="7"/>
  <c r="H298" i="7"/>
  <c r="J160" i="8"/>
  <c r="J578" i="8"/>
  <c r="F359" i="8"/>
  <c r="I357" i="8"/>
  <c r="F365" i="8"/>
  <c r="D363" i="8"/>
  <c r="C33" i="8"/>
  <c r="C155" i="8"/>
  <c r="C32" i="8"/>
  <c r="C34" i="8" s="1"/>
  <c r="C154" i="8"/>
  <c r="C148" i="8"/>
  <c r="E548" i="8"/>
  <c r="B731" i="24"/>
  <c r="B737" i="24"/>
  <c r="B755" i="24"/>
  <c r="C584" i="8"/>
  <c r="I584" i="8"/>
  <c r="I251" i="10"/>
  <c r="E210" i="10"/>
  <c r="C251" i="10"/>
  <c r="L91" i="9"/>
  <c r="L90" i="9"/>
  <c r="L753" i="22"/>
  <c r="L756" i="22"/>
  <c r="H13" i="9"/>
  <c r="H54" i="9"/>
  <c r="G131" i="9"/>
  <c r="G843" i="22"/>
  <c r="G825" i="22"/>
  <c r="G822" i="22"/>
  <c r="S12" i="9"/>
  <c r="S14" i="9" s="1"/>
  <c r="S50" i="9"/>
  <c r="S56" i="9"/>
  <c r="S1483" i="24"/>
  <c r="H274" i="9"/>
  <c r="H277" i="9"/>
  <c r="H282" i="9"/>
  <c r="N882" i="22"/>
  <c r="M767" i="22"/>
  <c r="J817" i="24"/>
  <c r="J820" i="24"/>
  <c r="J305" i="7"/>
  <c r="H248" i="8"/>
  <c r="H230" i="8"/>
  <c r="H256" i="8" s="1"/>
  <c r="H226" i="7"/>
  <c r="H117" i="11"/>
  <c r="H111" i="11"/>
  <c r="H189" i="11"/>
  <c r="H310" i="8"/>
  <c r="H388" i="8"/>
  <c r="H334" i="8"/>
  <c r="G240" i="7"/>
  <c r="G158" i="11"/>
  <c r="G293" i="8"/>
  <c r="E731" i="24"/>
  <c r="E737" i="24"/>
  <c r="E755" i="24"/>
  <c r="G584" i="8"/>
  <c r="I210" i="10"/>
  <c r="G251" i="10"/>
  <c r="I530" i="8"/>
  <c r="F556" i="8"/>
  <c r="D57" i="9"/>
  <c r="D787" i="24"/>
  <c r="D775" i="24"/>
  <c r="D774" i="24"/>
  <c r="D788" i="24"/>
  <c r="D127" i="10" s="1"/>
  <c r="C155" i="11"/>
  <c r="B122" i="9"/>
  <c r="B795" i="22"/>
  <c r="B798" i="22"/>
  <c r="B870" i="22"/>
  <c r="E72" i="11"/>
  <c r="E280" i="8"/>
  <c r="R96" i="9"/>
  <c r="O849" i="22"/>
  <c r="E849" i="22"/>
  <c r="R119" i="9"/>
  <c r="R807" i="22"/>
  <c r="R887" i="22" s="1"/>
  <c r="R861" i="22"/>
  <c r="I877" i="22"/>
  <c r="J211" i="7"/>
  <c r="J69" i="11"/>
  <c r="J75" i="11"/>
  <c r="G748" i="24"/>
  <c r="G427" i="11"/>
  <c r="E122" i="9"/>
  <c r="E798" i="22"/>
  <c r="E870" i="22"/>
  <c r="E795" i="22"/>
  <c r="F252" i="8"/>
  <c r="I226" i="8"/>
  <c r="F240" i="7"/>
  <c r="F158" i="11"/>
  <c r="I150" i="11"/>
  <c r="D882" i="22"/>
  <c r="D167" i="11"/>
  <c r="D365" i="8"/>
  <c r="D359" i="8"/>
  <c r="C760" i="24"/>
  <c r="D598" i="8"/>
  <c r="D256" i="10"/>
  <c r="C414" i="11"/>
  <c r="C440" i="11" s="1"/>
  <c r="C438" i="11"/>
  <c r="C98" i="10"/>
  <c r="C287" i="10" s="1"/>
  <c r="B427" i="11"/>
  <c r="E427" i="11" s="1"/>
  <c r="E425" i="11"/>
  <c r="E301" i="7"/>
  <c r="I315" i="7"/>
  <c r="C315" i="7"/>
  <c r="C607" i="8"/>
  <c r="I607" i="8"/>
  <c r="O57" i="9"/>
  <c r="O1484" i="24"/>
  <c r="O1492" i="24" s="1"/>
  <c r="L886" i="22"/>
  <c r="G69" i="9"/>
  <c r="G72" i="9"/>
  <c r="D751" i="24"/>
  <c r="I135" i="9"/>
  <c r="I137" i="9" s="1"/>
  <c r="I835" i="22"/>
  <c r="I838" i="22"/>
  <c r="H334" i="9"/>
  <c r="H322" i="9"/>
  <c r="H331" i="9"/>
  <c r="I119" i="9"/>
  <c r="I861" i="22"/>
  <c r="I807" i="22"/>
  <c r="H531" i="8"/>
  <c r="H549" i="8"/>
  <c r="G416" i="11"/>
  <c r="G410" i="11"/>
  <c r="G434" i="11"/>
  <c r="G417" i="11"/>
  <c r="G443" i="11" s="1"/>
  <c r="G435" i="11"/>
  <c r="F312" i="8"/>
  <c r="F330" i="8"/>
  <c r="I304" i="8"/>
  <c r="F306" i="8"/>
  <c r="F384" i="8"/>
  <c r="C817" i="24"/>
  <c r="C820" i="24"/>
  <c r="B219" i="10"/>
  <c r="I234" i="10"/>
  <c r="E193" i="10"/>
  <c r="C234" i="10"/>
  <c r="P132" i="9"/>
  <c r="P140" i="9" s="1"/>
  <c r="P847" i="22"/>
  <c r="D91" i="9"/>
  <c r="D99" i="9" s="1"/>
  <c r="D90" i="9"/>
  <c r="D753" i="22"/>
  <c r="D756" i="22"/>
  <c r="P123" i="9"/>
  <c r="P149" i="9" s="1"/>
  <c r="P874" i="22"/>
  <c r="J271" i="8"/>
  <c r="J289" i="8"/>
  <c r="G154" i="7"/>
  <c r="H160" i="7"/>
  <c r="G298" i="7"/>
  <c r="H160" i="8"/>
  <c r="H578" i="8"/>
  <c r="G219" i="10"/>
  <c r="H260" i="10" s="1"/>
  <c r="H234" i="10"/>
  <c r="E118" i="9"/>
  <c r="E803" i="22"/>
  <c r="E782" i="22"/>
  <c r="E785" i="22"/>
  <c r="E857" i="22"/>
  <c r="D226" i="7"/>
  <c r="D117" i="11"/>
  <c r="D111" i="11"/>
  <c r="D189" i="11"/>
  <c r="C32" i="7"/>
  <c r="C148" i="7"/>
  <c r="C304" i="7"/>
  <c r="D310" i="7"/>
  <c r="D602" i="8"/>
  <c r="B417" i="11"/>
  <c r="B435" i="11"/>
  <c r="E409" i="11"/>
  <c r="M135" i="9"/>
  <c r="M137" i="9" s="1"/>
  <c r="M835" i="22"/>
  <c r="M838" i="22"/>
  <c r="F91" i="9"/>
  <c r="F99" i="9" s="1"/>
  <c r="F90" i="9"/>
  <c r="F756" i="22"/>
  <c r="F753" i="22"/>
  <c r="L164" i="7"/>
  <c r="L161" i="8"/>
  <c r="L582" i="8"/>
  <c r="H350" i="8"/>
  <c r="H376" i="8" s="1"/>
  <c r="H374" i="8"/>
  <c r="F152" i="8"/>
  <c r="I150" i="8"/>
  <c r="I330" i="9"/>
  <c r="I305" i="9"/>
  <c r="I308" i="9"/>
  <c r="M54" i="9"/>
  <c r="M13" i="9"/>
  <c r="M1487" i="24"/>
  <c r="B91" i="9"/>
  <c r="B99" i="9" s="1"/>
  <c r="B90" i="9"/>
  <c r="B756" i="22"/>
  <c r="B753" i="22"/>
  <c r="R123" i="9"/>
  <c r="R149" i="9" s="1"/>
  <c r="R874" i="22"/>
  <c r="N57" i="9"/>
  <c r="N1484" i="24"/>
  <c r="N1492" i="24" s="1"/>
  <c r="J863" i="22"/>
  <c r="J809" i="22"/>
  <c r="J889" i="22" s="1"/>
  <c r="H123" i="9"/>
  <c r="H149" i="9" s="1"/>
  <c r="H874" i="22"/>
  <c r="J335" i="8"/>
  <c r="J389" i="8"/>
  <c r="H528" i="8"/>
  <c r="H555" i="8"/>
  <c r="G111" i="12"/>
  <c r="G137" i="12" s="1"/>
  <c r="G129" i="12"/>
  <c r="G105" i="12"/>
  <c r="G112" i="12"/>
  <c r="G138" i="12" s="1"/>
  <c r="G130" i="12"/>
  <c r="H597" i="8"/>
  <c r="H252" i="10"/>
  <c r="F223" i="8"/>
  <c r="I221" i="8"/>
  <c r="F229" i="8"/>
  <c r="F247" i="8"/>
  <c r="F223" i="7"/>
  <c r="F177" i="11"/>
  <c r="I97" i="11"/>
  <c r="F105" i="11"/>
  <c r="F123" i="11"/>
  <c r="I262" i="8"/>
  <c r="F270" i="8"/>
  <c r="F264" i="8"/>
  <c r="F288" i="8"/>
  <c r="D876" i="22"/>
  <c r="D352" i="11"/>
  <c r="D1115" i="24"/>
  <c r="D208" i="7"/>
  <c r="D60" i="11"/>
  <c r="D84" i="11"/>
  <c r="C112" i="12"/>
  <c r="C130" i="12"/>
  <c r="D597" i="8"/>
  <c r="D252" i="10"/>
  <c r="C755" i="24"/>
  <c r="C731" i="24"/>
  <c r="C737" i="24"/>
  <c r="C91" i="10"/>
  <c r="C64" i="10"/>
  <c r="C194" i="10"/>
  <c r="C191" i="10"/>
  <c r="C212" i="10"/>
  <c r="D253" i="10" s="1"/>
  <c r="D227" i="10"/>
  <c r="B541" i="8"/>
  <c r="E542" i="8"/>
  <c r="B738" i="24"/>
  <c r="B756" i="24"/>
  <c r="E57" i="10"/>
  <c r="B65" i="10"/>
  <c r="E65" i="10" s="1"/>
  <c r="I597" i="8"/>
  <c r="C597" i="8"/>
  <c r="I252" i="10"/>
  <c r="C252" i="10"/>
  <c r="E211" i="10"/>
  <c r="L131" i="9"/>
  <c r="L825" i="22"/>
  <c r="L822" i="22"/>
  <c r="L843" i="22"/>
  <c r="H942" i="22"/>
  <c r="H920" i="22"/>
  <c r="H917" i="22"/>
  <c r="Q809" i="22"/>
  <c r="Q889" i="22" s="1"/>
  <c r="Q863" i="22"/>
  <c r="M810" i="22"/>
  <c r="M890" i="22" s="1"/>
  <c r="M864" i="22"/>
  <c r="I750" i="24"/>
  <c r="H57" i="9"/>
  <c r="H787" i="24"/>
  <c r="H775" i="24"/>
  <c r="H774" i="24"/>
  <c r="H788" i="24"/>
  <c r="J127" i="10" s="1"/>
  <c r="H1484" i="24"/>
  <c r="J439" i="11"/>
  <c r="I536" i="8"/>
  <c r="F544" i="8"/>
  <c r="F112" i="12"/>
  <c r="I104" i="12"/>
  <c r="F130" i="12"/>
  <c r="F219" i="10"/>
  <c r="I193" i="10"/>
  <c r="G234" i="10"/>
  <c r="C194" i="7"/>
  <c r="C202" i="7" s="1"/>
  <c r="C19" i="11"/>
  <c r="C45" i="11" s="1"/>
  <c r="C43" i="11"/>
  <c r="C208" i="7"/>
  <c r="C60" i="11"/>
  <c r="C84" i="11"/>
  <c r="C334" i="8"/>
  <c r="C414" i="8" s="1"/>
  <c r="C310" i="8"/>
  <c r="C388" i="8"/>
  <c r="B123" i="9"/>
  <c r="B149" i="9" s="1"/>
  <c r="B874" i="22"/>
  <c r="B352" i="11"/>
  <c r="B1115" i="24"/>
  <c r="E309" i="8"/>
  <c r="B335" i="8"/>
  <c r="B389" i="8"/>
  <c r="R118" i="9"/>
  <c r="R785" i="22"/>
  <c r="R857" i="22"/>
  <c r="R782" i="22"/>
  <c r="R803" i="22"/>
  <c r="R883" i="22" s="1"/>
  <c r="R77" i="9"/>
  <c r="R78" i="9"/>
  <c r="R761" i="22"/>
  <c r="R740" i="22"/>
  <c r="R743" i="22"/>
  <c r="H864" i="22"/>
  <c r="H810" i="22"/>
  <c r="H890" i="22" s="1"/>
  <c r="J167" i="11"/>
  <c r="J281" i="8"/>
  <c r="I153" i="11"/>
  <c r="F155" i="11"/>
  <c r="I155" i="11" s="1"/>
  <c r="I280" i="8"/>
  <c r="D72" i="9"/>
  <c r="D69" i="9"/>
  <c r="D193" i="7"/>
  <c r="D15" i="11"/>
  <c r="D39" i="11"/>
  <c r="D21" i="11"/>
  <c r="D223" i="7"/>
  <c r="D123" i="11"/>
  <c r="D177" i="11"/>
  <c r="D105" i="11"/>
  <c r="D313" i="8"/>
  <c r="D385" i="8"/>
  <c r="D331" i="8"/>
  <c r="R54" i="9"/>
  <c r="R13" i="9"/>
  <c r="R1487" i="24"/>
  <c r="I231" i="9"/>
  <c r="I788" i="24" s="1"/>
  <c r="K539" i="8"/>
  <c r="K202" i="10"/>
  <c r="I1101" i="24"/>
  <c r="I285" i="9"/>
  <c r="I273" i="9"/>
  <c r="J357" i="9"/>
  <c r="Q131" i="9"/>
  <c r="Q822" i="22"/>
  <c r="Q825" i="22"/>
  <c r="Q843" i="22"/>
  <c r="M82" i="9"/>
  <c r="M81" i="9"/>
  <c r="M765" i="22"/>
  <c r="K876" i="22"/>
  <c r="J430" i="11"/>
  <c r="K165" i="7"/>
  <c r="K165" i="8"/>
  <c r="K595" i="8"/>
  <c r="H236" i="8"/>
  <c r="H242" i="8"/>
  <c r="H102" i="11"/>
  <c r="H180" i="11"/>
  <c r="H126" i="11"/>
  <c r="H277" i="8"/>
  <c r="H283" i="8"/>
  <c r="G355" i="11"/>
  <c r="F1103" i="24"/>
  <c r="F1106" i="24"/>
  <c r="G319" i="8"/>
  <c r="G325" i="8"/>
  <c r="G397" i="8"/>
  <c r="F427" i="11"/>
  <c r="I425" i="11"/>
  <c r="I301" i="7"/>
  <c r="M315" i="7"/>
  <c r="G315" i="7"/>
  <c r="G607" i="8"/>
  <c r="M607" i="8"/>
  <c r="D544" i="8"/>
  <c r="D111" i="12"/>
  <c r="D105" i="12"/>
  <c r="D129" i="12"/>
  <c r="F227" i="10"/>
  <c r="D194" i="10"/>
  <c r="D191" i="10"/>
  <c r="D212" i="10"/>
  <c r="C197" i="7"/>
  <c r="C199" i="7" s="1"/>
  <c r="C28" i="11"/>
  <c r="C34" i="11"/>
  <c r="C235" i="7"/>
  <c r="C243" i="7" s="1"/>
  <c r="C138" i="11"/>
  <c r="C144" i="11"/>
  <c r="C162" i="11"/>
  <c r="C326" i="8"/>
  <c r="C406" i="8" s="1"/>
  <c r="C398" i="8"/>
  <c r="B40" i="11"/>
  <c r="E14" i="11"/>
  <c r="B22" i="11"/>
  <c r="E101" i="11"/>
  <c r="B181" i="11"/>
  <c r="B127" i="11"/>
  <c r="B283" i="8"/>
  <c r="B277" i="8"/>
  <c r="E275" i="8"/>
  <c r="H193" i="7"/>
  <c r="H15" i="11"/>
  <c r="H39" i="11"/>
  <c r="H21" i="11"/>
  <c r="H385" i="8"/>
  <c r="H313" i="8"/>
  <c r="H331" i="8"/>
  <c r="F886" i="22"/>
  <c r="D130" i="12"/>
  <c r="D112" i="12"/>
  <c r="C40" i="11"/>
  <c r="C22" i="11"/>
  <c r="C180" i="11"/>
  <c r="C102" i="11"/>
  <c r="C126" i="11"/>
  <c r="C277" i="8"/>
  <c r="C283" i="8"/>
  <c r="B849" i="22"/>
  <c r="I78" i="9"/>
  <c r="I77" i="9"/>
  <c r="I761" i="22"/>
  <c r="I740" i="22"/>
  <c r="I743" i="22"/>
  <c r="K207" i="7"/>
  <c r="K56" i="11"/>
  <c r="K80" i="11"/>
  <c r="K330" i="8"/>
  <c r="K306" i="8"/>
  <c r="K384" i="8"/>
  <c r="J375" i="8"/>
  <c r="G744" i="24"/>
  <c r="G750" i="24"/>
  <c r="H207" i="10"/>
  <c r="H204" i="10"/>
  <c r="J240" i="10"/>
  <c r="F371" i="8"/>
  <c r="I345" i="8"/>
  <c r="F353" i="8"/>
  <c r="D123" i="9"/>
  <c r="D149" i="9" s="1"/>
  <c r="D874" i="22"/>
  <c r="C152" i="8"/>
  <c r="E422" i="11"/>
  <c r="B430" i="11"/>
  <c r="E151" i="7"/>
  <c r="I165" i="7"/>
  <c r="C165" i="7"/>
  <c r="I165" i="8"/>
  <c r="C165" i="8"/>
  <c r="I595" i="8"/>
  <c r="C595" i="8"/>
  <c r="G91" i="9"/>
  <c r="G99" i="9" s="1"/>
  <c r="G90" i="9"/>
  <c r="G753" i="22"/>
  <c r="G756" i="22"/>
  <c r="C849" i="22"/>
  <c r="J12" i="5"/>
  <c r="K22" i="16"/>
  <c r="J271" i="9"/>
  <c r="J927" i="22"/>
  <c r="Q201" i="9"/>
  <c r="Q198" i="9"/>
  <c r="M118" i="9"/>
  <c r="M803" i="22"/>
  <c r="M782" i="22"/>
  <c r="M785" i="22"/>
  <c r="M857" i="22"/>
  <c r="L122" i="9"/>
  <c r="L798" i="22"/>
  <c r="L870" i="22"/>
  <c r="L795" i="22"/>
  <c r="K863" i="22"/>
  <c r="K809" i="22"/>
  <c r="J553" i="8"/>
  <c r="G122" i="9"/>
  <c r="G795" i="22"/>
  <c r="G798" i="22"/>
  <c r="G870" i="22"/>
  <c r="H240" i="7"/>
  <c r="H158" i="11"/>
  <c r="F123" i="9"/>
  <c r="F149" i="9" s="1"/>
  <c r="F874" i="22"/>
  <c r="G352" i="11"/>
  <c r="F1115" i="24"/>
  <c r="G389" i="8"/>
  <c r="G335" i="8"/>
  <c r="E817" i="24"/>
  <c r="E820" i="24"/>
  <c r="I151" i="8"/>
  <c r="G247" i="10"/>
  <c r="I206" i="10"/>
  <c r="M247" i="10"/>
  <c r="B85" i="11"/>
  <c r="E85" i="11" s="1"/>
  <c r="E59" i="11"/>
  <c r="B350" i="8"/>
  <c r="B374" i="8"/>
  <c r="E374" i="8" s="1"/>
  <c r="E348" i="8"/>
  <c r="O91" i="9"/>
  <c r="O99" i="9" s="1"/>
  <c r="O90" i="9"/>
  <c r="O753" i="22"/>
  <c r="O756" i="22"/>
  <c r="P118" i="9"/>
  <c r="P803" i="22"/>
  <c r="P782" i="22"/>
  <c r="P785" i="22"/>
  <c r="P857" i="22"/>
  <c r="M817" i="24"/>
  <c r="M820" i="24"/>
  <c r="J122" i="9"/>
  <c r="J795" i="22"/>
  <c r="J798" i="22"/>
  <c r="J870" i="22"/>
  <c r="K151" i="11"/>
  <c r="H768" i="22"/>
  <c r="H809" i="22"/>
  <c r="H889" i="22" s="1"/>
  <c r="H863" i="22"/>
  <c r="J351" i="11"/>
  <c r="H1111" i="24"/>
  <c r="H1090" i="24"/>
  <c r="H1093" i="24"/>
  <c r="J313" i="8"/>
  <c r="J331" i="8"/>
  <c r="J385" i="8"/>
  <c r="J598" i="8"/>
  <c r="J256" i="10"/>
  <c r="I309" i="8"/>
  <c r="F335" i="8"/>
  <c r="F389" i="8"/>
  <c r="D63" i="11"/>
  <c r="D81" i="11"/>
  <c r="B109" i="12"/>
  <c r="B133" i="12"/>
  <c r="E107" i="12"/>
  <c r="E90" i="10"/>
  <c r="B98" i="10"/>
  <c r="J255" i="9"/>
  <c r="J911" i="22"/>
  <c r="J453" i="24"/>
  <c r="N132" i="9"/>
  <c r="N140" i="9" s="1"/>
  <c r="N847" i="22"/>
  <c r="N131" i="9"/>
  <c r="N843" i="22"/>
  <c r="N822" i="22"/>
  <c r="N825" i="22"/>
  <c r="M132" i="9"/>
  <c r="M140" i="9" s="1"/>
  <c r="M847" i="22"/>
  <c r="Q82" i="9"/>
  <c r="Q108" i="9" s="1"/>
  <c r="Q81" i="9"/>
  <c r="Q765" i="22"/>
  <c r="H744" i="24"/>
  <c r="H750" i="24"/>
  <c r="K246" i="10"/>
  <c r="J33" i="7"/>
  <c r="J152" i="7"/>
  <c r="K314" i="7"/>
  <c r="K606" i="8"/>
  <c r="G882" i="22"/>
  <c r="H197" i="7"/>
  <c r="H34" i="11"/>
  <c r="H28" i="11"/>
  <c r="H236" i="7"/>
  <c r="H145" i="11"/>
  <c r="H163" i="11"/>
  <c r="H268" i="8"/>
  <c r="H292" i="8"/>
  <c r="F69" i="9"/>
  <c r="F72" i="9"/>
  <c r="G35" i="11"/>
  <c r="G167" i="11"/>
  <c r="G365" i="8"/>
  <c r="G359" i="8"/>
  <c r="D528" i="8"/>
  <c r="D555" i="8"/>
  <c r="B198" i="9"/>
  <c r="B201" i="9"/>
  <c r="B227" i="8"/>
  <c r="E225" i="8"/>
  <c r="B251" i="8"/>
  <c r="B236" i="7"/>
  <c r="E137" i="11"/>
  <c r="B145" i="11"/>
  <c r="B163" i="11"/>
  <c r="B326" i="8"/>
  <c r="B398" i="8"/>
  <c r="E398" i="8" s="1"/>
  <c r="E318" i="8"/>
  <c r="S148" i="9"/>
  <c r="S124" i="9"/>
  <c r="S150" i="9" s="1"/>
  <c r="L118" i="9"/>
  <c r="L803" i="22"/>
  <c r="L782" i="22"/>
  <c r="L785" i="22"/>
  <c r="L857" i="22"/>
  <c r="J57" i="9"/>
  <c r="J1484" i="24"/>
  <c r="J1492" i="24" s="1"/>
  <c r="J33" i="8"/>
  <c r="J155" i="8"/>
  <c r="F767" i="22"/>
  <c r="C864" i="22"/>
  <c r="C810" i="22"/>
  <c r="C890" i="22" s="1"/>
  <c r="C119" i="9"/>
  <c r="C807" i="22"/>
  <c r="C887" i="22" s="1"/>
  <c r="C861" i="22"/>
  <c r="B35" i="11"/>
  <c r="E27" i="11"/>
  <c r="B167" i="11"/>
  <c r="E141" i="11"/>
  <c r="B281" i="8"/>
  <c r="E279" i="8"/>
  <c r="G40" i="11"/>
  <c r="G22" i="11"/>
  <c r="G102" i="11"/>
  <c r="G180" i="11"/>
  <c r="G126" i="11"/>
  <c r="G206" i="11" s="1"/>
  <c r="G283" i="8"/>
  <c r="G277" i="8"/>
  <c r="C118" i="9"/>
  <c r="C782" i="22"/>
  <c r="C785" i="22"/>
  <c r="C857" i="22"/>
  <c r="C803" i="22"/>
  <c r="B77" i="9"/>
  <c r="B78" i="9"/>
  <c r="B761" i="22"/>
  <c r="B740" i="22"/>
  <c r="B743" i="22"/>
  <c r="P81" i="9"/>
  <c r="P82" i="9"/>
  <c r="P108" i="9" s="1"/>
  <c r="P765" i="22"/>
  <c r="O882" i="22"/>
  <c r="I810" i="22"/>
  <c r="I890" i="22" s="1"/>
  <c r="I864" i="22"/>
  <c r="K63" i="11"/>
  <c r="K353" i="8"/>
  <c r="J239" i="7"/>
  <c r="J151" i="11"/>
  <c r="J157" i="11"/>
  <c r="J402" i="8"/>
  <c r="H435" i="11"/>
  <c r="H417" i="11"/>
  <c r="J234" i="10"/>
  <c r="H219" i="10"/>
  <c r="H125" i="12"/>
  <c r="F817" i="24"/>
  <c r="F820" i="24"/>
  <c r="G429" i="11"/>
  <c r="G423" i="11"/>
  <c r="H164" i="7"/>
  <c r="G302" i="7"/>
  <c r="H316" i="7" s="1"/>
  <c r="H161" i="8"/>
  <c r="H582" i="8"/>
  <c r="H165" i="7"/>
  <c r="H165" i="8"/>
  <c r="H595" i="8"/>
  <c r="F227" i="8"/>
  <c r="I225" i="8"/>
  <c r="F251" i="8"/>
  <c r="F235" i="7"/>
  <c r="F138" i="11"/>
  <c r="F162" i="11"/>
  <c r="I136" i="11"/>
  <c r="F144" i="11"/>
  <c r="I266" i="8"/>
  <c r="F268" i="8"/>
  <c r="F292" i="8"/>
  <c r="D212" i="7"/>
  <c r="D73" i="11"/>
  <c r="C429" i="11"/>
  <c r="C423" i="11"/>
  <c r="D164" i="7"/>
  <c r="C302" i="7"/>
  <c r="D316" i="7" s="1"/>
  <c r="D161" i="8"/>
  <c r="D582" i="8"/>
  <c r="D165" i="7"/>
  <c r="D165" i="8"/>
  <c r="D595" i="8"/>
  <c r="S118" i="9"/>
  <c r="S782" i="22"/>
  <c r="S785" i="22"/>
  <c r="S857" i="22"/>
  <c r="S803" i="22"/>
  <c r="S883" i="22" s="1"/>
  <c r="N118" i="9"/>
  <c r="N785" i="22"/>
  <c r="N857" i="22"/>
  <c r="N782" i="22"/>
  <c r="N803" i="22"/>
  <c r="N77" i="9"/>
  <c r="N78" i="9"/>
  <c r="N761" i="22"/>
  <c r="N740" i="22"/>
  <c r="N743" i="22"/>
  <c r="M119" i="9"/>
  <c r="M861" i="22"/>
  <c r="M807" i="22"/>
  <c r="K129" i="12"/>
  <c r="K105" i="12"/>
  <c r="K112" i="12"/>
  <c r="F877" i="22"/>
  <c r="G243" i="8"/>
  <c r="G193" i="11"/>
  <c r="G115" i="11"/>
  <c r="G195" i="11" s="1"/>
  <c r="I547" i="8"/>
  <c r="F154" i="8"/>
  <c r="F32" i="8"/>
  <c r="F148" i="8"/>
  <c r="I146" i="8"/>
  <c r="D134" i="12"/>
  <c r="C566" i="8"/>
  <c r="B208" i="26" s="1"/>
  <c r="C453" i="11"/>
  <c r="C180" i="12"/>
  <c r="C369" i="11"/>
  <c r="B82" i="9"/>
  <c r="B108" i="9" s="1"/>
  <c r="B81" i="9"/>
  <c r="B765" i="22"/>
  <c r="B566" i="8"/>
  <c r="E356" i="11"/>
  <c r="B453" i="11"/>
  <c r="B180" i="12"/>
  <c r="B369" i="11"/>
  <c r="B402" i="8"/>
  <c r="E402" i="8" s="1"/>
  <c r="E322" i="8"/>
  <c r="I849" i="22"/>
  <c r="N817" i="24"/>
  <c r="N820" i="24"/>
  <c r="K12" i="9"/>
  <c r="K14" i="9" s="1"/>
  <c r="K50" i="9"/>
  <c r="K56" i="9"/>
  <c r="K1483" i="24"/>
  <c r="H886" i="22"/>
  <c r="J81" i="11"/>
  <c r="J63" i="11"/>
  <c r="J346" i="8"/>
  <c r="J370" i="8"/>
  <c r="J352" i="8"/>
  <c r="H414" i="11"/>
  <c r="H438" i="11"/>
  <c r="F57" i="9"/>
  <c r="F775" i="24"/>
  <c r="F1484" i="24"/>
  <c r="F1492" i="24" s="1"/>
  <c r="F774" i="24"/>
  <c r="F788" i="24"/>
  <c r="G127" i="10" s="1"/>
  <c r="F787" i="24"/>
  <c r="F375" i="8"/>
  <c r="I349" i="8"/>
  <c r="D78" i="9"/>
  <c r="D77" i="9"/>
  <c r="D740" i="22"/>
  <c r="D743" i="22"/>
  <c r="D761" i="22"/>
  <c r="D211" i="7"/>
  <c r="D213" i="7" s="1"/>
  <c r="D75" i="11"/>
  <c r="D80" i="7" s="1"/>
  <c r="D69" i="11"/>
  <c r="B439" i="11"/>
  <c r="E413" i="11"/>
  <c r="I598" i="8"/>
  <c r="C598" i="8"/>
  <c r="I256" i="10"/>
  <c r="E215" i="10"/>
  <c r="C256" i="10"/>
  <c r="Q90" i="9"/>
  <c r="Q91" i="9"/>
  <c r="Q99" i="9" s="1"/>
  <c r="Q753" i="22"/>
  <c r="Q756" i="22"/>
  <c r="M131" i="9"/>
  <c r="M822" i="22"/>
  <c r="M825" i="22"/>
  <c r="M843" i="22"/>
  <c r="K849" i="22"/>
  <c r="Q876" i="22"/>
  <c r="J410" i="11"/>
  <c r="J434" i="11"/>
  <c r="J416" i="11"/>
  <c r="J23" i="10"/>
  <c r="J58" i="10"/>
  <c r="J97" i="10"/>
  <c r="J154" i="7"/>
  <c r="J298" i="7"/>
  <c r="H35" i="11"/>
  <c r="H166" i="11"/>
  <c r="H142" i="11"/>
  <c r="H168" i="11" s="1"/>
  <c r="G229" i="8"/>
  <c r="G223" i="8"/>
  <c r="G247" i="8"/>
  <c r="G385" i="8"/>
  <c r="G313" i="8"/>
  <c r="G331" i="8"/>
  <c r="F109" i="12"/>
  <c r="F133" i="12"/>
  <c r="I107" i="12"/>
  <c r="I90" i="10"/>
  <c r="F98" i="10"/>
  <c r="D118" i="12"/>
  <c r="D124" i="12"/>
  <c r="D33" i="7"/>
  <c r="D152" i="7"/>
  <c r="F166" i="7" s="1"/>
  <c r="F314" i="7"/>
  <c r="F606" i="8"/>
  <c r="C1117" i="24"/>
  <c r="C207" i="7"/>
  <c r="C56" i="11"/>
  <c r="C80" i="11"/>
  <c r="C62" i="11"/>
  <c r="C270" i="8"/>
  <c r="C296" i="8" s="1"/>
  <c r="C264" i="8"/>
  <c r="C288" i="8"/>
  <c r="H756" i="24"/>
  <c r="H738" i="24"/>
  <c r="H764" i="24" s="1"/>
  <c r="J65" i="10"/>
  <c r="G886" i="22"/>
  <c r="F439" i="11"/>
  <c r="I439" i="11" s="1"/>
  <c r="I413" i="11"/>
  <c r="G598" i="8"/>
  <c r="I215" i="10"/>
  <c r="G256" i="10"/>
  <c r="C198" i="9"/>
  <c r="C201" i="9"/>
  <c r="B193" i="7"/>
  <c r="E13" i="11"/>
  <c r="B21" i="11"/>
  <c r="B15" i="11"/>
  <c r="B39" i="11"/>
  <c r="E39" i="11" s="1"/>
  <c r="B222" i="7"/>
  <c r="B98" i="11"/>
  <c r="B122" i="11"/>
  <c r="E96" i="11"/>
  <c r="B104" i="11"/>
  <c r="B176" i="11"/>
  <c r="E305" i="8"/>
  <c r="B331" i="8"/>
  <c r="B313" i="8"/>
  <c r="B385" i="8"/>
  <c r="I931" i="22"/>
  <c r="I944" i="22" s="1"/>
  <c r="I925" i="22"/>
  <c r="I936" i="22"/>
  <c r="P131" i="9"/>
  <c r="P825" i="22"/>
  <c r="P822" i="22"/>
  <c r="P843" i="22"/>
  <c r="O135" i="9"/>
  <c r="O137" i="9" s="1"/>
  <c r="O838" i="22"/>
  <c r="O835" i="22"/>
  <c r="R122" i="9"/>
  <c r="R795" i="22"/>
  <c r="R798" i="22"/>
  <c r="R870" i="22"/>
  <c r="O198" i="9"/>
  <c r="O201" i="9"/>
  <c r="K57" i="9"/>
  <c r="K1484" i="24"/>
  <c r="K1492" i="24" s="1"/>
  <c r="K319" i="8"/>
  <c r="K325" i="8"/>
  <c r="G755" i="24"/>
  <c r="G731" i="24"/>
  <c r="I270" i="10" s="1"/>
  <c r="G737" i="24"/>
  <c r="G763" i="24" s="1"/>
  <c r="J584" i="8"/>
  <c r="J251" i="10"/>
  <c r="H64" i="10"/>
  <c r="H91" i="10"/>
  <c r="G531" i="8"/>
  <c r="G549" i="8"/>
  <c r="G33" i="8"/>
  <c r="G155" i="8"/>
  <c r="E810" i="22"/>
  <c r="E890" i="22" s="1"/>
  <c r="E864" i="22"/>
  <c r="I141" i="11"/>
  <c r="F167" i="11"/>
  <c r="F366" i="8"/>
  <c r="I358" i="8"/>
  <c r="D81" i="9"/>
  <c r="D82" i="9"/>
  <c r="D108" i="9" s="1"/>
  <c r="D765" i="22"/>
  <c r="E530" i="8"/>
  <c r="B556" i="8"/>
  <c r="B105" i="12"/>
  <c r="B129" i="12"/>
  <c r="B111" i="12"/>
  <c r="E103" i="12"/>
  <c r="B191" i="10"/>
  <c r="B212" i="10"/>
  <c r="C227" i="10"/>
  <c r="E186" i="10"/>
  <c r="B194" i="10"/>
  <c r="I227" i="10"/>
  <c r="E192" i="10"/>
  <c r="I233" i="10"/>
  <c r="C233" i="10"/>
  <c r="B218" i="10"/>
  <c r="B32" i="7"/>
  <c r="B148" i="7"/>
  <c r="B304" i="7"/>
  <c r="I310" i="7"/>
  <c r="E296" i="7"/>
  <c r="C310" i="7"/>
  <c r="C602" i="8"/>
  <c r="I602" i="8"/>
  <c r="C91" i="9"/>
  <c r="C99" i="9" s="1"/>
  <c r="C90" i="9"/>
  <c r="C753" i="22"/>
  <c r="C756" i="22"/>
  <c r="M78" i="9"/>
  <c r="M77" i="9"/>
  <c r="M761" i="22"/>
  <c r="M740" i="22"/>
  <c r="M743" i="22"/>
  <c r="J12" i="9"/>
  <c r="J50" i="9"/>
  <c r="J56" i="9"/>
  <c r="J1483" i="24"/>
  <c r="H735" i="24"/>
  <c r="H759" i="24"/>
  <c r="J216" i="10"/>
  <c r="H194" i="7"/>
  <c r="H19" i="11"/>
  <c r="H43" i="11"/>
  <c r="H227" i="7"/>
  <c r="H253" i="7" s="1"/>
  <c r="H118" i="11"/>
  <c r="H190" i="11"/>
  <c r="H289" i="8"/>
  <c r="H271" i="8"/>
  <c r="H297" i="8" s="1"/>
  <c r="G252" i="8"/>
  <c r="G212" i="7"/>
  <c r="G73" i="11"/>
  <c r="G401" i="8"/>
  <c r="G323" i="8"/>
  <c r="G403" i="8" s="1"/>
  <c r="F105" i="12"/>
  <c r="F129" i="12"/>
  <c r="F111" i="12"/>
  <c r="I103" i="12"/>
  <c r="F191" i="10"/>
  <c r="F212" i="10"/>
  <c r="G227" i="10"/>
  <c r="I186" i="10"/>
  <c r="F194" i="10"/>
  <c r="I192" i="10"/>
  <c r="G233" i="10"/>
  <c r="F218" i="10"/>
  <c r="F32" i="7"/>
  <c r="F148" i="7"/>
  <c r="F304" i="7"/>
  <c r="I296" i="7"/>
  <c r="G310" i="7"/>
  <c r="G602" i="8"/>
  <c r="D735" i="24"/>
  <c r="D761" i="24" s="1"/>
  <c r="D759" i="24"/>
  <c r="F585" i="8"/>
  <c r="F255" i="10"/>
  <c r="F311" i="7"/>
  <c r="D305" i="7"/>
  <c r="F603" i="8"/>
  <c r="E31" i="11"/>
  <c r="E154" i="11"/>
  <c r="O131" i="9"/>
  <c r="O843" i="22"/>
  <c r="O825" i="22"/>
  <c r="O822" i="22"/>
  <c r="E131" i="9"/>
  <c r="E822" i="22"/>
  <c r="E825" i="22"/>
  <c r="E843" i="22"/>
  <c r="B54" i="9"/>
  <c r="B13" i="9"/>
  <c r="B1487" i="24"/>
  <c r="P767" i="22"/>
  <c r="O876" i="22"/>
  <c r="I82" i="9"/>
  <c r="I108" i="9" s="1"/>
  <c r="I81" i="9"/>
  <c r="I765" i="22"/>
  <c r="H767" i="22"/>
  <c r="J355" i="11"/>
  <c r="H1103" i="24"/>
  <c r="H1106" i="24"/>
  <c r="J326" i="8"/>
  <c r="J398" i="8"/>
  <c r="H122" i="12"/>
  <c r="H315" i="7"/>
  <c r="H607" i="8"/>
  <c r="F566" i="8"/>
  <c r="I356" i="11"/>
  <c r="F453" i="11"/>
  <c r="F180" i="12"/>
  <c r="F369" i="11"/>
  <c r="I321" i="8"/>
  <c r="F323" i="8"/>
  <c r="F401" i="8"/>
  <c r="D198" i="9"/>
  <c r="D201" i="9"/>
  <c r="D240" i="8"/>
  <c r="D76" i="11"/>
  <c r="D85" i="7" s="1"/>
  <c r="D281" i="8"/>
  <c r="D85" i="8" s="1"/>
  <c r="C134" i="12"/>
  <c r="E527" i="8"/>
  <c r="B553" i="8"/>
  <c r="C244" i="10"/>
  <c r="E203" i="10"/>
  <c r="I244" i="10"/>
  <c r="L135" i="9"/>
  <c r="L137" i="9" s="1"/>
  <c r="L835" i="22"/>
  <c r="L838" i="22"/>
  <c r="I54" i="9"/>
  <c r="I13" i="9"/>
  <c r="C96" i="9"/>
  <c r="J152" i="8"/>
  <c r="F882" i="22"/>
  <c r="D125" i="12"/>
  <c r="B863" i="22"/>
  <c r="B809" i="22"/>
  <c r="B889" i="22" s="1"/>
  <c r="J334" i="8"/>
  <c r="J388" i="8"/>
  <c r="J310" i="8"/>
  <c r="D122" i="9"/>
  <c r="D798" i="22"/>
  <c r="D870" i="22"/>
  <c r="D795" i="22"/>
  <c r="E536" i="8"/>
  <c r="B544" i="8"/>
  <c r="K135" i="9"/>
  <c r="K137" i="9" s="1"/>
  <c r="K838" i="22"/>
  <c r="K835" i="22"/>
  <c r="Q118" i="9"/>
  <c r="Q803" i="22"/>
  <c r="Q883" i="22" s="1"/>
  <c r="Q782" i="22"/>
  <c r="Q785" i="22"/>
  <c r="Q857" i="22"/>
  <c r="K864" i="22"/>
  <c r="K810" i="22"/>
  <c r="K890" i="22" s="1"/>
  <c r="K119" i="9"/>
  <c r="K807" i="22"/>
  <c r="K887" i="22" s="1"/>
  <c r="K861" i="22"/>
  <c r="K124" i="12"/>
  <c r="F417" i="11"/>
  <c r="F435" i="11"/>
  <c r="I435" i="11" s="1"/>
  <c r="I409" i="11"/>
  <c r="C230" i="8"/>
  <c r="C256" i="8" s="1"/>
  <c r="C248" i="8"/>
  <c r="C227" i="7"/>
  <c r="C190" i="11"/>
  <c r="C118" i="11"/>
  <c r="C289" i="8"/>
  <c r="C271" i="8"/>
  <c r="C297" i="8" s="1"/>
  <c r="B194" i="7"/>
  <c r="E17" i="11"/>
  <c r="B19" i="11"/>
  <c r="B43" i="11"/>
  <c r="E43" i="11" s="1"/>
  <c r="B226" i="7"/>
  <c r="E109" i="11"/>
  <c r="B111" i="11"/>
  <c r="B117" i="11"/>
  <c r="B189" i="11"/>
  <c r="E189" i="11" s="1"/>
  <c r="B334" i="8"/>
  <c r="E308" i="8"/>
  <c r="B310" i="8"/>
  <c r="B388" i="8"/>
  <c r="P135" i="9"/>
  <c r="P137" i="9" s="1"/>
  <c r="P835" i="22"/>
  <c r="P838" i="22"/>
  <c r="J91" i="9"/>
  <c r="J90" i="9"/>
  <c r="J756" i="22"/>
  <c r="J753" i="22"/>
  <c r="G54" i="9"/>
  <c r="G13" i="9"/>
  <c r="S36" i="9"/>
  <c r="S1489" i="24"/>
  <c r="P198" i="9"/>
  <c r="P201" i="9"/>
  <c r="I123" i="9"/>
  <c r="I149" i="9" s="1"/>
  <c r="I874" i="22"/>
  <c r="K115" i="11"/>
  <c r="H882" i="22"/>
  <c r="J76" i="11"/>
  <c r="F759" i="24"/>
  <c r="F735" i="24"/>
  <c r="H585" i="8"/>
  <c r="H255" i="10"/>
  <c r="G305" i="7"/>
  <c r="H311" i="7"/>
  <c r="H603" i="8"/>
  <c r="D809" i="22"/>
  <c r="D863" i="22"/>
  <c r="D207" i="7"/>
  <c r="D56" i="11"/>
  <c r="D80" i="11"/>
  <c r="D62" i="11"/>
  <c r="D306" i="8"/>
  <c r="D312" i="8"/>
  <c r="D384" i="8"/>
  <c r="D330" i="8"/>
  <c r="J319" i="9"/>
  <c r="N91" i="9"/>
  <c r="N99" i="9" s="1"/>
  <c r="N90" i="9"/>
  <c r="N756" i="22"/>
  <c r="N753" i="22"/>
  <c r="K91" i="9"/>
  <c r="K99" i="9" s="1"/>
  <c r="K90" i="9"/>
  <c r="K753" i="22"/>
  <c r="K756" i="22"/>
  <c r="F135" i="9"/>
  <c r="F137" i="9" s="1"/>
  <c r="F1474" i="24" s="1"/>
  <c r="F838" i="22"/>
  <c r="F835" i="22"/>
  <c r="B135" i="9"/>
  <c r="B137" i="9" s="1"/>
  <c r="B1474" i="24" s="1"/>
  <c r="B838" i="22"/>
  <c r="B835" i="22"/>
  <c r="L78" i="9"/>
  <c r="L77" i="9"/>
  <c r="L740" i="22"/>
  <c r="L743" i="22"/>
  <c r="L761" i="22"/>
  <c r="K122" i="9"/>
  <c r="K795" i="22"/>
  <c r="K798" i="22"/>
  <c r="K870" i="22"/>
  <c r="K247" i="10"/>
  <c r="H63" i="11"/>
  <c r="H81" i="11"/>
  <c r="G227" i="8"/>
  <c r="G251" i="8"/>
  <c r="G235" i="7"/>
  <c r="G138" i="11"/>
  <c r="G144" i="11"/>
  <c r="G162" i="11"/>
  <c r="G326" i="8"/>
  <c r="G398" i="8"/>
  <c r="I527" i="8"/>
  <c r="F553" i="8"/>
  <c r="I553" i="8" s="1"/>
  <c r="G244" i="10"/>
  <c r="I203" i="10"/>
  <c r="M244" i="10"/>
  <c r="D416" i="11"/>
  <c r="D410" i="11"/>
  <c r="D434" i="11"/>
  <c r="D32" i="7"/>
  <c r="D148" i="7"/>
  <c r="F310" i="7"/>
  <c r="D304" i="7"/>
  <c r="F602" i="8"/>
  <c r="C69" i="9"/>
  <c r="C72" i="9"/>
  <c r="C227" i="8"/>
  <c r="C253" i="8" s="1"/>
  <c r="C251" i="8"/>
  <c r="C211" i="7"/>
  <c r="C69" i="11"/>
  <c r="C75" i="11"/>
  <c r="C80" i="7" s="1"/>
  <c r="C90" i="7" s="1"/>
  <c r="C268" i="8"/>
  <c r="C292" i="8"/>
  <c r="B81" i="11"/>
  <c r="E55" i="11"/>
  <c r="B63" i="11"/>
  <c r="H229" i="8"/>
  <c r="H255" i="8" s="1"/>
  <c r="H223" i="8"/>
  <c r="H247" i="8"/>
  <c r="H223" i="7"/>
  <c r="H123" i="11"/>
  <c r="H203" i="11" s="1"/>
  <c r="H105" i="11"/>
  <c r="H177" i="11"/>
  <c r="H306" i="8"/>
  <c r="H384" i="8"/>
  <c r="H330" i="8"/>
  <c r="H410" i="8" s="1"/>
  <c r="H312" i="8"/>
  <c r="D435" i="11"/>
  <c r="D417" i="11"/>
  <c r="F234" i="10"/>
  <c r="D219" i="10"/>
  <c r="F260" i="10" s="1"/>
  <c r="C242" i="8"/>
  <c r="C236" i="8"/>
  <c r="C81" i="11"/>
  <c r="C63" i="11"/>
  <c r="C353" i="8"/>
  <c r="C379" i="8" s="1"/>
  <c r="C371" i="8"/>
  <c r="E135" i="9"/>
  <c r="E137" i="9" s="1"/>
  <c r="E1474" i="24" s="1"/>
  <c r="E835" i="22"/>
  <c r="E838" i="22"/>
  <c r="B132" i="9"/>
  <c r="B140" i="9" s="1"/>
  <c r="B847" i="22"/>
  <c r="B131" i="9"/>
  <c r="B843" i="22"/>
  <c r="B822" i="22"/>
  <c r="B825" i="22"/>
  <c r="O78" i="9"/>
  <c r="O77" i="9"/>
  <c r="O743" i="22"/>
  <c r="O761" i="22"/>
  <c r="O740" i="22"/>
  <c r="J810" i="22"/>
  <c r="J890" i="22" s="1"/>
  <c r="J864" i="22"/>
  <c r="K222" i="7"/>
  <c r="K176" i="11"/>
  <c r="K98" i="11"/>
  <c r="K104" i="11"/>
  <c r="K270" i="8"/>
  <c r="K288" i="8"/>
  <c r="J115" i="11"/>
  <c r="J193" i="11"/>
  <c r="J350" i="8"/>
  <c r="J374" i="8"/>
  <c r="H118" i="12"/>
  <c r="H124" i="12"/>
  <c r="H33" i="7"/>
  <c r="H152" i="7"/>
  <c r="J166" i="7" s="1"/>
  <c r="J314" i="7"/>
  <c r="J606" i="8"/>
  <c r="E201" i="9"/>
  <c r="E198" i="9"/>
  <c r="F242" i="8"/>
  <c r="F236" i="8"/>
  <c r="I234" i="8"/>
  <c r="F102" i="11"/>
  <c r="F126" i="11"/>
  <c r="I100" i="11"/>
  <c r="F180" i="11"/>
  <c r="I180" i="11" s="1"/>
  <c r="F346" i="8"/>
  <c r="F370" i="8"/>
  <c r="I370" i="8" s="1"/>
  <c r="I344" i="8"/>
  <c r="F352" i="8"/>
  <c r="E151" i="8"/>
  <c r="C247" i="10"/>
  <c r="E206" i="10"/>
  <c r="I247" i="10"/>
  <c r="L132" i="9"/>
  <c r="L140" i="9" s="1"/>
  <c r="L847" i="22"/>
  <c r="D13" i="9"/>
  <c r="D54" i="9"/>
  <c r="D1487" i="24"/>
  <c r="C131" i="9"/>
  <c r="C843" i="22"/>
  <c r="C825" i="22"/>
  <c r="C822" i="22"/>
  <c r="O817" i="24"/>
  <c r="O820" i="24"/>
  <c r="N119" i="9"/>
  <c r="N807" i="22"/>
  <c r="N861" i="22"/>
  <c r="K118" i="9"/>
  <c r="K782" i="22"/>
  <c r="K785" i="22"/>
  <c r="K857" i="22"/>
  <c r="K803" i="22"/>
  <c r="H239" i="7"/>
  <c r="H157" i="11"/>
  <c r="H151" i="11"/>
  <c r="G194" i="7"/>
  <c r="G19" i="11"/>
  <c r="G43" i="11"/>
  <c r="G227" i="7"/>
  <c r="G253" i="7" s="1"/>
  <c r="G118" i="11"/>
  <c r="G198" i="11" s="1"/>
  <c r="G190" i="11"/>
  <c r="G310" i="8"/>
  <c r="G334" i="8"/>
  <c r="G388" i="8"/>
  <c r="E12" i="9"/>
  <c r="E50" i="9"/>
  <c r="E56" i="9"/>
  <c r="E771" i="24"/>
  <c r="E770" i="24"/>
  <c r="E784" i="24"/>
  <c r="E783" i="24"/>
  <c r="E235" i="8"/>
  <c r="B243" i="8"/>
  <c r="E243" i="8" s="1"/>
  <c r="B193" i="11"/>
  <c r="E113" i="11"/>
  <c r="B115" i="11"/>
  <c r="E276" i="8"/>
  <c r="B284" i="8"/>
  <c r="E284" i="8" s="1"/>
  <c r="J132" i="9"/>
  <c r="J140" i="9" s="1"/>
  <c r="J847" i="22"/>
  <c r="J131" i="9"/>
  <c r="J843" i="22"/>
  <c r="J822" i="22"/>
  <c r="J825" i="22"/>
  <c r="I132" i="9"/>
  <c r="I140" i="9" s="1"/>
  <c r="I847" i="22"/>
  <c r="C54" i="9"/>
  <c r="C13" i="9"/>
  <c r="C1487" i="24"/>
  <c r="M12" i="9"/>
  <c r="M14" i="9" s="1"/>
  <c r="M50" i="9"/>
  <c r="M56" i="9"/>
  <c r="M1483" i="24"/>
  <c r="K323" i="8"/>
  <c r="H118" i="9"/>
  <c r="H803" i="22"/>
  <c r="H883" i="22" s="1"/>
  <c r="H782" i="22"/>
  <c r="H785" i="22"/>
  <c r="H857" i="22"/>
  <c r="J222" i="7"/>
  <c r="J98" i="11"/>
  <c r="J122" i="11"/>
  <c r="J104" i="11"/>
  <c r="J176" i="11"/>
  <c r="J264" i="8"/>
  <c r="J288" i="8"/>
  <c r="J270" i="8"/>
  <c r="G760" i="24"/>
  <c r="F194" i="7"/>
  <c r="I17" i="11"/>
  <c r="F19" i="11"/>
  <c r="F43" i="11"/>
  <c r="F226" i="7"/>
  <c r="F189" i="11"/>
  <c r="I189" i="11" s="1"/>
  <c r="I109" i="11"/>
  <c r="F111" i="11"/>
  <c r="F117" i="11"/>
  <c r="I308" i="8"/>
  <c r="F310" i="8"/>
  <c r="F334" i="8"/>
  <c r="F388" i="8"/>
  <c r="I388" i="8" s="1"/>
  <c r="D353" i="8"/>
  <c r="D371" i="8"/>
  <c r="B414" i="11"/>
  <c r="B438" i="11"/>
  <c r="E412" i="11"/>
  <c r="L95" i="9"/>
  <c r="L94" i="9"/>
  <c r="P820" i="24"/>
  <c r="P817" i="24"/>
  <c r="M876" i="22"/>
  <c r="M123" i="9"/>
  <c r="M149" i="9" s="1"/>
  <c r="M874" i="22"/>
  <c r="L864" i="22"/>
  <c r="L810" i="22"/>
  <c r="L890" i="22" s="1"/>
  <c r="J531" i="8"/>
  <c r="J549" i="8"/>
  <c r="J124" i="12"/>
  <c r="J118" i="12"/>
  <c r="J62" i="10"/>
  <c r="J24" i="10"/>
  <c r="J207" i="10"/>
  <c r="K240" i="10"/>
  <c r="J204" i="10"/>
  <c r="K164" i="7"/>
  <c r="J302" i="7"/>
  <c r="K161" i="8"/>
  <c r="K582" i="8"/>
  <c r="H227" i="8"/>
  <c r="H253" i="8" s="1"/>
  <c r="H251" i="8"/>
  <c r="H235" i="7"/>
  <c r="H144" i="11"/>
  <c r="H138" i="11"/>
  <c r="H162" i="11"/>
  <c r="H326" i="8"/>
  <c r="H398" i="8"/>
  <c r="F885" i="22"/>
  <c r="G240" i="8"/>
  <c r="G76" i="11"/>
  <c r="G85" i="7" s="1"/>
  <c r="D531" i="8"/>
  <c r="D549" i="8"/>
  <c r="C768" i="22"/>
  <c r="C166" i="11"/>
  <c r="C142" i="11"/>
  <c r="C168" i="11" s="1"/>
  <c r="B211" i="7"/>
  <c r="B69" i="11"/>
  <c r="E67" i="11"/>
  <c r="B75" i="11"/>
  <c r="L881" i="22"/>
  <c r="F77" i="9"/>
  <c r="F78" i="9"/>
  <c r="F761" i="22"/>
  <c r="F740" i="22"/>
  <c r="F743" i="22"/>
  <c r="D556" i="8"/>
  <c r="B19" i="9"/>
  <c r="B240" i="8"/>
  <c r="E240" i="8" s="1"/>
  <c r="E238" i="8"/>
  <c r="B76" i="11"/>
  <c r="E68" i="11"/>
  <c r="G242" i="8"/>
  <c r="G236" i="8"/>
  <c r="G81" i="11"/>
  <c r="G63" i="11"/>
  <c r="G353" i="8"/>
  <c r="G371" i="8"/>
  <c r="C881" i="22"/>
  <c r="N54" i="9"/>
  <c r="N13" i="9"/>
  <c r="N1487" i="24"/>
  <c r="R82" i="9"/>
  <c r="R108" i="9" s="1"/>
  <c r="R81" i="9"/>
  <c r="R765" i="22"/>
  <c r="M57" i="9"/>
  <c r="M1484" i="24"/>
  <c r="M1492" i="24" s="1"/>
  <c r="K127" i="11"/>
  <c r="J212" i="7"/>
  <c r="J73" i="11"/>
  <c r="J293" i="8"/>
  <c r="J597" i="8"/>
  <c r="J252" i="10"/>
  <c r="H430" i="11"/>
  <c r="F12" i="9"/>
  <c r="F50" i="9"/>
  <c r="F56" i="9"/>
  <c r="F783" i="24"/>
  <c r="F1483" i="24"/>
  <c r="F771" i="24"/>
  <c r="F770" i="24"/>
  <c r="F784" i="24"/>
  <c r="G207" i="10"/>
  <c r="H240" i="10"/>
  <c r="G204" i="10"/>
  <c r="E767" i="22"/>
  <c r="F236" i="7"/>
  <c r="F163" i="11"/>
  <c r="I163" i="11" s="1"/>
  <c r="I137" i="11"/>
  <c r="F145" i="11"/>
  <c r="D566" i="8"/>
  <c r="C208" i="26" s="1"/>
  <c r="D453" i="11"/>
  <c r="D180" i="12"/>
  <c r="D369" i="11"/>
  <c r="D401" i="8"/>
  <c r="D323" i="8"/>
  <c r="D403" i="8" s="1"/>
  <c r="C207" i="10"/>
  <c r="D240" i="10"/>
  <c r="C204" i="10"/>
  <c r="C751" i="24"/>
  <c r="B744" i="24"/>
  <c r="B750" i="24"/>
  <c r="E205" i="10"/>
  <c r="C246" i="10"/>
  <c r="I246" i="10"/>
  <c r="B33" i="7"/>
  <c r="B152" i="7"/>
  <c r="I314" i="7"/>
  <c r="C314" i="7"/>
  <c r="E300" i="7"/>
  <c r="C606" i="8"/>
  <c r="I606" i="8"/>
  <c r="E523" i="8"/>
  <c r="B531" i="8"/>
  <c r="B549" i="8"/>
  <c r="P13" i="9"/>
  <c r="P54" i="9"/>
  <c r="P1487" i="24"/>
  <c r="G132" i="9"/>
  <c r="G140" i="9" s="1"/>
  <c r="G847" i="22"/>
  <c r="S198" i="9"/>
  <c r="S201" i="9"/>
  <c r="Q78" i="9"/>
  <c r="Q77" i="9"/>
  <c r="Q761" i="22"/>
  <c r="Q740" i="22"/>
  <c r="Q743" i="22"/>
  <c r="N881" i="22"/>
  <c r="M885" i="22"/>
  <c r="I817" i="24"/>
  <c r="I820" i="24"/>
  <c r="K410" i="11"/>
  <c r="K434" i="11"/>
  <c r="K417" i="11"/>
  <c r="J122" i="12"/>
  <c r="G350" i="8"/>
  <c r="G376" i="8" s="1"/>
  <c r="G374" i="8"/>
  <c r="E744" i="24"/>
  <c r="E750" i="24"/>
  <c r="I205" i="10"/>
  <c r="G246" i="10"/>
  <c r="M246" i="10"/>
  <c r="F33" i="7"/>
  <c r="M314" i="7"/>
  <c r="F152" i="7"/>
  <c r="I300" i="7"/>
  <c r="G314" i="7"/>
  <c r="G606" i="8"/>
  <c r="M606" i="8"/>
  <c r="D439" i="11"/>
  <c r="C82" i="9"/>
  <c r="C108" i="9" s="1"/>
  <c r="C81" i="9"/>
  <c r="C765" i="22"/>
  <c r="C240" i="7"/>
  <c r="C158" i="11"/>
  <c r="C323" i="8"/>
  <c r="C403" i="8" s="1"/>
  <c r="C401" i="8"/>
  <c r="B239" i="7"/>
  <c r="E149" i="11"/>
  <c r="B151" i="11"/>
  <c r="B157" i="11"/>
  <c r="E321" i="8"/>
  <c r="B323" i="8"/>
  <c r="B401" i="8"/>
  <c r="L13" i="9"/>
  <c r="L54" i="9"/>
  <c r="L1487" i="24"/>
  <c r="I131" i="9"/>
  <c r="I822" i="22"/>
  <c r="I825" i="22"/>
  <c r="I843" i="22"/>
  <c r="F54" i="9"/>
  <c r="F13" i="9"/>
  <c r="F1487" i="24"/>
  <c r="E132" i="9"/>
  <c r="E140" i="9" s="1"/>
  <c r="E847" i="22"/>
  <c r="R198" i="9"/>
  <c r="R201" i="9"/>
  <c r="P119" i="9"/>
  <c r="P861" i="22"/>
  <c r="P807" i="22"/>
  <c r="P887" i="22" s="1"/>
  <c r="N12" i="9"/>
  <c r="N50" i="9"/>
  <c r="N56" i="9"/>
  <c r="N1483" i="24"/>
  <c r="J102" i="11"/>
  <c r="J126" i="11"/>
  <c r="J180" i="11"/>
  <c r="J283" i="8"/>
  <c r="J277" i="8"/>
  <c r="F193" i="11"/>
  <c r="I193" i="11" s="1"/>
  <c r="I113" i="11"/>
  <c r="F115" i="11"/>
  <c r="F350" i="8"/>
  <c r="F374" i="8"/>
  <c r="I348" i="8"/>
  <c r="D355" i="11"/>
  <c r="D1103" i="24"/>
  <c r="D1106" i="24"/>
  <c r="D268" i="8"/>
  <c r="D292" i="8"/>
  <c r="N850" i="22"/>
  <c r="K131" i="9"/>
  <c r="K843" i="22"/>
  <c r="K825" i="22"/>
  <c r="K822" i="22"/>
  <c r="Q122" i="9"/>
  <c r="Q798" i="22"/>
  <c r="Q870" i="22"/>
  <c r="Q795" i="22"/>
  <c r="J91" i="10"/>
  <c r="J64" i="10"/>
  <c r="H366" i="8"/>
  <c r="F863" i="22"/>
  <c r="F809" i="22"/>
  <c r="G193" i="7"/>
  <c r="G15" i="11"/>
  <c r="G39" i="11"/>
  <c r="G21" i="11"/>
  <c r="G207" i="7"/>
  <c r="G56" i="11"/>
  <c r="G80" i="11"/>
  <c r="G62" i="11"/>
  <c r="G330" i="8"/>
  <c r="G410" i="8" s="1"/>
  <c r="G312" i="8"/>
  <c r="G306" i="8"/>
  <c r="G384" i="8"/>
  <c r="F414" i="11"/>
  <c r="F438" i="11"/>
  <c r="I438" i="11" s="1"/>
  <c r="I412" i="11"/>
  <c r="D423" i="11"/>
  <c r="D429" i="11"/>
  <c r="D62" i="10"/>
  <c r="D24" i="10"/>
  <c r="F164" i="7"/>
  <c r="D302" i="7"/>
  <c r="F316" i="7" s="1"/>
  <c r="F161" i="8"/>
  <c r="F582" i="8"/>
  <c r="C351" i="11"/>
  <c r="C1090" i="24"/>
  <c r="C1093" i="24"/>
  <c r="C1111" i="24"/>
  <c r="C223" i="7"/>
  <c r="C105" i="11"/>
  <c r="C123" i="11"/>
  <c r="C177" i="11"/>
  <c r="B885" i="22"/>
  <c r="J112" i="12"/>
  <c r="J130" i="12"/>
  <c r="J219" i="10"/>
  <c r="K234" i="10"/>
  <c r="B1117" i="24"/>
  <c r="B223" i="7"/>
  <c r="B123" i="11"/>
  <c r="B177" i="11"/>
  <c r="E177" i="11" s="1"/>
  <c r="E97" i="11"/>
  <c r="B105" i="11"/>
  <c r="B312" i="8"/>
  <c r="B330" i="8"/>
  <c r="B384" i="8"/>
  <c r="E384" i="8" s="1"/>
  <c r="E304" i="8"/>
  <c r="B306" i="8"/>
  <c r="I476" i="24"/>
  <c r="I30" i="21" s="1"/>
  <c r="I451" i="24"/>
  <c r="I454" i="24"/>
  <c r="H91" i="9"/>
  <c r="H90" i="9"/>
  <c r="H753" i="22"/>
  <c r="H756" i="22"/>
  <c r="P876" i="22"/>
  <c r="J885" i="22"/>
  <c r="I809" i="22"/>
  <c r="I889" i="22" s="1"/>
  <c r="I863" i="22"/>
  <c r="K162" i="11"/>
  <c r="K138" i="11"/>
  <c r="K326" i="8"/>
  <c r="H111" i="12"/>
  <c r="H137" i="12" s="1"/>
  <c r="H105" i="12"/>
  <c r="H129" i="12"/>
  <c r="J227" i="10"/>
  <c r="H194" i="10"/>
  <c r="H191" i="10"/>
  <c r="H212" i="10"/>
  <c r="J253" i="10" s="1"/>
  <c r="H541" i="8"/>
  <c r="G528" i="8"/>
  <c r="G555" i="8"/>
  <c r="G556" i="8"/>
  <c r="F35" i="11"/>
  <c r="I27" i="11"/>
  <c r="F142" i="11"/>
  <c r="F166" i="11"/>
  <c r="I166" i="11" s="1"/>
  <c r="I140" i="11"/>
  <c r="F281" i="8"/>
  <c r="I279" i="8"/>
  <c r="C531" i="8"/>
  <c r="C549" i="8"/>
  <c r="B817" i="24"/>
  <c r="B820" i="24"/>
  <c r="B410" i="11"/>
  <c r="B434" i="11"/>
  <c r="E408" i="11"/>
  <c r="B416" i="11"/>
  <c r="B23" i="10"/>
  <c r="B58" i="10"/>
  <c r="E89" i="10"/>
  <c r="B97" i="10"/>
  <c r="E270" i="10"/>
  <c r="B154" i="7"/>
  <c r="C160" i="7"/>
  <c r="E146" i="7"/>
  <c r="I160" i="7"/>
  <c r="B298" i="7"/>
  <c r="I160" i="8"/>
  <c r="C160" i="8"/>
  <c r="I578" i="8"/>
  <c r="C578" i="8"/>
  <c r="N135" i="9"/>
  <c r="N137" i="9" s="1"/>
  <c r="N838" i="22"/>
  <c r="N835" i="22"/>
  <c r="H235" i="9"/>
  <c r="H248" i="9" s="1"/>
  <c r="H228" i="9"/>
  <c r="H240" i="9"/>
  <c r="Q810" i="22"/>
  <c r="Q890" i="22" s="1"/>
  <c r="Q864" i="22"/>
  <c r="N810" i="22"/>
  <c r="N890" i="22" s="1"/>
  <c r="N864" i="22"/>
  <c r="K767" i="22"/>
  <c r="J109" i="12"/>
  <c r="J133" i="12"/>
  <c r="J98" i="10"/>
  <c r="H208" i="7"/>
  <c r="H60" i="11"/>
  <c r="H84" i="11"/>
  <c r="G198" i="7"/>
  <c r="G32" i="11"/>
  <c r="G239" i="7"/>
  <c r="G157" i="11"/>
  <c r="G156" i="11" s="1"/>
  <c r="G151" i="11"/>
  <c r="F410" i="11"/>
  <c r="F434" i="11"/>
  <c r="I408" i="11"/>
  <c r="F416" i="11"/>
  <c r="F23" i="10"/>
  <c r="F58" i="10"/>
  <c r="I89" i="10"/>
  <c r="F97" i="10"/>
  <c r="F154" i="7"/>
  <c r="G160" i="7"/>
  <c r="I146" i="7"/>
  <c r="F298" i="7"/>
  <c r="G160" i="8"/>
  <c r="G578" i="8"/>
  <c r="F33" i="8"/>
  <c r="I147" i="8"/>
  <c r="F155" i="8"/>
  <c r="I155" i="8" s="1"/>
  <c r="D109" i="12"/>
  <c r="D135" i="12" s="1"/>
  <c r="D133" i="12"/>
  <c r="F231" i="10"/>
  <c r="D216" i="10"/>
  <c r="F257" i="10" s="1"/>
  <c r="C123" i="9"/>
  <c r="C149" i="9" s="1"/>
  <c r="C874" i="22"/>
  <c r="E239" i="8"/>
  <c r="B363" i="8"/>
  <c r="E363" i="8" s="1"/>
  <c r="E361" i="8"/>
  <c r="S83" i="9"/>
  <c r="S109" i="9" s="1"/>
  <c r="S107" i="9"/>
  <c r="R885" i="22"/>
  <c r="P78" i="9"/>
  <c r="P77" i="9"/>
  <c r="P740" i="22"/>
  <c r="P743" i="22"/>
  <c r="P761" i="22"/>
  <c r="O122" i="9"/>
  <c r="O795" i="22"/>
  <c r="O870" i="22"/>
  <c r="O798" i="22"/>
  <c r="L57" i="9"/>
  <c r="L1484" i="24"/>
  <c r="L1492" i="24" s="1"/>
  <c r="H78" i="9"/>
  <c r="H77" i="9"/>
  <c r="H740" i="22"/>
  <c r="H743" i="22"/>
  <c r="H761" i="22"/>
  <c r="J235" i="7"/>
  <c r="J138" i="11"/>
  <c r="J162" i="11"/>
  <c r="J144" i="11"/>
  <c r="J268" i="8"/>
  <c r="J292" i="8"/>
  <c r="H427" i="11"/>
  <c r="H453" i="11" s="1"/>
  <c r="F748" i="24"/>
  <c r="I297" i="10" s="1"/>
  <c r="E123" i="9"/>
  <c r="E149" i="9" s="1"/>
  <c r="E874" i="22"/>
  <c r="F239" i="7"/>
  <c r="I149" i="11"/>
  <c r="F151" i="11"/>
  <c r="F157" i="11"/>
  <c r="I322" i="8"/>
  <c r="F402" i="8"/>
  <c r="D35" i="11"/>
  <c r="D142" i="11"/>
  <c r="D168" i="11" s="1"/>
  <c r="D166" i="11"/>
  <c r="C439" i="11"/>
  <c r="C735" i="24"/>
  <c r="C761" i="24" s="1"/>
  <c r="C301" i="10" s="1"/>
  <c r="C759" i="24"/>
  <c r="D585" i="8"/>
  <c r="D255" i="10"/>
  <c r="C305" i="7"/>
  <c r="D311" i="7"/>
  <c r="D603" i="8"/>
  <c r="B748" i="24"/>
  <c r="E297" i="10" s="1"/>
  <c r="E94" i="10"/>
  <c r="E274" i="10"/>
  <c r="E283" i="10"/>
  <c r="N123" i="9"/>
  <c r="N149" i="9" s="1"/>
  <c r="N874" i="22"/>
  <c r="L119" i="9"/>
  <c r="L861" i="22"/>
  <c r="L807" i="22"/>
  <c r="L887" i="22" s="1"/>
  <c r="J541" i="8"/>
  <c r="G19" i="9"/>
  <c r="D430" i="11"/>
  <c r="B118" i="9"/>
  <c r="B785" i="22"/>
  <c r="B857" i="22"/>
  <c r="B782" i="22"/>
  <c r="B803" i="22"/>
  <c r="B883" i="22" s="1"/>
  <c r="J77" i="9"/>
  <c r="J78" i="9"/>
  <c r="J761" i="22"/>
  <c r="J740" i="22"/>
  <c r="J743" i="22"/>
  <c r="G148" i="7"/>
  <c r="G32" i="7"/>
  <c r="G304" i="7"/>
  <c r="H310" i="7"/>
  <c r="H602" i="8"/>
  <c r="E809" i="22"/>
  <c r="E889" i="22" s="1"/>
  <c r="E863" i="22"/>
  <c r="F222" i="7"/>
  <c r="F98" i="11"/>
  <c r="F122" i="11"/>
  <c r="I96" i="11"/>
  <c r="F104" i="11"/>
  <c r="F176" i="11"/>
  <c r="D389" i="8"/>
  <c r="D335" i="8"/>
  <c r="D415" i="8" s="1"/>
  <c r="C417" i="11"/>
  <c r="C443" i="11" s="1"/>
  <c r="C435" i="11"/>
  <c r="C111" i="12"/>
  <c r="C137" i="12" s="1"/>
  <c r="C105" i="12"/>
  <c r="C129" i="12"/>
  <c r="B112" i="12"/>
  <c r="E104" i="12"/>
  <c r="B130" i="12"/>
  <c r="E130" i="12" s="1"/>
  <c r="R91" i="9"/>
  <c r="R99" i="9" s="1"/>
  <c r="R90" i="9"/>
  <c r="R756" i="22"/>
  <c r="R753" i="22"/>
  <c r="H584" i="8"/>
  <c r="H251" i="10"/>
  <c r="D310" i="8"/>
  <c r="D388" i="8"/>
  <c r="D334" i="8"/>
  <c r="D414" i="8" s="1"/>
  <c r="C416" i="11"/>
  <c r="C442" i="11" s="1"/>
  <c r="C410" i="11"/>
  <c r="C434" i="11"/>
  <c r="L81" i="9"/>
  <c r="L82" i="9"/>
  <c r="L108" i="9" s="1"/>
  <c r="L765" i="22"/>
  <c r="F122" i="9"/>
  <c r="F795" i="22"/>
  <c r="F798" i="22"/>
  <c r="F870" i="22"/>
  <c r="F315" i="7"/>
  <c r="F607" i="8"/>
  <c r="B271" i="8"/>
  <c r="B289" i="8"/>
  <c r="E289" i="8" s="1"/>
  <c r="E263" i="8"/>
  <c r="I876" i="22"/>
  <c r="H198" i="9"/>
  <c r="H201" i="9"/>
  <c r="G57" i="9"/>
  <c r="G775" i="24"/>
  <c r="G1484" i="24"/>
  <c r="G1492" i="24" s="1"/>
  <c r="G774" i="24"/>
  <c r="G788" i="24"/>
  <c r="H127" i="10" s="1"/>
  <c r="G787" i="24"/>
  <c r="G109" i="12"/>
  <c r="G133" i="12"/>
  <c r="G216" i="10"/>
  <c r="H257" i="10" s="1"/>
  <c r="H231" i="10"/>
  <c r="I154" i="11"/>
  <c r="D222" i="7"/>
  <c r="D104" i="11"/>
  <c r="D98" i="11"/>
  <c r="D176" i="11"/>
  <c r="D122" i="11"/>
  <c r="D202" i="11" s="1"/>
  <c r="J267" i="9"/>
  <c r="J914" i="22"/>
  <c r="J465" i="24"/>
  <c r="H353" i="8"/>
  <c r="H371" i="8"/>
  <c r="F198" i="9"/>
  <c r="F201" i="9"/>
  <c r="G197" i="7"/>
  <c r="G199" i="7" s="1"/>
  <c r="G28" i="11"/>
  <c r="G34" i="11"/>
  <c r="G211" i="7"/>
  <c r="G69" i="11"/>
  <c r="G75" i="11"/>
  <c r="G80" i="7" s="1"/>
  <c r="G90" i="7" s="1"/>
  <c r="G268" i="8"/>
  <c r="G292" i="8"/>
  <c r="I94" i="10"/>
  <c r="I274" i="10"/>
  <c r="I283" i="10"/>
  <c r="D820" i="24"/>
  <c r="D817" i="24"/>
  <c r="D218" i="10"/>
  <c r="F259" i="10" s="1"/>
  <c r="F233" i="10"/>
  <c r="D97" i="10"/>
  <c r="D23" i="10"/>
  <c r="D58" i="10"/>
  <c r="F160" i="7"/>
  <c r="D298" i="7"/>
  <c r="D154" i="7"/>
  <c r="F160" i="8"/>
  <c r="F578" i="8"/>
  <c r="C236" i="7"/>
  <c r="C244" i="7" s="1"/>
  <c r="C145" i="11"/>
  <c r="C171" i="11" s="1"/>
  <c r="C163" i="11"/>
  <c r="B810" i="22"/>
  <c r="B890" i="22" s="1"/>
  <c r="B864" i="22"/>
  <c r="B371" i="8"/>
  <c r="E371" i="8" s="1"/>
  <c r="E345" i="8"/>
  <c r="B353" i="8"/>
  <c r="K123" i="9"/>
  <c r="K149" i="9" s="1"/>
  <c r="K874" i="22"/>
  <c r="H207" i="7"/>
  <c r="H56" i="11"/>
  <c r="H80" i="11"/>
  <c r="H62" i="11"/>
  <c r="H270" i="8"/>
  <c r="H296" i="8" s="1"/>
  <c r="H264" i="8"/>
  <c r="H288" i="8"/>
  <c r="F597" i="8"/>
  <c r="F252" i="10"/>
  <c r="C181" i="11"/>
  <c r="C127" i="11"/>
  <c r="C207" i="11" s="1"/>
  <c r="Q135" i="9"/>
  <c r="Q137" i="9" s="1"/>
  <c r="Q835" i="22"/>
  <c r="Q838" i="22"/>
  <c r="R849" i="22"/>
  <c r="H132" i="9"/>
  <c r="H140" i="9" s="1"/>
  <c r="H847" i="22"/>
  <c r="D849" i="22"/>
  <c r="J259" i="9"/>
  <c r="J924" i="22"/>
  <c r="L820" i="24"/>
  <c r="L817" i="24"/>
  <c r="K223" i="7"/>
  <c r="K105" i="11"/>
  <c r="K177" i="11"/>
  <c r="J85" i="11"/>
  <c r="J284" i="8"/>
  <c r="H556" i="8"/>
  <c r="H423" i="11"/>
  <c r="H429" i="11"/>
  <c r="H62" i="10"/>
  <c r="H24" i="10"/>
  <c r="J164" i="7"/>
  <c r="H302" i="7"/>
  <c r="J316" i="7" s="1"/>
  <c r="J161" i="8"/>
  <c r="J582" i="8"/>
  <c r="F40" i="11"/>
  <c r="I40" i="11" s="1"/>
  <c r="I14" i="11"/>
  <c r="F22" i="11"/>
  <c r="F181" i="11"/>
  <c r="F127" i="11"/>
  <c r="I101" i="11"/>
  <c r="F283" i="8"/>
  <c r="I283" i="8" s="1"/>
  <c r="F277" i="8"/>
  <c r="I275" i="8"/>
  <c r="D115" i="11"/>
  <c r="D195" i="11" s="1"/>
  <c r="D193" i="11"/>
  <c r="B751" i="24"/>
  <c r="M95" i="9"/>
  <c r="M94" i="9"/>
  <c r="F849" i="22"/>
  <c r="Q119" i="9"/>
  <c r="Q861" i="22"/>
  <c r="Q807" i="22"/>
  <c r="O12" i="9"/>
  <c r="O14" i="9" s="1"/>
  <c r="O50" i="9"/>
  <c r="O56" i="9"/>
  <c r="O1483" i="24"/>
  <c r="K198" i="9"/>
  <c r="K201" i="9"/>
  <c r="H198" i="7"/>
  <c r="H32" i="11"/>
  <c r="H212" i="7"/>
  <c r="H73" i="11"/>
  <c r="G230" i="8"/>
  <c r="G256" i="8" s="1"/>
  <c r="G248" i="8"/>
  <c r="G208" i="7"/>
  <c r="G60" i="11"/>
  <c r="G86" i="11" s="1"/>
  <c r="G84" i="11"/>
  <c r="G271" i="8"/>
  <c r="G297" i="8" s="1"/>
  <c r="G289" i="8"/>
  <c r="I543" i="8"/>
  <c r="I117" i="12"/>
  <c r="F125" i="12"/>
  <c r="I125" i="12" s="1"/>
  <c r="C193" i="11"/>
  <c r="C115" i="11"/>
  <c r="C195" i="11" s="1"/>
  <c r="B44" i="11"/>
  <c r="E44" i="11" s="1"/>
  <c r="E18" i="11"/>
  <c r="E114" i="11"/>
  <c r="B194" i="11"/>
  <c r="E194" i="11" s="1"/>
  <c r="H95" i="9"/>
  <c r="H94" i="9"/>
  <c r="R810" i="22"/>
  <c r="R890" i="22" s="1"/>
  <c r="R864" i="22"/>
  <c r="O82" i="9"/>
  <c r="O108" i="9" s="1"/>
  <c r="O81" i="9"/>
  <c r="O765" i="22"/>
  <c r="H881" i="22"/>
  <c r="J223" i="7"/>
  <c r="J105" i="11"/>
  <c r="J177" i="11"/>
  <c r="J123" i="11"/>
  <c r="J312" i="8"/>
  <c r="J330" i="8"/>
  <c r="J306" i="8"/>
  <c r="J384" i="8"/>
  <c r="H134" i="12"/>
  <c r="F230" i="8"/>
  <c r="F248" i="8"/>
  <c r="I248" i="8" s="1"/>
  <c r="I222" i="8"/>
  <c r="F208" i="7"/>
  <c r="I58" i="11"/>
  <c r="F60" i="11"/>
  <c r="F84" i="11"/>
  <c r="F271" i="8"/>
  <c r="F289" i="8"/>
  <c r="I289" i="8" s="1"/>
  <c r="I263" i="8"/>
  <c r="D119" i="9"/>
  <c r="D861" i="22"/>
  <c r="D807" i="22"/>
  <c r="D22" i="11"/>
  <c r="D40" i="11"/>
  <c r="D127" i="11"/>
  <c r="D207" i="11" s="1"/>
  <c r="D181" i="11"/>
  <c r="D352" i="8"/>
  <c r="D378" i="8" s="1"/>
  <c r="D346" i="8"/>
  <c r="D370" i="8"/>
  <c r="B57" i="9"/>
  <c r="B775" i="24"/>
  <c r="B1484" i="24"/>
  <c r="B1492" i="24" s="1"/>
  <c r="B774" i="24"/>
  <c r="B788" i="24"/>
  <c r="B127" i="10" s="1"/>
  <c r="B787" i="24"/>
  <c r="C585" i="8"/>
  <c r="I585" i="8"/>
  <c r="I255" i="10"/>
  <c r="E214" i="10"/>
  <c r="C255" i="10"/>
  <c r="E297" i="7"/>
  <c r="B305" i="7"/>
  <c r="I311" i="7"/>
  <c r="C311" i="7"/>
  <c r="C603" i="8"/>
  <c r="I603" i="8"/>
  <c r="J54" i="9"/>
  <c r="J13" i="9"/>
  <c r="J1487" i="24"/>
  <c r="R817" i="24"/>
  <c r="R820" i="24"/>
  <c r="P12" i="9"/>
  <c r="P14" i="9" s="1"/>
  <c r="P50" i="9"/>
  <c r="P56" i="9"/>
  <c r="P1483" i="24"/>
  <c r="M122" i="9"/>
  <c r="M798" i="22"/>
  <c r="M870" i="22"/>
  <c r="M795" i="22"/>
  <c r="L882" i="22"/>
  <c r="J528" i="8"/>
  <c r="J555" i="8"/>
  <c r="J429" i="11"/>
  <c r="J423" i="11"/>
  <c r="J95" i="10"/>
  <c r="H211" i="7"/>
  <c r="H213" i="7" s="1"/>
  <c r="H75" i="11"/>
  <c r="H80" i="7" s="1"/>
  <c r="H90" i="7" s="1"/>
  <c r="H69" i="11"/>
  <c r="F19" i="9"/>
  <c r="G366" i="8"/>
  <c r="E57" i="9"/>
  <c r="E774" i="24"/>
  <c r="E788" i="24"/>
  <c r="F127" i="10" s="1"/>
  <c r="E787" i="24"/>
  <c r="E775" i="24"/>
  <c r="I121" i="12"/>
  <c r="D32" i="8"/>
  <c r="D148" i="8"/>
  <c r="D156" i="8" s="1"/>
  <c r="D154" i="8"/>
  <c r="C78" i="9"/>
  <c r="C77" i="9"/>
  <c r="C743" i="22"/>
  <c r="C761" i="22"/>
  <c r="C740" i="22"/>
  <c r="C84" i="7"/>
  <c r="C84" i="8"/>
  <c r="C365" i="8"/>
  <c r="C359" i="8"/>
  <c r="B355" i="11"/>
  <c r="B1103" i="24"/>
  <c r="B1106" i="24"/>
  <c r="E317" i="8"/>
  <c r="B319" i="8"/>
  <c r="B325" i="8"/>
  <c r="B397" i="8"/>
  <c r="K82" i="9"/>
  <c r="K108" i="9" s="1"/>
  <c r="K81" i="9"/>
  <c r="K765" i="22"/>
  <c r="J556" i="8"/>
  <c r="G863" i="22"/>
  <c r="G809" i="22"/>
  <c r="D33" i="8"/>
  <c r="D155" i="8"/>
  <c r="C885" i="22"/>
  <c r="B359" i="8"/>
  <c r="E357" i="8"/>
  <c r="B365" i="8"/>
  <c r="H820" i="24"/>
  <c r="H817" i="24"/>
  <c r="G181" i="11"/>
  <c r="G127" i="11"/>
  <c r="G207" i="11" s="1"/>
  <c r="P91" i="9"/>
  <c r="P99" i="9" s="1"/>
  <c r="P90" i="9"/>
  <c r="P753" i="22"/>
  <c r="P756" i="22"/>
  <c r="J95" i="9"/>
  <c r="J94" i="9"/>
  <c r="J96" i="9" s="1"/>
  <c r="D132" i="9"/>
  <c r="D140" i="9" s="1"/>
  <c r="D847" i="22"/>
  <c r="J300" i="9"/>
  <c r="J324" i="9"/>
  <c r="I882" i="22"/>
  <c r="K346" i="8"/>
  <c r="K352" i="8"/>
  <c r="H81" i="9"/>
  <c r="H82" i="9"/>
  <c r="H765" i="22"/>
  <c r="J240" i="7"/>
  <c r="J158" i="11"/>
  <c r="G738" i="24"/>
  <c r="G764" i="24" s="1"/>
  <c r="G756" i="24"/>
  <c r="J161" i="7"/>
  <c r="H155" i="7"/>
  <c r="J164" i="8"/>
  <c r="J591" i="8"/>
  <c r="J165" i="7"/>
  <c r="J165" i="8"/>
  <c r="J595" i="8"/>
  <c r="F744" i="24"/>
  <c r="F750" i="24"/>
  <c r="G62" i="10"/>
  <c r="G24" i="10"/>
  <c r="E69" i="9"/>
  <c r="E72" i="9"/>
  <c r="E78" i="9"/>
  <c r="E77" i="9"/>
  <c r="E761" i="22"/>
  <c r="E740" i="22"/>
  <c r="E743" i="22"/>
  <c r="F355" i="11"/>
  <c r="E1106" i="24"/>
  <c r="E1103" i="24"/>
  <c r="I317" i="8"/>
  <c r="F319" i="8"/>
  <c r="F325" i="8"/>
  <c r="F397" i="8"/>
  <c r="I397" i="8" s="1"/>
  <c r="D239" i="7"/>
  <c r="D151" i="11"/>
  <c r="D157" i="11"/>
  <c r="D156" i="11" s="1"/>
  <c r="C744" i="24"/>
  <c r="C750" i="24"/>
  <c r="C62" i="10"/>
  <c r="C24" i="10"/>
  <c r="C125" i="12"/>
  <c r="B124" i="12"/>
  <c r="E124" i="12" s="1"/>
  <c r="E116" i="12"/>
  <c r="B118" i="12"/>
  <c r="B62" i="10"/>
  <c r="B24" i="10"/>
  <c r="E93" i="10"/>
  <c r="E273" i="10"/>
  <c r="E282" i="10"/>
  <c r="B207" i="10"/>
  <c r="C240" i="10"/>
  <c r="B204" i="10"/>
  <c r="I240" i="10"/>
  <c r="E199" i="10"/>
  <c r="I164" i="7"/>
  <c r="E150" i="7"/>
  <c r="C164" i="7"/>
  <c r="B302" i="7"/>
  <c r="C161" i="8"/>
  <c r="I161" i="8"/>
  <c r="C582" i="8"/>
  <c r="I582" i="8"/>
  <c r="B528" i="8"/>
  <c r="E529" i="8"/>
  <c r="B555" i="8"/>
  <c r="R57" i="9"/>
  <c r="R1484" i="24"/>
  <c r="R1492" i="24" s="1"/>
  <c r="M201" i="9"/>
  <c r="M198" i="9"/>
  <c r="I12" i="9"/>
  <c r="I14" i="9" s="1"/>
  <c r="I50" i="9"/>
  <c r="I56" i="9"/>
  <c r="I1483" i="24"/>
  <c r="I771" i="24"/>
  <c r="I770" i="24"/>
  <c r="I783" i="24"/>
  <c r="J427" i="11"/>
  <c r="J453" i="11" s="1"/>
  <c r="K315" i="7"/>
  <c r="K607" i="8"/>
  <c r="G194" i="11"/>
  <c r="G375" i="8"/>
  <c r="I523" i="8"/>
  <c r="F531" i="8"/>
  <c r="F549" i="8"/>
  <c r="I549" i="8" s="1"/>
  <c r="F124" i="12"/>
  <c r="I124" i="12" s="1"/>
  <c r="I116" i="12"/>
  <c r="F118" i="12"/>
  <c r="F62" i="10"/>
  <c r="F24" i="10"/>
  <c r="I93" i="10"/>
  <c r="I273" i="10"/>
  <c r="I282" i="10"/>
  <c r="F207" i="10"/>
  <c r="G240" i="10"/>
  <c r="F204" i="10"/>
  <c r="M240" i="10"/>
  <c r="I199" i="10"/>
  <c r="M164" i="7"/>
  <c r="I150" i="7"/>
  <c r="G164" i="7"/>
  <c r="F302" i="7"/>
  <c r="G161" i="8"/>
  <c r="M161" i="8"/>
  <c r="G582" i="8"/>
  <c r="M582" i="8"/>
  <c r="F598" i="8"/>
  <c r="F256" i="10"/>
  <c r="D553" i="8"/>
  <c r="C212" i="7"/>
  <c r="C73" i="11"/>
  <c r="B198" i="7"/>
  <c r="E198" i="7" s="1"/>
  <c r="B32" i="11"/>
  <c r="E32" i="11" s="1"/>
  <c r="E30" i="11"/>
  <c r="B212" i="7"/>
  <c r="B73" i="11"/>
  <c r="E71" i="11"/>
  <c r="B293" i="8"/>
  <c r="E293" i="8" s="1"/>
  <c r="E267" i="8"/>
  <c r="O132" i="9"/>
  <c r="O140" i="9" s="1"/>
  <c r="O847" i="22"/>
  <c r="P885" i="22"/>
  <c r="O123" i="9"/>
  <c r="O149" i="9" s="1"/>
  <c r="O874" i="22"/>
  <c r="J123" i="9"/>
  <c r="J149" i="9" s="1"/>
  <c r="J874" i="22"/>
  <c r="H119" i="9"/>
  <c r="H861" i="22"/>
  <c r="H807" i="22"/>
  <c r="H1118" i="24"/>
  <c r="J127" i="11"/>
  <c r="J181" i="11"/>
  <c r="G735" i="24"/>
  <c r="G761" i="24" s="1"/>
  <c r="G759" i="24"/>
  <c r="J585" i="8"/>
  <c r="J255" i="10"/>
  <c r="J311" i="7"/>
  <c r="H305" i="7"/>
  <c r="J603" i="8"/>
  <c r="E82" i="9"/>
  <c r="E108" i="9" s="1"/>
  <c r="E81" i="9"/>
  <c r="E765" i="22"/>
  <c r="F44" i="11"/>
  <c r="I44" i="11" s="1"/>
  <c r="I18" i="11"/>
  <c r="F85" i="11"/>
  <c r="I85" i="11" s="1"/>
  <c r="I59" i="11"/>
  <c r="I276" i="8"/>
  <c r="F284" i="8"/>
  <c r="I284" i="8" s="1"/>
  <c r="D251" i="8"/>
  <c r="D227" i="8"/>
  <c r="D253" i="8" s="1"/>
  <c r="D236" i="7"/>
  <c r="D244" i="7" s="1"/>
  <c r="D163" i="11"/>
  <c r="D145" i="11"/>
  <c r="D171" i="11" s="1"/>
  <c r="D319" i="8"/>
  <c r="D325" i="8"/>
  <c r="D405" i="8" s="1"/>
  <c r="D397" i="8"/>
  <c r="B760" i="24"/>
  <c r="N122" i="9"/>
  <c r="N795" i="22"/>
  <c r="N798" i="22"/>
  <c r="N870" i="22"/>
  <c r="H755" i="24"/>
  <c r="H731" i="24"/>
  <c r="H737" i="24"/>
  <c r="H763" i="24" s="1"/>
  <c r="K584" i="8"/>
  <c r="K251" i="10"/>
  <c r="G198" i="9"/>
  <c r="G201" i="9"/>
  <c r="H167" i="11"/>
  <c r="H365" i="8"/>
  <c r="H359" i="8"/>
  <c r="F118" i="9"/>
  <c r="F785" i="22"/>
  <c r="F857" i="22"/>
  <c r="F782" i="22"/>
  <c r="F803" i="22"/>
  <c r="F883" i="22" s="1"/>
  <c r="F1117" i="24"/>
  <c r="G222" i="7"/>
  <c r="G122" i="11"/>
  <c r="G202" i="11" s="1"/>
  <c r="G176" i="11"/>
  <c r="G98" i="11"/>
  <c r="G104" i="11"/>
  <c r="G270" i="8"/>
  <c r="G296" i="8" s="1"/>
  <c r="G264" i="8"/>
  <c r="G288" i="8"/>
  <c r="G585" i="8"/>
  <c r="I214" i="10"/>
  <c r="G255" i="10"/>
  <c r="I297" i="7"/>
  <c r="G311" i="7"/>
  <c r="F305" i="7"/>
  <c r="G603" i="8"/>
  <c r="C229" i="8"/>
  <c r="C255" i="8" s="1"/>
  <c r="C223" i="8"/>
  <c r="C247" i="8"/>
  <c r="C385" i="8"/>
  <c r="C331" i="8"/>
  <c r="C411" i="8" s="1"/>
  <c r="C313" i="8"/>
  <c r="J417" i="11"/>
  <c r="J435" i="11"/>
  <c r="E760" i="24"/>
  <c r="B351" i="11"/>
  <c r="B1093" i="24"/>
  <c r="B1111" i="24"/>
  <c r="B1090" i="24"/>
  <c r="B207" i="7"/>
  <c r="E54" i="11"/>
  <c r="B62" i="11"/>
  <c r="B56" i="11"/>
  <c r="B80" i="11"/>
  <c r="E80" i="11" s="1"/>
  <c r="I284" i="9"/>
  <c r="I260" i="9"/>
  <c r="I217" i="9"/>
  <c r="I774" i="24" s="1"/>
  <c r="J343" i="9"/>
  <c r="K525" i="8"/>
  <c r="I262" i="9"/>
  <c r="I288" i="9" s="1"/>
  <c r="I1087" i="24"/>
  <c r="K188" i="10"/>
  <c r="Q54" i="9"/>
  <c r="Q13" i="9"/>
  <c r="Q1487" i="24"/>
  <c r="Q57" i="9"/>
  <c r="Q1484" i="24"/>
  <c r="Q1492" i="24" s="1"/>
  <c r="P122" i="9"/>
  <c r="P798" i="22"/>
  <c r="P870" i="22"/>
  <c r="P795" i="22"/>
  <c r="O863" i="22"/>
  <c r="O809" i="22"/>
  <c r="O889" i="22" s="1"/>
  <c r="I118" i="9"/>
  <c r="I803" i="22"/>
  <c r="I883" i="22" s="1"/>
  <c r="I782" i="22"/>
  <c r="I785" i="22"/>
  <c r="I857" i="22"/>
  <c r="K75" i="11"/>
  <c r="K80" i="7" s="1"/>
  <c r="K268" i="8"/>
  <c r="H122" i="9"/>
  <c r="H798" i="22"/>
  <c r="H870" i="22"/>
  <c r="H795" i="22"/>
  <c r="J363" i="8"/>
  <c r="G817" i="24"/>
  <c r="G820" i="24"/>
  <c r="H416" i="11"/>
  <c r="H442" i="11" s="1"/>
  <c r="H410" i="11"/>
  <c r="H434" i="11"/>
  <c r="H32" i="7"/>
  <c r="H148" i="7"/>
  <c r="J310" i="7"/>
  <c r="H304" i="7"/>
  <c r="J602" i="8"/>
  <c r="H152" i="8"/>
  <c r="G32" i="8"/>
  <c r="G34" i="8" s="1"/>
  <c r="G148" i="8"/>
  <c r="G156" i="8" s="1"/>
  <c r="G154" i="8"/>
  <c r="G153" i="8" s="1"/>
  <c r="E882" i="22"/>
  <c r="F240" i="8"/>
  <c r="I240" i="8" s="1"/>
  <c r="I238" i="8"/>
  <c r="F76" i="11"/>
  <c r="I68" i="11"/>
  <c r="C556" i="8"/>
  <c r="C528" i="8"/>
  <c r="C555" i="8"/>
  <c r="B12" i="9"/>
  <c r="B50" i="9"/>
  <c r="B56" i="9"/>
  <c r="B783" i="24"/>
  <c r="B1483" i="24"/>
  <c r="B771" i="24"/>
  <c r="B770" i="24"/>
  <c r="B784" i="24"/>
  <c r="B33" i="8"/>
  <c r="E33" i="8" s="1"/>
  <c r="E147" i="8"/>
  <c r="B155" i="8"/>
  <c r="E155" i="8" s="1"/>
  <c r="B91" i="10"/>
  <c r="E56" i="10"/>
  <c r="B64" i="10"/>
  <c r="E64" i="10" s="1"/>
  <c r="G849" i="22"/>
  <c r="S817" i="24"/>
  <c r="S820" i="24"/>
  <c r="I361" i="9"/>
  <c r="I374" i="9" s="1"/>
  <c r="I458" i="24"/>
  <c r="I312" i="9"/>
  <c r="I354" i="9"/>
  <c r="I366" i="9"/>
  <c r="K78" i="9"/>
  <c r="K77" i="9"/>
  <c r="K743" i="22"/>
  <c r="K761" i="22"/>
  <c r="K740" i="22"/>
  <c r="J414" i="11"/>
  <c r="J438" i="11"/>
  <c r="G82" i="9"/>
  <c r="G108" i="9" s="1"/>
  <c r="G81" i="9"/>
  <c r="G765" i="22"/>
  <c r="H352" i="11"/>
  <c r="G1115" i="24"/>
  <c r="H389" i="8"/>
  <c r="H335" i="8"/>
  <c r="H415" i="8" s="1"/>
  <c r="F82" i="9"/>
  <c r="F108" i="9" s="1"/>
  <c r="F81" i="9"/>
  <c r="F765" i="22"/>
  <c r="G566" i="8"/>
  <c r="E208" i="26" s="1"/>
  <c r="G453" i="11"/>
  <c r="G180" i="12"/>
  <c r="G369" i="11"/>
  <c r="G402" i="8"/>
  <c r="F91" i="10"/>
  <c r="I56" i="10"/>
  <c r="F64" i="10"/>
  <c r="I64" i="10" s="1"/>
  <c r="I548" i="8"/>
  <c r="D414" i="11"/>
  <c r="D440" i="11" s="1"/>
  <c r="D438" i="11"/>
  <c r="D98" i="10"/>
  <c r="B876" i="22"/>
  <c r="E153" i="11"/>
  <c r="B155" i="11"/>
  <c r="E155" i="11" s="1"/>
  <c r="E362" i="8"/>
  <c r="S108" i="9"/>
  <c r="H135" i="9"/>
  <c r="H137" i="9" s="1"/>
  <c r="H835" i="22"/>
  <c r="H838" i="22"/>
  <c r="J236" i="7"/>
  <c r="J163" i="11"/>
  <c r="J145" i="11"/>
  <c r="J319" i="8"/>
  <c r="J325" i="8"/>
  <c r="J397" i="8"/>
  <c r="J315" i="7"/>
  <c r="J607" i="8"/>
  <c r="G122" i="12"/>
  <c r="E876" i="22"/>
  <c r="F198" i="7"/>
  <c r="F32" i="11"/>
  <c r="I32" i="11" s="1"/>
  <c r="I30" i="11"/>
  <c r="F212" i="7"/>
  <c r="I212" i="7" s="1"/>
  <c r="F73" i="11"/>
  <c r="I71" i="11"/>
  <c r="F293" i="8"/>
  <c r="I293" i="8" s="1"/>
  <c r="I267" i="8"/>
  <c r="D864" i="22"/>
  <c r="D810" i="22"/>
  <c r="D890" i="22" s="1"/>
  <c r="D366" i="8"/>
  <c r="C57" i="9"/>
  <c r="C775" i="24"/>
  <c r="C1484" i="24"/>
  <c r="C1492" i="24" s="1"/>
  <c r="C774" i="24"/>
  <c r="C788" i="24"/>
  <c r="C127" i="10" s="1"/>
  <c r="C787" i="24"/>
  <c r="C133" i="12"/>
  <c r="C109" i="12"/>
  <c r="C135" i="12" s="1"/>
  <c r="C216" i="10"/>
  <c r="D257" i="10" s="1"/>
  <c r="D231" i="10"/>
  <c r="E551" i="8"/>
  <c r="E120" i="12"/>
  <c r="B122" i="12"/>
  <c r="E122" i="12" s="1"/>
  <c r="Q132" i="9"/>
  <c r="Q140" i="9" s="1"/>
  <c r="Q847" i="22"/>
  <c r="G96" i="9"/>
  <c r="E54" i="9"/>
  <c r="E13" i="9"/>
  <c r="E1487" i="24"/>
  <c r="L885" i="22"/>
  <c r="J544" i="8"/>
  <c r="F810" i="22"/>
  <c r="F890" i="22" s="1"/>
  <c r="F864" i="22"/>
  <c r="F165" i="7"/>
  <c r="F165" i="8"/>
  <c r="F595" i="8"/>
  <c r="B881" i="22"/>
  <c r="H198" i="11" l="1"/>
  <c r="I73" i="11"/>
  <c r="I198" i="7"/>
  <c r="H887" i="22"/>
  <c r="I62" i="10"/>
  <c r="G216" i="7"/>
  <c r="H379" i="8"/>
  <c r="I374" i="8"/>
  <c r="G203" i="11"/>
  <c r="I84" i="11"/>
  <c r="B14" i="9"/>
  <c r="H108" i="9"/>
  <c r="G213" i="7"/>
  <c r="I33" i="8"/>
  <c r="N14" i="9"/>
  <c r="H156" i="11"/>
  <c r="N887" i="22"/>
  <c r="E167" i="11"/>
  <c r="L883" i="22"/>
  <c r="H244" i="7"/>
  <c r="E95" i="10"/>
  <c r="D153" i="8"/>
  <c r="D34" i="8"/>
  <c r="F889" i="22"/>
  <c r="F14" i="9"/>
  <c r="G45" i="11"/>
  <c r="Q887" i="22"/>
  <c r="M96" i="9"/>
  <c r="P883" i="22"/>
  <c r="G405" i="8"/>
  <c r="I800" i="24"/>
  <c r="I776" i="24"/>
  <c r="J148" i="12"/>
  <c r="G222" i="26"/>
  <c r="H148" i="12"/>
  <c r="F222" i="26"/>
  <c r="C126" i="10"/>
  <c r="C789" i="24"/>
  <c r="B123" i="10"/>
  <c r="B792" i="24"/>
  <c r="F85" i="7"/>
  <c r="I85" i="7" s="1"/>
  <c r="I76" i="11"/>
  <c r="J37" i="7"/>
  <c r="H34" i="7"/>
  <c r="J168" i="8"/>
  <c r="J604" i="8"/>
  <c r="P875" i="22"/>
  <c r="P878" i="22"/>
  <c r="E36" i="9"/>
  <c r="E1489" i="24"/>
  <c r="C198" i="8"/>
  <c r="B185" i="26" s="1"/>
  <c r="C470" i="8"/>
  <c r="C264" i="11"/>
  <c r="C407" i="22"/>
  <c r="C531" i="22"/>
  <c r="C571" i="22" s="1"/>
  <c r="C450" i="22"/>
  <c r="B100" i="26"/>
  <c r="D693" i="22"/>
  <c r="D25" i="22"/>
  <c r="G83" i="9"/>
  <c r="G109" i="9" s="1"/>
  <c r="G107" i="9"/>
  <c r="J440" i="11"/>
  <c r="B109" i="10"/>
  <c r="B772" i="24"/>
  <c r="B778" i="24"/>
  <c r="B796" i="24"/>
  <c r="J318" i="7"/>
  <c r="J610" i="8"/>
  <c r="G17" i="21"/>
  <c r="B64" i="7"/>
  <c r="E62" i="11"/>
  <c r="B88" i="11"/>
  <c r="G224" i="7"/>
  <c r="G106" i="11"/>
  <c r="G178" i="11"/>
  <c r="G124" i="11"/>
  <c r="I33" i="9"/>
  <c r="I1485" i="24"/>
  <c r="E302" i="7"/>
  <c r="I316" i="7"/>
  <c r="C316" i="7"/>
  <c r="E86" i="9"/>
  <c r="E112" i="9" s="1"/>
  <c r="E104" i="9"/>
  <c r="J169" i="7"/>
  <c r="J38" i="8"/>
  <c r="J166" i="8"/>
  <c r="J596" i="8"/>
  <c r="J599" i="8"/>
  <c r="K354" i="8"/>
  <c r="K351" i="8"/>
  <c r="K83" i="9"/>
  <c r="K109" i="9" s="1"/>
  <c r="K107" i="9"/>
  <c r="F126" i="10"/>
  <c r="E789" i="24"/>
  <c r="P33" i="9"/>
  <c r="P1485" i="24"/>
  <c r="P1491" i="24"/>
  <c r="B114" i="10"/>
  <c r="B801" i="24"/>
  <c r="D68" i="7"/>
  <c r="D79" i="8"/>
  <c r="D48" i="11"/>
  <c r="J386" i="8"/>
  <c r="J311" i="8"/>
  <c r="J332" i="8"/>
  <c r="J314" i="8"/>
  <c r="J249" i="7"/>
  <c r="J231" i="7"/>
  <c r="C113" i="10"/>
  <c r="C776" i="24"/>
  <c r="C802" i="24" s="1"/>
  <c r="C800" i="24"/>
  <c r="J405" i="8"/>
  <c r="F83" i="9"/>
  <c r="F109" i="9" s="1"/>
  <c r="F107" i="9"/>
  <c r="K103" i="9"/>
  <c r="K79" i="9"/>
  <c r="K85" i="9"/>
  <c r="I320" i="9"/>
  <c r="I333" i="9" s="1"/>
  <c r="I313" i="9"/>
  <c r="I325" i="9"/>
  <c r="B110" i="10"/>
  <c r="B779" i="24"/>
  <c r="B805" i="24" s="1"/>
  <c r="B797" i="24"/>
  <c r="B55" i="9"/>
  <c r="B58" i="9"/>
  <c r="H415" i="11"/>
  <c r="H436" i="11"/>
  <c r="H418" i="11"/>
  <c r="K527" i="8"/>
  <c r="K551" i="8"/>
  <c r="K146" i="8"/>
  <c r="K529" i="8"/>
  <c r="G64" i="8"/>
  <c r="G290" i="8"/>
  <c r="G272" i="8"/>
  <c r="G269" i="8"/>
  <c r="F120" i="9"/>
  <c r="F126" i="9"/>
  <c r="F144" i="9"/>
  <c r="H736" i="24"/>
  <c r="H739" i="24"/>
  <c r="H757" i="24"/>
  <c r="N878" i="22"/>
  <c r="N875" i="22"/>
  <c r="E73" i="11"/>
  <c r="I204" i="10"/>
  <c r="G245" i="10"/>
  <c r="G248" i="10"/>
  <c r="I207" i="10"/>
  <c r="M245" i="10"/>
  <c r="M248" i="10"/>
  <c r="I118" i="12"/>
  <c r="F123" i="12"/>
  <c r="F126" i="12"/>
  <c r="K109" i="10"/>
  <c r="I772" i="24"/>
  <c r="I778" i="24"/>
  <c r="I796" i="24"/>
  <c r="E555" i="8"/>
  <c r="E62" i="10"/>
  <c r="C749" i="24"/>
  <c r="C298" i="10" s="1"/>
  <c r="C752" i="24"/>
  <c r="E766" i="22"/>
  <c r="E757" i="22"/>
  <c r="E769" i="22"/>
  <c r="H107" i="9"/>
  <c r="H83" i="9"/>
  <c r="E365" i="8"/>
  <c r="C367" i="8"/>
  <c r="C364" i="8"/>
  <c r="C757" i="22"/>
  <c r="C769" i="22"/>
  <c r="C766" i="22"/>
  <c r="C104" i="9"/>
  <c r="C86" i="9"/>
  <c r="C112" i="9" s="1"/>
  <c r="J431" i="11"/>
  <c r="J428" i="11"/>
  <c r="J554" i="8"/>
  <c r="J545" i="8"/>
  <c r="J557" i="8"/>
  <c r="E470" i="8"/>
  <c r="B198" i="8"/>
  <c r="B470" i="8"/>
  <c r="E127" i="10"/>
  <c r="E264" i="11"/>
  <c r="B264" i="11"/>
  <c r="B407" i="22"/>
  <c r="B531" i="22"/>
  <c r="B571" i="22" s="1"/>
  <c r="B450" i="22"/>
  <c r="A100" i="26"/>
  <c r="C25" i="22"/>
  <c r="C693" i="22"/>
  <c r="D887" i="22"/>
  <c r="F256" i="8"/>
  <c r="I256" i="8" s="1"/>
  <c r="I230" i="8"/>
  <c r="O55" i="9"/>
  <c r="O58" i="9"/>
  <c r="Q145" i="9"/>
  <c r="Q127" i="9"/>
  <c r="Q153" i="9" s="1"/>
  <c r="F80" i="8"/>
  <c r="F285" i="8"/>
  <c r="I277" i="8"/>
  <c r="F282" i="8"/>
  <c r="I181" i="11"/>
  <c r="I32" i="10"/>
  <c r="H284" i="10"/>
  <c r="D306" i="7"/>
  <c r="F312" i="7"/>
  <c r="D303" i="7"/>
  <c r="G77" i="11"/>
  <c r="G74" i="11"/>
  <c r="G135" i="12"/>
  <c r="H113" i="10"/>
  <c r="G776" i="24"/>
  <c r="G800" i="24"/>
  <c r="C436" i="11"/>
  <c r="C418" i="11"/>
  <c r="C415" i="11"/>
  <c r="D336" i="8"/>
  <c r="D390" i="8"/>
  <c r="F202" i="11"/>
  <c r="I122" i="11"/>
  <c r="G34" i="7"/>
  <c r="H37" i="7"/>
  <c r="H168" i="8"/>
  <c r="H604" i="8"/>
  <c r="B799" i="22"/>
  <c r="B811" i="22"/>
  <c r="B862" i="22"/>
  <c r="B808" i="22"/>
  <c r="B865" i="22"/>
  <c r="I402" i="8"/>
  <c r="J237" i="7"/>
  <c r="J146" i="11"/>
  <c r="J164" i="11"/>
  <c r="H766" i="22"/>
  <c r="H757" i="22"/>
  <c r="H769" i="22"/>
  <c r="O878" i="22"/>
  <c r="O875" i="22"/>
  <c r="P766" i="22"/>
  <c r="P757" i="22"/>
  <c r="P769" i="22"/>
  <c r="I97" i="10"/>
  <c r="F31" i="10"/>
  <c r="F25" i="10"/>
  <c r="I23" i="10"/>
  <c r="I410" i="11"/>
  <c r="F418" i="11"/>
  <c r="F415" i="11"/>
  <c r="F436" i="11"/>
  <c r="H216" i="7"/>
  <c r="H236" i="9"/>
  <c r="H233" i="9"/>
  <c r="H241" i="9"/>
  <c r="B442" i="11"/>
  <c r="E416" i="11"/>
  <c r="I142" i="11"/>
  <c r="F168" i="11"/>
  <c r="H217" i="10"/>
  <c r="J232" i="10"/>
  <c r="J235" i="10"/>
  <c r="H208" i="10"/>
  <c r="H220" i="10"/>
  <c r="H110" i="12"/>
  <c r="H131" i="12"/>
  <c r="H113" i="12"/>
  <c r="H99" i="9"/>
  <c r="B311" i="8"/>
  <c r="B386" i="8"/>
  <c r="E306" i="8"/>
  <c r="B314" i="8"/>
  <c r="B332" i="8"/>
  <c r="B338" i="8"/>
  <c r="E312" i="8"/>
  <c r="B392" i="8"/>
  <c r="E123" i="11"/>
  <c r="B203" i="11"/>
  <c r="C203" i="11"/>
  <c r="G338" i="8"/>
  <c r="G392" i="8"/>
  <c r="G64" i="11"/>
  <c r="G61" i="11"/>
  <c r="G82" i="11"/>
  <c r="G23" i="11"/>
  <c r="G20" i="11"/>
  <c r="G41" i="11"/>
  <c r="Q875" i="22"/>
  <c r="Q878" i="22"/>
  <c r="K839" i="22"/>
  <c r="K851" i="22"/>
  <c r="K848" i="22"/>
  <c r="F376" i="8"/>
  <c r="I376" i="8" s="1"/>
  <c r="I350" i="8"/>
  <c r="L36" i="9"/>
  <c r="L1489" i="24"/>
  <c r="E323" i="8"/>
  <c r="B403" i="8"/>
  <c r="E403" i="8" s="1"/>
  <c r="M38" i="7"/>
  <c r="I33" i="7"/>
  <c r="G38" i="7"/>
  <c r="M169" i="8"/>
  <c r="G169" i="8"/>
  <c r="G608" i="8"/>
  <c r="M608" i="8"/>
  <c r="Q79" i="9"/>
  <c r="Q85" i="9"/>
  <c r="Q103" i="9"/>
  <c r="E296" i="10"/>
  <c r="B752" i="24"/>
  <c r="B749" i="24"/>
  <c r="H245" i="10"/>
  <c r="H248" i="10"/>
  <c r="G123" i="10"/>
  <c r="F792" i="24"/>
  <c r="G122" i="10"/>
  <c r="F785" i="24"/>
  <c r="F791" i="24"/>
  <c r="N36" i="9"/>
  <c r="N1489" i="24"/>
  <c r="B85" i="7"/>
  <c r="E85" i="7" s="1"/>
  <c r="E76" i="11"/>
  <c r="F86" i="9"/>
  <c r="F112" i="9" s="1"/>
  <c r="F104" i="9"/>
  <c r="B80" i="7"/>
  <c r="E75" i="11"/>
  <c r="C86" i="7"/>
  <c r="C87" i="7" s="1"/>
  <c r="C86" i="8"/>
  <c r="H143" i="11"/>
  <c r="H170" i="11"/>
  <c r="K316" i="7"/>
  <c r="J284" i="10"/>
  <c r="J32" i="10"/>
  <c r="L96" i="9"/>
  <c r="E414" i="11"/>
  <c r="B440" i="11"/>
  <c r="E440" i="11" s="1"/>
  <c r="F414" i="8"/>
  <c r="I334" i="8"/>
  <c r="F228" i="7"/>
  <c r="I111" i="11"/>
  <c r="F119" i="11"/>
  <c r="F191" i="11"/>
  <c r="I43" i="11"/>
  <c r="J202" i="11"/>
  <c r="C36" i="9"/>
  <c r="C1489" i="24"/>
  <c r="J133" i="9"/>
  <c r="J139" i="9"/>
  <c r="F109" i="10"/>
  <c r="E772" i="24"/>
  <c r="E778" i="24"/>
  <c r="E796" i="24"/>
  <c r="G414" i="8"/>
  <c r="H241" i="7"/>
  <c r="H159" i="11"/>
  <c r="C133" i="9"/>
  <c r="C139" i="9"/>
  <c r="I236" i="8"/>
  <c r="F244" i="8"/>
  <c r="F241" i="8"/>
  <c r="J376" i="8"/>
  <c r="K103" i="11"/>
  <c r="H185" i="11"/>
  <c r="H131" i="11"/>
  <c r="H228" i="8"/>
  <c r="H249" i="8"/>
  <c r="H231" i="8"/>
  <c r="E81" i="11"/>
  <c r="C77" i="11"/>
  <c r="C74" i="11"/>
  <c r="D415" i="11"/>
  <c r="D436" i="11"/>
  <c r="D418" i="11"/>
  <c r="G406" i="8"/>
  <c r="G243" i="7"/>
  <c r="H69" i="7"/>
  <c r="H101" i="7" s="1"/>
  <c r="H89" i="11"/>
  <c r="K878" i="22"/>
  <c r="K875" i="22"/>
  <c r="L766" i="22"/>
  <c r="L757" i="22"/>
  <c r="L769" i="22"/>
  <c r="D889" i="22"/>
  <c r="B228" i="7"/>
  <c r="E111" i="11"/>
  <c r="B119" i="11"/>
  <c r="B191" i="11"/>
  <c r="B45" i="11"/>
  <c r="E19" i="11"/>
  <c r="F443" i="11"/>
  <c r="I417" i="11"/>
  <c r="E553" i="8"/>
  <c r="I401" i="8"/>
  <c r="I180" i="12"/>
  <c r="J565" i="8"/>
  <c r="J357" i="11"/>
  <c r="J452" i="11"/>
  <c r="J179" i="12"/>
  <c r="I218" i="10"/>
  <c r="G259" i="10"/>
  <c r="I212" i="10"/>
  <c r="G253" i="10"/>
  <c r="I129" i="12"/>
  <c r="H761" i="24"/>
  <c r="J55" i="9"/>
  <c r="J58" i="9"/>
  <c r="I318" i="7"/>
  <c r="C318" i="7"/>
  <c r="E304" i="7"/>
  <c r="C610" i="8"/>
  <c r="I610" i="8"/>
  <c r="B17" i="21"/>
  <c r="I232" i="10"/>
  <c r="I235" i="10"/>
  <c r="B208" i="10"/>
  <c r="B220" i="10"/>
  <c r="E194" i="10"/>
  <c r="B217" i="10"/>
  <c r="C232" i="10"/>
  <c r="C235" i="10"/>
  <c r="E191" i="10"/>
  <c r="E105" i="12"/>
  <c r="B113" i="12"/>
  <c r="B131" i="12"/>
  <c r="B110" i="12"/>
  <c r="I167" i="11"/>
  <c r="H99" i="10"/>
  <c r="H96" i="10"/>
  <c r="R148" i="9"/>
  <c r="R124" i="9"/>
  <c r="R150" i="9" s="1"/>
  <c r="E313" i="8"/>
  <c r="B339" i="8"/>
  <c r="B393" i="8"/>
  <c r="B130" i="11"/>
  <c r="B103" i="11"/>
  <c r="E104" i="11"/>
  <c r="B184" i="11"/>
  <c r="E222" i="7"/>
  <c r="B230" i="7"/>
  <c r="B248" i="7"/>
  <c r="C64" i="7"/>
  <c r="C88" i="11"/>
  <c r="F38" i="7"/>
  <c r="F169" i="8"/>
  <c r="F608" i="8"/>
  <c r="I98" i="10"/>
  <c r="I133" i="12"/>
  <c r="H86" i="7"/>
  <c r="H86" i="8"/>
  <c r="J66" i="10"/>
  <c r="J63" i="10"/>
  <c r="D90" i="7"/>
  <c r="D766" i="22"/>
  <c r="D757" i="22"/>
  <c r="D769" i="22"/>
  <c r="I375" i="8"/>
  <c r="G113" i="10"/>
  <c r="F800" i="24"/>
  <c r="F776" i="24"/>
  <c r="F34" i="8"/>
  <c r="I32" i="8"/>
  <c r="M887" i="22"/>
  <c r="N766" i="22"/>
  <c r="N757" i="22"/>
  <c r="N769" i="22"/>
  <c r="N883" i="22"/>
  <c r="N120" i="9"/>
  <c r="N126" i="9"/>
  <c r="N144" i="9"/>
  <c r="S808" i="22"/>
  <c r="S799" i="22"/>
  <c r="S811" i="22"/>
  <c r="S865" i="22"/>
  <c r="S862" i="22"/>
  <c r="F143" i="11"/>
  <c r="F170" i="11"/>
  <c r="I144" i="11"/>
  <c r="I235" i="7"/>
  <c r="F243" i="7"/>
  <c r="J260" i="10"/>
  <c r="K69" i="7"/>
  <c r="B103" i="9"/>
  <c r="B79" i="9"/>
  <c r="B85" i="9"/>
  <c r="C808" i="22"/>
  <c r="C799" i="22"/>
  <c r="C811" i="22"/>
  <c r="C865" i="22"/>
  <c r="C862" i="22"/>
  <c r="B406" i="8"/>
  <c r="E326" i="8"/>
  <c r="B244" i="7"/>
  <c r="E244" i="7" s="1"/>
  <c r="E236" i="7"/>
  <c r="G367" i="8"/>
  <c r="G364" i="8"/>
  <c r="H79" i="7"/>
  <c r="H68" i="8"/>
  <c r="K166" i="7"/>
  <c r="Q107" i="9"/>
  <c r="Q83" i="9"/>
  <c r="Q109" i="9" s="1"/>
  <c r="J937" i="22"/>
  <c r="E109" i="12"/>
  <c r="B135" i="12"/>
  <c r="E135" i="12" s="1"/>
  <c r="I335" i="8"/>
  <c r="F415" i="8"/>
  <c r="J878" i="22"/>
  <c r="J875" i="22"/>
  <c r="P144" i="9"/>
  <c r="P120" i="9"/>
  <c r="P126" i="9"/>
  <c r="G415" i="8"/>
  <c r="L124" i="9"/>
  <c r="L150" i="9" s="1"/>
  <c r="L148" i="9"/>
  <c r="M883" i="22"/>
  <c r="I79" i="9"/>
  <c r="I85" i="9"/>
  <c r="I103" i="9"/>
  <c r="C80" i="8"/>
  <c r="C90" i="8" s="1"/>
  <c r="C282" i="8"/>
  <c r="C285" i="8"/>
  <c r="C68" i="7"/>
  <c r="C79" i="8"/>
  <c r="C48" i="11"/>
  <c r="H63" i="7"/>
  <c r="H63" i="8"/>
  <c r="H47" i="11"/>
  <c r="E181" i="11"/>
  <c r="E40" i="11"/>
  <c r="C170" i="11"/>
  <c r="C143" i="11"/>
  <c r="C36" i="11"/>
  <c r="C33" i="11"/>
  <c r="D137" i="12"/>
  <c r="I427" i="11"/>
  <c r="H285" i="8"/>
  <c r="H80" i="8"/>
  <c r="H90" i="8" s="1"/>
  <c r="H282" i="8"/>
  <c r="J462" i="24"/>
  <c r="J316" i="9"/>
  <c r="J358" i="9"/>
  <c r="J370" i="9"/>
  <c r="L594" i="8"/>
  <c r="L243" i="10"/>
  <c r="K426" i="11"/>
  <c r="K121" i="12"/>
  <c r="I747" i="24"/>
  <c r="K94" i="10"/>
  <c r="K203" i="10"/>
  <c r="K301" i="7"/>
  <c r="K215" i="10"/>
  <c r="D203" i="11"/>
  <c r="D23" i="11"/>
  <c r="D41" i="11"/>
  <c r="D20" i="11"/>
  <c r="J85" i="8"/>
  <c r="R766" i="22"/>
  <c r="R757" i="22"/>
  <c r="R769" i="22"/>
  <c r="R120" i="9"/>
  <c r="R126" i="9"/>
  <c r="R144" i="9"/>
  <c r="C86" i="11"/>
  <c r="I219" i="10"/>
  <c r="G260" i="10"/>
  <c r="J113" i="10"/>
  <c r="H776" i="24"/>
  <c r="H800" i="24"/>
  <c r="L133" i="9"/>
  <c r="L139" i="9"/>
  <c r="C138" i="12"/>
  <c r="F64" i="8"/>
  <c r="I264" i="8"/>
  <c r="F269" i="8"/>
  <c r="F290" i="8"/>
  <c r="F272" i="8"/>
  <c r="F185" i="11"/>
  <c r="F131" i="11"/>
  <c r="I105" i="11"/>
  <c r="I247" i="8"/>
  <c r="G131" i="12"/>
  <c r="G110" i="12"/>
  <c r="G113" i="12"/>
  <c r="H554" i="8"/>
  <c r="H545" i="8"/>
  <c r="H557" i="8"/>
  <c r="E435" i="11"/>
  <c r="D318" i="7"/>
  <c r="D610" i="8"/>
  <c r="C17" i="21"/>
  <c r="D228" i="7"/>
  <c r="D119" i="11"/>
  <c r="D191" i="11"/>
  <c r="G303" i="7"/>
  <c r="H312" i="7"/>
  <c r="G306" i="7"/>
  <c r="I384" i="8"/>
  <c r="I312" i="8"/>
  <c r="F338" i="8"/>
  <c r="F392" i="8"/>
  <c r="G436" i="11"/>
  <c r="G418" i="11"/>
  <c r="G415" i="11"/>
  <c r="I887" i="22"/>
  <c r="J80" i="7"/>
  <c r="B148" i="9"/>
  <c r="B124" i="9"/>
  <c r="D198" i="8"/>
  <c r="C185" i="26" s="1"/>
  <c r="D470" i="8"/>
  <c r="D264" i="11"/>
  <c r="D450" i="22"/>
  <c r="D407" i="22"/>
  <c r="D531" i="22"/>
  <c r="D571" i="22" s="1"/>
  <c r="C100" i="26"/>
  <c r="E693" i="22"/>
  <c r="E25" i="22"/>
  <c r="H336" i="8"/>
  <c r="H416" i="8" s="1"/>
  <c r="H390" i="8"/>
  <c r="H252" i="7"/>
  <c r="C156" i="8"/>
  <c r="I359" i="8"/>
  <c r="F367" i="8"/>
  <c r="F364" i="8"/>
  <c r="J168" i="7"/>
  <c r="J162" i="8"/>
  <c r="J37" i="8"/>
  <c r="J583" i="8"/>
  <c r="J586" i="8"/>
  <c r="H109" i="10"/>
  <c r="G796" i="24"/>
  <c r="G772" i="24"/>
  <c r="G778" i="24"/>
  <c r="J887" i="22"/>
  <c r="E270" i="8"/>
  <c r="B296" i="8"/>
  <c r="E247" i="8"/>
  <c r="I134" i="12"/>
  <c r="B145" i="9"/>
  <c r="B127" i="9"/>
  <c r="B153" i="9" s="1"/>
  <c r="C311" i="8"/>
  <c r="C386" i="8"/>
  <c r="C314" i="8"/>
  <c r="C332" i="8"/>
  <c r="C184" i="11"/>
  <c r="C103" i="11"/>
  <c r="C130" i="11"/>
  <c r="C210" i="11" s="1"/>
  <c r="C23" i="11"/>
  <c r="C20" i="11"/>
  <c r="C41" i="11"/>
  <c r="G231" i="7"/>
  <c r="G249" i="7"/>
  <c r="G561" i="8"/>
  <c r="G359" i="11"/>
  <c r="F12" i="21" s="1"/>
  <c r="G353" i="11"/>
  <c r="G448" i="11"/>
  <c r="G175" i="12"/>
  <c r="G364" i="11"/>
  <c r="J34" i="7"/>
  <c r="J137" i="12"/>
  <c r="D79" i="7"/>
  <c r="D68" i="8"/>
  <c r="E158" i="11"/>
  <c r="C241" i="7"/>
  <c r="C159" i="11"/>
  <c r="B153" i="8"/>
  <c r="E154" i="8"/>
  <c r="I398" i="8"/>
  <c r="F77" i="11"/>
  <c r="F74" i="11"/>
  <c r="I69" i="11"/>
  <c r="F36" i="11"/>
  <c r="F33" i="11"/>
  <c r="I28" i="11"/>
  <c r="G123" i="12"/>
  <c r="G126" i="12"/>
  <c r="O887" i="22"/>
  <c r="J256" i="9"/>
  <c r="J280" i="9"/>
  <c r="J213" i="9"/>
  <c r="L184" i="10"/>
  <c r="J1083" i="24"/>
  <c r="L521" i="8"/>
  <c r="K339" i="9"/>
  <c r="G378" i="8"/>
  <c r="H33" i="9"/>
  <c r="H1485" i="24"/>
  <c r="H14" i="9"/>
  <c r="E166" i="11"/>
  <c r="G883" i="22"/>
  <c r="G120" i="9"/>
  <c r="G126" i="9"/>
  <c r="G144" i="9"/>
  <c r="B170" i="11"/>
  <c r="B143" i="11"/>
  <c r="E144" i="11"/>
  <c r="E235" i="7"/>
  <c r="B243" i="7"/>
  <c r="E197" i="7"/>
  <c r="B199" i="7"/>
  <c r="G86" i="7"/>
  <c r="G86" i="8"/>
  <c r="F145" i="9"/>
  <c r="F127" i="9"/>
  <c r="F153" i="9" s="1"/>
  <c r="G887" i="22"/>
  <c r="J156" i="8"/>
  <c r="D285" i="8"/>
  <c r="D80" i="8"/>
  <c r="D90" i="8" s="1"/>
  <c r="D282" i="8"/>
  <c r="I118" i="11"/>
  <c r="F198" i="11"/>
  <c r="I198" i="11" s="1"/>
  <c r="J61" i="11"/>
  <c r="J82" i="11"/>
  <c r="J64" i="11"/>
  <c r="P889" i="22"/>
  <c r="H403" i="8"/>
  <c r="E125" i="12"/>
  <c r="D376" i="8"/>
  <c r="E887" i="22"/>
  <c r="L33" i="9"/>
  <c r="L39" i="9" s="1"/>
  <c r="L1485" i="24"/>
  <c r="L1491" i="24"/>
  <c r="L14" i="9"/>
  <c r="I96" i="9"/>
  <c r="C378" i="8"/>
  <c r="H103" i="11"/>
  <c r="H184" i="11"/>
  <c r="H130" i="11"/>
  <c r="H210" i="11" s="1"/>
  <c r="G1116" i="24"/>
  <c r="G1107" i="24"/>
  <c r="G1119" i="24"/>
  <c r="E370" i="8"/>
  <c r="E126" i="11"/>
  <c r="B206" i="11"/>
  <c r="E242" i="8"/>
  <c r="C327" i="8"/>
  <c r="C399" i="8"/>
  <c r="C324" i="8"/>
  <c r="D14" i="9"/>
  <c r="G171" i="11"/>
  <c r="H378" i="8"/>
  <c r="H68" i="7"/>
  <c r="H79" i="8"/>
  <c r="H48" i="11"/>
  <c r="G103" i="9"/>
  <c r="G79" i="9"/>
  <c r="G85" i="9"/>
  <c r="O36" i="9"/>
  <c r="O1489" i="24"/>
  <c r="D64" i="8"/>
  <c r="D269" i="8"/>
  <c r="D272" i="8"/>
  <c r="D290" i="8"/>
  <c r="D561" i="8"/>
  <c r="D353" i="11"/>
  <c r="D448" i="11"/>
  <c r="D175" i="12"/>
  <c r="D359" i="11"/>
  <c r="D12" i="21" s="1"/>
  <c r="D364" i="11"/>
  <c r="G440" i="11"/>
  <c r="I875" i="22"/>
  <c r="I878" i="22"/>
  <c r="Q58" i="9"/>
  <c r="Q55" i="9"/>
  <c r="E190" i="11"/>
  <c r="I541" i="8"/>
  <c r="I544" i="8"/>
  <c r="S757" i="22"/>
  <c r="S769" i="22"/>
  <c r="S766" i="22"/>
  <c r="S104" i="9"/>
  <c r="S86" i="9"/>
  <c r="S112" i="9" s="1"/>
  <c r="E152" i="8"/>
  <c r="C303" i="7"/>
  <c r="C306" i="7"/>
  <c r="D312" i="7"/>
  <c r="F561" i="8"/>
  <c r="F359" i="11"/>
  <c r="F353" i="11"/>
  <c r="F448" i="11"/>
  <c r="I351" i="11"/>
  <c r="F175" i="12"/>
  <c r="F364" i="11"/>
  <c r="F757" i="24"/>
  <c r="G300" i="10" s="1"/>
  <c r="F736" i="24"/>
  <c r="F739" i="24"/>
  <c r="J253" i="7"/>
  <c r="H133" i="9"/>
  <c r="H139" i="9"/>
  <c r="D883" i="22"/>
  <c r="J367" i="8"/>
  <c r="J364" i="8"/>
  <c r="E208" i="7"/>
  <c r="B216" i="7"/>
  <c r="S141" i="9"/>
  <c r="S28" i="9"/>
  <c r="S138" i="9"/>
  <c r="C122" i="10"/>
  <c r="C785" i="24"/>
  <c r="C791" i="24"/>
  <c r="C55" i="9"/>
  <c r="C58" i="9"/>
  <c r="D202" i="7"/>
  <c r="G280" i="10"/>
  <c r="G31" i="10"/>
  <c r="G25" i="10"/>
  <c r="J799" i="22"/>
  <c r="J811" i="22"/>
  <c r="J862" i="22"/>
  <c r="J808" i="22"/>
  <c r="J865" i="22"/>
  <c r="C393" i="8"/>
  <c r="C339" i="8"/>
  <c r="C419" i="8" s="1"/>
  <c r="E107" i="9"/>
  <c r="E83" i="9"/>
  <c r="E109" i="9" s="1"/>
  <c r="J171" i="11"/>
  <c r="I359" i="9"/>
  <c r="I362" i="9"/>
  <c r="I367" i="9"/>
  <c r="K69" i="8"/>
  <c r="I144" i="9"/>
  <c r="I120" i="9"/>
  <c r="I126" i="9"/>
  <c r="I286" i="9"/>
  <c r="I261" i="9"/>
  <c r="I264" i="9"/>
  <c r="E24" i="10"/>
  <c r="B284" i="10"/>
  <c r="B32" i="10"/>
  <c r="H32" i="10"/>
  <c r="E284" i="10"/>
  <c r="J327" i="8"/>
  <c r="J399" i="8"/>
  <c r="J324" i="8"/>
  <c r="F99" i="10"/>
  <c r="F96" i="10"/>
  <c r="I91" i="10"/>
  <c r="G148" i="12"/>
  <c r="E222" i="26"/>
  <c r="H562" i="8"/>
  <c r="H449" i="11"/>
  <c r="H360" i="11"/>
  <c r="G13" i="21" s="1"/>
  <c r="H176" i="12"/>
  <c r="H184" i="12" s="1"/>
  <c r="H365" i="11"/>
  <c r="K757" i="22"/>
  <c r="K769" i="22"/>
  <c r="K766" i="22"/>
  <c r="K104" i="9"/>
  <c r="K86" i="9"/>
  <c r="K112" i="9" s="1"/>
  <c r="I268" i="9"/>
  <c r="I915" i="22"/>
  <c r="I466" i="24"/>
  <c r="I479" i="24" s="1"/>
  <c r="I459" i="24"/>
  <c r="I471" i="24"/>
  <c r="B99" i="10"/>
  <c r="B96" i="10"/>
  <c r="E91" i="10"/>
  <c r="B33" i="9"/>
  <c r="B1485" i="24"/>
  <c r="B1491" i="24"/>
  <c r="H156" i="7"/>
  <c r="J162" i="7"/>
  <c r="H153" i="7"/>
  <c r="H124" i="9"/>
  <c r="H150" i="9" s="1"/>
  <c r="H148" i="9"/>
  <c r="I862" i="22"/>
  <c r="I865" i="22"/>
  <c r="I799" i="22"/>
  <c r="I811" i="22"/>
  <c r="I808" i="22"/>
  <c r="P124" i="9"/>
  <c r="P150" i="9" s="1"/>
  <c r="P148" i="9"/>
  <c r="Q36" i="9"/>
  <c r="Q1489" i="24"/>
  <c r="K297" i="7"/>
  <c r="K90" i="10"/>
  <c r="K190" i="10"/>
  <c r="K214" i="10"/>
  <c r="K412" i="11"/>
  <c r="K107" i="12"/>
  <c r="I733" i="24"/>
  <c r="K229" i="10"/>
  <c r="K146" i="7"/>
  <c r="K577" i="8"/>
  <c r="K192" i="10"/>
  <c r="K56" i="10"/>
  <c r="J345" i="9"/>
  <c r="J369" i="9"/>
  <c r="J448" i="24"/>
  <c r="J302" i="9"/>
  <c r="J347" i="9"/>
  <c r="J373" i="9" s="1"/>
  <c r="B215" i="7"/>
  <c r="B209" i="7"/>
  <c r="E207" i="7"/>
  <c r="B561" i="8"/>
  <c r="B359" i="11"/>
  <c r="B353" i="11"/>
  <c r="B448" i="11"/>
  <c r="E351" i="11"/>
  <c r="B175" i="12"/>
  <c r="B364" i="11"/>
  <c r="J443" i="11"/>
  <c r="F799" i="22"/>
  <c r="F811" i="22"/>
  <c r="F862" i="22"/>
  <c r="F808" i="22"/>
  <c r="F865" i="22"/>
  <c r="H364" i="8"/>
  <c r="H367" i="8"/>
  <c r="N148" i="9"/>
  <c r="N124" i="9"/>
  <c r="N150" i="9" s="1"/>
  <c r="D324" i="8"/>
  <c r="D327" i="8"/>
  <c r="D399" i="8"/>
  <c r="J319" i="7"/>
  <c r="J611" i="8"/>
  <c r="G18" i="21"/>
  <c r="J207" i="11"/>
  <c r="H127" i="9"/>
  <c r="H153" i="9" s="1"/>
  <c r="H145" i="9"/>
  <c r="E212" i="7"/>
  <c r="I58" i="9"/>
  <c r="I55" i="9"/>
  <c r="E204" i="10"/>
  <c r="C245" i="10"/>
  <c r="C248" i="10"/>
  <c r="E207" i="10"/>
  <c r="I245" i="10"/>
  <c r="I248" i="10"/>
  <c r="E118" i="12"/>
  <c r="B123" i="12"/>
  <c r="B126" i="12"/>
  <c r="C284" i="10"/>
  <c r="C32" i="10"/>
  <c r="I325" i="8"/>
  <c r="F405" i="8"/>
  <c r="F752" i="24"/>
  <c r="F749" i="24"/>
  <c r="G298" i="10" s="1"/>
  <c r="E397" i="8"/>
  <c r="F198" i="8"/>
  <c r="I470" i="8"/>
  <c r="F470" i="8"/>
  <c r="I127" i="10"/>
  <c r="I264" i="11"/>
  <c r="F264" i="11"/>
  <c r="E531" i="22"/>
  <c r="E571" i="22" s="1"/>
  <c r="E450" i="22"/>
  <c r="E407" i="22"/>
  <c r="D100" i="26"/>
  <c r="F25" i="22"/>
  <c r="F693" i="22"/>
  <c r="B113" i="10"/>
  <c r="B800" i="24"/>
  <c r="B776" i="24"/>
  <c r="I271" i="8"/>
  <c r="F297" i="8"/>
  <c r="I297" i="8" s="1"/>
  <c r="I208" i="7"/>
  <c r="F216" i="7"/>
  <c r="I216" i="7" s="1"/>
  <c r="J410" i="8"/>
  <c r="J131" i="11"/>
  <c r="J185" i="11"/>
  <c r="O83" i="9"/>
  <c r="O107" i="9"/>
  <c r="H96" i="9"/>
  <c r="O33" i="9"/>
  <c r="O39" i="9" s="1"/>
  <c r="O1485" i="24"/>
  <c r="O1491" i="24"/>
  <c r="F68" i="7"/>
  <c r="F79" i="8"/>
  <c r="F48" i="11"/>
  <c r="I22" i="11"/>
  <c r="J218" i="9"/>
  <c r="J1088" i="24"/>
  <c r="L526" i="8"/>
  <c r="L189" i="10"/>
  <c r="K344" i="9"/>
  <c r="H269" i="8"/>
  <c r="H64" i="8"/>
  <c r="H290" i="8"/>
  <c r="H272" i="8"/>
  <c r="H64" i="11"/>
  <c r="H82" i="11"/>
  <c r="H61" i="11"/>
  <c r="B379" i="8"/>
  <c r="E353" i="8"/>
  <c r="J940" i="22"/>
  <c r="D224" i="7"/>
  <c r="D124" i="11"/>
  <c r="D106" i="11"/>
  <c r="D178" i="11"/>
  <c r="E271" i="8"/>
  <c r="B297" i="8"/>
  <c r="E297" i="8" s="1"/>
  <c r="R92" i="9"/>
  <c r="R98" i="9"/>
  <c r="E112" i="12"/>
  <c r="B138" i="12"/>
  <c r="I176" i="11"/>
  <c r="F224" i="7"/>
  <c r="F106" i="11"/>
  <c r="I98" i="11"/>
  <c r="F178" i="11"/>
  <c r="F124" i="11"/>
  <c r="G153" i="7"/>
  <c r="G156" i="7"/>
  <c r="H162" i="7"/>
  <c r="J86" i="9"/>
  <c r="J104" i="9"/>
  <c r="I239" i="7"/>
  <c r="J143" i="11"/>
  <c r="J170" i="11"/>
  <c r="J243" i="7"/>
  <c r="H79" i="9"/>
  <c r="H85" i="9"/>
  <c r="H103" i="9"/>
  <c r="O148" i="9"/>
  <c r="O124" i="9"/>
  <c r="O150" i="9" s="1"/>
  <c r="P79" i="9"/>
  <c r="P85" i="9"/>
  <c r="P103" i="9"/>
  <c r="F442" i="11"/>
  <c r="I416" i="11"/>
  <c r="G241" i="7"/>
  <c r="G159" i="11"/>
  <c r="E298" i="7"/>
  <c r="B303" i="7"/>
  <c r="C312" i="7"/>
  <c r="B306" i="7"/>
  <c r="I312" i="7"/>
  <c r="I168" i="7"/>
  <c r="E154" i="7"/>
  <c r="C168" i="7"/>
  <c r="I37" i="8"/>
  <c r="C37" i="8"/>
  <c r="C162" i="8"/>
  <c r="I162" i="8"/>
  <c r="C583" i="8"/>
  <c r="C586" i="8"/>
  <c r="I583" i="8"/>
  <c r="I586" i="8"/>
  <c r="F85" i="8"/>
  <c r="I85" i="8" s="1"/>
  <c r="I281" i="8"/>
  <c r="G545" i="8"/>
  <c r="G557" i="8"/>
  <c r="G554" i="8"/>
  <c r="K164" i="11"/>
  <c r="E105" i="11"/>
  <c r="B185" i="11"/>
  <c r="B131" i="11"/>
  <c r="B249" i="7"/>
  <c r="E223" i="7"/>
  <c r="B231" i="7"/>
  <c r="J138" i="12"/>
  <c r="C185" i="11"/>
  <c r="C131" i="11"/>
  <c r="C211" i="11" s="1"/>
  <c r="C1116" i="24"/>
  <c r="C1107" i="24"/>
  <c r="C1119" i="24"/>
  <c r="I414" i="11"/>
  <c r="F440" i="11"/>
  <c r="G215" i="7"/>
  <c r="G209" i="7"/>
  <c r="G201" i="7"/>
  <c r="G195" i="7"/>
  <c r="D565" i="8"/>
  <c r="D357" i="11"/>
  <c r="D452" i="11"/>
  <c r="D179" i="12"/>
  <c r="D181" i="12" s="1"/>
  <c r="D368" i="11"/>
  <c r="I115" i="11"/>
  <c r="F195" i="11"/>
  <c r="I195" i="11" s="1"/>
  <c r="J80" i="8"/>
  <c r="J285" i="8"/>
  <c r="J282" i="8"/>
  <c r="J206" i="11"/>
  <c r="I848" i="22"/>
  <c r="I839" i="22"/>
  <c r="I851" i="22"/>
  <c r="E239" i="7"/>
  <c r="I296" i="10"/>
  <c r="E749" i="24"/>
  <c r="E752" i="24"/>
  <c r="Q86" i="9"/>
  <c r="Q112" i="9" s="1"/>
  <c r="Q104" i="9"/>
  <c r="D148" i="12"/>
  <c r="C222" i="26"/>
  <c r="G109" i="10"/>
  <c r="F772" i="24"/>
  <c r="F778" i="24"/>
  <c r="F804" i="24" s="1"/>
  <c r="F796" i="24"/>
  <c r="G241" i="8"/>
  <c r="G244" i="8"/>
  <c r="F103" i="9"/>
  <c r="F79" i="9"/>
  <c r="F85" i="9"/>
  <c r="H406" i="8"/>
  <c r="H243" i="7"/>
  <c r="F390" i="8"/>
  <c r="I310" i="8"/>
  <c r="F336" i="8"/>
  <c r="F45" i="11"/>
  <c r="I19" i="11"/>
  <c r="J296" i="8"/>
  <c r="J224" i="7"/>
  <c r="J106" i="11"/>
  <c r="J124" i="11"/>
  <c r="J178" i="11"/>
  <c r="H865" i="22"/>
  <c r="H808" i="22"/>
  <c r="H862" i="22"/>
  <c r="H811" i="22"/>
  <c r="H799" i="22"/>
  <c r="M58" i="9"/>
  <c r="M55" i="9"/>
  <c r="E115" i="11"/>
  <c r="B195" i="11"/>
  <c r="E195" i="11" s="1"/>
  <c r="E58" i="9"/>
  <c r="E55" i="9"/>
  <c r="G390" i="8"/>
  <c r="G336" i="8"/>
  <c r="G416" i="8" s="1"/>
  <c r="C839" i="22"/>
  <c r="C851" i="22"/>
  <c r="C848" i="22"/>
  <c r="I126" i="11"/>
  <c r="F206" i="11"/>
  <c r="I242" i="8"/>
  <c r="H126" i="12"/>
  <c r="H123" i="12"/>
  <c r="K224" i="7"/>
  <c r="K178" i="11"/>
  <c r="K106" i="11"/>
  <c r="O103" i="9"/>
  <c r="O79" i="9"/>
  <c r="O85" i="9"/>
  <c r="B848" i="22"/>
  <c r="B839" i="22"/>
  <c r="B851" i="22"/>
  <c r="C241" i="8"/>
  <c r="C244" i="8"/>
  <c r="D443" i="11"/>
  <c r="C213" i="7"/>
  <c r="D156" i="7"/>
  <c r="F162" i="7"/>
  <c r="D153" i="7"/>
  <c r="D442" i="11"/>
  <c r="K148" i="9"/>
  <c r="K124" i="9"/>
  <c r="K150" i="9" s="1"/>
  <c r="L79" i="9"/>
  <c r="L85" i="9"/>
  <c r="L103" i="9"/>
  <c r="D392" i="8"/>
  <c r="D338" i="8"/>
  <c r="D418" i="8" s="1"/>
  <c r="D64" i="11"/>
  <c r="D82" i="11"/>
  <c r="D61" i="11"/>
  <c r="J85" i="7"/>
  <c r="J92" i="9"/>
  <c r="J98" i="9"/>
  <c r="B414" i="8"/>
  <c r="E414" i="8" s="1"/>
  <c r="E334" i="8"/>
  <c r="C198" i="11"/>
  <c r="Q144" i="9"/>
  <c r="Q120" i="9"/>
  <c r="Q126" i="9"/>
  <c r="I323" i="8"/>
  <c r="F403" i="8"/>
  <c r="I403" i="8" s="1"/>
  <c r="I453" i="11"/>
  <c r="F148" i="12"/>
  <c r="D222" i="26"/>
  <c r="J406" i="8"/>
  <c r="E848" i="22"/>
  <c r="E839" i="22"/>
  <c r="E851" i="22"/>
  <c r="I304" i="7"/>
  <c r="G318" i="7"/>
  <c r="G610" i="8"/>
  <c r="E17" i="21"/>
  <c r="F208" i="10"/>
  <c r="F220" i="10"/>
  <c r="I194" i="10"/>
  <c r="F217" i="10"/>
  <c r="G232" i="10"/>
  <c r="G235" i="10"/>
  <c r="I191" i="10"/>
  <c r="I105" i="12"/>
  <c r="F113" i="12"/>
  <c r="F131" i="12"/>
  <c r="I131" i="12" s="1"/>
  <c r="F110" i="12"/>
  <c r="H45" i="11"/>
  <c r="J33" i="9"/>
  <c r="J1485" i="24"/>
  <c r="J1491" i="24"/>
  <c r="J14" i="9"/>
  <c r="M79" i="9"/>
  <c r="M85" i="9"/>
  <c r="M103" i="9"/>
  <c r="C92" i="9"/>
  <c r="C98" i="9"/>
  <c r="E148" i="7"/>
  <c r="C162" i="7"/>
  <c r="B156" i="7"/>
  <c r="I162" i="7"/>
  <c r="B153" i="7"/>
  <c r="E556" i="8"/>
  <c r="D107" i="9"/>
  <c r="D83" i="9"/>
  <c r="D109" i="9" s="1"/>
  <c r="G739" i="24"/>
  <c r="G757" i="24"/>
  <c r="G736" i="24"/>
  <c r="P839" i="22"/>
  <c r="P851" i="22"/>
  <c r="P848" i="22"/>
  <c r="I930" i="22"/>
  <c r="I933" i="22"/>
  <c r="I938" i="22"/>
  <c r="E331" i="8"/>
  <c r="B411" i="8"/>
  <c r="B195" i="7"/>
  <c r="E193" i="7"/>
  <c r="B201" i="7"/>
  <c r="I109" i="12"/>
  <c r="F135" i="12"/>
  <c r="J25" i="10"/>
  <c r="J418" i="11"/>
  <c r="J415" i="11"/>
  <c r="J436" i="11"/>
  <c r="D79" i="9"/>
  <c r="D85" i="9"/>
  <c r="D103" i="9"/>
  <c r="G126" i="10"/>
  <c r="F789" i="24"/>
  <c r="B193" i="12"/>
  <c r="E369" i="11"/>
  <c r="A137" i="26"/>
  <c r="B395" i="11"/>
  <c r="B382" i="11"/>
  <c r="E566" i="8"/>
  <c r="A208" i="26"/>
  <c r="C193" i="12"/>
  <c r="B137" i="26"/>
  <c r="C382" i="11"/>
  <c r="C395" i="11"/>
  <c r="F153" i="8"/>
  <c r="I154" i="8"/>
  <c r="N799" i="22"/>
  <c r="N811" i="22"/>
  <c r="N862" i="22"/>
  <c r="N808" i="22"/>
  <c r="N865" i="22"/>
  <c r="S120" i="9"/>
  <c r="S126" i="9"/>
  <c r="S152" i="9" s="1"/>
  <c r="S144" i="9"/>
  <c r="C428" i="11"/>
  <c r="C431" i="11"/>
  <c r="I292" i="8"/>
  <c r="I251" i="8"/>
  <c r="B766" i="22"/>
  <c r="B757" i="22"/>
  <c r="B769" i="22"/>
  <c r="C883" i="22"/>
  <c r="C120" i="9"/>
  <c r="C126" i="9"/>
  <c r="C152" i="9" s="1"/>
  <c r="C144" i="9"/>
  <c r="C127" i="9"/>
  <c r="C153" i="9" s="1"/>
  <c r="C145" i="9"/>
  <c r="L865" i="22"/>
  <c r="L808" i="22"/>
  <c r="L862" i="22"/>
  <c r="L799" i="22"/>
  <c r="L811" i="22"/>
  <c r="E163" i="11"/>
  <c r="E251" i="8"/>
  <c r="H171" i="11"/>
  <c r="H199" i="7"/>
  <c r="K38" i="7"/>
  <c r="K169" i="8"/>
  <c r="K608" i="8"/>
  <c r="N848" i="22"/>
  <c r="N839" i="22"/>
  <c r="N851" i="22"/>
  <c r="J263" i="9"/>
  <c r="J214" i="9"/>
  <c r="J1084" i="24"/>
  <c r="L522" i="8"/>
  <c r="L185" i="10"/>
  <c r="K340" i="9"/>
  <c r="J411" i="8"/>
  <c r="H1116" i="24"/>
  <c r="H1107" i="24"/>
  <c r="H1119" i="24"/>
  <c r="J148" i="9"/>
  <c r="J124" i="9"/>
  <c r="J150" i="9" s="1"/>
  <c r="L875" i="22"/>
  <c r="L878" i="22"/>
  <c r="M144" i="9"/>
  <c r="M120" i="9"/>
  <c r="M126" i="9"/>
  <c r="G92" i="9"/>
  <c r="G98" i="9"/>
  <c r="I371" i="8"/>
  <c r="I86" i="9"/>
  <c r="I104" i="9"/>
  <c r="C206" i="11"/>
  <c r="H411" i="8"/>
  <c r="B80" i="8"/>
  <c r="B285" i="8"/>
  <c r="E277" i="8"/>
  <c r="B282" i="8"/>
  <c r="C237" i="7"/>
  <c r="C164" i="11"/>
  <c r="C146" i="11"/>
  <c r="H206" i="11"/>
  <c r="H244" i="8"/>
  <c r="H241" i="8"/>
  <c r="K540" i="8"/>
  <c r="K552" i="8"/>
  <c r="D393" i="8"/>
  <c r="D339" i="8"/>
  <c r="D231" i="7"/>
  <c r="D257" i="7" s="1"/>
  <c r="D249" i="7"/>
  <c r="D195" i="7"/>
  <c r="D201" i="7"/>
  <c r="R799" i="22"/>
  <c r="R811" i="22"/>
  <c r="R862" i="22"/>
  <c r="R808" i="22"/>
  <c r="R865" i="22"/>
  <c r="E389" i="8"/>
  <c r="B562" i="8"/>
  <c r="E352" i="11"/>
  <c r="B360" i="11"/>
  <c r="B449" i="11"/>
  <c r="B176" i="12"/>
  <c r="B365" i="11"/>
  <c r="C390" i="8"/>
  <c r="C336" i="8"/>
  <c r="C416" i="8" s="1"/>
  <c r="C216" i="7"/>
  <c r="I130" i="12"/>
  <c r="J114" i="10"/>
  <c r="H801" i="24"/>
  <c r="B764" i="24"/>
  <c r="C99" i="10"/>
  <c r="C96" i="10"/>
  <c r="D562" i="8"/>
  <c r="D449" i="11"/>
  <c r="D360" i="11"/>
  <c r="D13" i="21" s="1"/>
  <c r="D176" i="12"/>
  <c r="D184" i="12" s="1"/>
  <c r="D365" i="11"/>
  <c r="I270" i="8"/>
  <c r="F296" i="8"/>
  <c r="I296" i="8" s="1"/>
  <c r="I229" i="8"/>
  <c r="F255" i="8"/>
  <c r="M36" i="9"/>
  <c r="M1489" i="24"/>
  <c r="I152" i="8"/>
  <c r="B443" i="11"/>
  <c r="E417" i="11"/>
  <c r="C153" i="7"/>
  <c r="C156" i="7"/>
  <c r="D162" i="7"/>
  <c r="D116" i="11"/>
  <c r="D197" i="11"/>
  <c r="E862" i="22"/>
  <c r="E865" i="22"/>
  <c r="E799" i="22"/>
  <c r="E811" i="22"/>
  <c r="E808" i="22"/>
  <c r="J297" i="8"/>
  <c r="I260" i="10"/>
  <c r="E219" i="10"/>
  <c r="C260" i="10"/>
  <c r="I306" i="8"/>
  <c r="F314" i="8"/>
  <c r="F386" i="8"/>
  <c r="F332" i="8"/>
  <c r="F311" i="8"/>
  <c r="G442" i="11"/>
  <c r="D364" i="8"/>
  <c r="D367" i="8"/>
  <c r="I252" i="8"/>
  <c r="E124" i="9"/>
  <c r="E148" i="9"/>
  <c r="D113" i="10"/>
  <c r="D776" i="24"/>
  <c r="D800" i="24"/>
  <c r="I556" i="8"/>
  <c r="E763" i="24"/>
  <c r="H287" i="9"/>
  <c r="H278" i="9"/>
  <c r="H290" i="9"/>
  <c r="S55" i="9"/>
  <c r="S58" i="9"/>
  <c r="L92" i="9"/>
  <c r="L98" i="9"/>
  <c r="B763" i="24"/>
  <c r="C153" i="8"/>
  <c r="H110" i="10"/>
  <c r="G779" i="24"/>
  <c r="G797" i="24"/>
  <c r="J145" i="9"/>
  <c r="J127" i="9"/>
  <c r="J153" i="9" s="1"/>
  <c r="O808" i="22"/>
  <c r="O799" i="22"/>
  <c r="O811" i="22"/>
  <c r="O865" i="22"/>
  <c r="O862" i="22"/>
  <c r="E288" i="8"/>
  <c r="E229" i="8"/>
  <c r="B255" i="8"/>
  <c r="C224" i="7"/>
  <c r="C124" i="11"/>
  <c r="C106" i="11"/>
  <c r="C178" i="11"/>
  <c r="C248" i="7"/>
  <c r="C230" i="7"/>
  <c r="C256" i="7" s="1"/>
  <c r="C201" i="7"/>
  <c r="C195" i="7"/>
  <c r="I216" i="10"/>
  <c r="G257" i="10"/>
  <c r="F1107" i="24"/>
  <c r="F1119" i="24"/>
  <c r="F1116" i="24"/>
  <c r="D143" i="11"/>
  <c r="D170" i="11"/>
  <c r="D199" i="7"/>
  <c r="I243" i="8"/>
  <c r="E240" i="7"/>
  <c r="C156" i="11"/>
  <c r="I423" i="11"/>
  <c r="F431" i="11"/>
  <c r="F428" i="11"/>
  <c r="I531" i="8"/>
  <c r="I528" i="8"/>
  <c r="F554" i="8"/>
  <c r="F545" i="8"/>
  <c r="F557" i="8"/>
  <c r="E148" i="8"/>
  <c r="B156" i="8"/>
  <c r="E423" i="11"/>
  <c r="B431" i="11"/>
  <c r="B428" i="11"/>
  <c r="C123" i="12"/>
  <c r="C126" i="12"/>
  <c r="F406" i="8"/>
  <c r="I406" i="8" s="1"/>
  <c r="I326" i="8"/>
  <c r="I211" i="7"/>
  <c r="F213" i="7"/>
  <c r="I213" i="7" s="1"/>
  <c r="I197" i="7"/>
  <c r="F199" i="7"/>
  <c r="K80" i="8"/>
  <c r="O127" i="9"/>
  <c r="O153" i="9" s="1"/>
  <c r="O145" i="9"/>
  <c r="J122" i="10"/>
  <c r="H785" i="24"/>
  <c r="H791" i="24"/>
  <c r="J110" i="10"/>
  <c r="H797" i="24"/>
  <c r="H779" i="24"/>
  <c r="E142" i="11"/>
  <c r="B168" i="11"/>
  <c r="E292" i="8"/>
  <c r="B79" i="7"/>
  <c r="B68" i="8"/>
  <c r="E34" i="11"/>
  <c r="G127" i="9"/>
  <c r="G153" i="9" s="1"/>
  <c r="G145" i="9"/>
  <c r="N83" i="9"/>
  <c r="N109" i="9" s="1"/>
  <c r="N107" i="9"/>
  <c r="S97" i="9"/>
  <c r="S100" i="9"/>
  <c r="S23" i="9"/>
  <c r="E216" i="10"/>
  <c r="I257" i="10"/>
  <c r="C257" i="10"/>
  <c r="D128" i="11"/>
  <c r="D182" i="11"/>
  <c r="D244" i="8"/>
  <c r="D241" i="8"/>
  <c r="F253" i="7"/>
  <c r="I253" i="7" s="1"/>
  <c r="I227" i="7"/>
  <c r="J64" i="7"/>
  <c r="J88" i="11"/>
  <c r="G228" i="7"/>
  <c r="G254" i="7" s="1"/>
  <c r="G119" i="11"/>
  <c r="G191" i="11"/>
  <c r="F133" i="9"/>
  <c r="F139" i="9"/>
  <c r="F69" i="7"/>
  <c r="F89" i="11"/>
  <c r="I63" i="11"/>
  <c r="D839" i="22"/>
  <c r="D851" i="22"/>
  <c r="D848" i="22"/>
  <c r="R133" i="9"/>
  <c r="R139" i="9"/>
  <c r="F169" i="7"/>
  <c r="F38" i="8"/>
  <c r="F166" i="8"/>
  <c r="F596" i="8"/>
  <c r="F599" i="8"/>
  <c r="H224" i="7"/>
  <c r="H124" i="11"/>
  <c r="H106" i="11"/>
  <c r="H178" i="11"/>
  <c r="H230" i="7"/>
  <c r="H256" i="7" s="1"/>
  <c r="H248" i="7"/>
  <c r="H561" i="8"/>
  <c r="H353" i="11"/>
  <c r="H448" i="11"/>
  <c r="H175" i="12"/>
  <c r="H359" i="11"/>
  <c r="G12" i="21" s="1"/>
  <c r="G14" i="21" s="1"/>
  <c r="H364" i="11"/>
  <c r="B354" i="8"/>
  <c r="B351" i="8"/>
  <c r="B372" i="8"/>
  <c r="E346" i="8"/>
  <c r="B128" i="11"/>
  <c r="B182" i="11"/>
  <c r="E102" i="11"/>
  <c r="D99" i="10"/>
  <c r="D96" i="10"/>
  <c r="D763" i="24"/>
  <c r="D122" i="10"/>
  <c r="D785" i="24"/>
  <c r="D791" i="24"/>
  <c r="D110" i="10"/>
  <c r="D797" i="24"/>
  <c r="D779" i="24"/>
  <c r="I122" i="12"/>
  <c r="G244" i="7"/>
  <c r="H207" i="11"/>
  <c r="G757" i="22"/>
  <c r="G769" i="22"/>
  <c r="G766" i="22"/>
  <c r="G104" i="9"/>
  <c r="G86" i="9"/>
  <c r="G112" i="9" s="1"/>
  <c r="M99" i="9"/>
  <c r="I363" i="8"/>
  <c r="J168" i="11"/>
  <c r="J83" i="9"/>
  <c r="J109" i="9" s="1"/>
  <c r="J107" i="9"/>
  <c r="Q14" i="9"/>
  <c r="E118" i="11"/>
  <c r="B198" i="11"/>
  <c r="C878" i="22"/>
  <c r="C875" i="22"/>
  <c r="C764" i="24"/>
  <c r="D198" i="11"/>
  <c r="I385" i="8"/>
  <c r="I39" i="11"/>
  <c r="F195" i="7"/>
  <c r="F201" i="7"/>
  <c r="I193" i="7"/>
  <c r="H169" i="7"/>
  <c r="H38" i="8"/>
  <c r="H166" i="8"/>
  <c r="H596" i="8"/>
  <c r="H599" i="8"/>
  <c r="G99" i="10"/>
  <c r="G96" i="10"/>
  <c r="D144" i="9"/>
  <c r="D120" i="9"/>
  <c r="D126" i="9"/>
  <c r="E84" i="11"/>
  <c r="C228" i="7"/>
  <c r="C254" i="7" s="1"/>
  <c r="C119" i="11"/>
  <c r="C191" i="11"/>
  <c r="C33" i="9"/>
  <c r="C39" i="9" s="1"/>
  <c r="C1485" i="24"/>
  <c r="C1491" i="24"/>
  <c r="C123" i="10"/>
  <c r="C792" i="24"/>
  <c r="C14" i="9"/>
  <c r="I80" i="11"/>
  <c r="F215" i="7"/>
  <c r="I207" i="7"/>
  <c r="F209" i="7"/>
  <c r="H153" i="8"/>
  <c r="J86" i="11"/>
  <c r="K36" i="9"/>
  <c r="K1489" i="24"/>
  <c r="B122" i="10"/>
  <c r="B785" i="24"/>
  <c r="B791" i="24"/>
  <c r="K308" i="8"/>
  <c r="K309" i="8"/>
  <c r="K263" i="8"/>
  <c r="K109" i="11"/>
  <c r="K58" i="11"/>
  <c r="K110" i="11"/>
  <c r="I1113" i="24"/>
  <c r="I1089" i="24"/>
  <c r="I1091" i="24"/>
  <c r="I1117" i="24" s="1"/>
  <c r="B1107" i="24"/>
  <c r="B1119" i="24"/>
  <c r="B1116" i="24"/>
  <c r="I305" i="7"/>
  <c r="G319" i="7"/>
  <c r="G611" i="8"/>
  <c r="E18" i="21"/>
  <c r="G248" i="7"/>
  <c r="G230" i="7"/>
  <c r="G256" i="7" s="1"/>
  <c r="M316" i="7"/>
  <c r="I302" i="7"/>
  <c r="G316" i="7"/>
  <c r="I24" i="10"/>
  <c r="F284" i="10"/>
  <c r="F32" i="10"/>
  <c r="L32" i="10"/>
  <c r="I284" i="10"/>
  <c r="K122" i="10"/>
  <c r="I791" i="24"/>
  <c r="K110" i="10"/>
  <c r="I779" i="24"/>
  <c r="E531" i="8"/>
  <c r="E528" i="8"/>
  <c r="B545" i="8"/>
  <c r="B557" i="8"/>
  <c r="B554" i="8"/>
  <c r="D241" i="7"/>
  <c r="D159" i="11"/>
  <c r="I319" i="8"/>
  <c r="F327" i="8"/>
  <c r="F399" i="8"/>
  <c r="F324" i="8"/>
  <c r="F565" i="8"/>
  <c r="F357" i="11"/>
  <c r="F452" i="11"/>
  <c r="I355" i="11"/>
  <c r="F179" i="12"/>
  <c r="F368" i="11"/>
  <c r="E79" i="9"/>
  <c r="E85" i="9"/>
  <c r="E103" i="9"/>
  <c r="G284" i="10"/>
  <c r="G32" i="10"/>
  <c r="P92" i="9"/>
  <c r="P98" i="9"/>
  <c r="E359" i="8"/>
  <c r="B367" i="8"/>
  <c r="B364" i="8"/>
  <c r="G889" i="22"/>
  <c r="E325" i="8"/>
  <c r="B405" i="8"/>
  <c r="C87" i="8"/>
  <c r="F114" i="10"/>
  <c r="E801" i="24"/>
  <c r="F113" i="10"/>
  <c r="E800" i="24"/>
  <c r="E776" i="24"/>
  <c r="H74" i="11"/>
  <c r="H77" i="11"/>
  <c r="M124" i="9"/>
  <c r="M150" i="9" s="1"/>
  <c r="M148" i="9"/>
  <c r="P55" i="9"/>
  <c r="P58" i="9"/>
  <c r="J36" i="9"/>
  <c r="J1489" i="24"/>
  <c r="B126" i="10"/>
  <c r="B789" i="24"/>
  <c r="D372" i="8"/>
  <c r="D354" i="8"/>
  <c r="D351" i="8"/>
  <c r="D127" i="9"/>
  <c r="D153" i="9" s="1"/>
  <c r="D145" i="9"/>
  <c r="J338" i="8"/>
  <c r="J392" i="8"/>
  <c r="H209" i="7"/>
  <c r="H215" i="7"/>
  <c r="D66" i="10"/>
  <c r="D63" i="10"/>
  <c r="G294" i="8"/>
  <c r="G69" i="8"/>
  <c r="G101" i="8" s="1"/>
  <c r="G79" i="7"/>
  <c r="G68" i="8"/>
  <c r="J275" i="9"/>
  <c r="J226" i="9"/>
  <c r="L534" i="8"/>
  <c r="L197" i="10"/>
  <c r="J1096" i="24"/>
  <c r="K352" i="9"/>
  <c r="D130" i="11"/>
  <c r="D184" i="11"/>
  <c r="D103" i="11"/>
  <c r="H126" i="10"/>
  <c r="G789" i="24"/>
  <c r="H114" i="10"/>
  <c r="G801" i="24"/>
  <c r="F878" i="22"/>
  <c r="F875" i="22"/>
  <c r="L107" i="9"/>
  <c r="L83" i="9"/>
  <c r="L109" i="9" s="1"/>
  <c r="F130" i="11"/>
  <c r="I104" i="11"/>
  <c r="F103" i="11"/>
  <c r="F184" i="11"/>
  <c r="I222" i="7"/>
  <c r="F230" i="7"/>
  <c r="F248" i="7"/>
  <c r="I248" i="7" s="1"/>
  <c r="J103" i="9"/>
  <c r="J79" i="9"/>
  <c r="J85" i="9"/>
  <c r="J111" i="9" s="1"/>
  <c r="L127" i="9"/>
  <c r="L153" i="9" s="1"/>
  <c r="L145" i="9"/>
  <c r="D86" i="7"/>
  <c r="D86" i="8"/>
  <c r="F156" i="11"/>
  <c r="I157" i="11"/>
  <c r="H104" i="9"/>
  <c r="H86" i="9"/>
  <c r="H112" i="9" s="1"/>
  <c r="P104" i="9"/>
  <c r="P86" i="9"/>
  <c r="P112" i="9" s="1"/>
  <c r="I298" i="7"/>
  <c r="F303" i="7"/>
  <c r="G312" i="7"/>
  <c r="F306" i="7"/>
  <c r="I154" i="7"/>
  <c r="G168" i="7"/>
  <c r="G37" i="8"/>
  <c r="G162" i="8"/>
  <c r="G583" i="8"/>
  <c r="G586" i="8"/>
  <c r="B66" i="10"/>
  <c r="B63" i="10"/>
  <c r="E58" i="10"/>
  <c r="E434" i="11"/>
  <c r="F84" i="7"/>
  <c r="F84" i="8"/>
  <c r="I35" i="11"/>
  <c r="C231" i="7"/>
  <c r="C257" i="7" s="1"/>
  <c r="C249" i="7"/>
  <c r="C561" i="8"/>
  <c r="C359" i="11"/>
  <c r="C12" i="21" s="1"/>
  <c r="C353" i="11"/>
  <c r="C448" i="11"/>
  <c r="C175" i="12"/>
  <c r="C364" i="11"/>
  <c r="D431" i="11"/>
  <c r="D428" i="11"/>
  <c r="G64" i="7"/>
  <c r="G88" i="11"/>
  <c r="G63" i="7"/>
  <c r="G63" i="8"/>
  <c r="G47" i="11"/>
  <c r="D69" i="8"/>
  <c r="D101" i="8" s="1"/>
  <c r="D294" i="8"/>
  <c r="J182" i="11"/>
  <c r="J128" i="11"/>
  <c r="N55" i="9"/>
  <c r="N58" i="9"/>
  <c r="P127" i="9"/>
  <c r="P153" i="9" s="1"/>
  <c r="P145" i="9"/>
  <c r="I133" i="9"/>
  <c r="I139" i="9"/>
  <c r="E157" i="11"/>
  <c r="B156" i="11"/>
  <c r="M166" i="7"/>
  <c r="I152" i="7"/>
  <c r="G166" i="7"/>
  <c r="Q766" i="22"/>
  <c r="Q757" i="22"/>
  <c r="Q769" i="22"/>
  <c r="E549" i="8"/>
  <c r="I166" i="7"/>
  <c r="E152" i="7"/>
  <c r="C166" i="7"/>
  <c r="D245" i="10"/>
  <c r="D248" i="10"/>
  <c r="F244" i="7"/>
  <c r="I236" i="7"/>
  <c r="G110" i="10"/>
  <c r="F779" i="24"/>
  <c r="F805" i="24" s="1"/>
  <c r="F797" i="24"/>
  <c r="F55" i="9"/>
  <c r="F58" i="9"/>
  <c r="R83" i="9"/>
  <c r="R109" i="9" s="1"/>
  <c r="R107" i="9"/>
  <c r="G379" i="8"/>
  <c r="F766" i="22"/>
  <c r="F757" i="22"/>
  <c r="F769" i="22"/>
  <c r="B77" i="11"/>
  <c r="B74" i="11"/>
  <c r="E69" i="11"/>
  <c r="K245" i="10"/>
  <c r="K248" i="10"/>
  <c r="J123" i="12"/>
  <c r="J126" i="12"/>
  <c r="D379" i="8"/>
  <c r="J130" i="11"/>
  <c r="J103" i="11"/>
  <c r="J184" i="11"/>
  <c r="J230" i="7"/>
  <c r="J248" i="7"/>
  <c r="J848" i="22"/>
  <c r="J851" i="22"/>
  <c r="J839" i="22"/>
  <c r="F122" i="10"/>
  <c r="E785" i="24"/>
  <c r="E791" i="24"/>
  <c r="F110" i="10"/>
  <c r="E797" i="24"/>
  <c r="E779" i="24"/>
  <c r="E14" i="9"/>
  <c r="K808" i="22"/>
  <c r="K799" i="22"/>
  <c r="K811" i="22"/>
  <c r="K865" i="22"/>
  <c r="K862" i="22"/>
  <c r="N145" i="9"/>
  <c r="N127" i="9"/>
  <c r="N153" i="9" s="1"/>
  <c r="D36" i="9"/>
  <c r="D1489" i="24"/>
  <c r="F354" i="8"/>
  <c r="F351" i="8"/>
  <c r="F372" i="8"/>
  <c r="I346" i="8"/>
  <c r="F128" i="11"/>
  <c r="F182" i="11"/>
  <c r="I102" i="11"/>
  <c r="J195" i="11"/>
  <c r="O757" i="22"/>
  <c r="O769" i="22"/>
  <c r="O766" i="22"/>
  <c r="O104" i="9"/>
  <c r="O86" i="9"/>
  <c r="O112" i="9" s="1"/>
  <c r="H314" i="8"/>
  <c r="H311" i="8"/>
  <c r="H332" i="8"/>
  <c r="H386" i="8"/>
  <c r="H231" i="7"/>
  <c r="H257" i="7" s="1"/>
  <c r="H249" i="7"/>
  <c r="B69" i="7"/>
  <c r="B89" i="11"/>
  <c r="E63" i="11"/>
  <c r="C294" i="8"/>
  <c r="C69" i="8"/>
  <c r="C101" i="8" s="1"/>
  <c r="F37" i="7"/>
  <c r="D34" i="7"/>
  <c r="F168" i="8"/>
  <c r="F604" i="8"/>
  <c r="G143" i="11"/>
  <c r="G170" i="11"/>
  <c r="G253" i="8"/>
  <c r="L104" i="9"/>
  <c r="L86" i="9"/>
  <c r="D314" i="8"/>
  <c r="D332" i="8"/>
  <c r="D412" i="8" s="1"/>
  <c r="D311" i="8"/>
  <c r="D386" i="8"/>
  <c r="D209" i="7"/>
  <c r="D215" i="7"/>
  <c r="F761" i="24"/>
  <c r="G301" i="10" s="1"/>
  <c r="J99" i="9"/>
  <c r="E388" i="8"/>
  <c r="E226" i="7"/>
  <c r="B252" i="7"/>
  <c r="B202" i="7"/>
  <c r="E202" i="7" s="1"/>
  <c r="E194" i="7"/>
  <c r="K127" i="9"/>
  <c r="K153" i="9" s="1"/>
  <c r="K145" i="9"/>
  <c r="D124" i="9"/>
  <c r="D148" i="9"/>
  <c r="J414" i="8"/>
  <c r="E133" i="9"/>
  <c r="E139" i="9"/>
  <c r="O133" i="9"/>
  <c r="O139" i="9"/>
  <c r="F319" i="7"/>
  <c r="F611" i="8"/>
  <c r="D18" i="21"/>
  <c r="I148" i="7"/>
  <c r="G162" i="7"/>
  <c r="F153" i="7"/>
  <c r="F156" i="7"/>
  <c r="H202" i="7"/>
  <c r="M86" i="9"/>
  <c r="M112" i="9" s="1"/>
  <c r="M104" i="9"/>
  <c r="B34" i="7"/>
  <c r="I37" i="7"/>
  <c r="E32" i="7"/>
  <c r="C37" i="7"/>
  <c r="I168" i="8"/>
  <c r="C168" i="8"/>
  <c r="C604" i="8"/>
  <c r="I604" i="8"/>
  <c r="B137" i="12"/>
  <c r="E137" i="12" s="1"/>
  <c r="E111" i="12"/>
  <c r="B202" i="11"/>
  <c r="E122" i="11"/>
  <c r="B20" i="11"/>
  <c r="B41" i="11"/>
  <c r="E41" i="11" s="1"/>
  <c r="B23" i="11"/>
  <c r="E15" i="11"/>
  <c r="C64" i="8"/>
  <c r="C290" i="8"/>
  <c r="C272" i="8"/>
  <c r="C269" i="8"/>
  <c r="C64" i="11"/>
  <c r="C61" i="11"/>
  <c r="C82" i="11"/>
  <c r="D126" i="12"/>
  <c r="D123" i="12"/>
  <c r="G411" i="8"/>
  <c r="G249" i="8"/>
  <c r="G231" i="8"/>
  <c r="G228" i="8"/>
  <c r="H84" i="7"/>
  <c r="H87" i="7" s="1"/>
  <c r="H84" i="8"/>
  <c r="H87" i="8" s="1"/>
  <c r="J442" i="11"/>
  <c r="M848" i="22"/>
  <c r="M839" i="22"/>
  <c r="M851" i="22"/>
  <c r="E439" i="11"/>
  <c r="D104" i="9"/>
  <c r="D86" i="9"/>
  <c r="D112" i="9" s="1"/>
  <c r="G114" i="10"/>
  <c r="F801" i="24"/>
  <c r="H440" i="11"/>
  <c r="J354" i="8"/>
  <c r="J351" i="8"/>
  <c r="J372" i="8"/>
  <c r="K55" i="9"/>
  <c r="K58" i="9"/>
  <c r="E180" i="12"/>
  <c r="M145" i="9"/>
  <c r="M127" i="9"/>
  <c r="M153" i="9" s="1"/>
  <c r="N86" i="9"/>
  <c r="N112" i="9" s="1"/>
  <c r="N104" i="9"/>
  <c r="F69" i="8"/>
  <c r="I268" i="8"/>
  <c r="F294" i="8"/>
  <c r="I162" i="11"/>
  <c r="H443" i="11"/>
  <c r="J156" i="11"/>
  <c r="G80" i="8"/>
  <c r="G90" i="8" s="1"/>
  <c r="G282" i="8"/>
  <c r="G285" i="8"/>
  <c r="G128" i="11"/>
  <c r="G182" i="11"/>
  <c r="B85" i="8"/>
  <c r="E85" i="8" s="1"/>
  <c r="E281" i="8"/>
  <c r="B84" i="7"/>
  <c r="B84" i="8"/>
  <c r="E35" i="11"/>
  <c r="E145" i="11"/>
  <c r="B171" i="11"/>
  <c r="E171" i="11" s="1"/>
  <c r="H749" i="24"/>
  <c r="H752" i="24"/>
  <c r="E271" i="10"/>
  <c r="D69" i="7"/>
  <c r="D101" i="7" s="1"/>
  <c r="D89" i="11"/>
  <c r="J339" i="8"/>
  <c r="J393" i="8"/>
  <c r="P865" i="22"/>
  <c r="P808" i="22"/>
  <c r="P862" i="22"/>
  <c r="P799" i="22"/>
  <c r="P811" i="22"/>
  <c r="G878" i="22"/>
  <c r="G875" i="22"/>
  <c r="J230" i="9"/>
  <c r="L538" i="8"/>
  <c r="L201" i="10"/>
  <c r="J1100" i="24"/>
  <c r="K356" i="9"/>
  <c r="E430" i="11"/>
  <c r="G749" i="24"/>
  <c r="H298" i="10" s="1"/>
  <c r="G752" i="24"/>
  <c r="K386" i="8"/>
  <c r="K332" i="8"/>
  <c r="I766" i="22"/>
  <c r="I757" i="22"/>
  <c r="I769" i="22"/>
  <c r="C128" i="11"/>
  <c r="C182" i="11"/>
  <c r="D138" i="12"/>
  <c r="H393" i="8"/>
  <c r="H339" i="8"/>
  <c r="H419" i="8" s="1"/>
  <c r="H23" i="11"/>
  <c r="H41" i="11"/>
  <c r="H20" i="11"/>
  <c r="E283" i="8"/>
  <c r="B68" i="7"/>
  <c r="B79" i="8"/>
  <c r="B48" i="11"/>
  <c r="E48" i="11" s="1"/>
  <c r="E22" i="11"/>
  <c r="F253" i="10"/>
  <c r="G565" i="8"/>
  <c r="G357" i="11"/>
  <c r="G452" i="11"/>
  <c r="G179" i="12"/>
  <c r="G181" i="12" s="1"/>
  <c r="G368" i="11"/>
  <c r="M107" i="9"/>
  <c r="M83" i="9"/>
  <c r="M109" i="9" s="1"/>
  <c r="Q848" i="22"/>
  <c r="Q839" i="22"/>
  <c r="Q851" i="22"/>
  <c r="I244" i="9"/>
  <c r="I232" i="9"/>
  <c r="D131" i="11"/>
  <c r="D211" i="11" s="1"/>
  <c r="D185" i="11"/>
  <c r="D63" i="7"/>
  <c r="D63" i="8"/>
  <c r="D47" i="11"/>
  <c r="R86" i="9"/>
  <c r="R112" i="9" s="1"/>
  <c r="R104" i="9"/>
  <c r="E335" i="8"/>
  <c r="B415" i="8"/>
  <c r="E415" i="8" s="1"/>
  <c r="J126" i="10"/>
  <c r="H789" i="24"/>
  <c r="H943" i="22"/>
  <c r="H946" i="22"/>
  <c r="H934" i="22"/>
  <c r="L839" i="22"/>
  <c r="L851" i="22"/>
  <c r="L848" i="22"/>
  <c r="C208" i="10"/>
  <c r="C220" i="10"/>
  <c r="C217" i="10"/>
  <c r="D232" i="10"/>
  <c r="D235" i="10"/>
  <c r="C763" i="24"/>
  <c r="D86" i="11"/>
  <c r="I177" i="11"/>
  <c r="J415" i="8"/>
  <c r="F92" i="9"/>
  <c r="F98" i="9"/>
  <c r="C34" i="7"/>
  <c r="D37" i="7"/>
  <c r="D168" i="8"/>
  <c r="D604" i="8"/>
  <c r="D252" i="7"/>
  <c r="E883" i="22"/>
  <c r="H168" i="7"/>
  <c r="H37" i="8"/>
  <c r="H162" i="8"/>
  <c r="H583" i="8"/>
  <c r="H586" i="8"/>
  <c r="D92" i="9"/>
  <c r="D98" i="9"/>
  <c r="I145" i="9"/>
  <c r="I127" i="9"/>
  <c r="I153" i="9" s="1"/>
  <c r="I158" i="11"/>
  <c r="E875" i="22"/>
  <c r="E878" i="22"/>
  <c r="J77" i="11"/>
  <c r="J74" i="11"/>
  <c r="D114" i="10"/>
  <c r="D801" i="24"/>
  <c r="I292" i="10"/>
  <c r="E757" i="24"/>
  <c r="E736" i="24"/>
  <c r="E739" i="24"/>
  <c r="H414" i="8"/>
  <c r="H228" i="7"/>
  <c r="H254" i="7" s="1"/>
  <c r="H191" i="11"/>
  <c r="H119" i="11"/>
  <c r="H18" i="21"/>
  <c r="S33" i="9"/>
  <c r="S39" i="9" s="1"/>
  <c r="S1485" i="24"/>
  <c r="S1491" i="24"/>
  <c r="G133" i="9"/>
  <c r="G139" i="9"/>
  <c r="L99" i="9"/>
  <c r="B757" i="24"/>
  <c r="B736" i="24"/>
  <c r="B739" i="24"/>
  <c r="I365" i="8"/>
  <c r="H66" i="10"/>
  <c r="H63" i="10"/>
  <c r="H122" i="10"/>
  <c r="G785" i="24"/>
  <c r="G791" i="24"/>
  <c r="G55" i="9"/>
  <c r="G58" i="9"/>
  <c r="O883" i="22"/>
  <c r="O120" i="9"/>
  <c r="O126" i="9"/>
  <c r="O152" i="9" s="1"/>
  <c r="O144" i="9"/>
  <c r="B64" i="8"/>
  <c r="E264" i="8"/>
  <c r="B269" i="8"/>
  <c r="B272" i="8"/>
  <c r="B290" i="8"/>
  <c r="E290" i="8" s="1"/>
  <c r="C338" i="8"/>
  <c r="C418" i="8" s="1"/>
  <c r="C392" i="8"/>
  <c r="C202" i="11"/>
  <c r="C63" i="7"/>
  <c r="C63" i="8"/>
  <c r="C47" i="11"/>
  <c r="D749" i="24"/>
  <c r="D298" i="10" s="1"/>
  <c r="D752" i="24"/>
  <c r="H17" i="21"/>
  <c r="J208" i="10"/>
  <c r="J220" i="10"/>
  <c r="J217" i="10"/>
  <c r="J113" i="12"/>
  <c r="J131" i="12"/>
  <c r="J110" i="12"/>
  <c r="D406" i="8"/>
  <c r="D243" i="7"/>
  <c r="H135" i="12"/>
  <c r="I429" i="11"/>
  <c r="E429" i="11"/>
  <c r="F80" i="7"/>
  <c r="I75" i="11"/>
  <c r="F79" i="7"/>
  <c r="F68" i="8"/>
  <c r="I34" i="11"/>
  <c r="H38" i="7"/>
  <c r="H169" i="8"/>
  <c r="H608" i="8"/>
  <c r="J403" i="8"/>
  <c r="K128" i="11"/>
  <c r="C889" i="22"/>
  <c r="G354" i="8"/>
  <c r="G351" i="8"/>
  <c r="G372" i="8"/>
  <c r="J123" i="10"/>
  <c r="H792" i="24"/>
  <c r="E366" i="8"/>
  <c r="B69" i="8"/>
  <c r="E268" i="8"/>
  <c r="B294" i="8"/>
  <c r="E162" i="11"/>
  <c r="H405" i="8"/>
  <c r="H565" i="8"/>
  <c r="H357" i="11"/>
  <c r="H452" i="11"/>
  <c r="H179" i="12"/>
  <c r="H181" i="12" s="1"/>
  <c r="H368" i="11"/>
  <c r="J34" i="8"/>
  <c r="R55" i="9"/>
  <c r="R58" i="9"/>
  <c r="E92" i="9"/>
  <c r="E98" i="9"/>
  <c r="I430" i="11"/>
  <c r="G116" i="11"/>
  <c r="G197" i="11"/>
  <c r="H193" i="12"/>
  <c r="F137" i="26"/>
  <c r="H395" i="11"/>
  <c r="H469" i="8" s="1"/>
  <c r="F200" i="26" s="1"/>
  <c r="H382" i="11"/>
  <c r="M889" i="22"/>
  <c r="E145" i="9"/>
  <c r="E127" i="9"/>
  <c r="E153" i="9" s="1"/>
  <c r="K561" i="8"/>
  <c r="K448" i="11"/>
  <c r="K175" i="12"/>
  <c r="I1068" i="24"/>
  <c r="C354" i="8"/>
  <c r="C351" i="8"/>
  <c r="C372" i="8"/>
  <c r="B378" i="8"/>
  <c r="E378" i="8" s="1"/>
  <c r="E352" i="8"/>
  <c r="E180" i="11"/>
  <c r="D736" i="24"/>
  <c r="D739" i="24"/>
  <c r="D757" i="24"/>
  <c r="D123" i="10"/>
  <c r="D792" i="24"/>
  <c r="K114" i="10"/>
  <c r="I801" i="24"/>
  <c r="M92" i="9"/>
  <c r="M98" i="9"/>
  <c r="D296" i="8"/>
  <c r="D1116" i="24"/>
  <c r="D1107" i="24"/>
  <c r="D1119" i="24"/>
  <c r="D228" i="8"/>
  <c r="D231" i="8"/>
  <c r="D249" i="8"/>
  <c r="J108" i="9"/>
  <c r="Q33" i="9"/>
  <c r="Q39" i="9" s="1"/>
  <c r="Q1485" i="24"/>
  <c r="Q1491" i="24"/>
  <c r="I99" i="9"/>
  <c r="B253" i="7"/>
  <c r="E227" i="7"/>
  <c r="C562" i="8"/>
  <c r="C449" i="11"/>
  <c r="C176" i="12"/>
  <c r="C184" i="12" s="1"/>
  <c r="C360" i="11"/>
  <c r="C13" i="21" s="1"/>
  <c r="C365" i="11"/>
  <c r="C148" i="9"/>
  <c r="C124" i="9"/>
  <c r="E155" i="7"/>
  <c r="I169" i="7"/>
  <c r="C169" i="7"/>
  <c r="I38" i="8"/>
  <c r="I166" i="8"/>
  <c r="C38" i="8"/>
  <c r="C166" i="8"/>
  <c r="I596" i="8"/>
  <c r="I599" i="8"/>
  <c r="C596" i="8"/>
  <c r="C599" i="8"/>
  <c r="D168" i="7"/>
  <c r="D37" i="8"/>
  <c r="D162" i="8"/>
  <c r="D583" i="8"/>
  <c r="D586" i="8"/>
  <c r="C66" i="10"/>
  <c r="C63" i="10"/>
  <c r="D253" i="7"/>
  <c r="I331" i="8"/>
  <c r="F411" i="8"/>
  <c r="I411" i="8" s="1"/>
  <c r="E1116" i="24"/>
  <c r="E1107" i="24"/>
  <c r="E1119" i="24"/>
  <c r="F20" i="11"/>
  <c r="F41" i="11"/>
  <c r="I41" i="11" s="1"/>
  <c r="F23" i="11"/>
  <c r="I15" i="11"/>
  <c r="G208" i="10"/>
  <c r="G220" i="10"/>
  <c r="G217" i="10"/>
  <c r="H232" i="10"/>
  <c r="H235" i="10"/>
  <c r="J562" i="8"/>
  <c r="J360" i="11"/>
  <c r="J449" i="11"/>
  <c r="J176" i="12"/>
  <c r="H839" i="22"/>
  <c r="H851" i="22"/>
  <c r="H848" i="22"/>
  <c r="B86" i="11"/>
  <c r="E86" i="11" s="1"/>
  <c r="E60" i="11"/>
  <c r="E248" i="8"/>
  <c r="C197" i="11"/>
  <c r="C116" i="11"/>
  <c r="I155" i="7"/>
  <c r="G169" i="7"/>
  <c r="G38" i="8"/>
  <c r="G166" i="8"/>
  <c r="G596" i="8"/>
  <c r="G599" i="8"/>
  <c r="C109" i="10"/>
  <c r="C796" i="24"/>
  <c r="C772" i="24"/>
  <c r="C778" i="24"/>
  <c r="C804" i="24" s="1"/>
  <c r="F61" i="11"/>
  <c r="F82" i="11"/>
  <c r="I82" i="11" s="1"/>
  <c r="F64" i="11"/>
  <c r="I56" i="11"/>
  <c r="H156" i="8"/>
  <c r="J197" i="11"/>
  <c r="J116" i="11"/>
  <c r="J252" i="7"/>
  <c r="C114" i="10"/>
  <c r="C801" i="24"/>
  <c r="J244" i="7"/>
  <c r="H875" i="22"/>
  <c r="H878" i="22"/>
  <c r="I219" i="9"/>
  <c r="I243" i="9"/>
  <c r="I221" i="9"/>
  <c r="I247" i="9" s="1"/>
  <c r="B61" i="11"/>
  <c r="B82" i="11"/>
  <c r="E82" i="11" s="1"/>
  <c r="B64" i="11"/>
  <c r="E56" i="11"/>
  <c r="C249" i="8"/>
  <c r="C231" i="8"/>
  <c r="C228" i="8"/>
  <c r="G103" i="11"/>
  <c r="G184" i="11"/>
  <c r="G130" i="11"/>
  <c r="G193" i="12"/>
  <c r="E137" i="26"/>
  <c r="G382" i="11"/>
  <c r="G395" i="11"/>
  <c r="C554" i="8"/>
  <c r="C545" i="8"/>
  <c r="C557" i="8"/>
  <c r="B327" i="8"/>
  <c r="B399" i="8"/>
  <c r="E399" i="8" s="1"/>
  <c r="E319" i="8"/>
  <c r="B324" i="8"/>
  <c r="B565" i="8"/>
  <c r="B357" i="11"/>
  <c r="B452" i="11"/>
  <c r="E355" i="11"/>
  <c r="B179" i="12"/>
  <c r="B368" i="11"/>
  <c r="C103" i="9"/>
  <c r="C79" i="9"/>
  <c r="C85" i="9"/>
  <c r="C111" i="9" s="1"/>
  <c r="M875" i="22"/>
  <c r="M878" i="22"/>
  <c r="E305" i="7"/>
  <c r="I319" i="7"/>
  <c r="C319" i="7"/>
  <c r="C611" i="8"/>
  <c r="I611" i="8"/>
  <c r="B18" i="21"/>
  <c r="F86" i="11"/>
  <c r="I60" i="11"/>
  <c r="J203" i="11"/>
  <c r="I127" i="11"/>
  <c r="F207" i="11"/>
  <c r="H431" i="11"/>
  <c r="H428" i="11"/>
  <c r="H64" i="7"/>
  <c r="H88" i="11"/>
  <c r="F168" i="7"/>
  <c r="F162" i="8"/>
  <c r="F37" i="8"/>
  <c r="F583" i="8"/>
  <c r="F586" i="8"/>
  <c r="D25" i="10"/>
  <c r="E31" i="10"/>
  <c r="G36" i="11"/>
  <c r="G33" i="11"/>
  <c r="D230" i="7"/>
  <c r="D248" i="7"/>
  <c r="H198" i="8"/>
  <c r="F185" i="26" s="1"/>
  <c r="H470" i="8"/>
  <c r="H263" i="11"/>
  <c r="F152" i="26" s="1"/>
  <c r="H264" i="11"/>
  <c r="G407" i="22"/>
  <c r="G531" i="22"/>
  <c r="G571" i="22" s="1"/>
  <c r="G450" i="22"/>
  <c r="F100" i="26"/>
  <c r="H25" i="22"/>
  <c r="H693" i="22"/>
  <c r="F148" i="9"/>
  <c r="F124" i="9"/>
  <c r="C131" i="12"/>
  <c r="C110" i="12"/>
  <c r="C113" i="12"/>
  <c r="H318" i="7"/>
  <c r="H610" i="8"/>
  <c r="F17" i="21"/>
  <c r="J766" i="22"/>
  <c r="J757" i="22"/>
  <c r="J769" i="22"/>
  <c r="B120" i="9"/>
  <c r="B126" i="9"/>
  <c r="B144" i="9"/>
  <c r="D319" i="7"/>
  <c r="D611" i="8"/>
  <c r="C18" i="21"/>
  <c r="D84" i="7"/>
  <c r="D87" i="7" s="1"/>
  <c r="D84" i="8"/>
  <c r="D87" i="8" s="1"/>
  <c r="F241" i="7"/>
  <c r="I241" i="7" s="1"/>
  <c r="I151" i="11"/>
  <c r="F159" i="11"/>
  <c r="J69" i="8"/>
  <c r="J294" i="8"/>
  <c r="F66" i="10"/>
  <c r="F63" i="10"/>
  <c r="I58" i="10"/>
  <c r="I434" i="11"/>
  <c r="H86" i="11"/>
  <c r="J135" i="12"/>
  <c r="E97" i="10"/>
  <c r="B286" i="10"/>
  <c r="B280" i="10"/>
  <c r="B31" i="10"/>
  <c r="B25" i="10"/>
  <c r="E23" i="10"/>
  <c r="H31" i="10"/>
  <c r="E410" i="11"/>
  <c r="B418" i="11"/>
  <c r="B415" i="11"/>
  <c r="B436" i="11"/>
  <c r="E436" i="11" s="1"/>
  <c r="H92" i="9"/>
  <c r="H98" i="9"/>
  <c r="B410" i="8"/>
  <c r="E330" i="8"/>
  <c r="E32" i="10"/>
  <c r="D284" i="10"/>
  <c r="G311" i="8"/>
  <c r="G314" i="8"/>
  <c r="G386" i="8"/>
  <c r="G332" i="8"/>
  <c r="J99" i="10"/>
  <c r="J96" i="10"/>
  <c r="Q124" i="9"/>
  <c r="Q150" i="9" s="1"/>
  <c r="Q148" i="9"/>
  <c r="K133" i="9"/>
  <c r="K139" i="9"/>
  <c r="N33" i="9"/>
  <c r="N39" i="9" s="1"/>
  <c r="N1485" i="24"/>
  <c r="N1491" i="24"/>
  <c r="F36" i="9"/>
  <c r="F1489" i="24"/>
  <c r="E401" i="8"/>
  <c r="B241" i="7"/>
  <c r="E241" i="7" s="1"/>
  <c r="E151" i="11"/>
  <c r="B159" i="11"/>
  <c r="C83" i="9"/>
  <c r="C109" i="9" s="1"/>
  <c r="C107" i="9"/>
  <c r="P36" i="9"/>
  <c r="P1489" i="24"/>
  <c r="I38" i="7"/>
  <c r="E33" i="7"/>
  <c r="C38" i="7"/>
  <c r="I169" i="8"/>
  <c r="C169" i="8"/>
  <c r="C608" i="8"/>
  <c r="I608" i="8"/>
  <c r="D193" i="12"/>
  <c r="C137" i="26"/>
  <c r="D382" i="11"/>
  <c r="D395" i="11"/>
  <c r="I145" i="11"/>
  <c r="F171" i="11"/>
  <c r="I171" i="11" s="1"/>
  <c r="F33" i="9"/>
  <c r="F1485" i="24"/>
  <c r="F1491" i="24"/>
  <c r="G69" i="7"/>
  <c r="G101" i="7" s="1"/>
  <c r="G89" i="11"/>
  <c r="E211" i="7"/>
  <c r="B213" i="7"/>
  <c r="E213" i="7" s="1"/>
  <c r="H237" i="7"/>
  <c r="H164" i="11"/>
  <c r="H146" i="11"/>
  <c r="E438" i="11"/>
  <c r="F116" i="11"/>
  <c r="F197" i="11"/>
  <c r="I117" i="11"/>
  <c r="I226" i="7"/>
  <c r="F252" i="7"/>
  <c r="F202" i="7"/>
  <c r="I194" i="7"/>
  <c r="J64" i="8"/>
  <c r="J269" i="8"/>
  <c r="J272" i="8"/>
  <c r="J290" i="8"/>
  <c r="H144" i="9"/>
  <c r="H120" i="9"/>
  <c r="H126" i="9"/>
  <c r="H152" i="9" s="1"/>
  <c r="M33" i="9"/>
  <c r="M39" i="9" s="1"/>
  <c r="M1485" i="24"/>
  <c r="M1491" i="24"/>
  <c r="E193" i="11"/>
  <c r="F123" i="10"/>
  <c r="E792" i="24"/>
  <c r="G202" i="7"/>
  <c r="K883" i="22"/>
  <c r="K120" i="9"/>
  <c r="K126" i="9"/>
  <c r="K144" i="9"/>
  <c r="F378" i="8"/>
  <c r="I378" i="8" s="1"/>
  <c r="I352" i="8"/>
  <c r="J38" i="7"/>
  <c r="J169" i="8"/>
  <c r="J608" i="8"/>
  <c r="B133" i="9"/>
  <c r="B139" i="9"/>
  <c r="C69" i="7"/>
  <c r="C101" i="7" s="1"/>
  <c r="C89" i="11"/>
  <c r="H392" i="8"/>
  <c r="H338" i="8"/>
  <c r="H418" i="8" s="1"/>
  <c r="F318" i="7"/>
  <c r="F610" i="8"/>
  <c r="D17" i="21"/>
  <c r="D19" i="21" s="1"/>
  <c r="G237" i="7"/>
  <c r="G164" i="11"/>
  <c r="G146" i="11"/>
  <c r="K92" i="9"/>
  <c r="K98" i="9"/>
  <c r="N92" i="9"/>
  <c r="N98" i="9"/>
  <c r="D410" i="8"/>
  <c r="D64" i="7"/>
  <c r="D88" i="11"/>
  <c r="H319" i="7"/>
  <c r="H611" i="8"/>
  <c r="F18" i="21"/>
  <c r="B390" i="8"/>
  <c r="B336" i="8"/>
  <c r="E310" i="8"/>
  <c r="B197" i="11"/>
  <c r="B116" i="11"/>
  <c r="E117" i="11"/>
  <c r="C253" i="7"/>
  <c r="Q862" i="22"/>
  <c r="Q865" i="22"/>
  <c r="Q799" i="22"/>
  <c r="Q811" i="22"/>
  <c r="Q808" i="22"/>
  <c r="D875" i="22"/>
  <c r="D878" i="22"/>
  <c r="J390" i="8"/>
  <c r="J336" i="8"/>
  <c r="F193" i="12"/>
  <c r="I193" i="12" s="1"/>
  <c r="I369" i="11"/>
  <c r="D137" i="26"/>
  <c r="F382" i="11"/>
  <c r="F395" i="11"/>
  <c r="I566" i="8"/>
  <c r="D208" i="26"/>
  <c r="I107" i="9"/>
  <c r="I83" i="9"/>
  <c r="I109" i="9" s="1"/>
  <c r="B36" i="9"/>
  <c r="B1489" i="24"/>
  <c r="O839" i="22"/>
  <c r="O851" i="22"/>
  <c r="O848" i="22"/>
  <c r="F34" i="7"/>
  <c r="I32" i="7"/>
  <c r="G37" i="7"/>
  <c r="G168" i="8"/>
  <c r="G604" i="8"/>
  <c r="F137" i="12"/>
  <c r="I137" i="12" s="1"/>
  <c r="I111" i="12"/>
  <c r="M766" i="22"/>
  <c r="M757" i="22"/>
  <c r="M769" i="22"/>
  <c r="I259" i="10"/>
  <c r="E218" i="10"/>
  <c r="C259" i="10"/>
  <c r="E212" i="10"/>
  <c r="I253" i="10"/>
  <c r="C253" i="10"/>
  <c r="E129" i="12"/>
  <c r="I366" i="8"/>
  <c r="K327" i="8"/>
  <c r="K324" i="8"/>
  <c r="R878" i="22"/>
  <c r="R875" i="22"/>
  <c r="P133" i="9"/>
  <c r="P139" i="9"/>
  <c r="E385" i="8"/>
  <c r="E176" i="11"/>
  <c r="B224" i="7"/>
  <c r="B106" i="11"/>
  <c r="E98" i="11"/>
  <c r="B178" i="11"/>
  <c r="E178" i="11" s="1"/>
  <c r="B124" i="11"/>
  <c r="B63" i="7"/>
  <c r="B63" i="8"/>
  <c r="E21" i="11"/>
  <c r="B47" i="11"/>
  <c r="C209" i="7"/>
  <c r="C215" i="7"/>
  <c r="I271" i="10"/>
  <c r="G393" i="8"/>
  <c r="G339" i="8"/>
  <c r="G419" i="8" s="1"/>
  <c r="G255" i="8"/>
  <c r="J306" i="7"/>
  <c r="J303" i="7"/>
  <c r="M133" i="9"/>
  <c r="M139" i="9"/>
  <c r="Q92" i="9"/>
  <c r="Q98" i="9"/>
  <c r="D74" i="11"/>
  <c r="D77" i="11"/>
  <c r="G198" i="8"/>
  <c r="E185" i="26" s="1"/>
  <c r="G470" i="8"/>
  <c r="G264" i="11"/>
  <c r="F407" i="22"/>
  <c r="F531" i="22"/>
  <c r="F571" i="22" s="1"/>
  <c r="F450" i="22"/>
  <c r="E100" i="26"/>
  <c r="G25" i="22"/>
  <c r="G693" i="22"/>
  <c r="J378" i="8"/>
  <c r="J69" i="7"/>
  <c r="J89" i="11"/>
  <c r="K33" i="9"/>
  <c r="K39" i="9" s="1"/>
  <c r="K1485" i="24"/>
  <c r="K1491" i="24"/>
  <c r="E453" i="11"/>
  <c r="B148" i="12"/>
  <c r="A222" i="26"/>
  <c r="B83" i="9"/>
  <c r="B109" i="9" s="1"/>
  <c r="B107" i="9"/>
  <c r="C148" i="12"/>
  <c r="B222" i="26"/>
  <c r="I148" i="8"/>
  <c r="F156" i="8"/>
  <c r="N103" i="9"/>
  <c r="N79" i="9"/>
  <c r="N85" i="9"/>
  <c r="N111" i="9" s="1"/>
  <c r="F237" i="7"/>
  <c r="F146" i="11"/>
  <c r="F164" i="11"/>
  <c r="I138" i="11"/>
  <c r="I227" i="8"/>
  <c r="F253" i="8"/>
  <c r="I253" i="8" s="1"/>
  <c r="G428" i="11"/>
  <c r="G431" i="11"/>
  <c r="J241" i="7"/>
  <c r="J159" i="11"/>
  <c r="P107" i="9"/>
  <c r="P83" i="9"/>
  <c r="P109" i="9" s="1"/>
  <c r="B86" i="9"/>
  <c r="B112" i="9" s="1"/>
  <c r="B104" i="9"/>
  <c r="G68" i="7"/>
  <c r="G79" i="8"/>
  <c r="G48" i="11"/>
  <c r="L144" i="9"/>
  <c r="L120" i="9"/>
  <c r="L126" i="9"/>
  <c r="L152" i="9" s="1"/>
  <c r="E227" i="8"/>
  <c r="B253" i="8"/>
  <c r="E253" i="8" s="1"/>
  <c r="D554" i="8"/>
  <c r="D545" i="8"/>
  <c r="D557" i="8"/>
  <c r="G84" i="7"/>
  <c r="G87" i="7" s="1"/>
  <c r="G263" i="11" s="1"/>
  <c r="E152" i="26" s="1"/>
  <c r="G84" i="8"/>
  <c r="G87" i="8" s="1"/>
  <c r="H69" i="8"/>
  <c r="H101" i="8" s="1"/>
  <c r="H294" i="8"/>
  <c r="H33" i="11"/>
  <c r="H36" i="11"/>
  <c r="N133" i="9"/>
  <c r="N139" i="9"/>
  <c r="E98" i="10"/>
  <c r="B287" i="10"/>
  <c r="E133" i="12"/>
  <c r="I389" i="8"/>
  <c r="J561" i="8"/>
  <c r="J359" i="11"/>
  <c r="J353" i="11"/>
  <c r="J448" i="11"/>
  <c r="J175" i="12"/>
  <c r="O92" i="9"/>
  <c r="O98" i="9"/>
  <c r="B376" i="8"/>
  <c r="E376" i="8" s="1"/>
  <c r="E350" i="8"/>
  <c r="G562" i="8"/>
  <c r="G449" i="11"/>
  <c r="G176" i="12"/>
  <c r="G184" i="12" s="1"/>
  <c r="G360" i="11"/>
  <c r="F13" i="21" s="1"/>
  <c r="G365" i="11"/>
  <c r="G148" i="9"/>
  <c r="G124" i="9"/>
  <c r="K889" i="22"/>
  <c r="M862" i="22"/>
  <c r="M865" i="22"/>
  <c r="M799" i="22"/>
  <c r="M811" i="22"/>
  <c r="M808" i="22"/>
  <c r="F379" i="8"/>
  <c r="I379" i="8" s="1"/>
  <c r="I353" i="8"/>
  <c r="J245" i="10"/>
  <c r="J248" i="10"/>
  <c r="H195" i="7"/>
  <c r="H201" i="7"/>
  <c r="E127" i="11"/>
  <c r="B207" i="11"/>
  <c r="E207" i="11" s="1"/>
  <c r="C79" i="7"/>
  <c r="C68" i="8"/>
  <c r="D217" i="10"/>
  <c r="F232" i="10"/>
  <c r="F235" i="10"/>
  <c r="D208" i="10"/>
  <c r="D220" i="10"/>
  <c r="D110" i="12"/>
  <c r="D131" i="12"/>
  <c r="D113" i="12"/>
  <c r="G327" i="8"/>
  <c r="G399" i="8"/>
  <c r="G324" i="8"/>
  <c r="H128" i="11"/>
  <c r="H182" i="11"/>
  <c r="M108" i="9"/>
  <c r="Q133" i="9"/>
  <c r="Q139" i="9"/>
  <c r="K280" i="8"/>
  <c r="K361" i="8"/>
  <c r="K362" i="8"/>
  <c r="K72" i="11"/>
  <c r="K153" i="11"/>
  <c r="K154" i="11"/>
  <c r="I1102" i="24"/>
  <c r="K356" i="11" s="1"/>
  <c r="I1114" i="24"/>
  <c r="R36" i="9"/>
  <c r="R1489" i="24"/>
  <c r="D411" i="8"/>
  <c r="R103" i="9"/>
  <c r="R79" i="9"/>
  <c r="R85" i="9"/>
  <c r="R111" i="9" s="1"/>
  <c r="I112" i="12"/>
  <c r="F138" i="12"/>
  <c r="J198" i="8"/>
  <c r="J470" i="8"/>
  <c r="J264" i="11"/>
  <c r="H450" i="22"/>
  <c r="H407" i="22"/>
  <c r="H531" i="22"/>
  <c r="H571" i="22" s="1"/>
  <c r="G100" i="26"/>
  <c r="I25" i="22"/>
  <c r="I693" i="22"/>
  <c r="E541" i="8"/>
  <c r="E544" i="8"/>
  <c r="C739" i="24"/>
  <c r="C757" i="24"/>
  <c r="C300" i="10" s="1"/>
  <c r="C736" i="24"/>
  <c r="D216" i="7"/>
  <c r="I288" i="8"/>
  <c r="I123" i="11"/>
  <c r="F203" i="11"/>
  <c r="I203" i="11" s="1"/>
  <c r="F249" i="7"/>
  <c r="I249" i="7" s="1"/>
  <c r="I223" i="7"/>
  <c r="F231" i="7"/>
  <c r="I223" i="8"/>
  <c r="F231" i="8"/>
  <c r="F228" i="8"/>
  <c r="F249" i="8"/>
  <c r="I249" i="8" s="1"/>
  <c r="B92" i="9"/>
  <c r="B98" i="9"/>
  <c r="E144" i="9"/>
  <c r="E120" i="9"/>
  <c r="E126" i="9"/>
  <c r="E152" i="9" s="1"/>
  <c r="F410" i="8"/>
  <c r="I410" i="8" s="1"/>
  <c r="I330" i="8"/>
  <c r="I240" i="7"/>
  <c r="J213" i="7"/>
  <c r="R145" i="9"/>
  <c r="R127" i="9"/>
  <c r="R153" i="9" s="1"/>
  <c r="B878" i="22"/>
  <c r="B875" i="22"/>
  <c r="D126" i="10"/>
  <c r="D789" i="24"/>
  <c r="H116" i="11"/>
  <c r="H197" i="11"/>
  <c r="G839" i="22"/>
  <c r="G851" i="22"/>
  <c r="G848" i="22"/>
  <c r="H306" i="7"/>
  <c r="J312" i="7"/>
  <c r="H303" i="7"/>
  <c r="H25" i="10"/>
  <c r="I31" i="10"/>
  <c r="G33" i="9"/>
  <c r="G1485" i="24"/>
  <c r="H123" i="10"/>
  <c r="G792" i="24"/>
  <c r="G14" i="9"/>
  <c r="E223" i="8"/>
  <c r="B231" i="8"/>
  <c r="B228" i="8"/>
  <c r="B249" i="8"/>
  <c r="B887" i="22"/>
  <c r="F245" i="10"/>
  <c r="F248" i="10"/>
  <c r="I293" i="10"/>
  <c r="E761" i="24"/>
  <c r="G185" i="11"/>
  <c r="G131" i="11"/>
  <c r="G211" i="11" s="1"/>
  <c r="J156" i="7"/>
  <c r="J153" i="7"/>
  <c r="E134" i="12"/>
  <c r="D237" i="7"/>
  <c r="D164" i="11"/>
  <c r="D146" i="11"/>
  <c r="D33" i="11"/>
  <c r="D36" i="11"/>
  <c r="I194" i="11"/>
  <c r="J257" i="10"/>
  <c r="J379" i="8"/>
  <c r="I555" i="8"/>
  <c r="B34" i="8"/>
  <c r="E34" i="8" s="1"/>
  <c r="E32" i="8"/>
  <c r="D38" i="7"/>
  <c r="D169" i="8"/>
  <c r="D608" i="8"/>
  <c r="H138" i="12"/>
  <c r="G208" i="26"/>
  <c r="J912" i="22"/>
  <c r="J918" i="22"/>
  <c r="O96" i="9"/>
  <c r="J109" i="10"/>
  <c r="H796" i="24"/>
  <c r="H772" i="24"/>
  <c r="H778" i="24"/>
  <c r="H804" i="24" s="1"/>
  <c r="H55" i="9"/>
  <c r="H58" i="9"/>
  <c r="G808" i="22"/>
  <c r="G799" i="22"/>
  <c r="G811" i="22"/>
  <c r="G865" i="22"/>
  <c r="G862" i="22"/>
  <c r="B237" i="7"/>
  <c r="B146" i="11"/>
  <c r="B164" i="11"/>
  <c r="E138" i="11"/>
  <c r="B36" i="11"/>
  <c r="B33" i="11"/>
  <c r="E28" i="11"/>
  <c r="H324" i="8"/>
  <c r="H327" i="8"/>
  <c r="H399" i="8"/>
  <c r="J153" i="8"/>
  <c r="R33" i="9"/>
  <c r="R39" i="9" s="1"/>
  <c r="R1485" i="24"/>
  <c r="R1491" i="24"/>
  <c r="R14" i="9"/>
  <c r="E293" i="10"/>
  <c r="B761" i="24"/>
  <c r="D206" i="11"/>
  <c r="I190" i="11"/>
  <c r="F562" i="8"/>
  <c r="I352" i="11"/>
  <c r="F360" i="11"/>
  <c r="F449" i="11"/>
  <c r="F176" i="12"/>
  <c r="F365" i="11"/>
  <c r="J215" i="7"/>
  <c r="J209" i="7"/>
  <c r="G252" i="7"/>
  <c r="S127" i="9"/>
  <c r="S153" i="9" s="1"/>
  <c r="S145" i="9"/>
  <c r="F848" i="22"/>
  <c r="F839" i="22"/>
  <c r="F851" i="22"/>
  <c r="I81" i="11"/>
  <c r="L55" i="9"/>
  <c r="L58" i="9"/>
  <c r="D133" i="9"/>
  <c r="D139" i="9"/>
  <c r="R848" i="22"/>
  <c r="R839" i="22"/>
  <c r="R851" i="22"/>
  <c r="D764" i="24"/>
  <c r="H202" i="11"/>
  <c r="E236" i="8"/>
  <c r="B244" i="8"/>
  <c r="B241" i="8"/>
  <c r="C405" i="8"/>
  <c r="C565" i="8"/>
  <c r="C357" i="11"/>
  <c r="C452" i="11"/>
  <c r="C179" i="12"/>
  <c r="C181" i="12" s="1"/>
  <c r="C368" i="11"/>
  <c r="D109" i="10"/>
  <c r="D796" i="24"/>
  <c r="D772" i="24"/>
  <c r="D778" i="24"/>
  <c r="D804" i="24" s="1"/>
  <c r="D55" i="9"/>
  <c r="D58" i="9"/>
  <c r="H372" i="8"/>
  <c r="H354" i="8"/>
  <c r="H351" i="8"/>
  <c r="K126" i="10"/>
  <c r="I789" i="24"/>
  <c r="D255" i="8"/>
  <c r="I124" i="9"/>
  <c r="I150" i="9" s="1"/>
  <c r="I148" i="9"/>
  <c r="R889" i="22"/>
  <c r="I92" i="9"/>
  <c r="I98" i="9"/>
  <c r="S103" i="9"/>
  <c r="S79" i="9"/>
  <c r="S85" i="9"/>
  <c r="S111" i="9" s="1"/>
  <c r="C280" i="10"/>
  <c r="C31" i="10"/>
  <c r="C25" i="10"/>
  <c r="D169" i="7"/>
  <c r="D38" i="8"/>
  <c r="D166" i="8"/>
  <c r="D596" i="8"/>
  <c r="D599" i="8"/>
  <c r="I313" i="8"/>
  <c r="F339" i="8"/>
  <c r="F393" i="8"/>
  <c r="I393" i="8" s="1"/>
  <c r="F63" i="7"/>
  <c r="F63" i="8"/>
  <c r="I21" i="11"/>
  <c r="F47" i="11"/>
  <c r="I47" i="11" s="1"/>
  <c r="F763" i="24"/>
  <c r="J198" i="11"/>
  <c r="D865" i="22"/>
  <c r="D808" i="22"/>
  <c r="D862" i="22"/>
  <c r="D799" i="22"/>
  <c r="D811" i="22"/>
  <c r="B256" i="8"/>
  <c r="E256" i="8" s="1"/>
  <c r="E230" i="8"/>
  <c r="C252" i="7"/>
  <c r="C110" i="10"/>
  <c r="C779" i="24"/>
  <c r="C805" i="24" s="1"/>
  <c r="C797" i="24"/>
  <c r="D45" i="11"/>
  <c r="F64" i="7"/>
  <c r="I62" i="11"/>
  <c r="F88" i="11"/>
  <c r="G66" i="10"/>
  <c r="G63" i="10"/>
  <c r="H34" i="8"/>
  <c r="J216" i="7"/>
  <c r="J228" i="7"/>
  <c r="J119" i="11"/>
  <c r="J191" i="11"/>
  <c r="J883" i="22"/>
  <c r="J120" i="9"/>
  <c r="J126" i="9"/>
  <c r="J152" i="9" s="1"/>
  <c r="J144" i="9"/>
  <c r="H19" i="21" l="1"/>
  <c r="E249" i="8"/>
  <c r="E47" i="11"/>
  <c r="E390" i="8"/>
  <c r="G412" i="8"/>
  <c r="I207" i="11"/>
  <c r="E294" i="8"/>
  <c r="I244" i="7"/>
  <c r="I199" i="7"/>
  <c r="F39" i="9"/>
  <c r="E197" i="11"/>
  <c r="K152" i="9"/>
  <c r="G210" i="11"/>
  <c r="I148" i="12"/>
  <c r="G469" i="8"/>
  <c r="E200" i="26" s="1"/>
  <c r="I197" i="11"/>
  <c r="D263" i="11"/>
  <c r="C152" i="26" s="1"/>
  <c r="L112" i="9"/>
  <c r="B152" i="9"/>
  <c r="E292" i="10"/>
  <c r="C469" i="8"/>
  <c r="B200" i="26" s="1"/>
  <c r="C263" i="11"/>
  <c r="B152" i="26" s="1"/>
  <c r="S22" i="9"/>
  <c r="S24" i="9" s="1"/>
  <c r="S84" i="9"/>
  <c r="S87" i="9"/>
  <c r="S105" i="9"/>
  <c r="C567" i="8"/>
  <c r="B209" i="26" s="1"/>
  <c r="B207" i="26"/>
  <c r="I449" i="11"/>
  <c r="F457" i="11"/>
  <c r="F144" i="12"/>
  <c r="D219" i="26"/>
  <c r="G879" i="22"/>
  <c r="G891" i="22"/>
  <c r="G888" i="22"/>
  <c r="G852" i="22"/>
  <c r="H199" i="11"/>
  <c r="H196" i="11"/>
  <c r="C294" i="10"/>
  <c r="C753" i="24"/>
  <c r="C765" i="24"/>
  <c r="C762" i="24"/>
  <c r="D879" i="22"/>
  <c r="D891" i="22"/>
  <c r="D852" i="22"/>
  <c r="D888" i="22"/>
  <c r="I360" i="11"/>
  <c r="E13" i="21"/>
  <c r="H777" i="24"/>
  <c r="H780" i="24"/>
  <c r="H798" i="24"/>
  <c r="J286" i="10" s="1"/>
  <c r="D81" i="7"/>
  <c r="D91" i="7" s="1"/>
  <c r="D70" i="8"/>
  <c r="D102" i="8" s="1"/>
  <c r="F257" i="7"/>
  <c r="I231" i="7"/>
  <c r="K194" i="11"/>
  <c r="K240" i="7"/>
  <c r="K158" i="11"/>
  <c r="H12" i="21"/>
  <c r="N28" i="9"/>
  <c r="N138" i="9"/>
  <c r="N141" i="9"/>
  <c r="F81" i="7"/>
  <c r="F70" i="8"/>
  <c r="F71" i="8" s="1"/>
  <c r="I164" i="11"/>
  <c r="N87" i="9"/>
  <c r="N105" i="9"/>
  <c r="N22" i="9"/>
  <c r="N84" i="9"/>
  <c r="K1490" i="24"/>
  <c r="K1493" i="24"/>
  <c r="B95" i="8"/>
  <c r="B73" i="8"/>
  <c r="E63" i="8"/>
  <c r="J416" i="8"/>
  <c r="G81" i="7"/>
  <c r="G91" i="7" s="1"/>
  <c r="G70" i="8"/>
  <c r="G102" i="8" s="1"/>
  <c r="I119" i="11"/>
  <c r="I116" i="11"/>
  <c r="F199" i="11"/>
  <c r="F196" i="11"/>
  <c r="H242" i="7"/>
  <c r="H245" i="7"/>
  <c r="D206" i="12"/>
  <c r="C215" i="26"/>
  <c r="N1490" i="24"/>
  <c r="N1493" i="24"/>
  <c r="J101" i="8"/>
  <c r="I88" i="11"/>
  <c r="F95" i="8"/>
  <c r="F73" i="8"/>
  <c r="I63" i="8"/>
  <c r="C454" i="11"/>
  <c r="B223" i="26" s="1"/>
  <c r="C147" i="12"/>
  <c r="C149" i="12" s="1"/>
  <c r="B221" i="26"/>
  <c r="E241" i="8"/>
  <c r="E244" i="8"/>
  <c r="J217" i="7"/>
  <c r="J214" i="7"/>
  <c r="F189" i="12"/>
  <c r="I365" i="11"/>
  <c r="F373" i="11"/>
  <c r="D134" i="26"/>
  <c r="F378" i="11"/>
  <c r="F391" i="11"/>
  <c r="B301" i="10"/>
  <c r="B81" i="7"/>
  <c r="B70" i="8"/>
  <c r="E164" i="11"/>
  <c r="D242" i="7"/>
  <c r="D245" i="7"/>
  <c r="H53" i="7"/>
  <c r="H197" i="8"/>
  <c r="H467" i="8"/>
  <c r="H47" i="10"/>
  <c r="H131" i="10"/>
  <c r="H254" i="11"/>
  <c r="G527" i="22"/>
  <c r="G446" i="22"/>
  <c r="G403" i="22"/>
  <c r="G411" i="22" s="1"/>
  <c r="F97" i="26"/>
  <c r="H689" i="22"/>
  <c r="H697" i="22" s="1"/>
  <c r="H21" i="22"/>
  <c r="H29" i="22" s="1"/>
  <c r="D184" i="7"/>
  <c r="D185" i="8"/>
  <c r="D439" i="8"/>
  <c r="D80" i="10"/>
  <c r="D128" i="10"/>
  <c r="F154" i="10" s="1"/>
  <c r="D261" i="11"/>
  <c r="D530" i="22"/>
  <c r="D449" i="22"/>
  <c r="D406" i="22"/>
  <c r="D408" i="22" s="1"/>
  <c r="C99" i="26"/>
  <c r="E692" i="22"/>
  <c r="E694" i="22" s="1"/>
  <c r="E24" i="22"/>
  <c r="E26" i="22" s="1"/>
  <c r="I231" i="8"/>
  <c r="F254" i="8"/>
  <c r="I228" i="8"/>
  <c r="F245" i="8"/>
  <c r="F257" i="8"/>
  <c r="H490" i="22"/>
  <c r="H652" i="22" s="1"/>
  <c r="H612" i="22"/>
  <c r="G185" i="26"/>
  <c r="R87" i="9"/>
  <c r="R105" i="9"/>
  <c r="R22" i="9"/>
  <c r="R84" i="9"/>
  <c r="K155" i="11"/>
  <c r="K193" i="11"/>
  <c r="K239" i="7"/>
  <c r="K157" i="11"/>
  <c r="K284" i="8"/>
  <c r="K293" i="8"/>
  <c r="G373" i="11"/>
  <c r="G189" i="12"/>
  <c r="G197" i="12" s="1"/>
  <c r="E134" i="26"/>
  <c r="G378" i="11"/>
  <c r="G391" i="11"/>
  <c r="G570" i="8"/>
  <c r="E205" i="26"/>
  <c r="O97" i="9"/>
  <c r="O100" i="9"/>
  <c r="O23" i="9"/>
  <c r="J569" i="8"/>
  <c r="J563" i="8"/>
  <c r="G204" i="26"/>
  <c r="L128" i="9"/>
  <c r="L146" i="9"/>
  <c r="L27" i="9"/>
  <c r="L125" i="9"/>
  <c r="G89" i="8"/>
  <c r="E148" i="12"/>
  <c r="Q100" i="9"/>
  <c r="Q23" i="9"/>
  <c r="Q97" i="9"/>
  <c r="C214" i="7"/>
  <c r="C217" i="7"/>
  <c r="B95" i="7"/>
  <c r="E63" i="7"/>
  <c r="B73" i="7"/>
  <c r="D74" i="7"/>
  <c r="D96" i="7"/>
  <c r="G245" i="7"/>
  <c r="G242" i="7"/>
  <c r="K146" i="9"/>
  <c r="K27" i="9"/>
  <c r="K125" i="9"/>
  <c r="K128" i="9"/>
  <c r="F53" i="7"/>
  <c r="F197" i="8"/>
  <c r="F467" i="8"/>
  <c r="I467" i="8"/>
  <c r="F131" i="10"/>
  <c r="F47" i="10"/>
  <c r="I123" i="10"/>
  <c r="I254" i="11"/>
  <c r="F254" i="11"/>
  <c r="E403" i="22"/>
  <c r="E411" i="22" s="1"/>
  <c r="E527" i="22"/>
  <c r="E446" i="22"/>
  <c r="D97" i="26"/>
  <c r="F689" i="22"/>
  <c r="F697" i="22" s="1"/>
  <c r="F21" i="22"/>
  <c r="F29" i="22" s="1"/>
  <c r="J96" i="8"/>
  <c r="J74" i="8"/>
  <c r="G337" i="8"/>
  <c r="G394" i="8"/>
  <c r="G391" i="8"/>
  <c r="G328" i="8"/>
  <c r="G340" i="8"/>
  <c r="B146" i="9"/>
  <c r="B27" i="9"/>
  <c r="B125" i="9"/>
  <c r="B128" i="9"/>
  <c r="B1469" i="24"/>
  <c r="F19" i="21"/>
  <c r="C127" i="12"/>
  <c r="C139" i="12"/>
  <c r="C136" i="12"/>
  <c r="D256" i="7"/>
  <c r="H74" i="7"/>
  <c r="H96" i="7"/>
  <c r="C22" i="9"/>
  <c r="C84" i="9"/>
  <c r="C87" i="9"/>
  <c r="C105" i="9"/>
  <c r="E327" i="8"/>
  <c r="E324" i="8"/>
  <c r="B407" i="8"/>
  <c r="B404" i="8"/>
  <c r="G206" i="12"/>
  <c r="E215" i="26"/>
  <c r="I245" i="9"/>
  <c r="I223" i="9"/>
  <c r="I220" i="9"/>
  <c r="F78" i="11"/>
  <c r="I61" i="11"/>
  <c r="F87" i="11"/>
  <c r="F90" i="11"/>
  <c r="I64" i="11"/>
  <c r="C48" i="7"/>
  <c r="C179" i="7"/>
  <c r="C180" i="8"/>
  <c r="C426" i="8"/>
  <c r="C111" i="10"/>
  <c r="C135" i="10"/>
  <c r="C42" i="10"/>
  <c r="C75" i="10"/>
  <c r="C117" i="10"/>
  <c r="C220" i="11"/>
  <c r="C513" i="22"/>
  <c r="C432" i="22"/>
  <c r="C389" i="22"/>
  <c r="B89" i="26"/>
  <c r="D7" i="22"/>
  <c r="D675" i="22"/>
  <c r="C196" i="11"/>
  <c r="C199" i="11"/>
  <c r="H13" i="21"/>
  <c r="C150" i="9"/>
  <c r="C1470" i="24"/>
  <c r="C1478" i="24" s="1"/>
  <c r="E253" i="7"/>
  <c r="E69" i="8"/>
  <c r="B101" i="8"/>
  <c r="E101" i="8" s="1"/>
  <c r="I68" i="8"/>
  <c r="F100" i="8"/>
  <c r="C95" i="7"/>
  <c r="C73" i="7"/>
  <c r="E64" i="8"/>
  <c r="B96" i="8"/>
  <c r="B74" i="8"/>
  <c r="G790" i="24"/>
  <c r="G793" i="24"/>
  <c r="D23" i="9"/>
  <c r="D97" i="9"/>
  <c r="D100" i="9"/>
  <c r="D73" i="8"/>
  <c r="D95" i="8"/>
  <c r="E68" i="7"/>
  <c r="B100" i="7"/>
  <c r="K461" i="24"/>
  <c r="K315" i="9"/>
  <c r="J787" i="24"/>
  <c r="E202" i="11"/>
  <c r="O141" i="9"/>
  <c r="O28" i="9"/>
  <c r="O138" i="9"/>
  <c r="H328" i="8"/>
  <c r="H340" i="8"/>
  <c r="H337" i="8"/>
  <c r="H394" i="8"/>
  <c r="H391" i="8"/>
  <c r="F70" i="7"/>
  <c r="F81" i="8"/>
  <c r="I128" i="11"/>
  <c r="F208" i="11"/>
  <c r="K879" i="22"/>
  <c r="K891" i="22"/>
  <c r="K888" i="22"/>
  <c r="K852" i="22"/>
  <c r="F52" i="7"/>
  <c r="F183" i="7"/>
  <c r="F184" i="8"/>
  <c r="I436" i="8"/>
  <c r="F436" i="8"/>
  <c r="F46" i="10"/>
  <c r="F79" i="10"/>
  <c r="F124" i="10"/>
  <c r="I122" i="10"/>
  <c r="F130" i="10"/>
  <c r="F251" i="11"/>
  <c r="I251" i="11"/>
  <c r="E445" i="22"/>
  <c r="E402" i="22"/>
  <c r="E526" i="22"/>
  <c r="D96" i="26"/>
  <c r="F20" i="22"/>
  <c r="F688" i="22"/>
  <c r="G49" i="7"/>
  <c r="G193" i="8"/>
  <c r="G457" i="8"/>
  <c r="G118" i="10"/>
  <c r="G136" i="10"/>
  <c r="G43" i="10"/>
  <c r="G223" i="11"/>
  <c r="F390" i="22"/>
  <c r="F514" i="22"/>
  <c r="F433" i="22"/>
  <c r="E90" i="26"/>
  <c r="G676" i="22"/>
  <c r="G8" i="22"/>
  <c r="C366" i="11"/>
  <c r="C188" i="12"/>
  <c r="C372" i="11"/>
  <c r="B133" i="26"/>
  <c r="C377" i="11"/>
  <c r="C390" i="11"/>
  <c r="C14" i="21"/>
  <c r="I84" i="7"/>
  <c r="I230" i="7"/>
  <c r="F256" i="7"/>
  <c r="I256" i="7" s="1"/>
  <c r="D210" i="11"/>
  <c r="L150" i="8"/>
  <c r="L542" i="8"/>
  <c r="M534" i="8"/>
  <c r="G71" i="8"/>
  <c r="G103" i="8" s="1"/>
  <c r="G100" i="8"/>
  <c r="I368" i="11"/>
  <c r="F370" i="11"/>
  <c r="F192" i="12"/>
  <c r="D136" i="26"/>
  <c r="F381" i="11"/>
  <c r="F394" i="11"/>
  <c r="I357" i="11"/>
  <c r="K208" i="7"/>
  <c r="K60" i="11"/>
  <c r="K84" i="11"/>
  <c r="K62" i="11"/>
  <c r="K310" i="8"/>
  <c r="K334" i="8"/>
  <c r="K388" i="8"/>
  <c r="K312" i="8"/>
  <c r="D52" i="7"/>
  <c r="D183" i="7"/>
  <c r="D184" i="8"/>
  <c r="D436" i="8"/>
  <c r="D130" i="10"/>
  <c r="D46" i="10"/>
  <c r="D79" i="10"/>
  <c r="D124" i="10"/>
  <c r="D251" i="11"/>
  <c r="D402" i="22"/>
  <c r="D526" i="22"/>
  <c r="D445" i="22"/>
  <c r="C96" i="26"/>
  <c r="E20" i="22"/>
  <c r="E688" i="22"/>
  <c r="E372" i="8"/>
  <c r="H563" i="8"/>
  <c r="H569" i="8"/>
  <c r="F204" i="26"/>
  <c r="B86" i="7"/>
  <c r="E86" i="7" s="1"/>
  <c r="B86" i="8"/>
  <c r="E86" i="8" s="1"/>
  <c r="E168" i="11"/>
  <c r="J49" i="7"/>
  <c r="J193" i="8"/>
  <c r="J136" i="10"/>
  <c r="J43" i="10"/>
  <c r="J118" i="10"/>
  <c r="H514" i="22"/>
  <c r="H433" i="22"/>
  <c r="H390" i="22"/>
  <c r="G90" i="26"/>
  <c r="I676" i="22"/>
  <c r="I8" i="22"/>
  <c r="D160" i="11"/>
  <c r="D172" i="11"/>
  <c r="D169" i="11"/>
  <c r="C65" i="7"/>
  <c r="C66" i="7" s="1"/>
  <c r="C65" i="8"/>
  <c r="C204" i="11"/>
  <c r="O879" i="22"/>
  <c r="O891" i="22"/>
  <c r="O888" i="22"/>
  <c r="O852" i="22"/>
  <c r="D802" i="24"/>
  <c r="F394" i="8"/>
  <c r="I311" i="8"/>
  <c r="F391" i="8"/>
  <c r="I314" i="8"/>
  <c r="F328" i="8"/>
  <c r="F340" i="8"/>
  <c r="F337" i="8"/>
  <c r="E852" i="22"/>
  <c r="E888" i="22"/>
  <c r="E879" i="22"/>
  <c r="E891" i="22"/>
  <c r="D199" i="11"/>
  <c r="D196" i="11"/>
  <c r="E360" i="11"/>
  <c r="B13" i="21"/>
  <c r="R852" i="22"/>
  <c r="R888" i="22"/>
  <c r="R879" i="22"/>
  <c r="R891" i="22"/>
  <c r="C81" i="7"/>
  <c r="C91" i="7" s="1"/>
  <c r="C70" i="8"/>
  <c r="C102" i="8" s="1"/>
  <c r="G97" i="9"/>
  <c r="G100" i="9"/>
  <c r="G23" i="9"/>
  <c r="M27" i="9"/>
  <c r="M125" i="9"/>
  <c r="M128" i="9"/>
  <c r="M146" i="9"/>
  <c r="L147" i="7"/>
  <c r="N589" i="8"/>
  <c r="L193" i="10"/>
  <c r="N226" i="10"/>
  <c r="L57" i="10"/>
  <c r="L409" i="11"/>
  <c r="L104" i="12"/>
  <c r="J730" i="24"/>
  <c r="L589" i="8"/>
  <c r="M589" i="8"/>
  <c r="M185" i="10"/>
  <c r="L226" i="10"/>
  <c r="M226" i="10"/>
  <c r="N852" i="22"/>
  <c r="N888" i="22"/>
  <c r="N879" i="22"/>
  <c r="N891" i="22"/>
  <c r="E382" i="11"/>
  <c r="B206" i="12"/>
  <c r="A215" i="26"/>
  <c r="E193" i="12"/>
  <c r="G184" i="7"/>
  <c r="G185" i="8"/>
  <c r="G439" i="8"/>
  <c r="G128" i="10"/>
  <c r="H154" i="10" s="1"/>
  <c r="G80" i="10"/>
  <c r="G261" i="11"/>
  <c r="F406" i="22"/>
  <c r="F408" i="22" s="1"/>
  <c r="F530" i="22"/>
  <c r="F449" i="22"/>
  <c r="E99" i="26"/>
  <c r="G24" i="22"/>
  <c r="G26" i="22" s="1"/>
  <c r="G692" i="22"/>
  <c r="G694" i="22" s="1"/>
  <c r="E201" i="7"/>
  <c r="E19" i="21"/>
  <c r="J97" i="9"/>
  <c r="J100" i="9"/>
  <c r="J23" i="9"/>
  <c r="O111" i="9"/>
  <c r="H879" i="22"/>
  <c r="H891" i="22"/>
  <c r="H852" i="22"/>
  <c r="H888" i="22"/>
  <c r="J90" i="8"/>
  <c r="E249" i="7"/>
  <c r="J169" i="11"/>
  <c r="J160" i="11"/>
  <c r="J172" i="11"/>
  <c r="I178" i="11"/>
  <c r="R97" i="9"/>
  <c r="R100" i="9"/>
  <c r="R23" i="9"/>
  <c r="H74" i="8"/>
  <c r="H106" i="8" s="1"/>
  <c r="H96" i="8"/>
  <c r="M526" i="8"/>
  <c r="I68" i="7"/>
  <c r="F71" i="7"/>
  <c r="F232" i="11" s="1"/>
  <c r="F460" i="8" s="1"/>
  <c r="F100" i="7"/>
  <c r="B802" i="24"/>
  <c r="E287" i="10" s="1"/>
  <c r="E279" i="10"/>
  <c r="E490" i="22"/>
  <c r="E652" i="22" s="1"/>
  <c r="E612" i="22"/>
  <c r="E126" i="12"/>
  <c r="E123" i="12"/>
  <c r="D404" i="8"/>
  <c r="D407" i="8"/>
  <c r="E364" i="11"/>
  <c r="B372" i="11"/>
  <c r="B366" i="11"/>
  <c r="B188" i="12"/>
  <c r="A133" i="26"/>
  <c r="B390" i="11"/>
  <c r="B377" i="11"/>
  <c r="E353" i="11"/>
  <c r="B361" i="11"/>
  <c r="B358" i="11"/>
  <c r="E209" i="7"/>
  <c r="B217" i="7"/>
  <c r="B214" i="7"/>
  <c r="J258" i="9"/>
  <c r="J450" i="24"/>
  <c r="J923" i="22"/>
  <c r="J474" i="24"/>
  <c r="J452" i="24"/>
  <c r="J478" i="24" s="1"/>
  <c r="K91" i="10"/>
  <c r="K64" i="10"/>
  <c r="K414" i="11"/>
  <c r="K438" i="11"/>
  <c r="K416" i="11"/>
  <c r="K98" i="10"/>
  <c r="K23" i="10"/>
  <c r="K58" i="10"/>
  <c r="B39" i="9"/>
  <c r="I276" i="9"/>
  <c r="I289" i="9" s="1"/>
  <c r="I227" i="9"/>
  <c r="I1097" i="24"/>
  <c r="K198" i="10"/>
  <c r="I269" i="9"/>
  <c r="I281" i="9"/>
  <c r="K535" i="8"/>
  <c r="J353" i="9"/>
  <c r="I363" i="9"/>
  <c r="I372" i="9"/>
  <c r="I375" i="9"/>
  <c r="C790" i="24"/>
  <c r="C793" i="24"/>
  <c r="H138" i="9"/>
  <c r="H141" i="9"/>
  <c r="H28" i="9"/>
  <c r="G294" i="10"/>
  <c r="F762" i="24"/>
  <c r="F753" i="24"/>
  <c r="F765" i="24"/>
  <c r="F569" i="8"/>
  <c r="I561" i="8"/>
  <c r="F563" i="8"/>
  <c r="D204" i="26"/>
  <c r="D366" i="11"/>
  <c r="D372" i="11"/>
  <c r="D188" i="12"/>
  <c r="C133" i="26"/>
  <c r="D377" i="11"/>
  <c r="D390" i="11"/>
  <c r="D361" i="11"/>
  <c r="D358" i="11"/>
  <c r="D295" i="8"/>
  <c r="D286" i="8"/>
  <c r="D298" i="8"/>
  <c r="G111" i="9"/>
  <c r="H89" i="8"/>
  <c r="E243" i="7"/>
  <c r="E170" i="11"/>
  <c r="L523" i="8"/>
  <c r="L547" i="8"/>
  <c r="M547" i="8" s="1"/>
  <c r="M521" i="8"/>
  <c r="I33" i="11"/>
  <c r="I36" i="11"/>
  <c r="D89" i="7"/>
  <c r="D82" i="7"/>
  <c r="G183" i="12"/>
  <c r="G177" i="12"/>
  <c r="G569" i="8"/>
  <c r="G563" i="8"/>
  <c r="E204" i="26"/>
  <c r="C46" i="11"/>
  <c r="C37" i="11"/>
  <c r="C49" i="11"/>
  <c r="C337" i="8"/>
  <c r="C394" i="8"/>
  <c r="C391" i="8"/>
  <c r="C328" i="8"/>
  <c r="C340" i="8"/>
  <c r="E296" i="8"/>
  <c r="G780" i="24"/>
  <c r="G798" i="24"/>
  <c r="H286" i="10" s="1"/>
  <c r="G777" i="24"/>
  <c r="G432" i="11"/>
  <c r="G444" i="11"/>
  <c r="G441" i="11"/>
  <c r="F418" i="8"/>
  <c r="I338" i="8"/>
  <c r="I64" i="8"/>
  <c r="F96" i="8"/>
  <c r="F74" i="8"/>
  <c r="D46" i="11"/>
  <c r="D37" i="11"/>
  <c r="D49" i="11"/>
  <c r="K134" i="12"/>
  <c r="K122" i="12"/>
  <c r="C160" i="11"/>
  <c r="C172" i="11"/>
  <c r="C169" i="11"/>
  <c r="C89" i="8"/>
  <c r="P152" i="9"/>
  <c r="E406" i="8"/>
  <c r="C879" i="22"/>
  <c r="C891" i="22"/>
  <c r="C852" i="22"/>
  <c r="C888" i="22"/>
  <c r="I243" i="7"/>
  <c r="I143" i="11"/>
  <c r="I146" i="11"/>
  <c r="F169" i="11"/>
  <c r="F160" i="11"/>
  <c r="F172" i="11"/>
  <c r="S879" i="22"/>
  <c r="S891" i="22"/>
  <c r="S852" i="22"/>
  <c r="S888" i="22"/>
  <c r="N146" i="9"/>
  <c r="N27" i="9"/>
  <c r="N29" i="9" s="1"/>
  <c r="N125" i="9"/>
  <c r="N128" i="9"/>
  <c r="I34" i="8"/>
  <c r="E248" i="7"/>
  <c r="E339" i="8"/>
  <c r="B419" i="8"/>
  <c r="E131" i="12"/>
  <c r="B19" i="21"/>
  <c r="I443" i="11"/>
  <c r="D432" i="11"/>
  <c r="D444" i="11"/>
  <c r="D441" i="11"/>
  <c r="E798" i="24"/>
  <c r="E777" i="24"/>
  <c r="E780" i="24"/>
  <c r="I278" i="10"/>
  <c r="E298" i="10"/>
  <c r="B298" i="10"/>
  <c r="Q111" i="9"/>
  <c r="E332" i="8"/>
  <c r="B412" i="8"/>
  <c r="B394" i="8"/>
  <c r="B391" i="8"/>
  <c r="E311" i="8"/>
  <c r="B328" i="8"/>
  <c r="B340" i="8"/>
  <c r="E314" i="8"/>
  <c r="B337" i="8"/>
  <c r="H246" i="9"/>
  <c r="H237" i="9"/>
  <c r="H249" i="9"/>
  <c r="I418" i="11"/>
  <c r="F441" i="11"/>
  <c r="I415" i="11"/>
  <c r="F432" i="11"/>
  <c r="F444" i="11"/>
  <c r="J81" i="7"/>
  <c r="J70" i="8"/>
  <c r="F320" i="7"/>
  <c r="F317" i="7"/>
  <c r="I804" i="24"/>
  <c r="I126" i="12"/>
  <c r="I123" i="12"/>
  <c r="J300" i="10"/>
  <c r="K528" i="8"/>
  <c r="K555" i="8"/>
  <c r="K553" i="8"/>
  <c r="K531" i="8"/>
  <c r="H432" i="11"/>
  <c r="H444" i="11"/>
  <c r="H441" i="11"/>
  <c r="J412" i="8"/>
  <c r="D89" i="8"/>
  <c r="F184" i="7"/>
  <c r="F185" i="8"/>
  <c r="F439" i="8"/>
  <c r="I439" i="8"/>
  <c r="F128" i="10"/>
  <c r="F80" i="10"/>
  <c r="I126" i="10"/>
  <c r="I261" i="11"/>
  <c r="F261" i="11"/>
  <c r="E406" i="22"/>
  <c r="E408" i="22" s="1"/>
  <c r="E530" i="22"/>
  <c r="E449" i="22"/>
  <c r="D99" i="26"/>
  <c r="F692" i="22"/>
  <c r="F694" i="22" s="1"/>
  <c r="F24" i="22"/>
  <c r="F26" i="22" s="1"/>
  <c r="B48" i="7"/>
  <c r="B179" i="7"/>
  <c r="B180" i="8"/>
  <c r="B426" i="8"/>
  <c r="B111" i="10"/>
  <c r="B135" i="10"/>
  <c r="B42" i="10"/>
  <c r="B75" i="10"/>
  <c r="E109" i="10"/>
  <c r="B117" i="10"/>
  <c r="B220" i="11"/>
  <c r="B432" i="22"/>
  <c r="B389" i="22"/>
  <c r="B513" i="22"/>
  <c r="A89" i="26"/>
  <c r="C675" i="22"/>
  <c r="C7" i="22"/>
  <c r="B53" i="7"/>
  <c r="B197" i="8"/>
  <c r="B467" i="8"/>
  <c r="E467" i="8"/>
  <c r="B131" i="10"/>
  <c r="B47" i="10"/>
  <c r="E123" i="10"/>
  <c r="E254" i="11"/>
  <c r="B254" i="11"/>
  <c r="B446" i="22"/>
  <c r="B403" i="22"/>
  <c r="B411" i="22" s="1"/>
  <c r="B527" i="22"/>
  <c r="A97" i="26"/>
  <c r="C21" i="22"/>
  <c r="C29" i="22" s="1"/>
  <c r="C689" i="22"/>
  <c r="C697" i="22" s="1"/>
  <c r="C82" i="7"/>
  <c r="C89" i="7"/>
  <c r="I339" i="8"/>
  <c r="F419" i="8"/>
  <c r="I419" i="8" s="1"/>
  <c r="K185" i="8"/>
  <c r="K439" i="8"/>
  <c r="K261" i="11"/>
  <c r="I406" i="22"/>
  <c r="I530" i="22"/>
  <c r="I449" i="22"/>
  <c r="H99" i="26"/>
  <c r="J24" i="22"/>
  <c r="J692" i="22"/>
  <c r="D777" i="24"/>
  <c r="D294" i="10" s="1"/>
  <c r="D780" i="24"/>
  <c r="D798" i="24"/>
  <c r="D286" i="10" s="1"/>
  <c r="H404" i="8"/>
  <c r="H407" i="8"/>
  <c r="J317" i="7"/>
  <c r="J320" i="7"/>
  <c r="E27" i="9"/>
  <c r="E125" i="9"/>
  <c r="E128" i="9"/>
  <c r="E146" i="9"/>
  <c r="E1469" i="24"/>
  <c r="K363" i="8"/>
  <c r="K374" i="8"/>
  <c r="K401" i="8"/>
  <c r="D127" i="12"/>
  <c r="D139" i="12"/>
  <c r="D136" i="12"/>
  <c r="G457" i="11"/>
  <c r="G144" i="12"/>
  <c r="G152" i="12" s="1"/>
  <c r="E219" i="26"/>
  <c r="J177" i="12"/>
  <c r="J183" i="12"/>
  <c r="J146" i="9"/>
  <c r="J27" i="9"/>
  <c r="J125" i="9"/>
  <c r="J128" i="9"/>
  <c r="F95" i="7"/>
  <c r="F73" i="7"/>
  <c r="I63" i="7"/>
  <c r="I100" i="9"/>
  <c r="I23" i="9"/>
  <c r="I97" i="9"/>
  <c r="H368" i="8"/>
  <c r="H380" i="8"/>
  <c r="H377" i="8"/>
  <c r="D48" i="7"/>
  <c r="D179" i="7"/>
  <c r="D180" i="8"/>
  <c r="D117" i="10"/>
  <c r="D111" i="10"/>
  <c r="D135" i="10"/>
  <c r="D42" i="10"/>
  <c r="D75" i="10"/>
  <c r="D389" i="22"/>
  <c r="D513" i="22"/>
  <c r="D432" i="22"/>
  <c r="C89" i="26"/>
  <c r="E675" i="22"/>
  <c r="E7" i="22"/>
  <c r="D138" i="9"/>
  <c r="D141" i="9"/>
  <c r="D28" i="9"/>
  <c r="D1473" i="24"/>
  <c r="I176" i="12"/>
  <c r="F184" i="12"/>
  <c r="I184" i="12" s="1"/>
  <c r="I562" i="8"/>
  <c r="F570" i="8"/>
  <c r="D205" i="26"/>
  <c r="R1490" i="24"/>
  <c r="R1493" i="24"/>
  <c r="E33" i="11"/>
  <c r="E36" i="11"/>
  <c r="J48" i="7"/>
  <c r="J179" i="7"/>
  <c r="J180" i="8"/>
  <c r="J111" i="10"/>
  <c r="J135" i="10"/>
  <c r="J42" i="10"/>
  <c r="J75" i="10"/>
  <c r="J117" i="10"/>
  <c r="H389" i="22"/>
  <c r="H513" i="22"/>
  <c r="H432" i="22"/>
  <c r="G89" i="26"/>
  <c r="I7" i="22"/>
  <c r="I675" i="22"/>
  <c r="I138" i="12"/>
  <c r="K212" i="7"/>
  <c r="K85" i="11"/>
  <c r="K73" i="11"/>
  <c r="H70" i="7"/>
  <c r="H102" i="7" s="1"/>
  <c r="H81" i="8"/>
  <c r="H91" i="8" s="1"/>
  <c r="H208" i="11"/>
  <c r="F249" i="10"/>
  <c r="F258" i="10"/>
  <c r="F261" i="10"/>
  <c r="C100" i="8"/>
  <c r="J450" i="11"/>
  <c r="J456" i="11"/>
  <c r="J143" i="12"/>
  <c r="G218" i="26"/>
  <c r="G100" i="7"/>
  <c r="I237" i="7"/>
  <c r="F245" i="7"/>
  <c r="F242" i="7"/>
  <c r="F490" i="22"/>
  <c r="F652" i="22" s="1"/>
  <c r="F612" i="22"/>
  <c r="B65" i="7"/>
  <c r="B65" i="8"/>
  <c r="E124" i="11"/>
  <c r="B204" i="11"/>
  <c r="B232" i="7"/>
  <c r="B229" i="7"/>
  <c r="B250" i="7"/>
  <c r="E224" i="7"/>
  <c r="P138" i="9"/>
  <c r="P141" i="9"/>
  <c r="P28" i="9"/>
  <c r="K97" i="9"/>
  <c r="K100" i="9"/>
  <c r="K23" i="9"/>
  <c r="B28" i="9"/>
  <c r="B138" i="9"/>
  <c r="B141" i="9"/>
  <c r="B1473" i="24"/>
  <c r="E410" i="8"/>
  <c r="E418" i="11"/>
  <c r="B441" i="11"/>
  <c r="E415" i="11"/>
  <c r="B432" i="11"/>
  <c r="B444" i="11"/>
  <c r="E33" i="10"/>
  <c r="B454" i="11"/>
  <c r="E452" i="11"/>
  <c r="B147" i="12"/>
  <c r="A221" i="26"/>
  <c r="B78" i="11"/>
  <c r="E61" i="11"/>
  <c r="B87" i="11"/>
  <c r="E64" i="11"/>
  <c r="B90" i="11"/>
  <c r="J199" i="11"/>
  <c r="J196" i="11"/>
  <c r="C457" i="11"/>
  <c r="C144" i="12"/>
  <c r="C152" i="12" s="1"/>
  <c r="B219" i="26"/>
  <c r="D254" i="8"/>
  <c r="D245" i="8"/>
  <c r="D257" i="8"/>
  <c r="K194" i="8"/>
  <c r="I437" i="22"/>
  <c r="I394" i="22"/>
  <c r="I518" i="22"/>
  <c r="H93" i="26"/>
  <c r="J12" i="22"/>
  <c r="J680" i="22"/>
  <c r="K479" i="11"/>
  <c r="H1068" i="24"/>
  <c r="H147" i="12"/>
  <c r="H149" i="12" s="1"/>
  <c r="H454" i="11"/>
  <c r="F223" i="26" s="1"/>
  <c r="F221" i="26"/>
  <c r="G377" i="8"/>
  <c r="G368" i="8"/>
  <c r="G380" i="8"/>
  <c r="K70" i="7"/>
  <c r="K81" i="8"/>
  <c r="F89" i="7"/>
  <c r="F82" i="7"/>
  <c r="I79" i="7"/>
  <c r="J136" i="12"/>
  <c r="J127" i="12"/>
  <c r="J139" i="12"/>
  <c r="H52" i="7"/>
  <c r="H183" i="7"/>
  <c r="H184" i="8"/>
  <c r="H436" i="8"/>
  <c r="H130" i="10"/>
  <c r="H46" i="10"/>
  <c r="H81" i="10" s="1"/>
  <c r="H79" i="10"/>
  <c r="H124" i="10"/>
  <c r="H251" i="11"/>
  <c r="G402" i="22"/>
  <c r="G526" i="22"/>
  <c r="G445" i="22"/>
  <c r="F96" i="26"/>
  <c r="H688" i="22"/>
  <c r="H20" i="22"/>
  <c r="S1490" i="24"/>
  <c r="S1493" i="24"/>
  <c r="F97" i="9"/>
  <c r="F100" i="9"/>
  <c r="F23" i="9"/>
  <c r="D73" i="7"/>
  <c r="D95" i="7"/>
  <c r="G454" i="11"/>
  <c r="E223" i="26" s="1"/>
  <c r="G147" i="12"/>
  <c r="G149" i="12" s="1"/>
  <c r="E221" i="26"/>
  <c r="C70" i="7"/>
  <c r="C102" i="7" s="1"/>
  <c r="C81" i="8"/>
  <c r="C91" i="8" s="1"/>
  <c r="C208" i="11"/>
  <c r="L322" i="8"/>
  <c r="L267" i="8"/>
  <c r="L321" i="8"/>
  <c r="L71" i="11"/>
  <c r="L150" i="11"/>
  <c r="L149" i="11"/>
  <c r="P879" i="22"/>
  <c r="P891" i="22"/>
  <c r="P852" i="22"/>
  <c r="P888" i="22"/>
  <c r="J298" i="10"/>
  <c r="I69" i="8"/>
  <c r="F101" i="8"/>
  <c r="I101" i="8" s="1"/>
  <c r="C87" i="11"/>
  <c r="C78" i="11"/>
  <c r="C90" i="11"/>
  <c r="I156" i="7"/>
  <c r="I153" i="7"/>
  <c r="G167" i="7"/>
  <c r="G170" i="7"/>
  <c r="D217" i="7"/>
  <c r="D214" i="7"/>
  <c r="F39" i="7"/>
  <c r="F39" i="8"/>
  <c r="F167" i="8"/>
  <c r="F170" i="8"/>
  <c r="F609" i="8"/>
  <c r="F612" i="8"/>
  <c r="F600" i="8"/>
  <c r="F49" i="7"/>
  <c r="F193" i="8"/>
  <c r="F136" i="10"/>
  <c r="F43" i="10"/>
  <c r="I110" i="10"/>
  <c r="F118" i="10"/>
  <c r="E390" i="22"/>
  <c r="E514" i="22"/>
  <c r="E433" i="22"/>
  <c r="D90" i="26"/>
  <c r="F8" i="22"/>
  <c r="F676" i="22"/>
  <c r="J256" i="7"/>
  <c r="J186" i="11"/>
  <c r="J129" i="11"/>
  <c r="J183" i="11"/>
  <c r="J120" i="11"/>
  <c r="J132" i="11"/>
  <c r="G74" i="7"/>
  <c r="G96" i="7"/>
  <c r="C177" i="12"/>
  <c r="C183" i="12"/>
  <c r="C563" i="8"/>
  <c r="C569" i="8"/>
  <c r="B204" i="26"/>
  <c r="J87" i="9"/>
  <c r="J105" i="9"/>
  <c r="J22" i="9"/>
  <c r="J24" i="9" s="1"/>
  <c r="J84" i="9"/>
  <c r="I130" i="11"/>
  <c r="F210" i="11"/>
  <c r="I210" i="11" s="1"/>
  <c r="H184" i="7"/>
  <c r="H185" i="8"/>
  <c r="H439" i="8"/>
  <c r="H80" i="10"/>
  <c r="H128" i="10"/>
  <c r="J154" i="10" s="1"/>
  <c r="H261" i="11"/>
  <c r="G449" i="22"/>
  <c r="G406" i="22"/>
  <c r="G408" i="22" s="1"/>
  <c r="G530" i="22"/>
  <c r="F99" i="26"/>
  <c r="H24" i="22"/>
  <c r="H26" i="22" s="1"/>
  <c r="H692" i="22"/>
  <c r="H694" i="22" s="1"/>
  <c r="K360" i="9"/>
  <c r="K457" i="24"/>
  <c r="K311" i="9"/>
  <c r="J234" i="9"/>
  <c r="J783" i="24"/>
  <c r="G82" i="7"/>
  <c r="G89" i="7"/>
  <c r="E802" i="24"/>
  <c r="F301" i="10" s="1"/>
  <c r="I279" i="10"/>
  <c r="F194" i="8"/>
  <c r="F140" i="10"/>
  <c r="I114" i="10"/>
  <c r="E437" i="22"/>
  <c r="E394" i="22"/>
  <c r="E420" i="22" s="1"/>
  <c r="E518" i="22"/>
  <c r="D93" i="26"/>
  <c r="F12" i="22"/>
  <c r="F38" i="22" s="1"/>
  <c r="F680" i="22"/>
  <c r="F706" i="22" s="1"/>
  <c r="F181" i="12"/>
  <c r="I181" i="12" s="1"/>
  <c r="I179" i="12"/>
  <c r="I565" i="8"/>
  <c r="F567" i="8"/>
  <c r="D207" i="26"/>
  <c r="K352" i="11"/>
  <c r="I1115" i="24"/>
  <c r="I1093" i="24"/>
  <c r="I1090" i="24"/>
  <c r="K226" i="7"/>
  <c r="K117" i="11"/>
  <c r="K189" i="11"/>
  <c r="K111" i="11"/>
  <c r="K122" i="11"/>
  <c r="I215" i="7"/>
  <c r="C53" i="7"/>
  <c r="C197" i="8"/>
  <c r="C467" i="8"/>
  <c r="C131" i="10"/>
  <c r="C47" i="10"/>
  <c r="C254" i="11"/>
  <c r="C527" i="22"/>
  <c r="C446" i="22"/>
  <c r="C403" i="22"/>
  <c r="C411" i="22" s="1"/>
  <c r="B97" i="26"/>
  <c r="D21" i="22"/>
  <c r="D29" i="22" s="1"/>
  <c r="D689" i="22"/>
  <c r="D697" i="22" s="1"/>
  <c r="D152" i="9"/>
  <c r="I201" i="7"/>
  <c r="E198" i="11"/>
  <c r="D49" i="7"/>
  <c r="D193" i="8"/>
  <c r="D43" i="10"/>
  <c r="D118" i="10"/>
  <c r="D136" i="10"/>
  <c r="D514" i="22"/>
  <c r="D433" i="22"/>
  <c r="D390" i="22"/>
  <c r="C90" i="26"/>
  <c r="E8" i="22"/>
  <c r="E676" i="22"/>
  <c r="E182" i="11"/>
  <c r="E351" i="8"/>
  <c r="B368" i="8"/>
  <c r="B380" i="8"/>
  <c r="E354" i="8"/>
  <c r="B377" i="8"/>
  <c r="H183" i="12"/>
  <c r="H177" i="12"/>
  <c r="H65" i="7"/>
  <c r="H65" i="8"/>
  <c r="H66" i="8" s="1"/>
  <c r="H204" i="11"/>
  <c r="R28" i="9"/>
  <c r="R138" i="9"/>
  <c r="R141" i="9"/>
  <c r="F28" i="9"/>
  <c r="F138" i="9"/>
  <c r="F141" i="9"/>
  <c r="F1473" i="24"/>
  <c r="D70" i="7"/>
  <c r="D102" i="7" s="1"/>
  <c r="D81" i="8"/>
  <c r="D91" i="8" s="1"/>
  <c r="D208" i="11"/>
  <c r="E68" i="8"/>
  <c r="B71" i="8"/>
  <c r="B100" i="8"/>
  <c r="E431" i="11"/>
  <c r="E428" i="11"/>
  <c r="C232" i="7"/>
  <c r="C229" i="7"/>
  <c r="C250" i="7"/>
  <c r="D180" i="7"/>
  <c r="D181" i="8"/>
  <c r="D76" i="10"/>
  <c r="D84" i="10" s="1"/>
  <c r="D115" i="10"/>
  <c r="D139" i="10"/>
  <c r="D436" i="22"/>
  <c r="D393" i="22"/>
  <c r="D517" i="22"/>
  <c r="C92" i="26"/>
  <c r="E11" i="22"/>
  <c r="E679" i="22"/>
  <c r="I332" i="8"/>
  <c r="F412" i="8"/>
  <c r="E443" i="11"/>
  <c r="D457" i="11"/>
  <c r="D144" i="12"/>
  <c r="D152" i="12" s="1"/>
  <c r="C219" i="26"/>
  <c r="B189" i="12"/>
  <c r="E365" i="11"/>
  <c r="B373" i="11"/>
  <c r="A134" i="26"/>
  <c r="B391" i="11"/>
  <c r="B378" i="11"/>
  <c r="C245" i="7"/>
  <c r="C242" i="7"/>
  <c r="E80" i="8"/>
  <c r="B90" i="8"/>
  <c r="E90" i="8" s="1"/>
  <c r="I112" i="9"/>
  <c r="L147" i="8"/>
  <c r="L530" i="8"/>
  <c r="M522" i="8"/>
  <c r="L879" i="22"/>
  <c r="L891" i="22"/>
  <c r="L852" i="22"/>
  <c r="L888" i="22"/>
  <c r="I153" i="8"/>
  <c r="I156" i="8"/>
  <c r="E395" i="11"/>
  <c r="B219" i="12"/>
  <c r="A130" i="26"/>
  <c r="J441" i="11"/>
  <c r="J432" i="11"/>
  <c r="J444" i="11"/>
  <c r="I135" i="12"/>
  <c r="I167" i="7"/>
  <c r="I170" i="7"/>
  <c r="E156" i="7"/>
  <c r="C170" i="7"/>
  <c r="C167" i="7"/>
  <c r="E153" i="7"/>
  <c r="M111" i="9"/>
  <c r="J1490" i="24"/>
  <c r="J1493" i="24"/>
  <c r="I208" i="10"/>
  <c r="I220" i="10"/>
  <c r="I217" i="10"/>
  <c r="G249" i="10"/>
  <c r="G258" i="10"/>
  <c r="G261" i="10"/>
  <c r="Q152" i="9"/>
  <c r="L111" i="9"/>
  <c r="O22" i="9"/>
  <c r="O24" i="9" s="1"/>
  <c r="O84" i="9"/>
  <c r="O87" i="9"/>
  <c r="O105" i="9"/>
  <c r="J232" i="7"/>
  <c r="J229" i="7"/>
  <c r="J250" i="7"/>
  <c r="I390" i="8"/>
  <c r="I298" i="10"/>
  <c r="F298" i="10"/>
  <c r="D147" i="12"/>
  <c r="D149" i="12" s="1"/>
  <c r="D454" i="11"/>
  <c r="C223" i="26" s="1"/>
  <c r="C221" i="26"/>
  <c r="G203" i="7"/>
  <c r="G200" i="7"/>
  <c r="I440" i="11"/>
  <c r="E131" i="11"/>
  <c r="B211" i="11"/>
  <c r="E211" i="11" s="1"/>
  <c r="K81" i="7"/>
  <c r="K70" i="8"/>
  <c r="P111" i="9"/>
  <c r="E138" i="12"/>
  <c r="D65" i="7"/>
  <c r="D66" i="7" s="1"/>
  <c r="D65" i="8"/>
  <c r="D204" i="11"/>
  <c r="H286" i="8"/>
  <c r="H295" i="8"/>
  <c r="H298" i="8"/>
  <c r="L348" i="8"/>
  <c r="L276" i="8"/>
  <c r="L349" i="8"/>
  <c r="L59" i="11"/>
  <c r="L114" i="11"/>
  <c r="L113" i="11"/>
  <c r="J211" i="11"/>
  <c r="I198" i="8"/>
  <c r="D185" i="26"/>
  <c r="F852" i="22"/>
  <c r="F888" i="22"/>
  <c r="F891" i="22"/>
  <c r="F879" i="22"/>
  <c r="B177" i="12"/>
  <c r="E175" i="12"/>
  <c r="B183" i="12"/>
  <c r="E359" i="11"/>
  <c r="B12" i="21"/>
  <c r="B14" i="21" s="1"/>
  <c r="E215" i="7"/>
  <c r="I852" i="22"/>
  <c r="I888" i="22"/>
  <c r="I879" i="22"/>
  <c r="I891" i="22"/>
  <c r="I464" i="24"/>
  <c r="I467" i="24"/>
  <c r="I472" i="24"/>
  <c r="I29" i="21" s="1"/>
  <c r="I31" i="21" s="1"/>
  <c r="H457" i="11"/>
  <c r="H144" i="12"/>
  <c r="H152" i="12" s="1"/>
  <c r="F219" i="26"/>
  <c r="J407" i="8"/>
  <c r="J404" i="8"/>
  <c r="I152" i="9"/>
  <c r="G288" i="10"/>
  <c r="G33" i="10"/>
  <c r="G285" i="10"/>
  <c r="C52" i="7"/>
  <c r="C183" i="7"/>
  <c r="C184" i="8"/>
  <c r="C436" i="8"/>
  <c r="C130" i="10"/>
  <c r="C46" i="10"/>
  <c r="C81" i="10" s="1"/>
  <c r="C79" i="10"/>
  <c r="C124" i="10"/>
  <c r="C251" i="11"/>
  <c r="C402" i="22"/>
  <c r="C526" i="22"/>
  <c r="C445" i="22"/>
  <c r="B96" i="26"/>
  <c r="D20" i="22"/>
  <c r="D688" i="22"/>
  <c r="E216" i="7"/>
  <c r="F450" i="11"/>
  <c r="I448" i="11"/>
  <c r="F456" i="11"/>
  <c r="F143" i="12"/>
  <c r="D218" i="26"/>
  <c r="D14" i="21"/>
  <c r="D563" i="8"/>
  <c r="D569" i="8"/>
  <c r="C204" i="26"/>
  <c r="D74" i="8"/>
  <c r="D106" i="8" s="1"/>
  <c r="D96" i="8"/>
  <c r="G22" i="9"/>
  <c r="G24" i="9" s="1"/>
  <c r="G84" i="9"/>
  <c r="G87" i="9"/>
  <c r="G105" i="9"/>
  <c r="H71" i="7"/>
  <c r="H103" i="7" s="1"/>
  <c r="H100" i="7"/>
  <c r="C407" i="8"/>
  <c r="C404" i="8"/>
  <c r="E206" i="11"/>
  <c r="H120" i="11"/>
  <c r="H132" i="11"/>
  <c r="H129" i="11"/>
  <c r="H183" i="11"/>
  <c r="H186" i="11"/>
  <c r="J78" i="11"/>
  <c r="J90" i="11"/>
  <c r="J87" i="11"/>
  <c r="L304" i="8"/>
  <c r="L305" i="8"/>
  <c r="L262" i="8"/>
  <c r="L96" i="11"/>
  <c r="L54" i="11"/>
  <c r="L97" i="11"/>
  <c r="J1109" i="24"/>
  <c r="J1085" i="24"/>
  <c r="G450" i="11"/>
  <c r="G456" i="11"/>
  <c r="G143" i="12"/>
  <c r="E218" i="26"/>
  <c r="C412" i="8"/>
  <c r="I367" i="8"/>
  <c r="I364" i="8"/>
  <c r="D490" i="22"/>
  <c r="D652" i="22" s="1"/>
  <c r="D612" i="22"/>
  <c r="D469" i="8"/>
  <c r="C200" i="26" s="1"/>
  <c r="D254" i="7"/>
  <c r="I290" i="8"/>
  <c r="H802" i="24"/>
  <c r="J287" i="10" s="1"/>
  <c r="R152" i="9"/>
  <c r="L244" i="10"/>
  <c r="K439" i="11"/>
  <c r="K427" i="11"/>
  <c r="H73" i="8"/>
  <c r="H105" i="8" s="1"/>
  <c r="H95" i="8"/>
  <c r="C71" i="7"/>
  <c r="C103" i="7" s="1"/>
  <c r="C100" i="7"/>
  <c r="P128" i="9"/>
  <c r="P146" i="9"/>
  <c r="P27" i="9"/>
  <c r="P29" i="9" s="1"/>
  <c r="P125" i="9"/>
  <c r="H100" i="8"/>
  <c r="F802" i="24"/>
  <c r="E230" i="7"/>
  <c r="B256" i="7"/>
  <c r="E256" i="7" s="1"/>
  <c r="E103" i="11"/>
  <c r="B129" i="11"/>
  <c r="B120" i="11"/>
  <c r="B132" i="11"/>
  <c r="B186" i="11"/>
  <c r="B183" i="11"/>
  <c r="E106" i="11"/>
  <c r="E208" i="10"/>
  <c r="E220" i="10"/>
  <c r="E217" i="10"/>
  <c r="C249" i="10"/>
  <c r="I258" i="10"/>
  <c r="I261" i="10"/>
  <c r="I249" i="10"/>
  <c r="C258" i="10"/>
  <c r="C261" i="10"/>
  <c r="J181" i="12"/>
  <c r="J567" i="8"/>
  <c r="G207" i="26"/>
  <c r="F48" i="7"/>
  <c r="F179" i="7"/>
  <c r="F180" i="8"/>
  <c r="F111" i="10"/>
  <c r="F135" i="10"/>
  <c r="F42" i="10"/>
  <c r="F75" i="10"/>
  <c r="I109" i="10"/>
  <c r="F117" i="10"/>
  <c r="E389" i="22"/>
  <c r="E513" i="22"/>
  <c r="E432" i="22"/>
  <c r="D89" i="26"/>
  <c r="F7" i="22"/>
  <c r="F675" i="22"/>
  <c r="F254" i="7"/>
  <c r="I254" i="7" s="1"/>
  <c r="I228" i="7"/>
  <c r="H160" i="11"/>
  <c r="H172" i="11"/>
  <c r="H169" i="11"/>
  <c r="E80" i="7"/>
  <c r="B90" i="7"/>
  <c r="E90" i="7" s="1"/>
  <c r="G53" i="7"/>
  <c r="G467" i="8"/>
  <c r="G197" i="8"/>
  <c r="G131" i="10"/>
  <c r="G47" i="10"/>
  <c r="G254" i="11"/>
  <c r="F446" i="22"/>
  <c r="F403" i="22"/>
  <c r="F411" i="22" s="1"/>
  <c r="F527" i="22"/>
  <c r="E97" i="26"/>
  <c r="G21" i="22"/>
  <c r="G29" i="22" s="1"/>
  <c r="G689" i="22"/>
  <c r="G697" i="22" s="1"/>
  <c r="Q105" i="9"/>
  <c r="Q22" i="9"/>
  <c r="Q24" i="9" s="1"/>
  <c r="Q84" i="9"/>
  <c r="Q87" i="9"/>
  <c r="G418" i="8"/>
  <c r="E392" i="8"/>
  <c r="H127" i="12"/>
  <c r="H139" i="12"/>
  <c r="H136" i="12"/>
  <c r="B852" i="22"/>
  <c r="B888" i="22"/>
  <c r="B879" i="22"/>
  <c r="B891" i="22"/>
  <c r="H39" i="7"/>
  <c r="H39" i="8"/>
  <c r="H170" i="8"/>
  <c r="H167" i="8"/>
  <c r="H600" i="8"/>
  <c r="H609" i="8"/>
  <c r="H612" i="8"/>
  <c r="D416" i="8"/>
  <c r="I80" i="8"/>
  <c r="F90" i="8"/>
  <c r="I90" i="8" s="1"/>
  <c r="B490" i="22"/>
  <c r="B652" i="22" s="1"/>
  <c r="B612" i="22"/>
  <c r="E198" i="8"/>
  <c r="A185" i="26"/>
  <c r="H109" i="9"/>
  <c r="I777" i="24"/>
  <c r="I780" i="24"/>
  <c r="F152" i="9"/>
  <c r="B49" i="7"/>
  <c r="B193" i="8"/>
  <c r="B457" i="8"/>
  <c r="B136" i="10"/>
  <c r="B43" i="10"/>
  <c r="E110" i="10"/>
  <c r="B118" i="10"/>
  <c r="B223" i="11"/>
  <c r="B390" i="22"/>
  <c r="B514" i="22"/>
  <c r="B433" i="22"/>
  <c r="A90" i="26"/>
  <c r="C676" i="22"/>
  <c r="C8" i="22"/>
  <c r="K111" i="9"/>
  <c r="J394" i="8"/>
  <c r="J391" i="8"/>
  <c r="J328" i="8"/>
  <c r="J340" i="8"/>
  <c r="J337" i="8"/>
  <c r="D100" i="7"/>
  <c r="P1493" i="24"/>
  <c r="P1490" i="24"/>
  <c r="E64" i="7"/>
  <c r="B96" i="7"/>
  <c r="B74" i="7"/>
  <c r="C490" i="22"/>
  <c r="C652" i="22" s="1"/>
  <c r="C612" i="22"/>
  <c r="I802" i="24"/>
  <c r="C49" i="7"/>
  <c r="C193" i="8"/>
  <c r="C456" i="8"/>
  <c r="C457" i="8"/>
  <c r="C118" i="10"/>
  <c r="C144" i="10" s="1"/>
  <c r="C136" i="10"/>
  <c r="C43" i="10"/>
  <c r="C51" i="10" s="1"/>
  <c r="C222" i="11"/>
  <c r="C223" i="11"/>
  <c r="C433" i="22"/>
  <c r="C390" i="22"/>
  <c r="C514" i="22"/>
  <c r="B90" i="26"/>
  <c r="D8" i="22"/>
  <c r="D676" i="22"/>
  <c r="E237" i="7"/>
  <c r="B245" i="7"/>
  <c r="B242" i="7"/>
  <c r="K375" i="8"/>
  <c r="K402" i="8"/>
  <c r="Q138" i="9"/>
  <c r="Q141" i="9"/>
  <c r="Q28" i="9"/>
  <c r="G407" i="8"/>
  <c r="G404" i="8"/>
  <c r="H200" i="7"/>
  <c r="H203" i="7"/>
  <c r="M852" i="22"/>
  <c r="M888" i="22"/>
  <c r="M879" i="22"/>
  <c r="M891" i="22"/>
  <c r="G150" i="9"/>
  <c r="G1470" i="24"/>
  <c r="G1478" i="24" s="1"/>
  <c r="J361" i="11"/>
  <c r="J358" i="11"/>
  <c r="M138" i="9"/>
  <c r="M141" i="9"/>
  <c r="M28" i="9"/>
  <c r="I395" i="11"/>
  <c r="F219" i="12"/>
  <c r="D130" i="26"/>
  <c r="Q852" i="22"/>
  <c r="Q888" i="22"/>
  <c r="Q879" i="22"/>
  <c r="Q891" i="22"/>
  <c r="E336" i="8"/>
  <c r="B416" i="8"/>
  <c r="H128" i="9"/>
  <c r="H146" i="9"/>
  <c r="H27" i="9"/>
  <c r="H125" i="9"/>
  <c r="J295" i="8"/>
  <c r="J298" i="8"/>
  <c r="J286" i="8"/>
  <c r="I202" i="7"/>
  <c r="H81" i="7"/>
  <c r="H91" i="7" s="1"/>
  <c r="H70" i="8"/>
  <c r="H102" i="8" s="1"/>
  <c r="F1490" i="24"/>
  <c r="F1493" i="24"/>
  <c r="D219" i="12"/>
  <c r="C130" i="26"/>
  <c r="I63" i="10"/>
  <c r="I66" i="10"/>
  <c r="F150" i="9"/>
  <c r="F1470" i="24"/>
  <c r="F1478" i="24" s="1"/>
  <c r="I86" i="11"/>
  <c r="E368" i="11"/>
  <c r="B370" i="11"/>
  <c r="B192" i="12"/>
  <c r="A136" i="26"/>
  <c r="B381" i="11"/>
  <c r="B394" i="11"/>
  <c r="B435" i="8" s="1"/>
  <c r="E357" i="11"/>
  <c r="G129" i="11"/>
  <c r="G120" i="11"/>
  <c r="G132" i="11"/>
  <c r="G186" i="11"/>
  <c r="G183" i="11"/>
  <c r="C194" i="8"/>
  <c r="C460" i="8"/>
  <c r="C140" i="10"/>
  <c r="C233" i="11"/>
  <c r="C394" i="22"/>
  <c r="C420" i="22" s="1"/>
  <c r="C518" i="22"/>
  <c r="C437" i="22"/>
  <c r="B93" i="26"/>
  <c r="D680" i="22"/>
  <c r="D706" i="22" s="1"/>
  <c r="D12" i="22"/>
  <c r="D38" i="22" s="1"/>
  <c r="C780" i="24"/>
  <c r="C798" i="24"/>
  <c r="C777" i="24"/>
  <c r="J184" i="12"/>
  <c r="J570" i="8"/>
  <c r="G205" i="26"/>
  <c r="C373" i="11"/>
  <c r="C189" i="12"/>
  <c r="C197" i="12" s="1"/>
  <c r="B134" i="26"/>
  <c r="C391" i="11"/>
  <c r="C459" i="8" s="1"/>
  <c r="C378" i="11"/>
  <c r="C570" i="8"/>
  <c r="B205" i="26"/>
  <c r="D762" i="24"/>
  <c r="D753" i="24"/>
  <c r="D765" i="24"/>
  <c r="H204" i="26"/>
  <c r="H206" i="12"/>
  <c r="F215" i="26"/>
  <c r="E100" i="9"/>
  <c r="E23" i="9"/>
  <c r="E97" i="9"/>
  <c r="E272" i="8"/>
  <c r="B295" i="8"/>
  <c r="E269" i="8"/>
  <c r="B286" i="8"/>
  <c r="B298" i="8"/>
  <c r="B294" i="10"/>
  <c r="B762" i="24"/>
  <c r="B753" i="24"/>
  <c r="B765" i="24"/>
  <c r="F294" i="10"/>
  <c r="E762" i="24"/>
  <c r="E753" i="24"/>
  <c r="E765" i="24"/>
  <c r="D194" i="8"/>
  <c r="D140" i="10"/>
  <c r="D394" i="22"/>
  <c r="D420" i="22" s="1"/>
  <c r="D518" i="22"/>
  <c r="D437" i="22"/>
  <c r="C93" i="26"/>
  <c r="E12" i="22"/>
  <c r="E38" i="22" s="1"/>
  <c r="E680" i="22"/>
  <c r="E706" i="22" s="1"/>
  <c r="D258" i="10"/>
  <c r="D261" i="10"/>
  <c r="D249" i="10"/>
  <c r="J184" i="7"/>
  <c r="J185" i="8"/>
  <c r="J439" i="8"/>
  <c r="J128" i="10"/>
  <c r="J80" i="10"/>
  <c r="J261" i="11"/>
  <c r="H530" i="22"/>
  <c r="H449" i="22"/>
  <c r="H406" i="22"/>
  <c r="H408" i="22" s="1"/>
  <c r="G99" i="26"/>
  <c r="I24" i="22"/>
  <c r="I26" i="22" s="1"/>
  <c r="I692" i="22"/>
  <c r="I694" i="22" s="1"/>
  <c r="H46" i="11"/>
  <c r="H37" i="11"/>
  <c r="H49" i="11"/>
  <c r="N581" i="8"/>
  <c r="N242" i="10"/>
  <c r="L425" i="11"/>
  <c r="L120" i="12"/>
  <c r="J746" i="24"/>
  <c r="M201" i="10"/>
  <c r="Q581" i="8"/>
  <c r="Q242" i="10"/>
  <c r="J419" i="8"/>
  <c r="E84" i="8"/>
  <c r="B87" i="8"/>
  <c r="E87" i="8" s="1"/>
  <c r="G245" i="8"/>
  <c r="G257" i="8"/>
  <c r="G254" i="8"/>
  <c r="C74" i="8"/>
  <c r="C106" i="8" s="1"/>
  <c r="C96" i="8"/>
  <c r="B37" i="11"/>
  <c r="B49" i="11"/>
  <c r="E20" i="11"/>
  <c r="B46" i="11"/>
  <c r="E23" i="11"/>
  <c r="E138" i="9"/>
  <c r="E141" i="9"/>
  <c r="E28" i="9"/>
  <c r="E1473" i="24"/>
  <c r="D150" i="9"/>
  <c r="D1470" i="24"/>
  <c r="G172" i="11"/>
  <c r="G169" i="11"/>
  <c r="G160" i="11"/>
  <c r="E89" i="11"/>
  <c r="I372" i="8"/>
  <c r="J210" i="11"/>
  <c r="I138" i="9"/>
  <c r="I141" i="9"/>
  <c r="I28" i="9"/>
  <c r="G95" i="8"/>
  <c r="G73" i="8"/>
  <c r="G105" i="8" s="1"/>
  <c r="C450" i="11"/>
  <c r="C456" i="11"/>
  <c r="C143" i="12"/>
  <c r="B218" i="26"/>
  <c r="I184" i="11"/>
  <c r="D120" i="11"/>
  <c r="D132" i="11"/>
  <c r="D183" i="11"/>
  <c r="D129" i="11"/>
  <c r="D186" i="11"/>
  <c r="L318" i="8"/>
  <c r="L317" i="8"/>
  <c r="L266" i="8"/>
  <c r="L67" i="11"/>
  <c r="L136" i="11"/>
  <c r="L137" i="11"/>
  <c r="J1104" i="24"/>
  <c r="J418" i="8"/>
  <c r="D368" i="8"/>
  <c r="D380" i="8"/>
  <c r="D377" i="8"/>
  <c r="B184" i="7"/>
  <c r="B185" i="8"/>
  <c r="B439" i="8"/>
  <c r="E439" i="8"/>
  <c r="B128" i="10"/>
  <c r="B80" i="10"/>
  <c r="E126" i="10"/>
  <c r="E261" i="11"/>
  <c r="B261" i="11"/>
  <c r="B406" i="22"/>
  <c r="B408" i="22" s="1"/>
  <c r="B530" i="22"/>
  <c r="B449" i="22"/>
  <c r="A99" i="26"/>
  <c r="C24" i="22"/>
  <c r="C26" i="22" s="1"/>
  <c r="C692" i="22"/>
  <c r="C694" i="22" s="1"/>
  <c r="E367" i="8"/>
  <c r="E364" i="8"/>
  <c r="P23" i="9"/>
  <c r="P97" i="9"/>
  <c r="P100" i="9"/>
  <c r="E111" i="9"/>
  <c r="I327" i="8"/>
  <c r="I324" i="8"/>
  <c r="F407" i="8"/>
  <c r="F404" i="8"/>
  <c r="E545" i="8"/>
  <c r="E557" i="8"/>
  <c r="E554" i="8"/>
  <c r="K52" i="7"/>
  <c r="K184" i="8"/>
  <c r="K436" i="8"/>
  <c r="K130" i="10"/>
  <c r="K46" i="10"/>
  <c r="K251" i="11"/>
  <c r="I445" i="22"/>
  <c r="I402" i="22"/>
  <c r="I526" i="22"/>
  <c r="H96" i="26"/>
  <c r="J20" i="22"/>
  <c r="J688" i="22"/>
  <c r="K289" i="8"/>
  <c r="K271" i="8"/>
  <c r="K264" i="8"/>
  <c r="B793" i="24"/>
  <c r="B790" i="24"/>
  <c r="D128" i="9"/>
  <c r="D146" i="9"/>
  <c r="D27" i="9"/>
  <c r="D29" i="9" s="1"/>
  <c r="D125" i="9"/>
  <c r="D1469" i="24"/>
  <c r="I195" i="7"/>
  <c r="F200" i="7"/>
  <c r="F203" i="7"/>
  <c r="J86" i="7"/>
  <c r="J86" i="8"/>
  <c r="B70" i="7"/>
  <c r="B81" i="8"/>
  <c r="E128" i="11"/>
  <c r="B208" i="11"/>
  <c r="E208" i="11" s="1"/>
  <c r="H456" i="11"/>
  <c r="H143" i="12"/>
  <c r="H450" i="11"/>
  <c r="F218" i="26"/>
  <c r="H232" i="7"/>
  <c r="H229" i="7"/>
  <c r="H250" i="7"/>
  <c r="I89" i="11"/>
  <c r="E79" i="7"/>
  <c r="B89" i="7"/>
  <c r="B82" i="7"/>
  <c r="B260" i="11" s="1"/>
  <c r="H805" i="24"/>
  <c r="H790" i="24"/>
  <c r="H793" i="24"/>
  <c r="C200" i="7"/>
  <c r="C203" i="7"/>
  <c r="E255" i="8"/>
  <c r="G805" i="24"/>
  <c r="I386" i="8"/>
  <c r="I255" i="8"/>
  <c r="D373" i="11"/>
  <c r="D189" i="12"/>
  <c r="D197" i="12" s="1"/>
  <c r="C134" i="26"/>
  <c r="D378" i="11"/>
  <c r="D391" i="11"/>
  <c r="D570" i="8"/>
  <c r="C205" i="26"/>
  <c r="E176" i="12"/>
  <c r="B184" i="12"/>
  <c r="E184" i="12" s="1"/>
  <c r="E562" i="8"/>
  <c r="B570" i="8"/>
  <c r="A205" i="26"/>
  <c r="D419" i="8"/>
  <c r="E282" i="8"/>
  <c r="E285" i="8"/>
  <c r="L275" i="8"/>
  <c r="L344" i="8"/>
  <c r="L345" i="8"/>
  <c r="L55" i="11"/>
  <c r="L100" i="11"/>
  <c r="L101" i="11"/>
  <c r="J1092" i="24"/>
  <c r="C146" i="9"/>
  <c r="C27" i="9"/>
  <c r="C125" i="9"/>
  <c r="C128" i="9"/>
  <c r="C1469" i="24"/>
  <c r="C219" i="12"/>
  <c r="B130" i="26"/>
  <c r="D111" i="9"/>
  <c r="E195" i="7"/>
  <c r="B203" i="7"/>
  <c r="B200" i="7"/>
  <c r="M105" i="9"/>
  <c r="M22" i="9"/>
  <c r="M84" i="9"/>
  <c r="M87" i="9"/>
  <c r="J39" i="9"/>
  <c r="Q27" i="9"/>
  <c r="Q29" i="9" s="1"/>
  <c r="Q125" i="9"/>
  <c r="Q128" i="9"/>
  <c r="Q146" i="9"/>
  <c r="L105" i="9"/>
  <c r="L22" i="9"/>
  <c r="L84" i="9"/>
  <c r="L87" i="9"/>
  <c r="F167" i="7"/>
  <c r="F170" i="7"/>
  <c r="I45" i="11"/>
  <c r="F111" i="9"/>
  <c r="F798" i="24"/>
  <c r="F777" i="24"/>
  <c r="F780" i="24"/>
  <c r="B257" i="7"/>
  <c r="E257" i="7" s="1"/>
  <c r="E231" i="7"/>
  <c r="E185" i="11"/>
  <c r="E306" i="7"/>
  <c r="I317" i="7"/>
  <c r="I320" i="7"/>
  <c r="E303" i="7"/>
  <c r="C317" i="7"/>
  <c r="C320" i="7"/>
  <c r="P105" i="9"/>
  <c r="P22" i="9"/>
  <c r="P24" i="9" s="1"/>
  <c r="P84" i="9"/>
  <c r="P87" i="9"/>
  <c r="H111" i="9"/>
  <c r="H170" i="7"/>
  <c r="H167" i="7"/>
  <c r="D232" i="7"/>
  <c r="D250" i="7"/>
  <c r="D229" i="7"/>
  <c r="E379" i="8"/>
  <c r="K449" i="24"/>
  <c r="K303" i="9"/>
  <c r="J775" i="24"/>
  <c r="I48" i="11"/>
  <c r="O1490" i="24"/>
  <c r="O1493" i="24"/>
  <c r="O109" i="9"/>
  <c r="B180" i="7"/>
  <c r="B181" i="8"/>
  <c r="B429" i="8"/>
  <c r="B115" i="10"/>
  <c r="B139" i="10"/>
  <c r="E113" i="10"/>
  <c r="B76" i="10"/>
  <c r="B230" i="11"/>
  <c r="B393" i="22"/>
  <c r="B517" i="22"/>
  <c r="B436" i="22"/>
  <c r="A92" i="26"/>
  <c r="C11" i="22"/>
  <c r="C679" i="22"/>
  <c r="B569" i="8"/>
  <c r="E561" i="8"/>
  <c r="B563" i="8"/>
  <c r="A204" i="26"/>
  <c r="K154" i="7"/>
  <c r="K298" i="7"/>
  <c r="K578" i="8"/>
  <c r="K160" i="7"/>
  <c r="K160" i="8"/>
  <c r="I759" i="24"/>
  <c r="I735" i="24"/>
  <c r="I737" i="24"/>
  <c r="I763" i="24" s="1"/>
  <c r="K585" i="8"/>
  <c r="K255" i="10"/>
  <c r="K305" i="7"/>
  <c r="K311" i="7"/>
  <c r="K32" i="7"/>
  <c r="K603" i="8"/>
  <c r="K148" i="7"/>
  <c r="E96" i="10"/>
  <c r="E99" i="10"/>
  <c r="H373" i="11"/>
  <c r="H189" i="12"/>
  <c r="H197" i="12" s="1"/>
  <c r="F134" i="26"/>
  <c r="H378" i="11"/>
  <c r="H391" i="11"/>
  <c r="H459" i="8" s="1"/>
  <c r="H570" i="8"/>
  <c r="F205" i="26"/>
  <c r="I96" i="10"/>
  <c r="I99" i="10"/>
  <c r="I27" i="9"/>
  <c r="I29" i="9" s="1"/>
  <c r="I125" i="9"/>
  <c r="I128" i="9"/>
  <c r="I146" i="9"/>
  <c r="I364" i="11"/>
  <c r="F372" i="11"/>
  <c r="F366" i="11"/>
  <c r="F188" i="12"/>
  <c r="D133" i="26"/>
  <c r="F390" i="11"/>
  <c r="F456" i="8" s="1"/>
  <c r="F377" i="11"/>
  <c r="I353" i="11"/>
  <c r="F361" i="11"/>
  <c r="F358" i="11"/>
  <c r="D183" i="12"/>
  <c r="D177" i="12"/>
  <c r="L1493" i="24"/>
  <c r="L1490" i="24"/>
  <c r="E199" i="7"/>
  <c r="G152" i="9"/>
  <c r="L296" i="7"/>
  <c r="N576" i="8"/>
  <c r="L89" i="10"/>
  <c r="N225" i="10"/>
  <c r="L186" i="10"/>
  <c r="L210" i="10"/>
  <c r="L408" i="11"/>
  <c r="L103" i="12"/>
  <c r="J729" i="24"/>
  <c r="M225" i="10"/>
  <c r="M184" i="10"/>
  <c r="L576" i="8"/>
  <c r="L225" i="10"/>
  <c r="M576" i="8"/>
  <c r="G358" i="11"/>
  <c r="G361" i="11"/>
  <c r="G257" i="7"/>
  <c r="H48" i="7"/>
  <c r="H179" i="7"/>
  <c r="H180" i="8"/>
  <c r="H117" i="10"/>
  <c r="H143" i="10" s="1"/>
  <c r="H111" i="10"/>
  <c r="H135" i="10"/>
  <c r="H42" i="10"/>
  <c r="H75" i="10"/>
  <c r="G513" i="22"/>
  <c r="G432" i="22"/>
  <c r="G389" i="22"/>
  <c r="F89" i="26"/>
  <c r="H7" i="22"/>
  <c r="H675" i="22"/>
  <c r="J90" i="7"/>
  <c r="H317" i="7"/>
  <c r="H320" i="7"/>
  <c r="C19" i="21"/>
  <c r="G127" i="12"/>
  <c r="G139" i="12"/>
  <c r="G136" i="12"/>
  <c r="I131" i="11"/>
  <c r="F211" i="11"/>
  <c r="I272" i="8"/>
  <c r="F295" i="8"/>
  <c r="I269" i="8"/>
  <c r="F286" i="8"/>
  <c r="F298" i="8"/>
  <c r="J180" i="7"/>
  <c r="J181" i="8"/>
  <c r="J115" i="10"/>
  <c r="J139" i="10"/>
  <c r="J76" i="10"/>
  <c r="H436" i="22"/>
  <c r="H393" i="22"/>
  <c r="H517" i="22"/>
  <c r="G92" i="26"/>
  <c r="I679" i="22"/>
  <c r="I11" i="22"/>
  <c r="R146" i="9"/>
  <c r="R27" i="9"/>
  <c r="R125" i="9"/>
  <c r="R128" i="9"/>
  <c r="K256" i="10"/>
  <c r="K598" i="8"/>
  <c r="J329" i="9"/>
  <c r="J317" i="9"/>
  <c r="H73" i="7"/>
  <c r="H66" i="7"/>
  <c r="H95" i="7"/>
  <c r="I111" i="9"/>
  <c r="I415" i="8"/>
  <c r="H89" i="7"/>
  <c r="B111" i="9"/>
  <c r="E130" i="11"/>
  <c r="B210" i="11"/>
  <c r="E210" i="11" s="1"/>
  <c r="E45" i="11"/>
  <c r="B254" i="7"/>
  <c r="E254" i="7" s="1"/>
  <c r="E228" i="7"/>
  <c r="H254" i="8"/>
  <c r="H245" i="8"/>
  <c r="H257" i="8"/>
  <c r="I241" i="8"/>
  <c r="I244" i="8"/>
  <c r="C141" i="9"/>
  <c r="C28" i="9"/>
  <c r="C138" i="9"/>
  <c r="C1473" i="24"/>
  <c r="I191" i="11"/>
  <c r="F793" i="24"/>
  <c r="F790" i="24"/>
  <c r="G87" i="11"/>
  <c r="G78" i="11"/>
  <c r="G90" i="11"/>
  <c r="E442" i="11"/>
  <c r="I25" i="10"/>
  <c r="F33" i="10"/>
  <c r="C432" i="11"/>
  <c r="C444" i="11"/>
  <c r="C441" i="11"/>
  <c r="G802" i="24"/>
  <c r="I282" i="8"/>
  <c r="I285" i="8"/>
  <c r="K179" i="7"/>
  <c r="K180" i="8"/>
  <c r="K111" i="10"/>
  <c r="K135" i="10"/>
  <c r="K75" i="10"/>
  <c r="I389" i="22"/>
  <c r="I513" i="22"/>
  <c r="I432" i="22"/>
  <c r="H89" i="26"/>
  <c r="J7" i="22"/>
  <c r="J675" i="22"/>
  <c r="J294" i="10"/>
  <c r="H762" i="24"/>
  <c r="H753" i="24"/>
  <c r="H765" i="24"/>
  <c r="F146" i="9"/>
  <c r="F27" i="9"/>
  <c r="F29" i="9" s="1"/>
  <c r="F125" i="9"/>
  <c r="F128" i="9"/>
  <c r="F1469" i="24"/>
  <c r="G74" i="8"/>
  <c r="G106" i="8" s="1"/>
  <c r="G96" i="8"/>
  <c r="K32" i="8"/>
  <c r="K154" i="8"/>
  <c r="K148" i="8"/>
  <c r="K22" i="9"/>
  <c r="K84" i="9"/>
  <c r="K87" i="9"/>
  <c r="K105" i="9"/>
  <c r="C180" i="7"/>
  <c r="C181" i="8"/>
  <c r="C429" i="8"/>
  <c r="C115" i="10"/>
  <c r="C139" i="10"/>
  <c r="C76" i="10"/>
  <c r="C230" i="11"/>
  <c r="C393" i="22"/>
  <c r="C517" i="22"/>
  <c r="C436" i="22"/>
  <c r="B92" i="26"/>
  <c r="D679" i="22"/>
  <c r="D11" i="22"/>
  <c r="P39" i="9"/>
  <c r="G232" i="7"/>
  <c r="G229" i="7"/>
  <c r="G250" i="7"/>
  <c r="G19" i="21"/>
  <c r="B804" i="24"/>
  <c r="C184" i="7"/>
  <c r="C185" i="8"/>
  <c r="C438" i="8"/>
  <c r="C439" i="8"/>
  <c r="C128" i="10"/>
  <c r="D154" i="10" s="1"/>
  <c r="C80" i="10"/>
  <c r="C260" i="11"/>
  <c r="C261" i="11"/>
  <c r="C449" i="22"/>
  <c r="C406" i="22"/>
  <c r="C408" i="22" s="1"/>
  <c r="C530" i="22"/>
  <c r="B99" i="26"/>
  <c r="D692" i="22"/>
  <c r="D694" i="22" s="1"/>
  <c r="D24" i="22"/>
  <c r="D26" i="22" s="1"/>
  <c r="J254" i="7"/>
  <c r="I64" i="7"/>
  <c r="F96" i="7"/>
  <c r="F74" i="7"/>
  <c r="C288" i="10"/>
  <c r="C33" i="10"/>
  <c r="C285" i="10"/>
  <c r="C370" i="11"/>
  <c r="B138" i="26" s="1"/>
  <c r="C192" i="12"/>
  <c r="C194" i="12" s="1"/>
  <c r="B136" i="26"/>
  <c r="C394" i="11"/>
  <c r="C466" i="8" s="1"/>
  <c r="C381" i="11"/>
  <c r="I33" i="10"/>
  <c r="B97" i="9"/>
  <c r="B100" i="9"/>
  <c r="B23" i="9"/>
  <c r="K566" i="8"/>
  <c r="K453" i="11"/>
  <c r="K180" i="12"/>
  <c r="I1073" i="24"/>
  <c r="E231" i="8"/>
  <c r="B254" i="8"/>
  <c r="E228" i="8"/>
  <c r="B245" i="8"/>
  <c r="B257" i="8"/>
  <c r="J101" i="7"/>
  <c r="I34" i="7"/>
  <c r="G39" i="7"/>
  <c r="G39" i="8"/>
  <c r="G167" i="8"/>
  <c r="G170" i="8"/>
  <c r="G609" i="8"/>
  <c r="G612" i="8"/>
  <c r="G600" i="8"/>
  <c r="I382" i="11"/>
  <c r="F206" i="12"/>
  <c r="I206" i="12" s="1"/>
  <c r="D215" i="26"/>
  <c r="E119" i="11"/>
  <c r="B199" i="11"/>
  <c r="E116" i="11"/>
  <c r="B196" i="11"/>
  <c r="N97" i="9"/>
  <c r="N100" i="9"/>
  <c r="N23" i="9"/>
  <c r="M1493" i="24"/>
  <c r="M1490" i="24"/>
  <c r="I252" i="7"/>
  <c r="K141" i="9"/>
  <c r="K28" i="9"/>
  <c r="K138" i="9"/>
  <c r="H23" i="9"/>
  <c r="H97" i="9"/>
  <c r="H100" i="9"/>
  <c r="B288" i="10"/>
  <c r="E25" i="10"/>
  <c r="B33" i="10"/>
  <c r="B285" i="10"/>
  <c r="H33" i="10"/>
  <c r="G490" i="22"/>
  <c r="G652" i="22" s="1"/>
  <c r="G612" i="22"/>
  <c r="B181" i="12"/>
  <c r="E181" i="12" s="1"/>
  <c r="E179" i="12"/>
  <c r="E565" i="8"/>
  <c r="B567" i="8"/>
  <c r="A207" i="26"/>
  <c r="G219" i="12"/>
  <c r="E130" i="26"/>
  <c r="C245" i="8"/>
  <c r="C257" i="8"/>
  <c r="C254" i="8"/>
  <c r="J457" i="11"/>
  <c r="J144" i="12"/>
  <c r="G219" i="26"/>
  <c r="H258" i="10"/>
  <c r="H261" i="10"/>
  <c r="H249" i="10"/>
  <c r="F37" i="11"/>
  <c r="F49" i="11"/>
  <c r="I20" i="11"/>
  <c r="I23" i="11"/>
  <c r="F46" i="11"/>
  <c r="Q1493" i="24"/>
  <c r="Q1490" i="24"/>
  <c r="M100" i="9"/>
  <c r="M23" i="9"/>
  <c r="M97" i="9"/>
  <c r="D53" i="7"/>
  <c r="D197" i="8"/>
  <c r="D467" i="8"/>
  <c r="D47" i="10"/>
  <c r="D131" i="10"/>
  <c r="D254" i="11"/>
  <c r="D403" i="22"/>
  <c r="D411" i="22" s="1"/>
  <c r="D527" i="22"/>
  <c r="D446" i="22"/>
  <c r="C97" i="26"/>
  <c r="E21" i="22"/>
  <c r="E29" i="22" s="1"/>
  <c r="E689" i="22"/>
  <c r="E697" i="22" s="1"/>
  <c r="C377" i="8"/>
  <c r="C368" i="8"/>
  <c r="C380" i="8"/>
  <c r="K143" i="12"/>
  <c r="H218" i="26"/>
  <c r="H219" i="12"/>
  <c r="F130" i="26"/>
  <c r="G196" i="11"/>
  <c r="G199" i="11"/>
  <c r="H370" i="11"/>
  <c r="F138" i="26" s="1"/>
  <c r="H192" i="12"/>
  <c r="H194" i="12" s="1"/>
  <c r="F136" i="26"/>
  <c r="H381" i="11"/>
  <c r="H394" i="11"/>
  <c r="H567" i="8"/>
  <c r="F209" i="26" s="1"/>
  <c r="F207" i="26"/>
  <c r="J53" i="7"/>
  <c r="J197" i="8"/>
  <c r="J467" i="8"/>
  <c r="J131" i="10"/>
  <c r="J47" i="10"/>
  <c r="J254" i="11"/>
  <c r="H403" i="22"/>
  <c r="H411" i="22" s="1"/>
  <c r="H527" i="22"/>
  <c r="H446" i="22"/>
  <c r="G97" i="26"/>
  <c r="I21" i="22"/>
  <c r="I29" i="22" s="1"/>
  <c r="I689" i="22"/>
  <c r="I697" i="22" s="1"/>
  <c r="I80" i="7"/>
  <c r="F90" i="7"/>
  <c r="I90" i="7" s="1"/>
  <c r="C66" i="8"/>
  <c r="C95" i="8"/>
  <c r="C73" i="8"/>
  <c r="C105" i="8" s="1"/>
  <c r="O146" i="9"/>
  <c r="O27" i="9"/>
  <c r="O29" i="9" s="1"/>
  <c r="O125" i="9"/>
  <c r="O128" i="9"/>
  <c r="B300" i="10"/>
  <c r="G141" i="9"/>
  <c r="G28" i="9"/>
  <c r="G138" i="9"/>
  <c r="G1473" i="24"/>
  <c r="F300" i="10"/>
  <c r="I300" i="10"/>
  <c r="D39" i="7"/>
  <c r="D39" i="8"/>
  <c r="D170" i="8"/>
  <c r="D167" i="8"/>
  <c r="D600" i="8"/>
  <c r="D609" i="8"/>
  <c r="D612" i="8"/>
  <c r="G370" i="11"/>
  <c r="E138" i="26" s="1"/>
  <c r="G192" i="12"/>
  <c r="G194" i="12" s="1"/>
  <c r="E136" i="26"/>
  <c r="G394" i="11"/>
  <c r="G253" i="11" s="1"/>
  <c r="G381" i="11"/>
  <c r="G567" i="8"/>
  <c r="E209" i="26" s="1"/>
  <c r="E207" i="26"/>
  <c r="B89" i="8"/>
  <c r="E89" i="8" s="1"/>
  <c r="B82" i="8"/>
  <c r="E79" i="8"/>
  <c r="M538" i="8"/>
  <c r="E84" i="7"/>
  <c r="B87" i="7"/>
  <c r="G70" i="7"/>
  <c r="G102" i="7" s="1"/>
  <c r="G81" i="8"/>
  <c r="G91" i="8" s="1"/>
  <c r="G208" i="11"/>
  <c r="I294" i="8"/>
  <c r="J368" i="8"/>
  <c r="J380" i="8"/>
  <c r="J377" i="8"/>
  <c r="G194" i="8"/>
  <c r="G460" i="8"/>
  <c r="G140" i="10"/>
  <c r="G233" i="11"/>
  <c r="F518" i="22"/>
  <c r="F437" i="22"/>
  <c r="F394" i="22"/>
  <c r="F420" i="22" s="1"/>
  <c r="E93" i="26"/>
  <c r="G12" i="22"/>
  <c r="G38" i="22" s="1"/>
  <c r="G680" i="22"/>
  <c r="G706" i="22" s="1"/>
  <c r="C286" i="8"/>
  <c r="C298" i="8"/>
  <c r="C295" i="8"/>
  <c r="I39" i="7"/>
  <c r="C39" i="7"/>
  <c r="E34" i="7"/>
  <c r="I39" i="8"/>
  <c r="I167" i="8"/>
  <c r="I170" i="8"/>
  <c r="C39" i="8"/>
  <c r="C167" i="8"/>
  <c r="C170" i="8"/>
  <c r="I600" i="8"/>
  <c r="C609" i="8"/>
  <c r="C612" i="8"/>
  <c r="C600" i="8"/>
  <c r="I609" i="8"/>
  <c r="I612" i="8"/>
  <c r="E252" i="7"/>
  <c r="D328" i="8"/>
  <c r="D340" i="8"/>
  <c r="D337" i="8"/>
  <c r="D394" i="8"/>
  <c r="D391" i="8"/>
  <c r="E69" i="7"/>
  <c r="B101" i="7"/>
  <c r="E101" i="7" s="1"/>
  <c r="H412" i="8"/>
  <c r="I182" i="11"/>
  <c r="I351" i="8"/>
  <c r="F368" i="8"/>
  <c r="F380" i="8"/>
  <c r="I354" i="8"/>
  <c r="F377" i="8"/>
  <c r="E805" i="24"/>
  <c r="E790" i="24"/>
  <c r="E793" i="24"/>
  <c r="E74" i="11"/>
  <c r="E77" i="11"/>
  <c r="E159" i="11"/>
  <c r="E156" i="11"/>
  <c r="J70" i="7"/>
  <c r="J81" i="8"/>
  <c r="J208" i="11"/>
  <c r="G95" i="7"/>
  <c r="G73" i="7"/>
  <c r="C358" i="11"/>
  <c r="C361" i="11"/>
  <c r="I84" i="8"/>
  <c r="E63" i="10"/>
  <c r="E66" i="10"/>
  <c r="I306" i="7"/>
  <c r="G317" i="7"/>
  <c r="I303" i="7"/>
  <c r="G320" i="7"/>
  <c r="I159" i="11"/>
  <c r="I156" i="11"/>
  <c r="I103" i="11"/>
  <c r="F120" i="11"/>
  <c r="F132" i="11"/>
  <c r="F186" i="11"/>
  <c r="I106" i="11"/>
  <c r="F183" i="11"/>
  <c r="F129" i="11"/>
  <c r="H194" i="8"/>
  <c r="H140" i="10"/>
  <c r="H232" i="11"/>
  <c r="H460" i="8" s="1"/>
  <c r="G394" i="22"/>
  <c r="G420" i="22" s="1"/>
  <c r="G518" i="22"/>
  <c r="G437" i="22"/>
  <c r="F93" i="26"/>
  <c r="H680" i="22"/>
  <c r="H706" i="22" s="1"/>
  <c r="H12" i="22"/>
  <c r="H38" i="22" s="1"/>
  <c r="L150" i="7"/>
  <c r="N580" i="8"/>
  <c r="L60" i="10"/>
  <c r="L205" i="10"/>
  <c r="N238" i="10"/>
  <c r="L421" i="11"/>
  <c r="L116" i="12"/>
  <c r="J742" i="24"/>
  <c r="Q580" i="8"/>
  <c r="M197" i="10"/>
  <c r="Q238" i="10"/>
  <c r="H217" i="7"/>
  <c r="H214" i="7"/>
  <c r="F180" i="7"/>
  <c r="F181" i="8"/>
  <c r="F115" i="10"/>
  <c r="F139" i="10"/>
  <c r="I113" i="10"/>
  <c r="F76" i="10"/>
  <c r="E517" i="22"/>
  <c r="E436" i="22"/>
  <c r="E393" i="22"/>
  <c r="D92" i="26"/>
  <c r="F11" i="22"/>
  <c r="F679" i="22"/>
  <c r="E405" i="8"/>
  <c r="E105" i="9"/>
  <c r="E22" i="9"/>
  <c r="E24" i="9" s="1"/>
  <c r="E84" i="9"/>
  <c r="E87" i="9"/>
  <c r="F454" i="11"/>
  <c r="I452" i="11"/>
  <c r="F147" i="12"/>
  <c r="D221" i="26"/>
  <c r="I399" i="8"/>
  <c r="K49" i="7"/>
  <c r="K193" i="8"/>
  <c r="K118" i="10"/>
  <c r="K43" i="10"/>
  <c r="I390" i="22"/>
  <c r="I514" i="22"/>
  <c r="I433" i="22"/>
  <c r="H90" i="26"/>
  <c r="J676" i="22"/>
  <c r="J8" i="22"/>
  <c r="K227" i="7"/>
  <c r="K118" i="11"/>
  <c r="K190" i="11"/>
  <c r="K123" i="11"/>
  <c r="K389" i="8"/>
  <c r="K335" i="8"/>
  <c r="K313" i="8"/>
  <c r="B52" i="7"/>
  <c r="B183" i="7"/>
  <c r="B184" i="8"/>
  <c r="E436" i="8"/>
  <c r="B436" i="8"/>
  <c r="B46" i="10"/>
  <c r="B79" i="10"/>
  <c r="B124" i="10"/>
  <c r="E122" i="10"/>
  <c r="B130" i="10"/>
  <c r="E130" i="10" s="1"/>
  <c r="B251" i="11"/>
  <c r="B250" i="11"/>
  <c r="E251" i="11"/>
  <c r="B526" i="22"/>
  <c r="B445" i="22"/>
  <c r="B402" i="22"/>
  <c r="A96" i="26"/>
  <c r="C688" i="22"/>
  <c r="C20" i="22"/>
  <c r="I209" i="7"/>
  <c r="F217" i="7"/>
  <c r="F214" i="7"/>
  <c r="C1490" i="24"/>
  <c r="C1493" i="24"/>
  <c r="D805" i="24"/>
  <c r="D790" i="24"/>
  <c r="D793" i="24"/>
  <c r="H366" i="11"/>
  <c r="H372" i="11"/>
  <c r="H188" i="12"/>
  <c r="F133" i="26"/>
  <c r="H377" i="11"/>
  <c r="H390" i="11"/>
  <c r="H361" i="11"/>
  <c r="H358" i="11"/>
  <c r="I69" i="7"/>
  <c r="F101" i="7"/>
  <c r="I101" i="7" s="1"/>
  <c r="J96" i="7"/>
  <c r="J74" i="7"/>
  <c r="J52" i="7"/>
  <c r="J183" i="7"/>
  <c r="J184" i="8"/>
  <c r="J436" i="8"/>
  <c r="J46" i="10"/>
  <c r="J79" i="10"/>
  <c r="J124" i="10"/>
  <c r="J130" i="10"/>
  <c r="J251" i="11"/>
  <c r="H402" i="22"/>
  <c r="H526" i="22"/>
  <c r="H445" i="22"/>
  <c r="G96" i="26"/>
  <c r="I20" i="22"/>
  <c r="I688" i="22"/>
  <c r="I545" i="8"/>
  <c r="I557" i="8"/>
  <c r="I554" i="8"/>
  <c r="I431" i="11"/>
  <c r="I428" i="11"/>
  <c r="H49" i="7"/>
  <c r="H193" i="8"/>
  <c r="H43" i="10"/>
  <c r="H51" i="10" s="1"/>
  <c r="H118" i="10"/>
  <c r="H144" i="10" s="1"/>
  <c r="H136" i="10"/>
  <c r="G433" i="22"/>
  <c r="G390" i="22"/>
  <c r="G514" i="22"/>
  <c r="F90" i="26"/>
  <c r="H676" i="22"/>
  <c r="H8" i="22"/>
  <c r="L23" i="9"/>
  <c r="L97" i="9"/>
  <c r="L100" i="9"/>
  <c r="E150" i="9"/>
  <c r="E1470" i="24"/>
  <c r="D170" i="7"/>
  <c r="D167" i="7"/>
  <c r="J194" i="8"/>
  <c r="J140" i="10"/>
  <c r="H394" i="22"/>
  <c r="H420" i="22" s="1"/>
  <c r="H518" i="22"/>
  <c r="H437" i="22"/>
  <c r="G93" i="26"/>
  <c r="I680" i="22"/>
  <c r="I706" i="22" s="1"/>
  <c r="I12" i="22"/>
  <c r="I38" i="22" s="1"/>
  <c r="E449" i="11"/>
  <c r="B457" i="11"/>
  <c r="B144" i="12"/>
  <c r="A219" i="26"/>
  <c r="D200" i="7"/>
  <c r="D203" i="7"/>
  <c r="M152" i="9"/>
  <c r="K348" i="9"/>
  <c r="K445" i="24"/>
  <c r="K299" i="9"/>
  <c r="J222" i="9"/>
  <c r="J771" i="24"/>
  <c r="S146" i="9"/>
  <c r="S27" i="9"/>
  <c r="S29" i="9" s="1"/>
  <c r="S125" i="9"/>
  <c r="S128" i="9"/>
  <c r="C206" i="12"/>
  <c r="B215" i="26"/>
  <c r="D105" i="9"/>
  <c r="D22" i="9"/>
  <c r="D24" i="9" s="1"/>
  <c r="D84" i="9"/>
  <c r="D87" i="9"/>
  <c r="E411" i="8"/>
  <c r="H294" i="10"/>
  <c r="G753" i="24"/>
  <c r="G765" i="24"/>
  <c r="G762" i="24"/>
  <c r="C97" i="9"/>
  <c r="C100" i="9"/>
  <c r="C23" i="9"/>
  <c r="I113" i="12"/>
  <c r="F136" i="12"/>
  <c r="I110" i="12"/>
  <c r="F127" i="12"/>
  <c r="F139" i="12"/>
  <c r="D87" i="11"/>
  <c r="D78" i="11"/>
  <c r="D90" i="11"/>
  <c r="I206" i="11"/>
  <c r="J65" i="7"/>
  <c r="J65" i="8"/>
  <c r="J204" i="11"/>
  <c r="I336" i="8"/>
  <c r="F416" i="8"/>
  <c r="I416" i="8" s="1"/>
  <c r="F87" i="9"/>
  <c r="F105" i="9"/>
  <c r="F22" i="9"/>
  <c r="F24" i="9" s="1"/>
  <c r="F84" i="9"/>
  <c r="G48" i="7"/>
  <c r="G179" i="7"/>
  <c r="G180" i="8"/>
  <c r="G426" i="8"/>
  <c r="G111" i="10"/>
  <c r="G135" i="10"/>
  <c r="G42" i="10"/>
  <c r="G75" i="10"/>
  <c r="G117" i="10"/>
  <c r="G220" i="11"/>
  <c r="F432" i="22"/>
  <c r="F389" i="22"/>
  <c r="F513" i="22"/>
  <c r="E89" i="26"/>
  <c r="G7" i="22"/>
  <c r="G675" i="22"/>
  <c r="D370" i="11"/>
  <c r="C138" i="26" s="1"/>
  <c r="D192" i="12"/>
  <c r="D194" i="12" s="1"/>
  <c r="C136" i="26"/>
  <c r="D381" i="11"/>
  <c r="D394" i="11"/>
  <c r="D466" i="8" s="1"/>
  <c r="D567" i="8"/>
  <c r="C209" i="26" s="1"/>
  <c r="C207" i="26"/>
  <c r="G214" i="7"/>
  <c r="G217" i="7"/>
  <c r="I442" i="11"/>
  <c r="H105" i="9"/>
  <c r="H22" i="9"/>
  <c r="H24" i="9" s="1"/>
  <c r="H84" i="9"/>
  <c r="H87" i="9"/>
  <c r="J112" i="9"/>
  <c r="F65" i="7"/>
  <c r="F66" i="7" s="1"/>
  <c r="F65" i="8"/>
  <c r="I124" i="11"/>
  <c r="F204" i="11"/>
  <c r="F232" i="7"/>
  <c r="F229" i="7"/>
  <c r="F250" i="7"/>
  <c r="I250" i="7" s="1"/>
  <c r="I224" i="7"/>
  <c r="H87" i="11"/>
  <c r="H78" i="11"/>
  <c r="H90" i="11"/>
  <c r="N590" i="8"/>
  <c r="N230" i="10"/>
  <c r="L413" i="11"/>
  <c r="L108" i="12"/>
  <c r="J734" i="24"/>
  <c r="M590" i="8"/>
  <c r="M189" i="10"/>
  <c r="L590" i="8"/>
  <c r="M230" i="10"/>
  <c r="L230" i="10"/>
  <c r="F89" i="8"/>
  <c r="I89" i="8" s="1"/>
  <c r="I79" i="8"/>
  <c r="F82" i="8"/>
  <c r="I405" i="8"/>
  <c r="B450" i="11"/>
  <c r="E448" i="11"/>
  <c r="B456" i="11"/>
  <c r="B143" i="12"/>
  <c r="A218" i="26"/>
  <c r="J328" i="9"/>
  <c r="J304" i="9"/>
  <c r="J306" i="9"/>
  <c r="J332" i="9" s="1"/>
  <c r="J371" i="9"/>
  <c r="J349" i="9"/>
  <c r="J346" i="9"/>
  <c r="K218" i="10"/>
  <c r="K233" i="10"/>
  <c r="K109" i="12"/>
  <c r="K133" i="12"/>
  <c r="K111" i="12"/>
  <c r="K216" i="10"/>
  <c r="K194" i="10"/>
  <c r="K231" i="10"/>
  <c r="K191" i="10"/>
  <c r="J167" i="7"/>
  <c r="J170" i="7"/>
  <c r="B1490" i="24"/>
  <c r="B1493" i="24"/>
  <c r="I941" i="22"/>
  <c r="I919" i="22"/>
  <c r="I945" i="22" s="1"/>
  <c r="I916" i="22"/>
  <c r="J852" i="22"/>
  <c r="J888" i="22"/>
  <c r="J879" i="22"/>
  <c r="J891" i="22"/>
  <c r="F177" i="12"/>
  <c r="I175" i="12"/>
  <c r="F183" i="12"/>
  <c r="I183" i="12" s="1"/>
  <c r="I359" i="11"/>
  <c r="E12" i="21"/>
  <c r="E14" i="21" s="1"/>
  <c r="D317" i="7"/>
  <c r="D320" i="7"/>
  <c r="D456" i="11"/>
  <c r="D143" i="12"/>
  <c r="D450" i="11"/>
  <c r="C218" i="26"/>
  <c r="E143" i="11"/>
  <c r="B169" i="11"/>
  <c r="E146" i="11"/>
  <c r="B160" i="11"/>
  <c r="B172" i="11"/>
  <c r="G146" i="9"/>
  <c r="G27" i="9"/>
  <c r="G125" i="9"/>
  <c r="G128" i="9"/>
  <c r="G1469" i="24"/>
  <c r="K341" i="9"/>
  <c r="K365" i="9"/>
  <c r="K444" i="24"/>
  <c r="K298" i="9"/>
  <c r="J239" i="9"/>
  <c r="J215" i="9"/>
  <c r="J770" i="24"/>
  <c r="I74" i="11"/>
  <c r="I77" i="11"/>
  <c r="E156" i="8"/>
  <c r="E153" i="8"/>
  <c r="D71" i="8"/>
  <c r="D103" i="8" s="1"/>
  <c r="D100" i="8"/>
  <c r="G366" i="11"/>
  <c r="G188" i="12"/>
  <c r="G372" i="11"/>
  <c r="E133" i="26"/>
  <c r="G390" i="11"/>
  <c r="G377" i="11"/>
  <c r="F14" i="21"/>
  <c r="C129" i="11"/>
  <c r="C120" i="11"/>
  <c r="C132" i="11"/>
  <c r="C186" i="11"/>
  <c r="C183" i="11"/>
  <c r="G804" i="24"/>
  <c r="B150" i="9"/>
  <c r="B1470" i="24"/>
  <c r="B1478" i="24" s="1"/>
  <c r="I392" i="8"/>
  <c r="I185" i="11"/>
  <c r="L138" i="9"/>
  <c r="L141" i="9"/>
  <c r="L28" i="9"/>
  <c r="L315" i="7"/>
  <c r="L607" i="8"/>
  <c r="I760" i="24"/>
  <c r="I748" i="24"/>
  <c r="J272" i="9"/>
  <c r="J928" i="22"/>
  <c r="J475" i="24"/>
  <c r="J463" i="24"/>
  <c r="I105" i="9"/>
  <c r="I22" i="9"/>
  <c r="I24" i="9" s="1"/>
  <c r="I84" i="9"/>
  <c r="I87" i="9"/>
  <c r="B87" i="9"/>
  <c r="B105" i="9"/>
  <c r="B22" i="9"/>
  <c r="B24" i="9" s="1"/>
  <c r="B84" i="9"/>
  <c r="I170" i="11"/>
  <c r="N152" i="9"/>
  <c r="G180" i="7"/>
  <c r="G181" i="8"/>
  <c r="G429" i="8"/>
  <c r="G115" i="10"/>
  <c r="G139" i="10"/>
  <c r="G76" i="10"/>
  <c r="G84" i="10" s="1"/>
  <c r="G230" i="11"/>
  <c r="F393" i="22"/>
  <c r="F517" i="22"/>
  <c r="F436" i="22"/>
  <c r="E92" i="26"/>
  <c r="G11" i="22"/>
  <c r="G679" i="22"/>
  <c r="C74" i="7"/>
  <c r="C96" i="7"/>
  <c r="E184" i="11"/>
  <c r="E393" i="8"/>
  <c r="E113" i="12"/>
  <c r="B136" i="12"/>
  <c r="E110" i="12"/>
  <c r="B127" i="12"/>
  <c r="B139" i="12"/>
  <c r="J454" i="11"/>
  <c r="J147" i="12"/>
  <c r="G221" i="26"/>
  <c r="E191" i="11"/>
  <c r="H211" i="11"/>
  <c r="E804" i="24"/>
  <c r="J28" i="9"/>
  <c r="J138" i="9"/>
  <c r="J141" i="9"/>
  <c r="I414" i="8"/>
  <c r="G52" i="7"/>
  <c r="G183" i="7"/>
  <c r="G184" i="8"/>
  <c r="G435" i="8"/>
  <c r="G436" i="8"/>
  <c r="G130" i="10"/>
  <c r="G46" i="10"/>
  <c r="G79" i="10"/>
  <c r="G124" i="10"/>
  <c r="G250" i="11"/>
  <c r="G251" i="11"/>
  <c r="F526" i="22"/>
  <c r="F445" i="22"/>
  <c r="F402" i="22"/>
  <c r="E96" i="26"/>
  <c r="G688" i="22"/>
  <c r="G20" i="22"/>
  <c r="G46" i="11"/>
  <c r="G37" i="11"/>
  <c r="G49" i="11"/>
  <c r="E203" i="11"/>
  <c r="B418" i="8"/>
  <c r="E418" i="8" s="1"/>
  <c r="E338" i="8"/>
  <c r="E386" i="8"/>
  <c r="J249" i="10"/>
  <c r="J258" i="10"/>
  <c r="J261" i="10"/>
  <c r="F86" i="7"/>
  <c r="I86" i="7" s="1"/>
  <c r="F86" i="8"/>
  <c r="I86" i="8" s="1"/>
  <c r="I168" i="11"/>
  <c r="I436" i="11"/>
  <c r="J245" i="7"/>
  <c r="J242" i="7"/>
  <c r="I202" i="11"/>
  <c r="H180" i="7"/>
  <c r="H181" i="8"/>
  <c r="H428" i="8"/>
  <c r="H76" i="10"/>
  <c r="H84" i="10" s="1"/>
  <c r="H115" i="10"/>
  <c r="H139" i="10"/>
  <c r="H229" i="11"/>
  <c r="H230" i="11" s="1"/>
  <c r="G393" i="22"/>
  <c r="G517" i="22"/>
  <c r="G436" i="22"/>
  <c r="F92" i="26"/>
  <c r="H679" i="22"/>
  <c r="H11" i="22"/>
  <c r="G286" i="8"/>
  <c r="G298" i="8"/>
  <c r="G295" i="8"/>
  <c r="I318" i="9"/>
  <c r="I321" i="9"/>
  <c r="I326" i="9"/>
  <c r="J257" i="7"/>
  <c r="B194" i="8"/>
  <c r="B460" i="8"/>
  <c r="B140" i="10"/>
  <c r="E114" i="10"/>
  <c r="B233" i="11"/>
  <c r="B518" i="22"/>
  <c r="B437" i="22"/>
  <c r="B394" i="22"/>
  <c r="B420" i="22" s="1"/>
  <c r="A93" i="26"/>
  <c r="C12" i="22"/>
  <c r="C38" i="22" s="1"/>
  <c r="C680" i="22"/>
  <c r="C706" i="22" s="1"/>
  <c r="G65" i="7"/>
  <c r="G66" i="7" s="1"/>
  <c r="G65" i="8"/>
  <c r="G204" i="11"/>
  <c r="E88" i="11"/>
  <c r="B798" i="24"/>
  <c r="E286" i="10" s="1"/>
  <c r="B777" i="24"/>
  <c r="B780" i="24"/>
  <c r="E278" i="10"/>
  <c r="J39" i="7"/>
  <c r="J39" i="8"/>
  <c r="J167" i="8"/>
  <c r="J170" i="8"/>
  <c r="J609" i="8"/>
  <c r="J612" i="8"/>
  <c r="J600" i="8"/>
  <c r="K127" i="10"/>
  <c r="K80" i="10" s="1"/>
  <c r="K113" i="10"/>
  <c r="C71" i="8" l="1"/>
  <c r="C103" i="8" s="1"/>
  <c r="D143" i="10"/>
  <c r="G81" i="10"/>
  <c r="E457" i="11"/>
  <c r="K24" i="9"/>
  <c r="H82" i="7"/>
  <c r="E569" i="8"/>
  <c r="E416" i="8"/>
  <c r="F459" i="8"/>
  <c r="G29" i="9"/>
  <c r="I96" i="7"/>
  <c r="R29" i="9"/>
  <c r="E89" i="7"/>
  <c r="H29" i="9"/>
  <c r="G143" i="10"/>
  <c r="D253" i="11"/>
  <c r="D125" i="7" s="1"/>
  <c r="C84" i="10"/>
  <c r="H425" i="8"/>
  <c r="C29" i="9"/>
  <c r="B438" i="8"/>
  <c r="B500" i="8" s="1"/>
  <c r="E372" i="11"/>
  <c r="H300" i="10"/>
  <c r="H250" i="11"/>
  <c r="D250" i="11"/>
  <c r="C148" i="26" s="1"/>
  <c r="G125" i="7"/>
  <c r="G273" i="11"/>
  <c r="E149" i="26"/>
  <c r="C125" i="8"/>
  <c r="B201" i="26" s="1"/>
  <c r="C472" i="8"/>
  <c r="B199" i="26"/>
  <c r="H112" i="8"/>
  <c r="H431" i="8"/>
  <c r="F189" i="26"/>
  <c r="F122" i="8"/>
  <c r="F462" i="8"/>
  <c r="D196" i="26"/>
  <c r="C14" i="7"/>
  <c r="C98" i="7"/>
  <c r="C72" i="7"/>
  <c r="C76" i="7"/>
  <c r="C425" i="8"/>
  <c r="C229" i="11"/>
  <c r="C219" i="11"/>
  <c r="C428" i="8"/>
  <c r="C479" i="8"/>
  <c r="B197" i="26"/>
  <c r="D256" i="11"/>
  <c r="G98" i="7"/>
  <c r="G219" i="11"/>
  <c r="G229" i="11"/>
  <c r="G425" i="8"/>
  <c r="G428" i="8"/>
  <c r="F14" i="7"/>
  <c r="F72" i="7"/>
  <c r="F76" i="7"/>
  <c r="I66" i="7"/>
  <c r="F98" i="7"/>
  <c r="F428" i="8"/>
  <c r="F425" i="8"/>
  <c r="F219" i="11"/>
  <c r="F229" i="11"/>
  <c r="F148" i="26"/>
  <c r="A151" i="26"/>
  <c r="I331" i="9"/>
  <c r="I334" i="9"/>
  <c r="I322" i="9"/>
  <c r="G438" i="22"/>
  <c r="G462" i="22"/>
  <c r="G476" i="22"/>
  <c r="G598" i="22"/>
  <c r="H490" i="8"/>
  <c r="F190" i="26"/>
  <c r="B544" i="22"/>
  <c r="B584" i="22" s="1"/>
  <c r="B558" i="22"/>
  <c r="H681" i="22"/>
  <c r="H707" i="22" s="1"/>
  <c r="H705" i="22"/>
  <c r="G419" i="22"/>
  <c r="G395" i="22"/>
  <c r="G421" i="22" s="1"/>
  <c r="H141" i="10"/>
  <c r="J150" i="10"/>
  <c r="H207" i="8"/>
  <c r="H189" i="8"/>
  <c r="F175" i="26"/>
  <c r="G28" i="22"/>
  <c r="G22" i="22"/>
  <c r="F485" i="22"/>
  <c r="F607" i="22"/>
  <c r="F447" i="22"/>
  <c r="F453" i="22"/>
  <c r="G132" i="10"/>
  <c r="G129" i="10"/>
  <c r="H155" i="10" s="1"/>
  <c r="H153" i="10"/>
  <c r="G123" i="7"/>
  <c r="G185" i="7"/>
  <c r="G116" i="8"/>
  <c r="G442" i="8"/>
  <c r="G271" i="11"/>
  <c r="G223" i="26"/>
  <c r="G705" i="22"/>
  <c r="G681" i="22"/>
  <c r="G707" i="22" s="1"/>
  <c r="F543" i="22"/>
  <c r="F583" i="22" s="1"/>
  <c r="F557" i="22"/>
  <c r="F519" i="22"/>
  <c r="J231" i="9"/>
  <c r="L202" i="10"/>
  <c r="J1101" i="24"/>
  <c r="L539" i="8"/>
  <c r="J285" i="9"/>
  <c r="J273" i="9"/>
  <c r="K357" i="9"/>
  <c r="C200" i="11"/>
  <c r="C212" i="11"/>
  <c r="C173" i="11"/>
  <c r="C209" i="11"/>
  <c r="G398" i="11"/>
  <c r="G392" i="11"/>
  <c r="G214" i="12"/>
  <c r="E126" i="26"/>
  <c r="G374" i="11"/>
  <c r="G371" i="11"/>
  <c r="E139" i="26" s="1"/>
  <c r="E135" i="26"/>
  <c r="K254" i="9"/>
  <c r="K446" i="24"/>
  <c r="K910" i="22"/>
  <c r="K470" i="24"/>
  <c r="D458" i="11"/>
  <c r="D455" i="11"/>
  <c r="C224" i="26" s="1"/>
  <c r="C220" i="26"/>
  <c r="E456" i="11"/>
  <c r="G677" i="22"/>
  <c r="G683" i="22"/>
  <c r="G701" i="22"/>
  <c r="F391" i="22"/>
  <c r="F397" i="22"/>
  <c r="F415" i="22"/>
  <c r="G119" i="10"/>
  <c r="G116" i="10"/>
  <c r="H149" i="10"/>
  <c r="G137" i="10"/>
  <c r="H157" i="10" s="1"/>
  <c r="G9" i="7"/>
  <c r="G50" i="7"/>
  <c r="G187" i="7"/>
  <c r="G263" i="7"/>
  <c r="G488" i="8"/>
  <c r="G226" i="11"/>
  <c r="E91" i="26"/>
  <c r="J75" i="7"/>
  <c r="J97" i="7"/>
  <c r="J202" i="8"/>
  <c r="G182" i="26"/>
  <c r="H16" i="22"/>
  <c r="H42" i="22" s="1"/>
  <c r="H34" i="22"/>
  <c r="H447" i="22"/>
  <c r="H453" i="22"/>
  <c r="H485" i="22"/>
  <c r="H607" i="22"/>
  <c r="J132" i="10"/>
  <c r="J129" i="10"/>
  <c r="K153" i="10"/>
  <c r="J185" i="7"/>
  <c r="J123" i="7"/>
  <c r="J116" i="8"/>
  <c r="J442" i="8"/>
  <c r="J271" i="11"/>
  <c r="H398" i="11"/>
  <c r="H392" i="11"/>
  <c r="H214" i="12"/>
  <c r="F126" i="26"/>
  <c r="K415" i="8"/>
  <c r="I398" i="22"/>
  <c r="K52" i="8"/>
  <c r="K195" i="8"/>
  <c r="H181" i="26"/>
  <c r="E110" i="9"/>
  <c r="E101" i="9"/>
  <c r="E113" i="9"/>
  <c r="F681" i="22"/>
  <c r="F707" i="22" s="1"/>
  <c r="F705" i="22"/>
  <c r="G150" i="10"/>
  <c r="F141" i="10"/>
  <c r="I115" i="10"/>
  <c r="L124" i="12"/>
  <c r="M124" i="12" s="1"/>
  <c r="M116" i="12"/>
  <c r="N246" i="10"/>
  <c r="Q246" i="10"/>
  <c r="M205" i="10"/>
  <c r="J91" i="8"/>
  <c r="K180" i="7"/>
  <c r="K181" i="8"/>
  <c r="K115" i="10"/>
  <c r="K119" i="10" s="1"/>
  <c r="K139" i="10"/>
  <c r="K76" i="10"/>
  <c r="K84" i="10" s="1"/>
  <c r="I517" i="22"/>
  <c r="I436" i="22"/>
  <c r="I393" i="22"/>
  <c r="H92" i="26"/>
  <c r="J11" i="22"/>
  <c r="J679" i="22"/>
  <c r="J683" i="22" s="1"/>
  <c r="B803" i="24"/>
  <c r="B794" i="24"/>
  <c r="B806" i="24"/>
  <c r="E280" i="10"/>
  <c r="G75" i="8"/>
  <c r="G107" i="8" s="1"/>
  <c r="G97" i="8"/>
  <c r="B480" i="8"/>
  <c r="E140" i="10"/>
  <c r="B295" i="11"/>
  <c r="E194" i="8"/>
  <c r="B202" i="8"/>
  <c r="A182" i="26"/>
  <c r="H188" i="7"/>
  <c r="F94" i="26"/>
  <c r="G696" i="22"/>
  <c r="G690" i="22"/>
  <c r="F566" i="22"/>
  <c r="F528" i="22"/>
  <c r="F534" i="22"/>
  <c r="F574" i="22" s="1"/>
  <c r="G10" i="10"/>
  <c r="G18" i="10" s="1"/>
  <c r="G48" i="10"/>
  <c r="E192" i="26"/>
  <c r="C11" i="3"/>
  <c r="C106" i="7"/>
  <c r="G13" i="22"/>
  <c r="G39" i="22" s="1"/>
  <c r="G37" i="22"/>
  <c r="F419" i="22"/>
  <c r="F395" i="22"/>
  <c r="F421" i="22" s="1"/>
  <c r="G449" i="8"/>
  <c r="G292" i="11"/>
  <c r="G207" i="8"/>
  <c r="G189" i="8"/>
  <c r="E175" i="26"/>
  <c r="B101" i="9"/>
  <c r="B113" i="9"/>
  <c r="B110" i="9"/>
  <c r="G32" i="9"/>
  <c r="G1471" i="24"/>
  <c r="G1477" i="24"/>
  <c r="D151" i="12"/>
  <c r="D145" i="12"/>
  <c r="F185" i="12"/>
  <c r="F182" i="12"/>
  <c r="I177" i="12"/>
  <c r="K232" i="10"/>
  <c r="K235" i="10"/>
  <c r="K257" i="10"/>
  <c r="K135" i="12"/>
  <c r="K110" i="12"/>
  <c r="K113" i="12"/>
  <c r="M108" i="12"/>
  <c r="I204" i="11"/>
  <c r="G15" i="22"/>
  <c r="G41" i="22" s="1"/>
  <c r="G33" i="22"/>
  <c r="G9" i="22"/>
  <c r="F458" i="22"/>
  <c r="F472" i="22"/>
  <c r="F594" i="22"/>
  <c r="F434" i="22"/>
  <c r="F440" i="22"/>
  <c r="G44" i="10"/>
  <c r="G83" i="10"/>
  <c r="G9" i="10"/>
  <c r="G56" i="7"/>
  <c r="G181" i="7"/>
  <c r="G113" i="7"/>
  <c r="G113" i="8"/>
  <c r="G432" i="8"/>
  <c r="G240" i="11"/>
  <c r="H463" i="22"/>
  <c r="H477" i="22"/>
  <c r="H599" i="22"/>
  <c r="H684" i="22"/>
  <c r="H710" i="22" s="1"/>
  <c r="H702" i="22"/>
  <c r="G459" i="22"/>
  <c r="G473" i="22"/>
  <c r="G595" i="22"/>
  <c r="G441" i="22"/>
  <c r="H52" i="8"/>
  <c r="H195" i="8"/>
  <c r="H201" i="8"/>
  <c r="F181" i="26"/>
  <c r="I696" i="22"/>
  <c r="I690" i="22"/>
  <c r="H528" i="22"/>
  <c r="H534" i="22"/>
  <c r="H574" i="22" s="1"/>
  <c r="H566" i="22"/>
  <c r="J10" i="10"/>
  <c r="J48" i="10"/>
  <c r="J11" i="3"/>
  <c r="J106" i="7"/>
  <c r="H385" i="11"/>
  <c r="H379" i="11"/>
  <c r="H201" i="12"/>
  <c r="F211" i="26"/>
  <c r="H374" i="11"/>
  <c r="H371" i="11"/>
  <c r="F139" i="26" s="1"/>
  <c r="F135" i="26"/>
  <c r="B404" i="22"/>
  <c r="B410" i="22"/>
  <c r="B122" i="7"/>
  <c r="B270" i="11"/>
  <c r="A148" i="26"/>
  <c r="E124" i="10"/>
  <c r="B132" i="10"/>
  <c r="B129" i="10"/>
  <c r="C153" i="10"/>
  <c r="E52" i="7"/>
  <c r="B185" i="7"/>
  <c r="E123" i="7"/>
  <c r="B123" i="7"/>
  <c r="B116" i="8"/>
  <c r="E116" i="8"/>
  <c r="E442" i="8"/>
  <c r="B442" i="8"/>
  <c r="B271" i="11"/>
  <c r="E271" i="11"/>
  <c r="K198" i="11"/>
  <c r="K131" i="11"/>
  <c r="F13" i="22"/>
  <c r="F39" i="22" s="1"/>
  <c r="F37" i="22"/>
  <c r="E543" i="22"/>
  <c r="E583" i="22" s="1"/>
  <c r="E557" i="22"/>
  <c r="E519" i="22"/>
  <c r="I76" i="10"/>
  <c r="F84" i="10"/>
  <c r="I84" i="10" s="1"/>
  <c r="F188" i="7"/>
  <c r="I180" i="7"/>
  <c r="D94" i="26"/>
  <c r="L429" i="11"/>
  <c r="M429" i="11" s="1"/>
  <c r="M421" i="11"/>
  <c r="N164" i="7"/>
  <c r="N161" i="8"/>
  <c r="N582" i="8"/>
  <c r="Q164" i="7"/>
  <c r="M150" i="7"/>
  <c r="Q161" i="8"/>
  <c r="Q582" i="8"/>
  <c r="G463" i="22"/>
  <c r="G477" i="22"/>
  <c r="G599" i="22"/>
  <c r="H233" i="11"/>
  <c r="H202" i="8"/>
  <c r="F182" i="26"/>
  <c r="J102" i="7"/>
  <c r="I368" i="8"/>
  <c r="I380" i="8"/>
  <c r="I377" i="8"/>
  <c r="F544" i="22"/>
  <c r="F584" i="22" s="1"/>
  <c r="F558" i="22"/>
  <c r="E87" i="7"/>
  <c r="B469" i="8"/>
  <c r="B263" i="11"/>
  <c r="B275" i="7" s="1"/>
  <c r="E567" i="8"/>
  <c r="A209" i="26"/>
  <c r="K484" i="11"/>
  <c r="H1073" i="24"/>
  <c r="J484" i="11" s="1"/>
  <c r="D37" i="22"/>
  <c r="D13" i="22"/>
  <c r="D39" i="22" s="1"/>
  <c r="C519" i="22"/>
  <c r="C543" i="22"/>
  <c r="C583" i="22" s="1"/>
  <c r="C557" i="22"/>
  <c r="F151" i="9"/>
  <c r="F142" i="9"/>
  <c r="F154" i="9"/>
  <c r="J701" i="22"/>
  <c r="J677" i="22"/>
  <c r="I515" i="22"/>
  <c r="I521" i="22"/>
  <c r="I539" i="22"/>
  <c r="I579" i="22" s="1"/>
  <c r="I553" i="22"/>
  <c r="K117" i="10"/>
  <c r="K143" i="10" s="1"/>
  <c r="K9" i="7"/>
  <c r="K50" i="7"/>
  <c r="H91" i="26"/>
  <c r="H287" i="10"/>
  <c r="H301" i="10"/>
  <c r="H10" i="3"/>
  <c r="H105" i="7"/>
  <c r="R151" i="9"/>
  <c r="R142" i="9"/>
  <c r="R154" i="9"/>
  <c r="I681" i="22"/>
  <c r="I707" i="22" s="1"/>
  <c r="I705" i="22"/>
  <c r="H462" i="22"/>
  <c r="H476" i="22"/>
  <c r="H598" i="22"/>
  <c r="H438" i="22"/>
  <c r="J84" i="10"/>
  <c r="J188" i="7"/>
  <c r="G94" i="26"/>
  <c r="H683" i="22"/>
  <c r="H701" i="22"/>
  <c r="H677" i="22"/>
  <c r="G458" i="22"/>
  <c r="G472" i="22"/>
  <c r="G594" i="22"/>
  <c r="G434" i="22"/>
  <c r="G440" i="22"/>
  <c r="H9" i="10"/>
  <c r="H44" i="10"/>
  <c r="H83" i="10"/>
  <c r="H9" i="7"/>
  <c r="H187" i="7"/>
  <c r="H50" i="7"/>
  <c r="F91" i="26"/>
  <c r="L105" i="12"/>
  <c r="L129" i="12"/>
  <c r="M129" i="12" s="1"/>
  <c r="M103" i="12"/>
  <c r="N227" i="10"/>
  <c r="M186" i="10"/>
  <c r="L227" i="10"/>
  <c r="M227" i="10"/>
  <c r="F379" i="11"/>
  <c r="F201" i="12"/>
  <c r="I377" i="11"/>
  <c r="F385" i="11"/>
  <c r="D211" i="26"/>
  <c r="F371" i="11"/>
  <c r="I366" i="11"/>
  <c r="F374" i="11"/>
  <c r="D135" i="26"/>
  <c r="K312" i="7"/>
  <c r="B568" i="8"/>
  <c r="E563" i="8"/>
  <c r="B571" i="8"/>
  <c r="A206" i="26"/>
  <c r="C13" i="22"/>
  <c r="C39" i="22" s="1"/>
  <c r="C37" i="22"/>
  <c r="B419" i="22"/>
  <c r="B395" i="22"/>
  <c r="B421" i="22" s="1"/>
  <c r="E76" i="10"/>
  <c r="B84" i="10"/>
  <c r="E84" i="10" s="1"/>
  <c r="E180" i="7"/>
  <c r="B266" i="7"/>
  <c r="B188" i="7"/>
  <c r="B491" i="8"/>
  <c r="B236" i="11"/>
  <c r="A94" i="26"/>
  <c r="K259" i="9"/>
  <c r="K924" i="22"/>
  <c r="D246" i="7"/>
  <c r="D255" i="7"/>
  <c r="D258" i="7"/>
  <c r="P110" i="9"/>
  <c r="P101" i="9"/>
  <c r="P113" i="9"/>
  <c r="L110" i="9"/>
  <c r="L101" i="9"/>
  <c r="L113" i="9"/>
  <c r="M24" i="9"/>
  <c r="C32" i="9"/>
  <c r="C1471" i="24"/>
  <c r="C1477" i="24"/>
  <c r="L102" i="11"/>
  <c r="L126" i="11"/>
  <c r="M100" i="11"/>
  <c r="L277" i="8"/>
  <c r="M275" i="8"/>
  <c r="D215" i="12"/>
  <c r="D223" i="12" s="1"/>
  <c r="D399" i="11"/>
  <c r="C127" i="26"/>
  <c r="E70" i="7"/>
  <c r="B102" i="7"/>
  <c r="E102" i="7" s="1"/>
  <c r="D142" i="9"/>
  <c r="D154" i="9"/>
  <c r="D151" i="9"/>
  <c r="K297" i="8"/>
  <c r="K49" i="8"/>
  <c r="K186" i="8"/>
  <c r="H177" i="26"/>
  <c r="B532" i="22"/>
  <c r="B572" i="22" s="1"/>
  <c r="B570" i="22"/>
  <c r="E184" i="7"/>
  <c r="E276" i="7"/>
  <c r="B276" i="7"/>
  <c r="E501" i="8"/>
  <c r="B501" i="8"/>
  <c r="B267" i="11"/>
  <c r="E267" i="11"/>
  <c r="A101" i="26"/>
  <c r="L163" i="11"/>
  <c r="M163" i="11" s="1"/>
  <c r="M137" i="11"/>
  <c r="L325" i="8"/>
  <c r="L319" i="8"/>
  <c r="M317" i="8"/>
  <c r="M120" i="12"/>
  <c r="D202" i="8"/>
  <c r="C182" i="26"/>
  <c r="B302" i="10"/>
  <c r="B299" i="10"/>
  <c r="C386" i="11"/>
  <c r="C202" i="12"/>
  <c r="C210" i="12" s="1"/>
  <c r="B212" i="26"/>
  <c r="B396" i="11"/>
  <c r="E394" i="11"/>
  <c r="B218" i="12"/>
  <c r="A129" i="26"/>
  <c r="E370" i="11"/>
  <c r="A138" i="26"/>
  <c r="E245" i="7"/>
  <c r="E242" i="7"/>
  <c r="D16" i="22"/>
  <c r="D42" i="22" s="1"/>
  <c r="D34" i="22"/>
  <c r="C459" i="22"/>
  <c r="C473" i="22"/>
  <c r="C595" i="22"/>
  <c r="C441" i="22"/>
  <c r="C477" i="8"/>
  <c r="C285" i="11"/>
  <c r="C52" i="8"/>
  <c r="C201" i="8"/>
  <c r="C195" i="8"/>
  <c r="B181" i="26"/>
  <c r="C16" i="22"/>
  <c r="C42" i="22" s="1"/>
  <c r="C34" i="22"/>
  <c r="B522" i="22"/>
  <c r="B540" i="22"/>
  <c r="B580" i="22" s="1"/>
  <c r="B554" i="22"/>
  <c r="B477" i="8"/>
  <c r="E136" i="10"/>
  <c r="B285" i="11"/>
  <c r="B201" i="8"/>
  <c r="B52" i="8"/>
  <c r="E193" i="8"/>
  <c r="B195" i="8"/>
  <c r="A181" i="26"/>
  <c r="Q110" i="9"/>
  <c r="Q101" i="9"/>
  <c r="Q113" i="9"/>
  <c r="F486" i="22"/>
  <c r="F608" i="22"/>
  <c r="F454" i="22"/>
  <c r="G126" i="7"/>
  <c r="G126" i="8"/>
  <c r="G473" i="8"/>
  <c r="G274" i="11"/>
  <c r="F683" i="22"/>
  <c r="F701" i="22"/>
  <c r="F677" i="22"/>
  <c r="E515" i="22"/>
  <c r="E521" i="22"/>
  <c r="E539" i="22"/>
  <c r="E579" i="22" s="1"/>
  <c r="E553" i="22"/>
  <c r="I42" i="10"/>
  <c r="F50" i="10"/>
  <c r="F77" i="10"/>
  <c r="I48" i="7"/>
  <c r="F56" i="7"/>
  <c r="F181" i="7"/>
  <c r="G209" i="26"/>
  <c r="H71" i="8"/>
  <c r="H103" i="8" s="1"/>
  <c r="L288" i="8"/>
  <c r="M288" i="8" s="1"/>
  <c r="L270" i="8"/>
  <c r="M262" i="8"/>
  <c r="D28" i="22"/>
  <c r="D22" i="22"/>
  <c r="C404" i="22"/>
  <c r="C410" i="22"/>
  <c r="C10" i="10"/>
  <c r="C18" i="10" s="1"/>
  <c r="C48" i="10"/>
  <c r="C435" i="8"/>
  <c r="B185" i="12"/>
  <c r="B182" i="12"/>
  <c r="E177" i="12"/>
  <c r="M114" i="11"/>
  <c r="L350" i="8"/>
  <c r="M348" i="8"/>
  <c r="I412" i="8"/>
  <c r="D188" i="7"/>
  <c r="C94" i="26"/>
  <c r="E368" i="8"/>
  <c r="E380" i="8"/>
  <c r="E377" i="8"/>
  <c r="E16" i="22"/>
  <c r="E42" i="22" s="1"/>
  <c r="E34" i="22"/>
  <c r="D540" i="22"/>
  <c r="D580" i="22" s="1"/>
  <c r="D554" i="22"/>
  <c r="D522" i="22"/>
  <c r="D144" i="10"/>
  <c r="E544" i="22"/>
  <c r="E584" i="22" s="1"/>
  <c r="E558" i="22"/>
  <c r="G15" i="7"/>
  <c r="G88" i="7"/>
  <c r="G92" i="7"/>
  <c r="K319" i="9"/>
  <c r="G532" i="22"/>
  <c r="G572" i="22" s="1"/>
  <c r="G570" i="22"/>
  <c r="H438" i="8"/>
  <c r="E441" i="22"/>
  <c r="E459" i="22"/>
  <c r="E473" i="22"/>
  <c r="E595" i="22"/>
  <c r="F222" i="11"/>
  <c r="I43" i="10"/>
  <c r="F51" i="10"/>
  <c r="M150" i="11"/>
  <c r="M322" i="8"/>
  <c r="G447" i="22"/>
  <c r="G453" i="22"/>
  <c r="G485" i="22"/>
  <c r="G607" i="22"/>
  <c r="H10" i="7"/>
  <c r="H54" i="7"/>
  <c r="H273" i="7"/>
  <c r="H498" i="8"/>
  <c r="H257" i="11"/>
  <c r="F98" i="26"/>
  <c r="I82" i="7"/>
  <c r="I477" i="22"/>
  <c r="I599" i="22"/>
  <c r="E432" i="11"/>
  <c r="E444" i="11"/>
  <c r="E441" i="11"/>
  <c r="E204" i="11"/>
  <c r="G71" i="7"/>
  <c r="G76" i="7" s="1"/>
  <c r="H434" i="22"/>
  <c r="H440" i="22"/>
  <c r="H458" i="22"/>
  <c r="H472" i="22"/>
  <c r="H594" i="22"/>
  <c r="J83" i="10"/>
  <c r="J9" i="10"/>
  <c r="J44" i="10"/>
  <c r="J9" i="7"/>
  <c r="J50" i="7"/>
  <c r="J187" i="7"/>
  <c r="G91" i="26"/>
  <c r="E683" i="22"/>
  <c r="E701" i="22"/>
  <c r="E677" i="22"/>
  <c r="D415" i="22"/>
  <c r="D391" i="22"/>
  <c r="D397" i="22"/>
  <c r="D77" i="10"/>
  <c r="D50" i="10"/>
  <c r="D56" i="7"/>
  <c r="D181" i="7"/>
  <c r="J151" i="9"/>
  <c r="J142" i="9"/>
  <c r="J154" i="9"/>
  <c r="E32" i="9"/>
  <c r="E1471" i="24"/>
  <c r="E1477" i="24"/>
  <c r="E1483" i="24"/>
  <c r="E29" i="9"/>
  <c r="D803" i="24"/>
  <c r="D794" i="24"/>
  <c r="D806" i="24"/>
  <c r="D280" i="10"/>
  <c r="I489" i="22"/>
  <c r="I611" i="22"/>
  <c r="B253" i="11"/>
  <c r="B272" i="7" s="1"/>
  <c r="E53" i="7"/>
  <c r="E126" i="7"/>
  <c r="B126" i="7"/>
  <c r="E126" i="8"/>
  <c r="B126" i="8"/>
  <c r="E473" i="8"/>
  <c r="B473" i="8"/>
  <c r="E274" i="11"/>
  <c r="B274" i="11"/>
  <c r="B515" i="22"/>
  <c r="B521" i="22"/>
  <c r="B539" i="22"/>
  <c r="B579" i="22" s="1"/>
  <c r="B553" i="22"/>
  <c r="E75" i="10"/>
  <c r="B83" i="10"/>
  <c r="B9" i="10"/>
  <c r="B44" i="10"/>
  <c r="B9" i="7"/>
  <c r="B50" i="7"/>
  <c r="E179" i="7"/>
  <c r="B187" i="7"/>
  <c r="B263" i="7"/>
  <c r="B488" i="8"/>
  <c r="B226" i="11"/>
  <c r="A91" i="26"/>
  <c r="E451" i="22"/>
  <c r="E489" i="22"/>
  <c r="E611" i="22"/>
  <c r="I128" i="10"/>
  <c r="G154" i="10"/>
  <c r="F211" i="8"/>
  <c r="I185" i="8"/>
  <c r="D178" i="26"/>
  <c r="J91" i="7"/>
  <c r="E328" i="8"/>
  <c r="E340" i="8"/>
  <c r="E337" i="8"/>
  <c r="B408" i="8"/>
  <c r="B420" i="8"/>
  <c r="B381" i="8"/>
  <c r="B417" i="8"/>
  <c r="E412" i="8"/>
  <c r="I286" i="10"/>
  <c r="F286" i="10"/>
  <c r="G182" i="12"/>
  <c r="G185" i="12"/>
  <c r="H82" i="8"/>
  <c r="D398" i="11"/>
  <c r="D392" i="11"/>
  <c r="D214" i="12"/>
  <c r="C126" i="26"/>
  <c r="K151" i="8"/>
  <c r="K543" i="8"/>
  <c r="K536" i="8"/>
  <c r="K548" i="8"/>
  <c r="K357" i="8"/>
  <c r="K358" i="8"/>
  <c r="K279" i="8"/>
  <c r="K68" i="11"/>
  <c r="K141" i="11"/>
  <c r="K140" i="11"/>
  <c r="I1105" i="24"/>
  <c r="I1118" i="24" s="1"/>
  <c r="I1110" i="24"/>
  <c r="I1098" i="24"/>
  <c r="J476" i="24"/>
  <c r="J30" i="21" s="1"/>
  <c r="J451" i="24"/>
  <c r="J454" i="24"/>
  <c r="B379" i="11"/>
  <c r="B201" i="12"/>
  <c r="E377" i="11"/>
  <c r="B385" i="11"/>
  <c r="A211" i="26"/>
  <c r="B371" i="11"/>
  <c r="E366" i="11"/>
  <c r="B374" i="11"/>
  <c r="A135" i="26"/>
  <c r="I100" i="7"/>
  <c r="L112" i="12"/>
  <c r="M104" i="12"/>
  <c r="C75" i="8"/>
  <c r="C107" i="8" s="1"/>
  <c r="C97" i="8"/>
  <c r="H398" i="22"/>
  <c r="H424" i="22" s="1"/>
  <c r="H416" i="22"/>
  <c r="J51" i="10"/>
  <c r="H571" i="8"/>
  <c r="H568" i="8"/>
  <c r="F210" i="26" s="1"/>
  <c r="F206" i="26"/>
  <c r="D81" i="10"/>
  <c r="D49" i="8"/>
  <c r="D210" i="8"/>
  <c r="D186" i="8"/>
  <c r="C177" i="26"/>
  <c r="K338" i="8"/>
  <c r="K392" i="8"/>
  <c r="K64" i="7"/>
  <c r="K88" i="11"/>
  <c r="K216" i="7"/>
  <c r="K209" i="7"/>
  <c r="M542" i="8"/>
  <c r="C398" i="11"/>
  <c r="C392" i="11"/>
  <c r="C214" i="12"/>
  <c r="B126" i="26"/>
  <c r="C196" i="12"/>
  <c r="C190" i="12"/>
  <c r="G684" i="22"/>
  <c r="G710" i="22" s="1"/>
  <c r="G702" i="22"/>
  <c r="F416" i="22"/>
  <c r="F398" i="22"/>
  <c r="F424" i="22" s="1"/>
  <c r="G477" i="8"/>
  <c r="G285" i="11"/>
  <c r="G52" i="8"/>
  <c r="G195" i="8"/>
  <c r="G201" i="8"/>
  <c r="E181" i="26"/>
  <c r="F22" i="22"/>
  <c r="F28" i="22"/>
  <c r="E485" i="22"/>
  <c r="E607" i="22"/>
  <c r="E447" i="22"/>
  <c r="E453" i="22"/>
  <c r="I130" i="10"/>
  <c r="I46" i="10"/>
  <c r="F81" i="10"/>
  <c r="I81" i="10" s="1"/>
  <c r="F49" i="8"/>
  <c r="I184" i="8"/>
  <c r="F186" i="8"/>
  <c r="F210" i="8"/>
  <c r="D177" i="26"/>
  <c r="H408" i="8"/>
  <c r="H420" i="8"/>
  <c r="H381" i="8"/>
  <c r="H417" i="8"/>
  <c r="L126" i="10"/>
  <c r="E96" i="8"/>
  <c r="C77" i="10"/>
  <c r="C50" i="10"/>
  <c r="I78" i="11"/>
  <c r="I90" i="11"/>
  <c r="I87" i="11"/>
  <c r="H11" i="3"/>
  <c r="H106" i="7"/>
  <c r="B151" i="9"/>
  <c r="B142" i="9"/>
  <c r="B154" i="9"/>
  <c r="G381" i="8"/>
  <c r="G417" i="8"/>
  <c r="G408" i="8"/>
  <c r="G420" i="8"/>
  <c r="J106" i="8"/>
  <c r="E535" i="22"/>
  <c r="E575" i="22" s="1"/>
  <c r="E567" i="22"/>
  <c r="I126" i="7"/>
  <c r="I53" i="7"/>
  <c r="F126" i="7"/>
  <c r="I126" i="8"/>
  <c r="F126" i="8"/>
  <c r="I473" i="8"/>
  <c r="F473" i="8"/>
  <c r="I274" i="11"/>
  <c r="F274" i="11"/>
  <c r="D11" i="3"/>
  <c r="D106" i="7"/>
  <c r="B10" i="3"/>
  <c r="E73" i="7"/>
  <c r="B105" i="7"/>
  <c r="L29" i="9"/>
  <c r="J568" i="8"/>
  <c r="J571" i="8"/>
  <c r="G206" i="26"/>
  <c r="G399" i="11"/>
  <c r="G215" i="12"/>
  <c r="G223" i="12" s="1"/>
  <c r="E127" i="26"/>
  <c r="K156" i="11"/>
  <c r="K195" i="11"/>
  <c r="K241" i="7"/>
  <c r="K159" i="11"/>
  <c r="D260" i="11"/>
  <c r="G486" i="22"/>
  <c r="G608" i="22"/>
  <c r="G454" i="22"/>
  <c r="H199" i="8"/>
  <c r="H53" i="8"/>
  <c r="F186" i="26" s="1"/>
  <c r="F184" i="26"/>
  <c r="I373" i="11"/>
  <c r="N24" i="9"/>
  <c r="I70" i="8"/>
  <c r="F102" i="8"/>
  <c r="I102" i="8" s="1"/>
  <c r="I257" i="7"/>
  <c r="S110" i="9"/>
  <c r="S101" i="9"/>
  <c r="S113" i="9"/>
  <c r="G75" i="7"/>
  <c r="G97" i="7"/>
  <c r="H265" i="7"/>
  <c r="H266" i="7" s="1"/>
  <c r="H235" i="11"/>
  <c r="F144" i="26"/>
  <c r="G49" i="8"/>
  <c r="G186" i="8"/>
  <c r="G210" i="8"/>
  <c r="E177" i="26"/>
  <c r="J149" i="12"/>
  <c r="E136" i="12"/>
  <c r="E127" i="12"/>
  <c r="E139" i="12"/>
  <c r="H150" i="10"/>
  <c r="G141" i="10"/>
  <c r="H158" i="10" s="1"/>
  <c r="G188" i="7"/>
  <c r="G266" i="7"/>
  <c r="G491" i="8"/>
  <c r="G236" i="11"/>
  <c r="E94" i="26"/>
  <c r="I110" i="9"/>
  <c r="I101" i="9"/>
  <c r="I113" i="9"/>
  <c r="B458" i="11"/>
  <c r="B455" i="11"/>
  <c r="E450" i="11"/>
  <c r="A220" i="26"/>
  <c r="M413" i="11"/>
  <c r="F101" i="9"/>
  <c r="F113" i="9"/>
  <c r="F110" i="9"/>
  <c r="I136" i="12"/>
  <c r="I127" i="12"/>
  <c r="I139" i="12"/>
  <c r="D110" i="9"/>
  <c r="D101" i="9"/>
  <c r="D113" i="9"/>
  <c r="K307" i="9"/>
  <c r="H57" i="7"/>
  <c r="C28" i="22"/>
  <c r="C22" i="22"/>
  <c r="E79" i="10"/>
  <c r="B10" i="10"/>
  <c r="B48" i="10"/>
  <c r="K393" i="8"/>
  <c r="K339" i="8"/>
  <c r="K253" i="7"/>
  <c r="K231" i="7"/>
  <c r="B15" i="8"/>
  <c r="B88" i="8"/>
  <c r="B92" i="8"/>
  <c r="G383" i="11"/>
  <c r="E216" i="26" s="1"/>
  <c r="G205" i="12"/>
  <c r="G207" i="12" s="1"/>
  <c r="E214" i="26"/>
  <c r="D454" i="22"/>
  <c r="D486" i="22"/>
  <c r="D608" i="22"/>
  <c r="C149" i="26"/>
  <c r="D125" i="8"/>
  <c r="C201" i="26" s="1"/>
  <c r="D472" i="8"/>
  <c r="C199" i="26"/>
  <c r="I37" i="11"/>
  <c r="I49" i="11"/>
  <c r="I46" i="11"/>
  <c r="C383" i="11"/>
  <c r="B216" i="26" s="1"/>
  <c r="C205" i="12"/>
  <c r="C207" i="12" s="1"/>
  <c r="B214" i="26"/>
  <c r="F11" i="3"/>
  <c r="I74" i="7"/>
  <c r="F106" i="7"/>
  <c r="C532" i="22"/>
  <c r="C572" i="22" s="1"/>
  <c r="C570" i="22"/>
  <c r="C275" i="7"/>
  <c r="B153" i="26" s="1"/>
  <c r="C266" i="11"/>
  <c r="B151" i="26"/>
  <c r="C500" i="8"/>
  <c r="B193" i="26"/>
  <c r="D681" i="22"/>
  <c r="D707" i="22" s="1"/>
  <c r="D705" i="22"/>
  <c r="C419" i="22"/>
  <c r="C395" i="22"/>
  <c r="C421" i="22" s="1"/>
  <c r="C449" i="8"/>
  <c r="C292" i="11"/>
  <c r="C207" i="8"/>
  <c r="C189" i="8"/>
  <c r="B175" i="26"/>
  <c r="J15" i="22"/>
  <c r="J33" i="22"/>
  <c r="J9" i="22"/>
  <c r="I415" i="22"/>
  <c r="I391" i="22"/>
  <c r="I397" i="22"/>
  <c r="K44" i="10"/>
  <c r="K9" i="10"/>
  <c r="K48" i="7"/>
  <c r="H9" i="22"/>
  <c r="H15" i="22"/>
  <c r="H33" i="22"/>
  <c r="G539" i="22"/>
  <c r="G579" i="22" s="1"/>
  <c r="G553" i="22"/>
  <c r="G515" i="22"/>
  <c r="G521" i="22"/>
  <c r="H77" i="10"/>
  <c r="H50" i="10"/>
  <c r="H56" i="7"/>
  <c r="H181" i="7"/>
  <c r="L410" i="11"/>
  <c r="L434" i="11"/>
  <c r="M434" i="11" s="1"/>
  <c r="M408" i="11"/>
  <c r="N310" i="7"/>
  <c r="N602" i="8"/>
  <c r="M310" i="7"/>
  <c r="L310" i="7"/>
  <c r="M296" i="7"/>
  <c r="L602" i="8"/>
  <c r="M602" i="8"/>
  <c r="I361" i="11"/>
  <c r="I358" i="11"/>
  <c r="F392" i="11"/>
  <c r="I390" i="11"/>
  <c r="F398" i="11"/>
  <c r="I398" i="11" s="1"/>
  <c r="F214" i="12"/>
  <c r="D126" i="26"/>
  <c r="I372" i="11"/>
  <c r="H215" i="12"/>
  <c r="H223" i="12" s="1"/>
  <c r="H399" i="11"/>
  <c r="F127" i="26"/>
  <c r="K37" i="7"/>
  <c r="K168" i="8"/>
  <c r="K604" i="8"/>
  <c r="L114" i="10"/>
  <c r="F803" i="24"/>
  <c r="F794" i="24"/>
  <c r="F806" i="24"/>
  <c r="L24" i="9"/>
  <c r="L63" i="11"/>
  <c r="M55" i="11"/>
  <c r="D386" i="11"/>
  <c r="D202" i="12"/>
  <c r="D210" i="12" s="1"/>
  <c r="C212" i="26"/>
  <c r="I203" i="7"/>
  <c r="I200" i="7"/>
  <c r="I534" i="22"/>
  <c r="I574" i="22" s="1"/>
  <c r="I566" i="22"/>
  <c r="A193" i="26"/>
  <c r="L138" i="11"/>
  <c r="L162" i="11"/>
  <c r="M162" i="11" s="1"/>
  <c r="M136" i="11"/>
  <c r="L326" i="8"/>
  <c r="M318" i="8"/>
  <c r="C145" i="12"/>
  <c r="C151" i="12"/>
  <c r="E35" i="9"/>
  <c r="E1475" i="24"/>
  <c r="E37" i="11"/>
  <c r="E49" i="11"/>
  <c r="E46" i="11"/>
  <c r="M425" i="11"/>
  <c r="K154" i="10"/>
  <c r="J211" i="8"/>
  <c r="G178" i="26"/>
  <c r="D463" i="22"/>
  <c r="D477" i="22"/>
  <c r="D599" i="22"/>
  <c r="E286" i="8"/>
  <c r="E298" i="8"/>
  <c r="E295" i="8"/>
  <c r="C399" i="11"/>
  <c r="C215" i="12"/>
  <c r="C223" i="12" s="1"/>
  <c r="B127" i="26"/>
  <c r="C463" i="22"/>
  <c r="C477" i="22"/>
  <c r="C599" i="22"/>
  <c r="C232" i="11"/>
  <c r="C115" i="7" s="1"/>
  <c r="C202" i="8"/>
  <c r="B182" i="26"/>
  <c r="G200" i="11"/>
  <c r="G212" i="11"/>
  <c r="G173" i="11"/>
  <c r="G209" i="11"/>
  <c r="B383" i="11"/>
  <c r="B205" i="12"/>
  <c r="E381" i="11"/>
  <c r="A214" i="26"/>
  <c r="C57" i="7"/>
  <c r="C116" i="7"/>
  <c r="C123" i="8"/>
  <c r="C463" i="8"/>
  <c r="C243" i="11"/>
  <c r="J408" i="8"/>
  <c r="J420" i="8"/>
  <c r="J381" i="8"/>
  <c r="J417" i="8"/>
  <c r="C684" i="22"/>
  <c r="C710" i="22" s="1"/>
  <c r="C702" i="22"/>
  <c r="B416" i="22"/>
  <c r="B398" i="22"/>
  <c r="B424" i="22" s="1"/>
  <c r="B144" i="10"/>
  <c r="E144" i="10" s="1"/>
  <c r="E118" i="10"/>
  <c r="E49" i="7"/>
  <c r="B116" i="7"/>
  <c r="B57" i="7"/>
  <c r="B123" i="8"/>
  <c r="B463" i="8"/>
  <c r="B243" i="11"/>
  <c r="G53" i="8"/>
  <c r="E186" i="26" s="1"/>
  <c r="G199" i="8"/>
  <c r="E184" i="26"/>
  <c r="F15" i="22"/>
  <c r="F41" i="22" s="1"/>
  <c r="F33" i="22"/>
  <c r="F9" i="22"/>
  <c r="E415" i="22"/>
  <c r="E391" i="22"/>
  <c r="E397" i="22"/>
  <c r="F143" i="10"/>
  <c r="I143" i="10" s="1"/>
  <c r="I117" i="10"/>
  <c r="I135" i="10"/>
  <c r="B173" i="11"/>
  <c r="B209" i="11"/>
  <c r="E129" i="11"/>
  <c r="E120" i="11"/>
  <c r="E132" i="11"/>
  <c r="B200" i="11"/>
  <c r="B212" i="11"/>
  <c r="P142" i="9"/>
  <c r="P154" i="9"/>
  <c r="P151" i="9"/>
  <c r="G458" i="11"/>
  <c r="G455" i="11"/>
  <c r="E224" i="26" s="1"/>
  <c r="E220" i="26"/>
  <c r="L223" i="7"/>
  <c r="L105" i="11"/>
  <c r="L177" i="11"/>
  <c r="M177" i="11" s="1"/>
  <c r="M97" i="11"/>
  <c r="L385" i="8"/>
  <c r="M385" i="8" s="1"/>
  <c r="L331" i="8"/>
  <c r="M305" i="8"/>
  <c r="H200" i="11"/>
  <c r="H212" i="11"/>
  <c r="H173" i="11"/>
  <c r="H209" i="11"/>
  <c r="G110" i="9"/>
  <c r="G101" i="9"/>
  <c r="G113" i="9"/>
  <c r="F458" i="11"/>
  <c r="F455" i="11"/>
  <c r="I450" i="11"/>
  <c r="D220" i="26"/>
  <c r="C49" i="8"/>
  <c r="C210" i="8"/>
  <c r="C186" i="8"/>
  <c r="B177" i="26"/>
  <c r="M59" i="11"/>
  <c r="D97" i="8"/>
  <c r="D75" i="8"/>
  <c r="D107" i="8" s="1"/>
  <c r="E373" i="11"/>
  <c r="D519" i="22"/>
  <c r="D543" i="22"/>
  <c r="D583" i="22" s="1"/>
  <c r="D557" i="22"/>
  <c r="D229" i="11"/>
  <c r="D428" i="8"/>
  <c r="F35" i="9"/>
  <c r="F1475" i="24"/>
  <c r="H97" i="8"/>
  <c r="H75" i="8"/>
  <c r="H107" i="8" s="1"/>
  <c r="D51" i="10"/>
  <c r="D57" i="7"/>
  <c r="C486" i="22"/>
  <c r="C608" i="22"/>
  <c r="C454" i="22"/>
  <c r="C53" i="8"/>
  <c r="B186" i="26" s="1"/>
  <c r="C199" i="8"/>
  <c r="B184" i="26"/>
  <c r="K116" i="11"/>
  <c r="K197" i="11"/>
  <c r="K130" i="11"/>
  <c r="I567" i="8"/>
  <c r="D209" i="26"/>
  <c r="D145" i="26"/>
  <c r="I287" i="10"/>
  <c r="F287" i="10"/>
  <c r="L122" i="10"/>
  <c r="J791" i="24"/>
  <c r="K267" i="9"/>
  <c r="K914" i="22"/>
  <c r="K465" i="24"/>
  <c r="H211" i="8"/>
  <c r="F178" i="26"/>
  <c r="J101" i="9"/>
  <c r="J113" i="9"/>
  <c r="J110" i="9"/>
  <c r="C182" i="12"/>
  <c r="C185" i="12"/>
  <c r="J173" i="11"/>
  <c r="J209" i="11"/>
  <c r="J200" i="11"/>
  <c r="J212" i="11"/>
  <c r="F684" i="22"/>
  <c r="F710" i="22" s="1"/>
  <c r="F702" i="22"/>
  <c r="E540" i="22"/>
  <c r="E580" i="22" s="1"/>
  <c r="E554" i="22"/>
  <c r="E522" i="22"/>
  <c r="I136" i="10"/>
  <c r="F201" i="8"/>
  <c r="I201" i="8" s="1"/>
  <c r="F52" i="8"/>
  <c r="F195" i="8"/>
  <c r="I193" i="8"/>
  <c r="D181" i="26"/>
  <c r="M71" i="11"/>
  <c r="D98" i="7"/>
  <c r="H28" i="22"/>
  <c r="H22" i="22"/>
  <c r="G566" i="22"/>
  <c r="G528" i="22"/>
  <c r="G534" i="22"/>
  <c r="G574" i="22" s="1"/>
  <c r="H129" i="10"/>
  <c r="J155" i="10" s="1"/>
  <c r="J153" i="10"/>
  <c r="H132" i="10"/>
  <c r="H123" i="7"/>
  <c r="H185" i="7"/>
  <c r="H116" i="8"/>
  <c r="H442" i="8"/>
  <c r="H271" i="11"/>
  <c r="I89" i="7"/>
  <c r="E78" i="11"/>
  <c r="E90" i="11"/>
  <c r="E87" i="11"/>
  <c r="E454" i="11"/>
  <c r="A223" i="26"/>
  <c r="B35" i="9"/>
  <c r="B1475" i="24"/>
  <c r="E250" i="7"/>
  <c r="J458" i="11"/>
  <c r="J455" i="11"/>
  <c r="G220" i="26"/>
  <c r="I683" i="22"/>
  <c r="I709" i="22" s="1"/>
  <c r="I701" i="22"/>
  <c r="I677" i="22"/>
  <c r="H539" i="22"/>
  <c r="H579" i="22" s="1"/>
  <c r="H553" i="22"/>
  <c r="H515" i="22"/>
  <c r="H521" i="22"/>
  <c r="J50" i="10"/>
  <c r="J77" i="10"/>
  <c r="J181" i="7"/>
  <c r="J56" i="7"/>
  <c r="D425" i="8"/>
  <c r="F10" i="3"/>
  <c r="I73" i="7"/>
  <c r="F105" i="7"/>
  <c r="J29" i="9"/>
  <c r="J185" i="12"/>
  <c r="J182" i="12"/>
  <c r="I570" i="22"/>
  <c r="H178" i="26"/>
  <c r="B486" i="22"/>
  <c r="B608" i="22"/>
  <c r="B454" i="22"/>
  <c r="B466" i="8"/>
  <c r="C15" i="22"/>
  <c r="C33" i="22"/>
  <c r="C9" i="22"/>
  <c r="B391" i="22"/>
  <c r="B397" i="22"/>
  <c r="B415" i="22"/>
  <c r="E42" i="10"/>
  <c r="B50" i="10"/>
  <c r="B77" i="10"/>
  <c r="E48" i="7"/>
  <c r="B181" i="7"/>
  <c r="B113" i="7"/>
  <c r="B56" i="7"/>
  <c r="B113" i="8"/>
  <c r="B432" i="8"/>
  <c r="B240" i="11"/>
  <c r="E570" i="22"/>
  <c r="E532" i="22"/>
  <c r="E572" i="22" s="1"/>
  <c r="F260" i="11"/>
  <c r="I184" i="7"/>
  <c r="I276" i="7"/>
  <c r="F276" i="7"/>
  <c r="I501" i="8"/>
  <c r="F501" i="8"/>
  <c r="F267" i="11"/>
  <c r="I267" i="11"/>
  <c r="D101" i="26"/>
  <c r="I74" i="8"/>
  <c r="F106" i="8"/>
  <c r="I106" i="8" s="1"/>
  <c r="I418" i="8"/>
  <c r="G794" i="24"/>
  <c r="H302" i="10" s="1"/>
  <c r="G806" i="24"/>
  <c r="G803" i="24"/>
  <c r="H280" i="10"/>
  <c r="M523" i="8"/>
  <c r="D385" i="11"/>
  <c r="D379" i="11"/>
  <c r="D201" i="12"/>
  <c r="C211" i="26"/>
  <c r="D374" i="11"/>
  <c r="D371" i="11"/>
  <c r="C139" i="26" s="1"/>
  <c r="C135" i="26"/>
  <c r="I569" i="8"/>
  <c r="I235" i="9"/>
  <c r="I248" i="9" s="1"/>
  <c r="I228" i="9"/>
  <c r="I240" i="9"/>
  <c r="I784" i="24"/>
  <c r="K287" i="10"/>
  <c r="K440" i="11"/>
  <c r="K415" i="11"/>
  <c r="K418" i="11"/>
  <c r="J284" i="9"/>
  <c r="J260" i="9"/>
  <c r="J217" i="9"/>
  <c r="L525" i="8"/>
  <c r="L188" i="10"/>
  <c r="J1087" i="24"/>
  <c r="K343" i="9"/>
  <c r="J262" i="9"/>
  <c r="J288" i="9" s="1"/>
  <c r="E361" i="11"/>
  <c r="E358" i="11"/>
  <c r="B392" i="11"/>
  <c r="E390" i="11"/>
  <c r="B398" i="11"/>
  <c r="B214" i="12"/>
  <c r="A126" i="26"/>
  <c r="I71" i="7"/>
  <c r="F451" i="22"/>
  <c r="F489" i="22"/>
  <c r="F611" i="22"/>
  <c r="G260" i="11"/>
  <c r="G270" i="11" s="1"/>
  <c r="G438" i="8"/>
  <c r="L417" i="11"/>
  <c r="M409" i="11"/>
  <c r="N234" i="10"/>
  <c r="M234" i="10"/>
  <c r="M193" i="10"/>
  <c r="L234" i="10"/>
  <c r="I328" i="8"/>
  <c r="I340" i="8"/>
  <c r="I337" i="8"/>
  <c r="F408" i="8"/>
  <c r="F420" i="8"/>
  <c r="F381" i="8"/>
  <c r="F417" i="8"/>
  <c r="C75" i="7"/>
  <c r="C97" i="7"/>
  <c r="I16" i="22"/>
  <c r="I42" i="22" s="1"/>
  <c r="I34" i="22"/>
  <c r="H459" i="22"/>
  <c r="H473" i="22"/>
  <c r="H595" i="22"/>
  <c r="H441" i="22"/>
  <c r="J201" i="8"/>
  <c r="J52" i="8"/>
  <c r="J195" i="8"/>
  <c r="G181" i="26"/>
  <c r="D447" i="22"/>
  <c r="D453" i="22"/>
  <c r="D485" i="22"/>
  <c r="D607" i="22"/>
  <c r="D54" i="7"/>
  <c r="D10" i="7"/>
  <c r="D273" i="7"/>
  <c r="D498" i="8"/>
  <c r="D257" i="11"/>
  <c r="C98" i="26"/>
  <c r="I192" i="12"/>
  <c r="F194" i="12"/>
  <c r="I194" i="12" s="1"/>
  <c r="M150" i="8"/>
  <c r="F87" i="7"/>
  <c r="F92" i="7" s="1"/>
  <c r="C379" i="11"/>
  <c r="C385" i="11"/>
  <c r="C201" i="12"/>
  <c r="B211" i="26"/>
  <c r="C374" i="11"/>
  <c r="C371" i="11"/>
  <c r="B139" i="26" s="1"/>
  <c r="B135" i="26"/>
  <c r="G144" i="10"/>
  <c r="G57" i="7"/>
  <c r="G116" i="7"/>
  <c r="G123" i="8"/>
  <c r="G463" i="8"/>
  <c r="G243" i="11"/>
  <c r="F10" i="7"/>
  <c r="F54" i="7"/>
  <c r="I183" i="7"/>
  <c r="F273" i="7"/>
  <c r="I273" i="7"/>
  <c r="I498" i="8"/>
  <c r="F498" i="8"/>
  <c r="I257" i="11"/>
  <c r="F257" i="11"/>
  <c r="D98" i="26"/>
  <c r="F91" i="8"/>
  <c r="I91" i="8" s="1"/>
  <c r="I81" i="8"/>
  <c r="I100" i="8"/>
  <c r="C391" i="22"/>
  <c r="C397" i="22"/>
  <c r="C423" i="22" s="1"/>
  <c r="C415" i="22"/>
  <c r="C446" i="8"/>
  <c r="C282" i="11"/>
  <c r="C48" i="8"/>
  <c r="C188" i="8"/>
  <c r="C214" i="8" s="1"/>
  <c r="C182" i="8"/>
  <c r="C206" i="8"/>
  <c r="B174" i="26"/>
  <c r="C110" i="9"/>
  <c r="C101" i="9"/>
  <c r="C113" i="9"/>
  <c r="B29" i="9"/>
  <c r="G386" i="11"/>
  <c r="G202" i="12"/>
  <c r="G210" i="12" s="1"/>
  <c r="E212" i="26"/>
  <c r="R101" i="9"/>
  <c r="R113" i="9"/>
  <c r="R110" i="9"/>
  <c r="D211" i="8"/>
  <c r="C178" i="26"/>
  <c r="G567" i="22"/>
  <c r="G535" i="22"/>
  <c r="G575" i="22" s="1"/>
  <c r="H126" i="7"/>
  <c r="H126" i="8"/>
  <c r="H473" i="8"/>
  <c r="H274" i="11"/>
  <c r="E70" i="8"/>
  <c r="B102" i="8"/>
  <c r="E102" i="8" s="1"/>
  <c r="F399" i="11"/>
  <c r="I391" i="11"/>
  <c r="F215" i="12"/>
  <c r="D127" i="26"/>
  <c r="I73" i="8"/>
  <c r="F105" i="8"/>
  <c r="I105" i="8" s="1"/>
  <c r="E73" i="8"/>
  <c r="B105" i="8"/>
  <c r="F91" i="7"/>
  <c r="I91" i="7" s="1"/>
  <c r="I81" i="7"/>
  <c r="H14" i="21"/>
  <c r="I144" i="12"/>
  <c r="F152" i="12"/>
  <c r="I152" i="12" s="1"/>
  <c r="G77" i="10"/>
  <c r="G50" i="10"/>
  <c r="H544" i="22"/>
  <c r="H584" i="22" s="1"/>
  <c r="H558" i="22"/>
  <c r="I22" i="22"/>
  <c r="I28" i="22"/>
  <c r="H404" i="22"/>
  <c r="H410" i="22"/>
  <c r="J81" i="10"/>
  <c r="J49" i="8"/>
  <c r="J210" i="8"/>
  <c r="J186" i="8"/>
  <c r="G177" i="26"/>
  <c r="B485" i="22"/>
  <c r="B607" i="22"/>
  <c r="B447" i="22"/>
  <c r="B453" i="22"/>
  <c r="B115" i="8"/>
  <c r="B441" i="8"/>
  <c r="B497" i="8"/>
  <c r="A192" i="26"/>
  <c r="K203" i="11"/>
  <c r="I441" i="22"/>
  <c r="I473" i="22"/>
  <c r="I595" i="22"/>
  <c r="I454" i="11"/>
  <c r="D223" i="26"/>
  <c r="M60" i="10"/>
  <c r="G544" i="22"/>
  <c r="G584" i="22" s="1"/>
  <c r="G558" i="22"/>
  <c r="K198" i="8"/>
  <c r="K211" i="8" s="1"/>
  <c r="K470" i="8"/>
  <c r="K264" i="11"/>
  <c r="I531" i="22"/>
  <c r="I571" i="22" s="1"/>
  <c r="I450" i="22"/>
  <c r="I407" i="22"/>
  <c r="H100" i="26"/>
  <c r="J693" i="22"/>
  <c r="J694" i="22" s="1"/>
  <c r="J25" i="22"/>
  <c r="J38" i="22" s="1"/>
  <c r="B463" i="22"/>
  <c r="B477" i="22"/>
  <c r="B599" i="22"/>
  <c r="H37" i="22"/>
  <c r="H13" i="22"/>
  <c r="H39" i="22" s="1"/>
  <c r="G519" i="22"/>
  <c r="G543" i="22"/>
  <c r="G583" i="22" s="1"/>
  <c r="G557" i="22"/>
  <c r="H429" i="8"/>
  <c r="F404" i="22"/>
  <c r="F410" i="22"/>
  <c r="G122" i="7"/>
  <c r="G278" i="7" s="1"/>
  <c r="G272" i="7"/>
  <c r="G256" i="11"/>
  <c r="E148" i="26"/>
  <c r="G10" i="7"/>
  <c r="G54" i="7"/>
  <c r="G273" i="7"/>
  <c r="G498" i="8"/>
  <c r="G257" i="11"/>
  <c r="E98" i="26"/>
  <c r="F438" i="22"/>
  <c r="F462" i="22"/>
  <c r="F476" i="22"/>
  <c r="F598" i="22"/>
  <c r="J932" i="22"/>
  <c r="J929" i="22"/>
  <c r="G379" i="11"/>
  <c r="G385" i="11"/>
  <c r="G201" i="12"/>
  <c r="E211" i="26"/>
  <c r="G196" i="12"/>
  <c r="G190" i="12"/>
  <c r="L109" i="10"/>
  <c r="J772" i="24"/>
  <c r="J796" i="24"/>
  <c r="K324" i="9"/>
  <c r="K300" i="9"/>
  <c r="G151" i="9"/>
  <c r="G142" i="9"/>
  <c r="G154" i="9"/>
  <c r="E160" i="11"/>
  <c r="E172" i="11"/>
  <c r="E169" i="11"/>
  <c r="I942" i="22"/>
  <c r="I920" i="22"/>
  <c r="I917" i="22"/>
  <c r="K137" i="12"/>
  <c r="K259" i="10"/>
  <c r="B145" i="12"/>
  <c r="E143" i="12"/>
  <c r="B151" i="12"/>
  <c r="I229" i="7"/>
  <c r="F246" i="7"/>
  <c r="F258" i="7"/>
  <c r="F255" i="7"/>
  <c r="I232" i="7"/>
  <c r="F75" i="8"/>
  <c r="I65" i="8"/>
  <c r="F97" i="8"/>
  <c r="I97" i="8" s="1"/>
  <c r="H110" i="9"/>
  <c r="H101" i="9"/>
  <c r="H113" i="9"/>
  <c r="D396" i="11"/>
  <c r="C131" i="26" s="1"/>
  <c r="D218" i="12"/>
  <c r="D220" i="12" s="1"/>
  <c r="C129" i="26"/>
  <c r="F515" i="22"/>
  <c r="F521" i="22"/>
  <c r="F539" i="22"/>
  <c r="F579" i="22" s="1"/>
  <c r="F553" i="22"/>
  <c r="G446" i="8"/>
  <c r="G282" i="11"/>
  <c r="G48" i="8"/>
  <c r="G188" i="8"/>
  <c r="G214" i="8" s="1"/>
  <c r="G206" i="8"/>
  <c r="G182" i="8"/>
  <c r="E174" i="26"/>
  <c r="J75" i="8"/>
  <c r="J97" i="8"/>
  <c r="L110" i="10"/>
  <c r="J779" i="24"/>
  <c r="K255" i="9"/>
  <c r="K911" i="22"/>
  <c r="K453" i="24"/>
  <c r="B152" i="12"/>
  <c r="E152" i="12" s="1"/>
  <c r="E144" i="12"/>
  <c r="E1478" i="24"/>
  <c r="E1484" i="24"/>
  <c r="E1492" i="24" s="1"/>
  <c r="G522" i="22"/>
  <c r="G540" i="22"/>
  <c r="G580" i="22" s="1"/>
  <c r="G554" i="22"/>
  <c r="H222" i="11"/>
  <c r="H456" i="8"/>
  <c r="J10" i="7"/>
  <c r="J54" i="7"/>
  <c r="J273" i="7"/>
  <c r="J498" i="8"/>
  <c r="J257" i="11"/>
  <c r="G98" i="26"/>
  <c r="H196" i="12"/>
  <c r="H190" i="12"/>
  <c r="I217" i="7"/>
  <c r="I214" i="7"/>
  <c r="C696" i="22"/>
  <c r="C690" i="22"/>
  <c r="B566" i="22"/>
  <c r="B528" i="22"/>
  <c r="B534" i="22"/>
  <c r="B574" i="22" s="1"/>
  <c r="E46" i="10"/>
  <c r="B81" i="10"/>
  <c r="B49" i="8"/>
  <c r="E184" i="8"/>
  <c r="B186" i="8"/>
  <c r="B210" i="8"/>
  <c r="E210" i="8" s="1"/>
  <c r="A177" i="26"/>
  <c r="J16" i="22"/>
  <c r="I554" i="22"/>
  <c r="I522" i="22"/>
  <c r="E395" i="22"/>
  <c r="E421" i="22" s="1"/>
  <c r="E419" i="22"/>
  <c r="I139" i="10"/>
  <c r="J750" i="24"/>
  <c r="I186" i="11"/>
  <c r="I183" i="11"/>
  <c r="F173" i="11"/>
  <c r="F209" i="11"/>
  <c r="I129" i="11"/>
  <c r="I120" i="11"/>
  <c r="I132" i="11"/>
  <c r="F200" i="11"/>
  <c r="F212" i="11"/>
  <c r="F87" i="8"/>
  <c r="I87" i="8" s="1"/>
  <c r="G10" i="3"/>
  <c r="G105" i="7"/>
  <c r="D408" i="8"/>
  <c r="D420" i="8"/>
  <c r="D381" i="8"/>
  <c r="D417" i="8"/>
  <c r="G202" i="8"/>
  <c r="E182" i="26"/>
  <c r="G396" i="11"/>
  <c r="E131" i="26" s="1"/>
  <c r="G218" i="12"/>
  <c r="G220" i="12" s="1"/>
  <c r="E129" i="26"/>
  <c r="O151" i="9"/>
  <c r="O142" i="9"/>
  <c r="O154" i="9"/>
  <c r="H454" i="22"/>
  <c r="H486" i="22"/>
  <c r="H608" i="22"/>
  <c r="J53" i="8"/>
  <c r="J199" i="8"/>
  <c r="G184" i="26"/>
  <c r="H396" i="11"/>
  <c r="F131" i="26" s="1"/>
  <c r="H218" i="12"/>
  <c r="H220" i="12" s="1"/>
  <c r="F129" i="26"/>
  <c r="D567" i="22"/>
  <c r="D535" i="22"/>
  <c r="D575" i="22" s="1"/>
  <c r="D199" i="8"/>
  <c r="D53" i="8"/>
  <c r="C186" i="26" s="1"/>
  <c r="C184" i="26"/>
  <c r="J152" i="12"/>
  <c r="E199" i="11"/>
  <c r="E196" i="11"/>
  <c r="K148" i="12"/>
  <c r="H222" i="26"/>
  <c r="C396" i="11"/>
  <c r="B131" i="26" s="1"/>
  <c r="C218" i="12"/>
  <c r="C220" i="12" s="1"/>
  <c r="B129" i="26"/>
  <c r="C211" i="8"/>
  <c r="B178" i="26"/>
  <c r="D150" i="10"/>
  <c r="C141" i="10"/>
  <c r="D158" i="10" s="1"/>
  <c r="C188" i="7"/>
  <c r="C266" i="7"/>
  <c r="C491" i="8"/>
  <c r="C236" i="11"/>
  <c r="B94" i="26"/>
  <c r="K110" i="9"/>
  <c r="K101" i="9"/>
  <c r="K113" i="9"/>
  <c r="F32" i="9"/>
  <c r="F38" i="9" s="1"/>
  <c r="F1471" i="24"/>
  <c r="F1477" i="24"/>
  <c r="K42" i="10"/>
  <c r="C35" i="9"/>
  <c r="C1475" i="24"/>
  <c r="H88" i="7"/>
  <c r="H92" i="7"/>
  <c r="H15" i="7"/>
  <c r="H519" i="22"/>
  <c r="H543" i="22"/>
  <c r="H583" i="22" s="1"/>
  <c r="H557" i="22"/>
  <c r="I286" i="8"/>
  <c r="I295" i="8"/>
  <c r="I298" i="8"/>
  <c r="I211" i="11"/>
  <c r="M89" i="10"/>
  <c r="M278" i="10"/>
  <c r="I151" i="9"/>
  <c r="I142" i="9"/>
  <c r="I154" i="9"/>
  <c r="H386" i="11"/>
  <c r="H202" i="12"/>
  <c r="H210" i="12" s="1"/>
  <c r="F212" i="26"/>
  <c r="K162" i="7"/>
  <c r="I18" i="21"/>
  <c r="K319" i="7"/>
  <c r="K611" i="8"/>
  <c r="I761" i="24"/>
  <c r="I736" i="24"/>
  <c r="I739" i="24"/>
  <c r="K162" i="8"/>
  <c r="K583" i="8"/>
  <c r="K37" i="8"/>
  <c r="K586" i="8"/>
  <c r="K168" i="7"/>
  <c r="B438" i="22"/>
  <c r="B462" i="22"/>
  <c r="B476" i="22"/>
  <c r="B598" i="22"/>
  <c r="B449" i="8"/>
  <c r="E139" i="10"/>
  <c r="B292" i="11"/>
  <c r="Q151" i="9"/>
  <c r="Q142" i="9"/>
  <c r="Q154" i="9"/>
  <c r="E203" i="7"/>
  <c r="E200" i="7"/>
  <c r="C151" i="9"/>
  <c r="C142" i="9"/>
  <c r="C154" i="9"/>
  <c r="L353" i="8"/>
  <c r="M345" i="8"/>
  <c r="E570" i="8"/>
  <c r="B15" i="7"/>
  <c r="B88" i="7"/>
  <c r="B92" i="7"/>
  <c r="E82" i="7"/>
  <c r="H458" i="11"/>
  <c r="H455" i="11"/>
  <c r="F224" i="26" s="1"/>
  <c r="F220" i="26"/>
  <c r="K64" i="8"/>
  <c r="K290" i="8"/>
  <c r="K272" i="8"/>
  <c r="K269" i="8"/>
  <c r="J696" i="22"/>
  <c r="I410" i="22"/>
  <c r="K123" i="7"/>
  <c r="K116" i="8"/>
  <c r="K442" i="8"/>
  <c r="K271" i="11"/>
  <c r="I407" i="8"/>
  <c r="I404" i="8"/>
  <c r="E80" i="10"/>
  <c r="L75" i="11"/>
  <c r="M67" i="11"/>
  <c r="D200" i="11"/>
  <c r="D212" i="11"/>
  <c r="D173" i="11"/>
  <c r="D209" i="11"/>
  <c r="G66" i="8"/>
  <c r="H489" i="22"/>
  <c r="H611" i="22"/>
  <c r="H451" i="22"/>
  <c r="J276" i="7"/>
  <c r="J501" i="8"/>
  <c r="J267" i="11"/>
  <c r="G101" i="26"/>
  <c r="D544" i="22"/>
  <c r="D584" i="22" s="1"/>
  <c r="D558" i="22"/>
  <c r="I294" i="10"/>
  <c r="C794" i="24"/>
  <c r="E302" i="10" s="1"/>
  <c r="C806" i="24"/>
  <c r="C803" i="24"/>
  <c r="C544" i="22"/>
  <c r="C584" i="22" s="1"/>
  <c r="C558" i="22"/>
  <c r="C480" i="8"/>
  <c r="C295" i="11"/>
  <c r="I219" i="12"/>
  <c r="C522" i="22"/>
  <c r="C540" i="22"/>
  <c r="C580" i="22" s="1"/>
  <c r="C554" i="22"/>
  <c r="B142" i="26"/>
  <c r="B11" i="3"/>
  <c r="E11" i="3" s="1"/>
  <c r="E74" i="7"/>
  <c r="B106" i="7"/>
  <c r="D71" i="7"/>
  <c r="D76" i="7" s="1"/>
  <c r="F535" i="22"/>
  <c r="F575" i="22" s="1"/>
  <c r="F567" i="22"/>
  <c r="F119" i="10"/>
  <c r="F116" i="10"/>
  <c r="G149" i="10"/>
  <c r="F137" i="10"/>
  <c r="I111" i="10"/>
  <c r="F48" i="8"/>
  <c r="F206" i="8"/>
  <c r="I180" i="8"/>
  <c r="F182" i="8"/>
  <c r="F188" i="8"/>
  <c r="D174" i="26"/>
  <c r="E186" i="11"/>
  <c r="E183" i="11"/>
  <c r="L207" i="7"/>
  <c r="L56" i="11"/>
  <c r="L80" i="11"/>
  <c r="M80" i="11" s="1"/>
  <c r="M54" i="11"/>
  <c r="L306" i="8"/>
  <c r="L384" i="8"/>
  <c r="M384" i="8" s="1"/>
  <c r="L330" i="8"/>
  <c r="M304" i="8"/>
  <c r="F145" i="12"/>
  <c r="I143" i="12"/>
  <c r="F151" i="12"/>
  <c r="C447" i="22"/>
  <c r="C453" i="22"/>
  <c r="C485" i="22"/>
  <c r="C607" i="22"/>
  <c r="C250" i="11"/>
  <c r="C10" i="7"/>
  <c r="C54" i="7"/>
  <c r="C273" i="7"/>
  <c r="C498" i="8"/>
  <c r="C257" i="11"/>
  <c r="B98" i="26"/>
  <c r="I477" i="24"/>
  <c r="I468" i="24"/>
  <c r="I480" i="24"/>
  <c r="E183" i="12"/>
  <c r="M349" i="8"/>
  <c r="D75" i="7"/>
  <c r="D97" i="7"/>
  <c r="J246" i="7"/>
  <c r="J258" i="7"/>
  <c r="J255" i="7"/>
  <c r="O110" i="9"/>
  <c r="O101" i="9"/>
  <c r="O113" i="9"/>
  <c r="M530" i="8"/>
  <c r="E378" i="11"/>
  <c r="B386" i="11"/>
  <c r="B202" i="12"/>
  <c r="A212" i="26"/>
  <c r="E681" i="22"/>
  <c r="E707" i="22" s="1"/>
  <c r="E705" i="22"/>
  <c r="D395" i="22"/>
  <c r="D421" i="22" s="1"/>
  <c r="D419" i="22"/>
  <c r="C246" i="7"/>
  <c r="C258" i="7"/>
  <c r="C255" i="7"/>
  <c r="E100" i="8"/>
  <c r="H97" i="7"/>
  <c r="H75" i="7"/>
  <c r="D398" i="22"/>
  <c r="D424" i="22" s="1"/>
  <c r="D416" i="22"/>
  <c r="C567" i="22"/>
  <c r="C535" i="22"/>
  <c r="C575" i="22" s="1"/>
  <c r="C126" i="7"/>
  <c r="C126" i="8"/>
  <c r="C473" i="8"/>
  <c r="C274" i="11"/>
  <c r="K202" i="11"/>
  <c r="K252" i="7"/>
  <c r="K230" i="7"/>
  <c r="K562" i="8"/>
  <c r="K449" i="11"/>
  <c r="K176" i="12"/>
  <c r="K360" i="11"/>
  <c r="I1069" i="24"/>
  <c r="K353" i="11"/>
  <c r="E463" i="22"/>
  <c r="E477" i="22"/>
  <c r="E639" i="22" s="1"/>
  <c r="E599" i="22"/>
  <c r="D197" i="26"/>
  <c r="G489" i="22"/>
  <c r="G651" i="22" s="1"/>
  <c r="G611" i="22"/>
  <c r="G451" i="22"/>
  <c r="H276" i="7"/>
  <c r="H501" i="8"/>
  <c r="H267" i="11"/>
  <c r="F101" i="26"/>
  <c r="F16" i="22"/>
  <c r="F42" i="22" s="1"/>
  <c r="F34" i="22"/>
  <c r="E416" i="22"/>
  <c r="E398" i="22"/>
  <c r="E424" i="22" s="1"/>
  <c r="F144" i="10"/>
  <c r="I118" i="10"/>
  <c r="F57" i="7"/>
  <c r="I49" i="7"/>
  <c r="L323" i="8"/>
  <c r="M321" i="8"/>
  <c r="D10" i="3"/>
  <c r="D105" i="7"/>
  <c r="H690" i="22"/>
  <c r="H696" i="22"/>
  <c r="G404" i="22"/>
  <c r="G410" i="22"/>
  <c r="H10" i="10"/>
  <c r="I18" i="10" s="1"/>
  <c r="H48" i="10"/>
  <c r="H435" i="8"/>
  <c r="K493" i="11"/>
  <c r="K507" i="11"/>
  <c r="K10" i="12"/>
  <c r="K100" i="13"/>
  <c r="J183" i="22"/>
  <c r="K101" i="13"/>
  <c r="K99" i="13"/>
  <c r="I895" i="22"/>
  <c r="J196" i="22"/>
  <c r="K224" i="22"/>
  <c r="K237" i="22"/>
  <c r="K319" i="22"/>
  <c r="K306" i="22"/>
  <c r="I1194" i="24"/>
  <c r="H68" i="26"/>
  <c r="I544" i="22"/>
  <c r="I584" i="22" s="1"/>
  <c r="I558" i="22"/>
  <c r="H182" i="26"/>
  <c r="E229" i="7"/>
  <c r="B246" i="7"/>
  <c r="B258" i="7"/>
  <c r="E232" i="7"/>
  <c r="B255" i="7"/>
  <c r="B75" i="8"/>
  <c r="E65" i="8"/>
  <c r="B97" i="8"/>
  <c r="E97" i="8" s="1"/>
  <c r="J145" i="12"/>
  <c r="J151" i="12"/>
  <c r="I9" i="22"/>
  <c r="I15" i="22"/>
  <c r="I33" i="22"/>
  <c r="H415" i="22"/>
  <c r="H391" i="22"/>
  <c r="H397" i="22"/>
  <c r="H423" i="22" s="1"/>
  <c r="J143" i="10"/>
  <c r="D434" i="22"/>
  <c r="D440" i="22"/>
  <c r="D458" i="22"/>
  <c r="D472" i="22"/>
  <c r="D594" i="22"/>
  <c r="D219" i="11"/>
  <c r="D137" i="10"/>
  <c r="F149" i="10"/>
  <c r="I149" i="10" s="1"/>
  <c r="D119" i="10"/>
  <c r="D116" i="10"/>
  <c r="D48" i="8"/>
  <c r="D188" i="8"/>
  <c r="D182" i="8"/>
  <c r="D206" i="8"/>
  <c r="C174" i="26"/>
  <c r="I95" i="7"/>
  <c r="J26" i="22"/>
  <c r="I408" i="22"/>
  <c r="K128" i="10"/>
  <c r="L154" i="10" s="1"/>
  <c r="M154" i="10" s="1"/>
  <c r="K184" i="7"/>
  <c r="E47" i="10"/>
  <c r="C677" i="22"/>
  <c r="C683" i="22"/>
  <c r="C709" i="22" s="1"/>
  <c r="C701" i="22"/>
  <c r="B458" i="22"/>
  <c r="B472" i="22"/>
  <c r="B634" i="22" s="1"/>
  <c r="B594" i="22"/>
  <c r="B434" i="22"/>
  <c r="B440" i="22"/>
  <c r="B143" i="10"/>
  <c r="E117" i="10"/>
  <c r="B446" i="8"/>
  <c r="E135" i="10"/>
  <c r="B282" i="11"/>
  <c r="F438" i="8"/>
  <c r="D82" i="8"/>
  <c r="I432" i="11"/>
  <c r="I444" i="11"/>
  <c r="I441" i="11"/>
  <c r="E391" i="8"/>
  <c r="E394" i="8"/>
  <c r="E419" i="8"/>
  <c r="I96" i="8"/>
  <c r="C381" i="8"/>
  <c r="C417" i="8"/>
  <c r="C408" i="8"/>
  <c r="C420" i="8"/>
  <c r="G568" i="8"/>
  <c r="E210" i="26" s="1"/>
  <c r="G571" i="8"/>
  <c r="E206" i="26"/>
  <c r="D15" i="7"/>
  <c r="D88" i="7"/>
  <c r="D92" i="7"/>
  <c r="I274" i="9"/>
  <c r="I277" i="9"/>
  <c r="I282" i="9"/>
  <c r="K280" i="10"/>
  <c r="J31" i="10"/>
  <c r="K442" i="11"/>
  <c r="E217" i="7"/>
  <c r="E214" i="7"/>
  <c r="F532" i="22"/>
  <c r="F572" i="22" s="1"/>
  <c r="F570" i="22"/>
  <c r="G211" i="8"/>
  <c r="E178" i="26"/>
  <c r="E206" i="12"/>
  <c r="M151" i="9"/>
  <c r="M142" i="9"/>
  <c r="M154" i="9"/>
  <c r="D287" i="10"/>
  <c r="D301" i="10"/>
  <c r="I684" i="22"/>
  <c r="I710" i="22" s="1"/>
  <c r="I702" i="22"/>
  <c r="H540" i="22"/>
  <c r="H580" i="22" s="1"/>
  <c r="H554" i="22"/>
  <c r="H522" i="22"/>
  <c r="J144" i="10"/>
  <c r="J57" i="7"/>
  <c r="E696" i="22"/>
  <c r="E690" i="22"/>
  <c r="D528" i="22"/>
  <c r="D534" i="22"/>
  <c r="D574" i="22" s="1"/>
  <c r="D566" i="22"/>
  <c r="D129" i="10"/>
  <c r="F155" i="10" s="1"/>
  <c r="F153" i="10"/>
  <c r="D132" i="10"/>
  <c r="D123" i="7"/>
  <c r="D185" i="7"/>
  <c r="D116" i="8"/>
  <c r="D442" i="8"/>
  <c r="D271" i="11"/>
  <c r="K414" i="8"/>
  <c r="F396" i="11"/>
  <c r="I394" i="11"/>
  <c r="F218" i="12"/>
  <c r="D129" i="26"/>
  <c r="I370" i="11"/>
  <c r="D138" i="26"/>
  <c r="F441" i="22"/>
  <c r="F459" i="22"/>
  <c r="F473" i="22"/>
  <c r="F595" i="22"/>
  <c r="E528" i="22"/>
  <c r="E534" i="22"/>
  <c r="E574" i="22" s="1"/>
  <c r="E566" i="22"/>
  <c r="F250" i="11"/>
  <c r="I124" i="10"/>
  <c r="F132" i="10"/>
  <c r="F129" i="10"/>
  <c r="G153" i="10"/>
  <c r="I52" i="7"/>
  <c r="F185" i="7"/>
  <c r="I185" i="7" s="1"/>
  <c r="I123" i="7"/>
  <c r="F123" i="7"/>
  <c r="F116" i="8"/>
  <c r="I116" i="8"/>
  <c r="I442" i="8"/>
  <c r="F442" i="8"/>
  <c r="F271" i="11"/>
  <c r="I271" i="11"/>
  <c r="I70" i="7"/>
  <c r="F102" i="7"/>
  <c r="I102" i="7" s="1"/>
  <c r="E100" i="7"/>
  <c r="D66" i="8"/>
  <c r="C10" i="3"/>
  <c r="C105" i="7"/>
  <c r="F103" i="8"/>
  <c r="I103" i="8" s="1"/>
  <c r="I71" i="8"/>
  <c r="D300" i="10"/>
  <c r="D683" i="22"/>
  <c r="D701" i="22"/>
  <c r="D677" i="22"/>
  <c r="C458" i="22"/>
  <c r="C472" i="22"/>
  <c r="C594" i="22"/>
  <c r="C434" i="22"/>
  <c r="C440" i="22"/>
  <c r="C143" i="10"/>
  <c r="C119" i="10"/>
  <c r="C116" i="10"/>
  <c r="D149" i="10"/>
  <c r="C137" i="10"/>
  <c r="D157" i="10" s="1"/>
  <c r="C9" i="7"/>
  <c r="C50" i="7"/>
  <c r="C187" i="7"/>
  <c r="C263" i="7"/>
  <c r="C488" i="8"/>
  <c r="C226" i="11"/>
  <c r="B91" i="26"/>
  <c r="C24" i="9"/>
  <c r="B32" i="9"/>
  <c r="B38" i="9" s="1"/>
  <c r="B1471" i="24"/>
  <c r="B1477" i="24"/>
  <c r="I47" i="10"/>
  <c r="K151" i="9"/>
  <c r="K142" i="9"/>
  <c r="K154" i="9"/>
  <c r="E95" i="7"/>
  <c r="G82" i="8"/>
  <c r="R24" i="9"/>
  <c r="I245" i="8"/>
  <c r="I257" i="8"/>
  <c r="I254" i="8"/>
  <c r="D489" i="22"/>
  <c r="D611" i="22"/>
  <c r="D451" i="22"/>
  <c r="I154" i="10"/>
  <c r="D438" i="8"/>
  <c r="B91" i="7"/>
  <c r="E91" i="7" s="1"/>
  <c r="E81" i="7"/>
  <c r="I378" i="11"/>
  <c r="F386" i="11"/>
  <c r="I386" i="11" s="1"/>
  <c r="F202" i="12"/>
  <c r="D212" i="26"/>
  <c r="F197" i="12"/>
  <c r="I197" i="12" s="1"/>
  <c r="I189" i="12"/>
  <c r="I95" i="8"/>
  <c r="E95" i="8"/>
  <c r="H803" i="24"/>
  <c r="H794" i="24"/>
  <c r="H806" i="24"/>
  <c r="J280" i="10"/>
  <c r="C299" i="10"/>
  <c r="C302" i="10"/>
  <c r="I457" i="11"/>
  <c r="J330" i="9"/>
  <c r="J305" i="9"/>
  <c r="J308" i="9"/>
  <c r="F75" i="7"/>
  <c r="I65" i="7"/>
  <c r="F97" i="7"/>
  <c r="D383" i="11"/>
  <c r="C216" i="26" s="1"/>
  <c r="D205" i="12"/>
  <c r="D207" i="12" s="1"/>
  <c r="C214" i="26"/>
  <c r="S151" i="9"/>
  <c r="S142" i="9"/>
  <c r="S154" i="9"/>
  <c r="G398" i="22"/>
  <c r="G424" i="22" s="1"/>
  <c r="G416" i="22"/>
  <c r="B10" i="7"/>
  <c r="B54" i="7"/>
  <c r="E183" i="7"/>
  <c r="E273" i="7"/>
  <c r="B273" i="7"/>
  <c r="E498" i="8"/>
  <c r="B498" i="8"/>
  <c r="E257" i="11"/>
  <c r="B257" i="11"/>
  <c r="A98" i="26"/>
  <c r="J684" i="22"/>
  <c r="F149" i="12"/>
  <c r="I149" i="12" s="1"/>
  <c r="I147" i="12"/>
  <c r="E462" i="22"/>
  <c r="E476" i="22"/>
  <c r="E638" i="22" s="1"/>
  <c r="E598" i="22"/>
  <c r="E438" i="22"/>
  <c r="F189" i="8"/>
  <c r="I181" i="8"/>
  <c r="F207" i="8"/>
  <c r="I207" i="8" s="1"/>
  <c r="D175" i="26"/>
  <c r="H294" i="11"/>
  <c r="H480" i="8" s="1"/>
  <c r="F145" i="26"/>
  <c r="H479" i="8"/>
  <c r="F197" i="26"/>
  <c r="F463" i="22"/>
  <c r="F477" i="22"/>
  <c r="F639" i="22" s="1"/>
  <c r="F599" i="22"/>
  <c r="G480" i="8"/>
  <c r="G295" i="11"/>
  <c r="G35" i="9"/>
  <c r="G1475" i="24"/>
  <c r="G1487" i="24"/>
  <c r="E300" i="10"/>
  <c r="C14" i="8"/>
  <c r="C72" i="8"/>
  <c r="C76" i="8"/>
  <c r="H567" i="22"/>
  <c r="H535" i="22"/>
  <c r="H575" i="22" s="1"/>
  <c r="J126" i="7"/>
  <c r="J126" i="8"/>
  <c r="J473" i="8"/>
  <c r="J274" i="11"/>
  <c r="H383" i="11"/>
  <c r="F216" i="26" s="1"/>
  <c r="H205" i="12"/>
  <c r="H207" i="12" s="1"/>
  <c r="F214" i="26"/>
  <c r="D126" i="7"/>
  <c r="D126" i="8"/>
  <c r="D473" i="8"/>
  <c r="D274" i="11"/>
  <c r="E245" i="8"/>
  <c r="E257" i="8"/>
  <c r="E254" i="8"/>
  <c r="H208" i="26"/>
  <c r="C489" i="22"/>
  <c r="C651" i="22" s="1"/>
  <c r="C611" i="22"/>
  <c r="C451" i="22"/>
  <c r="C276" i="7"/>
  <c r="C501" i="8"/>
  <c r="C267" i="11"/>
  <c r="B101" i="26"/>
  <c r="G246" i="7"/>
  <c r="G255" i="7"/>
  <c r="G258" i="7"/>
  <c r="C438" i="22"/>
  <c r="C462" i="22"/>
  <c r="C476" i="22"/>
  <c r="C638" i="22" s="1"/>
  <c r="C598" i="22"/>
  <c r="I434" i="22"/>
  <c r="I440" i="22"/>
  <c r="I458" i="22"/>
  <c r="I472" i="22"/>
  <c r="I594" i="22"/>
  <c r="K48" i="8"/>
  <c r="K188" i="8"/>
  <c r="K206" i="8"/>
  <c r="K182" i="8"/>
  <c r="H174" i="26"/>
  <c r="H14" i="7"/>
  <c r="H72" i="7"/>
  <c r="H76" i="7"/>
  <c r="H98" i="7"/>
  <c r="I37" i="22"/>
  <c r="I13" i="22"/>
  <c r="I39" i="22" s="1"/>
  <c r="H395" i="22"/>
  <c r="H421" i="22" s="1"/>
  <c r="H419" i="22"/>
  <c r="J141" i="10"/>
  <c r="J189" i="8"/>
  <c r="J207" i="8"/>
  <c r="G175" i="26"/>
  <c r="G391" i="22"/>
  <c r="G397" i="22"/>
  <c r="G423" i="22" s="1"/>
  <c r="G415" i="22"/>
  <c r="H219" i="11"/>
  <c r="H137" i="10"/>
  <c r="J149" i="10"/>
  <c r="H119" i="10"/>
  <c r="H116" i="10"/>
  <c r="H48" i="8"/>
  <c r="H182" i="8"/>
  <c r="H206" i="8"/>
  <c r="H188" i="8"/>
  <c r="H214" i="8" s="1"/>
  <c r="F174" i="26"/>
  <c r="J731" i="24"/>
  <c r="J755" i="24"/>
  <c r="N584" i="8"/>
  <c r="N251" i="10"/>
  <c r="M210" i="10"/>
  <c r="M584" i="8"/>
  <c r="L584" i="8"/>
  <c r="M251" i="10"/>
  <c r="L251" i="10"/>
  <c r="D182" i="12"/>
  <c r="D185" i="12"/>
  <c r="I188" i="12"/>
  <c r="F190" i="12"/>
  <c r="F196" i="12"/>
  <c r="I196" i="12" s="1"/>
  <c r="C705" i="22"/>
  <c r="C681" i="22"/>
  <c r="C707" i="22" s="1"/>
  <c r="B543" i="22"/>
  <c r="B583" i="22" s="1"/>
  <c r="B557" i="22"/>
  <c r="B519" i="22"/>
  <c r="C150" i="10"/>
  <c r="E150" i="10" s="1"/>
  <c r="B141" i="10"/>
  <c r="E115" i="10"/>
  <c r="B189" i="8"/>
  <c r="B207" i="8"/>
  <c r="E181" i="8"/>
  <c r="A175" i="26"/>
  <c r="M110" i="9"/>
  <c r="M101" i="9"/>
  <c r="M113" i="9"/>
  <c r="L127" i="11"/>
  <c r="M101" i="11"/>
  <c r="L352" i="8"/>
  <c r="L346" i="8"/>
  <c r="M344" i="8"/>
  <c r="H246" i="7"/>
  <c r="H255" i="7"/>
  <c r="H258" i="7"/>
  <c r="H151" i="12"/>
  <c r="H145" i="12"/>
  <c r="B91" i="8"/>
  <c r="E91" i="8" s="1"/>
  <c r="E81" i="8"/>
  <c r="D32" i="9"/>
  <c r="D1471" i="24"/>
  <c r="D1477" i="24"/>
  <c r="D1483" i="24"/>
  <c r="J28" i="22"/>
  <c r="I485" i="22"/>
  <c r="I647" i="22" s="1"/>
  <c r="I607" i="22"/>
  <c r="I453" i="22"/>
  <c r="B451" i="22"/>
  <c r="B489" i="22"/>
  <c r="B611" i="22"/>
  <c r="E128" i="10"/>
  <c r="C154" i="10"/>
  <c r="E154" i="10" s="1"/>
  <c r="E185" i="8"/>
  <c r="B211" i="8"/>
  <c r="A178" i="26"/>
  <c r="L268" i="8"/>
  <c r="M266" i="8"/>
  <c r="C458" i="11"/>
  <c r="C455" i="11"/>
  <c r="B224" i="26" s="1"/>
  <c r="B220" i="26"/>
  <c r="D1478" i="24"/>
  <c r="D1484" i="24"/>
  <c r="D1492" i="24" s="1"/>
  <c r="H570" i="22"/>
  <c r="H532" i="22"/>
  <c r="H572" i="22" s="1"/>
  <c r="E294" i="10"/>
  <c r="D299" i="10"/>
  <c r="D302" i="10"/>
  <c r="E192" i="12"/>
  <c r="B194" i="12"/>
  <c r="E194" i="12" s="1"/>
  <c r="H142" i="9"/>
  <c r="H154" i="9"/>
  <c r="H151" i="9"/>
  <c r="D684" i="22"/>
  <c r="D710" i="22" s="1"/>
  <c r="D702" i="22"/>
  <c r="C398" i="22"/>
  <c r="C424" i="22" s="1"/>
  <c r="C416" i="22"/>
  <c r="C122" i="8"/>
  <c r="C462" i="8"/>
  <c r="C482" i="8" s="1"/>
  <c r="C476" i="8"/>
  <c r="B196" i="26"/>
  <c r="E96" i="7"/>
  <c r="B441" i="22"/>
  <c r="B459" i="22"/>
  <c r="B473" i="22"/>
  <c r="B635" i="22" s="1"/>
  <c r="B595" i="22"/>
  <c r="E43" i="10"/>
  <c r="B51" i="10"/>
  <c r="E51" i="10" s="1"/>
  <c r="G466" i="8"/>
  <c r="G497" i="8" s="1"/>
  <c r="E434" i="22"/>
  <c r="E440" i="22"/>
  <c r="E458" i="22"/>
  <c r="E472" i="22"/>
  <c r="E634" i="22" s="1"/>
  <c r="E594" i="22"/>
  <c r="I75" i="10"/>
  <c r="F83" i="10"/>
  <c r="I83" i="10" s="1"/>
  <c r="F9" i="10"/>
  <c r="F44" i="10"/>
  <c r="F9" i="7"/>
  <c r="F50" i="7"/>
  <c r="I179" i="7"/>
  <c r="F187" i="7"/>
  <c r="D91" i="26"/>
  <c r="G145" i="12"/>
  <c r="G151" i="12"/>
  <c r="L351" i="11"/>
  <c r="L222" i="7"/>
  <c r="L104" i="11"/>
  <c r="L176" i="11"/>
  <c r="M176" i="11" s="1"/>
  <c r="L98" i="11"/>
  <c r="M96" i="11"/>
  <c r="D571" i="8"/>
  <c r="D568" i="8"/>
  <c r="C210" i="26" s="1"/>
  <c r="C206" i="26"/>
  <c r="I456" i="11"/>
  <c r="D690" i="22"/>
  <c r="D696" i="22"/>
  <c r="C566" i="22"/>
  <c r="C528" i="22"/>
  <c r="C534" i="22"/>
  <c r="C574" i="22" s="1"/>
  <c r="C132" i="10"/>
  <c r="C129" i="10"/>
  <c r="D155" i="10" s="1"/>
  <c r="D153" i="10"/>
  <c r="C123" i="7"/>
  <c r="C185" i="7"/>
  <c r="C116" i="8"/>
  <c r="C442" i="8"/>
  <c r="C271" i="11"/>
  <c r="L115" i="11"/>
  <c r="M113" i="11"/>
  <c r="M276" i="8"/>
  <c r="E219" i="12"/>
  <c r="M147" i="8"/>
  <c r="B399" i="11"/>
  <c r="E391" i="11"/>
  <c r="B215" i="12"/>
  <c r="A127" i="26"/>
  <c r="B197" i="12"/>
  <c r="E197" i="12" s="1"/>
  <c r="E189" i="12"/>
  <c r="E37" i="22"/>
  <c r="E13" i="22"/>
  <c r="E39" i="22" s="1"/>
  <c r="D462" i="22"/>
  <c r="D476" i="22"/>
  <c r="D638" i="22" s="1"/>
  <c r="D598" i="22"/>
  <c r="D438" i="22"/>
  <c r="D141" i="10"/>
  <c r="F158" i="10" s="1"/>
  <c r="F150" i="10"/>
  <c r="I150" i="10" s="1"/>
  <c r="D207" i="8"/>
  <c r="D189" i="8"/>
  <c r="D215" i="8" s="1"/>
  <c r="C175" i="26"/>
  <c r="B103" i="8"/>
  <c r="E103" i="8" s="1"/>
  <c r="E71" i="8"/>
  <c r="H182" i="12"/>
  <c r="H185" i="12"/>
  <c r="E684" i="22"/>
  <c r="E710" i="22" s="1"/>
  <c r="E702" i="22"/>
  <c r="D459" i="22"/>
  <c r="D473" i="22"/>
  <c r="D635" i="22" s="1"/>
  <c r="D595" i="22"/>
  <c r="D441" i="22"/>
  <c r="D52" i="8"/>
  <c r="D195" i="8"/>
  <c r="D201" i="8"/>
  <c r="C181" i="26"/>
  <c r="C253" i="11"/>
  <c r="K228" i="7"/>
  <c r="K119" i="11"/>
  <c r="K191" i="11"/>
  <c r="K124" i="11"/>
  <c r="F233" i="11"/>
  <c r="I140" i="10"/>
  <c r="I194" i="8"/>
  <c r="F202" i="8"/>
  <c r="I202" i="8" s="1"/>
  <c r="D182" i="26"/>
  <c r="H260" i="11"/>
  <c r="H270" i="11" s="1"/>
  <c r="C568" i="8"/>
  <c r="B210" i="26" s="1"/>
  <c r="C571" i="8"/>
  <c r="B206" i="26"/>
  <c r="G11" i="3"/>
  <c r="G106" i="7"/>
  <c r="L151" i="11"/>
  <c r="M149" i="11"/>
  <c r="M267" i="8"/>
  <c r="H49" i="8"/>
  <c r="H210" i="8"/>
  <c r="H186" i="8"/>
  <c r="H212" i="8" s="1"/>
  <c r="F177" i="26"/>
  <c r="J479" i="11"/>
  <c r="I1142" i="24" s="1"/>
  <c r="J706" i="22"/>
  <c r="I420" i="22"/>
  <c r="K140" i="10"/>
  <c r="B149" i="12"/>
  <c r="E149" i="12" s="1"/>
  <c r="E147" i="12"/>
  <c r="B75" i="7"/>
  <c r="E65" i="7"/>
  <c r="B97" i="7"/>
  <c r="E97" i="7" s="1"/>
  <c r="I245" i="7"/>
  <c r="I242" i="7"/>
  <c r="I301" i="10"/>
  <c r="J119" i="10"/>
  <c r="J116" i="10"/>
  <c r="K149" i="10"/>
  <c r="J137" i="10"/>
  <c r="J48" i="8"/>
  <c r="J182" i="8"/>
  <c r="J188" i="8"/>
  <c r="J206" i="8"/>
  <c r="G174" i="26"/>
  <c r="I570" i="8"/>
  <c r="D35" i="9"/>
  <c r="D1475" i="24"/>
  <c r="E9" i="22"/>
  <c r="E15" i="22"/>
  <c r="E33" i="22"/>
  <c r="D539" i="22"/>
  <c r="D579" i="22" s="1"/>
  <c r="D553" i="22"/>
  <c r="D515" i="22"/>
  <c r="D521" i="22"/>
  <c r="D9" i="10"/>
  <c r="D44" i="10"/>
  <c r="D83" i="10"/>
  <c r="D9" i="7"/>
  <c r="D50" i="7"/>
  <c r="D187" i="7"/>
  <c r="C91" i="26"/>
  <c r="K403" i="8"/>
  <c r="K376" i="8"/>
  <c r="E151" i="9"/>
  <c r="E142" i="9"/>
  <c r="E154" i="9"/>
  <c r="C15" i="7"/>
  <c r="C88" i="7"/>
  <c r="C92" i="7"/>
  <c r="B535" i="22"/>
  <c r="B575" i="22" s="1"/>
  <c r="B567" i="22"/>
  <c r="E131" i="10"/>
  <c r="B53" i="8"/>
  <c r="E197" i="8"/>
  <c r="B199" i="8"/>
  <c r="E199" i="8" s="1"/>
  <c r="A184" i="26"/>
  <c r="B119" i="10"/>
  <c r="B116" i="10"/>
  <c r="C149" i="10"/>
  <c r="B137" i="10"/>
  <c r="E111" i="10"/>
  <c r="B48" i="8"/>
  <c r="B206" i="8"/>
  <c r="B182" i="8"/>
  <c r="B188" i="8"/>
  <c r="E180" i="8"/>
  <c r="A174" i="26"/>
  <c r="I80" i="10"/>
  <c r="J102" i="8"/>
  <c r="E803" i="24"/>
  <c r="E794" i="24"/>
  <c r="I302" i="10" s="1"/>
  <c r="E806" i="24"/>
  <c r="I280" i="10"/>
  <c r="F280" i="10"/>
  <c r="J301" i="10"/>
  <c r="N151" i="9"/>
  <c r="N142" i="9"/>
  <c r="N154" i="9"/>
  <c r="I160" i="11"/>
  <c r="I172" i="11"/>
  <c r="I169" i="11"/>
  <c r="C82" i="8"/>
  <c r="C98" i="8" s="1"/>
  <c r="D196" i="12"/>
  <c r="D190" i="12"/>
  <c r="I563" i="8"/>
  <c r="F571" i="8"/>
  <c r="F568" i="8"/>
  <c r="D206" i="26"/>
  <c r="G299" i="10"/>
  <c r="G302" i="10"/>
  <c r="J361" i="9"/>
  <c r="J374" i="9" s="1"/>
  <c r="J458" i="24"/>
  <c r="J312" i="9"/>
  <c r="J366" i="9"/>
  <c r="J354" i="9"/>
  <c r="K151" i="7"/>
  <c r="L593" i="8"/>
  <c r="K61" i="10"/>
  <c r="K206" i="10"/>
  <c r="L239" i="10"/>
  <c r="K422" i="11"/>
  <c r="K117" i="12"/>
  <c r="I743" i="24"/>
  <c r="K300" i="7"/>
  <c r="K211" i="10"/>
  <c r="K93" i="10"/>
  <c r="K199" i="10"/>
  <c r="J925" i="22"/>
  <c r="J931" i="22"/>
  <c r="J944" i="22" s="1"/>
  <c r="J936" i="22"/>
  <c r="E188" i="12"/>
  <c r="B190" i="12"/>
  <c r="B196" i="12"/>
  <c r="G276" i="7"/>
  <c r="G501" i="8"/>
  <c r="G267" i="11"/>
  <c r="E101" i="26"/>
  <c r="J738" i="24"/>
  <c r="M57" i="10"/>
  <c r="N161" i="7"/>
  <c r="N164" i="8"/>
  <c r="N591" i="8"/>
  <c r="M164" i="8"/>
  <c r="L164" i="8"/>
  <c r="L591" i="8"/>
  <c r="M591" i="8"/>
  <c r="M147" i="7"/>
  <c r="M161" i="7"/>
  <c r="L161" i="7"/>
  <c r="M29" i="9"/>
  <c r="I391" i="8"/>
  <c r="I394" i="8"/>
  <c r="E22" i="22"/>
  <c r="E28" i="22"/>
  <c r="D404" i="22"/>
  <c r="D410" i="22"/>
  <c r="D10" i="10"/>
  <c r="E18" i="10" s="1"/>
  <c r="D48" i="10"/>
  <c r="D435" i="8"/>
  <c r="E435" i="8" s="1"/>
  <c r="K390" i="8"/>
  <c r="K336" i="8"/>
  <c r="K314" i="8"/>
  <c r="K311" i="8"/>
  <c r="K86" i="11"/>
  <c r="K64" i="11"/>
  <c r="K61" i="11"/>
  <c r="F383" i="11"/>
  <c r="F205" i="12"/>
  <c r="I381" i="11"/>
  <c r="D214" i="26"/>
  <c r="G16" i="22"/>
  <c r="G42" i="22" s="1"/>
  <c r="G34" i="22"/>
  <c r="F522" i="22"/>
  <c r="F540" i="22"/>
  <c r="F580" i="22" s="1"/>
  <c r="F554" i="22"/>
  <c r="G51" i="10"/>
  <c r="F696" i="22"/>
  <c r="F690" i="22"/>
  <c r="E404" i="22"/>
  <c r="E410" i="22"/>
  <c r="I79" i="10"/>
  <c r="F10" i="10"/>
  <c r="F48" i="10"/>
  <c r="I48" i="10" s="1"/>
  <c r="F435" i="8"/>
  <c r="I208" i="11"/>
  <c r="K271" i="9"/>
  <c r="K927" i="22"/>
  <c r="B71" i="7"/>
  <c r="D105" i="8"/>
  <c r="E74" i="8"/>
  <c r="B106" i="8"/>
  <c r="E106" i="8" s="1"/>
  <c r="D9" i="22"/>
  <c r="D15" i="22"/>
  <c r="D41" i="22" s="1"/>
  <c r="D33" i="22"/>
  <c r="C539" i="22"/>
  <c r="C579" i="22" s="1"/>
  <c r="C553" i="22"/>
  <c r="C515" i="22"/>
  <c r="C521" i="22"/>
  <c r="C44" i="10"/>
  <c r="C83" i="10"/>
  <c r="C9" i="10"/>
  <c r="C181" i="7"/>
  <c r="C113" i="7"/>
  <c r="C56" i="7"/>
  <c r="C113" i="8"/>
  <c r="C432" i="8"/>
  <c r="C240" i="11"/>
  <c r="E407" i="8"/>
  <c r="E404" i="8"/>
  <c r="E454" i="22"/>
  <c r="E486" i="22"/>
  <c r="E608" i="22"/>
  <c r="I131" i="10"/>
  <c r="F53" i="8"/>
  <c r="I197" i="8"/>
  <c r="F199" i="8"/>
  <c r="I199" i="8" s="1"/>
  <c r="D184" i="26"/>
  <c r="K29" i="9"/>
  <c r="B66" i="7"/>
  <c r="L142" i="9"/>
  <c r="L154" i="9"/>
  <c r="L151" i="9"/>
  <c r="D570" i="22"/>
  <c r="D532" i="22"/>
  <c r="D572" i="22" s="1"/>
  <c r="D276" i="7"/>
  <c r="D501" i="8"/>
  <c r="D267" i="11"/>
  <c r="C101" i="26"/>
  <c r="H253" i="11"/>
  <c r="H466" i="8"/>
  <c r="E301" i="10"/>
  <c r="F66" i="8"/>
  <c r="I199" i="11"/>
  <c r="I196" i="11"/>
  <c r="B66" i="8"/>
  <c r="N101" i="9"/>
  <c r="N113" i="9"/>
  <c r="N110" i="9"/>
  <c r="E206" i="8" l="1"/>
  <c r="E149" i="10"/>
  <c r="E211" i="8"/>
  <c r="I634" i="22"/>
  <c r="I97" i="7"/>
  <c r="I41" i="22"/>
  <c r="E250" i="11"/>
  <c r="E106" i="7"/>
  <c r="C242" i="11"/>
  <c r="B639" i="22"/>
  <c r="B423" i="22"/>
  <c r="C41" i="22"/>
  <c r="D273" i="11"/>
  <c r="K116" i="10"/>
  <c r="D272" i="7"/>
  <c r="E648" i="22"/>
  <c r="E399" i="11"/>
  <c r="B651" i="22"/>
  <c r="K150" i="10"/>
  <c r="K202" i="8"/>
  <c r="I144" i="10"/>
  <c r="E151" i="12"/>
  <c r="F638" i="22"/>
  <c r="I399" i="11"/>
  <c r="E398" i="11"/>
  <c r="E50" i="10"/>
  <c r="E54" i="7"/>
  <c r="E386" i="11"/>
  <c r="E81" i="10"/>
  <c r="E207" i="8"/>
  <c r="J157" i="10"/>
  <c r="D709" i="22"/>
  <c r="D214" i="8"/>
  <c r="F92" i="8"/>
  <c r="F15" i="8"/>
  <c r="I299" i="10"/>
  <c r="F88" i="8"/>
  <c r="F103" i="7"/>
  <c r="B22" i="7"/>
  <c r="B128" i="7"/>
  <c r="A150" i="26"/>
  <c r="I1156" i="24"/>
  <c r="A153" i="26"/>
  <c r="K230" i="9"/>
  <c r="N201" i="10"/>
  <c r="K1100" i="24"/>
  <c r="N538" i="8"/>
  <c r="L356" i="9"/>
  <c r="I10" i="10"/>
  <c r="F18" i="10"/>
  <c r="B14" i="8"/>
  <c r="B72" i="8"/>
  <c r="B76" i="8"/>
  <c r="E66" i="8"/>
  <c r="B98" i="8"/>
  <c r="H125" i="7"/>
  <c r="H273" i="11"/>
  <c r="F149" i="26"/>
  <c r="I53" i="8"/>
  <c r="D186" i="26"/>
  <c r="E494" i="22"/>
  <c r="E656" i="22" s="1"/>
  <c r="E616" i="22"/>
  <c r="C189" i="7"/>
  <c r="C186" i="7"/>
  <c r="C547" i="22"/>
  <c r="C587" i="22" s="1"/>
  <c r="C561" i="22"/>
  <c r="E409" i="22"/>
  <c r="E412" i="22"/>
  <c r="I383" i="11"/>
  <c r="D216" i="26"/>
  <c r="K416" i="8"/>
  <c r="H18" i="10"/>
  <c r="E27" i="22"/>
  <c r="E30" i="22"/>
  <c r="E190" i="12"/>
  <c r="B195" i="12"/>
  <c r="B198" i="12"/>
  <c r="J933" i="22"/>
  <c r="J930" i="22"/>
  <c r="J938" i="22"/>
  <c r="K33" i="7"/>
  <c r="K152" i="7"/>
  <c r="L314" i="7"/>
  <c r="L606" i="8"/>
  <c r="K304" i="7"/>
  <c r="L165" i="7"/>
  <c r="L165" i="8"/>
  <c r="L595" i="8"/>
  <c r="K302" i="7"/>
  <c r="K155" i="7"/>
  <c r="J268" i="9"/>
  <c r="J915" i="22"/>
  <c r="J466" i="24"/>
  <c r="J479" i="24" s="1"/>
  <c r="J471" i="24"/>
  <c r="J459" i="24"/>
  <c r="D52" i="10"/>
  <c r="D49" i="10"/>
  <c r="E14" i="22"/>
  <c r="E17" i="22"/>
  <c r="E35" i="22"/>
  <c r="K254" i="7"/>
  <c r="K229" i="7"/>
  <c r="K232" i="7"/>
  <c r="D203" i="8"/>
  <c r="D200" i="8"/>
  <c r="D467" i="22"/>
  <c r="D481" i="22"/>
  <c r="D603" i="22"/>
  <c r="E215" i="12"/>
  <c r="B223" i="12"/>
  <c r="E223" i="12" s="1"/>
  <c r="D695" i="22"/>
  <c r="D698" i="22"/>
  <c r="G150" i="12"/>
  <c r="G153" i="12"/>
  <c r="F58" i="7"/>
  <c r="F55" i="7"/>
  <c r="I50" i="7"/>
  <c r="E498" i="22"/>
  <c r="E660" i="22" s="1"/>
  <c r="E620" i="22"/>
  <c r="B499" i="22"/>
  <c r="B661" i="22" s="1"/>
  <c r="B621" i="22"/>
  <c r="F302" i="10"/>
  <c r="D33" i="9"/>
  <c r="D39" i="9" s="1"/>
  <c r="D1485" i="24"/>
  <c r="D1491" i="24"/>
  <c r="E141" i="10"/>
  <c r="C158" i="10"/>
  <c r="E158" i="10" s="1"/>
  <c r="I190" i="12"/>
  <c r="F195" i="12"/>
  <c r="F198" i="12"/>
  <c r="H56" i="8"/>
  <c r="H9" i="8"/>
  <c r="H50" i="8"/>
  <c r="F176" i="26"/>
  <c r="G417" i="22"/>
  <c r="G396" i="22"/>
  <c r="G399" i="22"/>
  <c r="J215" i="8"/>
  <c r="K56" i="8"/>
  <c r="K9" i="8"/>
  <c r="K50" i="8"/>
  <c r="H176" i="26"/>
  <c r="C502" i="22"/>
  <c r="C664" i="22" s="1"/>
  <c r="C624" i="22"/>
  <c r="G175" i="13"/>
  <c r="G176" i="13"/>
  <c r="F503" i="22"/>
  <c r="F665" i="22" s="1"/>
  <c r="F625" i="22"/>
  <c r="F215" i="8"/>
  <c r="I189" i="8"/>
  <c r="E502" i="22"/>
  <c r="E664" i="22" s="1"/>
  <c r="E624" i="22"/>
  <c r="J288" i="10"/>
  <c r="J285" i="10"/>
  <c r="I202" i="12"/>
  <c r="F210" i="12"/>
  <c r="I210" i="12" s="1"/>
  <c r="G15" i="8"/>
  <c r="G88" i="8"/>
  <c r="G92" i="8"/>
  <c r="C634" i="22"/>
  <c r="E568" i="22"/>
  <c r="E533" i="22"/>
  <c r="E536" i="22"/>
  <c r="F467" i="22"/>
  <c r="F481" i="22"/>
  <c r="F603" i="22"/>
  <c r="I218" i="12"/>
  <c r="F220" i="12"/>
  <c r="I220" i="12" s="1"/>
  <c r="I153" i="10"/>
  <c r="D568" i="22"/>
  <c r="D533" i="22"/>
  <c r="D536" i="22"/>
  <c r="I290" i="9"/>
  <c r="I287" i="9"/>
  <c r="I278" i="9"/>
  <c r="I438" i="8"/>
  <c r="D193" i="26"/>
  <c r="B466" i="22"/>
  <c r="B480" i="22"/>
  <c r="B602" i="22"/>
  <c r="B498" i="22"/>
  <c r="B660" i="22" s="1"/>
  <c r="B620" i="22"/>
  <c r="D133" i="10"/>
  <c r="D145" i="10"/>
  <c r="F151" i="10"/>
  <c r="D142" i="10"/>
  <c r="D112" i="7"/>
  <c r="D281" i="11"/>
  <c r="D239" i="11"/>
  <c r="C141" i="26"/>
  <c r="D220" i="11"/>
  <c r="D426" i="8"/>
  <c r="D466" i="22"/>
  <c r="D480" i="22"/>
  <c r="D602" i="22"/>
  <c r="B107" i="8"/>
  <c r="E107" i="8" s="1"/>
  <c r="E75" i="8"/>
  <c r="E246" i="7"/>
  <c r="E258" i="7"/>
  <c r="E255" i="7"/>
  <c r="B176" i="13"/>
  <c r="B175" i="13"/>
  <c r="I1371" i="24"/>
  <c r="K521" i="11" s="1"/>
  <c r="K462" i="11" s="1"/>
  <c r="K250" i="22"/>
  <c r="H115" i="8"/>
  <c r="H441" i="8"/>
  <c r="H497" i="8"/>
  <c r="F192" i="26"/>
  <c r="G412" i="22"/>
  <c r="G409" i="22"/>
  <c r="I57" i="7"/>
  <c r="K457" i="11"/>
  <c r="K144" i="12"/>
  <c r="H219" i="26"/>
  <c r="K450" i="11"/>
  <c r="C175" i="13"/>
  <c r="C176" i="13"/>
  <c r="E202" i="12"/>
  <c r="B210" i="12"/>
  <c r="E210" i="12" s="1"/>
  <c r="I151" i="12"/>
  <c r="M330" i="8"/>
  <c r="M207" i="7"/>
  <c r="I188" i="8"/>
  <c r="F214" i="8"/>
  <c r="I214" i="8" s="1"/>
  <c r="F9" i="8"/>
  <c r="F50" i="8"/>
  <c r="I48" i="8"/>
  <c r="F56" i="8"/>
  <c r="D176" i="26"/>
  <c r="I116" i="10"/>
  <c r="G151" i="10"/>
  <c r="F133" i="10"/>
  <c r="F145" i="10"/>
  <c r="I119" i="10"/>
  <c r="F142" i="10"/>
  <c r="C548" i="22"/>
  <c r="C588" i="22" s="1"/>
  <c r="C562" i="22"/>
  <c r="K74" i="8"/>
  <c r="K96" i="8"/>
  <c r="E15" i="7"/>
  <c r="M353" i="8"/>
  <c r="B638" i="22"/>
  <c r="H545" i="22"/>
  <c r="H585" i="22" s="1"/>
  <c r="H559" i="22"/>
  <c r="F1476" i="24"/>
  <c r="F1479" i="24"/>
  <c r="H648" i="22"/>
  <c r="B57" i="8"/>
  <c r="E49" i="8"/>
  <c r="A179" i="26"/>
  <c r="B536" i="22"/>
  <c r="B568" i="22"/>
  <c r="B533" i="22"/>
  <c r="G208" i="8"/>
  <c r="G187" i="8"/>
  <c r="G190" i="8"/>
  <c r="F547" i="22"/>
  <c r="F587" i="22" s="1"/>
  <c r="F561" i="22"/>
  <c r="F502" i="22"/>
  <c r="F664" i="22" s="1"/>
  <c r="F624" i="22"/>
  <c r="B503" i="22"/>
  <c r="B665" i="22" s="1"/>
  <c r="B625" i="22"/>
  <c r="I490" i="22"/>
  <c r="I652" i="22" s="1"/>
  <c r="I612" i="22"/>
  <c r="I481" i="22"/>
  <c r="I603" i="22"/>
  <c r="B493" i="22"/>
  <c r="B655" i="22" s="1"/>
  <c r="B615" i="22"/>
  <c r="J57" i="8"/>
  <c r="G179" i="26"/>
  <c r="H409" i="22"/>
  <c r="H412" i="22"/>
  <c r="I215" i="12"/>
  <c r="F223" i="12"/>
  <c r="I223" i="12" s="1"/>
  <c r="C208" i="8"/>
  <c r="C187" i="8"/>
  <c r="C190" i="8"/>
  <c r="F18" i="6"/>
  <c r="I10" i="7"/>
  <c r="I9" i="6"/>
  <c r="I23" i="7"/>
  <c r="I129" i="7"/>
  <c r="F129" i="7"/>
  <c r="F9" i="6"/>
  <c r="I279" i="7"/>
  <c r="F23" i="7"/>
  <c r="F279" i="7"/>
  <c r="F136" i="8"/>
  <c r="I504" i="8"/>
  <c r="F504" i="8"/>
  <c r="I136" i="8"/>
  <c r="I277" i="11"/>
  <c r="F277" i="11"/>
  <c r="D102" i="26"/>
  <c r="D9" i="6"/>
  <c r="D18" i="6"/>
  <c r="D335" i="7" s="1"/>
  <c r="D23" i="7"/>
  <c r="D129" i="7"/>
  <c r="D279" i="7"/>
  <c r="D136" i="8"/>
  <c r="D504" i="8"/>
  <c r="D277" i="11"/>
  <c r="C102" i="26"/>
  <c r="D493" i="22"/>
  <c r="D655" i="22" s="1"/>
  <c r="D615" i="22"/>
  <c r="H467" i="22"/>
  <c r="H481" i="22"/>
  <c r="H603" i="22"/>
  <c r="G500" i="8"/>
  <c r="E193" i="26"/>
  <c r="F491" i="22"/>
  <c r="F653" i="22" s="1"/>
  <c r="F613" i="22"/>
  <c r="L297" i="7"/>
  <c r="N577" i="8"/>
  <c r="L90" i="10"/>
  <c r="L190" i="10"/>
  <c r="L214" i="10"/>
  <c r="N229" i="10"/>
  <c r="L412" i="11"/>
  <c r="L107" i="12"/>
  <c r="J733" i="24"/>
  <c r="M229" i="10"/>
  <c r="M188" i="10"/>
  <c r="L577" i="8"/>
  <c r="L229" i="10"/>
  <c r="M577" i="8"/>
  <c r="L56" i="10"/>
  <c r="L146" i="7"/>
  <c r="L192" i="10"/>
  <c r="K123" i="10"/>
  <c r="I792" i="24"/>
  <c r="I805" i="24" s="1"/>
  <c r="I797" i="24"/>
  <c r="I785" i="24"/>
  <c r="I260" i="11"/>
  <c r="D151" i="26"/>
  <c r="C14" i="22"/>
  <c r="C17" i="22"/>
  <c r="C35" i="22"/>
  <c r="B494" i="22"/>
  <c r="B656" i="22" s="1"/>
  <c r="B616" i="22"/>
  <c r="D112" i="8"/>
  <c r="D445" i="8"/>
  <c r="D431" i="8"/>
  <c r="C189" i="26"/>
  <c r="D14" i="7"/>
  <c r="D13" i="3" s="1"/>
  <c r="K940" i="22"/>
  <c r="L52" i="7"/>
  <c r="L184" i="8"/>
  <c r="L436" i="8"/>
  <c r="L130" i="10"/>
  <c r="M130" i="10" s="1"/>
  <c r="L46" i="10"/>
  <c r="L251" i="11"/>
  <c r="J526" i="22"/>
  <c r="J445" i="22"/>
  <c r="J402" i="22"/>
  <c r="I96" i="26"/>
  <c r="K688" i="22"/>
  <c r="K20" i="22"/>
  <c r="M122" i="10"/>
  <c r="M251" i="11"/>
  <c r="M436" i="8"/>
  <c r="K196" i="11"/>
  <c r="K199" i="11"/>
  <c r="K129" i="11"/>
  <c r="K120" i="11"/>
  <c r="K132" i="11"/>
  <c r="C494" i="22"/>
  <c r="C656" i="22" s="1"/>
  <c r="C616" i="22"/>
  <c r="C212" i="8"/>
  <c r="M105" i="11"/>
  <c r="E396" i="22"/>
  <c r="E399" i="22"/>
  <c r="E417" i="22"/>
  <c r="E383" i="11"/>
  <c r="A216" i="26"/>
  <c r="L164" i="11"/>
  <c r="M138" i="11"/>
  <c r="L194" i="8"/>
  <c r="L460" i="8"/>
  <c r="L233" i="11"/>
  <c r="J518" i="22"/>
  <c r="J437" i="22"/>
  <c r="J394" i="22"/>
  <c r="I93" i="26"/>
  <c r="K12" i="22"/>
  <c r="K680" i="22"/>
  <c r="M114" i="10"/>
  <c r="I214" i="12"/>
  <c r="F216" i="12"/>
  <c r="F222" i="12"/>
  <c r="M410" i="11"/>
  <c r="H35" i="22"/>
  <c r="H14" i="22"/>
  <c r="H17" i="22"/>
  <c r="J41" i="22"/>
  <c r="C215" i="8"/>
  <c r="I106" i="7"/>
  <c r="H295" i="11"/>
  <c r="E48" i="10"/>
  <c r="G286" i="7"/>
  <c r="G511" i="8"/>
  <c r="G298" i="11"/>
  <c r="D275" i="7"/>
  <c r="C153" i="26" s="1"/>
  <c r="D266" i="11"/>
  <c r="C151" i="26"/>
  <c r="I186" i="8"/>
  <c r="F212" i="8"/>
  <c r="D212" i="8"/>
  <c r="E374" i="11"/>
  <c r="E371" i="11"/>
  <c r="A139" i="26"/>
  <c r="B209" i="12"/>
  <c r="E201" i="12"/>
  <c r="B203" i="12"/>
  <c r="K355" i="11"/>
  <c r="I1106" i="24"/>
  <c r="I1103" i="24"/>
  <c r="I1111" i="24"/>
  <c r="K167" i="11"/>
  <c r="K236" i="7"/>
  <c r="K145" i="11"/>
  <c r="K181" i="11"/>
  <c r="K365" i="8"/>
  <c r="K359" i="8"/>
  <c r="K370" i="8"/>
  <c r="K397" i="8"/>
  <c r="K541" i="8"/>
  <c r="K556" i="8"/>
  <c r="D14" i="3"/>
  <c r="C132" i="26" s="1"/>
  <c r="D397" i="11"/>
  <c r="D400" i="11"/>
  <c r="C128" i="26"/>
  <c r="B58" i="7"/>
  <c r="B55" i="7"/>
  <c r="E50" i="7"/>
  <c r="E83" i="10"/>
  <c r="B547" i="22"/>
  <c r="B587" i="22" s="1"/>
  <c r="B561" i="22"/>
  <c r="E33" i="9"/>
  <c r="E39" i="9" s="1"/>
  <c r="E1485" i="24"/>
  <c r="E1491" i="24"/>
  <c r="D399" i="22"/>
  <c r="D417" i="22"/>
  <c r="D396" i="22"/>
  <c r="E709" i="22"/>
  <c r="J49" i="10"/>
  <c r="J52" i="10"/>
  <c r="H460" i="22"/>
  <c r="H474" i="22"/>
  <c r="H596" i="22"/>
  <c r="H439" i="22"/>
  <c r="H442" i="22"/>
  <c r="I639" i="22"/>
  <c r="G493" i="22"/>
  <c r="G655" i="22" s="1"/>
  <c r="G615" i="22"/>
  <c r="E499" i="22"/>
  <c r="E661" i="22" s="1"/>
  <c r="E621" i="22"/>
  <c r="E182" i="12"/>
  <c r="E185" i="12"/>
  <c r="I50" i="10"/>
  <c r="E547" i="22"/>
  <c r="E587" i="22" s="1"/>
  <c r="E561" i="22"/>
  <c r="F709" i="22"/>
  <c r="C10" i="8"/>
  <c r="B187" i="26" s="1"/>
  <c r="C54" i="8"/>
  <c r="B183" i="26"/>
  <c r="E218" i="12"/>
  <c r="B220" i="12"/>
  <c r="E220" i="12" s="1"/>
  <c r="D175" i="13"/>
  <c r="D176" i="13"/>
  <c r="H11" i="10"/>
  <c r="I17" i="10"/>
  <c r="G634" i="22"/>
  <c r="H709" i="22"/>
  <c r="H464" i="22"/>
  <c r="H478" i="22"/>
  <c r="H640" i="22" s="1"/>
  <c r="H600" i="22"/>
  <c r="I555" i="22"/>
  <c r="J299" i="10"/>
  <c r="J498" i="11"/>
  <c r="J512" i="11"/>
  <c r="J15" i="12"/>
  <c r="J121" i="13"/>
  <c r="I201" i="22"/>
  <c r="J122" i="13"/>
  <c r="J120" i="13"/>
  <c r="H900" i="22"/>
  <c r="J229" i="22"/>
  <c r="I188" i="22"/>
  <c r="J242" i="22"/>
  <c r="J324" i="22"/>
  <c r="J311" i="22"/>
  <c r="H1199" i="24"/>
  <c r="G72" i="26"/>
  <c r="E469" i="8"/>
  <c r="A200" i="26"/>
  <c r="E185" i="7"/>
  <c r="G467" i="22"/>
  <c r="G481" i="22"/>
  <c r="G603" i="22"/>
  <c r="H503" i="22"/>
  <c r="H665" i="22" s="1"/>
  <c r="H625" i="22"/>
  <c r="G133" i="7"/>
  <c r="G119" i="8"/>
  <c r="G20" i="8"/>
  <c r="G452" i="8"/>
  <c r="G302" i="11"/>
  <c r="F466" i="22"/>
  <c r="F480" i="22"/>
  <c r="F642" i="22" s="1"/>
  <c r="F602" i="22"/>
  <c r="F498" i="22"/>
  <c r="F660" i="22" s="1"/>
  <c r="F620" i="22"/>
  <c r="D150" i="12"/>
  <c r="D153" i="12"/>
  <c r="G38" i="9"/>
  <c r="G695" i="22"/>
  <c r="G698" i="22"/>
  <c r="H491" i="8"/>
  <c r="E202" i="8"/>
  <c r="I395" i="22"/>
  <c r="I421" i="22" s="1"/>
  <c r="I419" i="22"/>
  <c r="K155" i="10"/>
  <c r="H647" i="22"/>
  <c r="G17" i="6"/>
  <c r="G6" i="3"/>
  <c r="G20" i="7"/>
  <c r="G8" i="6"/>
  <c r="G119" i="7"/>
  <c r="G11" i="7"/>
  <c r="G269" i="7"/>
  <c r="G133" i="8"/>
  <c r="G494" i="8"/>
  <c r="G246" i="11"/>
  <c r="E95" i="26"/>
  <c r="G14" i="3"/>
  <c r="E132" i="26" s="1"/>
  <c r="G400" i="11"/>
  <c r="G397" i="11"/>
  <c r="E128" i="26"/>
  <c r="J788" i="24"/>
  <c r="J244" i="9"/>
  <c r="J232" i="9"/>
  <c r="F493" i="22"/>
  <c r="F655" i="22" s="1"/>
  <c r="F615" i="22"/>
  <c r="G27" i="22"/>
  <c r="G30" i="22"/>
  <c r="B266" i="11"/>
  <c r="E266" i="11" s="1"/>
  <c r="H256" i="11"/>
  <c r="F265" i="7"/>
  <c r="F235" i="11"/>
  <c r="F291" i="11"/>
  <c r="I229" i="11"/>
  <c r="D144" i="26"/>
  <c r="I230" i="11"/>
  <c r="I429" i="8"/>
  <c r="F230" i="11"/>
  <c r="F429" i="8"/>
  <c r="I98" i="7"/>
  <c r="G112" i="7"/>
  <c r="G239" i="11"/>
  <c r="G301" i="11" s="1"/>
  <c r="G281" i="11"/>
  <c r="E141" i="26"/>
  <c r="G14" i="7"/>
  <c r="G13" i="3" s="1"/>
  <c r="D128" i="7"/>
  <c r="C150" i="26"/>
  <c r="C490" i="8"/>
  <c r="C448" i="8"/>
  <c r="C510" i="8" s="1"/>
  <c r="B190" i="26"/>
  <c r="H72" i="8"/>
  <c r="D198" i="26"/>
  <c r="H445" i="8"/>
  <c r="C523" i="22"/>
  <c r="C541" i="22"/>
  <c r="C581" i="22" s="1"/>
  <c r="C555" i="22"/>
  <c r="C520" i="22"/>
  <c r="K62" i="10"/>
  <c r="K24" i="10"/>
  <c r="K97" i="10"/>
  <c r="J359" i="9"/>
  <c r="J362" i="9"/>
  <c r="J367" i="9"/>
  <c r="D195" i="12"/>
  <c r="D198" i="12"/>
  <c r="D58" i="7"/>
  <c r="D55" i="7"/>
  <c r="C125" i="7"/>
  <c r="C135" i="7" s="1"/>
  <c r="C273" i="11"/>
  <c r="C304" i="11" s="1"/>
  <c r="B149" i="26"/>
  <c r="H133" i="10"/>
  <c r="H145" i="10"/>
  <c r="J151" i="10"/>
  <c r="H142" i="10"/>
  <c r="I498" i="22"/>
  <c r="I660" i="22" s="1"/>
  <c r="I620" i="22"/>
  <c r="C464" i="22"/>
  <c r="C478" i="22"/>
  <c r="C600" i="22"/>
  <c r="C491" i="22"/>
  <c r="C653" i="22" s="1"/>
  <c r="C613" i="22"/>
  <c r="G36" i="9"/>
  <c r="G39" i="9" s="1"/>
  <c r="G1489" i="24"/>
  <c r="G1491" i="24"/>
  <c r="E464" i="22"/>
  <c r="E478" i="22"/>
  <c r="E600" i="22"/>
  <c r="D500" i="8"/>
  <c r="C193" i="26"/>
  <c r="D651" i="22"/>
  <c r="C283" i="7"/>
  <c r="C508" i="8"/>
  <c r="C288" i="11"/>
  <c r="C466" i="22"/>
  <c r="C480" i="22"/>
  <c r="C602" i="22"/>
  <c r="C498" i="22"/>
  <c r="C660" i="22" s="1"/>
  <c r="C620" i="22"/>
  <c r="F122" i="7"/>
  <c r="I250" i="11"/>
  <c r="F270" i="11"/>
  <c r="I270" i="11" s="1"/>
  <c r="D148" i="26"/>
  <c r="E695" i="22"/>
  <c r="E698" i="22"/>
  <c r="B442" i="22"/>
  <c r="B460" i="22"/>
  <c r="B474" i="22"/>
  <c r="B596" i="22"/>
  <c r="B439" i="22"/>
  <c r="K276" i="7"/>
  <c r="K501" i="8"/>
  <c r="K267" i="11"/>
  <c r="H101" i="26"/>
  <c r="D187" i="8"/>
  <c r="D208" i="8"/>
  <c r="D190" i="8"/>
  <c r="D460" i="22"/>
  <c r="D474" i="22"/>
  <c r="D596" i="22"/>
  <c r="D439" i="22"/>
  <c r="D442" i="22"/>
  <c r="J153" i="12"/>
  <c r="J150" i="12"/>
  <c r="K332" i="22"/>
  <c r="J209" i="22"/>
  <c r="K319" i="11"/>
  <c r="K70" i="12" s="1"/>
  <c r="K364" i="11"/>
  <c r="K38" i="12"/>
  <c r="H104" i="26"/>
  <c r="K480" i="11"/>
  <c r="I1077" i="24"/>
  <c r="H1069" i="24"/>
  <c r="I1070" i="24"/>
  <c r="K570" i="8"/>
  <c r="H205" i="26"/>
  <c r="K563" i="8"/>
  <c r="C647" i="22"/>
  <c r="I182" i="8"/>
  <c r="F190" i="8"/>
  <c r="F208" i="8"/>
  <c r="F187" i="8"/>
  <c r="H651" i="22"/>
  <c r="B502" i="22"/>
  <c r="B664" i="22" s="1"/>
  <c r="B624" i="22"/>
  <c r="G186" i="26"/>
  <c r="H494" i="22"/>
  <c r="H656" i="22" s="1"/>
  <c r="H616" i="22"/>
  <c r="J18" i="6"/>
  <c r="J9" i="6"/>
  <c r="J23" i="7"/>
  <c r="J129" i="7"/>
  <c r="J279" i="7"/>
  <c r="J136" i="8"/>
  <c r="J504" i="8"/>
  <c r="J277" i="11"/>
  <c r="G102" i="26"/>
  <c r="K937" i="22"/>
  <c r="L49" i="7"/>
  <c r="L193" i="8"/>
  <c r="L457" i="8"/>
  <c r="L43" i="10"/>
  <c r="L118" i="10"/>
  <c r="L223" i="11"/>
  <c r="J390" i="22"/>
  <c r="J514" i="22"/>
  <c r="J433" i="22"/>
  <c r="I90" i="26"/>
  <c r="K8" i="22"/>
  <c r="K676" i="22"/>
  <c r="M110" i="10"/>
  <c r="F541" i="22"/>
  <c r="F581" i="22" s="1"/>
  <c r="F555" i="22"/>
  <c r="F520" i="22"/>
  <c r="F523" i="22"/>
  <c r="L179" i="7"/>
  <c r="L180" i="8"/>
  <c r="L426" i="8"/>
  <c r="L111" i="10"/>
  <c r="L135" i="10"/>
  <c r="L75" i="10"/>
  <c r="L220" i="11"/>
  <c r="J432" i="22"/>
  <c r="J389" i="22"/>
  <c r="J513" i="22"/>
  <c r="I89" i="26"/>
  <c r="K7" i="22"/>
  <c r="K675" i="22"/>
  <c r="M109" i="10"/>
  <c r="G209" i="12"/>
  <c r="G203" i="12"/>
  <c r="F464" i="22"/>
  <c r="F478" i="22"/>
  <c r="F600" i="22"/>
  <c r="B452" i="22"/>
  <c r="B455" i="22"/>
  <c r="B487" i="22"/>
  <c r="B649" i="22" s="1"/>
  <c r="B609" i="22"/>
  <c r="E105" i="8"/>
  <c r="G136" i="7"/>
  <c r="G23" i="8"/>
  <c r="G129" i="8"/>
  <c r="G483" i="8"/>
  <c r="G305" i="11"/>
  <c r="C387" i="11"/>
  <c r="C384" i="11"/>
  <c r="B217" i="26" s="1"/>
  <c r="B213" i="26"/>
  <c r="D487" i="22"/>
  <c r="D649" i="22" s="1"/>
  <c r="D609" i="22"/>
  <c r="D452" i="22"/>
  <c r="D455" i="22"/>
  <c r="J10" i="8"/>
  <c r="J54" i="8"/>
  <c r="G183" i="26"/>
  <c r="I408" i="8"/>
  <c r="I420" i="8"/>
  <c r="I381" i="8"/>
  <c r="I417" i="8"/>
  <c r="G275" i="7"/>
  <c r="E153" i="26" s="1"/>
  <c r="G266" i="11"/>
  <c r="G276" i="11" s="1"/>
  <c r="E151" i="26"/>
  <c r="L527" i="8"/>
  <c r="L551" i="8"/>
  <c r="M551" i="8" s="1"/>
  <c r="M525" i="8"/>
  <c r="L146" i="8"/>
  <c r="L529" i="8"/>
  <c r="D203" i="12"/>
  <c r="D209" i="12"/>
  <c r="E56" i="7"/>
  <c r="B133" i="7"/>
  <c r="B20" i="8"/>
  <c r="B119" i="8"/>
  <c r="B452" i="8"/>
  <c r="B302" i="11"/>
  <c r="I532" i="22"/>
  <c r="I572" i="22" s="1"/>
  <c r="I105" i="7"/>
  <c r="H547" i="22"/>
  <c r="H587" i="22" s="1"/>
  <c r="H561" i="22"/>
  <c r="I682" i="22"/>
  <c r="I685" i="22"/>
  <c r="I703" i="22"/>
  <c r="G533" i="22"/>
  <c r="G536" i="22"/>
  <c r="G568" i="22"/>
  <c r="K275" i="9"/>
  <c r="K226" i="9"/>
  <c r="N534" i="8"/>
  <c r="K1096" i="24"/>
  <c r="N197" i="10"/>
  <c r="L352" i="9"/>
  <c r="D448" i="8"/>
  <c r="C190" i="26"/>
  <c r="D545" i="22"/>
  <c r="D585" i="22" s="1"/>
  <c r="D559" i="22"/>
  <c r="I455" i="11"/>
  <c r="I458" i="11"/>
  <c r="D224" i="26"/>
  <c r="C639" i="22"/>
  <c r="M326" i="8"/>
  <c r="E438" i="8"/>
  <c r="H85" i="10"/>
  <c r="H82" i="10"/>
  <c r="D648" i="22"/>
  <c r="E10" i="10"/>
  <c r="B18" i="10"/>
  <c r="D18" i="10" s="1"/>
  <c r="H291" i="11"/>
  <c r="G107" i="7"/>
  <c r="G16" i="7" s="1"/>
  <c r="G12" i="3"/>
  <c r="G494" i="22"/>
  <c r="G656" i="22" s="1"/>
  <c r="G616" i="22"/>
  <c r="G210" i="26"/>
  <c r="E10" i="3"/>
  <c r="L185" i="8"/>
  <c r="L439" i="8"/>
  <c r="L261" i="11"/>
  <c r="J406" i="22"/>
  <c r="J530" i="22"/>
  <c r="J449" i="22"/>
  <c r="I99" i="26"/>
  <c r="K692" i="22"/>
  <c r="K24" i="22"/>
  <c r="M126" i="10"/>
  <c r="M439" i="8"/>
  <c r="M261" i="11"/>
  <c r="E647" i="22"/>
  <c r="C216" i="12"/>
  <c r="C222" i="12"/>
  <c r="B387" i="11"/>
  <c r="B384" i="11"/>
  <c r="E379" i="11"/>
  <c r="A213" i="26"/>
  <c r="K76" i="11"/>
  <c r="K81" i="11"/>
  <c r="K69" i="11"/>
  <c r="K211" i="7"/>
  <c r="K155" i="8"/>
  <c r="K152" i="8"/>
  <c r="K33" i="8"/>
  <c r="I211" i="8"/>
  <c r="E651" i="22"/>
  <c r="E187" i="7"/>
  <c r="B283" i="7"/>
  <c r="B508" i="8"/>
  <c r="B288" i="11"/>
  <c r="B6" i="3"/>
  <c r="B20" i="7"/>
  <c r="B8" i="6"/>
  <c r="B11" i="7"/>
  <c r="E9" i="7"/>
  <c r="B17" i="6"/>
  <c r="B119" i="7"/>
  <c r="B269" i="7"/>
  <c r="B133" i="8"/>
  <c r="B494" i="8"/>
  <c r="B246" i="11"/>
  <c r="A95" i="26"/>
  <c r="B541" i="22"/>
  <c r="B581" i="22" s="1"/>
  <c r="B555" i="22"/>
  <c r="B520" i="22"/>
  <c r="B523" i="22"/>
  <c r="I651" i="22"/>
  <c r="D288" i="10"/>
  <c r="D285" i="10"/>
  <c r="J11" i="10"/>
  <c r="J17" i="10"/>
  <c r="H634" i="22"/>
  <c r="I463" i="22"/>
  <c r="H9" i="6"/>
  <c r="H18" i="6"/>
  <c r="H335" i="7" s="1"/>
  <c r="H23" i="7"/>
  <c r="H129" i="7"/>
  <c r="H279" i="7"/>
  <c r="H136" i="8"/>
  <c r="H504" i="8"/>
  <c r="H277" i="11"/>
  <c r="F102" i="26"/>
  <c r="G487" i="22"/>
  <c r="G609" i="22"/>
  <c r="G452" i="22"/>
  <c r="G455" i="22"/>
  <c r="F115" i="7"/>
  <c r="F242" i="11"/>
  <c r="D142" i="26"/>
  <c r="F457" i="8"/>
  <c r="F223" i="11"/>
  <c r="E467" i="22"/>
  <c r="E481" i="22"/>
  <c r="E603" i="22"/>
  <c r="M270" i="8"/>
  <c r="I56" i="7"/>
  <c r="E541" i="22"/>
  <c r="E581" i="22" s="1"/>
  <c r="E555" i="22"/>
  <c r="E520" i="22"/>
  <c r="E523" i="22"/>
  <c r="F494" i="22"/>
  <c r="F656" i="22" s="1"/>
  <c r="F616" i="22"/>
  <c r="B10" i="8"/>
  <c r="B54" i="8"/>
  <c r="E52" i="8"/>
  <c r="A183" i="26"/>
  <c r="C635" i="22"/>
  <c r="E299" i="10"/>
  <c r="L324" i="8"/>
  <c r="L327" i="8"/>
  <c r="M319" i="8"/>
  <c r="H179" i="26"/>
  <c r="M126" i="11"/>
  <c r="C1479" i="24"/>
  <c r="C1476" i="24"/>
  <c r="I374" i="11"/>
  <c r="I371" i="11"/>
  <c r="D139" i="26"/>
  <c r="F209" i="12"/>
  <c r="I201" i="12"/>
  <c r="F203" i="12"/>
  <c r="M105" i="12"/>
  <c r="H6" i="3"/>
  <c r="H11" i="7"/>
  <c r="H17" i="6"/>
  <c r="F95" i="26"/>
  <c r="G466" i="22"/>
  <c r="G480" i="22"/>
  <c r="G602" i="22"/>
  <c r="G498" i="22"/>
  <c r="G660" i="22" s="1"/>
  <c r="G620" i="22"/>
  <c r="J302" i="10"/>
  <c r="C545" i="22"/>
  <c r="C585" i="22" s="1"/>
  <c r="C559" i="22"/>
  <c r="K498" i="11"/>
  <c r="K29" i="12" s="1"/>
  <c r="K512" i="11"/>
  <c r="K15" i="12"/>
  <c r="K120" i="13"/>
  <c r="K121" i="13"/>
  <c r="K122" i="13"/>
  <c r="J201" i="22"/>
  <c r="K311" i="22"/>
  <c r="I900" i="22"/>
  <c r="K229" i="22"/>
  <c r="J188" i="22"/>
  <c r="J214" i="22" s="1"/>
  <c r="K242" i="22"/>
  <c r="K324" i="22"/>
  <c r="I1199" i="24"/>
  <c r="H72" i="26"/>
  <c r="G639" i="22"/>
  <c r="E545" i="22"/>
  <c r="E585" i="22" s="1"/>
  <c r="E559" i="22"/>
  <c r="B256" i="11"/>
  <c r="B409" i="22"/>
  <c r="B412" i="22"/>
  <c r="J18" i="10"/>
  <c r="H568" i="22"/>
  <c r="H533" i="22"/>
  <c r="H536" i="22"/>
  <c r="G17" i="10"/>
  <c r="G11" i="10"/>
  <c r="G19" i="10" s="1"/>
  <c r="F442" i="22"/>
  <c r="F460" i="22"/>
  <c r="F474" i="22"/>
  <c r="F636" i="22" s="1"/>
  <c r="F596" i="22"/>
  <c r="F439" i="22"/>
  <c r="G14" i="22"/>
  <c r="G17" i="22"/>
  <c r="G35" i="22"/>
  <c r="G215" i="8"/>
  <c r="G441" i="8"/>
  <c r="J681" i="22"/>
  <c r="J707" i="22" s="1"/>
  <c r="J705" i="22"/>
  <c r="I462" i="22"/>
  <c r="I476" i="22"/>
  <c r="I598" i="22"/>
  <c r="I438" i="22"/>
  <c r="I141" i="10"/>
  <c r="G158" i="10"/>
  <c r="H493" i="22"/>
  <c r="H655" i="22" s="1"/>
  <c r="H615" i="22"/>
  <c r="J12" i="3"/>
  <c r="J107" i="7"/>
  <c r="G709" i="22"/>
  <c r="M539" i="8"/>
  <c r="L540" i="8"/>
  <c r="M540" i="8" s="1"/>
  <c r="L552" i="8"/>
  <c r="M552" i="8" s="1"/>
  <c r="F545" i="22"/>
  <c r="F585" i="22" s="1"/>
  <c r="F559" i="22"/>
  <c r="F452" i="22"/>
  <c r="F455" i="22"/>
  <c r="F487" i="22"/>
  <c r="F609" i="22"/>
  <c r="G638" i="22"/>
  <c r="E260" i="11"/>
  <c r="F112" i="7"/>
  <c r="F262" i="7"/>
  <c r="F239" i="11"/>
  <c r="F225" i="11"/>
  <c r="F281" i="11"/>
  <c r="I219" i="11"/>
  <c r="D141" i="26"/>
  <c r="F426" i="8"/>
  <c r="I220" i="11"/>
  <c r="F220" i="11"/>
  <c r="I426" i="8"/>
  <c r="G448" i="8"/>
  <c r="E190" i="26"/>
  <c r="D122" i="7"/>
  <c r="D278" i="7" s="1"/>
  <c r="C112" i="7"/>
  <c r="C262" i="7"/>
  <c r="C239" i="11"/>
  <c r="C225" i="11"/>
  <c r="C281" i="11"/>
  <c r="B141" i="26"/>
  <c r="C104" i="7"/>
  <c r="C108" i="7"/>
  <c r="C93" i="7"/>
  <c r="H76" i="8"/>
  <c r="H118" i="8"/>
  <c r="H19" i="8"/>
  <c r="F191" i="26"/>
  <c r="C17" i="10"/>
  <c r="C11" i="10"/>
  <c r="C19" i="10" s="1"/>
  <c r="I751" i="24"/>
  <c r="I764" i="24" s="1"/>
  <c r="I756" i="24"/>
  <c r="I744" i="24"/>
  <c r="L247" i="10"/>
  <c r="K219" i="10"/>
  <c r="B9" i="8"/>
  <c r="B50" i="8"/>
  <c r="E48" i="8"/>
  <c r="B56" i="8"/>
  <c r="A176" i="26"/>
  <c r="K151" i="10"/>
  <c r="J133" i="10"/>
  <c r="J145" i="10"/>
  <c r="J142" i="10"/>
  <c r="D10" i="8"/>
  <c r="C187" i="26" s="1"/>
  <c r="D54" i="8"/>
  <c r="C183" i="26"/>
  <c r="F6" i="3"/>
  <c r="F11" i="7"/>
  <c r="I9" i="7"/>
  <c r="F17" i="6"/>
  <c r="D95" i="26"/>
  <c r="E466" i="22"/>
  <c r="E480" i="22"/>
  <c r="E642" i="22" s="1"/>
  <c r="E602" i="22"/>
  <c r="B467" i="22"/>
  <c r="B481" i="22"/>
  <c r="B603" i="22"/>
  <c r="L69" i="8"/>
  <c r="M268" i="8"/>
  <c r="H112" i="7"/>
  <c r="H262" i="7"/>
  <c r="H225" i="11"/>
  <c r="H281" i="11"/>
  <c r="H239" i="11"/>
  <c r="F141" i="26"/>
  <c r="H220" i="11"/>
  <c r="H426" i="8"/>
  <c r="K208" i="8"/>
  <c r="K190" i="8"/>
  <c r="K187" i="8"/>
  <c r="C133" i="7"/>
  <c r="C119" i="8"/>
  <c r="C20" i="8"/>
  <c r="C452" i="8"/>
  <c r="C302" i="11"/>
  <c r="B103" i="7"/>
  <c r="E71" i="7"/>
  <c r="B456" i="8"/>
  <c r="B222" i="11"/>
  <c r="B232" i="11"/>
  <c r="B459" i="8"/>
  <c r="F548" i="22"/>
  <c r="F588" i="22" s="1"/>
  <c r="F562" i="22"/>
  <c r="K337" i="8"/>
  <c r="K394" i="8"/>
  <c r="K391" i="8"/>
  <c r="K328" i="8"/>
  <c r="K340" i="8"/>
  <c r="D409" i="22"/>
  <c r="D412" i="22"/>
  <c r="D6" i="3"/>
  <c r="D11" i="7"/>
  <c r="D17" i="6"/>
  <c r="C95" i="26"/>
  <c r="B12" i="3"/>
  <c r="B107" i="7"/>
  <c r="E75" i="7"/>
  <c r="L561" i="8"/>
  <c r="L448" i="11"/>
  <c r="L175" i="12"/>
  <c r="J1068" i="24"/>
  <c r="M351" i="11"/>
  <c r="F49" i="10"/>
  <c r="I44" i="10"/>
  <c r="F52" i="10"/>
  <c r="I493" i="22"/>
  <c r="I655" i="22" s="1"/>
  <c r="I615" i="22"/>
  <c r="D1479" i="24"/>
  <c r="D1476" i="24"/>
  <c r="L354" i="8"/>
  <c r="L351" i="8"/>
  <c r="M346" i="8"/>
  <c r="B545" i="22"/>
  <c r="B585" i="22" s="1"/>
  <c r="B559" i="22"/>
  <c r="C58" i="7"/>
  <c r="C55" i="7"/>
  <c r="C142" i="10"/>
  <c r="D151" i="10"/>
  <c r="C133" i="10"/>
  <c r="C145" i="10"/>
  <c r="C439" i="22"/>
  <c r="C442" i="22"/>
  <c r="C460" i="22"/>
  <c r="C474" i="22"/>
  <c r="C636" i="22" s="1"/>
  <c r="C596" i="22"/>
  <c r="D682" i="22"/>
  <c r="D685" i="22"/>
  <c r="D703" i="22"/>
  <c r="D14" i="8"/>
  <c r="D98" i="8"/>
  <c r="D72" i="8"/>
  <c r="D76" i="8"/>
  <c r="I132" i="10"/>
  <c r="I129" i="10"/>
  <c r="G155" i="10"/>
  <c r="I155" i="10" s="1"/>
  <c r="F635" i="22"/>
  <c r="I396" i="11"/>
  <c r="D131" i="26"/>
  <c r="D634" i="22"/>
  <c r="H399" i="22"/>
  <c r="H417" i="22"/>
  <c r="H396" i="22"/>
  <c r="I14" i="22"/>
  <c r="I17" i="22"/>
  <c r="I35" i="22"/>
  <c r="H695" i="22"/>
  <c r="H698" i="22"/>
  <c r="M323" i="8"/>
  <c r="G491" i="22"/>
  <c r="G653" i="22" s="1"/>
  <c r="G613" i="22"/>
  <c r="E503" i="22"/>
  <c r="E665" i="22" s="1"/>
  <c r="E625" i="22"/>
  <c r="I13" i="21"/>
  <c r="D12" i="3"/>
  <c r="D107" i="7"/>
  <c r="C9" i="6"/>
  <c r="C18" i="6"/>
  <c r="C335" i="7" s="1"/>
  <c r="C23" i="7"/>
  <c r="C129" i="7"/>
  <c r="C279" i="7"/>
  <c r="C136" i="8"/>
  <c r="C504" i="8"/>
  <c r="C277" i="11"/>
  <c r="B102" i="26"/>
  <c r="C493" i="22"/>
  <c r="C655" i="22" s="1"/>
  <c r="C615" i="22"/>
  <c r="F153" i="12"/>
  <c r="F150" i="12"/>
  <c r="I145" i="12"/>
  <c r="I137" i="10"/>
  <c r="G157" i="10"/>
  <c r="D103" i="7"/>
  <c r="D456" i="8"/>
  <c r="D487" i="8" s="1"/>
  <c r="D222" i="11"/>
  <c r="D262" i="7" s="1"/>
  <c r="D459" i="8"/>
  <c r="D232" i="11"/>
  <c r="D235" i="11" s="1"/>
  <c r="L80" i="7"/>
  <c r="M75" i="11"/>
  <c r="B464" i="22"/>
  <c r="B478" i="22"/>
  <c r="B640" i="22" s="1"/>
  <c r="B600" i="22"/>
  <c r="K294" i="10"/>
  <c r="K77" i="10"/>
  <c r="K50" i="10"/>
  <c r="I200" i="11"/>
  <c r="I212" i="11"/>
  <c r="I173" i="11"/>
  <c r="I209" i="11"/>
  <c r="E186" i="8"/>
  <c r="B212" i="8"/>
  <c r="E212" i="8" s="1"/>
  <c r="C695" i="22"/>
  <c r="C698" i="22"/>
  <c r="H195" i="12"/>
  <c r="H198" i="12"/>
  <c r="H122" i="8"/>
  <c r="H462" i="8"/>
  <c r="H476" i="8"/>
  <c r="F196" i="26"/>
  <c r="G548" i="22"/>
  <c r="G588" i="22" s="1"/>
  <c r="G562" i="22"/>
  <c r="K263" i="9"/>
  <c r="K214" i="9"/>
  <c r="K1084" i="24"/>
  <c r="N185" i="10"/>
  <c r="N522" i="8"/>
  <c r="L340" i="9"/>
  <c r="J107" i="8"/>
  <c r="F107" i="8"/>
  <c r="I107" i="8" s="1"/>
  <c r="I75" i="8"/>
  <c r="I246" i="7"/>
  <c r="I258" i="7"/>
  <c r="I255" i="7"/>
  <c r="F176" i="13"/>
  <c r="F175" i="13"/>
  <c r="B153" i="12"/>
  <c r="B150" i="12"/>
  <c r="E145" i="12"/>
  <c r="I934" i="22"/>
  <c r="I946" i="22"/>
  <c r="I943" i="22"/>
  <c r="G195" i="12"/>
  <c r="G198" i="12"/>
  <c r="F409" i="22"/>
  <c r="F412" i="22"/>
  <c r="G545" i="22"/>
  <c r="G585" i="22" s="1"/>
  <c r="G559" i="22"/>
  <c r="H185" i="26"/>
  <c r="I635" i="22"/>
  <c r="J212" i="8"/>
  <c r="I27" i="22"/>
  <c r="I30" i="22"/>
  <c r="G85" i="10"/>
  <c r="G82" i="10"/>
  <c r="C56" i="8"/>
  <c r="C9" i="8"/>
  <c r="C50" i="8"/>
  <c r="B176" i="26"/>
  <c r="I87" i="7"/>
  <c r="F469" i="8"/>
  <c r="F263" i="11"/>
  <c r="F266" i="11" s="1"/>
  <c r="F466" i="8"/>
  <c r="F253" i="11"/>
  <c r="F284" i="11" s="1"/>
  <c r="H635" i="22"/>
  <c r="M417" i="11"/>
  <c r="B14" i="3"/>
  <c r="E392" i="11"/>
  <c r="B400" i="11"/>
  <c r="B397" i="11"/>
  <c r="A128" i="26"/>
  <c r="K345" i="9"/>
  <c r="K369" i="9"/>
  <c r="K448" i="24"/>
  <c r="K302" i="9"/>
  <c r="K347" i="9"/>
  <c r="K373" i="9" s="1"/>
  <c r="J219" i="9"/>
  <c r="J243" i="9"/>
  <c r="J774" i="24"/>
  <c r="J221" i="9"/>
  <c r="J247" i="9" s="1"/>
  <c r="I233" i="9"/>
  <c r="I236" i="9"/>
  <c r="I241" i="9"/>
  <c r="D387" i="11"/>
  <c r="D384" i="11"/>
  <c r="C217" i="26" s="1"/>
  <c r="C213" i="26"/>
  <c r="H285" i="10"/>
  <c r="H288" i="10"/>
  <c r="B82" i="10"/>
  <c r="E77" i="10"/>
  <c r="B85" i="10"/>
  <c r="B648" i="22"/>
  <c r="J82" i="10"/>
  <c r="J85" i="10"/>
  <c r="H520" i="22"/>
  <c r="H523" i="22"/>
  <c r="H541" i="22"/>
  <c r="H581" i="22" s="1"/>
  <c r="H555" i="22"/>
  <c r="D72" i="7"/>
  <c r="F200" i="8"/>
  <c r="I195" i="8"/>
  <c r="F203" i="8"/>
  <c r="E548" i="22"/>
  <c r="E588" i="22" s="1"/>
  <c r="E562" i="22"/>
  <c r="C648" i="22"/>
  <c r="D265" i="7"/>
  <c r="D291" i="11"/>
  <c r="C144" i="26"/>
  <c r="D429" i="8"/>
  <c r="D230" i="11"/>
  <c r="C57" i="8"/>
  <c r="B179" i="26"/>
  <c r="M223" i="7"/>
  <c r="F14" i="22"/>
  <c r="F17" i="22"/>
  <c r="F35" i="22"/>
  <c r="C503" i="22"/>
  <c r="C665" i="22" s="1"/>
  <c r="C625" i="22"/>
  <c r="D639" i="22"/>
  <c r="C153" i="12"/>
  <c r="C150" i="12"/>
  <c r="E500" i="8"/>
  <c r="L69" i="7"/>
  <c r="M63" i="11"/>
  <c r="H186" i="7"/>
  <c r="H189" i="7"/>
  <c r="G547" i="22"/>
  <c r="G587" i="22" s="1"/>
  <c r="G561" i="22"/>
  <c r="I11" i="3"/>
  <c r="D494" i="22"/>
  <c r="D656" i="22" s="1"/>
  <c r="D616" i="22"/>
  <c r="G212" i="8"/>
  <c r="C85" i="10"/>
  <c r="C82" i="10"/>
  <c r="F57" i="8"/>
  <c r="I49" i="8"/>
  <c r="D179" i="26"/>
  <c r="E493" i="22"/>
  <c r="E655" i="22" s="1"/>
  <c r="E615" i="22"/>
  <c r="G200" i="8"/>
  <c r="G203" i="8"/>
  <c r="C198" i="12"/>
  <c r="C195" i="12"/>
  <c r="C14" i="3"/>
  <c r="B132" i="26" s="1"/>
  <c r="C400" i="11"/>
  <c r="C397" i="11"/>
  <c r="B128" i="26"/>
  <c r="D57" i="8"/>
  <c r="C179" i="26"/>
  <c r="M112" i="12"/>
  <c r="E385" i="11"/>
  <c r="K281" i="8"/>
  <c r="K292" i="8"/>
  <c r="K283" i="8"/>
  <c r="H15" i="8"/>
  <c r="I15" i="8" s="1"/>
  <c r="H88" i="8"/>
  <c r="I88" i="8" s="1"/>
  <c r="H92" i="8"/>
  <c r="E408" i="8"/>
  <c r="E420" i="8"/>
  <c r="E381" i="8"/>
  <c r="E417" i="8"/>
  <c r="E491" i="22"/>
  <c r="E653" i="22" s="1"/>
  <c r="E613" i="22"/>
  <c r="B49" i="10"/>
  <c r="E44" i="10"/>
  <c r="B52" i="10"/>
  <c r="I451" i="22"/>
  <c r="E1476" i="24"/>
  <c r="E1479" i="24"/>
  <c r="D85" i="10"/>
  <c r="D82" i="10"/>
  <c r="E682" i="22"/>
  <c r="E685" i="22"/>
  <c r="E703" i="22"/>
  <c r="J58" i="7"/>
  <c r="J55" i="7"/>
  <c r="H498" i="22"/>
  <c r="H660" i="22" s="1"/>
  <c r="H620" i="22"/>
  <c r="G103" i="7"/>
  <c r="I103" i="7" s="1"/>
  <c r="G456" i="8"/>
  <c r="G222" i="11"/>
  <c r="G232" i="11"/>
  <c r="G459" i="8"/>
  <c r="F88" i="7"/>
  <c r="H500" i="8"/>
  <c r="F193" i="26"/>
  <c r="C115" i="8"/>
  <c r="C441" i="8"/>
  <c r="C503" i="8" s="1"/>
  <c r="C497" i="8"/>
  <c r="B192" i="26"/>
  <c r="C412" i="22"/>
  <c r="C409" i="22"/>
  <c r="F682" i="22"/>
  <c r="F685" i="22"/>
  <c r="F703" i="22"/>
  <c r="E201" i="8"/>
  <c r="B548" i="22"/>
  <c r="B588" i="22" s="1"/>
  <c r="B562" i="22"/>
  <c r="C200" i="8"/>
  <c r="C203" i="8"/>
  <c r="C499" i="22"/>
  <c r="C661" i="22" s="1"/>
  <c r="C621" i="22"/>
  <c r="E396" i="11"/>
  <c r="A131" i="26"/>
  <c r="C38" i="9"/>
  <c r="E188" i="7"/>
  <c r="B286" i="7"/>
  <c r="B511" i="8"/>
  <c r="B298" i="11"/>
  <c r="E568" i="8"/>
  <c r="E571" i="8"/>
  <c r="A210" i="26"/>
  <c r="F387" i="11"/>
  <c r="F384" i="11"/>
  <c r="I379" i="11"/>
  <c r="D213" i="26"/>
  <c r="G439" i="22"/>
  <c r="G442" i="22"/>
  <c r="G460" i="22"/>
  <c r="G474" i="22"/>
  <c r="G596" i="22"/>
  <c r="H682" i="22"/>
  <c r="H685" i="22"/>
  <c r="H703" i="22"/>
  <c r="H638" i="22"/>
  <c r="G503" i="22"/>
  <c r="G665" i="22" s="1"/>
  <c r="G625" i="22"/>
  <c r="I188" i="7"/>
  <c r="E153" i="10"/>
  <c r="H203" i="12"/>
  <c r="H209" i="12"/>
  <c r="I695" i="22"/>
  <c r="I698" i="22"/>
  <c r="H203" i="8"/>
  <c r="H200" i="8"/>
  <c r="G635" i="22"/>
  <c r="I182" i="12"/>
  <c r="I185" i="12"/>
  <c r="G115" i="8"/>
  <c r="F536" i="22"/>
  <c r="F568" i="22"/>
  <c r="F533" i="22"/>
  <c r="J13" i="22"/>
  <c r="J39" i="22" s="1"/>
  <c r="J37" i="22"/>
  <c r="I543" i="22"/>
  <c r="I583" i="22" s="1"/>
  <c r="I557" i="22"/>
  <c r="I519" i="22"/>
  <c r="K189" i="8"/>
  <c r="K215" i="8" s="1"/>
  <c r="K207" i="8"/>
  <c r="H175" i="26"/>
  <c r="H222" i="12"/>
  <c r="H216" i="12"/>
  <c r="H487" i="22"/>
  <c r="H609" i="22"/>
  <c r="H452" i="22"/>
  <c r="H455" i="22"/>
  <c r="G283" i="7"/>
  <c r="G508" i="8"/>
  <c r="G288" i="11"/>
  <c r="F423" i="22"/>
  <c r="G682" i="22"/>
  <c r="G685" i="22"/>
  <c r="G703" i="22"/>
  <c r="K280" i="9"/>
  <c r="K256" i="9"/>
  <c r="K213" i="9"/>
  <c r="N521" i="8"/>
  <c r="K1083" i="24"/>
  <c r="N184" i="10"/>
  <c r="L339" i="9"/>
  <c r="K462" i="24"/>
  <c r="K316" i="9"/>
  <c r="K370" i="9"/>
  <c r="K358" i="9"/>
  <c r="L280" i="8"/>
  <c r="L361" i="8"/>
  <c r="L362" i="8"/>
  <c r="L72" i="11"/>
  <c r="L154" i="11"/>
  <c r="L153" i="11"/>
  <c r="J1102" i="24"/>
  <c r="L356" i="11" s="1"/>
  <c r="J1114" i="24"/>
  <c r="J158" i="10"/>
  <c r="H448" i="8"/>
  <c r="H510" i="8" s="1"/>
  <c r="G502" i="22"/>
  <c r="G664" i="22" s="1"/>
  <c r="G624" i="22"/>
  <c r="H272" i="7"/>
  <c r="F112" i="8"/>
  <c r="F431" i="8"/>
  <c r="F487" i="8"/>
  <c r="I425" i="8"/>
  <c r="F445" i="8"/>
  <c r="D189" i="26"/>
  <c r="G112" i="8"/>
  <c r="G431" i="8"/>
  <c r="G487" i="8"/>
  <c r="G445" i="8"/>
  <c r="E189" i="26"/>
  <c r="G72" i="7"/>
  <c r="D276" i="11"/>
  <c r="C265" i="7"/>
  <c r="C235" i="11"/>
  <c r="C297" i="11" s="1"/>
  <c r="C291" i="11"/>
  <c r="B144" i="26"/>
  <c r="H98" i="8"/>
  <c r="H487" i="8"/>
  <c r="F695" i="22"/>
  <c r="F698" i="22"/>
  <c r="E116" i="10"/>
  <c r="C151" i="10"/>
  <c r="E151" i="10" s="1"/>
  <c r="B133" i="10"/>
  <c r="B145" i="10"/>
  <c r="E119" i="10"/>
  <c r="B142" i="10"/>
  <c r="D11" i="10"/>
  <c r="E17" i="10"/>
  <c r="J9" i="8"/>
  <c r="J50" i="8"/>
  <c r="J56" i="8"/>
  <c r="G176" i="26"/>
  <c r="K65" i="7"/>
  <c r="K65" i="8"/>
  <c r="K204" i="11"/>
  <c r="C533" i="22"/>
  <c r="C536" i="22"/>
  <c r="C568" i="22"/>
  <c r="L103" i="11"/>
  <c r="M104" i="11"/>
  <c r="B491" i="22"/>
  <c r="B653" i="22" s="1"/>
  <c r="B613" i="22"/>
  <c r="D14" i="22"/>
  <c r="D17" i="22"/>
  <c r="D35" i="22"/>
  <c r="D115" i="8"/>
  <c r="E115" i="8" s="1"/>
  <c r="D441" i="8"/>
  <c r="D503" i="8" s="1"/>
  <c r="D497" i="8"/>
  <c r="C192" i="26"/>
  <c r="K207" i="10"/>
  <c r="L240" i="10"/>
  <c r="K204" i="10"/>
  <c r="K212" i="10"/>
  <c r="K125" i="12"/>
  <c r="K130" i="12"/>
  <c r="K118" i="12"/>
  <c r="K65" i="10"/>
  <c r="K95" i="10"/>
  <c r="I568" i="8"/>
  <c r="I571" i="8"/>
  <c r="D210" i="26"/>
  <c r="I285" i="10"/>
  <c r="F285" i="10"/>
  <c r="F288" i="10"/>
  <c r="I288" i="10"/>
  <c r="E188" i="8"/>
  <c r="B214" i="8"/>
  <c r="E214" i="8" s="1"/>
  <c r="E53" i="8"/>
  <c r="A186" i="26"/>
  <c r="D547" i="22"/>
  <c r="D587" i="22" s="1"/>
  <c r="D561" i="22"/>
  <c r="J214" i="8"/>
  <c r="J507" i="11"/>
  <c r="J10" i="12"/>
  <c r="J493" i="11"/>
  <c r="J101" i="13"/>
  <c r="J237" i="22"/>
  <c r="J99" i="13"/>
  <c r="J100" i="13"/>
  <c r="I183" i="22"/>
  <c r="I196" i="22"/>
  <c r="J224" i="22"/>
  <c r="J319" i="22"/>
  <c r="J306" i="22"/>
  <c r="H895" i="22"/>
  <c r="G68" i="26"/>
  <c r="H1194" i="24"/>
  <c r="H1142" i="24"/>
  <c r="H57" i="8"/>
  <c r="F179" i="26"/>
  <c r="M151" i="11"/>
  <c r="I158" i="10"/>
  <c r="D502" i="22"/>
  <c r="D664" i="22" s="1"/>
  <c r="D624" i="22"/>
  <c r="L224" i="7"/>
  <c r="L106" i="11"/>
  <c r="L178" i="11"/>
  <c r="M178" i="11" s="1"/>
  <c r="M98" i="11"/>
  <c r="M222" i="7"/>
  <c r="I187" i="7"/>
  <c r="E460" i="22"/>
  <c r="E474" i="22"/>
  <c r="E636" i="22" s="1"/>
  <c r="E596" i="22"/>
  <c r="E439" i="22"/>
  <c r="E442" i="22"/>
  <c r="C22" i="8"/>
  <c r="B202" i="26" s="1"/>
  <c r="C128" i="8"/>
  <c r="B198" i="26"/>
  <c r="M127" i="11"/>
  <c r="E189" i="8"/>
  <c r="B215" i="8"/>
  <c r="E215" i="8" s="1"/>
  <c r="H93" i="7"/>
  <c r="H104" i="7"/>
  <c r="H108" i="7"/>
  <c r="I466" i="22"/>
  <c r="I480" i="22"/>
  <c r="I602" i="22"/>
  <c r="B18" i="6"/>
  <c r="E10" i="7"/>
  <c r="E9" i="6"/>
  <c r="E129" i="7"/>
  <c r="B23" i="7"/>
  <c r="B129" i="7"/>
  <c r="B9" i="6"/>
  <c r="E23" i="7"/>
  <c r="E279" i="7"/>
  <c r="B279" i="7"/>
  <c r="B136" i="8"/>
  <c r="E136" i="8"/>
  <c r="E504" i="8"/>
  <c r="B504" i="8"/>
  <c r="E277" i="11"/>
  <c r="B277" i="11"/>
  <c r="A102" i="26"/>
  <c r="F12" i="3"/>
  <c r="F107" i="7"/>
  <c r="F16" i="7" s="1"/>
  <c r="I75" i="7"/>
  <c r="F14" i="8"/>
  <c r="F72" i="8"/>
  <c r="F76" i="8"/>
  <c r="I66" i="8"/>
  <c r="F98" i="8"/>
  <c r="H125" i="8"/>
  <c r="F201" i="26" s="1"/>
  <c r="H472" i="8"/>
  <c r="F199" i="26"/>
  <c r="B14" i="7"/>
  <c r="B72" i="7"/>
  <c r="B76" i="7"/>
  <c r="E66" i="7"/>
  <c r="B98" i="7"/>
  <c r="E98" i="7" s="1"/>
  <c r="B229" i="11"/>
  <c r="B425" i="8"/>
  <c r="B428" i="8"/>
  <c r="B219" i="11"/>
  <c r="C52" i="10"/>
  <c r="C49" i="10"/>
  <c r="F115" i="8"/>
  <c r="F441" i="8"/>
  <c r="F497" i="8"/>
  <c r="I497" i="8" s="1"/>
  <c r="I435" i="8"/>
  <c r="D192" i="26"/>
  <c r="I205" i="12"/>
  <c r="F207" i="12"/>
  <c r="I207" i="12" s="1"/>
  <c r="E196" i="12"/>
  <c r="K597" i="8"/>
  <c r="K252" i="10"/>
  <c r="K430" i="11"/>
  <c r="K423" i="11"/>
  <c r="K435" i="11"/>
  <c r="J320" i="9"/>
  <c r="J333" i="9" s="1"/>
  <c r="J325" i="9"/>
  <c r="J313" i="9"/>
  <c r="C15" i="8"/>
  <c r="C88" i="8"/>
  <c r="C104" i="8" s="1"/>
  <c r="C92" i="8"/>
  <c r="E182" i="8"/>
  <c r="B187" i="8"/>
  <c r="B190" i="8"/>
  <c r="B208" i="8"/>
  <c r="E208" i="8" s="1"/>
  <c r="E137" i="10"/>
  <c r="C157" i="10"/>
  <c r="E157" i="10" s="1"/>
  <c r="D520" i="22"/>
  <c r="D523" i="22"/>
  <c r="D541" i="22"/>
  <c r="D581" i="22" s="1"/>
  <c r="D555" i="22"/>
  <c r="E41" i="22"/>
  <c r="J208" i="8"/>
  <c r="J187" i="8"/>
  <c r="J190" i="8"/>
  <c r="H275" i="7"/>
  <c r="F153" i="26" s="1"/>
  <c r="H266" i="11"/>
  <c r="H297" i="11" s="1"/>
  <c r="H298" i="11" s="1"/>
  <c r="F151" i="26"/>
  <c r="D499" i="22"/>
  <c r="D661" i="22" s="1"/>
  <c r="D621" i="22"/>
  <c r="D464" i="22"/>
  <c r="D478" i="22"/>
  <c r="D640" i="22" s="1"/>
  <c r="D600" i="22"/>
  <c r="M115" i="11"/>
  <c r="F11" i="10"/>
  <c r="I9" i="10"/>
  <c r="F17" i="10"/>
  <c r="G125" i="8"/>
  <c r="E201" i="26" s="1"/>
  <c r="G472" i="8"/>
  <c r="E199" i="26"/>
  <c r="F299" i="10"/>
  <c r="D38" i="9"/>
  <c r="H150" i="12"/>
  <c r="H153" i="12"/>
  <c r="H175" i="13"/>
  <c r="H176" i="13"/>
  <c r="M352" i="8"/>
  <c r="M292" i="10"/>
  <c r="H187" i="8"/>
  <c r="H190" i="8"/>
  <c r="H208" i="8"/>
  <c r="H13" i="3"/>
  <c r="I474" i="22"/>
  <c r="I636" i="22" s="1"/>
  <c r="I596" i="22"/>
  <c r="I439" i="22"/>
  <c r="I442" i="22"/>
  <c r="C16" i="8"/>
  <c r="D491" i="22"/>
  <c r="D653" i="22" s="1"/>
  <c r="D613" i="22"/>
  <c r="B1476" i="24"/>
  <c r="B1479" i="24"/>
  <c r="C6" i="3"/>
  <c r="C17" i="6"/>
  <c r="C20" i="7"/>
  <c r="C119" i="7"/>
  <c r="C11" i="7"/>
  <c r="C269" i="7"/>
  <c r="C8" i="6"/>
  <c r="C133" i="8"/>
  <c r="C494" i="8"/>
  <c r="C246" i="11"/>
  <c r="B95" i="26"/>
  <c r="F499" i="22"/>
  <c r="F661" i="22" s="1"/>
  <c r="F621" i="22"/>
  <c r="H548" i="22"/>
  <c r="H588" i="22" s="1"/>
  <c r="H562" i="22"/>
  <c r="D15" i="8"/>
  <c r="D88" i="8"/>
  <c r="D92" i="8"/>
  <c r="E143" i="10"/>
  <c r="C682" i="22"/>
  <c r="C685" i="22"/>
  <c r="C703" i="22"/>
  <c r="D56" i="8"/>
  <c r="D9" i="8"/>
  <c r="D50" i="8"/>
  <c r="C176" i="26"/>
  <c r="F157" i="10"/>
  <c r="I157" i="10" s="1"/>
  <c r="D498" i="22"/>
  <c r="D660" i="22" s="1"/>
  <c r="D620" i="22"/>
  <c r="K102" i="13"/>
  <c r="K24" i="12"/>
  <c r="D16" i="7"/>
  <c r="K184" i="12"/>
  <c r="K177" i="12"/>
  <c r="H12" i="3"/>
  <c r="H107" i="7"/>
  <c r="H16" i="7" s="1"/>
  <c r="C122" i="7"/>
  <c r="C278" i="7" s="1"/>
  <c r="C272" i="7"/>
  <c r="C270" i="11"/>
  <c r="C256" i="11"/>
  <c r="C276" i="11" s="1"/>
  <c r="B148" i="26"/>
  <c r="C487" i="22"/>
  <c r="C609" i="22"/>
  <c r="C452" i="22"/>
  <c r="C455" i="22"/>
  <c r="L332" i="8"/>
  <c r="L386" i="8"/>
  <c r="M386" i="8" s="1"/>
  <c r="M306" i="8"/>
  <c r="M56" i="11"/>
  <c r="I206" i="8"/>
  <c r="C284" i="11"/>
  <c r="H491" i="22"/>
  <c r="H653" i="22" s="1"/>
  <c r="H613" i="22"/>
  <c r="G14" i="8"/>
  <c r="G16" i="8" s="1"/>
  <c r="G98" i="8"/>
  <c r="G72" i="8"/>
  <c r="G76" i="8"/>
  <c r="E88" i="7"/>
  <c r="E92" i="7"/>
  <c r="K301" i="10"/>
  <c r="M270" i="10"/>
  <c r="C286" i="7"/>
  <c r="C511" i="8"/>
  <c r="C298" i="11"/>
  <c r="I562" i="22"/>
  <c r="H115" i="7"/>
  <c r="H242" i="11"/>
  <c r="H284" i="11"/>
  <c r="F142" i="26"/>
  <c r="H223" i="11"/>
  <c r="H457" i="8"/>
  <c r="H299" i="10"/>
  <c r="G56" i="8"/>
  <c r="G9" i="8"/>
  <c r="G50" i="8"/>
  <c r="E176" i="26"/>
  <c r="G387" i="11"/>
  <c r="G384" i="11"/>
  <c r="E217" i="26" s="1"/>
  <c r="E213" i="26"/>
  <c r="G9" i="6"/>
  <c r="G18" i="6"/>
  <c r="G335" i="7" s="1"/>
  <c r="G23" i="7"/>
  <c r="G129" i="7"/>
  <c r="G279" i="7"/>
  <c r="G136" i="8"/>
  <c r="G504" i="8"/>
  <c r="G277" i="11"/>
  <c r="E102" i="26"/>
  <c r="G128" i="7"/>
  <c r="G22" i="7"/>
  <c r="E154" i="26" s="1"/>
  <c r="E150" i="26"/>
  <c r="A194" i="26"/>
  <c r="B647" i="22"/>
  <c r="I82" i="8"/>
  <c r="C417" i="22"/>
  <c r="C396" i="22"/>
  <c r="C399" i="22"/>
  <c r="I54" i="7"/>
  <c r="C209" i="12"/>
  <c r="C203" i="12"/>
  <c r="D647" i="22"/>
  <c r="J203" i="8"/>
  <c r="J200" i="8"/>
  <c r="H499" i="22"/>
  <c r="H661" i="22" s="1"/>
  <c r="H621" i="22"/>
  <c r="C12" i="3"/>
  <c r="C107" i="7"/>
  <c r="C16" i="7" s="1"/>
  <c r="F651" i="22"/>
  <c r="E214" i="12"/>
  <c r="B216" i="12"/>
  <c r="B222" i="12"/>
  <c r="L263" i="8"/>
  <c r="L308" i="8"/>
  <c r="L309" i="8"/>
  <c r="L58" i="11"/>
  <c r="L110" i="11"/>
  <c r="L109" i="11"/>
  <c r="J1089" i="24"/>
  <c r="J1113" i="24"/>
  <c r="J1091" i="24"/>
  <c r="J1117" i="24" s="1"/>
  <c r="J286" i="9"/>
  <c r="J261" i="9"/>
  <c r="J264" i="9"/>
  <c r="B189" i="7"/>
  <c r="B186" i="7"/>
  <c r="E181" i="7"/>
  <c r="B417" i="22"/>
  <c r="B396" i="22"/>
  <c r="B399" i="22"/>
  <c r="B125" i="8"/>
  <c r="B135" i="8" s="1"/>
  <c r="B472" i="8"/>
  <c r="E472" i="8" s="1"/>
  <c r="E466" i="8"/>
  <c r="A199" i="26"/>
  <c r="I10" i="3"/>
  <c r="J189" i="7"/>
  <c r="J186" i="7"/>
  <c r="G224" i="26"/>
  <c r="H27" i="22"/>
  <c r="H30" i="22"/>
  <c r="F10" i="8"/>
  <c r="F54" i="8"/>
  <c r="I52" i="8"/>
  <c r="D183" i="26"/>
  <c r="M331" i="8"/>
  <c r="E200" i="11"/>
  <c r="E212" i="11"/>
  <c r="E173" i="11"/>
  <c r="E209" i="11"/>
  <c r="E423" i="22"/>
  <c r="E57" i="7"/>
  <c r="B136" i="7"/>
  <c r="B23" i="8"/>
  <c r="B129" i="8"/>
  <c r="B483" i="8"/>
  <c r="B305" i="11"/>
  <c r="C136" i="7"/>
  <c r="C23" i="8"/>
  <c r="C129" i="8"/>
  <c r="C483" i="8"/>
  <c r="C305" i="11"/>
  <c r="E205" i="12"/>
  <c r="B207" i="12"/>
  <c r="E207" i="12" s="1"/>
  <c r="C294" i="11"/>
  <c r="B145" i="26"/>
  <c r="D503" i="22"/>
  <c r="D665" i="22" s="1"/>
  <c r="D625" i="22"/>
  <c r="F14" i="3"/>
  <c r="I392" i="11"/>
  <c r="F400" i="11"/>
  <c r="F397" i="11"/>
  <c r="D128" i="26"/>
  <c r="G523" i="22"/>
  <c r="G541" i="22"/>
  <c r="G581" i="22" s="1"/>
  <c r="G555" i="22"/>
  <c r="G520" i="22"/>
  <c r="H41" i="22"/>
  <c r="K181" i="7"/>
  <c r="K56" i="7"/>
  <c r="I423" i="22"/>
  <c r="E82" i="8"/>
  <c r="C27" i="22"/>
  <c r="C30" i="22"/>
  <c r="E455" i="11"/>
  <c r="E458" i="11"/>
  <c r="A224" i="26"/>
  <c r="G57" i="8"/>
  <c r="E179" i="26"/>
  <c r="H285" i="7"/>
  <c r="H286" i="7" s="1"/>
  <c r="F146" i="26"/>
  <c r="G648" i="22"/>
  <c r="B16" i="7"/>
  <c r="E105" i="7"/>
  <c r="I210" i="8"/>
  <c r="E455" i="22"/>
  <c r="E487" i="22"/>
  <c r="E649" i="22" s="1"/>
  <c r="E609" i="22"/>
  <c r="E452" i="22"/>
  <c r="F27" i="22"/>
  <c r="F30" i="22"/>
  <c r="G10" i="8"/>
  <c r="E187" i="26" s="1"/>
  <c r="G54" i="8"/>
  <c r="E183" i="26"/>
  <c r="K74" i="7"/>
  <c r="K96" i="7"/>
  <c r="K142" i="11"/>
  <c r="K166" i="11"/>
  <c r="K144" i="11"/>
  <c r="K180" i="11"/>
  <c r="K235" i="7"/>
  <c r="K366" i="8"/>
  <c r="K398" i="8"/>
  <c r="K371" i="8"/>
  <c r="K544" i="8"/>
  <c r="K549" i="8"/>
  <c r="D216" i="12"/>
  <c r="D222" i="12"/>
  <c r="B11" i="10"/>
  <c r="E9" i="10"/>
  <c r="B17" i="10"/>
  <c r="D17" i="10" s="1"/>
  <c r="B125" i="7"/>
  <c r="E125" i="7" s="1"/>
  <c r="E253" i="11"/>
  <c r="B273" i="11"/>
  <c r="E273" i="11" s="1"/>
  <c r="A149" i="26"/>
  <c r="E38" i="9"/>
  <c r="D189" i="7"/>
  <c r="D186" i="7"/>
  <c r="D423" i="22"/>
  <c r="J6" i="3"/>
  <c r="J11" i="7"/>
  <c r="G95" i="26"/>
  <c r="H466" i="22"/>
  <c r="H480" i="22"/>
  <c r="H642" i="22" s="1"/>
  <c r="H602" i="22"/>
  <c r="F15" i="7"/>
  <c r="I15" i="7" s="1"/>
  <c r="G647" i="22"/>
  <c r="I51" i="10"/>
  <c r="E635" i="22"/>
  <c r="D548" i="22"/>
  <c r="D588" i="22" s="1"/>
  <c r="D562" i="22"/>
  <c r="M350" i="8"/>
  <c r="D27" i="22"/>
  <c r="D30" i="22"/>
  <c r="F189" i="7"/>
  <c r="F186" i="7"/>
  <c r="I181" i="7"/>
  <c r="F82" i="10"/>
  <c r="I77" i="10"/>
  <c r="F85" i="10"/>
  <c r="F648" i="22"/>
  <c r="B200" i="8"/>
  <c r="E195" i="8"/>
  <c r="B203" i="8"/>
  <c r="C467" i="22"/>
  <c r="C481" i="22"/>
  <c r="C643" i="22" s="1"/>
  <c r="C603" i="22"/>
  <c r="M325" i="8"/>
  <c r="L80" i="8"/>
  <c r="M277" i="8"/>
  <c r="L128" i="11"/>
  <c r="M102" i="11"/>
  <c r="K218" i="9"/>
  <c r="K1088" i="24"/>
  <c r="N526" i="8"/>
  <c r="N189" i="10"/>
  <c r="L344" i="9"/>
  <c r="I385" i="11"/>
  <c r="H55" i="7"/>
  <c r="H58" i="7"/>
  <c r="H52" i="10"/>
  <c r="H49" i="10"/>
  <c r="H502" i="22"/>
  <c r="H664" i="22" s="1"/>
  <c r="H624" i="22"/>
  <c r="H95" i="26"/>
  <c r="I547" i="22"/>
  <c r="I587" i="22" s="1"/>
  <c r="I561" i="22"/>
  <c r="J709" i="22"/>
  <c r="E263" i="11"/>
  <c r="A152" i="26"/>
  <c r="E132" i="10"/>
  <c r="E129" i="10"/>
  <c r="C155" i="10"/>
  <c r="E155" i="10" s="1"/>
  <c r="B278" i="7"/>
  <c r="E278" i="7" s="1"/>
  <c r="H387" i="11"/>
  <c r="H384" i="11"/>
  <c r="F217" i="26" s="1"/>
  <c r="F213" i="26"/>
  <c r="H10" i="8"/>
  <c r="F187" i="26" s="1"/>
  <c r="H54" i="8"/>
  <c r="F183" i="26"/>
  <c r="G499" i="22"/>
  <c r="G661" i="22" s="1"/>
  <c r="G621" i="22"/>
  <c r="H639" i="22"/>
  <c r="G189" i="7"/>
  <c r="G186" i="7"/>
  <c r="G52" i="10"/>
  <c r="G49" i="10"/>
  <c r="F634" i="22"/>
  <c r="G1479" i="24"/>
  <c r="G1476" i="24"/>
  <c r="H236" i="11"/>
  <c r="E288" i="10"/>
  <c r="E285" i="10"/>
  <c r="K141" i="10"/>
  <c r="K188" i="7"/>
  <c r="H94" i="26"/>
  <c r="H183" i="26"/>
  <c r="H14" i="3"/>
  <c r="F132" i="26" s="1"/>
  <c r="H397" i="11"/>
  <c r="H400" i="11"/>
  <c r="F128" i="26"/>
  <c r="G58" i="7"/>
  <c r="G55" i="7"/>
  <c r="G142" i="10"/>
  <c r="H151" i="10"/>
  <c r="G133" i="10"/>
  <c r="G145" i="10"/>
  <c r="F417" i="22"/>
  <c r="F396" i="22"/>
  <c r="F399" i="22"/>
  <c r="K912" i="22"/>
  <c r="K918" i="22"/>
  <c r="G216" i="12"/>
  <c r="G222" i="12"/>
  <c r="N594" i="8"/>
  <c r="N243" i="10"/>
  <c r="L426" i="11"/>
  <c r="L121" i="12"/>
  <c r="J747" i="24"/>
  <c r="Q594" i="8"/>
  <c r="M202" i="10"/>
  <c r="Q243" i="10"/>
  <c r="L94" i="10"/>
  <c r="L301" i="7"/>
  <c r="L203" i="10"/>
  <c r="L215" i="10"/>
  <c r="F647" i="22"/>
  <c r="H215" i="8"/>
  <c r="G464" i="22"/>
  <c r="G478" i="22"/>
  <c r="G640" i="22" s="1"/>
  <c r="G600" i="22"/>
  <c r="H122" i="7"/>
  <c r="H278" i="7" s="1"/>
  <c r="I428" i="8"/>
  <c r="F448" i="8"/>
  <c r="F490" i="8"/>
  <c r="D190" i="26"/>
  <c r="I72" i="7"/>
  <c r="I76" i="7"/>
  <c r="F93" i="7"/>
  <c r="F104" i="7"/>
  <c r="F108" i="7"/>
  <c r="G265" i="7"/>
  <c r="G235" i="11"/>
  <c r="G297" i="11" s="1"/>
  <c r="G291" i="11"/>
  <c r="E144" i="26"/>
  <c r="D270" i="11"/>
  <c r="E270" i="11" s="1"/>
  <c r="C112" i="8"/>
  <c r="C431" i="8"/>
  <c r="C487" i="8"/>
  <c r="C445" i="8"/>
  <c r="C507" i="8" s="1"/>
  <c r="B189" i="26"/>
  <c r="C13" i="3"/>
  <c r="H14" i="8"/>
  <c r="H16" i="8" s="1"/>
  <c r="H493" i="8"/>
  <c r="H451" i="8"/>
  <c r="I266" i="11" l="1"/>
  <c r="J682" i="22"/>
  <c r="H17" i="10"/>
  <c r="J17" i="22"/>
  <c r="E122" i="7"/>
  <c r="C649" i="22"/>
  <c r="E15" i="8"/>
  <c r="H649" i="22"/>
  <c r="E497" i="8"/>
  <c r="K255" i="22"/>
  <c r="G649" i="22"/>
  <c r="C642" i="22"/>
  <c r="D22" i="7"/>
  <c r="C154" i="26" s="1"/>
  <c r="I14" i="7"/>
  <c r="J337" i="22"/>
  <c r="J255" i="22"/>
  <c r="I98" i="8"/>
  <c r="E103" i="7"/>
  <c r="I16" i="7"/>
  <c r="F285" i="11"/>
  <c r="F477" i="8"/>
  <c r="D19" i="7"/>
  <c r="D118" i="7"/>
  <c r="D282" i="7"/>
  <c r="C143" i="26"/>
  <c r="D263" i="7"/>
  <c r="D488" i="8"/>
  <c r="N244" i="10"/>
  <c r="Q244" i="10"/>
  <c r="M203" i="10"/>
  <c r="G224" i="12"/>
  <c r="G221" i="12"/>
  <c r="N276" i="8"/>
  <c r="N348" i="8"/>
  <c r="N349" i="8"/>
  <c r="N114" i="11"/>
  <c r="N59" i="11"/>
  <c r="N113" i="11"/>
  <c r="H506" i="22"/>
  <c r="H668" i="22" s="1"/>
  <c r="H628" i="22"/>
  <c r="K168" i="11"/>
  <c r="K237" i="7"/>
  <c r="K146" i="11"/>
  <c r="K182" i="11"/>
  <c r="E495" i="22"/>
  <c r="E617" i="22"/>
  <c r="E492" i="22"/>
  <c r="E614" i="22"/>
  <c r="I54" i="8"/>
  <c r="E222" i="12"/>
  <c r="C451" i="8"/>
  <c r="C513" i="8" s="1"/>
  <c r="C493" i="8"/>
  <c r="N315" i="7"/>
  <c r="N607" i="8"/>
  <c r="Q315" i="7"/>
  <c r="M301" i="7"/>
  <c r="Q607" i="8"/>
  <c r="F422" i="22"/>
  <c r="F413" i="22"/>
  <c r="F1384" i="24" s="1"/>
  <c r="F425" i="22"/>
  <c r="L449" i="24"/>
  <c r="L303" i="9"/>
  <c r="K775" i="24"/>
  <c r="L70" i="7"/>
  <c r="L81" i="8"/>
  <c r="M128" i="11"/>
  <c r="M80" i="8"/>
  <c r="E203" i="8"/>
  <c r="E200" i="8"/>
  <c r="I85" i="10"/>
  <c r="I82" i="10"/>
  <c r="E11" i="10"/>
  <c r="B19" i="10"/>
  <c r="D19" i="10" s="1"/>
  <c r="K143" i="11"/>
  <c r="K170" i="11"/>
  <c r="K184" i="11"/>
  <c r="G537" i="22"/>
  <c r="G549" i="22"/>
  <c r="G563" i="22"/>
  <c r="G546" i="22"/>
  <c r="G560" i="22"/>
  <c r="I10" i="8"/>
  <c r="D187" i="26"/>
  <c r="E186" i="7"/>
  <c r="E189" i="7"/>
  <c r="L352" i="11"/>
  <c r="J1115" i="24"/>
  <c r="J1090" i="24"/>
  <c r="J1093" i="24"/>
  <c r="L389" i="8"/>
  <c r="M389" i="8" s="1"/>
  <c r="L335" i="8"/>
  <c r="M309" i="8"/>
  <c r="L313" i="8"/>
  <c r="B221" i="12"/>
  <c r="B224" i="12"/>
  <c r="E216" i="12"/>
  <c r="H135" i="7"/>
  <c r="H116" i="7"/>
  <c r="H123" i="8"/>
  <c r="H463" i="8"/>
  <c r="C19" i="6"/>
  <c r="C334" i="7"/>
  <c r="C336" i="7" s="1"/>
  <c r="I11" i="10"/>
  <c r="F19" i="10"/>
  <c r="K428" i="11"/>
  <c r="K431" i="11"/>
  <c r="K436" i="11"/>
  <c r="B265" i="7"/>
  <c r="B235" i="11"/>
  <c r="B291" i="11"/>
  <c r="E229" i="11"/>
  <c r="A144" i="26"/>
  <c r="E230" i="11"/>
  <c r="E429" i="8"/>
  <c r="E72" i="7"/>
  <c r="E76" i="7"/>
  <c r="B104" i="7"/>
  <c r="B108" i="7"/>
  <c r="B93" i="7"/>
  <c r="I72" i="8"/>
  <c r="I76" i="8"/>
  <c r="F104" i="8"/>
  <c r="F108" i="8"/>
  <c r="F93" i="8"/>
  <c r="I12" i="3"/>
  <c r="I506" i="22"/>
  <c r="I668" i="22" s="1"/>
  <c r="I628" i="22"/>
  <c r="E500" i="22"/>
  <c r="E662" i="22" s="1"/>
  <c r="E622" i="22"/>
  <c r="K99" i="10"/>
  <c r="K96" i="10"/>
  <c r="K253" i="10"/>
  <c r="M103" i="11"/>
  <c r="M106" i="11"/>
  <c r="J11" i="8"/>
  <c r="G180" i="26"/>
  <c r="G93" i="7"/>
  <c r="I108" i="7" s="1"/>
  <c r="G104" i="7"/>
  <c r="G108" i="7"/>
  <c r="G451" i="8"/>
  <c r="H22" i="7"/>
  <c r="F154" i="26" s="1"/>
  <c r="H128" i="7"/>
  <c r="F150" i="26"/>
  <c r="M154" i="11"/>
  <c r="L240" i="7"/>
  <c r="M240" i="7" s="1"/>
  <c r="L194" i="11"/>
  <c r="M194" i="11" s="1"/>
  <c r="L158" i="11"/>
  <c r="M158" i="11" s="1"/>
  <c r="M280" i="8"/>
  <c r="L284" i="8"/>
  <c r="M284" i="8" s="1"/>
  <c r="L293" i="8"/>
  <c r="M293" i="8" s="1"/>
  <c r="K272" i="9"/>
  <c r="K928" i="22"/>
  <c r="K463" i="24"/>
  <c r="K475" i="24"/>
  <c r="N304" i="8"/>
  <c r="N262" i="8"/>
  <c r="N305" i="8"/>
  <c r="N54" i="11"/>
  <c r="N97" i="11"/>
  <c r="N96" i="11"/>
  <c r="K1109" i="24"/>
  <c r="K1085" i="24"/>
  <c r="G708" i="22"/>
  <c r="G711" i="22"/>
  <c r="G699" i="22"/>
  <c r="H12" i="16" s="1"/>
  <c r="I545" i="22"/>
  <c r="I585" i="22" s="1"/>
  <c r="I559" i="22"/>
  <c r="F576" i="22"/>
  <c r="F573" i="22"/>
  <c r="G465" i="22"/>
  <c r="G479" i="22"/>
  <c r="G601" i="22"/>
  <c r="G456" i="22"/>
  <c r="G468" i="22"/>
  <c r="G482" i="22"/>
  <c r="G604" i="22"/>
  <c r="F699" i="22"/>
  <c r="G12" i="16" s="1"/>
  <c r="F708" i="22"/>
  <c r="F711" i="22"/>
  <c r="G115" i="7"/>
  <c r="G135" i="7" s="1"/>
  <c r="G242" i="11"/>
  <c r="G304" i="11" s="1"/>
  <c r="G284" i="11"/>
  <c r="I285" i="11" s="1"/>
  <c r="E142" i="26"/>
  <c r="I491" i="22"/>
  <c r="I653" i="22" s="1"/>
  <c r="I613" i="22"/>
  <c r="K85" i="8"/>
  <c r="K282" i="8"/>
  <c r="K294" i="8"/>
  <c r="K285" i="8"/>
  <c r="J14" i="22"/>
  <c r="D449" i="8"/>
  <c r="D292" i="11"/>
  <c r="I200" i="8"/>
  <c r="I203" i="8"/>
  <c r="K258" i="9"/>
  <c r="K474" i="24"/>
  <c r="K450" i="24"/>
  <c r="K923" i="22"/>
  <c r="K452" i="24"/>
  <c r="K478" i="24" s="1"/>
  <c r="E14" i="3"/>
  <c r="A132" i="26"/>
  <c r="I469" i="8"/>
  <c r="D200" i="26"/>
  <c r="F479" i="8"/>
  <c r="C11" i="8"/>
  <c r="B188" i="26" s="1"/>
  <c r="B180" i="26"/>
  <c r="J16" i="17"/>
  <c r="G16" i="17"/>
  <c r="I176" i="13"/>
  <c r="G10" i="17"/>
  <c r="F715" i="22" s="1"/>
  <c r="L348" i="9"/>
  <c r="L445" i="24"/>
  <c r="L299" i="9"/>
  <c r="K222" i="9"/>
  <c r="K771" i="24"/>
  <c r="H22" i="8"/>
  <c r="F202" i="26" s="1"/>
  <c r="H128" i="8"/>
  <c r="F198" i="26"/>
  <c r="B504" i="22"/>
  <c r="B666" i="22" s="1"/>
  <c r="B626" i="22"/>
  <c r="D294" i="11"/>
  <c r="C145" i="26"/>
  <c r="D460" i="8"/>
  <c r="D233" i="11"/>
  <c r="I150" i="12"/>
  <c r="I153" i="12"/>
  <c r="I40" i="22"/>
  <c r="I43" i="22"/>
  <c r="I31" i="22"/>
  <c r="D93" i="8"/>
  <c r="D104" i="8"/>
  <c r="D108" i="8"/>
  <c r="C500" i="22"/>
  <c r="C662" i="22" s="1"/>
  <c r="C622" i="22"/>
  <c r="D156" i="10"/>
  <c r="D159" i="10"/>
  <c r="L143" i="12"/>
  <c r="I218" i="26"/>
  <c r="M448" i="11"/>
  <c r="E107" i="7"/>
  <c r="F7" i="3"/>
  <c r="C103" i="26"/>
  <c r="B479" i="8"/>
  <c r="E459" i="8"/>
  <c r="A197" i="26"/>
  <c r="H19" i="7"/>
  <c r="H118" i="7"/>
  <c r="H282" i="7"/>
  <c r="F143" i="26"/>
  <c r="H263" i="7"/>
  <c r="H488" i="8"/>
  <c r="M69" i="8"/>
  <c r="F19" i="6"/>
  <c r="I17" i="6"/>
  <c r="F334" i="7"/>
  <c r="E50" i="8"/>
  <c r="B58" i="8"/>
  <c r="B55" i="8"/>
  <c r="H132" i="8"/>
  <c r="C301" i="11"/>
  <c r="F118" i="7"/>
  <c r="F19" i="7"/>
  <c r="D143" i="26"/>
  <c r="F488" i="8"/>
  <c r="F263" i="7"/>
  <c r="F492" i="22"/>
  <c r="F614" i="22"/>
  <c r="F495" i="22"/>
  <c r="F617" i="22"/>
  <c r="I502" i="22"/>
  <c r="I664" i="22" s="1"/>
  <c r="I624" i="22"/>
  <c r="G31" i="22"/>
  <c r="G40" i="22"/>
  <c r="G43" i="22"/>
  <c r="F500" i="22"/>
  <c r="F662" i="22" s="1"/>
  <c r="F622" i="22"/>
  <c r="E256" i="11"/>
  <c r="B276" i="11"/>
  <c r="E276" i="11" s="1"/>
  <c r="I1376" i="24"/>
  <c r="K526" i="11" s="1"/>
  <c r="K57" i="12" s="1"/>
  <c r="K43" i="12"/>
  <c r="K467" i="11"/>
  <c r="K324" i="11"/>
  <c r="K75" i="12" s="1"/>
  <c r="K369" i="11"/>
  <c r="H108" i="26"/>
  <c r="G642" i="22"/>
  <c r="J7" i="3"/>
  <c r="F103" i="26"/>
  <c r="M324" i="8"/>
  <c r="M327" i="8"/>
  <c r="E507" i="22"/>
  <c r="E669" i="22" s="1"/>
  <c r="E629" i="22"/>
  <c r="I457" i="8"/>
  <c r="B546" i="22"/>
  <c r="B560" i="22"/>
  <c r="B537" i="22"/>
  <c r="B549" i="22"/>
  <c r="B563" i="22"/>
  <c r="K34" i="8"/>
  <c r="E384" i="11"/>
  <c r="E387" i="11"/>
  <c r="A217" i="26"/>
  <c r="C221" i="12"/>
  <c r="C224" i="12"/>
  <c r="J489" i="22"/>
  <c r="J611" i="22"/>
  <c r="E88" i="8"/>
  <c r="N266" i="8"/>
  <c r="N318" i="8"/>
  <c r="N317" i="8"/>
  <c r="N136" i="11"/>
  <c r="N67" i="11"/>
  <c r="N137" i="11"/>
  <c r="K1104" i="24"/>
  <c r="D492" i="22"/>
  <c r="D614" i="22"/>
  <c r="D495" i="22"/>
  <c r="D617" i="22"/>
  <c r="I92" i="8"/>
  <c r="G208" i="12"/>
  <c r="G211" i="12"/>
  <c r="J515" i="22"/>
  <c r="J539" i="22"/>
  <c r="J579" i="22" s="1"/>
  <c r="J553" i="22"/>
  <c r="N149" i="10"/>
  <c r="M111" i="10"/>
  <c r="L149" i="10"/>
  <c r="M149" i="10" s="1"/>
  <c r="L206" i="8"/>
  <c r="M206" i="8" s="1"/>
  <c r="L188" i="8"/>
  <c r="I174" i="26"/>
  <c r="M180" i="8"/>
  <c r="K16" i="22"/>
  <c r="J398" i="22"/>
  <c r="M118" i="10"/>
  <c r="L52" i="8"/>
  <c r="L195" i="8"/>
  <c r="I181" i="26"/>
  <c r="M193" i="8"/>
  <c r="J335" i="7"/>
  <c r="K221" i="8"/>
  <c r="K234" i="8"/>
  <c r="K14" i="11"/>
  <c r="K390" i="11"/>
  <c r="K157" i="12"/>
  <c r="K13" i="11"/>
  <c r="K377" i="11"/>
  <c r="K340" i="7"/>
  <c r="D500" i="22"/>
  <c r="D662" i="22" s="1"/>
  <c r="D622" i="22"/>
  <c r="B456" i="22"/>
  <c r="B468" i="22"/>
  <c r="B482" i="22"/>
  <c r="B604" i="22"/>
  <c r="B465" i="22"/>
  <c r="B479" i="22"/>
  <c r="B601" i="22"/>
  <c r="C506" i="22"/>
  <c r="C668" i="22" s="1"/>
  <c r="C628" i="22"/>
  <c r="E640" i="22"/>
  <c r="C504" i="22"/>
  <c r="C666" i="22" s="1"/>
  <c r="C626" i="22"/>
  <c r="C537" i="22"/>
  <c r="C549" i="22"/>
  <c r="C563" i="22"/>
  <c r="C546" i="22"/>
  <c r="C560" i="22"/>
  <c r="H507" i="8"/>
  <c r="F13" i="3"/>
  <c r="I13" i="3" s="1"/>
  <c r="I291" i="11"/>
  <c r="I449" i="8"/>
  <c r="F292" i="11"/>
  <c r="F449" i="8"/>
  <c r="I292" i="11"/>
  <c r="G643" i="22"/>
  <c r="H1376" i="24"/>
  <c r="J526" i="11" s="1"/>
  <c r="I214" i="22"/>
  <c r="J467" i="11"/>
  <c r="J324" i="11"/>
  <c r="J75" i="12" s="1"/>
  <c r="J369" i="11"/>
  <c r="J43" i="12"/>
  <c r="G108" i="26"/>
  <c r="I520" i="22"/>
  <c r="H636" i="22"/>
  <c r="K554" i="8"/>
  <c r="K545" i="8"/>
  <c r="K557" i="8"/>
  <c r="K171" i="11"/>
  <c r="K185" i="11"/>
  <c r="E203" i="12"/>
  <c r="B211" i="12"/>
  <c r="B208" i="12"/>
  <c r="I212" i="8"/>
  <c r="I399" i="22"/>
  <c r="F221" i="12"/>
  <c r="I216" i="12"/>
  <c r="F224" i="12"/>
  <c r="I182" i="26"/>
  <c r="M194" i="8"/>
  <c r="K696" i="22"/>
  <c r="J566" i="22"/>
  <c r="J534" i="22"/>
  <c r="J574" i="22" s="1"/>
  <c r="C31" i="22"/>
  <c r="C40" i="22"/>
  <c r="C43" i="22"/>
  <c r="F275" i="7"/>
  <c r="K53" i="7"/>
  <c r="K197" i="8"/>
  <c r="K467" i="8"/>
  <c r="K131" i="10"/>
  <c r="K47" i="10"/>
  <c r="K254" i="11"/>
  <c r="I403" i="22"/>
  <c r="I527" i="22"/>
  <c r="I446" i="22"/>
  <c r="H97" i="26"/>
  <c r="J21" i="22"/>
  <c r="J689" i="22"/>
  <c r="K79" i="10"/>
  <c r="K124" i="10"/>
  <c r="K183" i="7"/>
  <c r="K136" i="10"/>
  <c r="L64" i="10"/>
  <c r="M64" i="10" s="1"/>
  <c r="L91" i="10"/>
  <c r="M56" i="10"/>
  <c r="J759" i="24"/>
  <c r="J735" i="24"/>
  <c r="J737" i="24"/>
  <c r="J763" i="24" s="1"/>
  <c r="N585" i="8"/>
  <c r="N255" i="10"/>
  <c r="L255" i="10"/>
  <c r="M585" i="8"/>
  <c r="M214" i="10"/>
  <c r="L585" i="8"/>
  <c r="M255" i="10"/>
  <c r="N311" i="7"/>
  <c r="L305" i="7"/>
  <c r="N603" i="8"/>
  <c r="L311" i="7"/>
  <c r="L603" i="8"/>
  <c r="M603" i="8"/>
  <c r="M297" i="7"/>
  <c r="M311" i="7"/>
  <c r="L32" i="7"/>
  <c r="L148" i="7"/>
  <c r="B576" i="22"/>
  <c r="B573" i="22"/>
  <c r="F11" i="8"/>
  <c r="I9" i="8"/>
  <c r="D180" i="26"/>
  <c r="D15" i="17"/>
  <c r="D9" i="17"/>
  <c r="F16" i="17"/>
  <c r="C16" i="17"/>
  <c r="E176" i="13"/>
  <c r="C10" i="17"/>
  <c r="C715" i="22" s="1"/>
  <c r="D642" i="22"/>
  <c r="F643" i="22"/>
  <c r="G422" i="22"/>
  <c r="G413" i="22"/>
  <c r="G1384" i="24" s="1"/>
  <c r="G425" i="22"/>
  <c r="H55" i="8"/>
  <c r="H58" i="8"/>
  <c r="I198" i="12"/>
  <c r="I195" i="12"/>
  <c r="E40" i="22"/>
  <c r="E43" i="22"/>
  <c r="E31" i="22"/>
  <c r="J464" i="24"/>
  <c r="J467" i="24"/>
  <c r="J472" i="24"/>
  <c r="J29" i="21" s="1"/>
  <c r="J31" i="21" s="1"/>
  <c r="J276" i="9"/>
  <c r="J289" i="9" s="1"/>
  <c r="J227" i="9"/>
  <c r="J1097" i="24"/>
  <c r="L535" i="8"/>
  <c r="L198" i="10"/>
  <c r="J269" i="9"/>
  <c r="J281" i="9"/>
  <c r="K353" i="9"/>
  <c r="L316" i="7"/>
  <c r="K306" i="7"/>
  <c r="K303" i="7"/>
  <c r="L166" i="7"/>
  <c r="K156" i="7"/>
  <c r="K153" i="7"/>
  <c r="N267" i="8"/>
  <c r="N322" i="8"/>
  <c r="N321" i="8"/>
  <c r="N150" i="11"/>
  <c r="N149" i="11"/>
  <c r="N71" i="11"/>
  <c r="C19" i="8"/>
  <c r="C132" i="8"/>
  <c r="C118" i="8"/>
  <c r="C138" i="8" s="1"/>
  <c r="B191" i="26"/>
  <c r="J760" i="24"/>
  <c r="J748" i="24"/>
  <c r="M297" i="10" s="1"/>
  <c r="O590" i="8"/>
  <c r="O230" i="10"/>
  <c r="N413" i="11"/>
  <c r="N108" i="12"/>
  <c r="K734" i="24"/>
  <c r="C507" i="22"/>
  <c r="C669" i="22" s="1"/>
  <c r="C629" i="22"/>
  <c r="I14" i="3"/>
  <c r="D132" i="26"/>
  <c r="L226" i="7"/>
  <c r="L111" i="11"/>
  <c r="L189" i="11"/>
  <c r="M189" i="11" s="1"/>
  <c r="L117" i="11"/>
  <c r="M109" i="11"/>
  <c r="L122" i="11"/>
  <c r="C492" i="22"/>
  <c r="C614" i="22"/>
  <c r="C495" i="22"/>
  <c r="C617" i="22"/>
  <c r="D55" i="8"/>
  <c r="D58" i="8"/>
  <c r="C139" i="7"/>
  <c r="C26" i="7"/>
  <c r="C289" i="7"/>
  <c r="D7" i="3"/>
  <c r="C17" i="3"/>
  <c r="C27" i="3"/>
  <c r="C12" i="6" s="1"/>
  <c r="C10" i="6"/>
  <c r="C14" i="6"/>
  <c r="C15" i="6"/>
  <c r="C21" i="3"/>
  <c r="C11" i="6" s="1"/>
  <c r="C20" i="6"/>
  <c r="C26" i="8"/>
  <c r="C139" i="8"/>
  <c r="C514" i="8"/>
  <c r="C308" i="11"/>
  <c r="B103" i="26"/>
  <c r="I479" i="22"/>
  <c r="I482" i="22"/>
  <c r="I16" i="17"/>
  <c r="I10" i="17"/>
  <c r="D504" i="22"/>
  <c r="D666" i="22" s="1"/>
  <c r="D626" i="22"/>
  <c r="D546" i="22"/>
  <c r="D560" i="22"/>
  <c r="D537" i="22"/>
  <c r="D549" i="22"/>
  <c r="D563" i="22"/>
  <c r="K443" i="11"/>
  <c r="I441" i="8"/>
  <c r="B112" i="7"/>
  <c r="B262" i="7"/>
  <c r="B239" i="11"/>
  <c r="B225" i="11"/>
  <c r="B281" i="11"/>
  <c r="E219" i="11"/>
  <c r="A141" i="26"/>
  <c r="E426" i="8"/>
  <c r="E220" i="11"/>
  <c r="B13" i="3"/>
  <c r="E13" i="3" s="1"/>
  <c r="E14" i="7"/>
  <c r="F16" i="8"/>
  <c r="I16" i="8" s="1"/>
  <c r="I14" i="8"/>
  <c r="E18" i="6"/>
  <c r="B335" i="7"/>
  <c r="E335" i="7" s="1"/>
  <c r="E465" i="22"/>
  <c r="E479" i="22"/>
  <c r="E601" i="22"/>
  <c r="E456" i="22"/>
  <c r="E468" i="22"/>
  <c r="E482" i="22"/>
  <c r="E604" i="22"/>
  <c r="H1156" i="24"/>
  <c r="J332" i="22"/>
  <c r="I209" i="22"/>
  <c r="J319" i="11"/>
  <c r="J70" i="12" s="1"/>
  <c r="J364" i="11"/>
  <c r="J38" i="12"/>
  <c r="G104" i="26"/>
  <c r="K138" i="12"/>
  <c r="L245" i="10"/>
  <c r="L248" i="10"/>
  <c r="K220" i="10"/>
  <c r="K217" i="10"/>
  <c r="K208" i="10"/>
  <c r="G19" i="8"/>
  <c r="G118" i="8"/>
  <c r="E191" i="26"/>
  <c r="I487" i="8"/>
  <c r="M72" i="11"/>
  <c r="L212" i="7"/>
  <c r="M212" i="7" s="1"/>
  <c r="L73" i="11"/>
  <c r="M73" i="11" s="1"/>
  <c r="L85" i="11"/>
  <c r="M85" i="11" s="1"/>
  <c r="N523" i="8"/>
  <c r="N547" i="8"/>
  <c r="H221" i="12"/>
  <c r="H224" i="12"/>
  <c r="H211" i="12"/>
  <c r="H208" i="12"/>
  <c r="G636" i="22"/>
  <c r="I88" i="7"/>
  <c r="I92" i="7"/>
  <c r="G122" i="8"/>
  <c r="G462" i="8"/>
  <c r="G476" i="8"/>
  <c r="E196" i="26"/>
  <c r="I456" i="8"/>
  <c r="K296" i="8"/>
  <c r="I57" i="8"/>
  <c r="M69" i="7"/>
  <c r="D297" i="11"/>
  <c r="D298" i="11" s="1"/>
  <c r="D236" i="11"/>
  <c r="D93" i="7"/>
  <c r="D104" i="7"/>
  <c r="D108" i="7"/>
  <c r="E85" i="10"/>
  <c r="E82" i="10"/>
  <c r="I249" i="9"/>
  <c r="I246" i="9"/>
  <c r="I237" i="9"/>
  <c r="J245" i="9"/>
  <c r="J220" i="9"/>
  <c r="J223" i="9"/>
  <c r="E400" i="11"/>
  <c r="E397" i="11"/>
  <c r="F125" i="7"/>
  <c r="I125" i="7" s="1"/>
  <c r="I253" i="11"/>
  <c r="F273" i="11"/>
  <c r="I273" i="11" s="1"/>
  <c r="D149" i="26"/>
  <c r="E441" i="8"/>
  <c r="E150" i="12"/>
  <c r="E153" i="12"/>
  <c r="N147" i="8"/>
  <c r="N530" i="8"/>
  <c r="D479" i="8"/>
  <c r="C197" i="26"/>
  <c r="H413" i="22"/>
  <c r="H1384" i="24" s="1"/>
  <c r="H425" i="22"/>
  <c r="H422" i="22"/>
  <c r="D708" i="22"/>
  <c r="D711" i="22"/>
  <c r="D699" i="22"/>
  <c r="D12" i="16" s="1"/>
  <c r="K158" i="10"/>
  <c r="L479" i="11"/>
  <c r="E12" i="3"/>
  <c r="D19" i="6"/>
  <c r="D334" i="7"/>
  <c r="D336" i="7" s="1"/>
  <c r="E232" i="11"/>
  <c r="B294" i="11"/>
  <c r="A145" i="26"/>
  <c r="E460" i="8"/>
  <c r="E233" i="11"/>
  <c r="H301" i="11"/>
  <c r="H302" i="11" s="1"/>
  <c r="H240" i="11"/>
  <c r="H132" i="7"/>
  <c r="H268" i="7"/>
  <c r="H432" i="8"/>
  <c r="H113" i="7"/>
  <c r="H113" i="8"/>
  <c r="I11" i="7"/>
  <c r="I6" i="3"/>
  <c r="G7" i="3"/>
  <c r="D103" i="26"/>
  <c r="B11" i="8"/>
  <c r="E9" i="8"/>
  <c r="A180" i="26"/>
  <c r="H25" i="8"/>
  <c r="F203" i="26" s="1"/>
  <c r="F195" i="26"/>
  <c r="C19" i="7"/>
  <c r="C118" i="7"/>
  <c r="C282" i="7"/>
  <c r="B143" i="26"/>
  <c r="I281" i="11"/>
  <c r="F446" i="8"/>
  <c r="I282" i="11"/>
  <c r="I446" i="8"/>
  <c r="F282" i="11"/>
  <c r="F132" i="7"/>
  <c r="I112" i="7"/>
  <c r="F268" i="7"/>
  <c r="I432" i="8"/>
  <c r="F113" i="7"/>
  <c r="F432" i="8"/>
  <c r="I113" i="8"/>
  <c r="I113" i="7"/>
  <c r="F113" i="8"/>
  <c r="I464" i="22"/>
  <c r="I478" i="22"/>
  <c r="I640" i="22" s="1"/>
  <c r="I600" i="22"/>
  <c r="F456" i="22"/>
  <c r="F468" i="22"/>
  <c r="F482" i="22"/>
  <c r="F604" i="22"/>
  <c r="F465" i="22"/>
  <c r="F479" i="22"/>
  <c r="F601" i="22"/>
  <c r="H573" i="22"/>
  <c r="H576" i="22"/>
  <c r="G506" i="22"/>
  <c r="G668" i="22" s="1"/>
  <c r="G628" i="22"/>
  <c r="H19" i="6"/>
  <c r="H334" i="7"/>
  <c r="H336" i="7" s="1"/>
  <c r="F208" i="12"/>
  <c r="I203" i="12"/>
  <c r="F211" i="12"/>
  <c r="E54" i="8"/>
  <c r="I115" i="7"/>
  <c r="F123" i="8"/>
  <c r="I116" i="7"/>
  <c r="I463" i="8"/>
  <c r="F116" i="7"/>
  <c r="I123" i="8"/>
  <c r="F463" i="8"/>
  <c r="E11" i="7"/>
  <c r="B26" i="7"/>
  <c r="B139" i="7"/>
  <c r="B289" i="7"/>
  <c r="E6" i="3"/>
  <c r="C7" i="3"/>
  <c r="E7" i="3" s="1"/>
  <c r="B21" i="3"/>
  <c r="B11" i="6" s="1"/>
  <c r="B17" i="3"/>
  <c r="B10" i="6"/>
  <c r="B14" i="6"/>
  <c r="B15" i="6"/>
  <c r="B27" i="3"/>
  <c r="B12" i="6" s="1"/>
  <c r="B20" i="6"/>
  <c r="B26" i="8"/>
  <c r="B139" i="8"/>
  <c r="B514" i="8"/>
  <c r="B308" i="11"/>
  <c r="A103" i="26"/>
  <c r="K156" i="8"/>
  <c r="K213" i="7"/>
  <c r="K215" i="7"/>
  <c r="K85" i="7"/>
  <c r="K89" i="11"/>
  <c r="J570" i="22"/>
  <c r="I178" i="26"/>
  <c r="M185" i="8"/>
  <c r="N150" i="8"/>
  <c r="N542" i="8"/>
  <c r="D211" i="12"/>
  <c r="D208" i="12"/>
  <c r="K677" i="22"/>
  <c r="K701" i="22"/>
  <c r="J391" i="22"/>
  <c r="J415" i="22"/>
  <c r="M75" i="10"/>
  <c r="L263" i="7"/>
  <c r="L488" i="8"/>
  <c r="L226" i="11"/>
  <c r="I91" i="26"/>
  <c r="M179" i="7"/>
  <c r="F546" i="22"/>
  <c r="F560" i="22"/>
  <c r="F537" i="22"/>
  <c r="F549" i="22"/>
  <c r="F563" i="22"/>
  <c r="M43" i="10"/>
  <c r="L116" i="7"/>
  <c r="L123" i="8"/>
  <c r="L463" i="8"/>
  <c r="L243" i="11"/>
  <c r="M49" i="7"/>
  <c r="I190" i="8"/>
  <c r="F204" i="8"/>
  <c r="F213" i="8"/>
  <c r="I187" i="8"/>
  <c r="F216" i="8"/>
  <c r="K488" i="11"/>
  <c r="K494" i="11"/>
  <c r="K508" i="11"/>
  <c r="K11" i="12"/>
  <c r="K104" i="13"/>
  <c r="K105" i="13"/>
  <c r="K106" i="13"/>
  <c r="J197" i="22"/>
  <c r="K225" i="22"/>
  <c r="K238" i="22"/>
  <c r="K320" i="22"/>
  <c r="J184" i="22"/>
  <c r="K307" i="22"/>
  <c r="H69" i="26"/>
  <c r="I899" i="22"/>
  <c r="I1195" i="24"/>
  <c r="K481" i="11"/>
  <c r="K188" i="12"/>
  <c r="H133" i="26"/>
  <c r="D465" i="22"/>
  <c r="D479" i="22"/>
  <c r="D601" i="22"/>
  <c r="D456" i="22"/>
  <c r="D468" i="22"/>
  <c r="D482" i="22"/>
  <c r="D604" i="22"/>
  <c r="F256" i="11"/>
  <c r="E504" i="22"/>
  <c r="E666" i="22" s="1"/>
  <c r="E626" i="22"/>
  <c r="C93" i="8"/>
  <c r="J363" i="9"/>
  <c r="J372" i="9"/>
  <c r="J375" i="9"/>
  <c r="H93" i="8"/>
  <c r="H104" i="8"/>
  <c r="H108" i="8"/>
  <c r="G262" i="7"/>
  <c r="F297" i="11"/>
  <c r="I235" i="11"/>
  <c r="F236" i="11"/>
  <c r="I236" i="11"/>
  <c r="G139" i="7"/>
  <c r="G289" i="7"/>
  <c r="G26" i="7"/>
  <c r="H7" i="3"/>
  <c r="G27" i="3"/>
  <c r="G12" i="6" s="1"/>
  <c r="G21" i="3"/>
  <c r="G11" i="6" s="1"/>
  <c r="G17" i="3"/>
  <c r="G10" i="6"/>
  <c r="G14" i="6"/>
  <c r="G15" i="6"/>
  <c r="G20" i="6"/>
  <c r="G26" i="8"/>
  <c r="G139" i="8"/>
  <c r="G514" i="8"/>
  <c r="G308" i="11"/>
  <c r="E103" i="26"/>
  <c r="G507" i="22"/>
  <c r="G669" i="22" s="1"/>
  <c r="G629" i="22"/>
  <c r="J29" i="12"/>
  <c r="H504" i="22"/>
  <c r="H666" i="22" s="1"/>
  <c r="H626" i="22"/>
  <c r="I19" i="10"/>
  <c r="E16" i="17"/>
  <c r="E10" i="17"/>
  <c r="H500" i="22"/>
  <c r="H662" i="22" s="1"/>
  <c r="H622" i="22"/>
  <c r="E55" i="7"/>
  <c r="E58" i="7"/>
  <c r="K367" i="8"/>
  <c r="K364" i="8"/>
  <c r="K372" i="8"/>
  <c r="K399" i="8"/>
  <c r="K244" i="7"/>
  <c r="K249" i="7"/>
  <c r="I1116" i="24"/>
  <c r="I1107" i="24"/>
  <c r="I1119" i="24"/>
  <c r="I396" i="22"/>
  <c r="H31" i="22"/>
  <c r="H40" i="22"/>
  <c r="H43" i="22"/>
  <c r="J477" i="22"/>
  <c r="J599" i="22"/>
  <c r="M46" i="10"/>
  <c r="L49" i="8"/>
  <c r="L186" i="8"/>
  <c r="I177" i="26"/>
  <c r="M184" i="8"/>
  <c r="D451" i="8"/>
  <c r="I790" i="24"/>
  <c r="I793" i="24"/>
  <c r="I798" i="24"/>
  <c r="K286" i="10" s="1"/>
  <c r="L109" i="12"/>
  <c r="L133" i="12"/>
  <c r="M133" i="12" s="1"/>
  <c r="M107" i="12"/>
  <c r="L111" i="12"/>
  <c r="N231" i="10"/>
  <c r="L216" i="10"/>
  <c r="L231" i="10"/>
  <c r="M190" i="10"/>
  <c r="M231" i="10"/>
  <c r="L194" i="10"/>
  <c r="L191" i="10"/>
  <c r="C204" i="8"/>
  <c r="C216" i="8"/>
  <c r="C213" i="8"/>
  <c r="I643" i="22"/>
  <c r="E57" i="8"/>
  <c r="I133" i="10"/>
  <c r="I145" i="10"/>
  <c r="I142" i="10"/>
  <c r="G156" i="10"/>
  <c r="G159" i="10"/>
  <c r="I56" i="8"/>
  <c r="K152" i="12"/>
  <c r="K145" i="12"/>
  <c r="D506" i="22"/>
  <c r="D668" i="22" s="1"/>
  <c r="D628" i="22"/>
  <c r="D301" i="11"/>
  <c r="D302" i="11" s="1"/>
  <c r="D240" i="11"/>
  <c r="D132" i="7"/>
  <c r="D113" i="7"/>
  <c r="D113" i="8"/>
  <c r="D432" i="8"/>
  <c r="F156" i="10"/>
  <c r="F159" i="10"/>
  <c r="B642" i="22"/>
  <c r="F500" i="8"/>
  <c r="I500" i="8" s="1"/>
  <c r="F507" i="22"/>
  <c r="F669" i="22" s="1"/>
  <c r="F629" i="22"/>
  <c r="H16" i="17"/>
  <c r="H10" i="17"/>
  <c r="G715" i="22" s="1"/>
  <c r="H11" i="8"/>
  <c r="F188" i="26" s="1"/>
  <c r="F180" i="26"/>
  <c r="D1493" i="24"/>
  <c r="D1490" i="24"/>
  <c r="I55" i="7"/>
  <c r="I58" i="7"/>
  <c r="L38" i="7"/>
  <c r="L169" i="8"/>
  <c r="L608" i="8"/>
  <c r="K34" i="7"/>
  <c r="E72" i="8"/>
  <c r="E76" i="8"/>
  <c r="B104" i="8"/>
  <c r="B108" i="8"/>
  <c r="B93" i="8"/>
  <c r="O581" i="8"/>
  <c r="O242" i="10"/>
  <c r="N425" i="11"/>
  <c r="N120" i="12"/>
  <c r="K746" i="24"/>
  <c r="E275" i="7"/>
  <c r="A154" i="26"/>
  <c r="M274" i="10"/>
  <c r="M283" i="10"/>
  <c r="M94" i="10"/>
  <c r="K406" i="8"/>
  <c r="K379" i="8"/>
  <c r="B422" i="22"/>
  <c r="B413" i="22"/>
  <c r="B1384" i="24" s="1"/>
  <c r="B425" i="22"/>
  <c r="L310" i="8"/>
  <c r="L388" i="8"/>
  <c r="M388" i="8" s="1"/>
  <c r="L334" i="8"/>
  <c r="M308" i="8"/>
  <c r="L312" i="8"/>
  <c r="G285" i="7"/>
  <c r="E146" i="26"/>
  <c r="I448" i="8"/>
  <c r="F510" i="8"/>
  <c r="N598" i="8"/>
  <c r="N256" i="10"/>
  <c r="L598" i="8"/>
  <c r="M598" i="8"/>
  <c r="L256" i="10"/>
  <c r="M256" i="10"/>
  <c r="M215" i="10"/>
  <c r="M121" i="12"/>
  <c r="L122" i="12"/>
  <c r="M122" i="12" s="1"/>
  <c r="L134" i="12"/>
  <c r="M134" i="12" s="1"/>
  <c r="I186" i="7"/>
  <c r="I189" i="7"/>
  <c r="G103" i="26"/>
  <c r="D221" i="12"/>
  <c r="D224" i="12"/>
  <c r="K243" i="7"/>
  <c r="K248" i="7"/>
  <c r="K206" i="11"/>
  <c r="E16" i="7"/>
  <c r="I400" i="11"/>
  <c r="I397" i="11"/>
  <c r="L227" i="7"/>
  <c r="L118" i="11"/>
  <c r="L190" i="11"/>
  <c r="M190" i="11" s="1"/>
  <c r="M110" i="11"/>
  <c r="L123" i="11"/>
  <c r="L289" i="8"/>
  <c r="M289" i="8" s="1"/>
  <c r="L271" i="8"/>
  <c r="M263" i="8"/>
  <c r="L264" i="8"/>
  <c r="G58" i="8"/>
  <c r="G55" i="8"/>
  <c r="H285" i="11"/>
  <c r="H477" i="8"/>
  <c r="M332" i="8"/>
  <c r="D11" i="8"/>
  <c r="C188" i="26" s="1"/>
  <c r="C180" i="26"/>
  <c r="C708" i="22"/>
  <c r="C711" i="22"/>
  <c r="C699" i="22"/>
  <c r="C12" i="16" s="1"/>
  <c r="H204" i="8"/>
  <c r="H216" i="8"/>
  <c r="H213" i="8"/>
  <c r="I15" i="17"/>
  <c r="I9" i="17"/>
  <c r="J213" i="8"/>
  <c r="J204" i="8"/>
  <c r="J216" i="8"/>
  <c r="E190" i="8"/>
  <c r="B213" i="8"/>
  <c r="B204" i="8"/>
  <c r="E187" i="8"/>
  <c r="B216" i="8"/>
  <c r="I115" i="8"/>
  <c r="D194" i="26"/>
  <c r="E428" i="8"/>
  <c r="B448" i="8"/>
  <c r="B490" i="8"/>
  <c r="A190" i="26"/>
  <c r="H1371" i="24"/>
  <c r="J521" i="11" s="1"/>
  <c r="J24" i="12"/>
  <c r="D31" i="22"/>
  <c r="D40" i="22"/>
  <c r="D43" i="22"/>
  <c r="K75" i="8"/>
  <c r="K97" i="8"/>
  <c r="E19" i="10"/>
  <c r="H19" i="10" s="1"/>
  <c r="E133" i="10"/>
  <c r="E145" i="10"/>
  <c r="E142" i="10"/>
  <c r="C156" i="10"/>
  <c r="C159" i="10"/>
  <c r="C285" i="7"/>
  <c r="B146" i="26"/>
  <c r="G507" i="8"/>
  <c r="F451" i="8"/>
  <c r="F493" i="8"/>
  <c r="I431" i="8"/>
  <c r="L566" i="8"/>
  <c r="L180" i="12"/>
  <c r="M180" i="12" s="1"/>
  <c r="J1073" i="24"/>
  <c r="L484" i="11" s="1"/>
  <c r="M356" i="11"/>
  <c r="M362" i="8"/>
  <c r="L402" i="8"/>
  <c r="M402" i="8" s="1"/>
  <c r="L375" i="8"/>
  <c r="M375" i="8" s="1"/>
  <c r="L341" i="9"/>
  <c r="L365" i="9"/>
  <c r="L444" i="24"/>
  <c r="L298" i="9"/>
  <c r="K215" i="9"/>
  <c r="K239" i="9"/>
  <c r="K770" i="24"/>
  <c r="H492" i="22"/>
  <c r="H614" i="22"/>
  <c r="H495" i="22"/>
  <c r="H617" i="22"/>
  <c r="H511" i="8"/>
  <c r="G500" i="22"/>
  <c r="G662" i="22" s="1"/>
  <c r="G622" i="22"/>
  <c r="C135" i="8"/>
  <c r="B194" i="26"/>
  <c r="G479" i="8"/>
  <c r="G510" i="8" s="1"/>
  <c r="E197" i="26"/>
  <c r="I459" i="8"/>
  <c r="D285" i="7"/>
  <c r="C146" i="26"/>
  <c r="D266" i="7"/>
  <c r="D491" i="8"/>
  <c r="H546" i="22"/>
  <c r="H560" i="22"/>
  <c r="H537" i="22"/>
  <c r="H549" i="22"/>
  <c r="H563" i="22"/>
  <c r="F125" i="8"/>
  <c r="F472" i="8"/>
  <c r="I466" i="8"/>
  <c r="D199" i="26"/>
  <c r="F476" i="8"/>
  <c r="I476" i="8" s="1"/>
  <c r="B503" i="8"/>
  <c r="E503" i="8" s="1"/>
  <c r="N147" i="7"/>
  <c r="O589" i="8"/>
  <c r="O226" i="10"/>
  <c r="N193" i="10"/>
  <c r="N57" i="10"/>
  <c r="N409" i="11"/>
  <c r="N104" i="12"/>
  <c r="K730" i="24"/>
  <c r="M80" i="7"/>
  <c r="D115" i="7"/>
  <c r="D268" i="7" s="1"/>
  <c r="D242" i="11"/>
  <c r="D284" i="11"/>
  <c r="C142" i="26"/>
  <c r="D223" i="11"/>
  <c r="D457" i="8"/>
  <c r="D16" i="8"/>
  <c r="C465" i="22"/>
  <c r="C479" i="22"/>
  <c r="C601" i="22"/>
  <c r="C456" i="22"/>
  <c r="C468" i="22"/>
  <c r="C482" i="22"/>
  <c r="C604" i="22"/>
  <c r="M351" i="8"/>
  <c r="M354" i="8"/>
  <c r="I204" i="26"/>
  <c r="M561" i="8"/>
  <c r="B115" i="7"/>
  <c r="B284" i="11"/>
  <c r="E222" i="11"/>
  <c r="B242" i="11"/>
  <c r="A142" i="26"/>
  <c r="E457" i="8"/>
  <c r="E223" i="11"/>
  <c r="H446" i="8"/>
  <c r="H282" i="11"/>
  <c r="B643" i="22"/>
  <c r="E506" i="22"/>
  <c r="E668" i="22" s="1"/>
  <c r="E628" i="22"/>
  <c r="E56" i="8"/>
  <c r="K260" i="10"/>
  <c r="I749" i="24"/>
  <c r="I752" i="24"/>
  <c r="I757" i="24"/>
  <c r="H138" i="8"/>
  <c r="C132" i="7"/>
  <c r="C268" i="7"/>
  <c r="C288" i="7" s="1"/>
  <c r="G490" i="8"/>
  <c r="I490" i="8" s="1"/>
  <c r="F287" i="11"/>
  <c r="F245" i="11"/>
  <c r="F226" i="11"/>
  <c r="F649" i="22"/>
  <c r="I1147" i="24"/>
  <c r="I1161" i="24" s="1"/>
  <c r="K197" i="13" s="1"/>
  <c r="K337" i="22"/>
  <c r="K123" i="13"/>
  <c r="J685" i="22"/>
  <c r="E10" i="8"/>
  <c r="A187" i="26"/>
  <c r="E546" i="22"/>
  <c r="E560" i="22"/>
  <c r="E537" i="22"/>
  <c r="E549" i="22"/>
  <c r="E563" i="22"/>
  <c r="F304" i="11"/>
  <c r="I242" i="11"/>
  <c r="F243" i="11"/>
  <c r="I243" i="11"/>
  <c r="D510" i="8"/>
  <c r="L360" i="9"/>
  <c r="L457" i="24"/>
  <c r="L311" i="9"/>
  <c r="K234" i="9"/>
  <c r="K783" i="24"/>
  <c r="I699" i="22"/>
  <c r="K12" i="16" s="1"/>
  <c r="I708" i="22"/>
  <c r="I711" i="22"/>
  <c r="L528" i="8"/>
  <c r="L555" i="8"/>
  <c r="M555" i="8" s="1"/>
  <c r="M529" i="8"/>
  <c r="L553" i="8"/>
  <c r="M553" i="8" s="1"/>
  <c r="M527" i="8"/>
  <c r="L531" i="8"/>
  <c r="G187" i="26"/>
  <c r="B492" i="22"/>
  <c r="B614" i="22"/>
  <c r="B495" i="22"/>
  <c r="B617" i="22"/>
  <c r="F640" i="22"/>
  <c r="K33" i="22"/>
  <c r="K9" i="22"/>
  <c r="J458" i="22"/>
  <c r="J472" i="22"/>
  <c r="J634" i="22" s="1"/>
  <c r="J594" i="22"/>
  <c r="J434" i="22"/>
  <c r="J441" i="22"/>
  <c r="J473" i="22"/>
  <c r="J595" i="22"/>
  <c r="I208" i="8"/>
  <c r="H206" i="26"/>
  <c r="B636" i="22"/>
  <c r="F272" i="7"/>
  <c r="C108" i="8"/>
  <c r="J156" i="10"/>
  <c r="J159" i="10"/>
  <c r="K284" i="10"/>
  <c r="K32" i="10"/>
  <c r="K25" i="10"/>
  <c r="G132" i="7"/>
  <c r="G268" i="7"/>
  <c r="G288" i="7" s="1"/>
  <c r="F285" i="7"/>
  <c r="I265" i="7"/>
  <c r="D146" i="26"/>
  <c r="I266" i="7"/>
  <c r="F491" i="8"/>
  <c r="F266" i="7"/>
  <c r="I491" i="8"/>
  <c r="G19" i="6"/>
  <c r="G334" i="7"/>
  <c r="G336" i="7" s="1"/>
  <c r="H1147" i="24"/>
  <c r="H1161" i="24" s="1"/>
  <c r="J197" i="13" s="1"/>
  <c r="E15" i="17"/>
  <c r="E9" i="17"/>
  <c r="H465" i="22"/>
  <c r="H479" i="22"/>
  <c r="H601" i="22"/>
  <c r="H456" i="22"/>
  <c r="H468" i="22"/>
  <c r="H482" i="22"/>
  <c r="H604" i="22"/>
  <c r="D413" i="22"/>
  <c r="D1384" i="24" s="1"/>
  <c r="D425" i="22"/>
  <c r="D422" i="22"/>
  <c r="K378" i="8"/>
  <c r="K405" i="8"/>
  <c r="E209" i="12"/>
  <c r="J558" i="22"/>
  <c r="E422" i="22"/>
  <c r="E413" i="22"/>
  <c r="E1384" i="24" s="1"/>
  <c r="E425" i="22"/>
  <c r="J410" i="22"/>
  <c r="L218" i="10"/>
  <c r="N233" i="10"/>
  <c r="M233" i="10"/>
  <c r="M192" i="10"/>
  <c r="L233" i="10"/>
  <c r="L414" i="11"/>
  <c r="L438" i="11"/>
  <c r="M438" i="11" s="1"/>
  <c r="M412" i="11"/>
  <c r="L416" i="11"/>
  <c r="L98" i="10"/>
  <c r="M271" i="10"/>
  <c r="M90" i="10"/>
  <c r="L23" i="10"/>
  <c r="L58" i="10"/>
  <c r="H643" i="22"/>
  <c r="H503" i="8"/>
  <c r="K52" i="12"/>
  <c r="D446" i="8"/>
  <c r="D282" i="11"/>
  <c r="B506" i="22"/>
  <c r="B668" i="22" s="1"/>
  <c r="B628" i="22"/>
  <c r="D573" i="22"/>
  <c r="D576" i="22"/>
  <c r="I215" i="8"/>
  <c r="H15" i="17"/>
  <c r="H9" i="17"/>
  <c r="D643" i="22"/>
  <c r="E198" i="12"/>
  <c r="E195" i="12"/>
  <c r="E98" i="8"/>
  <c r="B16" i="8"/>
  <c r="E16" i="8" s="1"/>
  <c r="E14" i="8"/>
  <c r="L461" i="24"/>
  <c r="L315" i="9"/>
  <c r="K787" i="24"/>
  <c r="K192" i="13"/>
  <c r="G504" i="22"/>
  <c r="G666" i="22" s="1"/>
  <c r="G626" i="22"/>
  <c r="M426" i="11"/>
  <c r="L427" i="11"/>
  <c r="M427" i="11" s="1"/>
  <c r="L439" i="11"/>
  <c r="M439" i="11" s="1"/>
  <c r="H156" i="10"/>
  <c r="H159" i="10"/>
  <c r="K411" i="8"/>
  <c r="E125" i="8"/>
  <c r="A201" i="26"/>
  <c r="L208" i="7"/>
  <c r="L60" i="11"/>
  <c r="L84" i="11"/>
  <c r="M84" i="11" s="1"/>
  <c r="M58" i="11"/>
  <c r="L62" i="11"/>
  <c r="C208" i="12"/>
  <c r="C211" i="12"/>
  <c r="C422" i="22"/>
  <c r="C413" i="22"/>
  <c r="C1384" i="24" s="1"/>
  <c r="C425" i="22"/>
  <c r="G11" i="8"/>
  <c r="E188" i="26" s="1"/>
  <c r="E180" i="26"/>
  <c r="H304" i="11"/>
  <c r="H305" i="11" s="1"/>
  <c r="H243" i="11"/>
  <c r="G104" i="8"/>
  <c r="G108" i="8"/>
  <c r="G93" i="8"/>
  <c r="C22" i="7"/>
  <c r="B154" i="26" s="1"/>
  <c r="C128" i="7"/>
  <c r="E128" i="7" s="1"/>
  <c r="B150" i="26"/>
  <c r="J318" i="9"/>
  <c r="J321" i="9"/>
  <c r="J326" i="9"/>
  <c r="B112" i="8"/>
  <c r="B431" i="8"/>
  <c r="B487" i="8"/>
  <c r="E487" i="8" s="1"/>
  <c r="E425" i="8"/>
  <c r="B445" i="8"/>
  <c r="A189" i="26"/>
  <c r="I107" i="7"/>
  <c r="I642" i="22"/>
  <c r="M224" i="7"/>
  <c r="J250" i="22"/>
  <c r="J102" i="13"/>
  <c r="K123" i="12"/>
  <c r="K126" i="12"/>
  <c r="K131" i="12"/>
  <c r="D135" i="8"/>
  <c r="C194" i="26"/>
  <c r="C573" i="22"/>
  <c r="C576" i="22"/>
  <c r="K75" i="7"/>
  <c r="K97" i="7"/>
  <c r="J58" i="8"/>
  <c r="J55" i="8"/>
  <c r="I445" i="8"/>
  <c r="F19" i="8"/>
  <c r="F132" i="8"/>
  <c r="F118" i="8"/>
  <c r="I112" i="8"/>
  <c r="D191" i="26"/>
  <c r="L155" i="11"/>
  <c r="M153" i="11"/>
  <c r="L157" i="11"/>
  <c r="L193" i="11"/>
  <c r="M193" i="11" s="1"/>
  <c r="L239" i="7"/>
  <c r="M239" i="7" s="1"/>
  <c r="L363" i="8"/>
  <c r="M361" i="8"/>
  <c r="L401" i="8"/>
  <c r="M401" i="8" s="1"/>
  <c r="L374" i="8"/>
  <c r="M374" i="8" s="1"/>
  <c r="K329" i="9"/>
  <c r="K317" i="9"/>
  <c r="N296" i="7"/>
  <c r="O576" i="8"/>
  <c r="O225" i="10"/>
  <c r="N89" i="10"/>
  <c r="N186" i="10"/>
  <c r="N210" i="10"/>
  <c r="N408" i="11"/>
  <c r="N103" i="12"/>
  <c r="K729" i="24"/>
  <c r="G135" i="8"/>
  <c r="E194" i="26"/>
  <c r="H708" i="22"/>
  <c r="H711" i="22"/>
  <c r="H699" i="22"/>
  <c r="I12" i="16" s="1"/>
  <c r="I384" i="11"/>
  <c r="I387" i="11"/>
  <c r="D217" i="26"/>
  <c r="G294" i="11"/>
  <c r="E145" i="26"/>
  <c r="I460" i="8"/>
  <c r="I233" i="11"/>
  <c r="I232" i="11"/>
  <c r="E699" i="22"/>
  <c r="E12" i="16" s="1"/>
  <c r="E708" i="22"/>
  <c r="E711" i="22"/>
  <c r="E52" i="10"/>
  <c r="E49" i="10"/>
  <c r="F40" i="22"/>
  <c r="F43" i="22"/>
  <c r="F31" i="22"/>
  <c r="L113" i="10"/>
  <c r="J800" i="24"/>
  <c r="J776" i="24"/>
  <c r="J778" i="24"/>
  <c r="J804" i="24" s="1"/>
  <c r="K304" i="9"/>
  <c r="K328" i="9"/>
  <c r="K306" i="9"/>
  <c r="K332" i="9" s="1"/>
  <c r="K371" i="9"/>
  <c r="K346" i="9"/>
  <c r="K349" i="9"/>
  <c r="I263" i="11"/>
  <c r="D152" i="26"/>
  <c r="F294" i="11"/>
  <c r="C58" i="8"/>
  <c r="C55" i="8"/>
  <c r="J15" i="17"/>
  <c r="G15" i="17"/>
  <c r="I175" i="13"/>
  <c r="G9" i="17"/>
  <c r="N275" i="8"/>
  <c r="N344" i="8"/>
  <c r="N345" i="8"/>
  <c r="N100" i="11"/>
  <c r="N55" i="11"/>
  <c r="N101" i="11"/>
  <c r="K1092" i="24"/>
  <c r="H482" i="8"/>
  <c r="H513" i="8" s="1"/>
  <c r="D122" i="8"/>
  <c r="D132" i="8" s="1"/>
  <c r="D462" i="8"/>
  <c r="D482" i="8" s="1"/>
  <c r="D476" i="8"/>
  <c r="D507" i="8" s="1"/>
  <c r="C196" i="26"/>
  <c r="I52" i="10"/>
  <c r="I49" i="10"/>
  <c r="M175" i="12"/>
  <c r="B122" i="8"/>
  <c r="E456" i="8"/>
  <c r="B476" i="8"/>
  <c r="B462" i="8"/>
  <c r="A196" i="26"/>
  <c r="H245" i="11"/>
  <c r="H287" i="11"/>
  <c r="H288" i="11" s="1"/>
  <c r="H226" i="11"/>
  <c r="B507" i="22"/>
  <c r="B669" i="22" s="1"/>
  <c r="B629" i="22"/>
  <c r="C287" i="11"/>
  <c r="C245" i="11"/>
  <c r="C307" i="11" s="1"/>
  <c r="F301" i="11"/>
  <c r="I239" i="11"/>
  <c r="I240" i="11"/>
  <c r="F240" i="11"/>
  <c r="I638" i="22"/>
  <c r="G503" i="8"/>
  <c r="I209" i="12"/>
  <c r="E643" i="22"/>
  <c r="I223" i="11"/>
  <c r="I222" i="11"/>
  <c r="G492" i="22"/>
  <c r="G614" i="22"/>
  <c r="G495" i="22"/>
  <c r="G617" i="22"/>
  <c r="I503" i="22"/>
  <c r="I665" i="22" s="1"/>
  <c r="I625" i="22"/>
  <c r="B19" i="6"/>
  <c r="E19" i="6" s="1"/>
  <c r="E17" i="6"/>
  <c r="B334" i="7"/>
  <c r="K153" i="8"/>
  <c r="K77" i="11"/>
  <c r="K74" i="11"/>
  <c r="K82" i="11"/>
  <c r="H449" i="8"/>
  <c r="H292" i="11"/>
  <c r="E92" i="8"/>
  <c r="D490" i="8"/>
  <c r="N150" i="7"/>
  <c r="O580" i="8"/>
  <c r="O238" i="10"/>
  <c r="N60" i="10"/>
  <c r="N205" i="10"/>
  <c r="N421" i="11"/>
  <c r="N116" i="12"/>
  <c r="K742" i="24"/>
  <c r="G573" i="22"/>
  <c r="G576" i="22"/>
  <c r="L32" i="8"/>
  <c r="L148" i="8"/>
  <c r="L154" i="8"/>
  <c r="M146" i="8"/>
  <c r="F504" i="22"/>
  <c r="F666" i="22" s="1"/>
  <c r="F626" i="22"/>
  <c r="L446" i="8"/>
  <c r="L282" i="11"/>
  <c r="M135" i="10"/>
  <c r="K684" i="22"/>
  <c r="J522" i="22"/>
  <c r="J554" i="22"/>
  <c r="J480" i="11"/>
  <c r="H1077" i="24"/>
  <c r="H1070" i="24"/>
  <c r="D636" i="22"/>
  <c r="D216" i="8"/>
  <c r="D204" i="8"/>
  <c r="D213" i="8"/>
  <c r="B500" i="22"/>
  <c r="B662" i="22" s="1"/>
  <c r="B622" i="22"/>
  <c r="I122" i="7"/>
  <c r="F278" i="7"/>
  <c r="I278" i="7" s="1"/>
  <c r="G1490" i="24"/>
  <c r="G1493" i="24"/>
  <c r="C640" i="22"/>
  <c r="K66" i="10"/>
  <c r="K63" i="10"/>
  <c r="G225" i="11"/>
  <c r="H276" i="11"/>
  <c r="L127" i="10"/>
  <c r="J801" i="24"/>
  <c r="J789" i="24"/>
  <c r="F506" i="22"/>
  <c r="F668" i="22" s="1"/>
  <c r="F628" i="22"/>
  <c r="J123" i="13"/>
  <c r="I523" i="22"/>
  <c r="E1493" i="24"/>
  <c r="E1490" i="24"/>
  <c r="K410" i="8"/>
  <c r="K207" i="11"/>
  <c r="K565" i="8"/>
  <c r="K357" i="11"/>
  <c r="K452" i="11"/>
  <c r="K179" i="12"/>
  <c r="I1072" i="24"/>
  <c r="K359" i="11"/>
  <c r="I222" i="12"/>
  <c r="L81" i="7"/>
  <c r="L70" i="8"/>
  <c r="M164" i="11"/>
  <c r="K28" i="22"/>
  <c r="J485" i="22"/>
  <c r="J647" i="22" s="1"/>
  <c r="J607" i="22"/>
  <c r="J453" i="22"/>
  <c r="L123" i="7"/>
  <c r="L116" i="8"/>
  <c r="L442" i="8"/>
  <c r="L271" i="11"/>
  <c r="M52" i="7"/>
  <c r="M116" i="8"/>
  <c r="M271" i="11"/>
  <c r="M123" i="7"/>
  <c r="M442" i="8"/>
  <c r="D118" i="8"/>
  <c r="D19" i="8"/>
  <c r="C191" i="26"/>
  <c r="N160" i="7"/>
  <c r="L298" i="7"/>
  <c r="L154" i="7"/>
  <c r="N160" i="8"/>
  <c r="N578" i="8"/>
  <c r="L160" i="8"/>
  <c r="L578" i="8"/>
  <c r="L160" i="7"/>
  <c r="M146" i="7"/>
  <c r="M160" i="7"/>
  <c r="M578" i="8"/>
  <c r="M160" i="8"/>
  <c r="H507" i="22"/>
  <c r="H669" i="22" s="1"/>
  <c r="H629" i="22"/>
  <c r="I18" i="6"/>
  <c r="F335" i="7"/>
  <c r="I335" i="7" s="1"/>
  <c r="G204" i="8"/>
  <c r="G216" i="8"/>
  <c r="G213" i="8"/>
  <c r="I50" i="8"/>
  <c r="F58" i="8"/>
  <c r="F55" i="8"/>
  <c r="D16" i="17"/>
  <c r="D10" i="17"/>
  <c r="D715" i="22" s="1"/>
  <c r="H220" i="26"/>
  <c r="H135" i="8"/>
  <c r="F194" i="26"/>
  <c r="F15" i="17"/>
  <c r="C15" i="17"/>
  <c r="E175" i="13"/>
  <c r="C9" i="17"/>
  <c r="D225" i="11"/>
  <c r="I151" i="10"/>
  <c r="E573" i="22"/>
  <c r="E576" i="22"/>
  <c r="H180" i="26"/>
  <c r="D507" i="22"/>
  <c r="D669" i="22" s="1"/>
  <c r="D629" i="22"/>
  <c r="J941" i="22"/>
  <c r="J919" i="22"/>
  <c r="J945" i="22" s="1"/>
  <c r="J916" i="22"/>
  <c r="K169" i="7"/>
  <c r="K166" i="8"/>
  <c r="K599" i="8"/>
  <c r="K38" i="8"/>
  <c r="K596" i="8"/>
  <c r="I17" i="21"/>
  <c r="I19" i="21" s="1"/>
  <c r="K318" i="7"/>
  <c r="K610" i="8"/>
  <c r="E272" i="7"/>
  <c r="E135" i="8" l="1"/>
  <c r="J635" i="22"/>
  <c r="J52" i="12"/>
  <c r="J462" i="11"/>
  <c r="J57" i="12"/>
  <c r="K181" i="12"/>
  <c r="K183" i="12"/>
  <c r="J494" i="11"/>
  <c r="J508" i="11"/>
  <c r="J11" i="12"/>
  <c r="J488" i="11"/>
  <c r="J105" i="13"/>
  <c r="J238" i="22"/>
  <c r="J106" i="13"/>
  <c r="J104" i="13"/>
  <c r="J225" i="22"/>
  <c r="J320" i="22"/>
  <c r="H899" i="22"/>
  <c r="I184" i="22"/>
  <c r="J307" i="22"/>
  <c r="I197" i="22"/>
  <c r="H1195" i="24"/>
  <c r="G69" i="26"/>
  <c r="H1143" i="24"/>
  <c r="J481" i="11"/>
  <c r="M32" i="8"/>
  <c r="K750" i="24"/>
  <c r="K87" i="11"/>
  <c r="K90" i="11"/>
  <c r="K78" i="11"/>
  <c r="E462" i="8"/>
  <c r="B482" i="8"/>
  <c r="E482" i="8" s="1"/>
  <c r="N102" i="11"/>
  <c r="N126" i="11"/>
  <c r="I9" i="4"/>
  <c r="H19" i="5"/>
  <c r="H24" i="5" s="1"/>
  <c r="J12" i="16"/>
  <c r="H10" i="15"/>
  <c r="N105" i="12"/>
  <c r="N129" i="12"/>
  <c r="B19" i="8"/>
  <c r="B132" i="8"/>
  <c r="E132" i="8" s="1"/>
  <c r="B118" i="8"/>
  <c r="E112" i="8"/>
  <c r="A191" i="26"/>
  <c r="L216" i="7"/>
  <c r="M216" i="7" s="1"/>
  <c r="M208" i="7"/>
  <c r="L209" i="7"/>
  <c r="D245" i="11"/>
  <c r="D287" i="11"/>
  <c r="D288" i="11" s="1"/>
  <c r="D226" i="11"/>
  <c r="N168" i="7"/>
  <c r="N162" i="8"/>
  <c r="N37" i="8"/>
  <c r="N583" i="8"/>
  <c r="N586" i="8"/>
  <c r="L168" i="7"/>
  <c r="L586" i="8"/>
  <c r="M37" i="8"/>
  <c r="L37" i="8"/>
  <c r="M168" i="7"/>
  <c r="M154" i="7"/>
  <c r="L162" i="8"/>
  <c r="M162" i="8"/>
  <c r="L583" i="8"/>
  <c r="M583" i="8"/>
  <c r="M586" i="8"/>
  <c r="I12" i="21"/>
  <c r="I14" i="21" s="1"/>
  <c r="K454" i="11"/>
  <c r="K147" i="12"/>
  <c r="H221" i="26"/>
  <c r="K456" i="11"/>
  <c r="G287" i="11"/>
  <c r="G245" i="11"/>
  <c r="G307" i="11" s="1"/>
  <c r="N124" i="12"/>
  <c r="O164" i="7"/>
  <c r="O161" i="8"/>
  <c r="O582" i="8"/>
  <c r="E476" i="8"/>
  <c r="N353" i="8"/>
  <c r="F714" i="22"/>
  <c r="I294" i="11"/>
  <c r="I480" i="8"/>
  <c r="I295" i="11"/>
  <c r="F480" i="8"/>
  <c r="F295" i="11"/>
  <c r="K330" i="9"/>
  <c r="K308" i="9"/>
  <c r="K305" i="9"/>
  <c r="L180" i="7"/>
  <c r="L429" i="8"/>
  <c r="L181" i="8"/>
  <c r="L76" i="10"/>
  <c r="L115" i="10"/>
  <c r="L139" i="10"/>
  <c r="L230" i="11"/>
  <c r="J393" i="22"/>
  <c r="J517" i="22"/>
  <c r="J436" i="22"/>
  <c r="I92" i="26"/>
  <c r="K11" i="22"/>
  <c r="K679" i="22"/>
  <c r="M113" i="10"/>
  <c r="L48" i="7"/>
  <c r="L42" i="10"/>
  <c r="L117" i="10"/>
  <c r="E9" i="4"/>
  <c r="D19" i="5"/>
  <c r="D24" i="5" s="1"/>
  <c r="F12" i="16"/>
  <c r="D10" i="15"/>
  <c r="N410" i="11"/>
  <c r="N434" i="11"/>
  <c r="I19" i="8"/>
  <c r="D195" i="26"/>
  <c r="K136" i="12"/>
  <c r="K127" i="12"/>
  <c r="K139" i="12"/>
  <c r="M58" i="10"/>
  <c r="K418" i="8"/>
  <c r="J165" i="13"/>
  <c r="H469" i="22"/>
  <c r="H505" i="22"/>
  <c r="H627" i="22"/>
  <c r="H496" i="22"/>
  <c r="H508" i="22"/>
  <c r="H618" i="22"/>
  <c r="H630" i="22"/>
  <c r="F9" i="17"/>
  <c r="E714" i="22"/>
  <c r="J33" i="10"/>
  <c r="J498" i="22"/>
  <c r="J660" i="22" s="1"/>
  <c r="J620" i="22"/>
  <c r="B654" i="22"/>
  <c r="B657" i="22"/>
  <c r="M528" i="8"/>
  <c r="M531" i="8"/>
  <c r="F168" i="13"/>
  <c r="E550" i="22"/>
  <c r="E586" i="22"/>
  <c r="E577" i="22"/>
  <c r="E589" i="22"/>
  <c r="I225" i="11"/>
  <c r="E115" i="7"/>
  <c r="B135" i="7"/>
  <c r="E116" i="7"/>
  <c r="E463" i="8"/>
  <c r="E123" i="8"/>
  <c r="C165" i="13"/>
  <c r="C469" i="22"/>
  <c r="C505" i="22"/>
  <c r="C627" i="22"/>
  <c r="C496" i="22"/>
  <c r="C508" i="22"/>
  <c r="C618" i="22"/>
  <c r="C630" i="22"/>
  <c r="D477" i="8"/>
  <c r="D285" i="11"/>
  <c r="K738" i="24"/>
  <c r="I472" i="8"/>
  <c r="F482" i="8"/>
  <c r="J168" i="13"/>
  <c r="H550" i="22"/>
  <c r="H586" i="22"/>
  <c r="H577" i="22"/>
  <c r="H589" i="22"/>
  <c r="N109" i="10"/>
  <c r="K796" i="24"/>
  <c r="K772" i="24"/>
  <c r="L300" i="9"/>
  <c r="L324" i="9"/>
  <c r="L453" i="11"/>
  <c r="I451" i="8"/>
  <c r="B19" i="5"/>
  <c r="C9" i="4"/>
  <c r="B158" i="26" s="1"/>
  <c r="B10" i="15"/>
  <c r="K256" i="7"/>
  <c r="I510" i="8"/>
  <c r="L392" i="8"/>
  <c r="M392" i="8" s="1"/>
  <c r="L338" i="8"/>
  <c r="M312" i="8"/>
  <c r="L336" i="8"/>
  <c r="L390" i="8"/>
  <c r="M390" i="8" s="1"/>
  <c r="M310" i="8"/>
  <c r="L314" i="8"/>
  <c r="L311" i="8"/>
  <c r="K170" i="8"/>
  <c r="K600" i="8"/>
  <c r="K39" i="7"/>
  <c r="K39" i="8"/>
  <c r="K609" i="8"/>
  <c r="K167" i="8"/>
  <c r="K612" i="8"/>
  <c r="D20" i="8"/>
  <c r="D452" i="8"/>
  <c r="D133" i="7"/>
  <c r="D119" i="8"/>
  <c r="I179" i="26"/>
  <c r="M49" i="8"/>
  <c r="J639" i="22"/>
  <c r="K257" i="7"/>
  <c r="K368" i="8"/>
  <c r="K407" i="8"/>
  <c r="K380" i="8"/>
  <c r="K404" i="8"/>
  <c r="K377" i="8"/>
  <c r="G19" i="7"/>
  <c r="G118" i="7"/>
  <c r="G138" i="7" s="1"/>
  <c r="G282" i="7"/>
  <c r="E143" i="26"/>
  <c r="D641" i="22"/>
  <c r="D644" i="22"/>
  <c r="I1203" i="24"/>
  <c r="I1372" i="24"/>
  <c r="K522" i="11" s="1"/>
  <c r="K463" i="11" s="1"/>
  <c r="I1196" i="24"/>
  <c r="J210" i="22"/>
  <c r="J192" i="22"/>
  <c r="J185" i="22"/>
  <c r="J205" i="22"/>
  <c r="J198" i="22"/>
  <c r="K19" i="12"/>
  <c r="K12" i="12"/>
  <c r="I204" i="8"/>
  <c r="I216" i="8"/>
  <c r="I213" i="8"/>
  <c r="G168" i="13"/>
  <c r="G169" i="13" s="1"/>
  <c r="G31" i="13" s="1"/>
  <c r="F550" i="22"/>
  <c r="F586" i="22"/>
  <c r="F577" i="22"/>
  <c r="F589" i="22"/>
  <c r="F135" i="7"/>
  <c r="I268" i="7"/>
  <c r="F288" i="7"/>
  <c r="F269" i="7"/>
  <c r="I269" i="7"/>
  <c r="C16" i="3"/>
  <c r="C25" i="7"/>
  <c r="B147" i="26"/>
  <c r="E294" i="11"/>
  <c r="E480" i="8"/>
  <c r="E295" i="11"/>
  <c r="J188" i="12"/>
  <c r="G133" i="26"/>
  <c r="J192" i="13"/>
  <c r="E641" i="22"/>
  <c r="E644" i="22"/>
  <c r="E281" i="11"/>
  <c r="E282" i="11"/>
  <c r="E446" i="8"/>
  <c r="B132" i="7"/>
  <c r="E112" i="7"/>
  <c r="B268" i="7"/>
  <c r="E432" i="8"/>
  <c r="E113" i="7"/>
  <c r="E113" i="8"/>
  <c r="J10" i="17"/>
  <c r="H715" i="22"/>
  <c r="L252" i="7"/>
  <c r="M252" i="7" s="1"/>
  <c r="M226" i="7"/>
  <c r="L230" i="7"/>
  <c r="C25" i="8"/>
  <c r="B203" i="26" s="1"/>
  <c r="B195" i="26"/>
  <c r="N151" i="11"/>
  <c r="K361" i="9"/>
  <c r="K374" i="9" s="1"/>
  <c r="K458" i="24"/>
  <c r="K312" i="9"/>
  <c r="K354" i="9"/>
  <c r="K366" i="9"/>
  <c r="L151" i="8"/>
  <c r="L543" i="8"/>
  <c r="L536" i="8"/>
  <c r="L548" i="8"/>
  <c r="M548" i="8" s="1"/>
  <c r="M535" i="8"/>
  <c r="D714" i="22"/>
  <c r="N162" i="7"/>
  <c r="M162" i="7"/>
  <c r="L162" i="7"/>
  <c r="M148" i="7"/>
  <c r="I275" i="7"/>
  <c r="D153" i="26"/>
  <c r="J193" i="12"/>
  <c r="G137" i="26"/>
  <c r="B644" i="22"/>
  <c r="B641" i="22"/>
  <c r="K193" i="7"/>
  <c r="K15" i="11"/>
  <c r="I183" i="26"/>
  <c r="M52" i="8"/>
  <c r="N138" i="11"/>
  <c r="N162" i="11"/>
  <c r="K193" i="12"/>
  <c r="H137" i="26"/>
  <c r="I118" i="7"/>
  <c r="I119" i="7"/>
  <c r="F119" i="7"/>
  <c r="I19" i="6"/>
  <c r="H16" i="3"/>
  <c r="H25" i="7"/>
  <c r="H26" i="7" s="1"/>
  <c r="F147" i="26"/>
  <c r="H8" i="6"/>
  <c r="H133" i="8"/>
  <c r="H20" i="7"/>
  <c r="H494" i="8"/>
  <c r="I7" i="3"/>
  <c r="K476" i="24"/>
  <c r="K30" i="21" s="1"/>
  <c r="K451" i="24"/>
  <c r="K454" i="24"/>
  <c r="K101" i="8"/>
  <c r="K90" i="8"/>
  <c r="N351" i="11"/>
  <c r="N207" i="7"/>
  <c r="N56" i="11"/>
  <c r="N80" i="11"/>
  <c r="B297" i="11"/>
  <c r="E235" i="11"/>
  <c r="E236" i="11"/>
  <c r="L415" i="8"/>
  <c r="M415" i="8" s="1"/>
  <c r="M335" i="8"/>
  <c r="M70" i="7"/>
  <c r="L259" i="9"/>
  <c r="L924" i="22"/>
  <c r="E657" i="22"/>
  <c r="E654" i="22"/>
  <c r="N115" i="11"/>
  <c r="N350" i="8"/>
  <c r="I104" i="7"/>
  <c r="I284" i="11"/>
  <c r="C714" i="22"/>
  <c r="M154" i="8"/>
  <c r="N127" i="11"/>
  <c r="M31" i="10"/>
  <c r="L280" i="10"/>
  <c r="M23" i="10"/>
  <c r="K31" i="10"/>
  <c r="L31" i="10"/>
  <c r="L287" i="10"/>
  <c r="M98" i="10"/>
  <c r="L440" i="11"/>
  <c r="M440" i="11" s="1"/>
  <c r="M414" i="11"/>
  <c r="L415" i="11"/>
  <c r="L418" i="11"/>
  <c r="I285" i="7"/>
  <c r="F511" i="8"/>
  <c r="F286" i="7"/>
  <c r="I511" i="8"/>
  <c r="I286" i="7"/>
  <c r="F128" i="7"/>
  <c r="I128" i="7" s="1"/>
  <c r="F22" i="7"/>
  <c r="I272" i="7"/>
  <c r="D150" i="26"/>
  <c r="J474" i="22"/>
  <c r="J596" i="22"/>
  <c r="I304" i="11"/>
  <c r="F305" i="11"/>
  <c r="I305" i="11"/>
  <c r="I287" i="11"/>
  <c r="I288" i="11"/>
  <c r="F288" i="11"/>
  <c r="K298" i="10"/>
  <c r="I753" i="24"/>
  <c r="I765" i="24"/>
  <c r="I762" i="24"/>
  <c r="B304" i="11"/>
  <c r="E242" i="11"/>
  <c r="E243" i="11"/>
  <c r="D304" i="11"/>
  <c r="D305" i="11" s="1"/>
  <c r="D243" i="11"/>
  <c r="N112" i="12"/>
  <c r="O234" i="10"/>
  <c r="I125" i="8"/>
  <c r="D201" i="26"/>
  <c r="F22" i="8"/>
  <c r="F128" i="8"/>
  <c r="L254" i="9"/>
  <c r="L910" i="22"/>
  <c r="L446" i="24"/>
  <c r="L470" i="24"/>
  <c r="I208" i="26"/>
  <c r="M566" i="8"/>
  <c r="E156" i="10"/>
  <c r="E159" i="10"/>
  <c r="L297" i="8"/>
  <c r="M297" i="8" s="1"/>
  <c r="M271" i="8"/>
  <c r="N257" i="10"/>
  <c r="L257" i="10"/>
  <c r="M257" i="10"/>
  <c r="M216" i="10"/>
  <c r="I806" i="24"/>
  <c r="I803" i="24"/>
  <c r="I794" i="24"/>
  <c r="K285" i="10" s="1"/>
  <c r="I901" i="22"/>
  <c r="I8" i="21" s="1"/>
  <c r="I903" i="22"/>
  <c r="K328" i="22"/>
  <c r="K321" i="22"/>
  <c r="K138" i="13"/>
  <c r="K111" i="13"/>
  <c r="K39" i="12"/>
  <c r="K320" i="11"/>
  <c r="K71" i="12" s="1"/>
  <c r="K516" i="11"/>
  <c r="K365" i="11"/>
  <c r="H105" i="26"/>
  <c r="K509" i="11"/>
  <c r="I208" i="12"/>
  <c r="I211" i="12"/>
  <c r="F644" i="22"/>
  <c r="F641" i="22"/>
  <c r="I504" i="22"/>
  <c r="I666" i="22" s="1"/>
  <c r="I626" i="22"/>
  <c r="E11" i="8"/>
  <c r="A188" i="26"/>
  <c r="H288" i="7"/>
  <c r="H289" i="7" s="1"/>
  <c r="H269" i="7"/>
  <c r="D9" i="4"/>
  <c r="C158" i="26" s="1"/>
  <c r="C19" i="5"/>
  <c r="C24" i="5" s="1"/>
  <c r="C10" i="15"/>
  <c r="G482" i="8"/>
  <c r="G513" i="8" s="1"/>
  <c r="I462" i="8"/>
  <c r="B287" i="11"/>
  <c r="E225" i="11"/>
  <c r="B245" i="11"/>
  <c r="E226" i="11"/>
  <c r="L116" i="11"/>
  <c r="L197" i="11"/>
  <c r="M197" i="11" s="1"/>
  <c r="M117" i="11"/>
  <c r="L130" i="11"/>
  <c r="L279" i="8"/>
  <c r="L357" i="8"/>
  <c r="L358" i="8"/>
  <c r="L140" i="11"/>
  <c r="L68" i="11"/>
  <c r="L141" i="11"/>
  <c r="J1105" i="24"/>
  <c r="J1118" i="24" s="1"/>
  <c r="J1098" i="24"/>
  <c r="J1110" i="24"/>
  <c r="I11" i="8"/>
  <c r="D188" i="26"/>
  <c r="N37" i="7"/>
  <c r="N168" i="8"/>
  <c r="N604" i="8"/>
  <c r="L604" i="8"/>
  <c r="M37" i="7"/>
  <c r="M604" i="8"/>
  <c r="L37" i="7"/>
  <c r="M168" i="8"/>
  <c r="L168" i="8"/>
  <c r="M32" i="7"/>
  <c r="M91" i="10"/>
  <c r="K10" i="7"/>
  <c r="K54" i="7"/>
  <c r="K273" i="7"/>
  <c r="K498" i="8"/>
  <c r="K257" i="11"/>
  <c r="H98" i="26"/>
  <c r="K187" i="7"/>
  <c r="K10" i="10"/>
  <c r="K48" i="10"/>
  <c r="K83" i="10"/>
  <c r="I454" i="22"/>
  <c r="I486" i="22"/>
  <c r="I608" i="22"/>
  <c r="I459" i="22"/>
  <c r="I447" i="22"/>
  <c r="I560" i="22"/>
  <c r="I563" i="22"/>
  <c r="C168" i="13"/>
  <c r="C169" i="13" s="1"/>
  <c r="C31" i="13" s="1"/>
  <c r="C577" i="22"/>
  <c r="C589" i="22"/>
  <c r="C550" i="22"/>
  <c r="C586" i="22"/>
  <c r="B165" i="13"/>
  <c r="B496" i="22"/>
  <c r="B508" i="22"/>
  <c r="B618" i="22"/>
  <c r="B630" i="22"/>
  <c r="B469" i="22"/>
  <c r="B505" i="22"/>
  <c r="B627" i="22"/>
  <c r="K247" i="8"/>
  <c r="D654" i="22"/>
  <c r="D657" i="22"/>
  <c r="N319" i="8"/>
  <c r="N325" i="8"/>
  <c r="I263" i="7"/>
  <c r="I262" i="7"/>
  <c r="I479" i="8"/>
  <c r="G9" i="4"/>
  <c r="E158" i="26" s="1"/>
  <c r="F19" i="5"/>
  <c r="F10" i="15"/>
  <c r="H165" i="13"/>
  <c r="G469" i="22"/>
  <c r="G505" i="22"/>
  <c r="G627" i="22"/>
  <c r="G496" i="22"/>
  <c r="G508" i="22"/>
  <c r="G618" i="22"/>
  <c r="G630" i="22"/>
  <c r="G19" i="5"/>
  <c r="G24" i="5" s="1"/>
  <c r="H9" i="4"/>
  <c r="F158" i="26" s="1"/>
  <c r="G10" i="15"/>
  <c r="N331" i="8"/>
  <c r="N385" i="8"/>
  <c r="I104" i="8"/>
  <c r="I108" i="8"/>
  <c r="I93" i="8"/>
  <c r="E265" i="7"/>
  <c r="B285" i="7"/>
  <c r="A146" i="26"/>
  <c r="E491" i="8"/>
  <c r="E266" i="7"/>
  <c r="K432" i="11"/>
  <c r="K444" i="11"/>
  <c r="K441" i="11"/>
  <c r="E221" i="12"/>
  <c r="E224" i="12"/>
  <c r="L562" i="8"/>
  <c r="L449" i="11"/>
  <c r="L360" i="11"/>
  <c r="L176" i="12"/>
  <c r="J1069" i="24"/>
  <c r="M352" i="11"/>
  <c r="L353" i="11"/>
  <c r="H168" i="13"/>
  <c r="H169" i="13" s="1"/>
  <c r="H31" i="13" s="1"/>
  <c r="G577" i="22"/>
  <c r="G589" i="22"/>
  <c r="G550" i="22"/>
  <c r="G586" i="22"/>
  <c r="K210" i="11"/>
  <c r="N114" i="10"/>
  <c r="K245" i="7"/>
  <c r="K242" i="7"/>
  <c r="K250" i="7"/>
  <c r="I93" i="7"/>
  <c r="D283" i="7"/>
  <c r="D508" i="8"/>
  <c r="N312" i="7"/>
  <c r="M298" i="7"/>
  <c r="L312" i="7"/>
  <c r="M312" i="7"/>
  <c r="C195" i="26"/>
  <c r="J493" i="22"/>
  <c r="J655" i="22" s="1"/>
  <c r="J615" i="22"/>
  <c r="M70" i="8"/>
  <c r="K358" i="11"/>
  <c r="K361" i="11"/>
  <c r="N429" i="11"/>
  <c r="G654" i="22"/>
  <c r="G657" i="22"/>
  <c r="D22" i="8"/>
  <c r="C202" i="26" s="1"/>
  <c r="D128" i="8"/>
  <c r="D138" i="8" s="1"/>
  <c r="C198" i="26"/>
  <c r="N346" i="8"/>
  <c r="N352" i="8"/>
  <c r="L156" i="11"/>
  <c r="M157" i="11"/>
  <c r="J942" i="22"/>
  <c r="J920" i="22"/>
  <c r="J917" i="22"/>
  <c r="I55" i="8"/>
  <c r="I58" i="8"/>
  <c r="M81" i="7"/>
  <c r="K483" i="11"/>
  <c r="I1074" i="24"/>
  <c r="H1072" i="24"/>
  <c r="I1076" i="24"/>
  <c r="K567" i="8"/>
  <c r="H207" i="26"/>
  <c r="K569" i="8"/>
  <c r="L198" i="8"/>
  <c r="L470" i="8"/>
  <c r="L264" i="11"/>
  <c r="J407" i="22"/>
  <c r="J531" i="22"/>
  <c r="J450" i="22"/>
  <c r="I100" i="26"/>
  <c r="K693" i="22"/>
  <c r="K25" i="22"/>
  <c r="M470" i="8"/>
  <c r="M127" i="10"/>
  <c r="M264" i="11"/>
  <c r="L184" i="7"/>
  <c r="L80" i="10"/>
  <c r="M80" i="10" s="1"/>
  <c r="L140" i="10"/>
  <c r="L128" i="10"/>
  <c r="J562" i="22"/>
  <c r="M148" i="8"/>
  <c r="H307" i="11"/>
  <c r="H308" i="11" s="1"/>
  <c r="H246" i="11"/>
  <c r="B128" i="8"/>
  <c r="E128" i="8" s="1"/>
  <c r="E122" i="8"/>
  <c r="B22" i="8"/>
  <c r="A198" i="26"/>
  <c r="N63" i="11"/>
  <c r="N277" i="8"/>
  <c r="J802" i="24"/>
  <c r="M287" i="10" s="1"/>
  <c r="J777" i="24"/>
  <c r="J780" i="24"/>
  <c r="K755" i="24"/>
  <c r="K731" i="24"/>
  <c r="O584" i="8"/>
  <c r="O251" i="10"/>
  <c r="M363" i="8"/>
  <c r="L403" i="8"/>
  <c r="M403" i="8" s="1"/>
  <c r="L376" i="8"/>
  <c r="M376" i="8" s="1"/>
  <c r="I118" i="8"/>
  <c r="F138" i="8"/>
  <c r="F507" i="8"/>
  <c r="I507" i="8" s="1"/>
  <c r="B451" i="8"/>
  <c r="B493" i="8"/>
  <c r="E431" i="8"/>
  <c r="L86" i="11"/>
  <c r="M86" i="11" s="1"/>
  <c r="M60" i="11"/>
  <c r="L64" i="11"/>
  <c r="L61" i="11"/>
  <c r="L271" i="9"/>
  <c r="L927" i="22"/>
  <c r="G714" i="22"/>
  <c r="M279" i="10"/>
  <c r="L442" i="11"/>
  <c r="M442" i="11" s="1"/>
  <c r="M416" i="11"/>
  <c r="H641" i="22"/>
  <c r="H644" i="22"/>
  <c r="J19" i="5"/>
  <c r="K9" i="4"/>
  <c r="H158" i="26" s="1"/>
  <c r="J10" i="15"/>
  <c r="L319" i="9"/>
  <c r="I226" i="11"/>
  <c r="C641" i="22"/>
  <c r="C644" i="22"/>
  <c r="D135" i="7"/>
  <c r="D116" i="7"/>
  <c r="D123" i="8"/>
  <c r="D463" i="8"/>
  <c r="N417" i="11"/>
  <c r="D286" i="7"/>
  <c r="D511" i="8"/>
  <c r="M15" i="12"/>
  <c r="M484" i="11"/>
  <c r="L498" i="11"/>
  <c r="L512" i="11"/>
  <c r="L15" i="12"/>
  <c r="L229" i="22"/>
  <c r="L120" i="13"/>
  <c r="L121" i="13"/>
  <c r="M121" i="13" s="1"/>
  <c r="L122" i="13"/>
  <c r="M122" i="13" s="1"/>
  <c r="K188" i="22"/>
  <c r="K214" i="22" s="1"/>
  <c r="L242" i="22"/>
  <c r="L324" i="22"/>
  <c r="K201" i="22"/>
  <c r="L311" i="22"/>
  <c r="L337" i="22" s="1"/>
  <c r="J900" i="22"/>
  <c r="J1199" i="24"/>
  <c r="I72" i="26"/>
  <c r="J1147" i="24"/>
  <c r="J1161" i="24" s="1"/>
  <c r="L197" i="13" s="1"/>
  <c r="M197" i="13" s="1"/>
  <c r="E490" i="8"/>
  <c r="F135" i="8"/>
  <c r="I135" i="8" s="1"/>
  <c r="E216" i="8"/>
  <c r="E204" i="8"/>
  <c r="E213" i="8"/>
  <c r="J9" i="17"/>
  <c r="H714" i="22"/>
  <c r="L198" i="11"/>
  <c r="M198" i="11" s="1"/>
  <c r="M118" i="11"/>
  <c r="L131" i="11"/>
  <c r="L414" i="8"/>
  <c r="M414" i="8" s="1"/>
  <c r="M334" i="8"/>
  <c r="K419" i="8"/>
  <c r="E22" i="7"/>
  <c r="L135" i="12"/>
  <c r="M135" i="12" s="1"/>
  <c r="M109" i="12"/>
  <c r="L113" i="12"/>
  <c r="L110" i="12"/>
  <c r="D513" i="8"/>
  <c r="F10" i="17"/>
  <c r="E715" i="22"/>
  <c r="I256" i="11"/>
  <c r="F276" i="11"/>
  <c r="I276" i="11" s="1"/>
  <c r="D165" i="13"/>
  <c r="D469" i="22"/>
  <c r="D505" i="22"/>
  <c r="D627" i="22"/>
  <c r="D496" i="22"/>
  <c r="D508" i="22"/>
  <c r="D618" i="22"/>
  <c r="D630" i="22"/>
  <c r="I1177" i="24"/>
  <c r="H70" i="26"/>
  <c r="K246" i="22"/>
  <c r="K239" i="22"/>
  <c r="K137" i="13"/>
  <c r="K110" i="13"/>
  <c r="K502" i="11"/>
  <c r="K25" i="12"/>
  <c r="K495" i="11"/>
  <c r="K214" i="7"/>
  <c r="K217" i="7"/>
  <c r="G165" i="13"/>
  <c r="F496" i="22"/>
  <c r="F508" i="22"/>
  <c r="F618" i="22"/>
  <c r="F630" i="22"/>
  <c r="F469" i="22"/>
  <c r="F505" i="22"/>
  <c r="F627" i="22"/>
  <c r="I132" i="7"/>
  <c r="F20" i="8"/>
  <c r="F119" i="8"/>
  <c r="I133" i="7"/>
  <c r="I119" i="8"/>
  <c r="F133" i="7"/>
  <c r="I452" i="8"/>
  <c r="I20" i="8"/>
  <c r="F452" i="8"/>
  <c r="H20" i="8"/>
  <c r="H452" i="8"/>
  <c r="H133" i="7"/>
  <c r="H119" i="8"/>
  <c r="G22" i="8"/>
  <c r="E202" i="26" s="1"/>
  <c r="G128" i="8"/>
  <c r="G138" i="8" s="1"/>
  <c r="E198" i="26"/>
  <c r="I122" i="8"/>
  <c r="G132" i="8"/>
  <c r="I132" i="8" s="1"/>
  <c r="K249" i="10"/>
  <c r="K258" i="10"/>
  <c r="K261" i="10"/>
  <c r="F165" i="13"/>
  <c r="E469" i="22"/>
  <c r="E505" i="22"/>
  <c r="E627" i="22"/>
  <c r="E496" i="22"/>
  <c r="E508" i="22"/>
  <c r="E618" i="22"/>
  <c r="E630" i="22"/>
  <c r="B301" i="11"/>
  <c r="E239" i="11"/>
  <c r="E240" i="11"/>
  <c r="F503" i="8"/>
  <c r="I503" i="8" s="1"/>
  <c r="I604" i="22"/>
  <c r="I601" i="22"/>
  <c r="C654" i="22"/>
  <c r="C657" i="22"/>
  <c r="N323" i="8"/>
  <c r="K167" i="7"/>
  <c r="K170" i="7"/>
  <c r="J277" i="9"/>
  <c r="J274" i="9"/>
  <c r="J282" i="9"/>
  <c r="J235" i="9"/>
  <c r="J248" i="9" s="1"/>
  <c r="J784" i="24"/>
  <c r="J228" i="9"/>
  <c r="J240" i="9"/>
  <c r="J477" i="24"/>
  <c r="J468" i="24"/>
  <c r="J480" i="24"/>
  <c r="N319" i="7"/>
  <c r="N611" i="8"/>
  <c r="J18" i="21"/>
  <c r="M319" i="7"/>
  <c r="M611" i="8"/>
  <c r="L319" i="7"/>
  <c r="M305" i="7"/>
  <c r="L611" i="8"/>
  <c r="J761" i="24"/>
  <c r="M293" i="10"/>
  <c r="J736" i="24"/>
  <c r="J739" i="24"/>
  <c r="J697" i="22"/>
  <c r="J710" i="22" s="1"/>
  <c r="J702" i="22"/>
  <c r="J690" i="22"/>
  <c r="I535" i="22"/>
  <c r="I567" i="22"/>
  <c r="I528" i="22"/>
  <c r="I540" i="22"/>
  <c r="I580" i="22" s="1"/>
  <c r="K81" i="10"/>
  <c r="K51" i="10"/>
  <c r="K53" i="8"/>
  <c r="K199" i="8"/>
  <c r="H184" i="26"/>
  <c r="K210" i="8"/>
  <c r="K201" i="8"/>
  <c r="E208" i="12"/>
  <c r="E211" i="12"/>
  <c r="K214" i="12"/>
  <c r="H126" i="26"/>
  <c r="M188" i="8"/>
  <c r="J555" i="22"/>
  <c r="N163" i="11"/>
  <c r="N326" i="8"/>
  <c r="J651" i="22"/>
  <c r="B168" i="13"/>
  <c r="B550" i="22"/>
  <c r="B586" i="22"/>
  <c r="B577" i="22"/>
  <c r="B589" i="22"/>
  <c r="K226" i="8"/>
  <c r="K239" i="8"/>
  <c r="K31" i="11"/>
  <c r="K30" i="11"/>
  <c r="K382" i="11"/>
  <c r="K395" i="11"/>
  <c r="K162" i="12"/>
  <c r="K345" i="7"/>
  <c r="F282" i="7"/>
  <c r="F336" i="7"/>
  <c r="I336" i="7" s="1"/>
  <c r="I334" i="7"/>
  <c r="H508" i="8"/>
  <c r="H283" i="7"/>
  <c r="M143" i="12"/>
  <c r="L307" i="9"/>
  <c r="K260" i="9"/>
  <c r="K284" i="9"/>
  <c r="K217" i="9"/>
  <c r="N525" i="8"/>
  <c r="K1087" i="24"/>
  <c r="N188" i="10"/>
  <c r="K262" i="9"/>
  <c r="K288" i="9" s="1"/>
  <c r="L343" i="9"/>
  <c r="K295" i="8"/>
  <c r="K286" i="8"/>
  <c r="K298" i="8"/>
  <c r="N222" i="7"/>
  <c r="N98" i="11"/>
  <c r="N104" i="11"/>
  <c r="N176" i="11"/>
  <c r="N270" i="8"/>
  <c r="N288" i="8"/>
  <c r="K932" i="22"/>
  <c r="K929" i="22"/>
  <c r="G188" i="26"/>
  <c r="E93" i="7"/>
  <c r="E104" i="7"/>
  <c r="E108" i="7"/>
  <c r="H483" i="8"/>
  <c r="H136" i="7"/>
  <c r="H23" i="8"/>
  <c r="H129" i="8"/>
  <c r="L393" i="8"/>
  <c r="M393" i="8" s="1"/>
  <c r="L339" i="8"/>
  <c r="M313" i="8"/>
  <c r="K172" i="11"/>
  <c r="K169" i="11"/>
  <c r="K160" i="11"/>
  <c r="K186" i="11"/>
  <c r="K183" i="11"/>
  <c r="D138" i="7"/>
  <c r="D139" i="7" s="1"/>
  <c r="D119" i="7"/>
  <c r="I477" i="8"/>
  <c r="O246" i="10"/>
  <c r="B336" i="7"/>
  <c r="E336" i="7" s="1"/>
  <c r="E334" i="7"/>
  <c r="I301" i="11"/>
  <c r="I302" i="11"/>
  <c r="F302" i="11"/>
  <c r="O227" i="10"/>
  <c r="O310" i="7"/>
  <c r="O602" i="8"/>
  <c r="M155" i="11"/>
  <c r="L241" i="7"/>
  <c r="M241" i="7" s="1"/>
  <c r="L195" i="11"/>
  <c r="M195" i="11" s="1"/>
  <c r="L159" i="11"/>
  <c r="B507" i="8"/>
  <c r="E507" i="8" s="1"/>
  <c r="E445" i="8"/>
  <c r="J322" i="9"/>
  <c r="J331" i="9"/>
  <c r="J334" i="9"/>
  <c r="L64" i="7"/>
  <c r="L88" i="11"/>
  <c r="M88" i="11" s="1"/>
  <c r="M62" i="11"/>
  <c r="N126" i="10"/>
  <c r="N259" i="10"/>
  <c r="L259" i="10"/>
  <c r="M259" i="10"/>
  <c r="M218" i="10"/>
  <c r="J481" i="22"/>
  <c r="J643" i="22" s="1"/>
  <c r="J603" i="22"/>
  <c r="N122" i="10"/>
  <c r="K791" i="24"/>
  <c r="L267" i="9"/>
  <c r="L914" i="22"/>
  <c r="L465" i="24"/>
  <c r="F307" i="11"/>
  <c r="I245" i="11"/>
  <c r="I246" i="11"/>
  <c r="F246" i="11"/>
  <c r="K300" i="10"/>
  <c r="E284" i="11"/>
  <c r="E477" i="8"/>
  <c r="E285" i="11"/>
  <c r="O161" i="7"/>
  <c r="O164" i="8"/>
  <c r="O591" i="8"/>
  <c r="H654" i="22"/>
  <c r="H657" i="22"/>
  <c r="E448" i="8"/>
  <c r="B510" i="8"/>
  <c r="E510" i="8" s="1"/>
  <c r="L269" i="8"/>
  <c r="L64" i="8"/>
  <c r="L272" i="8"/>
  <c r="L290" i="8"/>
  <c r="M290" i="8" s="1"/>
  <c r="M264" i="8"/>
  <c r="L203" i="11"/>
  <c r="M203" i="11" s="1"/>
  <c r="M123" i="11"/>
  <c r="L253" i="7"/>
  <c r="M253" i="7" s="1"/>
  <c r="M227" i="7"/>
  <c r="L231" i="7"/>
  <c r="E104" i="8"/>
  <c r="E108" i="8"/>
  <c r="E93" i="8"/>
  <c r="I156" i="10"/>
  <c r="I159" i="10"/>
  <c r="D288" i="7"/>
  <c r="D289" i="7" s="1"/>
  <c r="D269" i="7"/>
  <c r="N232" i="10"/>
  <c r="N235" i="10"/>
  <c r="M232" i="10"/>
  <c r="M194" i="10"/>
  <c r="L232" i="10"/>
  <c r="M235" i="10"/>
  <c r="M191" i="10"/>
  <c r="L235" i="10"/>
  <c r="L137" i="12"/>
  <c r="M137" i="12" s="1"/>
  <c r="M111" i="12"/>
  <c r="D493" i="8"/>
  <c r="M186" i="8"/>
  <c r="K412" i="8"/>
  <c r="I297" i="11"/>
  <c r="I298" i="11"/>
  <c r="F298" i="11"/>
  <c r="I1143" i="24"/>
  <c r="K315" i="22"/>
  <c r="K341" i="22" s="1"/>
  <c r="K333" i="22"/>
  <c r="K308" i="22"/>
  <c r="K233" i="22"/>
  <c r="K259" i="22" s="1"/>
  <c r="K251" i="22"/>
  <c r="K226" i="22"/>
  <c r="K136" i="13"/>
  <c r="K107" i="13"/>
  <c r="K109" i="13"/>
  <c r="I1184" i="24"/>
  <c r="K90" i="7"/>
  <c r="K101" i="7"/>
  <c r="C138" i="7"/>
  <c r="M479" i="11"/>
  <c r="L493" i="11"/>
  <c r="L507" i="11"/>
  <c r="L10" i="12"/>
  <c r="M10" i="12"/>
  <c r="L99" i="13"/>
  <c r="K196" i="22"/>
  <c r="L100" i="13"/>
  <c r="L101" i="13"/>
  <c r="L306" i="22"/>
  <c r="K183" i="22"/>
  <c r="J895" i="22"/>
  <c r="L224" i="22"/>
  <c r="L237" i="22"/>
  <c r="L319" i="22"/>
  <c r="J1194" i="24"/>
  <c r="I68" i="26"/>
  <c r="J1142" i="24"/>
  <c r="G25" i="8"/>
  <c r="E203" i="26" s="1"/>
  <c r="E195" i="26"/>
  <c r="B19" i="7"/>
  <c r="B118" i="7"/>
  <c r="B282" i="7"/>
  <c r="E262" i="7"/>
  <c r="A143" i="26"/>
  <c r="E488" i="8"/>
  <c r="E263" i="7"/>
  <c r="D168" i="13"/>
  <c r="D169" i="13" s="1"/>
  <c r="D31" i="13" s="1"/>
  <c r="D550" i="22"/>
  <c r="D586" i="22"/>
  <c r="D577" i="22"/>
  <c r="D589" i="22"/>
  <c r="I641" i="22"/>
  <c r="I644" i="22"/>
  <c r="L202" i="11"/>
  <c r="M202" i="11" s="1"/>
  <c r="M122" i="11"/>
  <c r="L228" i="7"/>
  <c r="L191" i="11"/>
  <c r="M191" i="11" s="1"/>
  <c r="L119" i="11"/>
  <c r="M111" i="11"/>
  <c r="L124" i="11"/>
  <c r="K320" i="7"/>
  <c r="K317" i="7"/>
  <c r="L151" i="7"/>
  <c r="N593" i="8"/>
  <c r="L61" i="10"/>
  <c r="L206" i="10"/>
  <c r="N239" i="10"/>
  <c r="L422" i="11"/>
  <c r="L117" i="12"/>
  <c r="J743" i="24"/>
  <c r="L300" i="7"/>
  <c r="L211" i="10"/>
  <c r="L199" i="10"/>
  <c r="L93" i="10"/>
  <c r="Q239" i="10"/>
  <c r="M198" i="10"/>
  <c r="Q593" i="8"/>
  <c r="K132" i="10"/>
  <c r="K129" i="10"/>
  <c r="L153" i="10"/>
  <c r="M153" i="10" s="1"/>
  <c r="K137" i="10"/>
  <c r="J29" i="22"/>
  <c r="J42" i="22" s="1"/>
  <c r="J22" i="22"/>
  <c r="J34" i="22"/>
  <c r="I411" i="22"/>
  <c r="I424" i="22" s="1"/>
  <c r="I416" i="22"/>
  <c r="I404" i="22"/>
  <c r="K144" i="10"/>
  <c r="K126" i="7"/>
  <c r="K126" i="8"/>
  <c r="K473" i="8"/>
  <c r="K274" i="11"/>
  <c r="K57" i="7"/>
  <c r="K185" i="7"/>
  <c r="I221" i="12"/>
  <c r="I224" i="12"/>
  <c r="K211" i="11"/>
  <c r="J226" i="8"/>
  <c r="J239" i="8"/>
  <c r="J31" i="11"/>
  <c r="J30" i="11"/>
  <c r="J395" i="11"/>
  <c r="J162" i="12"/>
  <c r="J382" i="11"/>
  <c r="J345" i="7"/>
  <c r="K201" i="12"/>
  <c r="H211" i="26"/>
  <c r="M195" i="8"/>
  <c r="N75" i="11"/>
  <c r="N268" i="8"/>
  <c r="F654" i="22"/>
  <c r="F657" i="22"/>
  <c r="I488" i="8"/>
  <c r="F25" i="7"/>
  <c r="F16" i="3"/>
  <c r="I19" i="7"/>
  <c r="D147" i="26"/>
  <c r="F20" i="7"/>
  <c r="I20" i="7"/>
  <c r="I494" i="8"/>
  <c r="F8" i="6"/>
  <c r="F494" i="8"/>
  <c r="I133" i="8"/>
  <c r="I8" i="6"/>
  <c r="F133" i="8"/>
  <c r="E55" i="8"/>
  <c r="E58" i="8"/>
  <c r="H138" i="7"/>
  <c r="H139" i="7" s="1"/>
  <c r="H119" i="7"/>
  <c r="E479" i="8"/>
  <c r="D295" i="11"/>
  <c r="D480" i="8"/>
  <c r="N110" i="10"/>
  <c r="K779" i="24"/>
  <c r="L255" i="9"/>
  <c r="L453" i="24"/>
  <c r="L911" i="22"/>
  <c r="K925" i="22"/>
  <c r="K931" i="22"/>
  <c r="K944" i="22" s="1"/>
  <c r="K936" i="22"/>
  <c r="G641" i="22"/>
  <c r="G644" i="22"/>
  <c r="N223" i="7"/>
  <c r="N177" i="11"/>
  <c r="N105" i="11"/>
  <c r="N306" i="8"/>
  <c r="N330" i="8"/>
  <c r="N384" i="8"/>
  <c r="K231" i="9"/>
  <c r="N539" i="8"/>
  <c r="N202" i="10"/>
  <c r="K1101" i="24"/>
  <c r="K273" i="9"/>
  <c r="K285" i="9"/>
  <c r="L357" i="9"/>
  <c r="G493" i="8"/>
  <c r="I493" i="8" s="1"/>
  <c r="E291" i="11"/>
  <c r="E292" i="11"/>
  <c r="E449" i="8"/>
  <c r="M81" i="8"/>
  <c r="K86" i="7"/>
  <c r="K86" i="8"/>
  <c r="K208" i="11"/>
  <c r="D16" i="3"/>
  <c r="D25" i="7"/>
  <c r="D26" i="7" s="1"/>
  <c r="C147" i="26"/>
  <c r="D8" i="6"/>
  <c r="D20" i="7"/>
  <c r="D133" i="8"/>
  <c r="D494" i="8"/>
  <c r="L255" i="22" l="1"/>
  <c r="J218" i="22"/>
  <c r="K102" i="7"/>
  <c r="K91" i="7"/>
  <c r="O594" i="8"/>
  <c r="O243" i="10"/>
  <c r="N426" i="11"/>
  <c r="N121" i="12"/>
  <c r="K747" i="24"/>
  <c r="N203" i="10"/>
  <c r="N215" i="10"/>
  <c r="N301" i="7"/>
  <c r="N94" i="10"/>
  <c r="K933" i="22"/>
  <c r="K930" i="22"/>
  <c r="K938" i="22"/>
  <c r="N69" i="8"/>
  <c r="J252" i="8"/>
  <c r="L33" i="7"/>
  <c r="L152" i="7"/>
  <c r="N314" i="7"/>
  <c r="N606" i="8"/>
  <c r="L304" i="7"/>
  <c r="Q314" i="7"/>
  <c r="M300" i="7"/>
  <c r="Q606" i="8"/>
  <c r="N165" i="7"/>
  <c r="N165" i="8"/>
  <c r="N595" i="8"/>
  <c r="L302" i="7"/>
  <c r="L155" i="7"/>
  <c r="Q165" i="7"/>
  <c r="Q165" i="8"/>
  <c r="Q595" i="8"/>
  <c r="M151" i="7"/>
  <c r="L65" i="7"/>
  <c r="L65" i="8"/>
  <c r="L204" i="11"/>
  <c r="M204" i="11" s="1"/>
  <c r="M124" i="11"/>
  <c r="M101" i="13"/>
  <c r="I307" i="11"/>
  <c r="F308" i="11"/>
  <c r="I308" i="11"/>
  <c r="N552" i="8"/>
  <c r="N540" i="8"/>
  <c r="N386" i="8"/>
  <c r="N332" i="8"/>
  <c r="L937" i="22"/>
  <c r="J198" i="7"/>
  <c r="J32" i="11"/>
  <c r="I409" i="22"/>
  <c r="I412" i="22"/>
  <c r="I417" i="22"/>
  <c r="J27" i="22"/>
  <c r="J30" i="22"/>
  <c r="J35" i="22"/>
  <c r="L62" i="10"/>
  <c r="L24" i="10"/>
  <c r="L97" i="10"/>
  <c r="M273" i="10"/>
  <c r="M282" i="10"/>
  <c r="M93" i="10"/>
  <c r="J751" i="24"/>
  <c r="J764" i="24" s="1"/>
  <c r="J744" i="24"/>
  <c r="J756" i="24"/>
  <c r="N247" i="10"/>
  <c r="L219" i="10"/>
  <c r="Q247" i="10"/>
  <c r="M206" i="10"/>
  <c r="C123" i="26"/>
  <c r="D9" i="13"/>
  <c r="D32" i="13"/>
  <c r="B16" i="3"/>
  <c r="B25" i="7"/>
  <c r="E19" i="7"/>
  <c r="A147" i="26"/>
  <c r="E494" i="8"/>
  <c r="E133" i="8"/>
  <c r="E8" i="6"/>
  <c r="E20" i="7"/>
  <c r="J1371" i="24"/>
  <c r="L521" i="11" s="1"/>
  <c r="M100" i="13"/>
  <c r="L24" i="12"/>
  <c r="M493" i="11"/>
  <c r="K11" i="3"/>
  <c r="K106" i="7"/>
  <c r="K139" i="13"/>
  <c r="K112" i="13"/>
  <c r="K108" i="13"/>
  <c r="I1151" i="24"/>
  <c r="I1157" i="24"/>
  <c r="I1144" i="24"/>
  <c r="M231" i="7"/>
  <c r="L74" i="8"/>
  <c r="L96" i="8"/>
  <c r="M96" i="8" s="1"/>
  <c r="M64" i="8"/>
  <c r="K212" i="11"/>
  <c r="K173" i="11"/>
  <c r="K209" i="11"/>
  <c r="K200" i="11"/>
  <c r="M339" i="8"/>
  <c r="N263" i="8"/>
  <c r="N308" i="8"/>
  <c r="N309" i="8"/>
  <c r="N110" i="11"/>
  <c r="N58" i="11"/>
  <c r="N109" i="11"/>
  <c r="K1089" i="24"/>
  <c r="K1113" i="24"/>
  <c r="K1091" i="24"/>
  <c r="K1117" i="24" s="1"/>
  <c r="K286" i="9"/>
  <c r="K264" i="9"/>
  <c r="K261" i="9"/>
  <c r="E168" i="13"/>
  <c r="B169" i="13"/>
  <c r="I568" i="22"/>
  <c r="I533" i="22"/>
  <c r="I536" i="22"/>
  <c r="I541" i="22"/>
  <c r="I581" i="22" s="1"/>
  <c r="J233" i="9"/>
  <c r="J236" i="9"/>
  <c r="J241" i="9"/>
  <c r="J278" i="9"/>
  <c r="J290" i="9"/>
  <c r="J287" i="9"/>
  <c r="E301" i="11"/>
  <c r="E302" i="11"/>
  <c r="F171" i="13"/>
  <c r="I165" i="13"/>
  <c r="F166" i="13"/>
  <c r="G166" i="13"/>
  <c r="G171" i="13"/>
  <c r="K33" i="12"/>
  <c r="K26" i="12"/>
  <c r="D590" i="22"/>
  <c r="D631" i="22"/>
  <c r="D667" i="22"/>
  <c r="D658" i="22"/>
  <c r="D670" i="22"/>
  <c r="L123" i="13"/>
  <c r="M123" i="13" s="1"/>
  <c r="M120" i="13"/>
  <c r="L29" i="12"/>
  <c r="M29" i="12" s="1"/>
  <c r="M498" i="11"/>
  <c r="N154" i="10"/>
  <c r="M128" i="10"/>
  <c r="K706" i="22"/>
  <c r="K694" i="22"/>
  <c r="J420" i="22"/>
  <c r="J408" i="22"/>
  <c r="I185" i="26"/>
  <c r="M198" i="8"/>
  <c r="L202" i="8"/>
  <c r="M202" i="8" s="1"/>
  <c r="L211" i="8"/>
  <c r="M211" i="8" s="1"/>
  <c r="J483" i="11"/>
  <c r="H1074" i="24"/>
  <c r="H1076" i="24"/>
  <c r="J943" i="22"/>
  <c r="J934" i="22"/>
  <c r="J946" i="22"/>
  <c r="M159" i="11"/>
  <c r="M156" i="11"/>
  <c r="D25" i="8"/>
  <c r="C203" i="26" s="1"/>
  <c r="N194" i="8"/>
  <c r="N460" i="8"/>
  <c r="N233" i="11"/>
  <c r="K394" i="22"/>
  <c r="K518" i="22"/>
  <c r="K437" i="22"/>
  <c r="J93" i="26"/>
  <c r="L680" i="22"/>
  <c r="L12" i="22"/>
  <c r="M353" i="11"/>
  <c r="J13" i="21"/>
  <c r="M360" i="11"/>
  <c r="H166" i="13"/>
  <c r="H171" i="13"/>
  <c r="B658" i="22"/>
  <c r="B670" i="22"/>
  <c r="B590" i="22"/>
  <c r="B631" i="22"/>
  <c r="B667" i="22"/>
  <c r="I455" i="22"/>
  <c r="I487" i="22"/>
  <c r="I609" i="22"/>
  <c r="I452" i="22"/>
  <c r="I460" i="22"/>
  <c r="I494" i="22"/>
  <c r="I616" i="22"/>
  <c r="I467" i="22"/>
  <c r="K18" i="10"/>
  <c r="L18" i="10" s="1"/>
  <c r="K11" i="10"/>
  <c r="L355" i="11"/>
  <c r="J1103" i="24"/>
  <c r="J1106" i="24"/>
  <c r="J1111" i="24"/>
  <c r="L166" i="11"/>
  <c r="L142" i="11"/>
  <c r="L180" i="11"/>
  <c r="M180" i="11" s="1"/>
  <c r="L235" i="7"/>
  <c r="L144" i="11"/>
  <c r="M140" i="11"/>
  <c r="L199" i="11"/>
  <c r="L196" i="11"/>
  <c r="M119" i="11"/>
  <c r="M116" i="11"/>
  <c r="L129" i="11"/>
  <c r="L120" i="11"/>
  <c r="L132" i="11"/>
  <c r="E287" i="11"/>
  <c r="E288" i="11"/>
  <c r="K328" i="11"/>
  <c r="I128" i="8"/>
  <c r="E304" i="11"/>
  <c r="E305" i="11"/>
  <c r="L541" i="8"/>
  <c r="L556" i="8"/>
  <c r="M556" i="8" s="1"/>
  <c r="M543" i="8"/>
  <c r="K320" i="9"/>
  <c r="K333" i="9" s="1"/>
  <c r="K313" i="9"/>
  <c r="K325" i="9"/>
  <c r="I288" i="7"/>
  <c r="I289" i="7"/>
  <c r="F289" i="7"/>
  <c r="K53" i="12"/>
  <c r="K530" i="11"/>
  <c r="K471" i="11" s="1"/>
  <c r="K523" i="11"/>
  <c r="G16" i="3"/>
  <c r="I16" i="3" s="1"/>
  <c r="G25" i="7"/>
  <c r="E147" i="26"/>
  <c r="K381" i="8"/>
  <c r="K417" i="8"/>
  <c r="K408" i="8"/>
  <c r="K420" i="8"/>
  <c r="B23" i="3"/>
  <c r="E10" i="15"/>
  <c r="I482" i="8"/>
  <c r="K288" i="10"/>
  <c r="H590" i="22"/>
  <c r="H631" i="22"/>
  <c r="H667" i="22"/>
  <c r="H658" i="22"/>
  <c r="H670" i="22"/>
  <c r="L143" i="10"/>
  <c r="M143" i="10" s="1"/>
  <c r="M117" i="10"/>
  <c r="L84" i="10"/>
  <c r="M84" i="10" s="1"/>
  <c r="M76" i="10"/>
  <c r="L9" i="10"/>
  <c r="L44" i="10"/>
  <c r="L188" i="7"/>
  <c r="L266" i="7"/>
  <c r="L491" i="8"/>
  <c r="L236" i="11"/>
  <c r="I94" i="26"/>
  <c r="M180" i="7"/>
  <c r="L9" i="7"/>
  <c r="L50" i="7"/>
  <c r="D307" i="11"/>
  <c r="D308" i="11" s="1"/>
  <c r="D246" i="11"/>
  <c r="B25" i="8"/>
  <c r="E19" i="8"/>
  <c r="A195" i="26"/>
  <c r="H1151" i="24"/>
  <c r="H1157" i="24"/>
  <c r="H1144" i="24"/>
  <c r="J315" i="22"/>
  <c r="J333" i="22"/>
  <c r="J308" i="22"/>
  <c r="J233" i="22"/>
  <c r="J251" i="22"/>
  <c r="J226" i="22"/>
  <c r="J137" i="13"/>
  <c r="J110" i="13"/>
  <c r="J502" i="11"/>
  <c r="J25" i="12"/>
  <c r="J495" i="11"/>
  <c r="C155" i="26"/>
  <c r="D139" i="8"/>
  <c r="D514" i="8"/>
  <c r="D17" i="3"/>
  <c r="D10" i="6"/>
  <c r="D26" i="8"/>
  <c r="D155" i="26"/>
  <c r="F10" i="6"/>
  <c r="F17" i="3"/>
  <c r="I514" i="8"/>
  <c r="F26" i="8"/>
  <c r="F514" i="8"/>
  <c r="I10" i="6"/>
  <c r="F139" i="8"/>
  <c r="K209" i="22"/>
  <c r="M269" i="8"/>
  <c r="M272" i="8"/>
  <c r="L345" i="9"/>
  <c r="L369" i="9"/>
  <c r="L448" i="24"/>
  <c r="L302" i="9"/>
  <c r="L347" i="9"/>
  <c r="L373" i="9" s="1"/>
  <c r="N527" i="8"/>
  <c r="N551" i="8"/>
  <c r="N146" i="8"/>
  <c r="N529" i="8"/>
  <c r="K219" i="12"/>
  <c r="H130" i="26"/>
  <c r="K85" i="10"/>
  <c r="K82" i="10"/>
  <c r="L301" i="10"/>
  <c r="M301" i="10"/>
  <c r="L123" i="10"/>
  <c r="J792" i="24"/>
  <c r="J805" i="24" s="1"/>
  <c r="J785" i="24"/>
  <c r="J797" i="24"/>
  <c r="D166" i="13"/>
  <c r="D171" i="13"/>
  <c r="M64" i="11"/>
  <c r="M61" i="11"/>
  <c r="N80" i="8"/>
  <c r="L480" i="8"/>
  <c r="L295" i="11"/>
  <c r="M140" i="10"/>
  <c r="I1075" i="24"/>
  <c r="I1078" i="24"/>
  <c r="N354" i="8"/>
  <c r="N351" i="8"/>
  <c r="K258" i="7"/>
  <c r="K246" i="7"/>
  <c r="K255" i="7"/>
  <c r="L457" i="11"/>
  <c r="M457" i="11" s="1"/>
  <c r="L144" i="12"/>
  <c r="I219" i="26"/>
  <c r="M449" i="11"/>
  <c r="L450" i="11"/>
  <c r="E285" i="7"/>
  <c r="E511" i="8"/>
  <c r="E286" i="7"/>
  <c r="I10" i="15"/>
  <c r="B171" i="13"/>
  <c r="E165" i="13"/>
  <c r="B166" i="13"/>
  <c r="I499" i="22"/>
  <c r="I661" i="22" s="1"/>
  <c r="I621" i="22"/>
  <c r="L366" i="8"/>
  <c r="L371" i="8"/>
  <c r="L398" i="8"/>
  <c r="M398" i="8" s="1"/>
  <c r="M358" i="8"/>
  <c r="M130" i="11"/>
  <c r="K464" i="11"/>
  <c r="K321" i="11"/>
  <c r="H106" i="26"/>
  <c r="I22" i="8"/>
  <c r="D202" i="26"/>
  <c r="J636" i="22"/>
  <c r="L218" i="9"/>
  <c r="O526" i="8"/>
  <c r="L1088" i="24"/>
  <c r="O189" i="10"/>
  <c r="M344" i="9"/>
  <c r="E297" i="11"/>
  <c r="E298" i="11"/>
  <c r="N561" i="8"/>
  <c r="N448" i="11"/>
  <c r="N175" i="12"/>
  <c r="K1068" i="24"/>
  <c r="F155" i="26"/>
  <c r="H139" i="8"/>
  <c r="H514" i="8"/>
  <c r="H17" i="3"/>
  <c r="H10" i="6"/>
  <c r="H26" i="8"/>
  <c r="F138" i="7"/>
  <c r="N164" i="11"/>
  <c r="L33" i="8"/>
  <c r="L152" i="8"/>
  <c r="L155" i="8"/>
  <c r="M151" i="8"/>
  <c r="K268" i="9"/>
  <c r="K915" i="22"/>
  <c r="K466" i="24"/>
  <c r="K479" i="24" s="1"/>
  <c r="K459" i="24"/>
  <c r="K471" i="24"/>
  <c r="M230" i="7"/>
  <c r="E268" i="7"/>
  <c r="B288" i="7"/>
  <c r="E269" i="7"/>
  <c r="B155" i="26"/>
  <c r="L328" i="8"/>
  <c r="L340" i="8"/>
  <c r="L337" i="8"/>
  <c r="L394" i="8"/>
  <c r="L391" i="8"/>
  <c r="M311" i="8"/>
  <c r="M314" i="8"/>
  <c r="L416" i="8"/>
  <c r="M416" i="8" s="1"/>
  <c r="M336" i="8"/>
  <c r="J171" i="13"/>
  <c r="J166" i="13"/>
  <c r="F25" i="8"/>
  <c r="L77" i="10"/>
  <c r="L50" i="10"/>
  <c r="M50" i="10" s="1"/>
  <c r="M42" i="10"/>
  <c r="J438" i="22"/>
  <c r="J462" i="22"/>
  <c r="J476" i="22"/>
  <c r="J598" i="22"/>
  <c r="J440" i="22"/>
  <c r="K149" i="12"/>
  <c r="K151" i="12"/>
  <c r="M209" i="7"/>
  <c r="I192" i="22"/>
  <c r="I210" i="22"/>
  <c r="I185" i="22"/>
  <c r="J107" i="13"/>
  <c r="J136" i="13"/>
  <c r="J109" i="13"/>
  <c r="K788" i="24"/>
  <c r="K244" i="9"/>
  <c r="K232" i="9"/>
  <c r="N80" i="7"/>
  <c r="J206" i="12"/>
  <c r="G215" i="26"/>
  <c r="L155" i="10"/>
  <c r="M155" i="10" s="1"/>
  <c r="K133" i="10"/>
  <c r="K145" i="10"/>
  <c r="K142" i="10"/>
  <c r="L207" i="10"/>
  <c r="L204" i="10"/>
  <c r="N240" i="10"/>
  <c r="L212" i="10"/>
  <c r="Q240" i="10"/>
  <c r="M199" i="10"/>
  <c r="L125" i="12"/>
  <c r="L118" i="12"/>
  <c r="L130" i="12"/>
  <c r="M130" i="12" s="1"/>
  <c r="M117" i="12"/>
  <c r="L65" i="10"/>
  <c r="M65" i="10" s="1"/>
  <c r="L95" i="10"/>
  <c r="M61" i="10"/>
  <c r="K334" i="22"/>
  <c r="K91" i="8"/>
  <c r="K102" i="8"/>
  <c r="N362" i="8"/>
  <c r="N280" i="8"/>
  <c r="N361" i="8"/>
  <c r="N154" i="11"/>
  <c r="N72" i="11"/>
  <c r="N153" i="11"/>
  <c r="K1114" i="24"/>
  <c r="K1102" i="24"/>
  <c r="N356" i="11" s="1"/>
  <c r="N49" i="7"/>
  <c r="N193" i="8"/>
  <c r="N457" i="8"/>
  <c r="N43" i="10"/>
  <c r="N118" i="10"/>
  <c r="N223" i="11"/>
  <c r="K433" i="22"/>
  <c r="K390" i="22"/>
  <c r="K514" i="22"/>
  <c r="J90" i="26"/>
  <c r="L676" i="22"/>
  <c r="L8" i="22"/>
  <c r="I25" i="7"/>
  <c r="F26" i="7"/>
  <c r="I26" i="7"/>
  <c r="K189" i="7"/>
  <c r="K186" i="7"/>
  <c r="K157" i="10"/>
  <c r="N597" i="8"/>
  <c r="N252" i="10"/>
  <c r="L597" i="8"/>
  <c r="M211" i="10"/>
  <c r="L252" i="10"/>
  <c r="M252" i="10"/>
  <c r="M597" i="8"/>
  <c r="L430" i="11"/>
  <c r="L435" i="11"/>
  <c r="M435" i="11" s="1"/>
  <c r="L423" i="11"/>
  <c r="M422" i="11"/>
  <c r="E282" i="7"/>
  <c r="E283" i="7"/>
  <c r="E508" i="8"/>
  <c r="J1156" i="24"/>
  <c r="L332" i="22"/>
  <c r="L102" i="13"/>
  <c r="M99" i="13"/>
  <c r="L38" i="12"/>
  <c r="L462" i="11"/>
  <c r="L319" i="11"/>
  <c r="L70" i="12" s="1"/>
  <c r="L364" i="11"/>
  <c r="I104" i="26"/>
  <c r="M319" i="11"/>
  <c r="M507" i="11"/>
  <c r="K252" i="22"/>
  <c r="L940" i="22"/>
  <c r="N52" i="7"/>
  <c r="N184" i="8"/>
  <c r="N436" i="8"/>
  <c r="N46" i="10"/>
  <c r="N130" i="10"/>
  <c r="N251" i="11"/>
  <c r="K402" i="22"/>
  <c r="K526" i="22"/>
  <c r="K445" i="22"/>
  <c r="J96" i="26"/>
  <c r="L688" i="22"/>
  <c r="L20" i="22"/>
  <c r="N185" i="8"/>
  <c r="N439" i="8"/>
  <c r="N261" i="11"/>
  <c r="K449" i="22"/>
  <c r="K406" i="22"/>
  <c r="K530" i="22"/>
  <c r="J99" i="26"/>
  <c r="L692" i="22"/>
  <c r="L24" i="22"/>
  <c r="L74" i="7"/>
  <c r="L96" i="7"/>
  <c r="M96" i="7" s="1"/>
  <c r="M64" i="7"/>
  <c r="N224" i="7"/>
  <c r="N106" i="11"/>
  <c r="N178" i="11"/>
  <c r="K243" i="9"/>
  <c r="K219" i="9"/>
  <c r="K774" i="24"/>
  <c r="K221" i="9"/>
  <c r="K247" i="9" s="1"/>
  <c r="I282" i="7"/>
  <c r="F508" i="8"/>
  <c r="I283" i="7"/>
  <c r="F283" i="7"/>
  <c r="I508" i="8"/>
  <c r="K206" i="12"/>
  <c r="H215" i="26"/>
  <c r="K252" i="8"/>
  <c r="K200" i="8"/>
  <c r="K212" i="8"/>
  <c r="K203" i="8"/>
  <c r="I575" i="22"/>
  <c r="I548" i="22"/>
  <c r="I588" i="22" s="1"/>
  <c r="L230" i="9"/>
  <c r="L1100" i="24"/>
  <c r="O538" i="8"/>
  <c r="O201" i="10"/>
  <c r="M356" i="9"/>
  <c r="E493" i="8"/>
  <c r="I138" i="8"/>
  <c r="J490" i="22"/>
  <c r="J612" i="22"/>
  <c r="J451" i="22"/>
  <c r="J463" i="22"/>
  <c r="H209" i="26"/>
  <c r="K568" i="8"/>
  <c r="K571" i="8"/>
  <c r="K497" i="11"/>
  <c r="K485" i="11"/>
  <c r="K511" i="11"/>
  <c r="K14" i="12"/>
  <c r="K116" i="13"/>
  <c r="K117" i="13"/>
  <c r="K115" i="13"/>
  <c r="K310" i="22"/>
  <c r="J187" i="22"/>
  <c r="J200" i="22"/>
  <c r="K228" i="22"/>
  <c r="K241" i="22"/>
  <c r="K323" i="22"/>
  <c r="I896" i="22"/>
  <c r="H71" i="26"/>
  <c r="I1198" i="24"/>
  <c r="K487" i="11"/>
  <c r="L480" i="11"/>
  <c r="J1077" i="24"/>
  <c r="J1070" i="24"/>
  <c r="L570" i="8"/>
  <c r="M570" i="8" s="1"/>
  <c r="I205" i="26"/>
  <c r="M562" i="8"/>
  <c r="L563" i="8"/>
  <c r="I19" i="5"/>
  <c r="F24" i="5"/>
  <c r="I24" i="5" s="1"/>
  <c r="N327" i="8"/>
  <c r="N324" i="8"/>
  <c r="B123" i="26"/>
  <c r="C9" i="13"/>
  <c r="B124" i="26" s="1"/>
  <c r="C32" i="13"/>
  <c r="K58" i="7"/>
  <c r="K55" i="7"/>
  <c r="L167" i="11"/>
  <c r="L236" i="7"/>
  <c r="L181" i="11"/>
  <c r="M181" i="11" s="1"/>
  <c r="L145" i="11"/>
  <c r="M141" i="11"/>
  <c r="L365" i="8"/>
  <c r="L359" i="8"/>
  <c r="L397" i="8"/>
  <c r="M397" i="8" s="1"/>
  <c r="L370" i="8"/>
  <c r="M357" i="8"/>
  <c r="B307" i="11"/>
  <c r="E245" i="11"/>
  <c r="E246" i="11"/>
  <c r="K222" i="8"/>
  <c r="K235" i="8"/>
  <c r="K18" i="11"/>
  <c r="K378" i="11"/>
  <c r="K391" i="11"/>
  <c r="K17" i="11"/>
  <c r="K158" i="12"/>
  <c r="K341" i="7"/>
  <c r="I63" i="9"/>
  <c r="I67" i="9"/>
  <c r="I1474" i="24" s="1"/>
  <c r="I1488" i="24" s="1"/>
  <c r="I1492" i="24" s="1"/>
  <c r="L912" i="22"/>
  <c r="L918" i="22"/>
  <c r="I22" i="7"/>
  <c r="D154" i="26"/>
  <c r="M415" i="11"/>
  <c r="M418" i="11"/>
  <c r="I135" i="7"/>
  <c r="I136" i="7"/>
  <c r="I23" i="8"/>
  <c r="F23" i="8"/>
  <c r="F483" i="8"/>
  <c r="F136" i="7"/>
  <c r="I129" i="8"/>
  <c r="I483" i="8"/>
  <c r="F129" i="8"/>
  <c r="E123" i="26"/>
  <c r="G9" i="13"/>
  <c r="E124" i="26" s="1"/>
  <c r="G32" i="13"/>
  <c r="J211" i="22"/>
  <c r="I1380" i="24"/>
  <c r="I1373" i="24"/>
  <c r="E19" i="5"/>
  <c r="B24" i="5"/>
  <c r="E24" i="5" s="1"/>
  <c r="F513" i="8"/>
  <c r="I513" i="8" s="1"/>
  <c r="N179" i="7"/>
  <c r="N180" i="8"/>
  <c r="N426" i="8"/>
  <c r="N111" i="10"/>
  <c r="N135" i="10"/>
  <c r="N75" i="10"/>
  <c r="N220" i="11"/>
  <c r="K513" i="22"/>
  <c r="K432" i="22"/>
  <c r="K389" i="22"/>
  <c r="J89" i="26"/>
  <c r="L7" i="22"/>
  <c r="L675" i="22"/>
  <c r="C631" i="22"/>
  <c r="C667" i="22"/>
  <c r="C658" i="22"/>
  <c r="C670" i="22"/>
  <c r="C590" i="22"/>
  <c r="I168" i="13"/>
  <c r="F169" i="13"/>
  <c r="L56" i="7"/>
  <c r="L113" i="7"/>
  <c r="L181" i="7"/>
  <c r="L113" i="8"/>
  <c r="L432" i="8"/>
  <c r="L240" i="11"/>
  <c r="M48" i="7"/>
  <c r="K705" i="22"/>
  <c r="K681" i="22"/>
  <c r="K683" i="22"/>
  <c r="K709" i="22" s="1"/>
  <c r="J543" i="22"/>
  <c r="J583" i="22" s="1"/>
  <c r="J557" i="22"/>
  <c r="J519" i="22"/>
  <c r="J521" i="22"/>
  <c r="L449" i="8"/>
  <c r="L292" i="11"/>
  <c r="M139" i="10"/>
  <c r="L207" i="8"/>
  <c r="M207" i="8" s="1"/>
  <c r="L189" i="8"/>
  <c r="I175" i="26"/>
  <c r="M181" i="8"/>
  <c r="L182" i="8"/>
  <c r="L48" i="8"/>
  <c r="H223" i="26"/>
  <c r="K458" i="11"/>
  <c r="K455" i="11"/>
  <c r="E118" i="8"/>
  <c r="B138" i="8"/>
  <c r="E138" i="8" s="1"/>
  <c r="H1203" i="24"/>
  <c r="H1184" i="24" s="1"/>
  <c r="H1372" i="24"/>
  <c r="J522" i="11" s="1"/>
  <c r="J463" i="11" s="1"/>
  <c r="H1196" i="24"/>
  <c r="H901" i="22"/>
  <c r="H8" i="21" s="1"/>
  <c r="H903" i="22"/>
  <c r="J138" i="13"/>
  <c r="J111" i="13"/>
  <c r="J19" i="12"/>
  <c r="J12" i="12"/>
  <c r="L462" i="24"/>
  <c r="L316" i="9"/>
  <c r="L358" i="9"/>
  <c r="L370" i="9"/>
  <c r="L263" i="9"/>
  <c r="L214" i="9"/>
  <c r="L1084" i="24"/>
  <c r="O522" i="8"/>
  <c r="O185" i="10"/>
  <c r="M340" i="9"/>
  <c r="J219" i="12"/>
  <c r="G130" i="26"/>
  <c r="L254" i="7"/>
  <c r="M254" i="7" s="1"/>
  <c r="M228" i="7"/>
  <c r="L232" i="7"/>
  <c r="L229" i="7"/>
  <c r="E118" i="7"/>
  <c r="B138" i="7"/>
  <c r="E119" i="7"/>
  <c r="L250" i="22"/>
  <c r="L275" i="9"/>
  <c r="L226" i="9"/>
  <c r="O534" i="8"/>
  <c r="O197" i="10"/>
  <c r="L1096" i="24"/>
  <c r="M352" i="9"/>
  <c r="N103" i="11"/>
  <c r="N297" i="7"/>
  <c r="O577" i="8"/>
  <c r="O229" i="10"/>
  <c r="N90" i="10"/>
  <c r="N190" i="10"/>
  <c r="N214" i="10"/>
  <c r="N412" i="11"/>
  <c r="N107" i="12"/>
  <c r="K733" i="24"/>
  <c r="N56" i="10"/>
  <c r="N146" i="7"/>
  <c r="N192" i="10"/>
  <c r="K198" i="7"/>
  <c r="K32" i="11"/>
  <c r="K214" i="8"/>
  <c r="H186" i="26"/>
  <c r="K54" i="8"/>
  <c r="K57" i="8"/>
  <c r="K10" i="8"/>
  <c r="J695" i="22"/>
  <c r="J698" i="22"/>
  <c r="J703" i="22"/>
  <c r="L294" i="10"/>
  <c r="M294" i="10"/>
  <c r="E590" i="22"/>
  <c r="E631" i="22"/>
  <c r="E667" i="22"/>
  <c r="E658" i="22"/>
  <c r="E670" i="22"/>
  <c r="F658" i="22"/>
  <c r="F670" i="22"/>
  <c r="F590" i="22"/>
  <c r="F631" i="22"/>
  <c r="F667" i="22"/>
  <c r="M113" i="12"/>
  <c r="M110" i="12"/>
  <c r="M131" i="11"/>
  <c r="J1376" i="24"/>
  <c r="L526" i="11" s="1"/>
  <c r="L369" i="11"/>
  <c r="L43" i="12"/>
  <c r="L467" i="11"/>
  <c r="L324" i="11"/>
  <c r="L75" i="12" s="1"/>
  <c r="I108" i="26"/>
  <c r="M512" i="11"/>
  <c r="M324" i="11"/>
  <c r="D136" i="7"/>
  <c r="D23" i="8"/>
  <c r="D129" i="8"/>
  <c r="D483" i="8"/>
  <c r="B513" i="8"/>
  <c r="E513" i="8" s="1"/>
  <c r="E451" i="8"/>
  <c r="N69" i="7"/>
  <c r="E22" i="8"/>
  <c r="A202" i="26"/>
  <c r="L276" i="7"/>
  <c r="L501" i="8"/>
  <c r="L267" i="11"/>
  <c r="I101" i="26"/>
  <c r="M276" i="7"/>
  <c r="M184" i="7"/>
  <c r="M267" i="11"/>
  <c r="M501" i="8"/>
  <c r="K26" i="22"/>
  <c r="K38" i="22"/>
  <c r="J571" i="22"/>
  <c r="J532" i="22"/>
  <c r="J572" i="22" s="1"/>
  <c r="J544" i="22"/>
  <c r="J584" i="22" s="1"/>
  <c r="F123" i="26"/>
  <c r="H9" i="13"/>
  <c r="H32" i="13"/>
  <c r="L184" i="12"/>
  <c r="M184" i="12" s="1"/>
  <c r="M176" i="12"/>
  <c r="L177" i="12"/>
  <c r="G631" i="22"/>
  <c r="G667" i="22"/>
  <c r="G658" i="22"/>
  <c r="G670" i="22"/>
  <c r="G590" i="22"/>
  <c r="I648" i="22"/>
  <c r="K52" i="10"/>
  <c r="K49" i="10"/>
  <c r="K9" i="6"/>
  <c r="K18" i="6"/>
  <c r="K23" i="7"/>
  <c r="K129" i="7"/>
  <c r="K279" i="7"/>
  <c r="K136" i="8"/>
  <c r="K504" i="8"/>
  <c r="K277" i="11"/>
  <c r="H102" i="26"/>
  <c r="K11" i="7"/>
  <c r="K6" i="3"/>
  <c r="L76" i="11"/>
  <c r="L211" i="7"/>
  <c r="L81" i="11"/>
  <c r="M81" i="11" s="1"/>
  <c r="L69" i="11"/>
  <c r="M68" i="11"/>
  <c r="L281" i="8"/>
  <c r="L283" i="8"/>
  <c r="L292" i="8"/>
  <c r="M292" i="8" s="1"/>
  <c r="M279" i="8"/>
  <c r="K373" i="11"/>
  <c r="K189" i="12"/>
  <c r="H134" i="26"/>
  <c r="K366" i="11"/>
  <c r="K47" i="12"/>
  <c r="K40" i="12"/>
  <c r="L280" i="9"/>
  <c r="L256" i="9"/>
  <c r="L213" i="9"/>
  <c r="O521" i="8"/>
  <c r="O184" i="10"/>
  <c r="L1083" i="24"/>
  <c r="M339" i="9"/>
  <c r="K299" i="10"/>
  <c r="K302" i="10"/>
  <c r="M280" i="10"/>
  <c r="K106" i="8"/>
  <c r="L544" i="8"/>
  <c r="L549" i="8"/>
  <c r="M549" i="8" s="1"/>
  <c r="M536" i="8"/>
  <c r="K359" i="9"/>
  <c r="K362" i="9"/>
  <c r="K367" i="9"/>
  <c r="E132" i="7"/>
  <c r="E133" i="7"/>
  <c r="E119" i="8"/>
  <c r="E20" i="8"/>
  <c r="E452" i="8"/>
  <c r="M338" i="8"/>
  <c r="L148" i="12"/>
  <c r="M148" i="12" s="1"/>
  <c r="I222" i="26"/>
  <c r="M453" i="11"/>
  <c r="J169" i="13"/>
  <c r="C166" i="13"/>
  <c r="C171" i="13"/>
  <c r="E135" i="7"/>
  <c r="E23" i="8"/>
  <c r="E136" i="7"/>
  <c r="E129" i="8"/>
  <c r="E483" i="8"/>
  <c r="F9" i="4"/>
  <c r="D158" i="26"/>
  <c r="K13" i="22"/>
  <c r="K37" i="22"/>
  <c r="K15" i="22"/>
  <c r="K41" i="22" s="1"/>
  <c r="J419" i="22"/>
  <c r="J395" i="22"/>
  <c r="J397" i="22"/>
  <c r="J423" i="22" s="1"/>
  <c r="L141" i="10"/>
  <c r="N150" i="10"/>
  <c r="M115" i="10"/>
  <c r="L150" i="10"/>
  <c r="M150" i="10" s="1"/>
  <c r="L116" i="10"/>
  <c r="L119" i="10"/>
  <c r="J9" i="4"/>
  <c r="G158" i="26"/>
  <c r="N128" i="11"/>
  <c r="G70" i="26"/>
  <c r="I205" i="22"/>
  <c r="I198" i="22"/>
  <c r="J328" i="22"/>
  <c r="J321" i="22"/>
  <c r="J246" i="22"/>
  <c r="J239" i="22"/>
  <c r="J320" i="11"/>
  <c r="J71" i="12" s="1"/>
  <c r="J516" i="11"/>
  <c r="J365" i="11"/>
  <c r="J39" i="12"/>
  <c r="G105" i="26"/>
  <c r="J509" i="11"/>
  <c r="K182" i="12"/>
  <c r="K185" i="12"/>
  <c r="J234" i="8"/>
  <c r="J221" i="8"/>
  <c r="J13" i="11"/>
  <c r="J14" i="11"/>
  <c r="J377" i="11"/>
  <c r="M462" i="11"/>
  <c r="J390" i="11"/>
  <c r="J157" i="12"/>
  <c r="J340" i="7"/>
  <c r="I1146" i="24" l="1"/>
  <c r="L57" i="12"/>
  <c r="M57" i="12" s="1"/>
  <c r="M526" i="11"/>
  <c r="J201" i="12"/>
  <c r="G211" i="26"/>
  <c r="J321" i="11"/>
  <c r="G106" i="26"/>
  <c r="C23" i="13"/>
  <c r="C170" i="13"/>
  <c r="C172" i="13"/>
  <c r="L215" i="9"/>
  <c r="L239" i="9"/>
  <c r="L770" i="24"/>
  <c r="K197" i="12"/>
  <c r="K190" i="12"/>
  <c r="L296" i="8"/>
  <c r="M296" i="8" s="1"/>
  <c r="M283" i="8"/>
  <c r="J708" i="22"/>
  <c r="J711" i="22"/>
  <c r="J699" i="22"/>
  <c r="L12" i="16" s="1"/>
  <c r="L222" i="9"/>
  <c r="L771" i="24"/>
  <c r="N151" i="10"/>
  <c r="L151" i="10"/>
  <c r="M151" i="10" s="1"/>
  <c r="M116" i="10"/>
  <c r="M119" i="10"/>
  <c r="N158" i="10"/>
  <c r="L158" i="10"/>
  <c r="M158" i="10" s="1"/>
  <c r="M141" i="10"/>
  <c r="O262" i="8"/>
  <c r="O304" i="8"/>
  <c r="O305" i="8"/>
  <c r="O97" i="11"/>
  <c r="O54" i="11"/>
  <c r="O96" i="11"/>
  <c r="L1085" i="24"/>
  <c r="L1109" i="24"/>
  <c r="K79" i="12"/>
  <c r="L85" i="8"/>
  <c r="L294" i="8"/>
  <c r="M294" i="8" s="1"/>
  <c r="L285" i="8"/>
  <c r="L282" i="8"/>
  <c r="M281" i="8"/>
  <c r="L213" i="7"/>
  <c r="L215" i="7"/>
  <c r="M215" i="7" s="1"/>
  <c r="M211" i="7"/>
  <c r="L226" i="8"/>
  <c r="L239" i="8"/>
  <c r="M239" i="8" s="1"/>
  <c r="L30" i="11"/>
  <c r="L31" i="11"/>
  <c r="M31" i="11" s="1"/>
  <c r="L382" i="11"/>
  <c r="L395" i="11"/>
  <c r="L162" i="12"/>
  <c r="M162" i="12" s="1"/>
  <c r="L345" i="7"/>
  <c r="M345" i="7" s="1"/>
  <c r="M467" i="11"/>
  <c r="H187" i="26"/>
  <c r="K11" i="8"/>
  <c r="N154" i="7"/>
  <c r="O160" i="7"/>
  <c r="N298" i="7"/>
  <c r="O160" i="8"/>
  <c r="O578" i="8"/>
  <c r="K735" i="24"/>
  <c r="K759" i="24"/>
  <c r="K737" i="24"/>
  <c r="K763" i="24" s="1"/>
  <c r="N216" i="10"/>
  <c r="O231" i="10"/>
  <c r="N191" i="10"/>
  <c r="N194" i="10"/>
  <c r="O266" i="8"/>
  <c r="O317" i="8"/>
  <c r="O318" i="8"/>
  <c r="O137" i="11"/>
  <c r="O67" i="11"/>
  <c r="O136" i="11"/>
  <c r="L1104" i="24"/>
  <c r="M229" i="7"/>
  <c r="M232" i="7"/>
  <c r="O147" i="7"/>
  <c r="P589" i="8"/>
  <c r="O57" i="10"/>
  <c r="P226" i="10"/>
  <c r="O193" i="10"/>
  <c r="O409" i="11"/>
  <c r="O104" i="12"/>
  <c r="L730" i="24"/>
  <c r="L272" i="9"/>
  <c r="L928" i="22"/>
  <c r="L475" i="24"/>
  <c r="L463" i="24"/>
  <c r="J53" i="12"/>
  <c r="J530" i="11"/>
  <c r="J523" i="11"/>
  <c r="L56" i="8"/>
  <c r="M56" i="8" s="1"/>
  <c r="L9" i="8"/>
  <c r="L50" i="8"/>
  <c r="I176" i="26"/>
  <c r="M48" i="8"/>
  <c r="L215" i="8"/>
  <c r="M215" i="8" s="1"/>
  <c r="M189" i="8"/>
  <c r="J545" i="22"/>
  <c r="J585" i="22" s="1"/>
  <c r="J559" i="22"/>
  <c r="J520" i="22"/>
  <c r="J523" i="22"/>
  <c r="K707" i="22"/>
  <c r="K682" i="22"/>
  <c r="K685" i="22"/>
  <c r="L133" i="7"/>
  <c r="L119" i="8"/>
  <c r="L20" i="8"/>
  <c r="L452" i="8"/>
  <c r="L302" i="11"/>
  <c r="M56" i="7"/>
  <c r="I169" i="13"/>
  <c r="F31" i="13"/>
  <c r="L9" i="22"/>
  <c r="L33" i="22"/>
  <c r="K539" i="22"/>
  <c r="K579" i="22" s="1"/>
  <c r="K553" i="22"/>
  <c r="K515" i="22"/>
  <c r="N446" i="8"/>
  <c r="N282" i="11"/>
  <c r="I71" i="9"/>
  <c r="I1470" i="24"/>
  <c r="I1478" i="24" s="1"/>
  <c r="K399" i="11"/>
  <c r="K215" i="12"/>
  <c r="H127" i="26"/>
  <c r="K392" i="11"/>
  <c r="K230" i="8"/>
  <c r="K248" i="8"/>
  <c r="K223" i="8"/>
  <c r="L405" i="8"/>
  <c r="M405" i="8" s="1"/>
  <c r="L378" i="8"/>
  <c r="M365" i="8"/>
  <c r="L244" i="7"/>
  <c r="L249" i="7"/>
  <c r="M249" i="7" s="1"/>
  <c r="M236" i="7"/>
  <c r="I904" i="22"/>
  <c r="I897" i="22"/>
  <c r="J202" i="22"/>
  <c r="J204" i="22"/>
  <c r="K127" i="13"/>
  <c r="K143" i="13" s="1"/>
  <c r="K133" i="13"/>
  <c r="H73" i="26"/>
  <c r="I1181" i="24"/>
  <c r="K489" i="11"/>
  <c r="K486" i="11"/>
  <c r="P581" i="8"/>
  <c r="P242" i="10"/>
  <c r="O425" i="11"/>
  <c r="O120" i="12"/>
  <c r="L746" i="24"/>
  <c r="K213" i="8"/>
  <c r="K204" i="8"/>
  <c r="K216" i="8"/>
  <c r="N113" i="10"/>
  <c r="K776" i="24"/>
  <c r="K800" i="24"/>
  <c r="K778" i="24"/>
  <c r="K804" i="24" s="1"/>
  <c r="M74" i="7"/>
  <c r="K570" i="22"/>
  <c r="J178" i="26"/>
  <c r="K522" i="22"/>
  <c r="K554" i="22"/>
  <c r="N155" i="11"/>
  <c r="N157" i="11"/>
  <c r="N239" i="7"/>
  <c r="N193" i="11"/>
  <c r="N284" i="8"/>
  <c r="N293" i="8"/>
  <c r="K107" i="8"/>
  <c r="N127" i="10"/>
  <c r="K801" i="24"/>
  <c r="K789" i="24"/>
  <c r="J502" i="22"/>
  <c r="J664" i="22" s="1"/>
  <c r="J624" i="22"/>
  <c r="M77" i="10"/>
  <c r="E288" i="7"/>
  <c r="E289" i="7"/>
  <c r="K276" i="9"/>
  <c r="K289" i="9" s="1"/>
  <c r="K227" i="9"/>
  <c r="N198" i="10"/>
  <c r="N535" i="8"/>
  <c r="K1097" i="24"/>
  <c r="K281" i="9"/>
  <c r="K269" i="9"/>
  <c r="L353" i="9"/>
  <c r="M33" i="8"/>
  <c r="L34" i="8"/>
  <c r="M34" i="8" s="1"/>
  <c r="J204" i="26"/>
  <c r="P590" i="8"/>
  <c r="P230" i="10"/>
  <c r="O413" i="11"/>
  <c r="O108" i="12"/>
  <c r="L734" i="24"/>
  <c r="L379" i="8"/>
  <c r="L406" i="8"/>
  <c r="M406" i="8" s="1"/>
  <c r="M366" i="8"/>
  <c r="B172" i="13"/>
  <c r="E166" i="13"/>
  <c r="B23" i="13"/>
  <c r="B170" i="13"/>
  <c r="L258" i="9"/>
  <c r="L923" i="22"/>
  <c r="L474" i="24"/>
  <c r="L450" i="24"/>
  <c r="L452" i="24"/>
  <c r="L478" i="24" s="1"/>
  <c r="I26" i="8"/>
  <c r="J252" i="22"/>
  <c r="E25" i="8"/>
  <c r="A203" i="26"/>
  <c r="M44" i="10"/>
  <c r="J19" i="10"/>
  <c r="I656" i="22"/>
  <c r="I649" i="22"/>
  <c r="H23" i="13"/>
  <c r="H170" i="13"/>
  <c r="H20" i="6" s="1"/>
  <c r="H172" i="13"/>
  <c r="K558" i="22"/>
  <c r="J485" i="11"/>
  <c r="J511" i="11"/>
  <c r="J14" i="12"/>
  <c r="J497" i="11"/>
  <c r="H1146" i="24" s="1"/>
  <c r="J117" i="13"/>
  <c r="J115" i="13"/>
  <c r="J116" i="13"/>
  <c r="I187" i="22"/>
  <c r="I200" i="22"/>
  <c r="J228" i="22"/>
  <c r="J241" i="22"/>
  <c r="J323" i="22"/>
  <c r="J310" i="22"/>
  <c r="H1198" i="24"/>
  <c r="H896" i="22"/>
  <c r="G71" i="26"/>
  <c r="J487" i="11"/>
  <c r="I573" i="22"/>
  <c r="I576" i="22"/>
  <c r="I546" i="22"/>
  <c r="I537" i="22"/>
  <c r="I549" i="22"/>
  <c r="N227" i="7"/>
  <c r="N118" i="11"/>
  <c r="N190" i="11"/>
  <c r="N123" i="11"/>
  <c r="E25" i="7"/>
  <c r="E26" i="7"/>
  <c r="M32" i="10"/>
  <c r="L284" i="10"/>
  <c r="P32" i="10"/>
  <c r="M24" i="10"/>
  <c r="M284" i="10"/>
  <c r="L25" i="10"/>
  <c r="J31" i="22"/>
  <c r="J40" i="22"/>
  <c r="J43" i="22"/>
  <c r="L97" i="8"/>
  <c r="M97" i="8" s="1"/>
  <c r="L75" i="8"/>
  <c r="M65" i="8"/>
  <c r="O244" i="10"/>
  <c r="O296" i="7"/>
  <c r="P576" i="8"/>
  <c r="O186" i="10"/>
  <c r="O210" i="10"/>
  <c r="P225" i="10"/>
  <c r="O89" i="10"/>
  <c r="O408" i="11"/>
  <c r="O103" i="12"/>
  <c r="L729" i="24"/>
  <c r="L85" i="7"/>
  <c r="L89" i="11"/>
  <c r="M89" i="11" s="1"/>
  <c r="M76" i="11"/>
  <c r="F124" i="26"/>
  <c r="H15" i="6"/>
  <c r="N98" i="10"/>
  <c r="N23" i="10"/>
  <c r="N58" i="10"/>
  <c r="O147" i="8"/>
  <c r="O530" i="8"/>
  <c r="L187" i="8"/>
  <c r="L190" i="8"/>
  <c r="L208" i="8"/>
  <c r="M208" i="8" s="1"/>
  <c r="M182" i="8"/>
  <c r="N188" i="8"/>
  <c r="N206" i="8"/>
  <c r="J174" i="26"/>
  <c r="K349" i="7"/>
  <c r="K342" i="7"/>
  <c r="K386" i="11"/>
  <c r="K202" i="12"/>
  <c r="H212" i="26"/>
  <c r="K379" i="11"/>
  <c r="L410" i="8"/>
  <c r="M410" i="8" s="1"/>
  <c r="M370" i="8"/>
  <c r="L207" i="11"/>
  <c r="M207" i="11" s="1"/>
  <c r="M167" i="11"/>
  <c r="M11" i="12"/>
  <c r="L488" i="11"/>
  <c r="J1184" i="24" s="1"/>
  <c r="M480" i="11"/>
  <c r="M488" i="11"/>
  <c r="L494" i="11"/>
  <c r="L508" i="11"/>
  <c r="L11" i="12"/>
  <c r="K184" i="22"/>
  <c r="L104" i="13"/>
  <c r="L105" i="13"/>
  <c r="L106" i="13"/>
  <c r="L307" i="22"/>
  <c r="K197" i="22"/>
  <c r="L225" i="22"/>
  <c r="L238" i="22"/>
  <c r="L320" i="22"/>
  <c r="J899" i="22"/>
  <c r="J1195" i="24"/>
  <c r="I69" i="26"/>
  <c r="J1143" i="24"/>
  <c r="L481" i="11"/>
  <c r="M481" i="11"/>
  <c r="I1148" i="24"/>
  <c r="I1152" i="24" s="1"/>
  <c r="I1160" i="24"/>
  <c r="I1150" i="24"/>
  <c r="K325" i="22"/>
  <c r="K327" i="22"/>
  <c r="J189" i="22"/>
  <c r="J213" i="22"/>
  <c r="J191" i="22"/>
  <c r="J217" i="22" s="1"/>
  <c r="K126" i="13"/>
  <c r="K142" i="13" s="1"/>
  <c r="K132" i="13"/>
  <c r="K499" i="11"/>
  <c r="K28" i="12"/>
  <c r="K501" i="11"/>
  <c r="J652" i="22"/>
  <c r="K245" i="9"/>
  <c r="K220" i="9"/>
  <c r="K223" i="9"/>
  <c r="K453" i="22"/>
  <c r="K485" i="22"/>
  <c r="K607" i="22"/>
  <c r="N123" i="7"/>
  <c r="N116" i="8"/>
  <c r="N442" i="8"/>
  <c r="N271" i="11"/>
  <c r="L431" i="11"/>
  <c r="L428" i="11"/>
  <c r="L436" i="11"/>
  <c r="M436" i="11" s="1"/>
  <c r="M423" i="11"/>
  <c r="L16" i="22"/>
  <c r="K398" i="22"/>
  <c r="N52" i="8"/>
  <c r="N195" i="8"/>
  <c r="J181" i="26"/>
  <c r="N85" i="11"/>
  <c r="N212" i="7"/>
  <c r="N73" i="11"/>
  <c r="N402" i="8"/>
  <c r="N375" i="8"/>
  <c r="M95" i="10"/>
  <c r="L99" i="10"/>
  <c r="L96" i="10"/>
  <c r="L126" i="12"/>
  <c r="L123" i="12"/>
  <c r="L131" i="12"/>
  <c r="M131" i="12" s="1"/>
  <c r="M118" i="12"/>
  <c r="N253" i="10"/>
  <c r="M253" i="10"/>
  <c r="L253" i="10"/>
  <c r="M212" i="10"/>
  <c r="I211" i="22"/>
  <c r="K150" i="12"/>
  <c r="K153" i="12"/>
  <c r="J466" i="22"/>
  <c r="J480" i="22"/>
  <c r="J602" i="22"/>
  <c r="J464" i="22"/>
  <c r="J478" i="22"/>
  <c r="J640" i="22" s="1"/>
  <c r="J600" i="22"/>
  <c r="J442" i="22"/>
  <c r="J439" i="22"/>
  <c r="I25" i="8"/>
  <c r="D203" i="26"/>
  <c r="K464" i="24"/>
  <c r="K467" i="24"/>
  <c r="K472" i="24"/>
  <c r="K29" i="21" s="1"/>
  <c r="K31" i="21" s="1"/>
  <c r="N143" i="12"/>
  <c r="J218" i="26"/>
  <c r="O276" i="8"/>
  <c r="O349" i="8"/>
  <c r="O348" i="8"/>
  <c r="O113" i="11"/>
  <c r="O59" i="11"/>
  <c r="O114" i="11"/>
  <c r="L152" i="12"/>
  <c r="M152" i="12" s="1"/>
  <c r="M144" i="12"/>
  <c r="L145" i="12"/>
  <c r="L53" i="7"/>
  <c r="L467" i="8"/>
  <c r="L197" i="8"/>
  <c r="L47" i="10"/>
  <c r="L131" i="10"/>
  <c r="L254" i="11"/>
  <c r="J446" i="22"/>
  <c r="J403" i="22"/>
  <c r="J527" i="22"/>
  <c r="I97" i="26"/>
  <c r="K21" i="22"/>
  <c r="K689" i="22"/>
  <c r="L124" i="10"/>
  <c r="L136" i="10"/>
  <c r="L183" i="7"/>
  <c r="L79" i="10"/>
  <c r="M254" i="11"/>
  <c r="M467" i="8"/>
  <c r="M123" i="10"/>
  <c r="N528" i="8"/>
  <c r="N555" i="8"/>
  <c r="N553" i="8"/>
  <c r="N531" i="8"/>
  <c r="J341" i="22"/>
  <c r="M50" i="7"/>
  <c r="M17" i="10"/>
  <c r="K17" i="10"/>
  <c r="L17" i="10" s="1"/>
  <c r="M9" i="10"/>
  <c r="B8" i="15"/>
  <c r="K318" i="9"/>
  <c r="K321" i="9"/>
  <c r="K326" i="9"/>
  <c r="M544" i="8"/>
  <c r="M541" i="8"/>
  <c r="L554" i="8"/>
  <c r="L545" i="8"/>
  <c r="L557" i="8"/>
  <c r="L168" i="11"/>
  <c r="L146" i="11"/>
  <c r="L237" i="7"/>
  <c r="L182" i="11"/>
  <c r="M182" i="11" s="1"/>
  <c r="M142" i="11"/>
  <c r="J1107" i="24"/>
  <c r="J1119" i="24"/>
  <c r="J1116" i="24"/>
  <c r="I500" i="22"/>
  <c r="I662" i="22" s="1"/>
  <c r="I622" i="22"/>
  <c r="I171" i="13"/>
  <c r="J246" i="9"/>
  <c r="J237" i="9"/>
  <c r="J249" i="9"/>
  <c r="N352" i="11"/>
  <c r="K1115" i="24"/>
  <c r="K1093" i="24"/>
  <c r="K1090" i="24"/>
  <c r="N335" i="8"/>
  <c r="N389" i="8"/>
  <c r="N313" i="8"/>
  <c r="M74" i="8"/>
  <c r="K193" i="13"/>
  <c r="I1165" i="24"/>
  <c r="I1158" i="24"/>
  <c r="L52" i="12"/>
  <c r="M521" i="11"/>
  <c r="E16" i="3"/>
  <c r="A155" i="26"/>
  <c r="E26" i="8"/>
  <c r="E514" i="8"/>
  <c r="E17" i="3"/>
  <c r="E10" i="6"/>
  <c r="E139" i="8"/>
  <c r="M62" i="10"/>
  <c r="L66" i="10"/>
  <c r="L63" i="10"/>
  <c r="L75" i="7"/>
  <c r="L97" i="7"/>
  <c r="M97" i="7" s="1"/>
  <c r="M65" i="7"/>
  <c r="N166" i="7"/>
  <c r="M152" i="7"/>
  <c r="Q166" i="7"/>
  <c r="L156" i="7"/>
  <c r="L153" i="7"/>
  <c r="K748" i="24"/>
  <c r="K760" i="24"/>
  <c r="J214" i="12"/>
  <c r="G126" i="26"/>
  <c r="J193" i="7"/>
  <c r="J15" i="11"/>
  <c r="J47" i="12"/>
  <c r="J40" i="12"/>
  <c r="H135" i="26"/>
  <c r="H103" i="26"/>
  <c r="K51" i="13"/>
  <c r="K55" i="13"/>
  <c r="I1214" i="24"/>
  <c r="I1213" i="24"/>
  <c r="K52" i="13"/>
  <c r="K56" i="13"/>
  <c r="J56" i="13" s="1"/>
  <c r="I1218" i="24"/>
  <c r="I1217" i="24"/>
  <c r="K7" i="3"/>
  <c r="M177" i="12"/>
  <c r="M43" i="12"/>
  <c r="M75" i="12"/>
  <c r="N91" i="10"/>
  <c r="N64" i="10"/>
  <c r="N109" i="12"/>
  <c r="N133" i="12"/>
  <c r="N111" i="12"/>
  <c r="O150" i="7"/>
  <c r="P580" i="8"/>
  <c r="P238" i="10"/>
  <c r="O60" i="10"/>
  <c r="O205" i="10"/>
  <c r="O421" i="11"/>
  <c r="O116" i="12"/>
  <c r="L742" i="24"/>
  <c r="H224" i="26"/>
  <c r="O149" i="10"/>
  <c r="J247" i="8"/>
  <c r="J189" i="12"/>
  <c r="J373" i="11"/>
  <c r="G134" i="26"/>
  <c r="J366" i="11"/>
  <c r="J222" i="8"/>
  <c r="J235" i="8"/>
  <c r="J17" i="11"/>
  <c r="J21" i="11" s="1"/>
  <c r="J391" i="11"/>
  <c r="J392" i="11" s="1"/>
  <c r="J158" i="12"/>
  <c r="J18" i="11"/>
  <c r="J378" i="11"/>
  <c r="J379" i="11" s="1"/>
  <c r="J341" i="7"/>
  <c r="H67" i="9"/>
  <c r="H1474" i="24" s="1"/>
  <c r="H1488" i="24" s="1"/>
  <c r="H1492" i="24" s="1"/>
  <c r="H63" i="9"/>
  <c r="H1177" i="24"/>
  <c r="N70" i="7"/>
  <c r="N81" i="8"/>
  <c r="J421" i="22"/>
  <c r="J399" i="22"/>
  <c r="J396" i="22"/>
  <c r="K39" i="22"/>
  <c r="K14" i="22"/>
  <c r="K17" i="22"/>
  <c r="K372" i="9"/>
  <c r="K375" i="9"/>
  <c r="K363" i="9"/>
  <c r="O523" i="8"/>
  <c r="O547" i="8"/>
  <c r="L74" i="11"/>
  <c r="L77" i="11"/>
  <c r="L82" i="11"/>
  <c r="M82" i="11" s="1"/>
  <c r="M69" i="11"/>
  <c r="L193" i="12"/>
  <c r="M193" i="12" s="1"/>
  <c r="I137" i="26"/>
  <c r="M369" i="11"/>
  <c r="N414" i="11"/>
  <c r="N438" i="11"/>
  <c r="N416" i="11"/>
  <c r="O150" i="8"/>
  <c r="O542" i="8"/>
  <c r="E138" i="7"/>
  <c r="E139" i="7"/>
  <c r="O345" i="8"/>
  <c r="O275" i="8"/>
  <c r="O344" i="8"/>
  <c r="O101" i="11"/>
  <c r="O55" i="11"/>
  <c r="O100" i="11"/>
  <c r="L1092" i="24"/>
  <c r="H1380" i="24"/>
  <c r="H1373" i="24"/>
  <c r="M181" i="7"/>
  <c r="K391" i="22"/>
  <c r="K415" i="22"/>
  <c r="N263" i="7"/>
  <c r="N488" i="8"/>
  <c r="N226" i="11"/>
  <c r="J91" i="26"/>
  <c r="K44" i="11"/>
  <c r="K22" i="11"/>
  <c r="L171" i="11"/>
  <c r="L185" i="11"/>
  <c r="M185" i="11" s="1"/>
  <c r="M145" i="11"/>
  <c r="I1200" i="24"/>
  <c r="I1375" i="24"/>
  <c r="I1202" i="24"/>
  <c r="I1183" i="24" s="1"/>
  <c r="K243" i="22"/>
  <c r="K245" i="22"/>
  <c r="K312" i="22"/>
  <c r="K336" i="22"/>
  <c r="K314" i="22"/>
  <c r="K340" i="22" s="1"/>
  <c r="K16" i="12"/>
  <c r="K18" i="12"/>
  <c r="J503" i="22"/>
  <c r="J665" i="22" s="1"/>
  <c r="J625" i="22"/>
  <c r="O267" i="8"/>
  <c r="O322" i="8"/>
  <c r="O321" i="8"/>
  <c r="O149" i="11"/>
  <c r="O71" i="11"/>
  <c r="O150" i="11"/>
  <c r="K489" i="22"/>
  <c r="K651" i="22" s="1"/>
  <c r="K611" i="22"/>
  <c r="L28" i="22"/>
  <c r="K566" i="22"/>
  <c r="K534" i="22"/>
  <c r="K574" i="22" s="1"/>
  <c r="L221" i="8"/>
  <c r="L234" i="8"/>
  <c r="L14" i="11"/>
  <c r="M14" i="11" s="1"/>
  <c r="L13" i="11"/>
  <c r="L377" i="11"/>
  <c r="L390" i="11"/>
  <c r="L157" i="12"/>
  <c r="M157" i="12" s="1"/>
  <c r="L340" i="7"/>
  <c r="M340" i="7" s="1"/>
  <c r="M102" i="13"/>
  <c r="L192" i="13"/>
  <c r="L684" i="22"/>
  <c r="K473" i="22"/>
  <c r="K635" i="22" s="1"/>
  <c r="K595" i="22"/>
  <c r="K441" i="22"/>
  <c r="N116" i="7"/>
  <c r="N123" i="8"/>
  <c r="N463" i="8"/>
  <c r="N243" i="11"/>
  <c r="N566" i="8"/>
  <c r="N180" i="12"/>
  <c r="K1073" i="24"/>
  <c r="N484" i="11" s="1"/>
  <c r="N194" i="11"/>
  <c r="N240" i="7"/>
  <c r="N158" i="11"/>
  <c r="L138" i="12"/>
  <c r="M138" i="12" s="1"/>
  <c r="M125" i="12"/>
  <c r="J172" i="13"/>
  <c r="J170" i="13"/>
  <c r="M394" i="8"/>
  <c r="M391" i="8"/>
  <c r="M328" i="8"/>
  <c r="M340" i="8"/>
  <c r="M337" i="8"/>
  <c r="M155" i="8"/>
  <c r="L153" i="8"/>
  <c r="N81" i="7"/>
  <c r="N70" i="8"/>
  <c r="I138" i="7"/>
  <c r="I139" i="7"/>
  <c r="F139" i="7"/>
  <c r="N479" i="11"/>
  <c r="E171" i="13"/>
  <c r="I220" i="26"/>
  <c r="M450" i="11"/>
  <c r="N154" i="8"/>
  <c r="N32" i="8"/>
  <c r="N148" i="8"/>
  <c r="L371" i="9"/>
  <c r="L346" i="9"/>
  <c r="L349" i="9"/>
  <c r="I17" i="3"/>
  <c r="I139" i="8"/>
  <c r="J33" i="12"/>
  <c r="J26" i="12"/>
  <c r="J259" i="22"/>
  <c r="L8" i="6"/>
  <c r="L17" i="6"/>
  <c r="L119" i="7"/>
  <c r="L20" i="7"/>
  <c r="L269" i="7"/>
  <c r="L133" i="8"/>
  <c r="L494" i="8"/>
  <c r="L246" i="11"/>
  <c r="I95" i="26"/>
  <c r="M9" i="7"/>
  <c r="K61" i="12"/>
  <c r="K166" i="12" s="1"/>
  <c r="K54" i="12"/>
  <c r="L143" i="11"/>
  <c r="L170" i="11"/>
  <c r="L184" i="11"/>
  <c r="M184" i="11" s="1"/>
  <c r="M144" i="11"/>
  <c r="L206" i="11"/>
  <c r="M206" i="11" s="1"/>
  <c r="M166" i="11"/>
  <c r="L565" i="8"/>
  <c r="L357" i="11"/>
  <c r="L452" i="11"/>
  <c r="L179" i="12"/>
  <c r="J1072" i="24"/>
  <c r="L359" i="11"/>
  <c r="M355" i="11"/>
  <c r="I507" i="22"/>
  <c r="I669" i="22" s="1"/>
  <c r="I629" i="22"/>
  <c r="I495" i="22"/>
  <c r="I617" i="22"/>
  <c r="I492" i="22"/>
  <c r="I614" i="22"/>
  <c r="I456" i="22"/>
  <c r="I465" i="22"/>
  <c r="I468" i="22"/>
  <c r="J182" i="26"/>
  <c r="G23" i="13"/>
  <c r="G170" i="13"/>
  <c r="G172" i="13"/>
  <c r="E169" i="13"/>
  <c r="B31" i="13"/>
  <c r="N226" i="7"/>
  <c r="N189" i="11"/>
  <c r="N111" i="11"/>
  <c r="N117" i="11"/>
  <c r="N122" i="11"/>
  <c r="N334" i="8"/>
  <c r="N310" i="8"/>
  <c r="N388" i="8"/>
  <c r="N312" i="8"/>
  <c r="M24" i="12"/>
  <c r="J752" i="24"/>
  <c r="J749" i="24"/>
  <c r="J757" i="24"/>
  <c r="M296" i="10"/>
  <c r="N169" i="7"/>
  <c r="N38" i="8"/>
  <c r="N166" i="8"/>
  <c r="N596" i="8"/>
  <c r="N599" i="8"/>
  <c r="L596" i="8"/>
  <c r="M38" i="8"/>
  <c r="L169" i="7"/>
  <c r="L599" i="8"/>
  <c r="M166" i="8"/>
  <c r="M596" i="8"/>
  <c r="M169" i="7"/>
  <c r="L38" i="8"/>
  <c r="M599" i="8"/>
  <c r="M155" i="7"/>
  <c r="L166" i="8"/>
  <c r="N318" i="7"/>
  <c r="N610" i="8"/>
  <c r="J17" i="21"/>
  <c r="J19" i="21" s="1"/>
  <c r="L610" i="8"/>
  <c r="M610" i="8"/>
  <c r="M304" i="7"/>
  <c r="L318" i="7"/>
  <c r="M318" i="7"/>
  <c r="N38" i="7"/>
  <c r="N169" i="8"/>
  <c r="N608" i="8"/>
  <c r="M33" i="7"/>
  <c r="Q608" i="8"/>
  <c r="Q169" i="8"/>
  <c r="Q38" i="7"/>
  <c r="L34" i="7"/>
  <c r="O315" i="7"/>
  <c r="O607" i="8"/>
  <c r="N134" i="12"/>
  <c r="N122" i="12"/>
  <c r="K12" i="3"/>
  <c r="K107" i="7"/>
  <c r="J236" i="8"/>
  <c r="M234" i="8"/>
  <c r="J471" i="11"/>
  <c r="J328" i="11"/>
  <c r="M341" i="9"/>
  <c r="M365" i="9"/>
  <c r="M444" i="24"/>
  <c r="M298" i="9"/>
  <c r="K72" i="12"/>
  <c r="K159" i="12"/>
  <c r="K335" i="7"/>
  <c r="K58" i="8"/>
  <c r="K55" i="8"/>
  <c r="O233" i="10"/>
  <c r="N218" i="10"/>
  <c r="O585" i="8"/>
  <c r="O255" i="10"/>
  <c r="N305" i="7"/>
  <c r="O311" i="7"/>
  <c r="O603" i="8"/>
  <c r="N32" i="7"/>
  <c r="N148" i="7"/>
  <c r="M360" i="9"/>
  <c r="M457" i="24"/>
  <c r="M311" i="9"/>
  <c r="L234" i="9"/>
  <c r="L783" i="24"/>
  <c r="M348" i="9"/>
  <c r="M445" i="24"/>
  <c r="M299" i="9"/>
  <c r="L317" i="9"/>
  <c r="L329" i="9"/>
  <c r="J547" i="22"/>
  <c r="J587" i="22" s="1"/>
  <c r="J561" i="22"/>
  <c r="L701" i="22"/>
  <c r="L677" i="22"/>
  <c r="K458" i="22"/>
  <c r="K472" i="22"/>
  <c r="K634" i="22" s="1"/>
  <c r="K594" i="22"/>
  <c r="K434" i="22"/>
  <c r="K194" i="7"/>
  <c r="K19" i="11"/>
  <c r="K43" i="11"/>
  <c r="K21" i="11"/>
  <c r="K243" i="8"/>
  <c r="K236" i="8"/>
  <c r="E307" i="11"/>
  <c r="E308" i="11"/>
  <c r="L364" i="8"/>
  <c r="L367" i="8"/>
  <c r="L399" i="8"/>
  <c r="M399" i="8" s="1"/>
  <c r="L372" i="8"/>
  <c r="M359" i="8"/>
  <c r="I206" i="26"/>
  <c r="M563" i="8"/>
  <c r="K254" i="22"/>
  <c r="K230" i="22"/>
  <c r="K232" i="22"/>
  <c r="K258" i="22" s="1"/>
  <c r="K125" i="13"/>
  <c r="K141" i="13" s="1"/>
  <c r="K118" i="13"/>
  <c r="K131" i="13"/>
  <c r="K466" i="11"/>
  <c r="K323" i="11"/>
  <c r="K74" i="12" s="1"/>
  <c r="K368" i="11"/>
  <c r="K513" i="11"/>
  <c r="K42" i="12"/>
  <c r="H107" i="26"/>
  <c r="K515" i="11"/>
  <c r="H210" i="26"/>
  <c r="J491" i="22"/>
  <c r="J653" i="22" s="1"/>
  <c r="J613" i="22"/>
  <c r="M461" i="24"/>
  <c r="M315" i="9"/>
  <c r="L787" i="24"/>
  <c r="L696" i="22"/>
  <c r="K410" i="22"/>
  <c r="N49" i="8"/>
  <c r="N186" i="8"/>
  <c r="J177" i="26"/>
  <c r="L188" i="12"/>
  <c r="I133" i="26"/>
  <c r="M364" i="11"/>
  <c r="M70" i="12"/>
  <c r="M38" i="12"/>
  <c r="L443" i="11"/>
  <c r="M443" i="11" s="1"/>
  <c r="M430" i="11"/>
  <c r="N363" i="8"/>
  <c r="N374" i="8"/>
  <c r="N401" i="8"/>
  <c r="N245" i="10"/>
  <c r="N248" i="10"/>
  <c r="M204" i="10"/>
  <c r="Q245" i="10"/>
  <c r="Q248" i="10"/>
  <c r="M207" i="10"/>
  <c r="L208" i="10"/>
  <c r="L217" i="10"/>
  <c r="L220" i="10"/>
  <c r="K156" i="10"/>
  <c r="K159" i="10"/>
  <c r="J139" i="13"/>
  <c r="J108" i="13"/>
  <c r="J112" i="13"/>
  <c r="I218" i="22"/>
  <c r="J638" i="22"/>
  <c r="K941" i="22"/>
  <c r="K919" i="22"/>
  <c r="K945" i="22" s="1"/>
  <c r="K916" i="22"/>
  <c r="M152" i="8"/>
  <c r="L156" i="8"/>
  <c r="M449" i="24"/>
  <c r="M303" i="9"/>
  <c r="L775" i="24"/>
  <c r="L411" i="8"/>
  <c r="M411" i="8" s="1"/>
  <c r="M371" i="8"/>
  <c r="D23" i="13"/>
  <c r="D170" i="13"/>
  <c r="D20" i="6" s="1"/>
  <c r="E20" i="6" s="1"/>
  <c r="D172" i="13"/>
  <c r="J793" i="24"/>
  <c r="J790" i="24"/>
  <c r="J798" i="24"/>
  <c r="L304" i="9"/>
  <c r="L328" i="9"/>
  <c r="L306" i="9"/>
  <c r="L332" i="9" s="1"/>
  <c r="J334" i="22"/>
  <c r="J193" i="13"/>
  <c r="H1165" i="24"/>
  <c r="H1158" i="24"/>
  <c r="L286" i="7"/>
  <c r="L511" i="8"/>
  <c r="L298" i="11"/>
  <c r="M188" i="7"/>
  <c r="E155" i="26"/>
  <c r="M120" i="11"/>
  <c r="M129" i="11"/>
  <c r="M132" i="11"/>
  <c r="M199" i="11"/>
  <c r="M196" i="11"/>
  <c r="L243" i="7"/>
  <c r="L248" i="7"/>
  <c r="M248" i="7" s="1"/>
  <c r="M235" i="7"/>
  <c r="K477" i="22"/>
  <c r="K639" i="22" s="1"/>
  <c r="K599" i="22"/>
  <c r="H1075" i="24"/>
  <c r="H1078" i="24"/>
  <c r="F172" i="13"/>
  <c r="I166" i="13"/>
  <c r="F23" i="13"/>
  <c r="F170" i="13"/>
  <c r="N208" i="7"/>
  <c r="N60" i="11"/>
  <c r="N84" i="11"/>
  <c r="N62" i="11"/>
  <c r="N271" i="8"/>
  <c r="N289" i="8"/>
  <c r="N264" i="8"/>
  <c r="C124" i="26"/>
  <c r="D15" i="6"/>
  <c r="E15" i="6" s="1"/>
  <c r="N260" i="10"/>
  <c r="M219" i="10"/>
  <c r="L260" i="10"/>
  <c r="M260" i="10"/>
  <c r="L286" i="10"/>
  <c r="M286" i="10"/>
  <c r="M97" i="10"/>
  <c r="I425" i="22"/>
  <c r="I422" i="22"/>
  <c r="I413" i="22"/>
  <c r="I1384" i="24" s="1"/>
  <c r="N316" i="7"/>
  <c r="Q316" i="7"/>
  <c r="M302" i="7"/>
  <c r="L306" i="7"/>
  <c r="L303" i="7"/>
  <c r="O598" i="8"/>
  <c r="O256" i="10"/>
  <c r="N427" i="11"/>
  <c r="N439" i="11"/>
  <c r="I1149" i="24" l="1"/>
  <c r="G128" i="26"/>
  <c r="G213" i="26"/>
  <c r="J63" i="7"/>
  <c r="J63" i="8"/>
  <c r="H1148" i="24"/>
  <c r="H1160" i="24"/>
  <c r="H1150" i="24"/>
  <c r="N320" i="7"/>
  <c r="N317" i="7"/>
  <c r="M320" i="7"/>
  <c r="M306" i="7"/>
  <c r="L317" i="7"/>
  <c r="M303" i="7"/>
  <c r="M317" i="7"/>
  <c r="L320" i="7"/>
  <c r="N297" i="8"/>
  <c r="M243" i="7"/>
  <c r="L256" i="7"/>
  <c r="M256" i="7" s="1"/>
  <c r="L330" i="9"/>
  <c r="L305" i="9"/>
  <c r="L308" i="9"/>
  <c r="N249" i="10"/>
  <c r="N258" i="10"/>
  <c r="N261" i="10"/>
  <c r="L258" i="10"/>
  <c r="M261" i="10"/>
  <c r="M208" i="10"/>
  <c r="L261" i="10"/>
  <c r="M258" i="10"/>
  <c r="L249" i="10"/>
  <c r="M217" i="10"/>
  <c r="M220" i="10"/>
  <c r="M249" i="10"/>
  <c r="K44" i="12"/>
  <c r="K46" i="12"/>
  <c r="O259" i="10"/>
  <c r="N64" i="8"/>
  <c r="N269" i="8"/>
  <c r="N290" i="8"/>
  <c r="N272" i="8"/>
  <c r="N64" i="7"/>
  <c r="N88" i="11"/>
  <c r="N216" i="7"/>
  <c r="N209" i="7"/>
  <c r="J201" i="13"/>
  <c r="J194" i="13"/>
  <c r="M259" i="9"/>
  <c r="M924" i="22"/>
  <c r="K942" i="22"/>
  <c r="K917" i="22"/>
  <c r="K920" i="22"/>
  <c r="K468" i="11"/>
  <c r="K325" i="11"/>
  <c r="H109" i="26"/>
  <c r="K517" i="11"/>
  <c r="K514" i="11"/>
  <c r="K256" i="22"/>
  <c r="K231" i="22"/>
  <c r="K234" i="22"/>
  <c r="L404" i="8"/>
  <c r="L368" i="8"/>
  <c r="L407" i="8"/>
  <c r="L380" i="8"/>
  <c r="L377" i="8"/>
  <c r="M367" i="8"/>
  <c r="M364" i="8"/>
  <c r="K202" i="7"/>
  <c r="K195" i="7"/>
  <c r="K498" i="22"/>
  <c r="K660" i="22" s="1"/>
  <c r="K620" i="22"/>
  <c r="M307" i="9"/>
  <c r="M319" i="9"/>
  <c r="M300" i="9"/>
  <c r="M324" i="9"/>
  <c r="N39" i="7"/>
  <c r="N39" i="8"/>
  <c r="N170" i="8"/>
  <c r="N167" i="8"/>
  <c r="N609" i="8"/>
  <c r="N612" i="8"/>
  <c r="N600" i="8"/>
  <c r="L170" i="8"/>
  <c r="M39" i="7"/>
  <c r="M609" i="8"/>
  <c r="L39" i="7"/>
  <c r="L600" i="8"/>
  <c r="M167" i="8"/>
  <c r="M34" i="7"/>
  <c r="M612" i="8"/>
  <c r="M39" i="8"/>
  <c r="L39" i="8"/>
  <c r="L609" i="8"/>
  <c r="M170" i="8"/>
  <c r="L167" i="8"/>
  <c r="L612" i="8"/>
  <c r="M600" i="8"/>
  <c r="N338" i="8"/>
  <c r="N392" i="8"/>
  <c r="N414" i="8"/>
  <c r="L147" i="12"/>
  <c r="L454" i="11"/>
  <c r="I221" i="26"/>
  <c r="L456" i="11"/>
  <c r="M456" i="11" s="1"/>
  <c r="M452" i="11"/>
  <c r="L160" i="11"/>
  <c r="L172" i="11"/>
  <c r="L169" i="11"/>
  <c r="L183" i="11"/>
  <c r="L186" i="11"/>
  <c r="M143" i="11"/>
  <c r="M146" i="11"/>
  <c r="L214" i="12"/>
  <c r="I126" i="26"/>
  <c r="K338" i="22"/>
  <c r="K313" i="22"/>
  <c r="K316" i="22"/>
  <c r="I1377" i="24"/>
  <c r="I1379" i="24"/>
  <c r="K68" i="7"/>
  <c r="K79" i="8"/>
  <c r="O346" i="8"/>
  <c r="O352" i="8"/>
  <c r="N440" i="11"/>
  <c r="N415" i="11"/>
  <c r="N418" i="11"/>
  <c r="M77" i="11"/>
  <c r="M74" i="11"/>
  <c r="L87" i="11"/>
  <c r="L78" i="11"/>
  <c r="L90" i="11"/>
  <c r="J44" i="11"/>
  <c r="J243" i="8"/>
  <c r="O429" i="11"/>
  <c r="P164" i="7"/>
  <c r="P161" i="8"/>
  <c r="P582" i="8"/>
  <c r="N137" i="12"/>
  <c r="K57" i="13"/>
  <c r="J55" i="13"/>
  <c r="J79" i="12"/>
  <c r="M75" i="7"/>
  <c r="M52" i="12"/>
  <c r="K201" i="13"/>
  <c r="K194" i="13"/>
  <c r="L242" i="7"/>
  <c r="L245" i="7"/>
  <c r="L250" i="7"/>
  <c r="M250" i="7" s="1"/>
  <c r="M237" i="7"/>
  <c r="M545" i="8"/>
  <c r="M557" i="8"/>
  <c r="M554" i="8"/>
  <c r="L54" i="7"/>
  <c r="L10" i="7"/>
  <c r="L273" i="7"/>
  <c r="L498" i="8"/>
  <c r="L257" i="11"/>
  <c r="I98" i="26"/>
  <c r="L187" i="7"/>
  <c r="M257" i="11"/>
  <c r="M183" i="7"/>
  <c r="M498" i="8"/>
  <c r="M273" i="7"/>
  <c r="K29" i="22"/>
  <c r="K42" i="22" s="1"/>
  <c r="K22" i="22"/>
  <c r="K34" i="22"/>
  <c r="J486" i="22"/>
  <c r="J608" i="22"/>
  <c r="J454" i="22"/>
  <c r="J459" i="22"/>
  <c r="J447" i="22"/>
  <c r="L81" i="10"/>
  <c r="L51" i="10"/>
  <c r="M51" i="10" s="1"/>
  <c r="M47" i="10"/>
  <c r="L126" i="7"/>
  <c r="L126" i="8"/>
  <c r="L473" i="8"/>
  <c r="L274" i="11"/>
  <c r="L57" i="7"/>
  <c r="L185" i="7"/>
  <c r="M473" i="8"/>
  <c r="M126" i="8"/>
  <c r="M53" i="7"/>
  <c r="M274" i="11"/>
  <c r="M126" i="7"/>
  <c r="O350" i="8"/>
  <c r="J506" i="22"/>
  <c r="J668" i="22" s="1"/>
  <c r="J628" i="22"/>
  <c r="J183" i="26"/>
  <c r="M428" i="11"/>
  <c r="M431" i="11"/>
  <c r="L432" i="11"/>
  <c r="L444" i="11"/>
  <c r="L441" i="11"/>
  <c r="L246" i="22"/>
  <c r="L239" i="22"/>
  <c r="L138" i="13"/>
  <c r="M138" i="13" s="1"/>
  <c r="M106" i="13"/>
  <c r="L111" i="13"/>
  <c r="M19" i="12"/>
  <c r="L19" i="12"/>
  <c r="L12" i="12"/>
  <c r="M12" i="12"/>
  <c r="N280" i="10"/>
  <c r="N31" i="10"/>
  <c r="P584" i="8"/>
  <c r="P251" i="10"/>
  <c r="M75" i="8"/>
  <c r="J336" i="22"/>
  <c r="J312" i="22"/>
  <c r="J314" i="22"/>
  <c r="I202" i="22"/>
  <c r="I204" i="22"/>
  <c r="J127" i="13"/>
  <c r="J133" i="13"/>
  <c r="H1181" i="24"/>
  <c r="G73" i="26"/>
  <c r="J489" i="11"/>
  <c r="J486" i="11"/>
  <c r="L260" i="9"/>
  <c r="L284" i="9"/>
  <c r="L217" i="9"/>
  <c r="L1087" i="24"/>
  <c r="O525" i="8"/>
  <c r="O188" i="10"/>
  <c r="M343" i="9"/>
  <c r="L262" i="9"/>
  <c r="L288" i="9" s="1"/>
  <c r="E23" i="13"/>
  <c r="B39" i="13"/>
  <c r="A116" i="26"/>
  <c r="B24" i="13"/>
  <c r="B8" i="13"/>
  <c r="K274" i="9"/>
  <c r="K277" i="9"/>
  <c r="K282" i="9"/>
  <c r="N151" i="7"/>
  <c r="O593" i="8"/>
  <c r="O239" i="10"/>
  <c r="N61" i="10"/>
  <c r="N206" i="10"/>
  <c r="N422" i="11"/>
  <c r="N117" i="12"/>
  <c r="K743" i="24"/>
  <c r="N300" i="7"/>
  <c r="N211" i="10"/>
  <c r="N199" i="10"/>
  <c r="N93" i="10"/>
  <c r="N159" i="11"/>
  <c r="N195" i="11"/>
  <c r="N241" i="7"/>
  <c r="K802" i="24"/>
  <c r="K780" i="24"/>
  <c r="K777" i="24"/>
  <c r="K223" i="12"/>
  <c r="K216" i="12"/>
  <c r="J560" i="22"/>
  <c r="J563" i="22"/>
  <c r="I180" i="26"/>
  <c r="M9" i="8"/>
  <c r="O417" i="11"/>
  <c r="O163" i="11"/>
  <c r="L219" i="12"/>
  <c r="M219" i="12" s="1"/>
  <c r="I130" i="26"/>
  <c r="M395" i="11"/>
  <c r="L101" i="8"/>
  <c r="M101" i="8" s="1"/>
  <c r="L90" i="8"/>
  <c r="M85" i="8"/>
  <c r="O223" i="7"/>
  <c r="O105" i="11"/>
  <c r="O177" i="11"/>
  <c r="J22" i="11"/>
  <c r="O110" i="10"/>
  <c r="L779" i="24"/>
  <c r="C39" i="13"/>
  <c r="B116" i="26"/>
  <c r="C8" i="13"/>
  <c r="C24" i="13"/>
  <c r="O114" i="10"/>
  <c r="J179" i="26"/>
  <c r="M271" i="9"/>
  <c r="M927" i="22"/>
  <c r="K327" i="11"/>
  <c r="K124" i="13"/>
  <c r="K128" i="13"/>
  <c r="K134" i="13"/>
  <c r="M255" i="9"/>
  <c r="M911" i="22"/>
  <c r="M453" i="24"/>
  <c r="O162" i="7"/>
  <c r="L300" i="10"/>
  <c r="M300" i="10"/>
  <c r="N202" i="11"/>
  <c r="K165" i="13"/>
  <c r="I469" i="22"/>
  <c r="I505" i="22"/>
  <c r="I627" i="22"/>
  <c r="I496" i="22"/>
  <c r="I508" i="22"/>
  <c r="I618" i="22"/>
  <c r="I630" i="22"/>
  <c r="J12" i="21"/>
  <c r="J14" i="21" s="1"/>
  <c r="M359" i="11"/>
  <c r="M357" i="11"/>
  <c r="L361" i="11"/>
  <c r="L358" i="11"/>
  <c r="J20" i="6"/>
  <c r="N498" i="11"/>
  <c r="N512" i="11"/>
  <c r="N15" i="12"/>
  <c r="N121" i="13"/>
  <c r="L188" i="22"/>
  <c r="M242" i="22"/>
  <c r="N122" i="13"/>
  <c r="N120" i="13"/>
  <c r="M324" i="22"/>
  <c r="L201" i="22"/>
  <c r="M311" i="22"/>
  <c r="M229" i="22"/>
  <c r="K900" i="22"/>
  <c r="J72" i="26"/>
  <c r="K1199" i="24"/>
  <c r="K1147" i="24"/>
  <c r="K1161" i="24" s="1"/>
  <c r="N197" i="13" s="1"/>
  <c r="J208" i="26"/>
  <c r="L201" i="12"/>
  <c r="M201" i="12" s="1"/>
  <c r="I211" i="26"/>
  <c r="L247" i="8"/>
  <c r="M247" i="8" s="1"/>
  <c r="K17" i="12"/>
  <c r="K20" i="12"/>
  <c r="I1204" i="24"/>
  <c r="I1201" i="24"/>
  <c r="O126" i="11"/>
  <c r="O102" i="11"/>
  <c r="O277" i="8"/>
  <c r="N442" i="11"/>
  <c r="J349" i="7"/>
  <c r="J230" i="8"/>
  <c r="J248" i="8"/>
  <c r="M221" i="8"/>
  <c r="P246" i="10"/>
  <c r="K60" i="13"/>
  <c r="J52" i="13"/>
  <c r="K53" i="13"/>
  <c r="K59" i="13"/>
  <c r="J51" i="13"/>
  <c r="J72" i="12"/>
  <c r="M214" i="12"/>
  <c r="J342" i="7"/>
  <c r="N167" i="7"/>
  <c r="N170" i="7"/>
  <c r="L167" i="7"/>
  <c r="M170" i="7"/>
  <c r="L170" i="7"/>
  <c r="M167" i="7"/>
  <c r="M153" i="7"/>
  <c r="M156" i="7"/>
  <c r="N415" i="8"/>
  <c r="L477" i="8"/>
  <c r="L285" i="11"/>
  <c r="M136" i="10"/>
  <c r="L199" i="8"/>
  <c r="L53" i="8"/>
  <c r="I184" i="26"/>
  <c r="L201" i="8"/>
  <c r="L210" i="8"/>
  <c r="M210" i="8" s="1"/>
  <c r="M197" i="8"/>
  <c r="M145" i="12"/>
  <c r="J482" i="22"/>
  <c r="J604" i="22"/>
  <c r="J479" i="22"/>
  <c r="J601" i="22"/>
  <c r="J504" i="22"/>
  <c r="J666" i="22" s="1"/>
  <c r="J626" i="22"/>
  <c r="M126" i="12"/>
  <c r="M123" i="12"/>
  <c r="L139" i="12"/>
  <c r="L136" i="12"/>
  <c r="L127" i="12"/>
  <c r="K647" i="22"/>
  <c r="K30" i="12"/>
  <c r="K32" i="12"/>
  <c r="K326" i="22"/>
  <c r="K329" i="22"/>
  <c r="J1372" i="24"/>
  <c r="L522" i="11" s="1"/>
  <c r="J1203" i="24"/>
  <c r="J1196" i="24"/>
  <c r="L233" i="22"/>
  <c r="L259" i="22" s="1"/>
  <c r="L251" i="22"/>
  <c r="L226" i="22"/>
  <c r="L137" i="13"/>
  <c r="M137" i="13" s="1"/>
  <c r="L110" i="13"/>
  <c r="M105" i="13"/>
  <c r="L365" i="11"/>
  <c r="L39" i="12"/>
  <c r="L463" i="11"/>
  <c r="L320" i="11"/>
  <c r="L71" i="12" s="1"/>
  <c r="L516" i="11"/>
  <c r="I105" i="26"/>
  <c r="M508" i="11"/>
  <c r="L509" i="11"/>
  <c r="M320" i="11"/>
  <c r="K210" i="12"/>
  <c r="K203" i="12"/>
  <c r="L755" i="24"/>
  <c r="L731" i="24"/>
  <c r="P227" i="10"/>
  <c r="N198" i="11"/>
  <c r="N131" i="11"/>
  <c r="J325" i="22"/>
  <c r="J327" i="22"/>
  <c r="I189" i="22"/>
  <c r="I213" i="22"/>
  <c r="I191" i="22"/>
  <c r="I217" i="22" s="1"/>
  <c r="J499" i="11"/>
  <c r="J28" i="12"/>
  <c r="J501" i="11"/>
  <c r="L476" i="24"/>
  <c r="L30" i="21" s="1"/>
  <c r="L451" i="24"/>
  <c r="L454" i="24"/>
  <c r="M379" i="8"/>
  <c r="L419" i="8"/>
  <c r="M419" i="8" s="1"/>
  <c r="K235" i="9"/>
  <c r="K248" i="9" s="1"/>
  <c r="K784" i="24"/>
  <c r="K240" i="9"/>
  <c r="K228" i="9"/>
  <c r="N198" i="8"/>
  <c r="N470" i="8"/>
  <c r="N264" i="11"/>
  <c r="K407" i="22"/>
  <c r="K531" i="22"/>
  <c r="K450" i="22"/>
  <c r="J100" i="26"/>
  <c r="L693" i="22"/>
  <c r="L25" i="22"/>
  <c r="N80" i="10"/>
  <c r="N140" i="10"/>
  <c r="N184" i="7"/>
  <c r="N128" i="10"/>
  <c r="N180" i="7"/>
  <c r="N181" i="8"/>
  <c r="N429" i="8"/>
  <c r="N115" i="10"/>
  <c r="N139" i="10"/>
  <c r="N76" i="10"/>
  <c r="N230" i="11"/>
  <c r="K393" i="22"/>
  <c r="K517" i="22"/>
  <c r="K436" i="22"/>
  <c r="J92" i="26"/>
  <c r="L11" i="22"/>
  <c r="L679" i="22"/>
  <c r="N48" i="7"/>
  <c r="N42" i="10"/>
  <c r="N117" i="10"/>
  <c r="J206" i="22"/>
  <c r="J203" i="22"/>
  <c r="M378" i="8"/>
  <c r="L418" i="8"/>
  <c r="M418" i="8" s="1"/>
  <c r="K256" i="8"/>
  <c r="K555" i="22"/>
  <c r="J61" i="12"/>
  <c r="J166" i="12" s="1"/>
  <c r="J54" i="12"/>
  <c r="J159" i="12" s="1"/>
  <c r="P234" i="10"/>
  <c r="O326" i="8"/>
  <c r="O232" i="10"/>
  <c r="O235" i="10"/>
  <c r="O257" i="10"/>
  <c r="K761" i="24"/>
  <c r="K736" i="24"/>
  <c r="K739" i="24"/>
  <c r="O312" i="7"/>
  <c r="O168" i="7"/>
  <c r="O37" i="8"/>
  <c r="O162" i="8"/>
  <c r="O583" i="8"/>
  <c r="O586" i="8"/>
  <c r="L206" i="12"/>
  <c r="M206" i="12" s="1"/>
  <c r="I215" i="26"/>
  <c r="M382" i="11"/>
  <c r="L252" i="8"/>
  <c r="M252" i="8" s="1"/>
  <c r="M226" i="8"/>
  <c r="M282" i="8"/>
  <c r="M285" i="8"/>
  <c r="L286" i="8"/>
  <c r="L295" i="8"/>
  <c r="L298" i="8"/>
  <c r="O351" i="11"/>
  <c r="O385" i="8"/>
  <c r="O331" i="8"/>
  <c r="I172" i="13"/>
  <c r="I170" i="13"/>
  <c r="F20" i="6"/>
  <c r="I20" i="6" s="1"/>
  <c r="N376" i="8"/>
  <c r="N403" i="8"/>
  <c r="K370" i="11"/>
  <c r="K192" i="12"/>
  <c r="H136" i="26"/>
  <c r="K372" i="11"/>
  <c r="L412" i="8"/>
  <c r="M412" i="8" s="1"/>
  <c r="M372" i="8"/>
  <c r="K63" i="7"/>
  <c r="K63" i="8"/>
  <c r="K474" i="22"/>
  <c r="K636" i="22" s="1"/>
  <c r="K596" i="22"/>
  <c r="O122" i="10"/>
  <c r="L791" i="24"/>
  <c r="M267" i="9"/>
  <c r="M914" i="22"/>
  <c r="M465" i="24"/>
  <c r="O319" i="7"/>
  <c r="O611" i="8"/>
  <c r="K18" i="21"/>
  <c r="M254" i="9"/>
  <c r="M910" i="22"/>
  <c r="M470" i="24"/>
  <c r="M446" i="24"/>
  <c r="N86" i="11"/>
  <c r="N64" i="11"/>
  <c r="N61" i="11"/>
  <c r="I23" i="13"/>
  <c r="F39" i="13"/>
  <c r="D116" i="26"/>
  <c r="F8" i="13"/>
  <c r="F24" i="13"/>
  <c r="J794" i="24"/>
  <c r="M285" i="10" s="1"/>
  <c r="J806" i="24"/>
  <c r="J803" i="24"/>
  <c r="D39" i="13"/>
  <c r="C116" i="26"/>
  <c r="D8" i="13"/>
  <c r="D24" i="13"/>
  <c r="M188" i="12"/>
  <c r="O126" i="10"/>
  <c r="O37" i="7"/>
  <c r="O168" i="8"/>
  <c r="O604" i="8"/>
  <c r="L298" i="10"/>
  <c r="M298" i="10"/>
  <c r="J762" i="24"/>
  <c r="J753" i="24"/>
  <c r="J765" i="24"/>
  <c r="N390" i="8"/>
  <c r="N336" i="8"/>
  <c r="N311" i="8"/>
  <c r="N314" i="8"/>
  <c r="N197" i="11"/>
  <c r="N116" i="11"/>
  <c r="N130" i="11"/>
  <c r="N252" i="7"/>
  <c r="N230" i="7"/>
  <c r="L483" i="11"/>
  <c r="J1074" i="24"/>
  <c r="J1076" i="24"/>
  <c r="L567" i="8"/>
  <c r="I207" i="26"/>
  <c r="L569" i="8"/>
  <c r="M569" i="8" s="1"/>
  <c r="M565" i="8"/>
  <c r="L334" i="7"/>
  <c r="M153" i="8"/>
  <c r="M156" i="8"/>
  <c r="K481" i="22"/>
  <c r="K603" i="22"/>
  <c r="L193" i="7"/>
  <c r="L15" i="11"/>
  <c r="M15" i="11" s="1"/>
  <c r="O151" i="11"/>
  <c r="K244" i="22"/>
  <c r="K247" i="22"/>
  <c r="K525" i="11"/>
  <c r="O63" i="11"/>
  <c r="O353" i="8"/>
  <c r="J399" i="11"/>
  <c r="J215" i="12"/>
  <c r="G127" i="26"/>
  <c r="G135" i="26"/>
  <c r="J197" i="12"/>
  <c r="J190" i="12"/>
  <c r="J223" i="8"/>
  <c r="L750" i="24"/>
  <c r="K27" i="14"/>
  <c r="I1219" i="24"/>
  <c r="H1217" i="24"/>
  <c r="K23" i="14"/>
  <c r="I1215" i="24"/>
  <c r="I1221" i="24"/>
  <c r="H1213" i="24"/>
  <c r="M13" i="11"/>
  <c r="N562" i="8"/>
  <c r="N360" i="11"/>
  <c r="N449" i="11"/>
  <c r="N176" i="12"/>
  <c r="K1069" i="24"/>
  <c r="N353" i="11"/>
  <c r="L86" i="7"/>
  <c r="L86" i="8"/>
  <c r="L208" i="11"/>
  <c r="M208" i="11" s="1"/>
  <c r="M168" i="11"/>
  <c r="K331" i="9"/>
  <c r="K334" i="9"/>
  <c r="K322" i="9"/>
  <c r="L129" i="10"/>
  <c r="N153" i="10"/>
  <c r="L132" i="10"/>
  <c r="L137" i="10"/>
  <c r="M124" i="10"/>
  <c r="J535" i="22"/>
  <c r="J567" i="22"/>
  <c r="J528" i="22"/>
  <c r="J540" i="22"/>
  <c r="J580" i="22" s="1"/>
  <c r="K468" i="24"/>
  <c r="K480" i="24"/>
  <c r="K477" i="24"/>
  <c r="K493" i="22"/>
  <c r="K655" i="22" s="1"/>
  <c r="K615" i="22"/>
  <c r="K503" i="11"/>
  <c r="K500" i="11"/>
  <c r="J1177" i="24"/>
  <c r="I70" i="26"/>
  <c r="J901" i="22"/>
  <c r="J8" i="21" s="1"/>
  <c r="J903" i="22"/>
  <c r="K205" i="22"/>
  <c r="K198" i="22"/>
  <c r="L107" i="13"/>
  <c r="L136" i="13"/>
  <c r="M136" i="13" s="1"/>
  <c r="L109" i="13"/>
  <c r="M104" i="13"/>
  <c r="L25" i="12"/>
  <c r="L502" i="11"/>
  <c r="M502" i="11" s="1"/>
  <c r="L495" i="11"/>
  <c r="M494" i="11"/>
  <c r="M190" i="8"/>
  <c r="M187" i="8"/>
  <c r="N287" i="10"/>
  <c r="O105" i="12"/>
  <c r="O129" i="12"/>
  <c r="M33" i="10"/>
  <c r="L288" i="10"/>
  <c r="L285" i="10"/>
  <c r="K33" i="10"/>
  <c r="M25" i="10"/>
  <c r="M288" i="10"/>
  <c r="L33" i="10"/>
  <c r="N203" i="11"/>
  <c r="N253" i="7"/>
  <c r="N231" i="7"/>
  <c r="H904" i="22"/>
  <c r="H897" i="22"/>
  <c r="J243" i="22"/>
  <c r="J245" i="22"/>
  <c r="J126" i="13"/>
  <c r="J132" i="13"/>
  <c r="J16" i="12"/>
  <c r="J18" i="12"/>
  <c r="H39" i="13"/>
  <c r="F116" i="26"/>
  <c r="H24" i="13"/>
  <c r="H8" i="13"/>
  <c r="N279" i="8"/>
  <c r="N358" i="8"/>
  <c r="N357" i="8"/>
  <c r="N68" i="11"/>
  <c r="N141" i="11"/>
  <c r="N140" i="11"/>
  <c r="K1105" i="24"/>
  <c r="K1118" i="24" s="1"/>
  <c r="K1098" i="24"/>
  <c r="K1110" i="24"/>
  <c r="K562" i="22"/>
  <c r="K25" i="6"/>
  <c r="I21" i="21"/>
  <c r="I1182" i="24"/>
  <c r="I1285" i="24"/>
  <c r="I1185" i="24"/>
  <c r="I1286" i="24"/>
  <c r="I1287" i="24"/>
  <c r="H74" i="26"/>
  <c r="I7" i="21"/>
  <c r="I9" i="21" s="1"/>
  <c r="I905" i="22"/>
  <c r="I902" i="22"/>
  <c r="H128" i="26"/>
  <c r="L929" i="22"/>
  <c r="L932" i="22"/>
  <c r="L738" i="24"/>
  <c r="P161" i="7"/>
  <c r="P164" i="8"/>
  <c r="P591" i="8"/>
  <c r="O162" i="11"/>
  <c r="O138" i="11"/>
  <c r="O319" i="8"/>
  <c r="O325" i="8"/>
  <c r="H188" i="26"/>
  <c r="O222" i="7"/>
  <c r="O98" i="11"/>
  <c r="O176" i="11"/>
  <c r="O104" i="11"/>
  <c r="O306" i="8"/>
  <c r="O330" i="8"/>
  <c r="O384" i="8"/>
  <c r="O109" i="10"/>
  <c r="L796" i="24"/>
  <c r="L772" i="24"/>
  <c r="K225" i="8"/>
  <c r="K238" i="8"/>
  <c r="K27" i="11"/>
  <c r="K26" i="11"/>
  <c r="K394" i="11"/>
  <c r="K161" i="12"/>
  <c r="K381" i="11"/>
  <c r="K344" i="7"/>
  <c r="I66" i="9"/>
  <c r="I62" i="9"/>
  <c r="K45" i="11"/>
  <c r="K23" i="11"/>
  <c r="K20" i="11"/>
  <c r="N228" i="7"/>
  <c r="N191" i="11"/>
  <c r="N119" i="11"/>
  <c r="N124" i="11"/>
  <c r="E31" i="13"/>
  <c r="A123" i="26"/>
  <c r="B32" i="13"/>
  <c r="E32" i="13" s="1"/>
  <c r="B9" i="13"/>
  <c r="G39" i="13"/>
  <c r="E116" i="26"/>
  <c r="G24" i="13"/>
  <c r="G8" i="13"/>
  <c r="I657" i="22"/>
  <c r="I654" i="22"/>
  <c r="L181" i="12"/>
  <c r="L183" i="12"/>
  <c r="M183" i="12" s="1"/>
  <c r="M179" i="12"/>
  <c r="M170" i="11"/>
  <c r="L210" i="11"/>
  <c r="M210" i="11" s="1"/>
  <c r="N507" i="11"/>
  <c r="N10" i="12"/>
  <c r="N493" i="11"/>
  <c r="N101" i="13"/>
  <c r="M224" i="22"/>
  <c r="N99" i="13"/>
  <c r="N100" i="13"/>
  <c r="M237" i="22"/>
  <c r="M319" i="22"/>
  <c r="M306" i="22"/>
  <c r="L183" i="22"/>
  <c r="L196" i="22"/>
  <c r="J68" i="26"/>
  <c r="K895" i="22"/>
  <c r="K1194" i="24"/>
  <c r="K1142" i="24"/>
  <c r="N453" i="11"/>
  <c r="M192" i="13"/>
  <c r="O323" i="8"/>
  <c r="M171" i="11"/>
  <c r="L211" i="11"/>
  <c r="M211" i="11" s="1"/>
  <c r="O127" i="11"/>
  <c r="H71" i="9"/>
  <c r="H1470" i="24"/>
  <c r="H1478" i="24" s="1"/>
  <c r="J386" i="11"/>
  <c r="J202" i="12"/>
  <c r="G212" i="26"/>
  <c r="J194" i="7"/>
  <c r="J19" i="11"/>
  <c r="J20" i="11" s="1"/>
  <c r="J43" i="11"/>
  <c r="O124" i="12"/>
  <c r="N135" i="12"/>
  <c r="N110" i="12"/>
  <c r="N113" i="12"/>
  <c r="K28" i="14"/>
  <c r="H1218" i="24"/>
  <c r="J28" i="14" s="1"/>
  <c r="K24" i="14"/>
  <c r="I1222" i="24"/>
  <c r="H1214" i="24"/>
  <c r="M193" i="7"/>
  <c r="M390" i="11"/>
  <c r="M63" i="10"/>
  <c r="M66" i="10"/>
  <c r="N339" i="8"/>
  <c r="N393" i="8"/>
  <c r="L10" i="10"/>
  <c r="L48" i="10"/>
  <c r="L83" i="10"/>
  <c r="M83" i="10" s="1"/>
  <c r="M79" i="10"/>
  <c r="K697" i="22"/>
  <c r="K710" i="22" s="1"/>
  <c r="K690" i="22"/>
  <c r="K702" i="22"/>
  <c r="J411" i="22"/>
  <c r="J424" i="22" s="1"/>
  <c r="J404" i="22"/>
  <c r="J416" i="22"/>
  <c r="L144" i="10"/>
  <c r="M144" i="10" s="1"/>
  <c r="M131" i="10"/>
  <c r="O115" i="11"/>
  <c r="J642" i="22"/>
  <c r="M99" i="10"/>
  <c r="M96" i="10"/>
  <c r="J215" i="22"/>
  <c r="J190" i="22"/>
  <c r="J193" i="22"/>
  <c r="K196" i="13"/>
  <c r="I1162" i="24"/>
  <c r="I1163" i="24" s="1"/>
  <c r="I1164" i="24"/>
  <c r="J1151" i="24"/>
  <c r="J1157" i="24"/>
  <c r="J1144" i="24"/>
  <c r="L328" i="22"/>
  <c r="L321" i="22"/>
  <c r="L315" i="22"/>
  <c r="L333" i="22"/>
  <c r="L308" i="22"/>
  <c r="K192" i="22"/>
  <c r="K218" i="22" s="1"/>
  <c r="K210" i="22"/>
  <c r="K185" i="22"/>
  <c r="H213" i="26"/>
  <c r="L101" i="7"/>
  <c r="M101" i="7" s="1"/>
  <c r="L90" i="7"/>
  <c r="M85" i="7"/>
  <c r="O410" i="11"/>
  <c r="O434" i="11"/>
  <c r="P310" i="7"/>
  <c r="P602" i="8"/>
  <c r="K168" i="13"/>
  <c r="I550" i="22"/>
  <c r="I586" i="22"/>
  <c r="I577" i="22"/>
  <c r="I589" i="22"/>
  <c r="J525" i="11"/>
  <c r="H1375" i="24"/>
  <c r="H1200" i="24"/>
  <c r="H1202" i="24"/>
  <c r="H1183" i="24" s="1"/>
  <c r="J230" i="22"/>
  <c r="J254" i="22"/>
  <c r="J232" i="22"/>
  <c r="J258" i="22" s="1"/>
  <c r="J125" i="13"/>
  <c r="J118" i="13"/>
  <c r="J131" i="13"/>
  <c r="J323" i="11"/>
  <c r="J74" i="12" s="1"/>
  <c r="J368" i="11"/>
  <c r="J513" i="11"/>
  <c r="J466" i="11"/>
  <c r="J42" i="12"/>
  <c r="G107" i="26"/>
  <c r="J515" i="11"/>
  <c r="L925" i="22"/>
  <c r="L931" i="22"/>
  <c r="L944" i="22" s="1"/>
  <c r="L936" i="22"/>
  <c r="E172" i="13"/>
  <c r="E170" i="13"/>
  <c r="L361" i="9"/>
  <c r="L374" i="9" s="1"/>
  <c r="L458" i="24"/>
  <c r="L312" i="9"/>
  <c r="L366" i="9"/>
  <c r="L354" i="9"/>
  <c r="N151" i="8"/>
  <c r="N543" i="8"/>
  <c r="N548" i="8"/>
  <c r="N536" i="8"/>
  <c r="N156" i="11"/>
  <c r="M244" i="7"/>
  <c r="L257" i="7"/>
  <c r="M257" i="7" s="1"/>
  <c r="K249" i="8"/>
  <c r="I31" i="13"/>
  <c r="D123" i="26"/>
  <c r="F32" i="13"/>
  <c r="I32" i="13" s="1"/>
  <c r="F9" i="13"/>
  <c r="M50" i="8"/>
  <c r="L231" i="9"/>
  <c r="O202" i="10"/>
  <c r="O539" i="8"/>
  <c r="L1101" i="24"/>
  <c r="M357" i="9"/>
  <c r="L285" i="9"/>
  <c r="L273" i="9"/>
  <c r="O112" i="12"/>
  <c r="O75" i="11"/>
  <c r="O268" i="8"/>
  <c r="L198" i="7"/>
  <c r="M198" i="7" s="1"/>
  <c r="L32" i="11"/>
  <c r="M32" i="11" s="1"/>
  <c r="M30" i="11"/>
  <c r="M213" i="7"/>
  <c r="L217" i="7"/>
  <c r="L214" i="7"/>
  <c r="O207" i="7"/>
  <c r="O56" i="11"/>
  <c r="O80" i="11"/>
  <c r="O270" i="8"/>
  <c r="O288" i="8"/>
  <c r="L9" i="4"/>
  <c r="I158" i="26" s="1"/>
  <c r="K19" i="5"/>
  <c r="K10" i="15"/>
  <c r="J464" i="11"/>
  <c r="M377" i="11"/>
  <c r="M255" i="22" l="1"/>
  <c r="O80" i="7"/>
  <c r="N556" i="8"/>
  <c r="N541" i="8"/>
  <c r="H1204" i="24"/>
  <c r="H1201" i="24"/>
  <c r="K169" i="13"/>
  <c r="J202" i="7"/>
  <c r="N148" i="12"/>
  <c r="J222" i="26"/>
  <c r="M332" i="22"/>
  <c r="N102" i="13"/>
  <c r="I68" i="9"/>
  <c r="I18" i="9"/>
  <c r="I1473" i="24"/>
  <c r="K396" i="11"/>
  <c r="K218" i="12"/>
  <c r="H129" i="26"/>
  <c r="K398" i="11"/>
  <c r="K227" i="8"/>
  <c r="K251" i="8"/>
  <c r="K229" i="8"/>
  <c r="O179" i="7"/>
  <c r="O180" i="8"/>
  <c r="O426" i="8"/>
  <c r="O111" i="10"/>
  <c r="O135" i="10"/>
  <c r="O75" i="10"/>
  <c r="O220" i="11"/>
  <c r="L389" i="22"/>
  <c r="L513" i="22"/>
  <c r="L432" i="22"/>
  <c r="K89" i="26"/>
  <c r="M7" i="22"/>
  <c r="M675" i="22"/>
  <c r="O280" i="8"/>
  <c r="O361" i="8"/>
  <c r="O362" i="8"/>
  <c r="O72" i="11"/>
  <c r="O153" i="11"/>
  <c r="O154" i="11"/>
  <c r="L1102" i="24"/>
  <c r="O356" i="11" s="1"/>
  <c r="L1114" i="24"/>
  <c r="I9" i="13"/>
  <c r="D124" i="26"/>
  <c r="F15" i="6"/>
  <c r="I15" i="6" s="1"/>
  <c r="L320" i="9"/>
  <c r="L333" i="9" s="1"/>
  <c r="L313" i="9"/>
  <c r="L325" i="9"/>
  <c r="J44" i="12"/>
  <c r="J46" i="12"/>
  <c r="J468" i="11"/>
  <c r="J325" i="11"/>
  <c r="G109" i="26"/>
  <c r="J514" i="11"/>
  <c r="J517" i="11"/>
  <c r="J124" i="13"/>
  <c r="J128" i="13"/>
  <c r="J134" i="13"/>
  <c r="H1377" i="24"/>
  <c r="H1379" i="24"/>
  <c r="M90" i="7"/>
  <c r="L106" i="7"/>
  <c r="M106" i="7" s="1"/>
  <c r="L11" i="3"/>
  <c r="M11" i="3" s="1"/>
  <c r="L334" i="22"/>
  <c r="J207" i="22"/>
  <c r="J216" i="22"/>
  <c r="J219" i="22"/>
  <c r="K695" i="22"/>
  <c r="K698" i="22"/>
  <c r="K703" i="22"/>
  <c r="M48" i="10"/>
  <c r="L49" i="10"/>
  <c r="L52" i="10"/>
  <c r="K356" i="7"/>
  <c r="K369" i="7"/>
  <c r="K32" i="14"/>
  <c r="K104" i="14" s="1"/>
  <c r="I49" i="22"/>
  <c r="I57" i="22"/>
  <c r="K38" i="14"/>
  <c r="K82" i="14"/>
  <c r="J102" i="22"/>
  <c r="J115" i="22"/>
  <c r="K143" i="22"/>
  <c r="K156" i="22"/>
  <c r="K266" i="22"/>
  <c r="I375" i="22"/>
  <c r="I53" i="22"/>
  <c r="I361" i="22"/>
  <c r="K279" i="22"/>
  <c r="I347" i="22"/>
  <c r="H83" i="26"/>
  <c r="M250" i="22"/>
  <c r="K346" i="7"/>
  <c r="K348" i="7"/>
  <c r="K197" i="7"/>
  <c r="K28" i="11"/>
  <c r="K34" i="11"/>
  <c r="K39" i="11"/>
  <c r="O386" i="8"/>
  <c r="O332" i="8"/>
  <c r="O103" i="11"/>
  <c r="O164" i="11"/>
  <c r="N359" i="8"/>
  <c r="N365" i="8"/>
  <c r="N397" i="8"/>
  <c r="N370" i="8"/>
  <c r="H19" i="3"/>
  <c r="H47" i="13"/>
  <c r="H10" i="13"/>
  <c r="F117" i="26"/>
  <c r="H14" i="6"/>
  <c r="J142" i="13"/>
  <c r="M495" i="11"/>
  <c r="M109" i="13"/>
  <c r="J536" i="22"/>
  <c r="J568" i="22"/>
  <c r="J533" i="22"/>
  <c r="J541" i="22"/>
  <c r="J581" i="22" s="1"/>
  <c r="N157" i="10"/>
  <c r="L157" i="10"/>
  <c r="M157" i="10" s="1"/>
  <c r="M137" i="10"/>
  <c r="N480" i="11"/>
  <c r="K1077" i="24"/>
  <c r="K1070" i="24"/>
  <c r="K355" i="7"/>
  <c r="K368" i="7"/>
  <c r="K37" i="14"/>
  <c r="K81" i="14"/>
  <c r="J101" i="22"/>
  <c r="K25" i="14"/>
  <c r="I48" i="22"/>
  <c r="I56" i="22"/>
  <c r="K8" i="14"/>
  <c r="K31" i="14"/>
  <c r="K103" i="14" s="1"/>
  <c r="I52" i="22"/>
  <c r="J114" i="22"/>
  <c r="K142" i="22"/>
  <c r="K155" i="22"/>
  <c r="K265" i="22"/>
  <c r="I374" i="22"/>
  <c r="K278" i="22"/>
  <c r="I360" i="22"/>
  <c r="I346" i="22"/>
  <c r="H82" i="26"/>
  <c r="J223" i="12"/>
  <c r="O69" i="7"/>
  <c r="K643" i="22"/>
  <c r="J1075" i="24"/>
  <c r="J1078" i="24"/>
  <c r="O185" i="8"/>
  <c r="O439" i="8"/>
  <c r="O261" i="11"/>
  <c r="L530" i="22"/>
  <c r="L449" i="22"/>
  <c r="L406" i="22"/>
  <c r="K99" i="26"/>
  <c r="M24" i="22"/>
  <c r="M692" i="22"/>
  <c r="D19" i="3"/>
  <c r="D47" i="13"/>
  <c r="D10" i="13"/>
  <c r="C117" i="26"/>
  <c r="D14" i="6"/>
  <c r="E14" i="6" s="1"/>
  <c r="F40" i="13"/>
  <c r="F33" i="13"/>
  <c r="I24" i="13"/>
  <c r="M256" i="9"/>
  <c r="M280" i="9"/>
  <c r="M213" i="9"/>
  <c r="M1083" i="24"/>
  <c r="P184" i="10"/>
  <c r="P521" i="8"/>
  <c r="N339" i="9"/>
  <c r="M275" i="9"/>
  <c r="M226" i="9"/>
  <c r="P197" i="10"/>
  <c r="M1096" i="24"/>
  <c r="P534" i="8"/>
  <c r="N352" i="9"/>
  <c r="K194" i="12"/>
  <c r="K196" i="12"/>
  <c r="O561" i="8"/>
  <c r="O448" i="11"/>
  <c r="O175" i="12"/>
  <c r="L1068" i="24"/>
  <c r="N50" i="10"/>
  <c r="N77" i="10"/>
  <c r="K490" i="22"/>
  <c r="K612" i="22"/>
  <c r="K451" i="22"/>
  <c r="K463" i="22"/>
  <c r="J30" i="12"/>
  <c r="J32" i="12"/>
  <c r="I215" i="22"/>
  <c r="I190" i="22"/>
  <c r="I193" i="22"/>
  <c r="L47" i="12"/>
  <c r="M71" i="12"/>
  <c r="M39" i="12"/>
  <c r="L40" i="12"/>
  <c r="I186" i="26"/>
  <c r="L57" i="8"/>
  <c r="M57" i="8" s="1"/>
  <c r="L10" i="8"/>
  <c r="L54" i="8"/>
  <c r="M53" i="8"/>
  <c r="O128" i="11"/>
  <c r="L214" i="22"/>
  <c r="N29" i="12"/>
  <c r="M263" i="9"/>
  <c r="M214" i="9"/>
  <c r="P522" i="8"/>
  <c r="M1084" i="24"/>
  <c r="P185" i="10"/>
  <c r="N340" i="9"/>
  <c r="O194" i="8"/>
  <c r="O460" i="8"/>
  <c r="O233" i="11"/>
  <c r="L394" i="22"/>
  <c r="L518" i="22"/>
  <c r="L437" i="22"/>
  <c r="K93" i="26"/>
  <c r="M12" i="22"/>
  <c r="M680" i="22"/>
  <c r="N62" i="10"/>
  <c r="N24" i="10"/>
  <c r="N97" i="10"/>
  <c r="K751" i="24"/>
  <c r="K764" i="24" s="1"/>
  <c r="K744" i="24"/>
  <c r="K756" i="24"/>
  <c r="N65" i="10"/>
  <c r="N95" i="10"/>
  <c r="B19" i="3"/>
  <c r="B10" i="13"/>
  <c r="E8" i="13"/>
  <c r="B47" i="13"/>
  <c r="A117" i="26"/>
  <c r="O527" i="8"/>
  <c r="O551" i="8"/>
  <c r="O146" i="8"/>
  <c r="O529" i="8"/>
  <c r="L286" i="9"/>
  <c r="L264" i="9"/>
  <c r="L261" i="9"/>
  <c r="J499" i="22"/>
  <c r="J661" i="22" s="1"/>
  <c r="J621" i="22"/>
  <c r="L9" i="6"/>
  <c r="L18" i="6"/>
  <c r="L23" i="7"/>
  <c r="L129" i="7"/>
  <c r="L279" i="7"/>
  <c r="L136" i="8"/>
  <c r="L504" i="8"/>
  <c r="L277" i="11"/>
  <c r="I102" i="26"/>
  <c r="M23" i="7"/>
  <c r="M9" i="6"/>
  <c r="M136" i="8"/>
  <c r="M504" i="8"/>
  <c r="M277" i="11"/>
  <c r="M129" i="7"/>
  <c r="M10" i="7"/>
  <c r="M279" i="7"/>
  <c r="L11" i="7"/>
  <c r="L6" i="3"/>
  <c r="M245" i="7"/>
  <c r="M242" i="7"/>
  <c r="L246" i="7"/>
  <c r="L255" i="7"/>
  <c r="L258" i="7"/>
  <c r="I1378" i="24"/>
  <c r="I1381" i="24"/>
  <c r="M172" i="11"/>
  <c r="M160" i="11"/>
  <c r="M169" i="11"/>
  <c r="L212" i="11"/>
  <c r="L173" i="11"/>
  <c r="L209" i="11"/>
  <c r="L200" i="11"/>
  <c r="I223" i="26"/>
  <c r="M454" i="11"/>
  <c r="L458" i="11"/>
  <c r="L455" i="11"/>
  <c r="K76" i="12"/>
  <c r="K163" i="12"/>
  <c r="K45" i="12"/>
  <c r="K48" i="12"/>
  <c r="M462" i="24"/>
  <c r="M316" i="9"/>
  <c r="M358" i="9"/>
  <c r="M370" i="9"/>
  <c r="O69" i="8"/>
  <c r="N33" i="8"/>
  <c r="N155" i="8"/>
  <c r="N152" i="8"/>
  <c r="J256" i="22"/>
  <c r="J231" i="22"/>
  <c r="J234" i="22"/>
  <c r="K1156" i="24"/>
  <c r="N319" i="11"/>
  <c r="N70" i="12" s="1"/>
  <c r="N364" i="11"/>
  <c r="N462" i="11"/>
  <c r="N38" i="12"/>
  <c r="J104" i="26"/>
  <c r="E9" i="13"/>
  <c r="A124" i="26"/>
  <c r="K383" i="11"/>
  <c r="K205" i="12"/>
  <c r="H214" i="26"/>
  <c r="K385" i="11"/>
  <c r="O327" i="8"/>
  <c r="O324" i="8"/>
  <c r="N142" i="11"/>
  <c r="N166" i="11"/>
  <c r="N235" i="7"/>
  <c r="N144" i="11"/>
  <c r="N180" i="11"/>
  <c r="N366" i="8"/>
  <c r="N398" i="8"/>
  <c r="N371" i="8"/>
  <c r="H40" i="13"/>
  <c r="H33" i="13"/>
  <c r="J20" i="12"/>
  <c r="J17" i="12"/>
  <c r="L91" i="8"/>
  <c r="L102" i="8"/>
  <c r="M102" i="8" s="1"/>
  <c r="M86" i="8"/>
  <c r="N184" i="12"/>
  <c r="N177" i="12"/>
  <c r="N570" i="8"/>
  <c r="J205" i="26"/>
  <c r="N563" i="8"/>
  <c r="J23" i="14"/>
  <c r="H1215" i="24"/>
  <c r="H1221" i="24"/>
  <c r="J27" i="14"/>
  <c r="I1241" i="24" s="1"/>
  <c r="H1219" i="24"/>
  <c r="M483" i="11"/>
  <c r="L497" i="11"/>
  <c r="J1146" i="24" s="1"/>
  <c r="L485" i="11"/>
  <c r="L511" i="11"/>
  <c r="L14" i="12"/>
  <c r="M485" i="11"/>
  <c r="M14" i="12"/>
  <c r="L115" i="13"/>
  <c r="K187" i="22"/>
  <c r="L228" i="22"/>
  <c r="L116" i="13"/>
  <c r="L117" i="13"/>
  <c r="L241" i="22"/>
  <c r="L323" i="22"/>
  <c r="J896" i="22"/>
  <c r="L310" i="22"/>
  <c r="K200" i="22"/>
  <c r="I71" i="26"/>
  <c r="J1198" i="24"/>
  <c r="M487" i="11"/>
  <c r="L487" i="11"/>
  <c r="J1183" i="24" s="1"/>
  <c r="F19" i="3"/>
  <c r="F10" i="13"/>
  <c r="I8" i="13"/>
  <c r="F47" i="13"/>
  <c r="D117" i="26"/>
  <c r="F14" i="6"/>
  <c r="H138" i="26"/>
  <c r="K374" i="11"/>
  <c r="K371" i="11"/>
  <c r="H139" i="26" s="1"/>
  <c r="N56" i="7"/>
  <c r="N181" i="7"/>
  <c r="N113" i="7"/>
  <c r="N113" i="8"/>
  <c r="N432" i="8"/>
  <c r="N240" i="11"/>
  <c r="K438" i="22"/>
  <c r="K462" i="22"/>
  <c r="K476" i="22"/>
  <c r="K598" i="22"/>
  <c r="K440" i="22"/>
  <c r="N449" i="8"/>
  <c r="N292" i="11"/>
  <c r="O154" i="10"/>
  <c r="L38" i="22"/>
  <c r="L26" i="22"/>
  <c r="K571" i="22"/>
  <c r="K544" i="22"/>
  <c r="K584" i="22" s="1"/>
  <c r="K532" i="22"/>
  <c r="K572" i="22" s="1"/>
  <c r="N123" i="10"/>
  <c r="K792" i="24"/>
  <c r="K805" i="24" s="1"/>
  <c r="K785" i="24"/>
  <c r="K797" i="24"/>
  <c r="J500" i="11"/>
  <c r="J503" i="11"/>
  <c r="L471" i="11"/>
  <c r="M471" i="11" s="1"/>
  <c r="L328" i="11"/>
  <c r="M516" i="11"/>
  <c r="M328" i="11"/>
  <c r="L373" i="11"/>
  <c r="M373" i="11" s="1"/>
  <c r="L189" i="12"/>
  <c r="I134" i="26"/>
  <c r="M365" i="11"/>
  <c r="L366" i="11"/>
  <c r="L252" i="22"/>
  <c r="L200" i="8"/>
  <c r="L212" i="8"/>
  <c r="M212" i="8" s="1"/>
  <c r="L203" i="8"/>
  <c r="M199" i="8"/>
  <c r="K61" i="13"/>
  <c r="K58" i="13"/>
  <c r="O80" i="8"/>
  <c r="N123" i="13"/>
  <c r="C40" i="13"/>
  <c r="C33" i="13"/>
  <c r="O49" i="7"/>
  <c r="O193" i="8"/>
  <c r="O457" i="8"/>
  <c r="O118" i="10"/>
  <c r="O43" i="10"/>
  <c r="O223" i="11"/>
  <c r="L514" i="22"/>
  <c r="L433" i="22"/>
  <c r="L390" i="22"/>
  <c r="K90" i="26"/>
  <c r="M8" i="22"/>
  <c r="M676" i="22"/>
  <c r="N207" i="10"/>
  <c r="O240" i="10"/>
  <c r="N204" i="10"/>
  <c r="N212" i="10"/>
  <c r="N125" i="12"/>
  <c r="N118" i="12"/>
  <c r="N130" i="12"/>
  <c r="K287" i="9"/>
  <c r="K278" i="9"/>
  <c r="K290" i="9"/>
  <c r="B40" i="13"/>
  <c r="B33" i="13"/>
  <c r="E24" i="13"/>
  <c r="O308" i="8"/>
  <c r="O309" i="8"/>
  <c r="O263" i="8"/>
  <c r="O109" i="11"/>
  <c r="O58" i="11"/>
  <c r="O110" i="11"/>
  <c r="L1113" i="24"/>
  <c r="L1089" i="24"/>
  <c r="L1091" i="24"/>
  <c r="L1117" i="24" s="1"/>
  <c r="J25" i="6"/>
  <c r="H21" i="21"/>
  <c r="H1185" i="24"/>
  <c r="G74" i="26"/>
  <c r="H1182" i="24"/>
  <c r="H1286" i="24"/>
  <c r="I203" i="22"/>
  <c r="I206" i="22"/>
  <c r="J494" i="22"/>
  <c r="J616" i="22"/>
  <c r="J467" i="22"/>
  <c r="K27" i="22"/>
  <c r="K30" i="22"/>
  <c r="K35" i="22"/>
  <c r="M54" i="7"/>
  <c r="L58" i="7"/>
  <c r="L55" i="7"/>
  <c r="K82" i="8"/>
  <c r="M183" i="11"/>
  <c r="M186" i="11"/>
  <c r="L149" i="12"/>
  <c r="L151" i="12"/>
  <c r="M151" i="12" s="1"/>
  <c r="M147" i="12"/>
  <c r="K257" i="22"/>
  <c r="K260" i="22"/>
  <c r="K248" i="22"/>
  <c r="K943" i="22"/>
  <c r="K946" i="22"/>
  <c r="K934" i="22"/>
  <c r="M218" i="9"/>
  <c r="P189" i="10"/>
  <c r="M1088" i="24"/>
  <c r="P526" i="8"/>
  <c r="N344" i="9"/>
  <c r="J196" i="13"/>
  <c r="H1162" i="24"/>
  <c r="H1164" i="24"/>
  <c r="J66" i="8"/>
  <c r="L788" i="24"/>
  <c r="L244" i="9"/>
  <c r="L232" i="9"/>
  <c r="M217" i="7"/>
  <c r="M214" i="7"/>
  <c r="O540" i="8"/>
  <c r="O552" i="8"/>
  <c r="N544" i="8"/>
  <c r="N549" i="8"/>
  <c r="L268" i="9"/>
  <c r="L915" i="22"/>
  <c r="L466" i="24"/>
  <c r="L479" i="24" s="1"/>
  <c r="L459" i="24"/>
  <c r="L471" i="24"/>
  <c r="L933" i="22"/>
  <c r="L930" i="22"/>
  <c r="L938" i="22"/>
  <c r="J370" i="11"/>
  <c r="J192" i="12"/>
  <c r="G136" i="26"/>
  <c r="J372" i="11"/>
  <c r="J527" i="11"/>
  <c r="J56" i="12"/>
  <c r="J529" i="11"/>
  <c r="K211" i="22"/>
  <c r="J409" i="22"/>
  <c r="J412" i="22"/>
  <c r="J417" i="22"/>
  <c r="M18" i="10"/>
  <c r="M10" i="10"/>
  <c r="L11" i="10"/>
  <c r="J195" i="7"/>
  <c r="J360" i="7"/>
  <c r="J373" i="7"/>
  <c r="J42" i="14"/>
  <c r="H1242" i="24" s="1"/>
  <c r="J56" i="14" s="1"/>
  <c r="J86" i="14"/>
  <c r="H70" i="22"/>
  <c r="I119" i="22"/>
  <c r="I106" i="22"/>
  <c r="H66" i="22"/>
  <c r="H78" i="22" s="1"/>
  <c r="J160" i="22"/>
  <c r="H379" i="22"/>
  <c r="J283" i="22"/>
  <c r="H365" i="22"/>
  <c r="H74" i="22"/>
  <c r="J147" i="22"/>
  <c r="J173" i="22" s="1"/>
  <c r="J270" i="22"/>
  <c r="J296" i="22" s="1"/>
  <c r="H351" i="22"/>
  <c r="G86" i="26"/>
  <c r="J45" i="11"/>
  <c r="J210" i="12"/>
  <c r="G19" i="3"/>
  <c r="G47" i="13"/>
  <c r="G10" i="13"/>
  <c r="E117" i="26"/>
  <c r="N65" i="7"/>
  <c r="N65" i="8"/>
  <c r="N204" i="11"/>
  <c r="N254" i="7"/>
  <c r="N232" i="7"/>
  <c r="N229" i="7"/>
  <c r="K35" i="11"/>
  <c r="K40" i="11"/>
  <c r="P594" i="8"/>
  <c r="P243" i="10"/>
  <c r="O426" i="11"/>
  <c r="O121" i="12"/>
  <c r="L747" i="24"/>
  <c r="O94" i="10"/>
  <c r="O215" i="10"/>
  <c r="O203" i="10"/>
  <c r="O301" i="7"/>
  <c r="L359" i="9"/>
  <c r="L362" i="9"/>
  <c r="L367" i="9"/>
  <c r="J327" i="11"/>
  <c r="J470" i="11"/>
  <c r="J238" i="8"/>
  <c r="J225" i="8"/>
  <c r="J27" i="11"/>
  <c r="J26" i="11"/>
  <c r="J381" i="11"/>
  <c r="J394" i="11"/>
  <c r="J161" i="12"/>
  <c r="J344" i="7"/>
  <c r="H62" i="9"/>
  <c r="H66" i="9"/>
  <c r="J141" i="13"/>
  <c r="H1285" i="24" s="1"/>
  <c r="L341" i="22"/>
  <c r="L193" i="13"/>
  <c r="J1165" i="24"/>
  <c r="J1158" i="24"/>
  <c r="K198" i="13"/>
  <c r="K199" i="13" s="1"/>
  <c r="K200" i="13"/>
  <c r="J24" i="14"/>
  <c r="H1222" i="24"/>
  <c r="K360" i="7"/>
  <c r="K373" i="7"/>
  <c r="K42" i="14"/>
  <c r="I1242" i="24" s="1"/>
  <c r="K56" i="14" s="1"/>
  <c r="K214" i="13" s="1"/>
  <c r="K86" i="14"/>
  <c r="I70" i="22"/>
  <c r="J119" i="22"/>
  <c r="I66" i="22"/>
  <c r="I74" i="22"/>
  <c r="K147" i="22"/>
  <c r="K270" i="22"/>
  <c r="I351" i="22"/>
  <c r="K160" i="22"/>
  <c r="J106" i="22"/>
  <c r="I379" i="22"/>
  <c r="K283" i="22"/>
  <c r="I365" i="22"/>
  <c r="H86" i="26"/>
  <c r="N521" i="11"/>
  <c r="K1371" i="24"/>
  <c r="L209" i="22"/>
  <c r="N24" i="12"/>
  <c r="M181" i="12"/>
  <c r="L182" i="12"/>
  <c r="L185" i="12"/>
  <c r="G40" i="13"/>
  <c r="G33" i="13"/>
  <c r="I17" i="9"/>
  <c r="I19" i="9" s="1"/>
  <c r="I64" i="9"/>
  <c r="I70" i="9"/>
  <c r="I1469" i="24"/>
  <c r="K240" i="8"/>
  <c r="K242" i="8"/>
  <c r="O224" i="7"/>
  <c r="O106" i="11"/>
  <c r="O178" i="11"/>
  <c r="N167" i="11"/>
  <c r="N145" i="11"/>
  <c r="N181" i="11"/>
  <c r="N236" i="7"/>
  <c r="N281" i="8"/>
  <c r="N283" i="8"/>
  <c r="N292" i="8"/>
  <c r="J244" i="22"/>
  <c r="J247" i="22"/>
  <c r="L33" i="12"/>
  <c r="M33" i="12" s="1"/>
  <c r="L26" i="12"/>
  <c r="M25" i="12"/>
  <c r="L139" i="13"/>
  <c r="M139" i="13" s="1"/>
  <c r="L108" i="13"/>
  <c r="L112" i="13"/>
  <c r="M107" i="13"/>
  <c r="J575" i="22"/>
  <c r="J548" i="22"/>
  <c r="J588" i="22" s="1"/>
  <c r="L102" i="7"/>
  <c r="M102" i="7" s="1"/>
  <c r="L91" i="7"/>
  <c r="M86" i="7"/>
  <c r="N457" i="11"/>
  <c r="N144" i="12"/>
  <c r="J219" i="26"/>
  <c r="N450" i="11"/>
  <c r="I1166" i="24"/>
  <c r="K527" i="11"/>
  <c r="K56" i="12"/>
  <c r="K529" i="11"/>
  <c r="K470" i="11" s="1"/>
  <c r="I209" i="26"/>
  <c r="M567" i="8"/>
  <c r="L571" i="8"/>
  <c r="L568" i="8"/>
  <c r="N394" i="8"/>
  <c r="N391" i="8"/>
  <c r="N328" i="8"/>
  <c r="N340" i="8"/>
  <c r="N337" i="8"/>
  <c r="K66" i="8"/>
  <c r="K95" i="8"/>
  <c r="N294" i="10"/>
  <c r="L681" i="22"/>
  <c r="L705" i="22"/>
  <c r="L683" i="22"/>
  <c r="L709" i="22" s="1"/>
  <c r="K519" i="22"/>
  <c r="K543" i="22"/>
  <c r="K583" i="22" s="1"/>
  <c r="K557" i="22"/>
  <c r="K521" i="22"/>
  <c r="O150" i="10"/>
  <c r="N141" i="10"/>
  <c r="N119" i="10"/>
  <c r="N116" i="10"/>
  <c r="N189" i="8"/>
  <c r="N207" i="8"/>
  <c r="J175" i="26"/>
  <c r="N48" i="8"/>
  <c r="N182" i="8"/>
  <c r="N276" i="7"/>
  <c r="N501" i="8"/>
  <c r="N267" i="11"/>
  <c r="J101" i="26"/>
  <c r="L694" i="22"/>
  <c r="L706" i="22"/>
  <c r="K420" i="22"/>
  <c r="K408" i="22"/>
  <c r="J185" i="26"/>
  <c r="N211" i="8"/>
  <c r="N202" i="8"/>
  <c r="J326" i="22"/>
  <c r="J329" i="22"/>
  <c r="L321" i="11"/>
  <c r="L464" i="11"/>
  <c r="M464" i="11" s="1"/>
  <c r="I106" i="26"/>
  <c r="M509" i="11"/>
  <c r="M321" i="11"/>
  <c r="J1380" i="24"/>
  <c r="J1373" i="24"/>
  <c r="L214" i="8"/>
  <c r="M214" i="8" s="1"/>
  <c r="M201" i="8"/>
  <c r="J60" i="13"/>
  <c r="K1376" i="24"/>
  <c r="N526" i="11" s="1"/>
  <c r="M337" i="22"/>
  <c r="I590" i="22"/>
  <c r="I631" i="22"/>
  <c r="I667" i="22"/>
  <c r="I658" i="22"/>
  <c r="I670" i="22"/>
  <c r="K144" i="13"/>
  <c r="K129" i="13"/>
  <c r="K140" i="13"/>
  <c r="J203" i="12"/>
  <c r="C19" i="3"/>
  <c r="C47" i="13"/>
  <c r="C10" i="13"/>
  <c r="B117" i="26"/>
  <c r="J68" i="7"/>
  <c r="J79" i="8"/>
  <c r="J95" i="8" s="1"/>
  <c r="M90" i="8"/>
  <c r="L106" i="8"/>
  <c r="M106" i="8" s="1"/>
  <c r="O597" i="8"/>
  <c r="O252" i="10"/>
  <c r="N430" i="11"/>
  <c r="N423" i="11"/>
  <c r="N435" i="11"/>
  <c r="O165" i="7"/>
  <c r="O165" i="8"/>
  <c r="O595" i="8"/>
  <c r="N302" i="7"/>
  <c r="N155" i="7"/>
  <c r="M345" i="9"/>
  <c r="M369" i="9"/>
  <c r="M448" i="24"/>
  <c r="M302" i="9"/>
  <c r="M347" i="9"/>
  <c r="M373" i="9" s="1"/>
  <c r="L243" i="9"/>
  <c r="L219" i="9"/>
  <c r="L774" i="24"/>
  <c r="L221" i="9"/>
  <c r="L247" i="9" s="1"/>
  <c r="J340" i="22"/>
  <c r="M441" i="11"/>
  <c r="M432" i="11"/>
  <c r="M444" i="11"/>
  <c r="M185" i="7"/>
  <c r="L189" i="7"/>
  <c r="L186" i="7"/>
  <c r="M81" i="10"/>
  <c r="L82" i="10"/>
  <c r="L85" i="10"/>
  <c r="K202" i="13"/>
  <c r="J57" i="13"/>
  <c r="M78" i="11"/>
  <c r="M90" i="11"/>
  <c r="M87" i="11"/>
  <c r="K71" i="7"/>
  <c r="K339" i="22"/>
  <c r="K342" i="22"/>
  <c r="K330" i="22"/>
  <c r="M380" i="8"/>
  <c r="M377" i="8"/>
  <c r="M368" i="8"/>
  <c r="L417" i="8"/>
  <c r="L408" i="8"/>
  <c r="L420" i="8"/>
  <c r="L381" i="8"/>
  <c r="N74" i="7"/>
  <c r="N96" i="7"/>
  <c r="H1152" i="24"/>
  <c r="H1149" i="24"/>
  <c r="J73" i="7"/>
  <c r="J66" i="7"/>
  <c r="N355" i="11"/>
  <c r="K1103" i="24"/>
  <c r="K1106" i="24"/>
  <c r="K1111" i="24"/>
  <c r="N76" i="11"/>
  <c r="N81" i="11"/>
  <c r="N211" i="7"/>
  <c r="N69" i="11"/>
  <c r="H7" i="21"/>
  <c r="H9" i="21" s="1"/>
  <c r="H905" i="22"/>
  <c r="H902" i="22"/>
  <c r="N155" i="10"/>
  <c r="M132" i="10"/>
  <c r="M129" i="10"/>
  <c r="L133" i="10"/>
  <c r="L145" i="10"/>
  <c r="L142" i="10"/>
  <c r="K13" i="21"/>
  <c r="I1223" i="24"/>
  <c r="I1220" i="24"/>
  <c r="K359" i="7"/>
  <c r="K372" i="7"/>
  <c r="K9" i="14"/>
  <c r="K41" i="14"/>
  <c r="K43" i="14" s="1"/>
  <c r="K85" i="14"/>
  <c r="I65" i="22"/>
  <c r="I73" i="22"/>
  <c r="K29" i="14"/>
  <c r="J105" i="22"/>
  <c r="J118" i="22"/>
  <c r="I364" i="22"/>
  <c r="K146" i="22"/>
  <c r="K159" i="22"/>
  <c r="K269" i="22"/>
  <c r="I350" i="22"/>
  <c r="I69" i="22"/>
  <c r="I71" i="22" s="1"/>
  <c r="K154" i="13" s="1"/>
  <c r="K134" i="14" s="1"/>
  <c r="K282" i="22"/>
  <c r="I378" i="22"/>
  <c r="H85" i="26"/>
  <c r="J249" i="8"/>
  <c r="N199" i="11"/>
  <c r="N196" i="11"/>
  <c r="N120" i="11"/>
  <c r="N132" i="11"/>
  <c r="N129" i="11"/>
  <c r="N416" i="8"/>
  <c r="L299" i="10"/>
  <c r="L302" i="10"/>
  <c r="M302" i="10"/>
  <c r="M299" i="10"/>
  <c r="D40" i="13"/>
  <c r="D33" i="13"/>
  <c r="I39" i="13"/>
  <c r="M912" i="22"/>
  <c r="M918" i="22"/>
  <c r="M940" i="22"/>
  <c r="O52" i="7"/>
  <c r="O184" i="8"/>
  <c r="O436" i="8"/>
  <c r="O130" i="10"/>
  <c r="O46" i="10"/>
  <c r="O251" i="11"/>
  <c r="L402" i="22"/>
  <c r="L526" i="22"/>
  <c r="L445" i="22"/>
  <c r="K96" i="26"/>
  <c r="M688" i="22"/>
  <c r="M20" i="22"/>
  <c r="K66" i="7"/>
  <c r="K73" i="7"/>
  <c r="M298" i="8"/>
  <c r="M286" i="8"/>
  <c r="M295" i="8"/>
  <c r="N301" i="10"/>
  <c r="N143" i="10"/>
  <c r="L37" i="22"/>
  <c r="L13" i="22"/>
  <c r="L15" i="22"/>
  <c r="L41" i="22" s="1"/>
  <c r="K419" i="22"/>
  <c r="K395" i="22"/>
  <c r="K397" i="22"/>
  <c r="K423" i="22" s="1"/>
  <c r="N84" i="10"/>
  <c r="N9" i="10"/>
  <c r="N44" i="10"/>
  <c r="N188" i="7"/>
  <c r="N266" i="7"/>
  <c r="N491" i="8"/>
  <c r="N236" i="11"/>
  <c r="J94" i="26"/>
  <c r="N50" i="7"/>
  <c r="N9" i="7"/>
  <c r="N480" i="8"/>
  <c r="N295" i="11"/>
  <c r="K233" i="9"/>
  <c r="K236" i="9"/>
  <c r="K241" i="9"/>
  <c r="L222" i="8"/>
  <c r="L235" i="8"/>
  <c r="L18" i="11"/>
  <c r="L17" i="11"/>
  <c r="L378" i="11"/>
  <c r="L391" i="11"/>
  <c r="L158" i="12"/>
  <c r="M158" i="12" s="1"/>
  <c r="L341" i="7"/>
  <c r="J63" i="9"/>
  <c r="J67" i="9"/>
  <c r="J1474" i="24" s="1"/>
  <c r="M463" i="11"/>
  <c r="M110" i="13"/>
  <c r="L530" i="11"/>
  <c r="M530" i="11" s="1"/>
  <c r="L53" i="12"/>
  <c r="L523" i="11"/>
  <c r="M522" i="11"/>
  <c r="K34" i="12"/>
  <c r="K31" i="12"/>
  <c r="M139" i="12"/>
  <c r="M136" i="12"/>
  <c r="M127" i="12"/>
  <c r="J644" i="22"/>
  <c r="J641" i="22"/>
  <c r="J216" i="12"/>
  <c r="J53" i="13"/>
  <c r="J59" i="13"/>
  <c r="J256" i="8"/>
  <c r="N467" i="11"/>
  <c r="N324" i="11"/>
  <c r="N75" i="12" s="1"/>
  <c r="N369" i="11"/>
  <c r="N43" i="12"/>
  <c r="J108" i="26"/>
  <c r="M358" i="11"/>
  <c r="M361" i="11"/>
  <c r="K166" i="13"/>
  <c r="K171" i="13"/>
  <c r="M937" i="22"/>
  <c r="M230" i="9"/>
  <c r="P538" i="8"/>
  <c r="P201" i="10"/>
  <c r="M1100" i="24"/>
  <c r="N356" i="9"/>
  <c r="N33" i="7"/>
  <c r="N152" i="7"/>
  <c r="O314" i="7"/>
  <c r="O606" i="8"/>
  <c r="N304" i="7"/>
  <c r="O247" i="10"/>
  <c r="N219" i="10"/>
  <c r="E39" i="13"/>
  <c r="O297" i="7"/>
  <c r="P577" i="8"/>
  <c r="O90" i="10"/>
  <c r="O190" i="10"/>
  <c r="O214" i="10"/>
  <c r="P229" i="10"/>
  <c r="O412" i="11"/>
  <c r="O107" i="12"/>
  <c r="L733" i="24"/>
  <c r="O192" i="10"/>
  <c r="O56" i="10"/>
  <c r="O146" i="7"/>
  <c r="J143" i="13"/>
  <c r="J338" i="22"/>
  <c r="J313" i="22"/>
  <c r="J316" i="22"/>
  <c r="M111" i="13"/>
  <c r="L136" i="7"/>
  <c r="L23" i="8"/>
  <c r="L129" i="8"/>
  <c r="L483" i="8"/>
  <c r="L305" i="11"/>
  <c r="M57" i="7"/>
  <c r="J452" i="22"/>
  <c r="J455" i="22"/>
  <c r="J487" i="22"/>
  <c r="J609" i="22"/>
  <c r="J460" i="22"/>
  <c r="J648" i="22"/>
  <c r="L283" i="7"/>
  <c r="L508" i="8"/>
  <c r="L288" i="11"/>
  <c r="M187" i="7"/>
  <c r="J23" i="11"/>
  <c r="O354" i="8"/>
  <c r="O351" i="8"/>
  <c r="M407" i="8"/>
  <c r="M404" i="8"/>
  <c r="K326" i="11"/>
  <c r="K329" i="11"/>
  <c r="H110" i="26"/>
  <c r="N96" i="8"/>
  <c r="N74" i="8"/>
  <c r="K78" i="12"/>
  <c r="I380" i="22" l="1"/>
  <c r="J120" i="22"/>
  <c r="K374" i="7"/>
  <c r="I14" i="6"/>
  <c r="J649" i="22"/>
  <c r="K284" i="22"/>
  <c r="I352" i="22"/>
  <c r="K296" i="22"/>
  <c r="N57" i="12"/>
  <c r="O98" i="10"/>
  <c r="O23" i="10"/>
  <c r="O58" i="10"/>
  <c r="O318" i="7"/>
  <c r="O610" i="8"/>
  <c r="K17" i="21"/>
  <c r="K19" i="21" s="1"/>
  <c r="P322" i="8"/>
  <c r="P267" i="8"/>
  <c r="P321" i="8"/>
  <c r="P71" i="11"/>
  <c r="P150" i="11"/>
  <c r="P149" i="11"/>
  <c r="L215" i="12"/>
  <c r="L399" i="11"/>
  <c r="M399" i="11" s="1"/>
  <c r="I127" i="26"/>
  <c r="L392" i="11"/>
  <c r="M391" i="11"/>
  <c r="K249" i="9"/>
  <c r="K246" i="9"/>
  <c r="K237" i="9"/>
  <c r="N286" i="7"/>
  <c r="N511" i="8"/>
  <c r="N298" i="11"/>
  <c r="O49" i="8"/>
  <c r="O186" i="8"/>
  <c r="K177" i="26"/>
  <c r="I1243" i="24"/>
  <c r="K55" i="14"/>
  <c r="K172" i="22"/>
  <c r="K148" i="22"/>
  <c r="N213" i="7"/>
  <c r="N215" i="7"/>
  <c r="J229" i="11"/>
  <c r="J425" i="8"/>
  <c r="J428" i="8"/>
  <c r="J219" i="11"/>
  <c r="M85" i="10"/>
  <c r="M82" i="10"/>
  <c r="O113" i="10"/>
  <c r="L776" i="24"/>
  <c r="L800" i="24"/>
  <c r="L778" i="24"/>
  <c r="L804" i="24" s="1"/>
  <c r="M304" i="9"/>
  <c r="M328" i="9"/>
  <c r="M306" i="9"/>
  <c r="M332" i="9" s="1"/>
  <c r="R581" i="8"/>
  <c r="R242" i="10"/>
  <c r="P425" i="11"/>
  <c r="P120" i="12"/>
  <c r="M746" i="24"/>
  <c r="U581" i="8"/>
  <c r="U242" i="10"/>
  <c r="Q201" i="10"/>
  <c r="K170" i="13"/>
  <c r="K172" i="13"/>
  <c r="N226" i="8"/>
  <c r="N239" i="8"/>
  <c r="N31" i="11"/>
  <c r="N395" i="11"/>
  <c r="N162" i="12"/>
  <c r="N30" i="11"/>
  <c r="N382" i="11"/>
  <c r="N345" i="7"/>
  <c r="J71" i="9"/>
  <c r="J1470" i="24"/>
  <c r="J1478" i="24" s="1"/>
  <c r="L386" i="11"/>
  <c r="M386" i="11" s="1"/>
  <c r="L202" i="12"/>
  <c r="I212" i="26"/>
  <c r="L379" i="11"/>
  <c r="M378" i="11"/>
  <c r="L248" i="8"/>
  <c r="M248" i="8" s="1"/>
  <c r="L230" i="8"/>
  <c r="M222" i="8"/>
  <c r="L223" i="8"/>
  <c r="L39" i="22"/>
  <c r="L14" i="22"/>
  <c r="L17" i="22"/>
  <c r="L453" i="22"/>
  <c r="L485" i="22"/>
  <c r="L607" i="22"/>
  <c r="I366" i="22"/>
  <c r="K80" i="13" s="1"/>
  <c r="I75" i="22"/>
  <c r="K155" i="13" s="1"/>
  <c r="K135" i="14" s="1"/>
  <c r="K101" i="14"/>
  <c r="H87" i="26"/>
  <c r="N156" i="10"/>
  <c r="N159" i="10"/>
  <c r="L159" i="10"/>
  <c r="M145" i="10"/>
  <c r="M142" i="10"/>
  <c r="L156" i="10"/>
  <c r="M133" i="10"/>
  <c r="M417" i="8"/>
  <c r="M408" i="8"/>
  <c r="M420" i="8"/>
  <c r="M381" i="8"/>
  <c r="L245" i="9"/>
  <c r="L220" i="9"/>
  <c r="L223" i="9"/>
  <c r="M258" i="9"/>
  <c r="M923" i="22"/>
  <c r="M450" i="24"/>
  <c r="M474" i="24"/>
  <c r="M452" i="24"/>
  <c r="M478" i="24" s="1"/>
  <c r="O169" i="7"/>
  <c r="O38" i="8"/>
  <c r="O166" i="8"/>
  <c r="O596" i="8"/>
  <c r="O599" i="8"/>
  <c r="O151" i="10"/>
  <c r="K545" i="22"/>
  <c r="K585" i="22" s="1"/>
  <c r="K559" i="22"/>
  <c r="K520" i="22"/>
  <c r="K523" i="22"/>
  <c r="K531" i="11"/>
  <c r="K528" i="11"/>
  <c r="N152" i="12"/>
  <c r="N145" i="12"/>
  <c r="M91" i="7"/>
  <c r="L12" i="3"/>
  <c r="M12" i="3" s="1"/>
  <c r="L107" i="7"/>
  <c r="M107" i="7" s="1"/>
  <c r="N296" i="8"/>
  <c r="K241" i="8"/>
  <c r="K244" i="8"/>
  <c r="M182" i="12"/>
  <c r="M185" i="12"/>
  <c r="I78" i="22"/>
  <c r="J356" i="7"/>
  <c r="J369" i="7"/>
  <c r="J38" i="14"/>
  <c r="J82" i="14"/>
  <c r="J156" i="22"/>
  <c r="J164" i="22" s="1"/>
  <c r="H53" i="22"/>
  <c r="H87" i="22" s="1"/>
  <c r="I115" i="22"/>
  <c r="I123" i="22" s="1"/>
  <c r="J32" i="14"/>
  <c r="J104" i="14" s="1"/>
  <c r="H49" i="22"/>
  <c r="H57" i="22"/>
  <c r="H91" i="22" s="1"/>
  <c r="H361" i="22"/>
  <c r="H369" i="22" s="1"/>
  <c r="I102" i="22"/>
  <c r="J279" i="22"/>
  <c r="J287" i="22" s="1"/>
  <c r="H347" i="22"/>
  <c r="H355" i="22" s="1"/>
  <c r="J143" i="22"/>
  <c r="J266" i="22"/>
  <c r="H375" i="22"/>
  <c r="H383" i="22" s="1"/>
  <c r="G83" i="26"/>
  <c r="H1238" i="24"/>
  <c r="H64" i="9"/>
  <c r="H70" i="9"/>
  <c r="H17" i="9"/>
  <c r="H1469" i="24"/>
  <c r="J227" i="8"/>
  <c r="J251" i="8"/>
  <c r="J229" i="8"/>
  <c r="L363" i="9"/>
  <c r="L372" i="9"/>
  <c r="L375" i="9"/>
  <c r="P598" i="8"/>
  <c r="P256" i="10"/>
  <c r="I132" i="22"/>
  <c r="J531" i="11"/>
  <c r="J528" i="11"/>
  <c r="J194" i="12"/>
  <c r="J196" i="12"/>
  <c r="O127" i="10"/>
  <c r="L801" i="24"/>
  <c r="L789" i="24"/>
  <c r="R590" i="8"/>
  <c r="R230" i="10"/>
  <c r="P413" i="11"/>
  <c r="P108" i="12"/>
  <c r="M734" i="24"/>
  <c r="U590" i="8"/>
  <c r="Q230" i="10"/>
  <c r="Q189" i="10"/>
  <c r="Q590" i="8"/>
  <c r="U230" i="10"/>
  <c r="K31" i="22"/>
  <c r="K40" i="22"/>
  <c r="K43" i="22"/>
  <c r="O227" i="7"/>
  <c r="O118" i="11"/>
  <c r="O190" i="11"/>
  <c r="O123" i="11"/>
  <c r="O389" i="8"/>
  <c r="O335" i="8"/>
  <c r="O313" i="8"/>
  <c r="O253" i="10"/>
  <c r="L398" i="22"/>
  <c r="K790" i="24"/>
  <c r="K793" i="24"/>
  <c r="K798" i="24"/>
  <c r="I47" i="13"/>
  <c r="J1148" i="24"/>
  <c r="J1160" i="24"/>
  <c r="J1150" i="24"/>
  <c r="L312" i="22"/>
  <c r="L336" i="22"/>
  <c r="L314" i="22"/>
  <c r="L127" i="13"/>
  <c r="L133" i="13"/>
  <c r="M133" i="13" s="1"/>
  <c r="M117" i="13"/>
  <c r="L125" i="13"/>
  <c r="L118" i="13"/>
  <c r="L131" i="13"/>
  <c r="M131" i="13" s="1"/>
  <c r="M115" i="13"/>
  <c r="L513" i="11"/>
  <c r="L42" i="12"/>
  <c r="L466" i="11"/>
  <c r="L323" i="11"/>
  <c r="L74" i="12" s="1"/>
  <c r="L368" i="11"/>
  <c r="I107" i="26"/>
  <c r="L515" i="11"/>
  <c r="M323" i="11"/>
  <c r="M511" i="11"/>
  <c r="H1220" i="24"/>
  <c r="H1223" i="24"/>
  <c r="N243" i="7"/>
  <c r="N248" i="7"/>
  <c r="N188" i="12"/>
  <c r="J133" i="26"/>
  <c r="N153" i="8"/>
  <c r="I224" i="26"/>
  <c r="M455" i="11"/>
  <c r="M458" i="11"/>
  <c r="O528" i="8"/>
  <c r="O555" i="8"/>
  <c r="O553" i="8"/>
  <c r="O531" i="8"/>
  <c r="E10" i="13"/>
  <c r="N286" i="10"/>
  <c r="N284" i="10"/>
  <c r="N32" i="10"/>
  <c r="N25" i="10"/>
  <c r="P147" i="7"/>
  <c r="R589" i="8"/>
  <c r="P193" i="10"/>
  <c r="R226" i="10"/>
  <c r="P57" i="10"/>
  <c r="P409" i="11"/>
  <c r="P104" i="12"/>
  <c r="M730" i="24"/>
  <c r="Q589" i="8"/>
  <c r="U589" i="8"/>
  <c r="Q185" i="10"/>
  <c r="Q226" i="10"/>
  <c r="U226" i="10"/>
  <c r="O70" i="7"/>
  <c r="O81" i="8"/>
  <c r="M54" i="8"/>
  <c r="L58" i="8"/>
  <c r="L55" i="8"/>
  <c r="K491" i="22"/>
  <c r="K653" i="22" s="1"/>
  <c r="K613" i="22"/>
  <c r="K204" i="26"/>
  <c r="P150" i="8"/>
  <c r="P542" i="8"/>
  <c r="Q534" i="8"/>
  <c r="P296" i="7"/>
  <c r="R576" i="8"/>
  <c r="P89" i="10"/>
  <c r="R225" i="10"/>
  <c r="P186" i="10"/>
  <c r="P210" i="10"/>
  <c r="P408" i="11"/>
  <c r="P103" i="12"/>
  <c r="M729" i="24"/>
  <c r="U225" i="10"/>
  <c r="Q576" i="8"/>
  <c r="Q184" i="10"/>
  <c r="U576" i="8"/>
  <c r="Q225" i="10"/>
  <c r="I33" i="13"/>
  <c r="I40" i="13"/>
  <c r="I376" i="22"/>
  <c r="I382" i="22"/>
  <c r="J122" i="22"/>
  <c r="J116" i="22"/>
  <c r="I90" i="22"/>
  <c r="I58" i="22"/>
  <c r="K89" i="14"/>
  <c r="K83" i="14"/>
  <c r="K114" i="14"/>
  <c r="K67" i="14" s="1"/>
  <c r="N410" i="8"/>
  <c r="N367" i="8"/>
  <c r="N364" i="8"/>
  <c r="N399" i="8"/>
  <c r="N372" i="8"/>
  <c r="I87" i="22"/>
  <c r="K151" i="22"/>
  <c r="K169" i="22"/>
  <c r="K46" i="14"/>
  <c r="K377" i="7"/>
  <c r="L318" i="9"/>
  <c r="L321" i="9"/>
  <c r="L326" i="9"/>
  <c r="O155" i="11"/>
  <c r="O157" i="11"/>
  <c r="O239" i="7"/>
  <c r="O193" i="11"/>
  <c r="O293" i="8"/>
  <c r="O284" i="8"/>
  <c r="M9" i="22"/>
  <c r="M33" i="22"/>
  <c r="L415" i="22"/>
  <c r="L391" i="22"/>
  <c r="I35" i="9"/>
  <c r="I1475" i="24"/>
  <c r="I1487" i="24"/>
  <c r="N20" i="7"/>
  <c r="N8" i="6"/>
  <c r="N17" i="6"/>
  <c r="N119" i="7"/>
  <c r="N269" i="7"/>
  <c r="N133" i="8"/>
  <c r="N494" i="8"/>
  <c r="N246" i="11"/>
  <c r="J95" i="26"/>
  <c r="L534" i="22"/>
  <c r="L574" i="22" s="1"/>
  <c r="L566" i="22"/>
  <c r="I77" i="22"/>
  <c r="I67" i="22"/>
  <c r="J82" i="8"/>
  <c r="K547" i="22"/>
  <c r="K587" i="22" s="1"/>
  <c r="K561" i="22"/>
  <c r="K98" i="8"/>
  <c r="N171" i="11"/>
  <c r="N185" i="11"/>
  <c r="I32" i="9"/>
  <c r="I38" i="9" s="1"/>
  <c r="I1471" i="24"/>
  <c r="I1477" i="24"/>
  <c r="J346" i="7"/>
  <c r="J348" i="7"/>
  <c r="J383" i="11"/>
  <c r="J205" i="12"/>
  <c r="G214" i="26"/>
  <c r="J385" i="11"/>
  <c r="J240" i="8"/>
  <c r="J242" i="8"/>
  <c r="L748" i="24"/>
  <c r="L760" i="24"/>
  <c r="J214" i="13"/>
  <c r="M19" i="10"/>
  <c r="K19" i="10"/>
  <c r="L19" i="10" s="1"/>
  <c r="M11" i="10"/>
  <c r="G138" i="26"/>
  <c r="J371" i="11"/>
  <c r="J374" i="11"/>
  <c r="L941" i="22"/>
  <c r="L916" i="22"/>
  <c r="L919" i="22"/>
  <c r="L945" i="22" s="1"/>
  <c r="N449" i="24"/>
  <c r="N303" i="9"/>
  <c r="M775" i="24"/>
  <c r="J507" i="22"/>
  <c r="J669" i="22" s="1"/>
  <c r="J629" i="22"/>
  <c r="O208" i="7"/>
  <c r="O60" i="11"/>
  <c r="O84" i="11"/>
  <c r="O62" i="11"/>
  <c r="O334" i="8"/>
  <c r="O310" i="8"/>
  <c r="O388" i="8"/>
  <c r="O312" i="8"/>
  <c r="N123" i="12"/>
  <c r="N126" i="12"/>
  <c r="N131" i="12"/>
  <c r="M684" i="22"/>
  <c r="L473" i="22"/>
  <c r="L595" i="22"/>
  <c r="L441" i="22"/>
  <c r="O52" i="8"/>
  <c r="O195" i="8"/>
  <c r="K181" i="26"/>
  <c r="L197" i="12"/>
  <c r="M197" i="12" s="1"/>
  <c r="M189" i="12"/>
  <c r="L190" i="12"/>
  <c r="K638" i="22"/>
  <c r="N133" i="7"/>
  <c r="N20" i="8"/>
  <c r="N119" i="8"/>
  <c r="N452" i="8"/>
  <c r="N302" i="11"/>
  <c r="J1200" i="24"/>
  <c r="J1375" i="24"/>
  <c r="L525" i="11" s="1"/>
  <c r="J1202" i="24"/>
  <c r="J904" i="22"/>
  <c r="J897" i="22"/>
  <c r="L126" i="13"/>
  <c r="L132" i="13"/>
  <c r="M132" i="13" s="1"/>
  <c r="M116" i="13"/>
  <c r="I73" i="26"/>
  <c r="J1181" i="24"/>
  <c r="L489" i="11"/>
  <c r="L486" i="11"/>
  <c r="M489" i="11"/>
  <c r="M486" i="11"/>
  <c r="J368" i="7"/>
  <c r="J355" i="7"/>
  <c r="J25" i="14"/>
  <c r="H48" i="22"/>
  <c r="H56" i="22"/>
  <c r="J155" i="22"/>
  <c r="J8" i="14"/>
  <c r="J31" i="14"/>
  <c r="J103" i="14" s="1"/>
  <c r="J37" i="14"/>
  <c r="J81" i="14"/>
  <c r="I101" i="22"/>
  <c r="H52" i="22"/>
  <c r="H374" i="22"/>
  <c r="J278" i="22"/>
  <c r="H360" i="22"/>
  <c r="H346" i="22"/>
  <c r="I114" i="22"/>
  <c r="J142" i="22"/>
  <c r="J265" i="22"/>
  <c r="G82" i="26"/>
  <c r="H1237" i="24"/>
  <c r="N379" i="8"/>
  <c r="N406" i="8"/>
  <c r="N234" i="8"/>
  <c r="N221" i="8"/>
  <c r="N13" i="11"/>
  <c r="N14" i="11"/>
  <c r="N377" i="11"/>
  <c r="N390" i="11"/>
  <c r="N157" i="12"/>
  <c r="N340" i="7"/>
  <c r="J248" i="22"/>
  <c r="J257" i="22"/>
  <c r="J260" i="22"/>
  <c r="N34" i="8"/>
  <c r="K80" i="12"/>
  <c r="K77" i="12"/>
  <c r="O32" i="8"/>
  <c r="O148" i="8"/>
  <c r="O154" i="8"/>
  <c r="E19" i="3"/>
  <c r="A125" i="26"/>
  <c r="B20" i="3"/>
  <c r="N66" i="10"/>
  <c r="N63" i="10"/>
  <c r="P275" i="8"/>
  <c r="P344" i="8"/>
  <c r="P345" i="8"/>
  <c r="P55" i="11"/>
  <c r="P100" i="11"/>
  <c r="P101" i="11"/>
  <c r="M1092" i="24"/>
  <c r="I187" i="26"/>
  <c r="M10" i="8"/>
  <c r="L11" i="8"/>
  <c r="L79" i="12"/>
  <c r="L166" i="12"/>
  <c r="M166" i="12" s="1"/>
  <c r="M47" i="12"/>
  <c r="M79" i="12"/>
  <c r="O143" i="12"/>
  <c r="K218" i="26"/>
  <c r="P318" i="8"/>
  <c r="P266" i="8"/>
  <c r="P317" i="8"/>
  <c r="P67" i="11"/>
  <c r="P136" i="11"/>
  <c r="P137" i="11"/>
  <c r="M1104" i="24"/>
  <c r="P262" i="8"/>
  <c r="P304" i="8"/>
  <c r="P305" i="8"/>
  <c r="P96" i="11"/>
  <c r="P54" i="11"/>
  <c r="P97" i="11"/>
  <c r="M1085" i="24"/>
  <c r="M1109" i="24"/>
  <c r="I348" i="22"/>
  <c r="I354" i="22"/>
  <c r="K267" i="22"/>
  <c r="K273" i="22"/>
  <c r="K291" i="22"/>
  <c r="I54" i="22"/>
  <c r="I86" i="22"/>
  <c r="I60" i="22"/>
  <c r="I94" i="22" s="1"/>
  <c r="I82" i="22"/>
  <c r="I50" i="22"/>
  <c r="K45" i="14"/>
  <c r="K39" i="14"/>
  <c r="K79" i="7"/>
  <c r="K68" i="8"/>
  <c r="K47" i="11"/>
  <c r="K350" i="7"/>
  <c r="K347" i="7"/>
  <c r="I355" i="22"/>
  <c r="I383" i="22"/>
  <c r="J123" i="22"/>
  <c r="I91" i="22"/>
  <c r="K364" i="7"/>
  <c r="K390" i="7" s="1"/>
  <c r="K382" i="7"/>
  <c r="J472" i="11"/>
  <c r="J329" i="11"/>
  <c r="J469" i="11"/>
  <c r="J326" i="11"/>
  <c r="G110" i="26"/>
  <c r="O212" i="7"/>
  <c r="O73" i="11"/>
  <c r="O85" i="11"/>
  <c r="K255" i="8"/>
  <c r="J339" i="22"/>
  <c r="J342" i="22"/>
  <c r="J330" i="22"/>
  <c r="O154" i="7"/>
  <c r="P160" i="7"/>
  <c r="O298" i="7"/>
  <c r="P160" i="8"/>
  <c r="P578" i="8"/>
  <c r="L735" i="24"/>
  <c r="L759" i="24"/>
  <c r="L737" i="24"/>
  <c r="L763" i="24" s="1"/>
  <c r="P585" i="8"/>
  <c r="P255" i="10"/>
  <c r="P311" i="7"/>
  <c r="O305" i="7"/>
  <c r="P603" i="8"/>
  <c r="O32" i="7"/>
  <c r="O148" i="7"/>
  <c r="O166" i="7"/>
  <c r="N153" i="7"/>
  <c r="N156" i="7"/>
  <c r="Q538" i="8"/>
  <c r="N193" i="12"/>
  <c r="J137" i="26"/>
  <c r="M523" i="11"/>
  <c r="L349" i="7"/>
  <c r="M349" i="7" s="1"/>
  <c r="M341" i="7"/>
  <c r="L342" i="7"/>
  <c r="L194" i="7"/>
  <c r="L19" i="11"/>
  <c r="L43" i="11"/>
  <c r="M43" i="11" s="1"/>
  <c r="M17" i="11"/>
  <c r="L21" i="11"/>
  <c r="N17" i="10"/>
  <c r="K421" i="22"/>
  <c r="K396" i="22"/>
  <c r="K399" i="22"/>
  <c r="K14" i="7"/>
  <c r="K72" i="7"/>
  <c r="K76" i="7"/>
  <c r="K219" i="11"/>
  <c r="K425" i="8"/>
  <c r="K229" i="11"/>
  <c r="K428" i="8"/>
  <c r="M28" i="22"/>
  <c r="O123" i="7"/>
  <c r="O116" i="8"/>
  <c r="O442" i="8"/>
  <c r="O271" i="11"/>
  <c r="K271" i="22"/>
  <c r="K297" i="22" s="1"/>
  <c r="K295" i="22"/>
  <c r="K1119" i="24"/>
  <c r="K1116" i="24"/>
  <c r="K1107" i="24"/>
  <c r="K232" i="11"/>
  <c r="K456" i="8"/>
  <c r="K459" i="8"/>
  <c r="K222" i="11"/>
  <c r="M189" i="7"/>
  <c r="M186" i="7"/>
  <c r="O316" i="7"/>
  <c r="N306" i="7"/>
  <c r="N303" i="7"/>
  <c r="J500" i="22"/>
  <c r="J662" i="22" s="1"/>
  <c r="J622" i="22"/>
  <c r="J492" i="22"/>
  <c r="J614" i="22"/>
  <c r="J495" i="22"/>
  <c r="J617" i="22"/>
  <c r="J468" i="22"/>
  <c r="J456" i="22"/>
  <c r="J465" i="22"/>
  <c r="O91" i="10"/>
  <c r="O64" i="10"/>
  <c r="O133" i="12"/>
  <c r="O109" i="12"/>
  <c r="O111" i="12"/>
  <c r="O216" i="10"/>
  <c r="P231" i="10"/>
  <c r="O194" i="10"/>
  <c r="O191" i="10"/>
  <c r="O38" i="7"/>
  <c r="O169" i="8"/>
  <c r="O608" i="8"/>
  <c r="N34" i="7"/>
  <c r="N461" i="24"/>
  <c r="N315" i="9"/>
  <c r="M787" i="24"/>
  <c r="L61" i="12"/>
  <c r="M61" i="12" s="1"/>
  <c r="L54" i="12"/>
  <c r="M53" i="12"/>
  <c r="L44" i="11"/>
  <c r="M44" i="11" s="1"/>
  <c r="M18" i="11"/>
  <c r="L22" i="11"/>
  <c r="M696" i="22"/>
  <c r="L410" i="22"/>
  <c r="K161" i="22"/>
  <c r="J131" i="22"/>
  <c r="J107" i="22"/>
  <c r="J133" i="22" s="1"/>
  <c r="K87" i="14"/>
  <c r="K118" i="14"/>
  <c r="K71" i="14" s="1"/>
  <c r="K361" i="7"/>
  <c r="K387" i="7" s="1"/>
  <c r="K385" i="7"/>
  <c r="N77" i="11"/>
  <c r="N74" i="11"/>
  <c r="N82" i="11"/>
  <c r="N85" i="7"/>
  <c r="N89" i="11"/>
  <c r="N565" i="8"/>
  <c r="N357" i="11"/>
  <c r="N452" i="11"/>
  <c r="N179" i="12"/>
  <c r="K1072" i="24"/>
  <c r="N359" i="11"/>
  <c r="M371" i="9"/>
  <c r="M346" i="9"/>
  <c r="M349" i="9"/>
  <c r="N431" i="11"/>
  <c r="N428" i="11"/>
  <c r="N436" i="11"/>
  <c r="J71" i="7"/>
  <c r="B125" i="26"/>
  <c r="C20" i="3"/>
  <c r="I1284" i="24"/>
  <c r="I1288" i="24"/>
  <c r="N208" i="8"/>
  <c r="N187" i="8"/>
  <c r="N190" i="8"/>
  <c r="J220" i="26"/>
  <c r="M26" i="12"/>
  <c r="N85" i="8"/>
  <c r="N294" i="8"/>
  <c r="N282" i="8"/>
  <c r="N285" i="8"/>
  <c r="J132" i="22"/>
  <c r="K173" i="22"/>
  <c r="K386" i="7"/>
  <c r="J197" i="7"/>
  <c r="J28" i="11"/>
  <c r="J34" i="11"/>
  <c r="J39" i="11"/>
  <c r="P315" i="7"/>
  <c r="P607" i="8"/>
  <c r="O134" i="12"/>
  <c r="O122" i="12"/>
  <c r="N75" i="8"/>
  <c r="N97" i="8"/>
  <c r="J386" i="7"/>
  <c r="J425" i="22"/>
  <c r="J422" i="22"/>
  <c r="J413" i="22"/>
  <c r="J1384" i="24" s="1"/>
  <c r="L276" i="9"/>
  <c r="L289" i="9" s="1"/>
  <c r="L227" i="9"/>
  <c r="O535" i="8"/>
  <c r="O198" i="10"/>
  <c r="L1097" i="24"/>
  <c r="L281" i="9"/>
  <c r="L269" i="9"/>
  <c r="M353" i="9"/>
  <c r="J98" i="8"/>
  <c r="H1163" i="24"/>
  <c r="H1166" i="24"/>
  <c r="Q526" i="8"/>
  <c r="O352" i="11"/>
  <c r="L1115" i="24"/>
  <c r="L1090" i="24"/>
  <c r="L1093" i="24"/>
  <c r="O226" i="7"/>
  <c r="O117" i="11"/>
  <c r="O189" i="11"/>
  <c r="O111" i="11"/>
  <c r="O122" i="11"/>
  <c r="N138" i="12"/>
  <c r="M16" i="22"/>
  <c r="L554" i="22"/>
  <c r="L522" i="22"/>
  <c r="M200" i="8"/>
  <c r="M203" i="8"/>
  <c r="L213" i="8"/>
  <c r="L204" i="8"/>
  <c r="L216" i="8"/>
  <c r="I135" i="26"/>
  <c r="M366" i="11"/>
  <c r="N53" i="7"/>
  <c r="N197" i="8"/>
  <c r="N467" i="8"/>
  <c r="N131" i="10"/>
  <c r="N47" i="10"/>
  <c r="N254" i="11"/>
  <c r="K527" i="22"/>
  <c r="K446" i="22"/>
  <c r="K403" i="22"/>
  <c r="J97" i="26"/>
  <c r="L689" i="22"/>
  <c r="L21" i="22"/>
  <c r="N79" i="10"/>
  <c r="N136" i="10"/>
  <c r="N124" i="10"/>
  <c r="N183" i="7"/>
  <c r="K502" i="22"/>
  <c r="K664" i="22" s="1"/>
  <c r="K624" i="22"/>
  <c r="I10" i="13"/>
  <c r="L325" i="22"/>
  <c r="L327" i="22"/>
  <c r="L230" i="22"/>
  <c r="L254" i="22"/>
  <c r="L232" i="22"/>
  <c r="L499" i="11"/>
  <c r="L28" i="12"/>
  <c r="L501" i="11"/>
  <c r="M501" i="11" s="1"/>
  <c r="M497" i="11"/>
  <c r="J372" i="7"/>
  <c r="J359" i="7"/>
  <c r="J29" i="14"/>
  <c r="H69" i="22"/>
  <c r="H71" i="22" s="1"/>
  <c r="J154" i="13" s="1"/>
  <c r="I118" i="22"/>
  <c r="I120" i="22" s="1"/>
  <c r="J9" i="14"/>
  <c r="J41" i="14"/>
  <c r="H1241" i="24" s="1"/>
  <c r="J85" i="14"/>
  <c r="H65" i="22"/>
  <c r="H73" i="22"/>
  <c r="H75" i="22" s="1"/>
  <c r="J155" i="13" s="1"/>
  <c r="J146" i="22"/>
  <c r="J159" i="22"/>
  <c r="J161" i="22" s="1"/>
  <c r="J269" i="22"/>
  <c r="H350" i="22"/>
  <c r="H352" i="22" s="1"/>
  <c r="I105" i="22"/>
  <c r="J282" i="22"/>
  <c r="J284" i="22" s="1"/>
  <c r="H378" i="22"/>
  <c r="H380" i="22" s="1"/>
  <c r="H364" i="22"/>
  <c r="H366" i="22" s="1"/>
  <c r="G85" i="26"/>
  <c r="J206" i="26"/>
  <c r="N411" i="8"/>
  <c r="N206" i="11"/>
  <c r="K207" i="12"/>
  <c r="K209" i="12"/>
  <c r="M329" i="9"/>
  <c r="M317" i="9"/>
  <c r="M173" i="11"/>
  <c r="M209" i="11"/>
  <c r="M200" i="11"/>
  <c r="M212" i="11"/>
  <c r="L17" i="3"/>
  <c r="L21" i="3"/>
  <c r="L11" i="6" s="1"/>
  <c r="L27" i="3"/>
  <c r="L12" i="6" s="1"/>
  <c r="N7" i="3"/>
  <c r="L20" i="6"/>
  <c r="L10" i="6"/>
  <c r="L14" i="6"/>
  <c r="L15" i="6"/>
  <c r="L26" i="8"/>
  <c r="L139" i="8"/>
  <c r="L514" i="8"/>
  <c r="L308" i="11"/>
  <c r="I103" i="26"/>
  <c r="L56" i="13"/>
  <c r="M56" i="13" s="1"/>
  <c r="J1217" i="24"/>
  <c r="J1214" i="24"/>
  <c r="L51" i="13"/>
  <c r="J1213" i="24"/>
  <c r="L55" i="13"/>
  <c r="J1218" i="24"/>
  <c r="L28" i="14" s="1"/>
  <c r="L52" i="13"/>
  <c r="L7" i="3"/>
  <c r="M7" i="3" s="1"/>
  <c r="M6" i="3"/>
  <c r="E47" i="13"/>
  <c r="N99" i="10"/>
  <c r="N96" i="10"/>
  <c r="K749" i="24"/>
  <c r="K752" i="24"/>
  <c r="K757" i="24"/>
  <c r="L477" i="22"/>
  <c r="L599" i="22"/>
  <c r="K182" i="26"/>
  <c r="P147" i="8"/>
  <c r="P530" i="8"/>
  <c r="Q522" i="8"/>
  <c r="L72" i="12"/>
  <c r="L159" i="12"/>
  <c r="M159" i="12" s="1"/>
  <c r="M40" i="12"/>
  <c r="M72" i="12"/>
  <c r="J34" i="12"/>
  <c r="J31" i="12"/>
  <c r="K652" i="22"/>
  <c r="K195" i="12"/>
  <c r="K198" i="12"/>
  <c r="P150" i="7"/>
  <c r="R580" i="8"/>
  <c r="P60" i="10"/>
  <c r="P205" i="10"/>
  <c r="R238" i="10"/>
  <c r="P421" i="11"/>
  <c r="P116" i="12"/>
  <c r="M742" i="24"/>
  <c r="U580" i="8"/>
  <c r="Q197" i="10"/>
  <c r="U238" i="10"/>
  <c r="N341" i="9"/>
  <c r="N365" i="9"/>
  <c r="N444" i="24"/>
  <c r="N298" i="9"/>
  <c r="M239" i="9"/>
  <c r="M215" i="9"/>
  <c r="M770" i="24"/>
  <c r="C125" i="26"/>
  <c r="D20" i="3"/>
  <c r="L489" i="22"/>
  <c r="L611" i="22"/>
  <c r="K178" i="26"/>
  <c r="I362" i="22"/>
  <c r="I368" i="22"/>
  <c r="K157" i="22"/>
  <c r="K163" i="22"/>
  <c r="K33" i="14"/>
  <c r="K30" i="14"/>
  <c r="K376" i="7"/>
  <c r="K370" i="7"/>
  <c r="N494" i="11"/>
  <c r="N508" i="11"/>
  <c r="N11" i="12"/>
  <c r="N488" i="11"/>
  <c r="K1184" i="24" s="1"/>
  <c r="N105" i="13"/>
  <c r="L197" i="22"/>
  <c r="M225" i="22"/>
  <c r="N106" i="13"/>
  <c r="N104" i="13"/>
  <c r="L184" i="22"/>
  <c r="M238" i="22"/>
  <c r="M320" i="22"/>
  <c r="K899" i="22"/>
  <c r="M307" i="22"/>
  <c r="K1195" i="24"/>
  <c r="J69" i="26"/>
  <c r="K1143" i="24"/>
  <c r="N481" i="11"/>
  <c r="N405" i="8"/>
  <c r="N378" i="8"/>
  <c r="O81" i="7"/>
  <c r="O70" i="8"/>
  <c r="K36" i="11"/>
  <c r="K33" i="11"/>
  <c r="K41" i="11"/>
  <c r="K287" i="22"/>
  <c r="K274" i="22"/>
  <c r="K300" i="22" s="1"/>
  <c r="K292" i="22"/>
  <c r="J110" i="22"/>
  <c r="J136" i="22" s="1"/>
  <c r="J128" i="22"/>
  <c r="I61" i="22"/>
  <c r="I95" i="22" s="1"/>
  <c r="I83" i="22"/>
  <c r="J140" i="13"/>
  <c r="J129" i="13"/>
  <c r="J144" i="13"/>
  <c r="J76" i="12"/>
  <c r="J163" i="12"/>
  <c r="J48" i="12"/>
  <c r="J45" i="12"/>
  <c r="O566" i="8"/>
  <c r="O180" i="12"/>
  <c r="L1073" i="24"/>
  <c r="O484" i="11" s="1"/>
  <c r="O375" i="8"/>
  <c r="O402" i="8"/>
  <c r="L434" i="22"/>
  <c r="L458" i="22"/>
  <c r="L472" i="22"/>
  <c r="L594" i="22"/>
  <c r="O446" i="8"/>
  <c r="O282" i="11"/>
  <c r="O188" i="8"/>
  <c r="O206" i="8"/>
  <c r="K174" i="26"/>
  <c r="K220" i="12"/>
  <c r="K222" i="12"/>
  <c r="O218" i="10"/>
  <c r="P233" i="10"/>
  <c r="O414" i="11"/>
  <c r="O438" i="11"/>
  <c r="O416" i="11"/>
  <c r="O260" i="10"/>
  <c r="J61" i="13"/>
  <c r="J58" i="13"/>
  <c r="L243" i="8"/>
  <c r="M243" i="8" s="1"/>
  <c r="L236" i="8"/>
  <c r="M235" i="8"/>
  <c r="N443" i="11"/>
  <c r="N9" i="8"/>
  <c r="N50" i="8"/>
  <c r="N56" i="8"/>
  <c r="J176" i="26"/>
  <c r="N215" i="8"/>
  <c r="O158" i="10"/>
  <c r="L707" i="22"/>
  <c r="L682" i="22"/>
  <c r="L685" i="22"/>
  <c r="I210" i="26"/>
  <c r="M568" i="8"/>
  <c r="M571" i="8"/>
  <c r="K58" i="12"/>
  <c r="K60" i="12"/>
  <c r="K165" i="12" s="1"/>
  <c r="M112" i="13"/>
  <c r="M108" i="13"/>
  <c r="N244" i="7"/>
  <c r="N249" i="7"/>
  <c r="N207" i="11"/>
  <c r="I69" i="9"/>
  <c r="I72" i="9"/>
  <c r="N52" i="12"/>
  <c r="K119" i="14"/>
  <c r="K72" i="14" s="1"/>
  <c r="L201" i="13"/>
  <c r="M201" i="13" s="1"/>
  <c r="M193" i="13"/>
  <c r="L194" i="13"/>
  <c r="H68" i="9"/>
  <c r="H18" i="9"/>
  <c r="H1473" i="24"/>
  <c r="J396" i="11"/>
  <c r="J218" i="12"/>
  <c r="G129" i="26"/>
  <c r="J398" i="11"/>
  <c r="J35" i="11"/>
  <c r="J40" i="11"/>
  <c r="P244" i="10"/>
  <c r="O427" i="11"/>
  <c r="O453" i="11" s="1"/>
  <c r="O439" i="11"/>
  <c r="K84" i="7"/>
  <c r="K84" i="8"/>
  <c r="K48" i="11"/>
  <c r="N75" i="7"/>
  <c r="N97" i="7"/>
  <c r="E125" i="26"/>
  <c r="G20" i="3"/>
  <c r="J119" i="14"/>
  <c r="J72" i="14"/>
  <c r="J58" i="12"/>
  <c r="J60" i="12"/>
  <c r="J165" i="12" s="1"/>
  <c r="L467" i="24"/>
  <c r="L464" i="24"/>
  <c r="L472" i="24"/>
  <c r="L29" i="21" s="1"/>
  <c r="L31" i="21" s="1"/>
  <c r="J198" i="13"/>
  <c r="J200" i="13"/>
  <c r="P348" i="8"/>
  <c r="P349" i="8"/>
  <c r="P276" i="8"/>
  <c r="P59" i="11"/>
  <c r="P114" i="11"/>
  <c r="P113" i="11"/>
  <c r="M149" i="12"/>
  <c r="L150" i="12"/>
  <c r="L153" i="12"/>
  <c r="M58" i="7"/>
  <c r="M55" i="7"/>
  <c r="J656" i="22"/>
  <c r="H1287" i="24"/>
  <c r="O271" i="8"/>
  <c r="O289" i="8"/>
  <c r="O264" i="8"/>
  <c r="E33" i="13"/>
  <c r="E40" i="13"/>
  <c r="O245" i="10"/>
  <c r="O248" i="10"/>
  <c r="N217" i="10"/>
  <c r="N208" i="10"/>
  <c r="N220" i="10"/>
  <c r="O116" i="7"/>
  <c r="O123" i="8"/>
  <c r="O463" i="8"/>
  <c r="O243" i="11"/>
  <c r="K466" i="22"/>
  <c r="K480" i="22"/>
  <c r="K642" i="22" s="1"/>
  <c r="K602" i="22"/>
  <c r="K464" i="22"/>
  <c r="K478" i="22"/>
  <c r="K640" i="22" s="1"/>
  <c r="K600" i="22"/>
  <c r="K442" i="22"/>
  <c r="K439" i="22"/>
  <c r="I19" i="3"/>
  <c r="D125" i="26"/>
  <c r="F20" i="3"/>
  <c r="K202" i="22"/>
  <c r="K204" i="22"/>
  <c r="L243" i="22"/>
  <c r="L245" i="22"/>
  <c r="K213" i="22"/>
  <c r="K189" i="22"/>
  <c r="K191" i="22"/>
  <c r="L16" i="12"/>
  <c r="M16" i="12"/>
  <c r="M18" i="12"/>
  <c r="L18" i="12"/>
  <c r="M91" i="8"/>
  <c r="L107" i="8"/>
  <c r="M107" i="8" s="1"/>
  <c r="N170" i="11"/>
  <c r="N143" i="11"/>
  <c r="N184" i="11"/>
  <c r="N168" i="11"/>
  <c r="N237" i="7"/>
  <c r="N146" i="11"/>
  <c r="N182" i="11"/>
  <c r="H216" i="26"/>
  <c r="K387" i="11"/>
  <c r="K384" i="11"/>
  <c r="H217" i="26" s="1"/>
  <c r="N192" i="13"/>
  <c r="N156" i="8"/>
  <c r="M272" i="9"/>
  <c r="M928" i="22"/>
  <c r="M475" i="24"/>
  <c r="M463" i="24"/>
  <c r="M246" i="7"/>
  <c r="M258" i="7"/>
  <c r="M255" i="7"/>
  <c r="L26" i="7"/>
  <c r="L139" i="7"/>
  <c r="L289" i="7"/>
  <c r="M11" i="7"/>
  <c r="L335" i="7"/>
  <c r="M18" i="6"/>
  <c r="L19" i="6"/>
  <c r="L558" i="22"/>
  <c r="N348" i="9"/>
  <c r="N445" i="24"/>
  <c r="N299" i="9"/>
  <c r="M222" i="9"/>
  <c r="M771" i="24"/>
  <c r="I207" i="22"/>
  <c r="I219" i="22"/>
  <c r="I216" i="22"/>
  <c r="K503" i="22"/>
  <c r="K665" i="22" s="1"/>
  <c r="K625" i="22"/>
  <c r="O479" i="11"/>
  <c r="N360" i="9"/>
  <c r="N457" i="24"/>
  <c r="N311" i="9"/>
  <c r="M234" i="9"/>
  <c r="M783" i="24"/>
  <c r="P523" i="8"/>
  <c r="P547" i="8"/>
  <c r="Q547" i="8" s="1"/>
  <c r="Q521" i="8"/>
  <c r="L570" i="22"/>
  <c r="I1237" i="24"/>
  <c r="K280" i="22"/>
  <c r="K286" i="22"/>
  <c r="K144" i="22"/>
  <c r="K150" i="22"/>
  <c r="K168" i="22"/>
  <c r="K10" i="14"/>
  <c r="K97" i="14"/>
  <c r="H84" i="26"/>
  <c r="J103" i="22"/>
  <c r="J109" i="22"/>
  <c r="J135" i="22" s="1"/>
  <c r="J127" i="22"/>
  <c r="K363" i="7"/>
  <c r="K389" i="7" s="1"/>
  <c r="K357" i="7"/>
  <c r="K381" i="7"/>
  <c r="J576" i="22"/>
  <c r="J573" i="22"/>
  <c r="J546" i="22"/>
  <c r="J537" i="22"/>
  <c r="J549" i="22"/>
  <c r="F125" i="26"/>
  <c r="H20" i="3"/>
  <c r="K199" i="7"/>
  <c r="K201" i="7"/>
  <c r="I1238" i="24"/>
  <c r="I369" i="22"/>
  <c r="K164" i="22"/>
  <c r="K90" i="14"/>
  <c r="K115" i="14"/>
  <c r="K123" i="14" s="1"/>
  <c r="M49" i="10"/>
  <c r="M52" i="10"/>
  <c r="K699" i="22"/>
  <c r="M12" i="16" s="1"/>
  <c r="K708" i="22"/>
  <c r="K711" i="22"/>
  <c r="H1381" i="24"/>
  <c r="H1378" i="24"/>
  <c r="J78" i="12"/>
  <c r="O158" i="11"/>
  <c r="O240" i="7"/>
  <c r="O194" i="11"/>
  <c r="O363" i="8"/>
  <c r="O374" i="8"/>
  <c r="O401" i="8"/>
  <c r="M701" i="22"/>
  <c r="M677" i="22"/>
  <c r="L539" i="22"/>
  <c r="L579" i="22" s="1"/>
  <c r="L553" i="22"/>
  <c r="L515" i="22"/>
  <c r="P149" i="10"/>
  <c r="Q149" i="10" s="1"/>
  <c r="O263" i="7"/>
  <c r="O488" i="8"/>
  <c r="O226" i="11"/>
  <c r="K91" i="26"/>
  <c r="K253" i="8"/>
  <c r="K231" i="8"/>
  <c r="K228" i="8"/>
  <c r="H131" i="26"/>
  <c r="K14" i="3"/>
  <c r="H132" i="26" s="1"/>
  <c r="K400" i="11"/>
  <c r="K397" i="11"/>
  <c r="N557" i="8"/>
  <c r="N554" i="8"/>
  <c r="N545" i="8"/>
  <c r="L651" i="22" l="1"/>
  <c r="H1243" i="24"/>
  <c r="J55" i="14"/>
  <c r="K14" i="14"/>
  <c r="K73" i="14"/>
  <c r="O148" i="12"/>
  <c r="K222" i="26"/>
  <c r="O403" i="8"/>
  <c r="O376" i="8"/>
  <c r="F140" i="26"/>
  <c r="H21" i="3"/>
  <c r="H11" i="6" s="1"/>
  <c r="J111" i="22"/>
  <c r="J129" i="22"/>
  <c r="J108" i="22"/>
  <c r="K285" i="22"/>
  <c r="K288" i="22"/>
  <c r="O493" i="11"/>
  <c r="O507" i="11"/>
  <c r="O10" i="12"/>
  <c r="O100" i="13"/>
  <c r="N237" i="22"/>
  <c r="O101" i="13"/>
  <c r="O99" i="13"/>
  <c r="M196" i="22"/>
  <c r="N224" i="22"/>
  <c r="N319" i="22"/>
  <c r="N306" i="22"/>
  <c r="M183" i="22"/>
  <c r="L895" i="22"/>
  <c r="K68" i="26"/>
  <c r="L1194" i="24"/>
  <c r="L1142" i="24"/>
  <c r="N245" i="7"/>
  <c r="N242" i="7"/>
  <c r="N250" i="7"/>
  <c r="K215" i="22"/>
  <c r="K193" i="22"/>
  <c r="K190" i="22"/>
  <c r="K504" i="22"/>
  <c r="K666" i="22" s="1"/>
  <c r="K626" i="22"/>
  <c r="J84" i="7"/>
  <c r="J84" i="8"/>
  <c r="J48" i="11"/>
  <c r="N257" i="7"/>
  <c r="K59" i="12"/>
  <c r="K62" i="12"/>
  <c r="O440" i="11"/>
  <c r="O415" i="11"/>
  <c r="O418" i="11"/>
  <c r="M328" i="22"/>
  <c r="M321" i="22"/>
  <c r="N138" i="13"/>
  <c r="N111" i="13"/>
  <c r="K375" i="7"/>
  <c r="K330" i="7" s="1"/>
  <c r="K70" i="13" s="1"/>
  <c r="K378" i="7"/>
  <c r="M9" i="4"/>
  <c r="L19" i="5"/>
  <c r="N12" i="16"/>
  <c r="L10" i="15"/>
  <c r="I1246" i="24"/>
  <c r="K52" i="14"/>
  <c r="K176" i="22"/>
  <c r="I1239" i="24"/>
  <c r="I1245" i="24"/>
  <c r="K51" i="14"/>
  <c r="N319" i="9"/>
  <c r="N307" i="9"/>
  <c r="M335" i="7"/>
  <c r="L336" i="7"/>
  <c r="M231" i="9"/>
  <c r="P539" i="8"/>
  <c r="P202" i="10"/>
  <c r="M1101" i="24"/>
  <c r="M285" i="9"/>
  <c r="N357" i="9"/>
  <c r="M273" i="9"/>
  <c r="N86" i="7"/>
  <c r="N86" i="8"/>
  <c r="N208" i="11"/>
  <c r="N210" i="11"/>
  <c r="K203" i="22"/>
  <c r="K206" i="22"/>
  <c r="O249" i="10"/>
  <c r="O258" i="10"/>
  <c r="O261" i="10"/>
  <c r="Q276" i="8"/>
  <c r="K87" i="8"/>
  <c r="K89" i="8"/>
  <c r="G131" i="26"/>
  <c r="J14" i="3"/>
  <c r="J400" i="11"/>
  <c r="J397" i="11"/>
  <c r="M194" i="13"/>
  <c r="O442" i="11"/>
  <c r="P259" i="10"/>
  <c r="K224" i="12"/>
  <c r="K221" i="12"/>
  <c r="L474" i="22"/>
  <c r="L596" i="22"/>
  <c r="K208" i="26"/>
  <c r="H1284" i="24"/>
  <c r="H1288" i="24"/>
  <c r="K49" i="11"/>
  <c r="K46" i="11"/>
  <c r="K37" i="11"/>
  <c r="K1372" i="24"/>
  <c r="K1203" i="24"/>
  <c r="K1196" i="24"/>
  <c r="M246" i="22"/>
  <c r="M239" i="22"/>
  <c r="M251" i="22"/>
  <c r="M233" i="22"/>
  <c r="M259" i="22" s="1"/>
  <c r="M226" i="22"/>
  <c r="N19" i="12"/>
  <c r="N12" i="12"/>
  <c r="K162" i="22"/>
  <c r="K165" i="22"/>
  <c r="P429" i="11"/>
  <c r="Q429" i="11" s="1"/>
  <c r="Q421" i="11"/>
  <c r="R164" i="7"/>
  <c r="R161" i="8"/>
  <c r="R582" i="8"/>
  <c r="U582" i="8"/>
  <c r="U164" i="7"/>
  <c r="U161" i="8"/>
  <c r="Q150" i="7"/>
  <c r="Q530" i="8"/>
  <c r="N300" i="10"/>
  <c r="L360" i="7"/>
  <c r="L373" i="7"/>
  <c r="M373" i="7" s="1"/>
  <c r="M100" i="14"/>
  <c r="J66" i="22"/>
  <c r="J74" i="22"/>
  <c r="L147" i="22"/>
  <c r="L270" i="22"/>
  <c r="M28" i="14"/>
  <c r="L42" i="14"/>
  <c r="M42" i="14" s="1"/>
  <c r="L86" i="14"/>
  <c r="K106" i="22"/>
  <c r="L283" i="22"/>
  <c r="J365" i="22"/>
  <c r="J70" i="22"/>
  <c r="J351" i="22"/>
  <c r="K119" i="22"/>
  <c r="L160" i="22"/>
  <c r="J379" i="22"/>
  <c r="I86" i="26"/>
  <c r="J1242" i="24"/>
  <c r="L56" i="14" s="1"/>
  <c r="L24" i="14"/>
  <c r="J1222" i="24"/>
  <c r="J87" i="14"/>
  <c r="J118" i="14"/>
  <c r="J71" i="14" s="1"/>
  <c r="J134" i="14"/>
  <c r="L258" i="22"/>
  <c r="L326" i="22"/>
  <c r="L329" i="22"/>
  <c r="N10" i="7"/>
  <c r="N54" i="7"/>
  <c r="N273" i="7"/>
  <c r="N498" i="8"/>
  <c r="N257" i="11"/>
  <c r="J98" i="26"/>
  <c r="N187" i="7"/>
  <c r="L29" i="22"/>
  <c r="L42" i="22" s="1"/>
  <c r="L22" i="22"/>
  <c r="L34" i="22"/>
  <c r="K486" i="22"/>
  <c r="K608" i="22"/>
  <c r="K454" i="22"/>
  <c r="K447" i="22"/>
  <c r="K459" i="22"/>
  <c r="N126" i="7"/>
  <c r="N126" i="8"/>
  <c r="N473" i="8"/>
  <c r="N274" i="11"/>
  <c r="N185" i="7"/>
  <c r="N57" i="7"/>
  <c r="L562" i="22"/>
  <c r="O252" i="7"/>
  <c r="O230" i="7"/>
  <c r="O562" i="8"/>
  <c r="O449" i="11"/>
  <c r="O176" i="12"/>
  <c r="O360" i="11"/>
  <c r="L1069" i="24"/>
  <c r="O353" i="11"/>
  <c r="L274" i="9"/>
  <c r="L277" i="9"/>
  <c r="L282" i="9"/>
  <c r="O151" i="8"/>
  <c r="O543" i="8"/>
  <c r="O536" i="8"/>
  <c r="O548" i="8"/>
  <c r="J36" i="11"/>
  <c r="J33" i="11"/>
  <c r="J41" i="11"/>
  <c r="N286" i="8"/>
  <c r="N298" i="8"/>
  <c r="N295" i="8"/>
  <c r="J459" i="8"/>
  <c r="J232" i="11"/>
  <c r="J456" i="8"/>
  <c r="J222" i="11"/>
  <c r="K12" i="21"/>
  <c r="K14" i="21" s="1"/>
  <c r="N454" i="11"/>
  <c r="N147" i="12"/>
  <c r="J221" i="26"/>
  <c r="N456" i="11"/>
  <c r="N87" i="11"/>
  <c r="N78" i="11"/>
  <c r="N90" i="11"/>
  <c r="P126" i="10"/>
  <c r="P257" i="10"/>
  <c r="H145" i="26"/>
  <c r="K233" i="11"/>
  <c r="K460" i="8"/>
  <c r="K112" i="8"/>
  <c r="K431" i="8"/>
  <c r="K487" i="8"/>
  <c r="H189" i="26"/>
  <c r="L63" i="7"/>
  <c r="L63" i="8"/>
  <c r="M21" i="11"/>
  <c r="L202" i="7"/>
  <c r="M202" i="7" s="1"/>
  <c r="M194" i="7"/>
  <c r="L195" i="7"/>
  <c r="K272" i="22"/>
  <c r="K275" i="22"/>
  <c r="K293" i="22"/>
  <c r="P223" i="7"/>
  <c r="P105" i="11"/>
  <c r="P177" i="11"/>
  <c r="Q177" i="11" s="1"/>
  <c r="Q97" i="11"/>
  <c r="P306" i="8"/>
  <c r="P384" i="8"/>
  <c r="Q384" i="8" s="1"/>
  <c r="P330" i="8"/>
  <c r="Q304" i="8"/>
  <c r="P163" i="11"/>
  <c r="Q163" i="11" s="1"/>
  <c r="Q137" i="11"/>
  <c r="P268" i="8"/>
  <c r="Q266" i="8"/>
  <c r="P63" i="11"/>
  <c r="Q55" i="11"/>
  <c r="N214" i="12"/>
  <c r="J126" i="26"/>
  <c r="N193" i="7"/>
  <c r="N15" i="11"/>
  <c r="N419" i="8"/>
  <c r="J267" i="22"/>
  <c r="J273" i="22"/>
  <c r="J291" i="22"/>
  <c r="H362" i="22"/>
  <c r="H368" i="22"/>
  <c r="I109" i="22"/>
  <c r="I127" i="22"/>
  <c r="I103" i="22"/>
  <c r="J10" i="14"/>
  <c r="J97" i="14"/>
  <c r="G84" i="26"/>
  <c r="J33" i="14"/>
  <c r="J30" i="14"/>
  <c r="J7" i="21"/>
  <c r="J9" i="21" s="1"/>
  <c r="J902" i="22"/>
  <c r="J905" i="22"/>
  <c r="J1201" i="24"/>
  <c r="J1204" i="24"/>
  <c r="M190" i="12"/>
  <c r="L635" i="22"/>
  <c r="O338" i="8"/>
  <c r="O392" i="8"/>
  <c r="O414" i="8"/>
  <c r="O86" i="11"/>
  <c r="O61" i="11"/>
  <c r="O64" i="11"/>
  <c r="P114" i="10"/>
  <c r="G216" i="26"/>
  <c r="J387" i="11"/>
  <c r="J384" i="11"/>
  <c r="I1476" i="24"/>
  <c r="I1479" i="24"/>
  <c r="N211" i="11"/>
  <c r="K153" i="13"/>
  <c r="I76" i="22"/>
  <c r="I79" i="22"/>
  <c r="L322" i="9"/>
  <c r="L334" i="9"/>
  <c r="L331" i="9"/>
  <c r="N412" i="8"/>
  <c r="P410" i="11"/>
  <c r="P434" i="11"/>
  <c r="Q434" i="11" s="1"/>
  <c r="Q408" i="11"/>
  <c r="R310" i="7"/>
  <c r="R602" i="8"/>
  <c r="Q296" i="7"/>
  <c r="Q602" i="8"/>
  <c r="U602" i="8"/>
  <c r="U310" i="7"/>
  <c r="Q310" i="7"/>
  <c r="Q542" i="8"/>
  <c r="P112" i="12"/>
  <c r="Q104" i="12"/>
  <c r="L470" i="11"/>
  <c r="M470" i="11" s="1"/>
  <c r="L327" i="11"/>
  <c r="M515" i="11"/>
  <c r="M327" i="11"/>
  <c r="L225" i="8"/>
  <c r="L238" i="8"/>
  <c r="L26" i="11"/>
  <c r="L27" i="11"/>
  <c r="L381" i="11"/>
  <c r="L394" i="11"/>
  <c r="L161" i="12"/>
  <c r="M161" i="12" s="1"/>
  <c r="L344" i="7"/>
  <c r="J66" i="9"/>
  <c r="J62" i="9"/>
  <c r="M466" i="11"/>
  <c r="L338" i="22"/>
  <c r="L313" i="22"/>
  <c r="L316" i="22"/>
  <c r="K803" i="24"/>
  <c r="K794" i="24"/>
  <c r="K806" i="24"/>
  <c r="O198" i="11"/>
  <c r="O131" i="11"/>
  <c r="Q413" i="11"/>
  <c r="J195" i="12"/>
  <c r="J198" i="12"/>
  <c r="J255" i="8"/>
  <c r="H32" i="9"/>
  <c r="H1471" i="24"/>
  <c r="H1477" i="24"/>
  <c r="H1246" i="24"/>
  <c r="J52" i="14"/>
  <c r="J169" i="22"/>
  <c r="J151" i="22"/>
  <c r="J177" i="22" s="1"/>
  <c r="J46" i="14"/>
  <c r="L493" i="22"/>
  <c r="L655" i="22" s="1"/>
  <c r="L615" i="22"/>
  <c r="L249" i="8"/>
  <c r="M249" i="8" s="1"/>
  <c r="M223" i="8"/>
  <c r="N219" i="12"/>
  <c r="J130" i="26"/>
  <c r="K20" i="6"/>
  <c r="M20" i="6" s="1"/>
  <c r="J112" i="8"/>
  <c r="J431" i="8"/>
  <c r="J487" i="8"/>
  <c r="G189" i="26"/>
  <c r="J76" i="7"/>
  <c r="K213" i="13"/>
  <c r="K215" i="13" s="1"/>
  <c r="K57" i="14"/>
  <c r="I128" i="26"/>
  <c r="M392" i="11"/>
  <c r="P323" i="8"/>
  <c r="Q321" i="8"/>
  <c r="O280" i="10"/>
  <c r="O31" i="10"/>
  <c r="O287" i="10"/>
  <c r="N267" i="9"/>
  <c r="N914" i="22"/>
  <c r="N465" i="24"/>
  <c r="O297" i="8"/>
  <c r="P115" i="11"/>
  <c r="Q113" i="11"/>
  <c r="L477" i="24"/>
  <c r="L468" i="24"/>
  <c r="L480" i="24"/>
  <c r="E140" i="26"/>
  <c r="H35" i="9"/>
  <c r="H1475" i="24"/>
  <c r="H1487" i="24"/>
  <c r="L634" i="22"/>
  <c r="J80" i="12"/>
  <c r="J77" i="12"/>
  <c r="L192" i="22"/>
  <c r="L210" i="22"/>
  <c r="L185" i="22"/>
  <c r="P109" i="10"/>
  <c r="M772" i="24"/>
  <c r="M796" i="24"/>
  <c r="Q60" i="10"/>
  <c r="Q147" i="8"/>
  <c r="L57" i="13"/>
  <c r="M57" i="13" s="1"/>
  <c r="M55" i="13"/>
  <c r="L27" i="14"/>
  <c r="J1219" i="24"/>
  <c r="I107" i="22"/>
  <c r="I133" i="22" s="1"/>
  <c r="I131" i="22"/>
  <c r="J148" i="22"/>
  <c r="J174" i="22" s="1"/>
  <c r="J172" i="22"/>
  <c r="J43" i="14"/>
  <c r="N132" i="10"/>
  <c r="N129" i="10"/>
  <c r="O153" i="10"/>
  <c r="N137" i="10"/>
  <c r="L697" i="22"/>
  <c r="L710" i="22" s="1"/>
  <c r="L702" i="22"/>
  <c r="L690" i="22"/>
  <c r="K567" i="22"/>
  <c r="K535" i="22"/>
  <c r="K528" i="22"/>
  <c r="K540" i="22"/>
  <c r="K580" i="22" s="1"/>
  <c r="O228" i="7"/>
  <c r="O119" i="11"/>
  <c r="O191" i="11"/>
  <c r="O124" i="11"/>
  <c r="L235" i="9"/>
  <c r="L248" i="9" s="1"/>
  <c r="L784" i="24"/>
  <c r="L228" i="9"/>
  <c r="L240" i="9"/>
  <c r="J199" i="7"/>
  <c r="J201" i="7"/>
  <c r="B140" i="26"/>
  <c r="N483" i="11"/>
  <c r="K1074" i="24"/>
  <c r="K1076" i="24"/>
  <c r="N361" i="11"/>
  <c r="N358" i="11"/>
  <c r="N90" i="7"/>
  <c r="N101" i="7"/>
  <c r="K120" i="14"/>
  <c r="O137" i="12"/>
  <c r="L165" i="13"/>
  <c r="J496" i="22"/>
  <c r="J508" i="22"/>
  <c r="J618" i="22"/>
  <c r="J630" i="22"/>
  <c r="J469" i="22"/>
  <c r="J505" i="22"/>
  <c r="J627" i="22"/>
  <c r="K115" i="7"/>
  <c r="K242" i="11"/>
  <c r="H142" i="26"/>
  <c r="K457" i="8"/>
  <c r="K223" i="11"/>
  <c r="K112" i="7"/>
  <c r="K262" i="7"/>
  <c r="K239" i="11"/>
  <c r="K225" i="11"/>
  <c r="H141" i="26"/>
  <c r="K426" i="8"/>
  <c r="K220" i="11"/>
  <c r="M342" i="7"/>
  <c r="L761" i="24"/>
  <c r="L736" i="24"/>
  <c r="L739" i="24"/>
  <c r="P168" i="7"/>
  <c r="P37" i="8"/>
  <c r="P162" i="8"/>
  <c r="P583" i="8"/>
  <c r="P586" i="8"/>
  <c r="K148" i="13"/>
  <c r="I62" i="22"/>
  <c r="I84" i="22"/>
  <c r="I59" i="22"/>
  <c r="K149" i="13"/>
  <c r="I88" i="22"/>
  <c r="P207" i="7"/>
  <c r="P56" i="11"/>
  <c r="P80" i="11"/>
  <c r="Q80" i="11" s="1"/>
  <c r="Q54" i="11"/>
  <c r="P270" i="8"/>
  <c r="P288" i="8"/>
  <c r="Q288" i="8" s="1"/>
  <c r="Q262" i="8"/>
  <c r="P162" i="11"/>
  <c r="Q162" i="11" s="1"/>
  <c r="P138" i="11"/>
  <c r="Q136" i="11"/>
  <c r="P326" i="8"/>
  <c r="Q318" i="8"/>
  <c r="I188" i="26"/>
  <c r="M11" i="8"/>
  <c r="P353" i="8"/>
  <c r="Q345" i="8"/>
  <c r="N247" i="8"/>
  <c r="J150" i="22"/>
  <c r="J168" i="22"/>
  <c r="J144" i="22"/>
  <c r="J280" i="22"/>
  <c r="J286" i="22"/>
  <c r="J83" i="14"/>
  <c r="J114" i="14"/>
  <c r="J67" i="14" s="1"/>
  <c r="J89" i="14"/>
  <c r="J157" i="22"/>
  <c r="J163" i="22"/>
  <c r="J357" i="7"/>
  <c r="J381" i="7"/>
  <c r="J363" i="7"/>
  <c r="L25" i="6"/>
  <c r="M25" i="6"/>
  <c r="J21" i="21"/>
  <c r="J1286" i="24"/>
  <c r="J1182" i="24"/>
  <c r="J1285" i="24"/>
  <c r="J1185" i="24"/>
  <c r="J1287" i="24"/>
  <c r="I74" i="26"/>
  <c r="J1284" i="24"/>
  <c r="J1288" i="24"/>
  <c r="L527" i="11"/>
  <c r="L56" i="12"/>
  <c r="L529" i="11"/>
  <c r="M529" i="11" s="1"/>
  <c r="M525" i="11"/>
  <c r="O64" i="7"/>
  <c r="O88" i="11"/>
  <c r="O216" i="7"/>
  <c r="O209" i="7"/>
  <c r="I36" i="9"/>
  <c r="I39" i="9" s="1"/>
  <c r="I1489" i="24"/>
  <c r="I1491" i="24"/>
  <c r="O241" i="7"/>
  <c r="O195" i="11"/>
  <c r="O159" i="11"/>
  <c r="K177" i="22"/>
  <c r="K75" i="14"/>
  <c r="K150" i="13"/>
  <c r="I92" i="22"/>
  <c r="Q89" i="10"/>
  <c r="Q278" i="10"/>
  <c r="Q270" i="10"/>
  <c r="Q150" i="8"/>
  <c r="P417" i="11"/>
  <c r="Q409" i="11"/>
  <c r="R234" i="10"/>
  <c r="Q234" i="10"/>
  <c r="U234" i="10"/>
  <c r="Q193" i="10"/>
  <c r="N256" i="7"/>
  <c r="L44" i="12"/>
  <c r="L46" i="12"/>
  <c r="M42" i="12"/>
  <c r="M74" i="12"/>
  <c r="L124" i="13"/>
  <c r="L128" i="13"/>
  <c r="L134" i="13"/>
  <c r="M134" i="13" s="1"/>
  <c r="M118" i="13"/>
  <c r="M127" i="13"/>
  <c r="L143" i="13"/>
  <c r="M143" i="13" s="1"/>
  <c r="O393" i="8"/>
  <c r="O339" i="8"/>
  <c r="O203" i="11"/>
  <c r="O253" i="7"/>
  <c r="O231" i="7"/>
  <c r="H19" i="9"/>
  <c r="J377" i="7"/>
  <c r="K563" i="22"/>
  <c r="K560" i="22"/>
  <c r="M476" i="24"/>
  <c r="M30" i="21" s="1"/>
  <c r="M451" i="24"/>
  <c r="M454" i="24"/>
  <c r="M156" i="10"/>
  <c r="M159" i="10"/>
  <c r="I213" i="26"/>
  <c r="M379" i="11"/>
  <c r="N206" i="12"/>
  <c r="J215" i="26"/>
  <c r="J265" i="7"/>
  <c r="J235" i="11"/>
  <c r="G144" i="26"/>
  <c r="J230" i="11"/>
  <c r="J429" i="8"/>
  <c r="J72" i="7"/>
  <c r="N217" i="7"/>
  <c r="N214" i="7"/>
  <c r="P151" i="11"/>
  <c r="Q149" i="11"/>
  <c r="Q267" i="8"/>
  <c r="K68" i="14"/>
  <c r="K76" i="14" s="1"/>
  <c r="K170" i="22"/>
  <c r="K149" i="22"/>
  <c r="K152" i="22"/>
  <c r="P122" i="10"/>
  <c r="M791" i="24"/>
  <c r="P110" i="10"/>
  <c r="M779" i="24"/>
  <c r="N255" i="9"/>
  <c r="N911" i="22"/>
  <c r="N453" i="24"/>
  <c r="L17" i="12"/>
  <c r="M20" i="12"/>
  <c r="M17" i="12"/>
  <c r="L20" i="12"/>
  <c r="I20" i="3"/>
  <c r="D140" i="26"/>
  <c r="I21" i="3"/>
  <c r="I11" i="6"/>
  <c r="F21" i="3"/>
  <c r="F11" i="6" s="1"/>
  <c r="Q349" i="8"/>
  <c r="J202" i="13"/>
  <c r="J199" i="13"/>
  <c r="J59" i="12"/>
  <c r="J167" i="12" s="1"/>
  <c r="J62" i="12"/>
  <c r="K87" i="7"/>
  <c r="K100" i="7"/>
  <c r="O498" i="11"/>
  <c r="O512" i="11"/>
  <c r="O15" i="12"/>
  <c r="O120" i="13"/>
  <c r="M201" i="22"/>
  <c r="O121" i="13"/>
  <c r="O122" i="13"/>
  <c r="N229" i="22"/>
  <c r="L900" i="22"/>
  <c r="M188" i="22"/>
  <c r="M214" i="22" s="1"/>
  <c r="N242" i="22"/>
  <c r="N324" i="22"/>
  <c r="N311" i="22"/>
  <c r="L1199" i="24"/>
  <c r="K72" i="26"/>
  <c r="L1147" i="24"/>
  <c r="L1161" i="24" s="1"/>
  <c r="O197" i="13" s="1"/>
  <c r="J70" i="26"/>
  <c r="K1177" i="24"/>
  <c r="M315" i="22"/>
  <c r="M341" i="22" s="1"/>
  <c r="M333" i="22"/>
  <c r="M308" i="22"/>
  <c r="L205" i="22"/>
  <c r="L198" i="22"/>
  <c r="N463" i="11"/>
  <c r="N320" i="11"/>
  <c r="N71" i="12" s="1"/>
  <c r="N516" i="11"/>
  <c r="N365" i="11"/>
  <c r="N39" i="12"/>
  <c r="J105" i="26"/>
  <c r="N509" i="11"/>
  <c r="N300" i="9"/>
  <c r="N324" i="9"/>
  <c r="K245" i="8"/>
  <c r="K257" i="8"/>
  <c r="K254" i="8"/>
  <c r="L555" i="22"/>
  <c r="K200" i="7"/>
  <c r="K203" i="7"/>
  <c r="L168" i="13"/>
  <c r="J550" i="22"/>
  <c r="J586" i="22"/>
  <c r="J577" i="22"/>
  <c r="J589" i="22"/>
  <c r="K102" i="14"/>
  <c r="K105" i="14"/>
  <c r="I1302" i="24"/>
  <c r="I1301" i="24"/>
  <c r="I1305" i="24"/>
  <c r="I1303" i="24"/>
  <c r="I1304" i="24"/>
  <c r="H88" i="26"/>
  <c r="K217" i="22"/>
  <c r="L247" i="22"/>
  <c r="L244" i="22"/>
  <c r="K506" i="22"/>
  <c r="K668" i="22" s="1"/>
  <c r="K628" i="22"/>
  <c r="O64" i="8"/>
  <c r="O290" i="8"/>
  <c r="O272" i="8"/>
  <c r="O269" i="8"/>
  <c r="M153" i="12"/>
  <c r="M150" i="12"/>
  <c r="Q114" i="11"/>
  <c r="P350" i="8"/>
  <c r="Q348" i="8"/>
  <c r="J220" i="12"/>
  <c r="J222" i="12"/>
  <c r="J180" i="26"/>
  <c r="M236" i="8"/>
  <c r="L498" i="22"/>
  <c r="L660" i="22" s="1"/>
  <c r="L620" i="22"/>
  <c r="N418" i="8"/>
  <c r="K1151" i="24"/>
  <c r="K1157" i="24"/>
  <c r="K1144" i="24"/>
  <c r="K901" i="22"/>
  <c r="K8" i="21" s="1"/>
  <c r="K903" i="22"/>
  <c r="N107" i="13"/>
  <c r="N136" i="13"/>
  <c r="N109" i="13"/>
  <c r="N137" i="13"/>
  <c r="N110" i="13"/>
  <c r="N502" i="11"/>
  <c r="N25" i="12"/>
  <c r="N495" i="11"/>
  <c r="I367" i="22"/>
  <c r="I370" i="22"/>
  <c r="N254" i="9"/>
  <c r="N910" i="22"/>
  <c r="N470" i="24"/>
  <c r="N446" i="24"/>
  <c r="M750" i="24"/>
  <c r="L639" i="22"/>
  <c r="N298" i="10"/>
  <c r="K762" i="24"/>
  <c r="K753" i="24"/>
  <c r="K765" i="24"/>
  <c r="L23" i="14"/>
  <c r="J1215" i="24"/>
  <c r="J1221" i="24"/>
  <c r="J80" i="13"/>
  <c r="J135" i="14"/>
  <c r="J101" i="14"/>
  <c r="G87" i="26"/>
  <c r="J361" i="7"/>
  <c r="J385" i="7"/>
  <c r="L30" i="12"/>
  <c r="L32" i="12"/>
  <c r="M32" i="12" s="1"/>
  <c r="M28" i="12"/>
  <c r="L256" i="22"/>
  <c r="L231" i="22"/>
  <c r="L234" i="22"/>
  <c r="N477" i="8"/>
  <c r="N285" i="11"/>
  <c r="N51" i="10"/>
  <c r="N81" i="10"/>
  <c r="M216" i="8"/>
  <c r="M204" i="8"/>
  <c r="M213" i="8"/>
  <c r="O357" i="8"/>
  <c r="O279" i="8"/>
  <c r="O358" i="8"/>
  <c r="O68" i="11"/>
  <c r="O141" i="11"/>
  <c r="O140" i="11"/>
  <c r="L1105" i="24"/>
  <c r="L1118" i="24" s="1"/>
  <c r="L1098" i="24"/>
  <c r="L1110" i="24"/>
  <c r="J79" i="7"/>
  <c r="J68" i="8"/>
  <c r="J47" i="11"/>
  <c r="N181" i="12"/>
  <c r="N183" i="12"/>
  <c r="N567" i="8"/>
  <c r="J207" i="26"/>
  <c r="N569" i="8"/>
  <c r="L68" i="7"/>
  <c r="L79" i="8"/>
  <c r="M22" i="11"/>
  <c r="M54" i="12"/>
  <c r="O39" i="7"/>
  <c r="O39" i="8"/>
  <c r="O167" i="8"/>
  <c r="O170" i="8"/>
  <c r="O609" i="8"/>
  <c r="O612" i="8"/>
  <c r="O600" i="8"/>
  <c r="P232" i="10"/>
  <c r="P235" i="10"/>
  <c r="J654" i="22"/>
  <c r="J657" i="22"/>
  <c r="O317" i="7"/>
  <c r="O320" i="7"/>
  <c r="H197" i="26"/>
  <c r="K490" i="8"/>
  <c r="H190" i="26"/>
  <c r="O167" i="7"/>
  <c r="O170" i="7"/>
  <c r="P162" i="7"/>
  <c r="P319" i="7"/>
  <c r="P611" i="8"/>
  <c r="L18" i="21"/>
  <c r="K71" i="8"/>
  <c r="K100" i="8"/>
  <c r="K73" i="8"/>
  <c r="K105" i="8" s="1"/>
  <c r="K79" i="13"/>
  <c r="I353" i="22"/>
  <c r="I356" i="22"/>
  <c r="P222" i="7"/>
  <c r="P104" i="11"/>
  <c r="P98" i="11"/>
  <c r="P176" i="11"/>
  <c r="Q176" i="11" s="1"/>
  <c r="Q96" i="11"/>
  <c r="P75" i="11"/>
  <c r="Q67" i="11"/>
  <c r="P127" i="11"/>
  <c r="Q101" i="11"/>
  <c r="P352" i="8"/>
  <c r="P346" i="8"/>
  <c r="Q344" i="8"/>
  <c r="N201" i="12"/>
  <c r="J211" i="26"/>
  <c r="H1239" i="24"/>
  <c r="H1245" i="24"/>
  <c r="J51" i="14"/>
  <c r="I122" i="22"/>
  <c r="I116" i="22"/>
  <c r="H376" i="22"/>
  <c r="H382" i="22"/>
  <c r="J39" i="14"/>
  <c r="J45" i="14"/>
  <c r="H90" i="22"/>
  <c r="H58" i="22"/>
  <c r="J376" i="7"/>
  <c r="J370" i="7"/>
  <c r="L481" i="22"/>
  <c r="L643" i="22" s="1"/>
  <c r="L603" i="22"/>
  <c r="N127" i="12"/>
  <c r="N139" i="12"/>
  <c r="N136" i="12"/>
  <c r="G139" i="26"/>
  <c r="J350" i="7"/>
  <c r="J347" i="7"/>
  <c r="N334" i="7"/>
  <c r="N377" i="8"/>
  <c r="N407" i="8"/>
  <c r="N368" i="8"/>
  <c r="N404" i="8"/>
  <c r="N380" i="8"/>
  <c r="K116" i="14"/>
  <c r="K122" i="14"/>
  <c r="I381" i="22"/>
  <c r="I384" i="22"/>
  <c r="M731" i="24"/>
  <c r="M755" i="24"/>
  <c r="R584" i="8"/>
  <c r="R251" i="10"/>
  <c r="U251" i="10"/>
  <c r="Q584" i="8"/>
  <c r="Q251" i="10"/>
  <c r="Q210" i="10"/>
  <c r="U584" i="8"/>
  <c r="M55" i="8"/>
  <c r="M58" i="8"/>
  <c r="N288" i="10"/>
  <c r="N33" i="10"/>
  <c r="N285" i="10"/>
  <c r="L370" i="11"/>
  <c r="L192" i="12"/>
  <c r="I136" i="26"/>
  <c r="L372" i="11"/>
  <c r="M372" i="11" s="1"/>
  <c r="M368" i="11"/>
  <c r="L325" i="11"/>
  <c r="L468" i="11"/>
  <c r="M468" i="11" s="1"/>
  <c r="I109" i="26"/>
  <c r="M325" i="11"/>
  <c r="L517" i="11"/>
  <c r="M513" i="11"/>
  <c r="L514" i="11"/>
  <c r="L141" i="13"/>
  <c r="M141" i="13" s="1"/>
  <c r="M125" i="13"/>
  <c r="L340" i="22"/>
  <c r="L196" i="13"/>
  <c r="J1162" i="24"/>
  <c r="J1164" i="24"/>
  <c r="O198" i="8"/>
  <c r="O470" i="8"/>
  <c r="O264" i="11"/>
  <c r="L450" i="22"/>
  <c r="L407" i="22"/>
  <c r="L531" i="22"/>
  <c r="K100" i="26"/>
  <c r="M693" i="22"/>
  <c r="M25" i="22"/>
  <c r="O184" i="7"/>
  <c r="O128" i="10"/>
  <c r="O140" i="10"/>
  <c r="O80" i="10"/>
  <c r="H61" i="22"/>
  <c r="H95" i="22" s="1"/>
  <c r="H83" i="22"/>
  <c r="J364" i="7"/>
  <c r="J382" i="7"/>
  <c r="K469" i="11"/>
  <c r="K472" i="11"/>
  <c r="M925" i="22"/>
  <c r="M931" i="22"/>
  <c r="M944" i="22" s="1"/>
  <c r="M936" i="22"/>
  <c r="L256" i="8"/>
  <c r="M256" i="8" s="1"/>
  <c r="M230" i="8"/>
  <c r="N198" i="7"/>
  <c r="N32" i="11"/>
  <c r="Q120" i="12"/>
  <c r="L802" i="24"/>
  <c r="L777" i="24"/>
  <c r="L780" i="24"/>
  <c r="J112" i="7"/>
  <c r="J262" i="7"/>
  <c r="J239" i="11"/>
  <c r="J225" i="11"/>
  <c r="G141" i="26"/>
  <c r="J220" i="11"/>
  <c r="J426" i="8"/>
  <c r="J14" i="7"/>
  <c r="K174" i="22"/>
  <c r="Q150" i="11"/>
  <c r="Q322" i="8"/>
  <c r="K383" i="7"/>
  <c r="K365" i="7"/>
  <c r="K362" i="7"/>
  <c r="Q523" i="8"/>
  <c r="M932" i="22"/>
  <c r="M929" i="22"/>
  <c r="N160" i="11"/>
  <c r="N169" i="11"/>
  <c r="N172" i="11"/>
  <c r="N183" i="11"/>
  <c r="N186" i="11"/>
  <c r="K479" i="22"/>
  <c r="K601" i="22"/>
  <c r="K482" i="22"/>
  <c r="K604" i="22"/>
  <c r="Q59" i="11"/>
  <c r="C140" i="26"/>
  <c r="D21" i="3"/>
  <c r="D11" i="6" s="1"/>
  <c r="P124" i="12"/>
  <c r="Q124" i="12" s="1"/>
  <c r="Q116" i="12"/>
  <c r="R246" i="10"/>
  <c r="Q205" i="10"/>
  <c r="U246" i="10"/>
  <c r="L60" i="13"/>
  <c r="M60" i="13" s="1"/>
  <c r="M52" i="13"/>
  <c r="L59" i="13"/>
  <c r="M59" i="13" s="1"/>
  <c r="L53" i="13"/>
  <c r="M51" i="13"/>
  <c r="K208" i="12"/>
  <c r="K211" i="12"/>
  <c r="J295" i="22"/>
  <c r="J271" i="22"/>
  <c r="J297" i="22" s="1"/>
  <c r="H67" i="22"/>
  <c r="H77" i="22"/>
  <c r="J374" i="7"/>
  <c r="L500" i="11"/>
  <c r="M499" i="11"/>
  <c r="L503" i="11"/>
  <c r="N10" i="10"/>
  <c r="N48" i="10"/>
  <c r="N83" i="10"/>
  <c r="K411" i="22"/>
  <c r="K424" i="22" s="1"/>
  <c r="K416" i="22"/>
  <c r="K404" i="22"/>
  <c r="N144" i="10"/>
  <c r="N53" i="8"/>
  <c r="N199" i="8"/>
  <c r="J184" i="26"/>
  <c r="N201" i="8"/>
  <c r="N210" i="8"/>
  <c r="O202" i="11"/>
  <c r="O197" i="11"/>
  <c r="O116" i="11"/>
  <c r="O130" i="11"/>
  <c r="M361" i="9"/>
  <c r="M374" i="9" s="1"/>
  <c r="M458" i="24"/>
  <c r="M312" i="9"/>
  <c r="M354" i="9"/>
  <c r="M366" i="9"/>
  <c r="O151" i="7"/>
  <c r="P593" i="8"/>
  <c r="O61" i="10"/>
  <c r="O206" i="10"/>
  <c r="P239" i="10"/>
  <c r="O422" i="11"/>
  <c r="O117" i="12"/>
  <c r="L743" i="24"/>
  <c r="O211" i="10"/>
  <c r="O300" i="7"/>
  <c r="O93" i="10"/>
  <c r="O199" i="10"/>
  <c r="N90" i="8"/>
  <c r="N101" i="8"/>
  <c r="N444" i="11"/>
  <c r="N441" i="11"/>
  <c r="N432" i="11"/>
  <c r="N271" i="9"/>
  <c r="N927" i="22"/>
  <c r="O135" i="12"/>
  <c r="O110" i="12"/>
  <c r="O113" i="12"/>
  <c r="K122" i="8"/>
  <c r="K462" i="8"/>
  <c r="H196" i="26"/>
  <c r="K265" i="7"/>
  <c r="K235" i="11"/>
  <c r="H144" i="26"/>
  <c r="K429" i="8"/>
  <c r="K230" i="11"/>
  <c r="L45" i="11"/>
  <c r="M45" i="11" s="1"/>
  <c r="M19" i="11"/>
  <c r="L23" i="11"/>
  <c r="L20" i="11"/>
  <c r="P37" i="7"/>
  <c r="P168" i="8"/>
  <c r="P604" i="8"/>
  <c r="P312" i="7"/>
  <c r="K82" i="7"/>
  <c r="K89" i="7"/>
  <c r="K95" i="7"/>
  <c r="K47" i="14"/>
  <c r="K44" i="14"/>
  <c r="K299" i="22"/>
  <c r="P351" i="11"/>
  <c r="P385" i="8"/>
  <c r="Q385" i="8" s="1"/>
  <c r="P331" i="8"/>
  <c r="Q305" i="8"/>
  <c r="P325" i="8"/>
  <c r="P319" i="8"/>
  <c r="Q317" i="8"/>
  <c r="P126" i="11"/>
  <c r="P102" i="11"/>
  <c r="Q100" i="11"/>
  <c r="P277" i="8"/>
  <c r="Q275" i="8"/>
  <c r="E20" i="3"/>
  <c r="B22" i="15"/>
  <c r="B25" i="15" s="1"/>
  <c r="A140" i="26"/>
  <c r="E11" i="6"/>
  <c r="E21" i="3"/>
  <c r="H348" i="22"/>
  <c r="H354" i="22"/>
  <c r="H54" i="22"/>
  <c r="H86" i="22"/>
  <c r="H60" i="22"/>
  <c r="H82" i="22"/>
  <c r="H50" i="22"/>
  <c r="M126" i="13"/>
  <c r="L142" i="13"/>
  <c r="M142" i="13" s="1"/>
  <c r="J1377" i="24"/>
  <c r="J1379" i="24"/>
  <c r="K183" i="26"/>
  <c r="O390" i="8"/>
  <c r="O336" i="8"/>
  <c r="O311" i="8"/>
  <c r="O314" i="8"/>
  <c r="N259" i="9"/>
  <c r="N924" i="22"/>
  <c r="L942" i="22"/>
  <c r="L917" i="22"/>
  <c r="L920" i="22"/>
  <c r="J244" i="8"/>
  <c r="J241" i="8"/>
  <c r="J207" i="12"/>
  <c r="J209" i="12"/>
  <c r="O156" i="11"/>
  <c r="K91" i="14"/>
  <c r="K88" i="14"/>
  <c r="J121" i="22"/>
  <c r="J124" i="22"/>
  <c r="P105" i="12"/>
  <c r="P129" i="12"/>
  <c r="Q129" i="12" s="1"/>
  <c r="Q103" i="12"/>
  <c r="R227" i="10"/>
  <c r="U227" i="10"/>
  <c r="Q227" i="10"/>
  <c r="Q186" i="10"/>
  <c r="M738" i="24"/>
  <c r="Q57" i="10"/>
  <c r="R161" i="7"/>
  <c r="R164" i="8"/>
  <c r="R591" i="8"/>
  <c r="U161" i="7"/>
  <c r="Q164" i="8"/>
  <c r="Q147" i="7"/>
  <c r="U591" i="8"/>
  <c r="U164" i="8"/>
  <c r="Q161" i="7"/>
  <c r="Q591" i="8"/>
  <c r="J1152" i="24"/>
  <c r="J1149" i="24"/>
  <c r="O415" i="8"/>
  <c r="Q108" i="12"/>
  <c r="J253" i="8"/>
  <c r="J231" i="8"/>
  <c r="J228" i="8"/>
  <c r="H72" i="9"/>
  <c r="H69" i="9"/>
  <c r="J274" i="22"/>
  <c r="J300" i="22" s="1"/>
  <c r="J292" i="22"/>
  <c r="I110" i="22"/>
  <c r="I136" i="22" s="1"/>
  <c r="I128" i="22"/>
  <c r="J90" i="14"/>
  <c r="J115" i="14"/>
  <c r="J68" i="14"/>
  <c r="M284" i="9"/>
  <c r="M260" i="9"/>
  <c r="M217" i="9"/>
  <c r="P525" i="8"/>
  <c r="M1087" i="24"/>
  <c r="P188" i="10"/>
  <c r="N343" i="9"/>
  <c r="M262" i="9"/>
  <c r="M288" i="9" s="1"/>
  <c r="L647" i="22"/>
  <c r="L210" i="12"/>
  <c r="M210" i="12" s="1"/>
  <c r="L203" i="12"/>
  <c r="M202" i="12"/>
  <c r="N252" i="8"/>
  <c r="Q425" i="11"/>
  <c r="M330" i="9"/>
  <c r="M305" i="9"/>
  <c r="M308" i="9"/>
  <c r="O180" i="7"/>
  <c r="O181" i="8"/>
  <c r="O429" i="8"/>
  <c r="O115" i="10"/>
  <c r="O139" i="10"/>
  <c r="O76" i="10"/>
  <c r="O230" i="11"/>
  <c r="L436" i="22"/>
  <c r="L393" i="22"/>
  <c r="L517" i="22"/>
  <c r="K92" i="26"/>
  <c r="M11" i="22"/>
  <c r="M679" i="22"/>
  <c r="O117" i="10"/>
  <c r="O42" i="10"/>
  <c r="O48" i="7"/>
  <c r="J490" i="8"/>
  <c r="G190" i="26"/>
  <c r="K179" i="26"/>
  <c r="L223" i="12"/>
  <c r="M223" i="12" s="1"/>
  <c r="M215" i="12"/>
  <c r="L216" i="12"/>
  <c r="Q71" i="11"/>
  <c r="N255" i="22" l="1"/>
  <c r="L173" i="22"/>
  <c r="J73" i="14"/>
  <c r="J14" i="14"/>
  <c r="P150" i="10"/>
  <c r="Q150" i="10" s="1"/>
  <c r="O141" i="10"/>
  <c r="O116" i="10"/>
  <c r="O119" i="10"/>
  <c r="O188" i="7"/>
  <c r="O266" i="7"/>
  <c r="O491" i="8"/>
  <c r="O236" i="11"/>
  <c r="K94" i="26"/>
  <c r="O50" i="7"/>
  <c r="O9" i="7"/>
  <c r="M286" i="9"/>
  <c r="M261" i="9"/>
  <c r="M264" i="9"/>
  <c r="J208" i="12"/>
  <c r="J211" i="12"/>
  <c r="J1381" i="24"/>
  <c r="J1378" i="24"/>
  <c r="K105" i="7"/>
  <c r="K16" i="7" s="1"/>
  <c r="K10" i="3"/>
  <c r="M216" i="12"/>
  <c r="O77" i="10"/>
  <c r="O50" i="10"/>
  <c r="L519" i="22"/>
  <c r="L543" i="22"/>
  <c r="L583" i="22" s="1"/>
  <c r="L557" i="22"/>
  <c r="L521" i="22"/>
  <c r="P263" i="8"/>
  <c r="P308" i="8"/>
  <c r="P309" i="8"/>
  <c r="P58" i="11"/>
  <c r="P109" i="11"/>
  <c r="P110" i="11"/>
  <c r="M1113" i="24"/>
  <c r="M1089" i="24"/>
  <c r="M1091" i="24"/>
  <c r="M1117" i="24" s="1"/>
  <c r="H94" i="22"/>
  <c r="J79" i="13"/>
  <c r="H353" i="22"/>
  <c r="H356" i="22"/>
  <c r="B25" i="3"/>
  <c r="P128" i="11"/>
  <c r="Q102" i="11"/>
  <c r="P324" i="8"/>
  <c r="P327" i="8"/>
  <c r="Q319" i="8"/>
  <c r="Q331" i="8"/>
  <c r="K15" i="7"/>
  <c r="K13" i="3" s="1"/>
  <c r="K88" i="7"/>
  <c r="K92" i="7"/>
  <c r="K435" i="8"/>
  <c r="K250" i="11"/>
  <c r="K438" i="8"/>
  <c r="K260" i="11"/>
  <c r="K98" i="7"/>
  <c r="N230" i="9"/>
  <c r="N1100" i="24"/>
  <c r="R538" i="8"/>
  <c r="R201" i="10"/>
  <c r="O356" i="9"/>
  <c r="N106" i="8"/>
  <c r="P597" i="8"/>
  <c r="P252" i="10"/>
  <c r="P165" i="7"/>
  <c r="P165" i="8"/>
  <c r="P595" i="8"/>
  <c r="O302" i="7"/>
  <c r="O155" i="7"/>
  <c r="M268" i="9"/>
  <c r="M915" i="22"/>
  <c r="M466" i="24"/>
  <c r="M479" i="24" s="1"/>
  <c r="M459" i="24"/>
  <c r="M471" i="24"/>
  <c r="N200" i="8"/>
  <c r="N203" i="8"/>
  <c r="N212" i="8"/>
  <c r="J245" i="11"/>
  <c r="J226" i="11"/>
  <c r="P154" i="10"/>
  <c r="Q154" i="10" s="1"/>
  <c r="L571" i="22"/>
  <c r="L544" i="22"/>
  <c r="L584" i="22" s="1"/>
  <c r="L532" i="22"/>
  <c r="L572" i="22" s="1"/>
  <c r="I121" i="22"/>
  <c r="K65" i="16" s="1"/>
  <c r="I124" i="22"/>
  <c r="H1244" i="24"/>
  <c r="H1247" i="24"/>
  <c r="Q222" i="7"/>
  <c r="L82" i="8"/>
  <c r="M79" i="8"/>
  <c r="O142" i="11"/>
  <c r="O166" i="11"/>
  <c r="O235" i="7"/>
  <c r="O180" i="11"/>
  <c r="O144" i="11"/>
  <c r="O281" i="8"/>
  <c r="O283" i="8"/>
  <c r="O292" i="8"/>
  <c r="J1223" i="24"/>
  <c r="J1220" i="24"/>
  <c r="J221" i="12"/>
  <c r="J224" i="12"/>
  <c r="N337" i="22"/>
  <c r="O29" i="12"/>
  <c r="K13" i="14"/>
  <c r="O74" i="7"/>
  <c r="O96" i="7"/>
  <c r="J162" i="22"/>
  <c r="J165" i="22"/>
  <c r="J122" i="14"/>
  <c r="J116" i="14"/>
  <c r="J149" i="22"/>
  <c r="J152" i="22"/>
  <c r="J170" i="22"/>
  <c r="K245" i="11"/>
  <c r="K226" i="11"/>
  <c r="K243" i="11"/>
  <c r="J658" i="22"/>
  <c r="J670" i="22"/>
  <c r="J590" i="22"/>
  <c r="J631" i="22"/>
  <c r="J667" i="22"/>
  <c r="K1078" i="24"/>
  <c r="K1075" i="24"/>
  <c r="L236" i="9"/>
  <c r="L233" i="9"/>
  <c r="L241" i="9"/>
  <c r="O65" i="7"/>
  <c r="O65" i="8"/>
  <c r="O204" i="11"/>
  <c r="O254" i="7"/>
  <c r="O232" i="7"/>
  <c r="O229" i="7"/>
  <c r="K575" i="22"/>
  <c r="K548" i="22"/>
  <c r="K588" i="22" s="1"/>
  <c r="L211" i="22"/>
  <c r="N940" i="22"/>
  <c r="L330" i="22"/>
  <c r="L339" i="22"/>
  <c r="L342" i="22"/>
  <c r="J18" i="9"/>
  <c r="J68" i="9"/>
  <c r="J1473" i="24"/>
  <c r="L383" i="11"/>
  <c r="L205" i="12"/>
  <c r="I214" i="26"/>
  <c r="L385" i="11"/>
  <c r="M385" i="11" s="1"/>
  <c r="M381" i="11"/>
  <c r="L227" i="8"/>
  <c r="L251" i="8"/>
  <c r="M251" i="8" s="1"/>
  <c r="L229" i="8"/>
  <c r="M225" i="8"/>
  <c r="I135" i="22"/>
  <c r="J299" i="22"/>
  <c r="P69" i="7"/>
  <c r="Q63" i="11"/>
  <c r="Q330" i="8"/>
  <c r="Q223" i="7"/>
  <c r="K132" i="8"/>
  <c r="H191" i="26"/>
  <c r="J115" i="7"/>
  <c r="J242" i="11"/>
  <c r="G142" i="26"/>
  <c r="J457" i="8"/>
  <c r="J223" i="11"/>
  <c r="O457" i="11"/>
  <c r="O144" i="12"/>
  <c r="K219" i="26"/>
  <c r="O450" i="11"/>
  <c r="N136" i="7"/>
  <c r="N23" i="8"/>
  <c r="N129" i="8"/>
  <c r="N483" i="8"/>
  <c r="N305" i="11"/>
  <c r="K487" i="22"/>
  <c r="K609" i="22"/>
  <c r="K452" i="22"/>
  <c r="K455" i="22"/>
  <c r="K460" i="22"/>
  <c r="N58" i="7"/>
  <c r="N55" i="7"/>
  <c r="K132" i="22"/>
  <c r="L296" i="22"/>
  <c r="R594" i="8"/>
  <c r="R243" i="10"/>
  <c r="P426" i="11"/>
  <c r="P121" i="12"/>
  <c r="M747" i="24"/>
  <c r="U594" i="8"/>
  <c r="U243" i="10"/>
  <c r="Q202" i="10"/>
  <c r="P94" i="10"/>
  <c r="P215" i="10"/>
  <c r="P301" i="7"/>
  <c r="P203" i="10"/>
  <c r="J87" i="8"/>
  <c r="J89" i="8"/>
  <c r="L1371" i="24"/>
  <c r="O521" i="11" s="1"/>
  <c r="N332" i="22"/>
  <c r="O102" i="13"/>
  <c r="O24" i="12"/>
  <c r="O143" i="10"/>
  <c r="L395" i="22"/>
  <c r="L419" i="22"/>
  <c r="L397" i="22"/>
  <c r="L423" i="22" s="1"/>
  <c r="P527" i="8"/>
  <c r="P551" i="8"/>
  <c r="Q551" i="8" s="1"/>
  <c r="Q525" i="8"/>
  <c r="P529" i="8"/>
  <c r="P146" i="8"/>
  <c r="O337" i="8"/>
  <c r="O394" i="8"/>
  <c r="O391" i="8"/>
  <c r="O328" i="8"/>
  <c r="O340" i="8"/>
  <c r="C1427" i="24"/>
  <c r="K236" i="11"/>
  <c r="O207" i="10"/>
  <c r="P240" i="10"/>
  <c r="O204" i="10"/>
  <c r="O212" i="10"/>
  <c r="K412" i="22"/>
  <c r="K409" i="22"/>
  <c r="K417" i="22"/>
  <c r="O276" i="7"/>
  <c r="O501" i="8"/>
  <c r="O267" i="11"/>
  <c r="K101" i="26"/>
  <c r="J150" i="13"/>
  <c r="H92" i="22"/>
  <c r="J47" i="14"/>
  <c r="J44" i="14"/>
  <c r="P80" i="7"/>
  <c r="Q75" i="11"/>
  <c r="L71" i="7"/>
  <c r="M68" i="7"/>
  <c r="J209" i="26"/>
  <c r="N568" i="8"/>
  <c r="N571" i="8"/>
  <c r="N185" i="12"/>
  <c r="N182" i="12"/>
  <c r="J71" i="8"/>
  <c r="J100" i="8"/>
  <c r="J73" i="8"/>
  <c r="O167" i="11"/>
  <c r="O236" i="7"/>
  <c r="O145" i="11"/>
  <c r="O181" i="11"/>
  <c r="O365" i="8"/>
  <c r="O359" i="8"/>
  <c r="O370" i="8"/>
  <c r="O397" i="8"/>
  <c r="N82" i="10"/>
  <c r="N85" i="10"/>
  <c r="J387" i="7"/>
  <c r="L355" i="7"/>
  <c r="L368" i="7"/>
  <c r="L8" i="14"/>
  <c r="L31" i="14"/>
  <c r="J52" i="22"/>
  <c r="K114" i="22"/>
  <c r="M8" i="14"/>
  <c r="M23" i="14"/>
  <c r="M31" i="14"/>
  <c r="L37" i="14"/>
  <c r="L81" i="14"/>
  <c r="K101" i="22"/>
  <c r="L25" i="14"/>
  <c r="M25" i="14"/>
  <c r="M95" i="14"/>
  <c r="J346" i="22"/>
  <c r="L142" i="22"/>
  <c r="L155" i="22"/>
  <c r="L265" i="22"/>
  <c r="J56" i="22"/>
  <c r="J374" i="22"/>
  <c r="J48" i="22"/>
  <c r="L278" i="22"/>
  <c r="J360" i="22"/>
  <c r="I82" i="26"/>
  <c r="J1237" i="24"/>
  <c r="N912" i="22"/>
  <c r="N918" i="22"/>
  <c r="Q350" i="8"/>
  <c r="L169" i="13"/>
  <c r="M168" i="13"/>
  <c r="N47" i="12"/>
  <c r="N40" i="12"/>
  <c r="O123" i="13"/>
  <c r="K263" i="11"/>
  <c r="K469" i="8"/>
  <c r="K466" i="8"/>
  <c r="K253" i="11"/>
  <c r="K103" i="7"/>
  <c r="P52" i="7"/>
  <c r="P184" i="8"/>
  <c r="P436" i="8"/>
  <c r="P130" i="10"/>
  <c r="Q130" i="10" s="1"/>
  <c r="P46" i="10"/>
  <c r="P251" i="11"/>
  <c r="M445" i="22"/>
  <c r="M402" i="22"/>
  <c r="M526" i="22"/>
  <c r="L96" i="26"/>
  <c r="N20" i="22"/>
  <c r="N688" i="22"/>
  <c r="Q251" i="11"/>
  <c r="Q436" i="8"/>
  <c r="Q122" i="10"/>
  <c r="Q151" i="11"/>
  <c r="J236" i="11"/>
  <c r="K69" i="14"/>
  <c r="I1493" i="24"/>
  <c r="I1490" i="24"/>
  <c r="J91" i="14"/>
  <c r="J88" i="14"/>
  <c r="Q326" i="8"/>
  <c r="K129" i="14"/>
  <c r="K139" i="14" s="1"/>
  <c r="K159" i="13"/>
  <c r="K158" i="13"/>
  <c r="K151" i="13"/>
  <c r="K128" i="14"/>
  <c r="O301" i="10"/>
  <c r="K240" i="11"/>
  <c r="K463" i="8"/>
  <c r="K116" i="7"/>
  <c r="K123" i="8"/>
  <c r="L166" i="13"/>
  <c r="L171" i="13"/>
  <c r="M171" i="13" s="1"/>
  <c r="M165" i="13"/>
  <c r="N485" i="11"/>
  <c r="N511" i="11"/>
  <c r="N14" i="12"/>
  <c r="N497" i="11"/>
  <c r="K1146" i="24" s="1"/>
  <c r="N117" i="13"/>
  <c r="L200" i="22"/>
  <c r="M241" i="22"/>
  <c r="N115" i="13"/>
  <c r="N116" i="13"/>
  <c r="M228" i="22"/>
  <c r="M323" i="22"/>
  <c r="K896" i="22"/>
  <c r="L187" i="22"/>
  <c r="M310" i="22"/>
  <c r="K1198" i="24"/>
  <c r="J71" i="26"/>
  <c r="N487" i="11"/>
  <c r="K1183" i="24" s="1"/>
  <c r="O123" i="10"/>
  <c r="L792" i="24"/>
  <c r="L805" i="24" s="1"/>
  <c r="L785" i="24"/>
  <c r="L797" i="24"/>
  <c r="O157" i="10"/>
  <c r="L359" i="7"/>
  <c r="L372" i="7"/>
  <c r="K105" i="22"/>
  <c r="L146" i="22"/>
  <c r="L269" i="22"/>
  <c r="L9" i="14"/>
  <c r="M27" i="14"/>
  <c r="L41" i="14"/>
  <c r="L85" i="14"/>
  <c r="J65" i="22"/>
  <c r="J73" i="22"/>
  <c r="J75" i="22" s="1"/>
  <c r="L155" i="13" s="1"/>
  <c r="M9" i="14"/>
  <c r="L29" i="14"/>
  <c r="M29" i="14"/>
  <c r="M99" i="14"/>
  <c r="J69" i="22"/>
  <c r="J71" i="22" s="1"/>
  <c r="L154" i="13" s="1"/>
  <c r="K118" i="22"/>
  <c r="K120" i="22" s="1"/>
  <c r="L282" i="22"/>
  <c r="L284" i="22" s="1"/>
  <c r="J378" i="22"/>
  <c r="J380" i="22" s="1"/>
  <c r="J364" i="22"/>
  <c r="J366" i="22" s="1"/>
  <c r="L159" i="22"/>
  <c r="L161" i="22" s="1"/>
  <c r="J350" i="22"/>
  <c r="J352" i="22" s="1"/>
  <c r="I85" i="26"/>
  <c r="J1241" i="24"/>
  <c r="N275" i="9"/>
  <c r="N226" i="9"/>
  <c r="R197" i="10"/>
  <c r="N1096" i="24"/>
  <c r="R534" i="8"/>
  <c r="O352" i="9"/>
  <c r="G191" i="26"/>
  <c r="L346" i="7"/>
  <c r="L348" i="7"/>
  <c r="M348" i="7" s="1"/>
  <c r="M344" i="7"/>
  <c r="L35" i="11"/>
  <c r="L40" i="11"/>
  <c r="M40" i="11" s="1"/>
  <c r="M27" i="11"/>
  <c r="Q410" i="11"/>
  <c r="P194" i="8"/>
  <c r="P460" i="8"/>
  <c r="P233" i="11"/>
  <c r="M437" i="22"/>
  <c r="M394" i="22"/>
  <c r="M518" i="22"/>
  <c r="L93" i="26"/>
  <c r="N12" i="22"/>
  <c r="N680" i="22"/>
  <c r="Q233" i="11"/>
  <c r="Q114" i="10"/>
  <c r="Q460" i="8"/>
  <c r="J105" i="14"/>
  <c r="J102" i="14"/>
  <c r="H1301" i="24"/>
  <c r="H1305" i="24"/>
  <c r="H1304" i="24"/>
  <c r="H1302" i="24"/>
  <c r="G88" i="26"/>
  <c r="H1303" i="24"/>
  <c r="J272" i="22"/>
  <c r="J275" i="22"/>
  <c r="J293" i="22"/>
  <c r="M195" i="7"/>
  <c r="J223" i="26"/>
  <c r="N458" i="11"/>
  <c r="N455" i="11"/>
  <c r="J122" i="8"/>
  <c r="J132" i="8" s="1"/>
  <c r="J462" i="8"/>
  <c r="G196" i="26"/>
  <c r="O544" i="8"/>
  <c r="O549" i="8"/>
  <c r="O480" i="11"/>
  <c r="L1077" i="24"/>
  <c r="L1070" i="24"/>
  <c r="O570" i="8"/>
  <c r="K205" i="26"/>
  <c r="O563" i="8"/>
  <c r="N189" i="7"/>
  <c r="N186" i="7"/>
  <c r="K494" i="22"/>
  <c r="K656" i="22" s="1"/>
  <c r="K616" i="22"/>
  <c r="K467" i="22"/>
  <c r="L27" i="22"/>
  <c r="L30" i="22"/>
  <c r="L35" i="22"/>
  <c r="N18" i="6"/>
  <c r="N9" i="6"/>
  <c r="N129" i="7"/>
  <c r="N279" i="7"/>
  <c r="N23" i="7"/>
  <c r="N136" i="8"/>
  <c r="N504" i="8"/>
  <c r="N277" i="11"/>
  <c r="J102" i="26"/>
  <c r="N6" i="3"/>
  <c r="N11" i="7"/>
  <c r="J120" i="14"/>
  <c r="L119" i="14"/>
  <c r="M119" i="14" s="1"/>
  <c r="M86" i="14"/>
  <c r="K1380" i="24"/>
  <c r="K1373" i="24"/>
  <c r="N462" i="24"/>
  <c r="N316" i="9"/>
  <c r="N358" i="9"/>
  <c r="N370" i="9"/>
  <c r="Q539" i="8"/>
  <c r="P552" i="8"/>
  <c r="Q552" i="8" s="1"/>
  <c r="P540" i="8"/>
  <c r="Q540" i="8" s="1"/>
  <c r="K59" i="14"/>
  <c r="K209" i="13"/>
  <c r="K53" i="14"/>
  <c r="K60" i="14"/>
  <c r="K210" i="13"/>
  <c r="K218" i="13" s="1"/>
  <c r="M19" i="5"/>
  <c r="J87" i="7"/>
  <c r="J100" i="7"/>
  <c r="M681" i="22"/>
  <c r="M705" i="22"/>
  <c r="M683" i="22"/>
  <c r="M709" i="22" s="1"/>
  <c r="O84" i="10"/>
  <c r="O44" i="10"/>
  <c r="O9" i="10"/>
  <c r="J76" i="14"/>
  <c r="Q105" i="12"/>
  <c r="L751" i="24"/>
  <c r="L764" i="24" s="1"/>
  <c r="L756" i="24"/>
  <c r="L744" i="24"/>
  <c r="P247" i="10"/>
  <c r="O219" i="10"/>
  <c r="O196" i="11"/>
  <c r="O199" i="11"/>
  <c r="O129" i="11"/>
  <c r="O120" i="11"/>
  <c r="O132" i="11"/>
  <c r="N49" i="10"/>
  <c r="N52" i="10"/>
  <c r="L61" i="13"/>
  <c r="L58" i="13"/>
  <c r="M53" i="13"/>
  <c r="J240" i="11"/>
  <c r="J390" i="7"/>
  <c r="M38" i="22"/>
  <c r="M26" i="22"/>
  <c r="L408" i="22"/>
  <c r="L420" i="22"/>
  <c r="L194" i="12"/>
  <c r="L196" i="12"/>
  <c r="M196" i="12" s="1"/>
  <c r="M192" i="12"/>
  <c r="M37" i="22"/>
  <c r="M13" i="22"/>
  <c r="M15" i="22"/>
  <c r="M41" i="22" s="1"/>
  <c r="L462" i="22"/>
  <c r="L476" i="22"/>
  <c r="L638" i="22" s="1"/>
  <c r="L598" i="22"/>
  <c r="L438" i="22"/>
  <c r="L440" i="22"/>
  <c r="O449" i="8"/>
  <c r="O292" i="11"/>
  <c r="O207" i="8"/>
  <c r="O189" i="8"/>
  <c r="K175" i="26"/>
  <c r="O48" i="8"/>
  <c r="O182" i="8"/>
  <c r="M203" i="12"/>
  <c r="N345" i="9"/>
  <c r="N369" i="9"/>
  <c r="N448" i="24"/>
  <c r="N302" i="9"/>
  <c r="N347" i="9"/>
  <c r="N373" i="9" s="1"/>
  <c r="M219" i="9"/>
  <c r="M243" i="9"/>
  <c r="M774" i="24"/>
  <c r="M221" i="9"/>
  <c r="M247" i="9" s="1"/>
  <c r="J123" i="14"/>
  <c r="J254" i="8"/>
  <c r="J245" i="8"/>
  <c r="J257" i="8"/>
  <c r="L943" i="22"/>
  <c r="L946" i="22"/>
  <c r="L934" i="22"/>
  <c r="N218" i="9"/>
  <c r="R189" i="10"/>
  <c r="R526" i="8"/>
  <c r="N1088" i="24"/>
  <c r="O344" i="9"/>
  <c r="H59" i="22"/>
  <c r="J148" i="13"/>
  <c r="H84" i="22"/>
  <c r="H62" i="22"/>
  <c r="H88" i="22"/>
  <c r="J149" i="13"/>
  <c r="P80" i="8"/>
  <c r="Q277" i="8"/>
  <c r="Q126" i="11"/>
  <c r="Q325" i="8"/>
  <c r="P561" i="8"/>
  <c r="P448" i="11"/>
  <c r="P175" i="12"/>
  <c r="M1068" i="24"/>
  <c r="Q351" i="11"/>
  <c r="H146" i="26"/>
  <c r="K266" i="7"/>
  <c r="K491" i="8"/>
  <c r="H198" i="26"/>
  <c r="O62" i="10"/>
  <c r="O24" i="10"/>
  <c r="O97" i="10"/>
  <c r="O125" i="12"/>
  <c r="O118" i="12"/>
  <c r="O130" i="12"/>
  <c r="O65" i="10"/>
  <c r="O95" i="10"/>
  <c r="M362" i="9"/>
  <c r="M359" i="9"/>
  <c r="M367" i="9"/>
  <c r="N214" i="8"/>
  <c r="J186" i="26"/>
  <c r="N54" i="8"/>
  <c r="N57" i="8"/>
  <c r="N10" i="8"/>
  <c r="N18" i="10"/>
  <c r="N11" i="10"/>
  <c r="M503" i="11"/>
  <c r="M500" i="11"/>
  <c r="H76" i="22"/>
  <c r="H79" i="22"/>
  <c r="J153" i="13"/>
  <c r="N200" i="11"/>
  <c r="N173" i="11"/>
  <c r="N212" i="11"/>
  <c r="N209" i="11"/>
  <c r="K379" i="7"/>
  <c r="K391" i="7"/>
  <c r="K388" i="7"/>
  <c r="K329" i="7"/>
  <c r="J19" i="7"/>
  <c r="J118" i="7"/>
  <c r="G143" i="26"/>
  <c r="J263" i="7"/>
  <c r="J488" i="8"/>
  <c r="M694" i="22"/>
  <c r="M706" i="22"/>
  <c r="L490" i="22"/>
  <c r="L652" i="22" s="1"/>
  <c r="L612" i="22"/>
  <c r="L463" i="22"/>
  <c r="L451" i="22"/>
  <c r="J1163" i="24"/>
  <c r="J1166" i="24"/>
  <c r="I138" i="26"/>
  <c r="L371" i="11"/>
  <c r="M370" i="11"/>
  <c r="L374" i="11"/>
  <c r="N381" i="8"/>
  <c r="N417" i="8"/>
  <c r="N408" i="8"/>
  <c r="N420" i="8"/>
  <c r="J59" i="14"/>
  <c r="J209" i="13"/>
  <c r="J53" i="14"/>
  <c r="P354" i="8"/>
  <c r="P351" i="8"/>
  <c r="Q346" i="8"/>
  <c r="Q127" i="11"/>
  <c r="P224" i="7"/>
  <c r="P106" i="11"/>
  <c r="P178" i="11"/>
  <c r="Q178" i="11" s="1"/>
  <c r="Q98" i="11"/>
  <c r="K103" i="8"/>
  <c r="K72" i="8"/>
  <c r="K76" i="8"/>
  <c r="K14" i="8"/>
  <c r="J89" i="7"/>
  <c r="J82" i="7"/>
  <c r="J95" i="7"/>
  <c r="O355" i="11"/>
  <c r="L1103" i="24"/>
  <c r="L1106" i="24"/>
  <c r="L1111" i="24"/>
  <c r="O76" i="11"/>
  <c r="O211" i="7"/>
  <c r="O81" i="11"/>
  <c r="O69" i="11"/>
  <c r="L248" i="22"/>
  <c r="L260" i="22"/>
  <c r="L257" i="22"/>
  <c r="L34" i="12"/>
  <c r="M30" i="12"/>
  <c r="L31" i="12"/>
  <c r="N256" i="9"/>
  <c r="N280" i="9"/>
  <c r="N213" i="9"/>
  <c r="N1083" i="24"/>
  <c r="R521" i="8"/>
  <c r="R184" i="10"/>
  <c r="O339" i="9"/>
  <c r="N33" i="12"/>
  <c r="N26" i="12"/>
  <c r="N139" i="13"/>
  <c r="N108" i="13"/>
  <c r="N112" i="13"/>
  <c r="O74" i="8"/>
  <c r="O96" i="8"/>
  <c r="N189" i="12"/>
  <c r="N373" i="11"/>
  <c r="J134" i="26"/>
  <c r="N366" i="11"/>
  <c r="N222" i="8"/>
  <c r="N235" i="8"/>
  <c r="N17" i="11"/>
  <c r="N391" i="11"/>
  <c r="N158" i="12"/>
  <c r="N18" i="11"/>
  <c r="N378" i="11"/>
  <c r="N341" i="7"/>
  <c r="K67" i="9"/>
  <c r="K1474" i="24" s="1"/>
  <c r="K63" i="9"/>
  <c r="M334" i="22"/>
  <c r="N937" i="22"/>
  <c r="P49" i="7"/>
  <c r="P193" i="8"/>
  <c r="P457" i="8"/>
  <c r="P43" i="10"/>
  <c r="P118" i="10"/>
  <c r="P223" i="11"/>
  <c r="M390" i="22"/>
  <c r="M514" i="22"/>
  <c r="M433" i="22"/>
  <c r="L90" i="26"/>
  <c r="N8" i="22"/>
  <c r="N676" i="22"/>
  <c r="Q110" i="10"/>
  <c r="Q223" i="11"/>
  <c r="Q457" i="8"/>
  <c r="G146" i="26"/>
  <c r="J491" i="8"/>
  <c r="J266" i="7"/>
  <c r="L78" i="12"/>
  <c r="L165" i="12"/>
  <c r="M165" i="12" s="1"/>
  <c r="M78" i="12"/>
  <c r="M46" i="12"/>
  <c r="K130" i="14"/>
  <c r="K140" i="14" s="1"/>
  <c r="K160" i="13"/>
  <c r="L58" i="12"/>
  <c r="L60" i="12"/>
  <c r="M60" i="12" s="1"/>
  <c r="M56" i="12"/>
  <c r="J365" i="7"/>
  <c r="J362" i="7"/>
  <c r="J383" i="7"/>
  <c r="J176" i="22"/>
  <c r="Q270" i="8"/>
  <c r="Q56" i="11"/>
  <c r="I80" i="22"/>
  <c r="I96" i="22"/>
  <c r="I93" i="22"/>
  <c r="K19" i="7"/>
  <c r="K118" i="7"/>
  <c r="H143" i="26"/>
  <c r="K488" i="8"/>
  <c r="K263" i="7"/>
  <c r="N11" i="3"/>
  <c r="N106" i="7"/>
  <c r="L695" i="22"/>
  <c r="L698" i="22"/>
  <c r="L703" i="22"/>
  <c r="L218" i="22"/>
  <c r="J164" i="12"/>
  <c r="Q323" i="8"/>
  <c r="H1479" i="24"/>
  <c r="H1476" i="24"/>
  <c r="L197" i="7"/>
  <c r="L34" i="11"/>
  <c r="L28" i="11"/>
  <c r="L39" i="11"/>
  <c r="M39" i="11" s="1"/>
  <c r="M26" i="11"/>
  <c r="K133" i="14"/>
  <c r="K136" i="14" s="1"/>
  <c r="K156" i="13"/>
  <c r="I108" i="22"/>
  <c r="I111" i="22"/>
  <c r="I129" i="22"/>
  <c r="H367" i="22"/>
  <c r="H370" i="22"/>
  <c r="P69" i="8"/>
  <c r="Q268" i="8"/>
  <c r="L66" i="8"/>
  <c r="L95" i="8"/>
  <c r="M95" i="8" s="1"/>
  <c r="M63" i="8"/>
  <c r="G145" i="26"/>
  <c r="J460" i="8"/>
  <c r="J233" i="11"/>
  <c r="J37" i="11"/>
  <c r="J49" i="11"/>
  <c r="J46" i="11"/>
  <c r="O541" i="8"/>
  <c r="O556" i="8"/>
  <c r="L278" i="9"/>
  <c r="L290" i="9"/>
  <c r="L287" i="9"/>
  <c r="L13" i="21"/>
  <c r="L356" i="7"/>
  <c r="L369" i="7"/>
  <c r="M96" i="14"/>
  <c r="K102" i="22"/>
  <c r="L32" i="14"/>
  <c r="J49" i="22"/>
  <c r="J57" i="22"/>
  <c r="J91" i="22" s="1"/>
  <c r="M24" i="14"/>
  <c r="M32" i="14"/>
  <c r="L38" i="14"/>
  <c r="L82" i="14"/>
  <c r="J53" i="22"/>
  <c r="J87" i="22" s="1"/>
  <c r="K115" i="22"/>
  <c r="K123" i="22" s="1"/>
  <c r="L143" i="22"/>
  <c r="L156" i="22"/>
  <c r="L164" i="22" s="1"/>
  <c r="L266" i="22"/>
  <c r="J375" i="22"/>
  <c r="J383" i="22" s="1"/>
  <c r="J361" i="22"/>
  <c r="J369" i="22" s="1"/>
  <c r="L279" i="22"/>
  <c r="L287" i="22" s="1"/>
  <c r="J347" i="22"/>
  <c r="J355" i="22" s="1"/>
  <c r="I83" i="26"/>
  <c r="J1238" i="24"/>
  <c r="L386" i="7"/>
  <c r="M386" i="7" s="1"/>
  <c r="M360" i="7"/>
  <c r="M252" i="22"/>
  <c r="N522" i="11"/>
  <c r="G132" i="26"/>
  <c r="N102" i="8"/>
  <c r="N91" i="8"/>
  <c r="M788" i="24"/>
  <c r="M244" i="9"/>
  <c r="M232" i="9"/>
  <c r="N9" i="4"/>
  <c r="J158" i="26"/>
  <c r="L85" i="16"/>
  <c r="I67" i="26"/>
  <c r="K167" i="12"/>
  <c r="K164" i="12"/>
  <c r="N250" i="22"/>
  <c r="O462" i="11"/>
  <c r="O319" i="11"/>
  <c r="O70" i="12" s="1"/>
  <c r="O364" i="11"/>
  <c r="O38" i="12"/>
  <c r="K104" i="26"/>
  <c r="J213" i="13"/>
  <c r="J57" i="14"/>
  <c r="O56" i="7"/>
  <c r="O181" i="7"/>
  <c r="O113" i="7"/>
  <c r="O113" i="8"/>
  <c r="O432" i="8"/>
  <c r="O240" i="11"/>
  <c r="P297" i="7"/>
  <c r="R577" i="8"/>
  <c r="P90" i="10"/>
  <c r="P190" i="10"/>
  <c r="P214" i="10"/>
  <c r="R229" i="10"/>
  <c r="P412" i="11"/>
  <c r="P107" i="12"/>
  <c r="M733" i="24"/>
  <c r="Q188" i="10"/>
  <c r="U229" i="10"/>
  <c r="U577" i="8"/>
  <c r="Q577" i="8"/>
  <c r="Q229" i="10"/>
  <c r="P56" i="10"/>
  <c r="P146" i="7"/>
  <c r="P192" i="10"/>
  <c r="O416" i="8"/>
  <c r="M23" i="11"/>
  <c r="M20" i="11"/>
  <c r="O33" i="7"/>
  <c r="O152" i="7"/>
  <c r="P314" i="7"/>
  <c r="P606" i="8"/>
  <c r="O304" i="7"/>
  <c r="O430" i="11"/>
  <c r="O435" i="11"/>
  <c r="O423" i="11"/>
  <c r="M320" i="9"/>
  <c r="M333" i="9" s="1"/>
  <c r="M325" i="9"/>
  <c r="M313" i="9"/>
  <c r="K641" i="22"/>
  <c r="K644" i="22"/>
  <c r="J268" i="7"/>
  <c r="J113" i="8"/>
  <c r="J113" i="7"/>
  <c r="J432" i="8"/>
  <c r="M930" i="22"/>
  <c r="M933" i="22"/>
  <c r="M938" i="22"/>
  <c r="O480" i="8"/>
  <c r="O295" i="11"/>
  <c r="K185" i="26"/>
  <c r="O211" i="8"/>
  <c r="O202" i="8"/>
  <c r="L198" i="13"/>
  <c r="L200" i="13"/>
  <c r="M200" i="13" s="1"/>
  <c r="M196" i="13"/>
  <c r="L329" i="11"/>
  <c r="L469" i="11"/>
  <c r="M472" i="11" s="1"/>
  <c r="L326" i="11"/>
  <c r="L472" i="11"/>
  <c r="I110" i="26"/>
  <c r="M329" i="11"/>
  <c r="M517" i="11"/>
  <c r="M514" i="11"/>
  <c r="M326" i="11"/>
  <c r="Q292" i="10"/>
  <c r="K124" i="14"/>
  <c r="K121" i="14"/>
  <c r="J378" i="7"/>
  <c r="J375" i="7"/>
  <c r="H384" i="22"/>
  <c r="H381" i="22"/>
  <c r="Q352" i="8"/>
  <c r="P103" i="11"/>
  <c r="Q104" i="11"/>
  <c r="K81" i="13"/>
  <c r="O366" i="8"/>
  <c r="O398" i="8"/>
  <c r="O371" i="8"/>
  <c r="N302" i="10"/>
  <c r="N299" i="10"/>
  <c r="N193" i="13"/>
  <c r="K1165" i="24"/>
  <c r="K1158" i="24"/>
  <c r="N464" i="11"/>
  <c r="N321" i="11"/>
  <c r="J106" i="26"/>
  <c r="N471" i="11"/>
  <c r="N328" i="11"/>
  <c r="L1376" i="24"/>
  <c r="O526" i="11" s="1"/>
  <c r="O43" i="12"/>
  <c r="O467" i="11"/>
  <c r="O324" i="11"/>
  <c r="O75" i="12" s="1"/>
  <c r="O369" i="11"/>
  <c r="K108" i="26"/>
  <c r="N263" i="9"/>
  <c r="N214" i="9"/>
  <c r="N1084" i="24"/>
  <c r="R522" i="8"/>
  <c r="R185" i="10"/>
  <c r="O340" i="9"/>
  <c r="K175" i="22"/>
  <c r="K178" i="22"/>
  <c r="K166" i="22"/>
  <c r="L129" i="13"/>
  <c r="M128" i="13"/>
  <c r="L140" i="13"/>
  <c r="L144" i="13"/>
  <c r="M124" i="13"/>
  <c r="L163" i="12"/>
  <c r="M163" i="12" s="1"/>
  <c r="L76" i="12"/>
  <c r="L48" i="12"/>
  <c r="M44" i="12"/>
  <c r="L45" i="12"/>
  <c r="M76" i="12"/>
  <c r="Q417" i="11"/>
  <c r="L531" i="11"/>
  <c r="L528" i="11"/>
  <c r="M527" i="11"/>
  <c r="J389" i="7"/>
  <c r="J69" i="14"/>
  <c r="J13" i="14"/>
  <c r="J75" i="14"/>
  <c r="J285" i="22"/>
  <c r="J288" i="22"/>
  <c r="Q353" i="8"/>
  <c r="P164" i="11"/>
  <c r="Q138" i="11"/>
  <c r="Q207" i="7"/>
  <c r="O294" i="10"/>
  <c r="K268" i="7"/>
  <c r="K432" i="8"/>
  <c r="K113" i="7"/>
  <c r="K113" i="8"/>
  <c r="J203" i="7"/>
  <c r="J200" i="7"/>
  <c r="K533" i="22"/>
  <c r="K536" i="22"/>
  <c r="K568" i="22"/>
  <c r="K541" i="22"/>
  <c r="K581" i="22" s="1"/>
  <c r="O155" i="10"/>
  <c r="N145" i="10"/>
  <c r="N142" i="10"/>
  <c r="N133" i="10"/>
  <c r="P179" i="7"/>
  <c r="P180" i="8"/>
  <c r="P426" i="8"/>
  <c r="P111" i="10"/>
  <c r="P135" i="10"/>
  <c r="P75" i="10"/>
  <c r="P220" i="11"/>
  <c r="M389" i="22"/>
  <c r="M513" i="22"/>
  <c r="M432" i="22"/>
  <c r="L89" i="26"/>
  <c r="N675" i="22"/>
  <c r="N7" i="22"/>
  <c r="Q426" i="8"/>
  <c r="Q220" i="11"/>
  <c r="Q109" i="10"/>
  <c r="H36" i="9"/>
  <c r="H39" i="9" s="1"/>
  <c r="H1489" i="24"/>
  <c r="H1491" i="24"/>
  <c r="Q115" i="11"/>
  <c r="J60" i="14"/>
  <c r="J210" i="13"/>
  <c r="H38" i="9"/>
  <c r="J64" i="9"/>
  <c r="J70" i="9"/>
  <c r="J17" i="9"/>
  <c r="J19" i="9" s="1"/>
  <c r="J1469" i="24"/>
  <c r="L396" i="11"/>
  <c r="L218" i="12"/>
  <c r="I129" i="26"/>
  <c r="L398" i="11"/>
  <c r="M398" i="11" s="1"/>
  <c r="M394" i="11"/>
  <c r="L240" i="8"/>
  <c r="L242" i="8"/>
  <c r="M242" i="8" s="1"/>
  <c r="M238" i="8"/>
  <c r="Q112" i="12"/>
  <c r="G217" i="26"/>
  <c r="P332" i="8"/>
  <c r="P386" i="8"/>
  <c r="Q386" i="8" s="1"/>
  <c r="Q306" i="8"/>
  <c r="Q105" i="11"/>
  <c r="K298" i="22"/>
  <c r="K301" i="22"/>
  <c r="K289" i="22"/>
  <c r="L73" i="7"/>
  <c r="L66" i="7"/>
  <c r="M63" i="7"/>
  <c r="K493" i="8"/>
  <c r="P185" i="8"/>
  <c r="P439" i="8"/>
  <c r="P261" i="11"/>
  <c r="M406" i="22"/>
  <c r="M530" i="22"/>
  <c r="M449" i="22"/>
  <c r="L99" i="26"/>
  <c r="N24" i="22"/>
  <c r="N692" i="22"/>
  <c r="Q261" i="11"/>
  <c r="Q126" i="10"/>
  <c r="Q439" i="8"/>
  <c r="N149" i="12"/>
  <c r="N151" i="12"/>
  <c r="G197" i="26"/>
  <c r="O152" i="8"/>
  <c r="O155" i="8"/>
  <c r="O33" i="8"/>
  <c r="O184" i="12"/>
  <c r="O177" i="12"/>
  <c r="K499" i="22"/>
  <c r="K661" i="22" s="1"/>
  <c r="K621" i="22"/>
  <c r="K648" i="22"/>
  <c r="N283" i="7"/>
  <c r="N508" i="8"/>
  <c r="N288" i="11"/>
  <c r="L214" i="13"/>
  <c r="M214" i="13" s="1"/>
  <c r="M56" i="14"/>
  <c r="J78" i="22"/>
  <c r="L636" i="22"/>
  <c r="K92" i="8"/>
  <c r="K15" i="8"/>
  <c r="K88" i="8"/>
  <c r="N91" i="7"/>
  <c r="N102" i="7"/>
  <c r="P361" i="8"/>
  <c r="P362" i="8"/>
  <c r="P280" i="8"/>
  <c r="P72" i="11"/>
  <c r="P153" i="11"/>
  <c r="P154" i="11"/>
  <c r="M1102" i="24"/>
  <c r="P356" i="11" s="1"/>
  <c r="M1114" i="24"/>
  <c r="I1244" i="24"/>
  <c r="I1247" i="24"/>
  <c r="M10" i="15"/>
  <c r="K216" i="22"/>
  <c r="K219" i="22"/>
  <c r="K207" i="22"/>
  <c r="N258" i="7"/>
  <c r="N255" i="7"/>
  <c r="N246" i="7"/>
  <c r="L1156" i="24"/>
  <c r="M209" i="22"/>
  <c r="J125" i="22"/>
  <c r="L64" i="16"/>
  <c r="J134" i="22"/>
  <c r="J137" i="22"/>
  <c r="L72" i="14" l="1"/>
  <c r="M72" i="14" s="1"/>
  <c r="L65" i="16"/>
  <c r="K1148" i="24"/>
  <c r="K1160" i="24"/>
  <c r="K1150" i="24"/>
  <c r="O57" i="12"/>
  <c r="P155" i="11"/>
  <c r="Q153" i="11"/>
  <c r="P239" i="7"/>
  <c r="Q239" i="7" s="1"/>
  <c r="P193" i="11"/>
  <c r="Q193" i="11" s="1"/>
  <c r="P157" i="11"/>
  <c r="L14" i="7"/>
  <c r="L72" i="7"/>
  <c r="L76" i="7"/>
  <c r="L425" i="8"/>
  <c r="L219" i="11"/>
  <c r="L428" i="8"/>
  <c r="L229" i="11"/>
  <c r="M66" i="7"/>
  <c r="M240" i="8"/>
  <c r="L244" i="8"/>
  <c r="L241" i="8"/>
  <c r="J15" i="14"/>
  <c r="L164" i="12"/>
  <c r="M167" i="12" s="1"/>
  <c r="L77" i="12"/>
  <c r="L167" i="12"/>
  <c r="L80" i="12"/>
  <c r="M77" i="12"/>
  <c r="M80" i="12"/>
  <c r="M45" i="12"/>
  <c r="M48" i="12"/>
  <c r="R275" i="8"/>
  <c r="R344" i="8"/>
  <c r="R345" i="8"/>
  <c r="R55" i="11"/>
  <c r="R101" i="11"/>
  <c r="R100" i="11"/>
  <c r="N1092" i="24"/>
  <c r="O411" i="8"/>
  <c r="J330" i="7"/>
  <c r="J269" i="7"/>
  <c r="P318" i="7"/>
  <c r="P610" i="8"/>
  <c r="L17" i="21"/>
  <c r="L19" i="21" s="1"/>
  <c r="P38" i="7"/>
  <c r="P169" i="8"/>
  <c r="P608" i="8"/>
  <c r="O34" i="7"/>
  <c r="P218" i="10"/>
  <c r="R233" i="10"/>
  <c r="Q192" i="10"/>
  <c r="Q233" i="10"/>
  <c r="U233" i="10"/>
  <c r="M759" i="24"/>
  <c r="M735" i="24"/>
  <c r="M737" i="24"/>
  <c r="M763" i="24" s="1"/>
  <c r="R311" i="7"/>
  <c r="P305" i="7"/>
  <c r="R603" i="8"/>
  <c r="U603" i="8"/>
  <c r="U311" i="7"/>
  <c r="Q603" i="8"/>
  <c r="Q297" i="7"/>
  <c r="Q311" i="7"/>
  <c r="P32" i="7"/>
  <c r="P148" i="7"/>
  <c r="L66" i="16"/>
  <c r="K21" i="5" s="1"/>
  <c r="Q72" i="11"/>
  <c r="P73" i="11"/>
  <c r="Q73" i="11" s="1"/>
  <c r="P85" i="11"/>
  <c r="Q85" i="11" s="1"/>
  <c r="P212" i="7"/>
  <c r="Q212" i="7" s="1"/>
  <c r="M489" i="22"/>
  <c r="M611" i="22"/>
  <c r="M73" i="7"/>
  <c r="I131" i="26"/>
  <c r="L397" i="11"/>
  <c r="L400" i="11"/>
  <c r="M396" i="11"/>
  <c r="L14" i="3"/>
  <c r="J69" i="9"/>
  <c r="J72" i="9"/>
  <c r="J218" i="13"/>
  <c r="N33" i="22"/>
  <c r="N9" i="22"/>
  <c r="M515" i="22"/>
  <c r="M539" i="22"/>
  <c r="M579" i="22" s="1"/>
  <c r="M553" i="22"/>
  <c r="Q75" i="10"/>
  <c r="P263" i="7"/>
  <c r="P488" i="8"/>
  <c r="P226" i="11"/>
  <c r="L91" i="26"/>
  <c r="Q263" i="7"/>
  <c r="Q226" i="11"/>
  <c r="Q179" i="7"/>
  <c r="Q488" i="8"/>
  <c r="K573" i="22"/>
  <c r="K576" i="22"/>
  <c r="K546" i="22"/>
  <c r="K537" i="22"/>
  <c r="K549" i="22"/>
  <c r="K269" i="7"/>
  <c r="P81" i="7"/>
  <c r="P70" i="8"/>
  <c r="Q164" i="11"/>
  <c r="M129" i="13"/>
  <c r="M140" i="13"/>
  <c r="M144" i="13"/>
  <c r="O348" i="9"/>
  <c r="O445" i="24"/>
  <c r="O299" i="9"/>
  <c r="N222" i="9"/>
  <c r="N771" i="24"/>
  <c r="O226" i="8"/>
  <c r="O239" i="8"/>
  <c r="O31" i="11"/>
  <c r="O30" i="11"/>
  <c r="O382" i="11"/>
  <c r="O395" i="11"/>
  <c r="O162" i="12"/>
  <c r="O345" i="7"/>
  <c r="N201" i="13"/>
  <c r="N194" i="13"/>
  <c r="Q103" i="11"/>
  <c r="Q106" i="11"/>
  <c r="R160" i="7"/>
  <c r="P154" i="7"/>
  <c r="P298" i="7"/>
  <c r="R160" i="8"/>
  <c r="R578" i="8"/>
  <c r="U160" i="8"/>
  <c r="Q160" i="7"/>
  <c r="Q160" i="8"/>
  <c r="Q578" i="8"/>
  <c r="U160" i="7"/>
  <c r="Q146" i="7"/>
  <c r="U578" i="8"/>
  <c r="P109" i="12"/>
  <c r="P133" i="12"/>
  <c r="Q133" i="12" s="1"/>
  <c r="Q107" i="12"/>
  <c r="P111" i="12"/>
  <c r="R231" i="10"/>
  <c r="P216" i="10"/>
  <c r="U231" i="10"/>
  <c r="Q231" i="10"/>
  <c r="Q190" i="10"/>
  <c r="P194" i="10"/>
  <c r="P191" i="10"/>
  <c r="O221" i="8"/>
  <c r="O234" i="8"/>
  <c r="O14" i="11"/>
  <c r="O390" i="11"/>
  <c r="O157" i="12"/>
  <c r="O13" i="11"/>
  <c r="O377" i="11"/>
  <c r="O340" i="7"/>
  <c r="M104" i="14"/>
  <c r="L104" i="14"/>
  <c r="L382" i="7"/>
  <c r="M382" i="7" s="1"/>
  <c r="L364" i="7"/>
  <c r="M356" i="7"/>
  <c r="O545" i="8"/>
  <c r="O557" i="8"/>
  <c r="O554" i="8"/>
  <c r="I125" i="22"/>
  <c r="K64" i="16"/>
  <c r="I137" i="22"/>
  <c r="I134" i="22"/>
  <c r="L79" i="7"/>
  <c r="L68" i="8"/>
  <c r="L47" i="11"/>
  <c r="M47" i="11" s="1"/>
  <c r="M34" i="11"/>
  <c r="L711" i="22"/>
  <c r="L699" i="22"/>
  <c r="O12" i="16" s="1"/>
  <c r="L708" i="22"/>
  <c r="M58" i="12"/>
  <c r="L59" i="12"/>
  <c r="L62" i="12"/>
  <c r="N684" i="22"/>
  <c r="M554" i="22"/>
  <c r="M522" i="22"/>
  <c r="N44" i="11"/>
  <c r="N22" i="11"/>
  <c r="N243" i="8"/>
  <c r="N236" i="8"/>
  <c r="R523" i="8"/>
  <c r="R547" i="8"/>
  <c r="M31" i="12"/>
  <c r="M34" i="12"/>
  <c r="O77" i="11"/>
  <c r="O74" i="11"/>
  <c r="O82" i="11"/>
  <c r="K16" i="8"/>
  <c r="Q224" i="7"/>
  <c r="Q351" i="8"/>
  <c r="Q354" i="8"/>
  <c r="J61" i="14"/>
  <c r="J58" i="14"/>
  <c r="I139" i="26"/>
  <c r="M374" i="11"/>
  <c r="M371" i="11"/>
  <c r="L491" i="22"/>
  <c r="L653" i="22" s="1"/>
  <c r="L613" i="22"/>
  <c r="K331" i="7"/>
  <c r="K69" i="13"/>
  <c r="K17" i="6"/>
  <c r="O63" i="10"/>
  <c r="O66" i="10"/>
  <c r="P143" i="12"/>
  <c r="L218" i="26"/>
  <c r="Q448" i="11"/>
  <c r="H80" i="22"/>
  <c r="H93" i="22"/>
  <c r="H96" i="22"/>
  <c r="S590" i="8"/>
  <c r="S230" i="10"/>
  <c r="R413" i="11"/>
  <c r="R108" i="12"/>
  <c r="N734" i="24"/>
  <c r="N258" i="9"/>
  <c r="N923" i="22"/>
  <c r="N450" i="24"/>
  <c r="N474" i="24"/>
  <c r="N452" i="24"/>
  <c r="N478" i="24" s="1"/>
  <c r="O208" i="8"/>
  <c r="O187" i="8"/>
  <c r="O190" i="8"/>
  <c r="O215" i="8"/>
  <c r="L464" i="22"/>
  <c r="L478" i="22"/>
  <c r="L600" i="22"/>
  <c r="L439" i="22"/>
  <c r="L442" i="22"/>
  <c r="J298" i="22"/>
  <c r="J301" i="22"/>
  <c r="J289" i="22"/>
  <c r="L84" i="7"/>
  <c r="L84" i="8"/>
  <c r="M35" i="11"/>
  <c r="L48" i="11"/>
  <c r="M48" i="11" s="1"/>
  <c r="R150" i="7"/>
  <c r="S580" i="8"/>
  <c r="S238" i="10"/>
  <c r="R60" i="10"/>
  <c r="R205" i="10"/>
  <c r="R421" i="11"/>
  <c r="R116" i="12"/>
  <c r="N742" i="24"/>
  <c r="L87" i="14"/>
  <c r="M87" i="14" s="1"/>
  <c r="L118" i="14"/>
  <c r="L71" i="14" s="1"/>
  <c r="M85" i="14"/>
  <c r="L271" i="22"/>
  <c r="L297" i="22" s="1"/>
  <c r="L295" i="22"/>
  <c r="L361" i="7"/>
  <c r="L385" i="7"/>
  <c r="M385" i="7" s="1"/>
  <c r="M359" i="7"/>
  <c r="L790" i="24"/>
  <c r="L793" i="24"/>
  <c r="L798" i="24"/>
  <c r="L189" i="22"/>
  <c r="L213" i="22"/>
  <c r="L191" i="22"/>
  <c r="N126" i="13"/>
  <c r="N132" i="13"/>
  <c r="N127" i="13"/>
  <c r="N133" i="13"/>
  <c r="K1181" i="24"/>
  <c r="J73" i="26"/>
  <c r="N486" i="11"/>
  <c r="N489" i="11"/>
  <c r="L170" i="13"/>
  <c r="L172" i="13"/>
  <c r="M166" i="13"/>
  <c r="K77" i="14"/>
  <c r="K74" i="14"/>
  <c r="M534" i="22"/>
  <c r="M574" i="22" s="1"/>
  <c r="M566" i="22"/>
  <c r="K125" i="8"/>
  <c r="K472" i="8"/>
  <c r="K482" i="8" s="1"/>
  <c r="H199" i="26"/>
  <c r="K476" i="8"/>
  <c r="L286" i="22"/>
  <c r="L280" i="22"/>
  <c r="L267" i="22"/>
  <c r="L273" i="22"/>
  <c r="L291" i="22"/>
  <c r="L89" i="14"/>
  <c r="M89" i="14" s="1"/>
  <c r="L83" i="14"/>
  <c r="L114" i="14"/>
  <c r="L67" i="14" s="1"/>
  <c r="M81" i="14"/>
  <c r="L97" i="14"/>
  <c r="M97" i="14"/>
  <c r="L10" i="14"/>
  <c r="M10" i="14"/>
  <c r="I84" i="26"/>
  <c r="O405" i="8"/>
  <c r="O378" i="8"/>
  <c r="O244" i="7"/>
  <c r="O249" i="7"/>
  <c r="J103" i="8"/>
  <c r="J76" i="8"/>
  <c r="J14" i="8"/>
  <c r="J72" i="8"/>
  <c r="K425" i="22"/>
  <c r="K422" i="22"/>
  <c r="K413" i="22"/>
  <c r="K1384" i="24" s="1"/>
  <c r="P253" i="10"/>
  <c r="P528" i="8"/>
  <c r="P555" i="8"/>
  <c r="Q555" i="8" s="1"/>
  <c r="Q529" i="8"/>
  <c r="Q283" i="10"/>
  <c r="Q94" i="10"/>
  <c r="Q274" i="10"/>
  <c r="M748" i="24"/>
  <c r="Q297" i="10" s="1"/>
  <c r="M760" i="24"/>
  <c r="K500" i="22"/>
  <c r="K662" i="22" s="1"/>
  <c r="K622" i="22"/>
  <c r="K649" i="22"/>
  <c r="O152" i="12"/>
  <c r="O145" i="12"/>
  <c r="J116" i="7"/>
  <c r="J123" i="8"/>
  <c r="J463" i="8"/>
  <c r="Q69" i="7"/>
  <c r="L255" i="8"/>
  <c r="M255" i="8" s="1"/>
  <c r="M229" i="8"/>
  <c r="J35" i="9"/>
  <c r="J1475" i="24"/>
  <c r="J166" i="22"/>
  <c r="J175" i="22"/>
  <c r="J178" i="22"/>
  <c r="O296" i="8"/>
  <c r="M941" i="22"/>
  <c r="M916" i="22"/>
  <c r="M919" i="22"/>
  <c r="M945" i="22" s="1"/>
  <c r="O461" i="24"/>
  <c r="O315" i="9"/>
  <c r="N787" i="24"/>
  <c r="K500" i="8"/>
  <c r="H193" i="26"/>
  <c r="K448" i="8"/>
  <c r="K93" i="7"/>
  <c r="K104" i="7"/>
  <c r="K108" i="7"/>
  <c r="B23" i="15"/>
  <c r="B177" i="13"/>
  <c r="B26" i="3"/>
  <c r="P352" i="11"/>
  <c r="M1115" i="24"/>
  <c r="M1090" i="24"/>
  <c r="M1093" i="24"/>
  <c r="P208" i="7"/>
  <c r="P60" i="11"/>
  <c r="P84" i="11"/>
  <c r="Q84" i="11" s="1"/>
  <c r="Q58" i="11"/>
  <c r="P62" i="11"/>
  <c r="L547" i="22"/>
  <c r="L587" i="22" s="1"/>
  <c r="L561" i="22"/>
  <c r="O17" i="6"/>
  <c r="O20" i="7"/>
  <c r="O119" i="7"/>
  <c r="O8" i="6"/>
  <c r="O269" i="7"/>
  <c r="O133" i="8"/>
  <c r="O494" i="8"/>
  <c r="O246" i="11"/>
  <c r="K95" i="26"/>
  <c r="P151" i="10"/>
  <c r="Q151" i="10" s="1"/>
  <c r="M469" i="11"/>
  <c r="M415" i="22"/>
  <c r="M391" i="22"/>
  <c r="P414" i="11"/>
  <c r="P438" i="11"/>
  <c r="Q438" i="11" s="1"/>
  <c r="Q412" i="11"/>
  <c r="P416" i="11"/>
  <c r="L274" i="22"/>
  <c r="L300" i="22" s="1"/>
  <c r="L292" i="22"/>
  <c r="L199" i="7"/>
  <c r="L201" i="7"/>
  <c r="M201" i="7" s="1"/>
  <c r="M197" i="7"/>
  <c r="K119" i="7"/>
  <c r="N16" i="22"/>
  <c r="M398" i="22"/>
  <c r="Q118" i="10"/>
  <c r="P52" i="8"/>
  <c r="P195" i="8"/>
  <c r="L181" i="26"/>
  <c r="Q193" i="8"/>
  <c r="N349" i="7"/>
  <c r="N342" i="7"/>
  <c r="N230" i="8"/>
  <c r="N248" i="8"/>
  <c r="N223" i="8"/>
  <c r="R304" i="8"/>
  <c r="R305" i="8"/>
  <c r="R262" i="8"/>
  <c r="R54" i="11"/>
  <c r="R97" i="11"/>
  <c r="R96" i="11"/>
  <c r="N1109" i="24"/>
  <c r="N1085" i="24"/>
  <c r="J15" i="7"/>
  <c r="J88" i="7"/>
  <c r="J92" i="7"/>
  <c r="J438" i="8"/>
  <c r="J250" i="11"/>
  <c r="J260" i="11"/>
  <c r="J435" i="8"/>
  <c r="J98" i="7"/>
  <c r="J217" i="13"/>
  <c r="J211" i="13"/>
  <c r="L503" i="22"/>
  <c r="L665" i="22" s="1"/>
  <c r="L625" i="22"/>
  <c r="J156" i="13"/>
  <c r="J133" i="14"/>
  <c r="J187" i="26"/>
  <c r="N11" i="8"/>
  <c r="O99" i="10"/>
  <c r="O96" i="10"/>
  <c r="O123" i="12"/>
  <c r="O126" i="12"/>
  <c r="O131" i="12"/>
  <c r="P479" i="11"/>
  <c r="Q80" i="8"/>
  <c r="O449" i="24"/>
  <c r="O303" i="9"/>
  <c r="N775" i="24"/>
  <c r="M245" i="9"/>
  <c r="M220" i="9"/>
  <c r="M223" i="9"/>
  <c r="O56" i="8"/>
  <c r="O9" i="8"/>
  <c r="O50" i="8"/>
  <c r="K176" i="26"/>
  <c r="M39" i="22"/>
  <c r="M17" i="22"/>
  <c r="M14" i="22"/>
  <c r="P260" i="10"/>
  <c r="M707" i="22"/>
  <c r="M682" i="22"/>
  <c r="M685" i="22"/>
  <c r="K58" i="14"/>
  <c r="K61" i="14"/>
  <c r="N317" i="9"/>
  <c r="N329" i="9"/>
  <c r="N26" i="7"/>
  <c r="N139" i="7"/>
  <c r="N289" i="7"/>
  <c r="K206" i="26"/>
  <c r="M558" i="22"/>
  <c r="L182" i="26"/>
  <c r="Q194" i="8"/>
  <c r="O360" i="9"/>
  <c r="O457" i="24"/>
  <c r="O311" i="9"/>
  <c r="N234" i="9"/>
  <c r="N783" i="24"/>
  <c r="J1243" i="24"/>
  <c r="L55" i="14"/>
  <c r="L134" i="14"/>
  <c r="M134" i="14" s="1"/>
  <c r="M154" i="13"/>
  <c r="L43" i="14"/>
  <c r="M43" i="14" s="1"/>
  <c r="M41" i="14"/>
  <c r="L148" i="22"/>
  <c r="L174" i="22" s="1"/>
  <c r="L172" i="22"/>
  <c r="K904" i="22"/>
  <c r="K897" i="22"/>
  <c r="N125" i="13"/>
  <c r="N118" i="13"/>
  <c r="N131" i="13"/>
  <c r="N499" i="11"/>
  <c r="N28" i="12"/>
  <c r="N501" i="11"/>
  <c r="K138" i="14"/>
  <c r="K131" i="14"/>
  <c r="N696" i="22"/>
  <c r="M410" i="22"/>
  <c r="P123" i="7"/>
  <c r="P116" i="8"/>
  <c r="P442" i="8"/>
  <c r="P271" i="11"/>
  <c r="Q123" i="7"/>
  <c r="Q52" i="7"/>
  <c r="Q442" i="8"/>
  <c r="Q116" i="8"/>
  <c r="Q271" i="11"/>
  <c r="H200" i="26"/>
  <c r="K479" i="8"/>
  <c r="N166" i="12"/>
  <c r="N79" i="12"/>
  <c r="J1239" i="24"/>
  <c r="J1245" i="24"/>
  <c r="L51" i="14"/>
  <c r="J50" i="22"/>
  <c r="J60" i="22"/>
  <c r="J82" i="22"/>
  <c r="L157" i="22"/>
  <c r="L163" i="22"/>
  <c r="L45" i="14"/>
  <c r="M45" i="14" s="1"/>
  <c r="L39" i="14"/>
  <c r="M37" i="14"/>
  <c r="K116" i="22"/>
  <c r="K122" i="22"/>
  <c r="L370" i="7"/>
  <c r="L376" i="7"/>
  <c r="M376" i="7" s="1"/>
  <c r="M368" i="7"/>
  <c r="O207" i="11"/>
  <c r="Q80" i="7"/>
  <c r="P245" i="10"/>
  <c r="P248" i="10"/>
  <c r="O208" i="10"/>
  <c r="O220" i="10"/>
  <c r="O217" i="10"/>
  <c r="J15" i="8"/>
  <c r="J88" i="8"/>
  <c r="J92" i="8"/>
  <c r="R244" i="10"/>
  <c r="Q203" i="10"/>
  <c r="U244" i="10"/>
  <c r="Q121" i="12"/>
  <c r="P122" i="12"/>
  <c r="Q122" i="12" s="1"/>
  <c r="P134" i="12"/>
  <c r="Q134" i="12" s="1"/>
  <c r="K220" i="26"/>
  <c r="J243" i="11"/>
  <c r="L237" i="9"/>
  <c r="L249" i="9"/>
  <c r="L246" i="9"/>
  <c r="J121" i="14"/>
  <c r="J124" i="14"/>
  <c r="K15" i="14"/>
  <c r="K176" i="13" s="1"/>
  <c r="O85" i="8"/>
  <c r="O282" i="8"/>
  <c r="O294" i="8"/>
  <c r="O285" i="8"/>
  <c r="O243" i="7"/>
  <c r="O248" i="7"/>
  <c r="M82" i="8"/>
  <c r="J246" i="11"/>
  <c r="M276" i="9"/>
  <c r="M289" i="9" s="1"/>
  <c r="M227" i="9"/>
  <c r="P198" i="10"/>
  <c r="M1097" i="24"/>
  <c r="P535" i="8"/>
  <c r="M269" i="9"/>
  <c r="M281" i="9"/>
  <c r="N353" i="9"/>
  <c r="S581" i="8"/>
  <c r="S242" i="10"/>
  <c r="R425" i="11"/>
  <c r="R120" i="12"/>
  <c r="N746" i="24"/>
  <c r="K122" i="7"/>
  <c r="K272" i="7"/>
  <c r="K270" i="11"/>
  <c r="K301" i="11" s="1"/>
  <c r="K302" i="11" s="1"/>
  <c r="K256" i="11"/>
  <c r="H148" i="26"/>
  <c r="K281" i="11"/>
  <c r="P389" i="8"/>
  <c r="Q389" i="8" s="1"/>
  <c r="P335" i="8"/>
  <c r="Q309" i="8"/>
  <c r="P313" i="8"/>
  <c r="P566" i="8"/>
  <c r="P180" i="12"/>
  <c r="Q180" i="12" s="1"/>
  <c r="M1073" i="24"/>
  <c r="P484" i="11" s="1"/>
  <c r="Q356" i="11"/>
  <c r="Q280" i="8"/>
  <c r="P293" i="8"/>
  <c r="Q293" i="8" s="1"/>
  <c r="P284" i="8"/>
  <c r="Q284" i="8" s="1"/>
  <c r="N107" i="7"/>
  <c r="N12" i="3"/>
  <c r="O34" i="8"/>
  <c r="N150" i="12"/>
  <c r="N153" i="12"/>
  <c r="M570" i="22"/>
  <c r="L178" i="26"/>
  <c r="Q185" i="8"/>
  <c r="J32" i="9"/>
  <c r="J38" i="9" s="1"/>
  <c r="J1471" i="24"/>
  <c r="J1477" i="24"/>
  <c r="N701" i="22"/>
  <c r="N677" i="22"/>
  <c r="J77" i="14"/>
  <c r="J74" i="14"/>
  <c r="M531" i="11"/>
  <c r="M528" i="11"/>
  <c r="R147" i="7"/>
  <c r="S589" i="8"/>
  <c r="S226" i="10"/>
  <c r="R193" i="10"/>
  <c r="R57" i="10"/>
  <c r="R409" i="11"/>
  <c r="R104" i="12"/>
  <c r="N730" i="24"/>
  <c r="O379" i="8"/>
  <c r="O406" i="8"/>
  <c r="M318" i="9"/>
  <c r="M321" i="9"/>
  <c r="M326" i="9"/>
  <c r="O428" i="11"/>
  <c r="O431" i="11"/>
  <c r="O436" i="11"/>
  <c r="P64" i="10"/>
  <c r="Q64" i="10" s="1"/>
  <c r="P91" i="10"/>
  <c r="Q56" i="10"/>
  <c r="P98" i="10"/>
  <c r="Q279" i="10"/>
  <c r="Q271" i="10"/>
  <c r="Q90" i="10"/>
  <c r="P23" i="10"/>
  <c r="P58" i="10"/>
  <c r="J215" i="13"/>
  <c r="O188" i="12"/>
  <c r="K133" i="26"/>
  <c r="N53" i="12"/>
  <c r="N530" i="11"/>
  <c r="N523" i="11"/>
  <c r="K110" i="22"/>
  <c r="K136" i="22" s="1"/>
  <c r="K128" i="22"/>
  <c r="O192" i="13"/>
  <c r="Q154" i="11"/>
  <c r="P194" i="11"/>
  <c r="Q194" i="11" s="1"/>
  <c r="P240" i="7"/>
  <c r="Q240" i="7" s="1"/>
  <c r="P158" i="11"/>
  <c r="Q158" i="11" s="1"/>
  <c r="Q362" i="8"/>
  <c r="P402" i="8"/>
  <c r="Q402" i="8" s="1"/>
  <c r="P375" i="8"/>
  <c r="Q375" i="8" s="1"/>
  <c r="O153" i="8"/>
  <c r="Q332" i="8"/>
  <c r="P446" i="8"/>
  <c r="P282" i="11"/>
  <c r="Q282" i="11"/>
  <c r="Q446" i="8"/>
  <c r="Q135" i="10"/>
  <c r="P206" i="8"/>
  <c r="Q206" i="8" s="1"/>
  <c r="P188" i="8"/>
  <c r="L174" i="26"/>
  <c r="Q180" i="8"/>
  <c r="R147" i="8"/>
  <c r="R530" i="8"/>
  <c r="O193" i="12"/>
  <c r="K137" i="26"/>
  <c r="P166" i="7"/>
  <c r="O153" i="7"/>
  <c r="O156" i="7"/>
  <c r="O133" i="7"/>
  <c r="O119" i="8"/>
  <c r="O20" i="8"/>
  <c r="O452" i="8"/>
  <c r="O302" i="11"/>
  <c r="P127" i="10"/>
  <c r="M789" i="24"/>
  <c r="M801" i="24"/>
  <c r="L115" i="14"/>
  <c r="L68" i="14" s="1"/>
  <c r="L90" i="14"/>
  <c r="M90" i="14" s="1"/>
  <c r="M82" i="14"/>
  <c r="Q43" i="10"/>
  <c r="P116" i="7"/>
  <c r="P123" i="8"/>
  <c r="P463" i="8"/>
  <c r="P243" i="11"/>
  <c r="Q463" i="8"/>
  <c r="Q243" i="11"/>
  <c r="Q49" i="7"/>
  <c r="Q116" i="7"/>
  <c r="Q123" i="8"/>
  <c r="N399" i="11"/>
  <c r="N215" i="12"/>
  <c r="J127" i="26"/>
  <c r="N392" i="11"/>
  <c r="J135" i="26"/>
  <c r="N197" i="12"/>
  <c r="N190" i="12"/>
  <c r="O341" i="9"/>
  <c r="O365" i="9"/>
  <c r="O444" i="24"/>
  <c r="O298" i="9"/>
  <c r="N239" i="9"/>
  <c r="N215" i="9"/>
  <c r="N770" i="24"/>
  <c r="O213" i="7"/>
  <c r="O215" i="7"/>
  <c r="L1107" i="24"/>
  <c r="L1119" i="24"/>
  <c r="L1116" i="24"/>
  <c r="J10" i="3"/>
  <c r="J105" i="7"/>
  <c r="K104" i="8"/>
  <c r="K108" i="8"/>
  <c r="K93" i="8"/>
  <c r="J119" i="7"/>
  <c r="N19" i="10"/>
  <c r="M375" i="9"/>
  <c r="M363" i="9"/>
  <c r="M372" i="9"/>
  <c r="O138" i="12"/>
  <c r="O286" i="10"/>
  <c r="L204" i="26"/>
  <c r="Q561" i="8"/>
  <c r="R276" i="8"/>
  <c r="R348" i="8"/>
  <c r="R349" i="8"/>
  <c r="R114" i="11"/>
  <c r="R113" i="11"/>
  <c r="R59" i="11"/>
  <c r="M61" i="13"/>
  <c r="M58" i="13"/>
  <c r="K211" i="13"/>
  <c r="K217" i="13"/>
  <c r="N272" i="9"/>
  <c r="N928" i="22"/>
  <c r="N463" i="24"/>
  <c r="N475" i="24"/>
  <c r="N17" i="3"/>
  <c r="N21" i="3"/>
  <c r="N11" i="6" s="1"/>
  <c r="O7" i="3"/>
  <c r="N10" i="6"/>
  <c r="N14" i="6"/>
  <c r="N27" i="3"/>
  <c r="N12" i="6" s="1"/>
  <c r="N15" i="6"/>
  <c r="N20" i="6"/>
  <c r="N26" i="8"/>
  <c r="N139" i="8"/>
  <c r="N514" i="8"/>
  <c r="N308" i="11"/>
  <c r="J103" i="26"/>
  <c r="K1214" i="24"/>
  <c r="K1217" i="24"/>
  <c r="N51" i="13"/>
  <c r="K1213" i="24"/>
  <c r="N55" i="13"/>
  <c r="N52" i="13"/>
  <c r="K1218" i="24"/>
  <c r="N28" i="14" s="1"/>
  <c r="N56" i="13"/>
  <c r="L31" i="22"/>
  <c r="L40" i="22"/>
  <c r="L43" i="22"/>
  <c r="G198" i="26"/>
  <c r="R150" i="8"/>
  <c r="R542" i="8"/>
  <c r="L135" i="14"/>
  <c r="M135" i="14" s="1"/>
  <c r="M155" i="13"/>
  <c r="K131" i="22"/>
  <c r="K107" i="22"/>
  <c r="K133" i="22" s="1"/>
  <c r="O53" i="7"/>
  <c r="O197" i="8"/>
  <c r="O467" i="8"/>
  <c r="O131" i="10"/>
  <c r="O47" i="10"/>
  <c r="O254" i="11"/>
  <c r="L403" i="22"/>
  <c r="L527" i="22"/>
  <c r="L446" i="22"/>
  <c r="K97" i="26"/>
  <c r="M21" i="22"/>
  <c r="M689" i="22"/>
  <c r="O136" i="10"/>
  <c r="O79" i="10"/>
  <c r="O124" i="10"/>
  <c r="O183" i="7"/>
  <c r="K1375" i="24"/>
  <c r="N525" i="11" s="1"/>
  <c r="K1200" i="24"/>
  <c r="K1202" i="24"/>
  <c r="M325" i="22"/>
  <c r="M327" i="22"/>
  <c r="M243" i="22"/>
  <c r="M245" i="22"/>
  <c r="N16" i="12"/>
  <c r="N18" i="12"/>
  <c r="K157" i="13"/>
  <c r="K175" i="13" s="1"/>
  <c r="K161" i="13"/>
  <c r="N28" i="22"/>
  <c r="M485" i="22"/>
  <c r="M647" i="22" s="1"/>
  <c r="M607" i="22"/>
  <c r="M453" i="22"/>
  <c r="H152" i="26"/>
  <c r="K294" i="11"/>
  <c r="N72" i="12"/>
  <c r="N159" i="12"/>
  <c r="J376" i="22"/>
  <c r="J382" i="22"/>
  <c r="L150" i="22"/>
  <c r="L176" i="22" s="1"/>
  <c r="L168" i="22"/>
  <c r="L144" i="22"/>
  <c r="M30" i="14"/>
  <c r="L33" i="14"/>
  <c r="L30" i="14"/>
  <c r="M33" i="14"/>
  <c r="J86" i="22"/>
  <c r="J54" i="22"/>
  <c r="L363" i="7"/>
  <c r="L357" i="7"/>
  <c r="L381" i="7"/>
  <c r="M381" i="7" s="1"/>
  <c r="M355" i="7"/>
  <c r="O410" i="8"/>
  <c r="J105" i="8"/>
  <c r="J210" i="26"/>
  <c r="J130" i="14"/>
  <c r="J160" i="13"/>
  <c r="L421" i="22"/>
  <c r="L399" i="22"/>
  <c r="L396" i="22"/>
  <c r="R315" i="7"/>
  <c r="R607" i="8"/>
  <c r="Q301" i="7"/>
  <c r="U315" i="7"/>
  <c r="U607" i="8"/>
  <c r="Q426" i="11"/>
  <c r="P439" i="11"/>
  <c r="Q439" i="11" s="1"/>
  <c r="P427" i="11"/>
  <c r="Q427" i="11" s="1"/>
  <c r="K492" i="22"/>
  <c r="K614" i="22"/>
  <c r="K495" i="22"/>
  <c r="K617" i="22"/>
  <c r="K456" i="22"/>
  <c r="K465" i="22"/>
  <c r="K468" i="22"/>
  <c r="L253" i="8"/>
  <c r="M253" i="8" s="1"/>
  <c r="L228" i="8"/>
  <c r="L231" i="8"/>
  <c r="M227" i="8"/>
  <c r="L207" i="12"/>
  <c r="L209" i="12"/>
  <c r="M209" i="12" s="1"/>
  <c r="M205" i="12"/>
  <c r="O75" i="8"/>
  <c r="O97" i="8"/>
  <c r="O206" i="11"/>
  <c r="N216" i="8"/>
  <c r="N213" i="8"/>
  <c r="N204" i="8"/>
  <c r="M464" i="24"/>
  <c r="M467" i="24"/>
  <c r="M472" i="24"/>
  <c r="M29" i="21" s="1"/>
  <c r="M31" i="21" s="1"/>
  <c r="P169" i="7"/>
  <c r="P38" i="8"/>
  <c r="P166" i="8"/>
  <c r="P596" i="8"/>
  <c r="P599" i="8"/>
  <c r="K115" i="8"/>
  <c r="K441" i="8"/>
  <c r="K497" i="8"/>
  <c r="H192" i="26"/>
  <c r="K445" i="8"/>
  <c r="K507" i="8" s="1"/>
  <c r="P70" i="7"/>
  <c r="P81" i="8"/>
  <c r="Q128" i="11"/>
  <c r="P227" i="7"/>
  <c r="P118" i="11"/>
  <c r="P190" i="11"/>
  <c r="Q190" i="11" s="1"/>
  <c r="Q110" i="11"/>
  <c r="P123" i="11"/>
  <c r="P310" i="8"/>
  <c r="P388" i="8"/>
  <c r="Q388" i="8" s="1"/>
  <c r="P334" i="8"/>
  <c r="Q308" i="8"/>
  <c r="P312" i="8"/>
  <c r="O286" i="7"/>
  <c r="O511" i="8"/>
  <c r="O298" i="11"/>
  <c r="P158" i="10"/>
  <c r="Q158" i="10" s="1"/>
  <c r="P363" i="8"/>
  <c r="Q361" i="8"/>
  <c r="P401" i="8"/>
  <c r="Q401" i="8" s="1"/>
  <c r="P374" i="8"/>
  <c r="Q374" i="8" s="1"/>
  <c r="O156" i="8"/>
  <c r="L220" i="12"/>
  <c r="L222" i="12"/>
  <c r="M222" i="12" s="1"/>
  <c r="M218" i="12"/>
  <c r="H1490" i="24"/>
  <c r="H1493" i="24"/>
  <c r="M434" i="22"/>
  <c r="M458" i="22"/>
  <c r="M472" i="22"/>
  <c r="M634" i="22" s="1"/>
  <c r="M594" i="22"/>
  <c r="R149" i="10"/>
  <c r="Q111" i="10"/>
  <c r="O156" i="10"/>
  <c r="O159" i="10"/>
  <c r="L202" i="13"/>
  <c r="L199" i="13"/>
  <c r="M198" i="13"/>
  <c r="O443" i="11"/>
  <c r="R585" i="8"/>
  <c r="R255" i="10"/>
  <c r="Q214" i="10"/>
  <c r="U585" i="8"/>
  <c r="Q585" i="8"/>
  <c r="Q255" i="10"/>
  <c r="U255" i="10"/>
  <c r="N107" i="8"/>
  <c r="J1246" i="24"/>
  <c r="L52" i="14"/>
  <c r="L151" i="22"/>
  <c r="L177" i="22" s="1"/>
  <c r="L169" i="22"/>
  <c r="L46" i="14"/>
  <c r="M46" i="14" s="1"/>
  <c r="M38" i="14"/>
  <c r="J61" i="22"/>
  <c r="J95" i="22" s="1"/>
  <c r="J83" i="22"/>
  <c r="L377" i="7"/>
  <c r="M377" i="7" s="1"/>
  <c r="M369" i="7"/>
  <c r="L98" i="8"/>
  <c r="M98" i="8" s="1"/>
  <c r="M66" i="8"/>
  <c r="Q69" i="8"/>
  <c r="L33" i="11"/>
  <c r="L36" i="11"/>
  <c r="L41" i="11"/>
  <c r="M41" i="11" s="1"/>
  <c r="M28" i="11"/>
  <c r="H147" i="26"/>
  <c r="K133" i="8"/>
  <c r="K494" i="8"/>
  <c r="K8" i="6"/>
  <c r="K20" i="7"/>
  <c r="J388" i="7"/>
  <c r="J379" i="7"/>
  <c r="J391" i="7"/>
  <c r="J329" i="7"/>
  <c r="M441" i="22"/>
  <c r="M473" i="22"/>
  <c r="M635" i="22" s="1"/>
  <c r="M595" i="22"/>
  <c r="K71" i="9"/>
  <c r="K1470" i="24"/>
  <c r="K1478" i="24" s="1"/>
  <c r="N386" i="11"/>
  <c r="N202" i="12"/>
  <c r="J212" i="26"/>
  <c r="N379" i="11"/>
  <c r="N194" i="7"/>
  <c r="N19" i="11"/>
  <c r="N43" i="11"/>
  <c r="N21" i="11"/>
  <c r="R296" i="7"/>
  <c r="S576" i="8"/>
  <c r="S225" i="10"/>
  <c r="R89" i="10"/>
  <c r="R186" i="10"/>
  <c r="R210" i="10"/>
  <c r="R408" i="11"/>
  <c r="R103" i="12"/>
  <c r="N729" i="24"/>
  <c r="O85" i="7"/>
  <c r="O89" i="11"/>
  <c r="O565" i="8"/>
  <c r="O357" i="11"/>
  <c r="O452" i="11"/>
  <c r="O179" i="12"/>
  <c r="L1072" i="24"/>
  <c r="O359" i="11"/>
  <c r="G147" i="26"/>
  <c r="J8" i="6"/>
  <c r="J494" i="8"/>
  <c r="J133" i="8"/>
  <c r="J20" i="7"/>
  <c r="N58" i="8"/>
  <c r="N55" i="8"/>
  <c r="O284" i="10"/>
  <c r="O32" i="10"/>
  <c r="O25" i="10"/>
  <c r="Q175" i="12"/>
  <c r="J159" i="13"/>
  <c r="J129" i="14"/>
  <c r="J158" i="13"/>
  <c r="J151" i="13"/>
  <c r="J128" i="14"/>
  <c r="P113" i="10"/>
  <c r="M800" i="24"/>
  <c r="M776" i="24"/>
  <c r="M778" i="24"/>
  <c r="M804" i="24" s="1"/>
  <c r="N328" i="9"/>
  <c r="N304" i="9"/>
  <c r="N306" i="9"/>
  <c r="N332" i="9" s="1"/>
  <c r="N371" i="9"/>
  <c r="N346" i="9"/>
  <c r="N349" i="9"/>
  <c r="L466" i="22"/>
  <c r="L480" i="22"/>
  <c r="L642" i="22" s="1"/>
  <c r="L602" i="22"/>
  <c r="L502" i="22"/>
  <c r="L664" i="22" s="1"/>
  <c r="L624" i="22"/>
  <c r="L195" i="12"/>
  <c r="L198" i="12"/>
  <c r="M194" i="12"/>
  <c r="L749" i="24"/>
  <c r="L752" i="24"/>
  <c r="L757" i="24"/>
  <c r="O17" i="10"/>
  <c r="P17" i="10" s="1"/>
  <c r="J263" i="11"/>
  <c r="J469" i="8"/>
  <c r="J253" i="11"/>
  <c r="J466" i="8"/>
  <c r="J103" i="7"/>
  <c r="N335" i="7"/>
  <c r="N19" i="6"/>
  <c r="K507" i="22"/>
  <c r="K669" i="22" s="1"/>
  <c r="K629" i="22"/>
  <c r="O488" i="11"/>
  <c r="L1184" i="24" s="1"/>
  <c r="O494" i="11"/>
  <c r="L1143" i="24" s="1"/>
  <c r="O508" i="11"/>
  <c r="O11" i="12"/>
  <c r="O104" i="13"/>
  <c r="N238" i="22"/>
  <c r="O105" i="13"/>
  <c r="O106" i="13"/>
  <c r="N225" i="22"/>
  <c r="M184" i="22"/>
  <c r="N320" i="22"/>
  <c r="L899" i="22"/>
  <c r="M197" i="22"/>
  <c r="N307" i="22"/>
  <c r="L1195" i="24"/>
  <c r="K69" i="26"/>
  <c r="O481" i="11"/>
  <c r="J224" i="26"/>
  <c r="M477" i="22"/>
  <c r="M639" i="22" s="1"/>
  <c r="M599" i="22"/>
  <c r="L347" i="7"/>
  <c r="L350" i="7"/>
  <c r="M346" i="7"/>
  <c r="R318" i="8"/>
  <c r="R266" i="8"/>
  <c r="R317" i="8"/>
  <c r="R67" i="11"/>
  <c r="R137" i="11"/>
  <c r="R136" i="11"/>
  <c r="N1104" i="24"/>
  <c r="L80" i="13"/>
  <c r="J77" i="22"/>
  <c r="J67" i="22"/>
  <c r="L101" i="14"/>
  <c r="M101" i="14"/>
  <c r="I87" i="26"/>
  <c r="L374" i="7"/>
  <c r="M374" i="7" s="1"/>
  <c r="M372" i="7"/>
  <c r="M312" i="22"/>
  <c r="M336" i="22"/>
  <c r="M314" i="22"/>
  <c r="M340" i="22" s="1"/>
  <c r="M230" i="22"/>
  <c r="M254" i="22"/>
  <c r="M232" i="22"/>
  <c r="M258" i="22" s="1"/>
  <c r="L202" i="22"/>
  <c r="L204" i="22"/>
  <c r="N323" i="11"/>
  <c r="N74" i="12" s="1"/>
  <c r="N368" i="11"/>
  <c r="N513" i="11"/>
  <c r="N466" i="11"/>
  <c r="N42" i="12"/>
  <c r="J107" i="26"/>
  <c r="N515" i="11"/>
  <c r="Q46" i="10"/>
  <c r="P49" i="8"/>
  <c r="P186" i="8"/>
  <c r="L177" i="26"/>
  <c r="Q184" i="8"/>
  <c r="K125" i="7"/>
  <c r="K135" i="7" s="1"/>
  <c r="K273" i="11"/>
  <c r="K304" i="11" s="1"/>
  <c r="K305" i="11" s="1"/>
  <c r="H149" i="26"/>
  <c r="K284" i="11"/>
  <c r="M169" i="13"/>
  <c r="J362" i="22"/>
  <c r="J368" i="22"/>
  <c r="J58" i="22"/>
  <c r="J90" i="22"/>
  <c r="J348" i="22"/>
  <c r="J354" i="22"/>
  <c r="K103" i="22"/>
  <c r="K109" i="22"/>
  <c r="K135" i="22" s="1"/>
  <c r="K127" i="22"/>
  <c r="L103" i="14"/>
  <c r="M103" i="14"/>
  <c r="O367" i="8"/>
  <c r="O364" i="8"/>
  <c r="O399" i="8"/>
  <c r="O372" i="8"/>
  <c r="O171" i="11"/>
  <c r="O185" i="11"/>
  <c r="L459" i="8"/>
  <c r="L232" i="11"/>
  <c r="L456" i="8"/>
  <c r="L222" i="11"/>
  <c r="M71" i="7"/>
  <c r="P32" i="8"/>
  <c r="P148" i="8"/>
  <c r="P154" i="8"/>
  <c r="Q146" i="8"/>
  <c r="P553" i="8"/>
  <c r="Q553" i="8" s="1"/>
  <c r="Q527" i="8"/>
  <c r="P531" i="8"/>
  <c r="O52" i="12"/>
  <c r="R598" i="8"/>
  <c r="R256" i="10"/>
  <c r="Q256" i="10"/>
  <c r="Q215" i="10"/>
  <c r="Q598" i="8"/>
  <c r="U598" i="8"/>
  <c r="U256" i="10"/>
  <c r="I216" i="26"/>
  <c r="L387" i="11"/>
  <c r="M383" i="11"/>
  <c r="L384" i="11"/>
  <c r="J493" i="8"/>
  <c r="O75" i="7"/>
  <c r="O97" i="7"/>
  <c r="K246" i="11"/>
  <c r="O143" i="11"/>
  <c r="O170" i="11"/>
  <c r="O184" i="11"/>
  <c r="O168" i="11"/>
  <c r="O146" i="11"/>
  <c r="O182" i="11"/>
  <c r="O237" i="7"/>
  <c r="K60" i="16"/>
  <c r="P316" i="7"/>
  <c r="O306" i="7"/>
  <c r="O303" i="7"/>
  <c r="R267" i="8"/>
  <c r="R321" i="8"/>
  <c r="R322" i="8"/>
  <c r="R150" i="11"/>
  <c r="R71" i="11"/>
  <c r="R149" i="11"/>
  <c r="K275" i="7"/>
  <c r="K266" i="11"/>
  <c r="K297" i="11" s="1"/>
  <c r="K298" i="11" s="1"/>
  <c r="H151" i="26"/>
  <c r="K291" i="11"/>
  <c r="Q327" i="8"/>
  <c r="Q324" i="8"/>
  <c r="J81" i="13"/>
  <c r="P226" i="7"/>
  <c r="P117" i="11"/>
  <c r="P189" i="11"/>
  <c r="Q189" i="11" s="1"/>
  <c r="P111" i="11"/>
  <c r="Q109" i="11"/>
  <c r="P122" i="11"/>
  <c r="P289" i="8"/>
  <c r="Q289" i="8" s="1"/>
  <c r="P271" i="8"/>
  <c r="Q263" i="8"/>
  <c r="P264" i="8"/>
  <c r="L545" i="22"/>
  <c r="L585" i="22" s="1"/>
  <c r="L559" i="22"/>
  <c r="L523" i="22"/>
  <c r="L520" i="22"/>
  <c r="L299" i="22" l="1"/>
  <c r="M164" i="12"/>
  <c r="L76" i="14"/>
  <c r="M76" i="14" s="1"/>
  <c r="M68" i="14"/>
  <c r="P228" i="7"/>
  <c r="P191" i="11"/>
  <c r="Q191" i="11" s="1"/>
  <c r="P119" i="11"/>
  <c r="Q111" i="11"/>
  <c r="P124" i="11"/>
  <c r="R323" i="8"/>
  <c r="Q32" i="8"/>
  <c r="I197" i="26"/>
  <c r="M459" i="8"/>
  <c r="R268" i="8"/>
  <c r="N328" i="22"/>
  <c r="N321" i="22"/>
  <c r="M198" i="12"/>
  <c r="M195" i="12"/>
  <c r="O483" i="11"/>
  <c r="L1074" i="24"/>
  <c r="L1076" i="24"/>
  <c r="N731" i="24"/>
  <c r="N755" i="24"/>
  <c r="O86" i="7"/>
  <c r="O86" i="8"/>
  <c r="O208" i="11"/>
  <c r="O172" i="11"/>
  <c r="O160" i="11"/>
  <c r="O169" i="11"/>
  <c r="O183" i="11"/>
  <c r="O186" i="11"/>
  <c r="L115" i="7"/>
  <c r="L242" i="11"/>
  <c r="I142" i="26"/>
  <c r="M222" i="11"/>
  <c r="M457" i="8"/>
  <c r="M223" i="11"/>
  <c r="O211" i="11"/>
  <c r="O380" i="8"/>
  <c r="O407" i="8"/>
  <c r="O404" i="8"/>
  <c r="O377" i="8"/>
  <c r="O368" i="8"/>
  <c r="K483" i="8"/>
  <c r="K136" i="7"/>
  <c r="K23" i="8"/>
  <c r="K129" i="8"/>
  <c r="Q186" i="8"/>
  <c r="N327" i="11"/>
  <c r="N470" i="11"/>
  <c r="N238" i="8"/>
  <c r="N225" i="8"/>
  <c r="N27" i="11"/>
  <c r="N381" i="11"/>
  <c r="N26" i="11"/>
  <c r="N394" i="11"/>
  <c r="N161" i="12"/>
  <c r="N344" i="7"/>
  <c r="K66" i="9"/>
  <c r="K62" i="9"/>
  <c r="M338" i="22"/>
  <c r="M313" i="22"/>
  <c r="M316" i="22"/>
  <c r="M80" i="13"/>
  <c r="R163" i="11"/>
  <c r="R326" i="8"/>
  <c r="M347" i="7"/>
  <c r="M350" i="7"/>
  <c r="K70" i="26"/>
  <c r="L1177" i="24"/>
  <c r="N315" i="22"/>
  <c r="N341" i="22" s="1"/>
  <c r="N333" i="22"/>
  <c r="N308" i="22"/>
  <c r="M192" i="22"/>
  <c r="M210" i="22"/>
  <c r="M185" i="22"/>
  <c r="N246" i="22"/>
  <c r="N239" i="22"/>
  <c r="O502" i="11"/>
  <c r="O25" i="12"/>
  <c r="O495" i="11"/>
  <c r="G152" i="26"/>
  <c r="J294" i="11"/>
  <c r="O298" i="10"/>
  <c r="L765" i="24"/>
  <c r="L762" i="24"/>
  <c r="L753" i="24"/>
  <c r="L506" i="22"/>
  <c r="L668" i="22" s="1"/>
  <c r="L628" i="22"/>
  <c r="M802" i="24"/>
  <c r="M777" i="24"/>
  <c r="M780" i="24"/>
  <c r="O181" i="12"/>
  <c r="O183" i="12"/>
  <c r="R105" i="12"/>
  <c r="R129" i="12"/>
  <c r="S227" i="10"/>
  <c r="S310" i="7"/>
  <c r="S602" i="8"/>
  <c r="N45" i="11"/>
  <c r="N23" i="11"/>
  <c r="N20" i="11"/>
  <c r="M498" i="22"/>
  <c r="M660" i="22" s="1"/>
  <c r="M620" i="22"/>
  <c r="L362" i="7"/>
  <c r="L383" i="7"/>
  <c r="M383" i="7" s="1"/>
  <c r="L365" i="7"/>
  <c r="M357" i="7"/>
  <c r="L149" i="22"/>
  <c r="L152" i="22"/>
  <c r="L170" i="22"/>
  <c r="J381" i="22"/>
  <c r="J384" i="22"/>
  <c r="K1377" i="24"/>
  <c r="K1379" i="24"/>
  <c r="O477" i="8"/>
  <c r="O285" i="11"/>
  <c r="L454" i="22"/>
  <c r="L486" i="22"/>
  <c r="L608" i="22"/>
  <c r="L447" i="22"/>
  <c r="L459" i="22"/>
  <c r="N57" i="13"/>
  <c r="N24" i="14"/>
  <c r="K1222" i="24"/>
  <c r="N231" i="9"/>
  <c r="R539" i="8"/>
  <c r="N1101" i="24"/>
  <c r="R202" i="10"/>
  <c r="O357" i="9"/>
  <c r="N285" i="9"/>
  <c r="N273" i="9"/>
  <c r="R115" i="11"/>
  <c r="O254" i="9"/>
  <c r="O446" i="24"/>
  <c r="O910" i="22"/>
  <c r="O470" i="24"/>
  <c r="J128" i="26"/>
  <c r="P198" i="8"/>
  <c r="P470" i="8"/>
  <c r="P264" i="11"/>
  <c r="M531" i="22"/>
  <c r="M450" i="22"/>
  <c r="M407" i="22"/>
  <c r="L100" i="26"/>
  <c r="N693" i="22"/>
  <c r="N25" i="22"/>
  <c r="Q470" i="8"/>
  <c r="Q264" i="11"/>
  <c r="Q127" i="10"/>
  <c r="P140" i="10"/>
  <c r="P184" i="7"/>
  <c r="P80" i="10"/>
  <c r="Q80" i="10" s="1"/>
  <c r="P128" i="10"/>
  <c r="O419" i="8"/>
  <c r="S161" i="7"/>
  <c r="S164" i="8"/>
  <c r="S591" i="8"/>
  <c r="Q15" i="12"/>
  <c r="Q484" i="11"/>
  <c r="P498" i="11"/>
  <c r="M1147" i="24" s="1"/>
  <c r="M1161" i="24" s="1"/>
  <c r="P197" i="13" s="1"/>
  <c r="Q197" i="13" s="1"/>
  <c r="P512" i="11"/>
  <c r="P15" i="12"/>
  <c r="P120" i="13"/>
  <c r="P121" i="13"/>
  <c r="Q121" i="13" s="1"/>
  <c r="P122" i="13"/>
  <c r="Q122" i="13" s="1"/>
  <c r="O311" i="22"/>
  <c r="O229" i="22"/>
  <c r="M900" i="22"/>
  <c r="N188" i="22"/>
  <c r="O242" i="22"/>
  <c r="N201" i="22"/>
  <c r="O324" i="22"/>
  <c r="M1199" i="24"/>
  <c r="L72" i="26"/>
  <c r="P415" i="8"/>
  <c r="Q415" i="8" s="1"/>
  <c r="Q335" i="8"/>
  <c r="K276" i="11"/>
  <c r="K307" i="11" s="1"/>
  <c r="K308" i="11" s="1"/>
  <c r="K287" i="11"/>
  <c r="K288" i="11" s="1"/>
  <c r="P151" i="7"/>
  <c r="R593" i="8"/>
  <c r="P61" i="10"/>
  <c r="P206" i="10"/>
  <c r="R239" i="10"/>
  <c r="P422" i="11"/>
  <c r="P117" i="12"/>
  <c r="M743" i="24"/>
  <c r="P300" i="7"/>
  <c r="P211" i="10"/>
  <c r="P199" i="10"/>
  <c r="P93" i="10"/>
  <c r="U239" i="10"/>
  <c r="Q198" i="10"/>
  <c r="U593" i="8"/>
  <c r="J94" i="22"/>
  <c r="J1247" i="24"/>
  <c r="J1244" i="24"/>
  <c r="N124" i="13"/>
  <c r="N128" i="13"/>
  <c r="N134" i="13"/>
  <c r="L57" i="14"/>
  <c r="M57" i="14" s="1"/>
  <c r="L213" i="13"/>
  <c r="M55" i="14"/>
  <c r="K180" i="26"/>
  <c r="O259" i="9"/>
  <c r="O924" i="22"/>
  <c r="J275" i="7"/>
  <c r="J266" i="11"/>
  <c r="G151" i="26"/>
  <c r="J291" i="11"/>
  <c r="R351" i="11"/>
  <c r="R207" i="7"/>
  <c r="R56" i="11"/>
  <c r="R80" i="11"/>
  <c r="N256" i="8"/>
  <c r="Q195" i="8"/>
  <c r="M199" i="7"/>
  <c r="L200" i="7"/>
  <c r="L203" i="7"/>
  <c r="C17" i="17"/>
  <c r="C11" i="17"/>
  <c r="B178" i="13"/>
  <c r="O271" i="9"/>
  <c r="O927" i="22"/>
  <c r="M942" i="22"/>
  <c r="M920" i="22"/>
  <c r="M917" i="22"/>
  <c r="J16" i="8"/>
  <c r="O418" i="8"/>
  <c r="L105" i="14"/>
  <c r="L102" i="14"/>
  <c r="M105" i="14"/>
  <c r="M102" i="14"/>
  <c r="J1303" i="24"/>
  <c r="J1302" i="24"/>
  <c r="J1304" i="24"/>
  <c r="J1301" i="24"/>
  <c r="I88" i="26"/>
  <c r="J1305" i="24"/>
  <c r="L116" i="14"/>
  <c r="L122" i="14"/>
  <c r="M122" i="14" s="1"/>
  <c r="M114" i="14"/>
  <c r="H201" i="26"/>
  <c r="K22" i="8"/>
  <c r="H202" i="26" s="1"/>
  <c r="K128" i="8"/>
  <c r="L215" i="22"/>
  <c r="L190" i="22"/>
  <c r="L193" i="22"/>
  <c r="L14" i="14"/>
  <c r="L73" i="14"/>
  <c r="M73" i="14" s="1"/>
  <c r="M71" i="14"/>
  <c r="L640" i="22"/>
  <c r="N284" i="9"/>
  <c r="N260" i="9"/>
  <c r="N217" i="9"/>
  <c r="R188" i="10"/>
  <c r="N1087" i="24"/>
  <c r="R525" i="8"/>
  <c r="O343" i="9"/>
  <c r="N262" i="9"/>
  <c r="N288" i="9" s="1"/>
  <c r="Q143" i="12"/>
  <c r="M62" i="12"/>
  <c r="M59" i="12"/>
  <c r="O9" i="4"/>
  <c r="K158" i="26" s="1"/>
  <c r="N19" i="5"/>
  <c r="N10" i="15"/>
  <c r="O193" i="7"/>
  <c r="O15" i="11"/>
  <c r="R257" i="10"/>
  <c r="Q257" i="10"/>
  <c r="Q216" i="10"/>
  <c r="U257" i="10"/>
  <c r="R168" i="7"/>
  <c r="R162" i="8"/>
  <c r="R37" i="8"/>
  <c r="R583" i="8"/>
  <c r="R586" i="8"/>
  <c r="Q37" i="8"/>
  <c r="Q154" i="7"/>
  <c r="U586" i="8"/>
  <c r="Q583" i="8"/>
  <c r="U583" i="8"/>
  <c r="Q168" i="7"/>
  <c r="U168" i="7"/>
  <c r="Q586" i="8"/>
  <c r="U37" i="8"/>
  <c r="Q162" i="8"/>
  <c r="U162" i="8"/>
  <c r="O198" i="7"/>
  <c r="O32" i="11"/>
  <c r="R110" i="10"/>
  <c r="N779" i="24"/>
  <c r="O255" i="9"/>
  <c r="O911" i="22"/>
  <c r="O453" i="24"/>
  <c r="M555" i="22"/>
  <c r="I132" i="26"/>
  <c r="M14" i="3"/>
  <c r="P39" i="7"/>
  <c r="P39" i="8"/>
  <c r="P167" i="8"/>
  <c r="P170" i="8"/>
  <c r="P600" i="8"/>
  <c r="P609" i="8"/>
  <c r="P612" i="8"/>
  <c r="J70" i="13"/>
  <c r="R102" i="11"/>
  <c r="R126" i="11"/>
  <c r="R346" i="8"/>
  <c r="R352" i="8"/>
  <c r="J176" i="13"/>
  <c r="L112" i="8"/>
  <c r="L431" i="8"/>
  <c r="L487" i="8"/>
  <c r="M487" i="8" s="1"/>
  <c r="I189" i="26"/>
  <c r="M425" i="8"/>
  <c r="M14" i="7"/>
  <c r="P202" i="11"/>
  <c r="Q202" i="11" s="1"/>
  <c r="Q122" i="11"/>
  <c r="H153" i="26"/>
  <c r="K285" i="7"/>
  <c r="L122" i="8"/>
  <c r="L462" i="8"/>
  <c r="I196" i="26"/>
  <c r="M456" i="8"/>
  <c r="J367" i="22"/>
  <c r="J370" i="22"/>
  <c r="N233" i="22"/>
  <c r="N259" i="22" s="1"/>
  <c r="N251" i="22"/>
  <c r="N226" i="22"/>
  <c r="J125" i="8"/>
  <c r="J472" i="8"/>
  <c r="G199" i="26"/>
  <c r="J476" i="8"/>
  <c r="P336" i="8"/>
  <c r="P390" i="8"/>
  <c r="Q390" i="8" s="1"/>
  <c r="Q310" i="8"/>
  <c r="P314" i="8"/>
  <c r="P311" i="8"/>
  <c r="P198" i="11"/>
  <c r="Q198" i="11" s="1"/>
  <c r="Q118" i="11"/>
  <c r="P131" i="11"/>
  <c r="Q81" i="8"/>
  <c r="M468" i="24"/>
  <c r="M480" i="24"/>
  <c r="M477" i="24"/>
  <c r="L389" i="7"/>
  <c r="M389" i="7" s="1"/>
  <c r="M363" i="7"/>
  <c r="M493" i="22"/>
  <c r="M655" i="22" s="1"/>
  <c r="M615" i="22"/>
  <c r="N20" i="12"/>
  <c r="N17" i="12"/>
  <c r="M326" i="22"/>
  <c r="M329" i="22"/>
  <c r="N527" i="11"/>
  <c r="N56" i="12"/>
  <c r="N529" i="11"/>
  <c r="O10" i="7"/>
  <c r="O54" i="7"/>
  <c r="O273" i="7"/>
  <c r="O498" i="8"/>
  <c r="O257" i="11"/>
  <c r="K98" i="26"/>
  <c r="O187" i="7"/>
  <c r="M697" i="22"/>
  <c r="M710" i="22" s="1"/>
  <c r="M702" i="22"/>
  <c r="M690" i="22"/>
  <c r="L567" i="22"/>
  <c r="L535" i="22"/>
  <c r="L540" i="22"/>
  <c r="L580" i="22" s="1"/>
  <c r="L528" i="22"/>
  <c r="O81" i="10"/>
  <c r="O51" i="10"/>
  <c r="O53" i="8"/>
  <c r="O199" i="8"/>
  <c r="K184" i="26"/>
  <c r="O210" i="8"/>
  <c r="O201" i="8"/>
  <c r="N23" i="14"/>
  <c r="K1215" i="24"/>
  <c r="K1221" i="24"/>
  <c r="L123" i="14"/>
  <c r="M123" i="14" s="1"/>
  <c r="M115" i="14"/>
  <c r="P170" i="7"/>
  <c r="P167" i="7"/>
  <c r="Q91" i="10"/>
  <c r="M322" i="9"/>
  <c r="M331" i="9"/>
  <c r="M334" i="9"/>
  <c r="N738" i="24"/>
  <c r="J1476" i="24"/>
  <c r="J1479" i="24"/>
  <c r="M274" i="9"/>
  <c r="M277" i="9"/>
  <c r="M282" i="9"/>
  <c r="M235" i="9"/>
  <c r="M248" i="9" s="1"/>
  <c r="M784" i="24"/>
  <c r="M240" i="9"/>
  <c r="M228" i="9"/>
  <c r="O256" i="7"/>
  <c r="O295" i="8"/>
  <c r="O286" i="8"/>
  <c r="O298" i="8"/>
  <c r="P258" i="10"/>
  <c r="P261" i="10"/>
  <c r="P249" i="10"/>
  <c r="K121" i="22"/>
  <c r="M65" i="16" s="1"/>
  <c r="N65" i="16" s="1"/>
  <c r="K124" i="22"/>
  <c r="L148" i="13"/>
  <c r="J62" i="22"/>
  <c r="J84" i="22"/>
  <c r="J59" i="22"/>
  <c r="K137" i="14"/>
  <c r="K141" i="14"/>
  <c r="N30" i="12"/>
  <c r="N32" i="12"/>
  <c r="O319" i="9"/>
  <c r="R114" i="10"/>
  <c r="J122" i="7"/>
  <c r="J272" i="7"/>
  <c r="J256" i="11"/>
  <c r="J270" i="11"/>
  <c r="G148" i="26"/>
  <c r="J281" i="11"/>
  <c r="J108" i="7"/>
  <c r="J93" i="7"/>
  <c r="J104" i="7"/>
  <c r="R288" i="8"/>
  <c r="R270" i="8"/>
  <c r="N249" i="8"/>
  <c r="L183" i="26"/>
  <c r="Q52" i="8"/>
  <c r="P440" i="11"/>
  <c r="Q440" i="11" s="1"/>
  <c r="Q414" i="11"/>
  <c r="P418" i="11"/>
  <c r="P415" i="11"/>
  <c r="P86" i="11"/>
  <c r="Q86" i="11" s="1"/>
  <c r="Q60" i="11"/>
  <c r="P64" i="11"/>
  <c r="P61" i="11"/>
  <c r="R126" i="10"/>
  <c r="Q531" i="8"/>
  <c r="Q528" i="8"/>
  <c r="L88" i="14"/>
  <c r="L91" i="14"/>
  <c r="M83" i="14"/>
  <c r="N25" i="6"/>
  <c r="K21" i="21"/>
  <c r="K1287" i="24"/>
  <c r="J74" i="26"/>
  <c r="K1286" i="24"/>
  <c r="K1182" i="24"/>
  <c r="K1185" i="24"/>
  <c r="K1284" i="24"/>
  <c r="K1288" i="24"/>
  <c r="K1285" i="24"/>
  <c r="N142" i="13"/>
  <c r="N750" i="24"/>
  <c r="S246" i="10"/>
  <c r="L87" i="8"/>
  <c r="L89" i="8"/>
  <c r="M89" i="8" s="1"/>
  <c r="M84" i="8"/>
  <c r="L504" i="22"/>
  <c r="L666" i="22" s="1"/>
  <c r="L626" i="22"/>
  <c r="O247" i="8"/>
  <c r="P135" i="12"/>
  <c r="Q135" i="12" s="1"/>
  <c r="Q109" i="12"/>
  <c r="P113" i="12"/>
  <c r="P110" i="12"/>
  <c r="Q70" i="8"/>
  <c r="M651" i="22"/>
  <c r="L21" i="16"/>
  <c r="M761" i="24"/>
  <c r="Q293" i="10"/>
  <c r="M736" i="24"/>
  <c r="M739" i="24"/>
  <c r="R127" i="11"/>
  <c r="R277" i="8"/>
  <c r="M241" i="8"/>
  <c r="M244" i="8"/>
  <c r="L265" i="7"/>
  <c r="L235" i="11"/>
  <c r="I144" i="26"/>
  <c r="M229" i="11"/>
  <c r="M230" i="11"/>
  <c r="M429" i="8"/>
  <c r="R151" i="11"/>
  <c r="L560" i="22"/>
  <c r="L563" i="22"/>
  <c r="P269" i="8"/>
  <c r="P290" i="8"/>
  <c r="Q290" i="8" s="1"/>
  <c r="P64" i="8"/>
  <c r="P272" i="8"/>
  <c r="Q264" i="8"/>
  <c r="P116" i="11"/>
  <c r="P197" i="11"/>
  <c r="Q197" i="11" s="1"/>
  <c r="Q117" i="11"/>
  <c r="P130" i="11"/>
  <c r="P317" i="7"/>
  <c r="P320" i="7"/>
  <c r="O245" i="7"/>
  <c r="O242" i="7"/>
  <c r="O250" i="7"/>
  <c r="Q154" i="8"/>
  <c r="L79" i="13"/>
  <c r="J356" i="22"/>
  <c r="J353" i="22"/>
  <c r="K477" i="8"/>
  <c r="K285" i="11"/>
  <c r="L179" i="26"/>
  <c r="Q49" i="8"/>
  <c r="M256" i="22"/>
  <c r="M234" i="22"/>
  <c r="M231" i="22"/>
  <c r="R75" i="11"/>
  <c r="L1151" i="24"/>
  <c r="L1157" i="24"/>
  <c r="L1144" i="24"/>
  <c r="M205" i="22"/>
  <c r="M198" i="22"/>
  <c r="O136" i="13"/>
  <c r="O107" i="13"/>
  <c r="O109" i="13"/>
  <c r="N336" i="7"/>
  <c r="N330" i="9"/>
  <c r="N305" i="9"/>
  <c r="N308" i="9"/>
  <c r="J138" i="14"/>
  <c r="J131" i="14"/>
  <c r="J139" i="14"/>
  <c r="O454" i="11"/>
  <c r="O147" i="12"/>
  <c r="K221" i="26"/>
  <c r="O456" i="11"/>
  <c r="R410" i="11"/>
  <c r="R434" i="11"/>
  <c r="N210" i="12"/>
  <c r="N203" i="12"/>
  <c r="M481" i="22"/>
  <c r="M603" i="22"/>
  <c r="M199" i="13"/>
  <c r="M202" i="13"/>
  <c r="Q363" i="8"/>
  <c r="P403" i="8"/>
  <c r="Q403" i="8" s="1"/>
  <c r="P376" i="8"/>
  <c r="Q376" i="8" s="1"/>
  <c r="P392" i="8"/>
  <c r="Q392" i="8" s="1"/>
  <c r="P338" i="8"/>
  <c r="Q312" i="8"/>
  <c r="P252" i="7"/>
  <c r="Q252" i="7" s="1"/>
  <c r="Q226" i="7"/>
  <c r="P230" i="7"/>
  <c r="K449" i="8"/>
  <c r="K292" i="11"/>
  <c r="L70" i="16"/>
  <c r="L60" i="16" s="1"/>
  <c r="I217" i="26"/>
  <c r="M384" i="11"/>
  <c r="M387" i="11"/>
  <c r="Q148" i="8"/>
  <c r="I145" i="26"/>
  <c r="M460" i="8"/>
  <c r="M233" i="11"/>
  <c r="M232" i="11"/>
  <c r="O412" i="8"/>
  <c r="N44" i="12"/>
  <c r="N46" i="12"/>
  <c r="N468" i="11"/>
  <c r="N325" i="11"/>
  <c r="J109" i="26"/>
  <c r="N514" i="11"/>
  <c r="N517" i="11"/>
  <c r="L203" i="22"/>
  <c r="L206" i="22"/>
  <c r="L153" i="13"/>
  <c r="J79" i="22"/>
  <c r="J76" i="22"/>
  <c r="R319" i="8"/>
  <c r="R325" i="8"/>
  <c r="L901" i="22"/>
  <c r="L8" i="21" s="1"/>
  <c r="L903" i="22"/>
  <c r="O138" i="13"/>
  <c r="O111" i="13"/>
  <c r="O19" i="12"/>
  <c r="O12" i="12"/>
  <c r="J125" i="7"/>
  <c r="J273" i="11"/>
  <c r="G149" i="26"/>
  <c r="J284" i="11"/>
  <c r="O300" i="10"/>
  <c r="P180" i="7"/>
  <c r="P181" i="8"/>
  <c r="P429" i="8"/>
  <c r="P76" i="10"/>
  <c r="P115" i="10"/>
  <c r="P139" i="10"/>
  <c r="P230" i="11"/>
  <c r="M517" i="22"/>
  <c r="M436" i="22"/>
  <c r="M393" i="22"/>
  <c r="L92" i="26"/>
  <c r="N11" i="22"/>
  <c r="N679" i="22"/>
  <c r="Q113" i="10"/>
  <c r="Q230" i="11"/>
  <c r="Q429" i="8"/>
  <c r="P48" i="7"/>
  <c r="P42" i="10"/>
  <c r="P117" i="10"/>
  <c r="J157" i="13"/>
  <c r="J161" i="13"/>
  <c r="L12" i="21"/>
  <c r="L14" i="21" s="1"/>
  <c r="O361" i="11"/>
  <c r="O358" i="11"/>
  <c r="O90" i="7"/>
  <c r="O101" i="7"/>
  <c r="N63" i="7"/>
  <c r="N63" i="8"/>
  <c r="N202" i="7"/>
  <c r="N195" i="7"/>
  <c r="J331" i="7"/>
  <c r="J69" i="13"/>
  <c r="J17" i="6"/>
  <c r="M474" i="22"/>
  <c r="M636" i="22" s="1"/>
  <c r="M596" i="22"/>
  <c r="P203" i="11"/>
  <c r="Q203" i="11" s="1"/>
  <c r="Q123" i="11"/>
  <c r="P253" i="7"/>
  <c r="Q253" i="7" s="1"/>
  <c r="Q227" i="7"/>
  <c r="P231" i="7"/>
  <c r="Q70" i="7"/>
  <c r="K503" i="8"/>
  <c r="K451" i="8"/>
  <c r="K513" i="8" s="1"/>
  <c r="L254" i="8"/>
  <c r="L245" i="8"/>
  <c r="L257" i="8"/>
  <c r="M231" i="8"/>
  <c r="M228" i="8"/>
  <c r="N165" i="13"/>
  <c r="K469" i="22"/>
  <c r="K505" i="22"/>
  <c r="K627" i="22"/>
  <c r="K496" i="22"/>
  <c r="K508" i="22"/>
  <c r="K618" i="22"/>
  <c r="K630" i="22"/>
  <c r="K654" i="22"/>
  <c r="K657" i="22"/>
  <c r="L149" i="13"/>
  <c r="J88" i="22"/>
  <c r="L15" i="17"/>
  <c r="L9" i="17"/>
  <c r="O132" i="10"/>
  <c r="O129" i="10"/>
  <c r="P153" i="10"/>
  <c r="Q153" i="10" s="1"/>
  <c r="O137" i="10"/>
  <c r="M29" i="22"/>
  <c r="M42" i="22" s="1"/>
  <c r="M34" i="22"/>
  <c r="M22" i="22"/>
  <c r="L411" i="22"/>
  <c r="L424" i="22" s="1"/>
  <c r="L404" i="22"/>
  <c r="L416" i="22"/>
  <c r="O144" i="10"/>
  <c r="O126" i="7"/>
  <c r="O126" i="8"/>
  <c r="O473" i="8"/>
  <c r="O274" i="11"/>
  <c r="O185" i="7"/>
  <c r="O57" i="7"/>
  <c r="N360" i="7"/>
  <c r="N373" i="7"/>
  <c r="N42" i="14"/>
  <c r="N86" i="14"/>
  <c r="L106" i="22"/>
  <c r="M160" i="22"/>
  <c r="K66" i="22"/>
  <c r="K74" i="22"/>
  <c r="K70" i="22"/>
  <c r="L119" i="22"/>
  <c r="K379" i="22"/>
  <c r="M147" i="22"/>
  <c r="M173" i="22" s="1"/>
  <c r="M270" i="22"/>
  <c r="M283" i="22"/>
  <c r="K365" i="22"/>
  <c r="K351" i="22"/>
  <c r="J86" i="26"/>
  <c r="K1242" i="24"/>
  <c r="N56" i="14" s="1"/>
  <c r="N53" i="13"/>
  <c r="N59" i="13"/>
  <c r="K219" i="13"/>
  <c r="K216" i="13"/>
  <c r="K185" i="13" s="1"/>
  <c r="J16" i="7"/>
  <c r="O214" i="7"/>
  <c r="O217" i="7"/>
  <c r="N223" i="12"/>
  <c r="N216" i="12"/>
  <c r="Q188" i="8"/>
  <c r="N61" i="12"/>
  <c r="N54" i="12"/>
  <c r="Q58" i="10"/>
  <c r="O432" i="11"/>
  <c r="O444" i="11"/>
  <c r="O441" i="11"/>
  <c r="R112" i="12"/>
  <c r="S234" i="10"/>
  <c r="P453" i="11"/>
  <c r="P393" i="8"/>
  <c r="Q393" i="8" s="1"/>
  <c r="P339" i="8"/>
  <c r="Q313" i="8"/>
  <c r="K446" i="8"/>
  <c r="K282" i="11"/>
  <c r="K22" i="7"/>
  <c r="K128" i="7"/>
  <c r="K138" i="7" s="1"/>
  <c r="K139" i="7" s="1"/>
  <c r="H150" i="26"/>
  <c r="K282" i="7"/>
  <c r="P151" i="8"/>
  <c r="P543" i="8"/>
  <c r="P536" i="8"/>
  <c r="P548" i="8"/>
  <c r="Q548" i="8" s="1"/>
  <c r="Q535" i="8"/>
  <c r="O90" i="8"/>
  <c r="O101" i="8"/>
  <c r="L16" i="17"/>
  <c r="L10" i="17"/>
  <c r="J715" i="22" s="1"/>
  <c r="L162" i="22"/>
  <c r="L165" i="22"/>
  <c r="L53" i="14"/>
  <c r="L59" i="14"/>
  <c r="M59" i="14" s="1"/>
  <c r="L209" i="13"/>
  <c r="M51" i="14"/>
  <c r="N500" i="11"/>
  <c r="N503" i="11"/>
  <c r="N141" i="13"/>
  <c r="R122" i="10"/>
  <c r="N791" i="24"/>
  <c r="O267" i="9"/>
  <c r="O914" i="22"/>
  <c r="O465" i="24"/>
  <c r="J136" i="14"/>
  <c r="J500" i="8"/>
  <c r="G193" i="26"/>
  <c r="J448" i="8"/>
  <c r="J13" i="3"/>
  <c r="R222" i="7"/>
  <c r="R98" i="11"/>
  <c r="R104" i="11"/>
  <c r="R176" i="11"/>
  <c r="R331" i="8"/>
  <c r="R385" i="8"/>
  <c r="P442" i="11"/>
  <c r="Q442" i="11" s="1"/>
  <c r="Q416" i="11"/>
  <c r="O334" i="7"/>
  <c r="P64" i="7"/>
  <c r="P88" i="11"/>
  <c r="Q88" i="11" s="1"/>
  <c r="Q62" i="11"/>
  <c r="P216" i="7"/>
  <c r="Q216" i="7" s="1"/>
  <c r="Q208" i="7"/>
  <c r="P209" i="7"/>
  <c r="P562" i="8"/>
  <c r="P449" i="11"/>
  <c r="P360" i="11"/>
  <c r="P176" i="12"/>
  <c r="M1069" i="24"/>
  <c r="Q352" i="11"/>
  <c r="P353" i="11"/>
  <c r="K510" i="8"/>
  <c r="O257" i="7"/>
  <c r="L272" i="22"/>
  <c r="L275" i="22"/>
  <c r="L293" i="22"/>
  <c r="M170" i="13"/>
  <c r="M172" i="13"/>
  <c r="N143" i="13"/>
  <c r="L217" i="22"/>
  <c r="L387" i="7"/>
  <c r="M387" i="7" s="1"/>
  <c r="M361" i="7"/>
  <c r="L120" i="14"/>
  <c r="M120" i="14" s="1"/>
  <c r="M118" i="14"/>
  <c r="R124" i="12"/>
  <c r="S164" i="7"/>
  <c r="S161" i="8"/>
  <c r="S582" i="8"/>
  <c r="L87" i="7"/>
  <c r="L100" i="7"/>
  <c r="M100" i="7" s="1"/>
  <c r="M84" i="7"/>
  <c r="L479" i="22"/>
  <c r="L601" i="22"/>
  <c r="L482" i="22"/>
  <c r="L604" i="22"/>
  <c r="N476" i="24"/>
  <c r="N30" i="21" s="1"/>
  <c r="N451" i="24"/>
  <c r="N454" i="24"/>
  <c r="K19" i="6"/>
  <c r="K334" i="7"/>
  <c r="K336" i="7" s="1"/>
  <c r="O87" i="11"/>
  <c r="O78" i="11"/>
  <c r="O90" i="11"/>
  <c r="M562" i="22"/>
  <c r="L71" i="8"/>
  <c r="L100" i="8"/>
  <c r="M100" i="8" s="1"/>
  <c r="M68" i="8"/>
  <c r="L73" i="8"/>
  <c r="K66" i="16"/>
  <c r="K59" i="16"/>
  <c r="L390" i="7"/>
  <c r="M390" i="7" s="1"/>
  <c r="M364" i="7"/>
  <c r="O214" i="12"/>
  <c r="K126" i="26"/>
  <c r="P137" i="12"/>
  <c r="Q137" i="12" s="1"/>
  <c r="Q111" i="12"/>
  <c r="O219" i="12"/>
  <c r="K130" i="26"/>
  <c r="Q81" i="7"/>
  <c r="N168" i="13"/>
  <c r="K577" i="22"/>
  <c r="K589" i="22"/>
  <c r="K550" i="22"/>
  <c r="K586" i="22"/>
  <c r="R162" i="7"/>
  <c r="Q148" i="7"/>
  <c r="U162" i="7"/>
  <c r="Q162" i="7"/>
  <c r="R319" i="7"/>
  <c r="R611" i="8"/>
  <c r="M18" i="21"/>
  <c r="Q305" i="7"/>
  <c r="U319" i="7"/>
  <c r="U611" i="8"/>
  <c r="Q611" i="8"/>
  <c r="Q319" i="7"/>
  <c r="R63" i="11"/>
  <c r="L490" i="8"/>
  <c r="M490" i="8" s="1"/>
  <c r="I190" i="26"/>
  <c r="M428" i="8"/>
  <c r="M72" i="7"/>
  <c r="M76" i="7"/>
  <c r="P156" i="11"/>
  <c r="Q157" i="11"/>
  <c r="Q155" i="11"/>
  <c r="P195" i="11"/>
  <c r="Q195" i="11" s="1"/>
  <c r="P241" i="7"/>
  <c r="Q241" i="7" s="1"/>
  <c r="P159" i="11"/>
  <c r="N196" i="13"/>
  <c r="K1162" i="24"/>
  <c r="K1164" i="24"/>
  <c r="P297" i="8"/>
  <c r="Q297" i="8" s="1"/>
  <c r="Q271" i="8"/>
  <c r="O210" i="11"/>
  <c r="K108" i="22"/>
  <c r="K111" i="22"/>
  <c r="K129" i="22"/>
  <c r="J92" i="22"/>
  <c r="L150" i="13"/>
  <c r="N370" i="11"/>
  <c r="N192" i="12"/>
  <c r="J136" i="26"/>
  <c r="N372" i="11"/>
  <c r="R138" i="11"/>
  <c r="R162" i="11"/>
  <c r="L1203" i="24"/>
  <c r="L1372" i="24"/>
  <c r="L1196" i="24"/>
  <c r="O137" i="13"/>
  <c r="O110" i="13"/>
  <c r="O39" i="12"/>
  <c r="O463" i="11"/>
  <c r="O320" i="11"/>
  <c r="O71" i="12" s="1"/>
  <c r="O516" i="11"/>
  <c r="O365" i="11"/>
  <c r="K105" i="26"/>
  <c r="O509" i="11"/>
  <c r="G200" i="26"/>
  <c r="J479" i="8"/>
  <c r="O288" i="10"/>
  <c r="O33" i="10"/>
  <c r="O285" i="10"/>
  <c r="O567" i="8"/>
  <c r="K207" i="26"/>
  <c r="O569" i="8"/>
  <c r="S584" i="8"/>
  <c r="S251" i="10"/>
  <c r="J213" i="26"/>
  <c r="L46" i="11"/>
  <c r="M33" i="11"/>
  <c r="L37" i="11"/>
  <c r="M36" i="11"/>
  <c r="L49" i="11"/>
  <c r="L210" i="13"/>
  <c r="L60" i="14"/>
  <c r="M60" i="14" s="1"/>
  <c r="M52" i="14"/>
  <c r="L224" i="12"/>
  <c r="M220" i="12"/>
  <c r="L221" i="12"/>
  <c r="P414" i="8"/>
  <c r="Q414" i="8" s="1"/>
  <c r="Q334" i="8"/>
  <c r="K135" i="8"/>
  <c r="H194" i="26"/>
  <c r="K118" i="8"/>
  <c r="K138" i="8" s="1"/>
  <c r="K19" i="8"/>
  <c r="L211" i="12"/>
  <c r="L208" i="12"/>
  <c r="M207" i="12"/>
  <c r="J140" i="14"/>
  <c r="K480" i="8"/>
  <c r="K295" i="11"/>
  <c r="M244" i="22"/>
  <c r="M247" i="22"/>
  <c r="K1204" i="24"/>
  <c r="K1201" i="24"/>
  <c r="O10" i="10"/>
  <c r="O48" i="10"/>
  <c r="O83" i="10"/>
  <c r="N60" i="13"/>
  <c r="N27" i="14"/>
  <c r="K1219" i="24"/>
  <c r="N932" i="22"/>
  <c r="N929" i="22"/>
  <c r="R350" i="8"/>
  <c r="R109" i="10"/>
  <c r="N772" i="24"/>
  <c r="N796" i="24"/>
  <c r="O324" i="9"/>
  <c r="O300" i="9"/>
  <c r="N528" i="11"/>
  <c r="N531" i="11"/>
  <c r="Q31" i="10"/>
  <c r="P280" i="10"/>
  <c r="Q280" i="10"/>
  <c r="P31" i="10"/>
  <c r="Q23" i="10"/>
  <c r="T31" i="10"/>
  <c r="P287" i="10"/>
  <c r="Q287" i="10"/>
  <c r="Q98" i="10"/>
  <c r="R417" i="11"/>
  <c r="L208" i="26"/>
  <c r="Q566" i="8"/>
  <c r="K278" i="7"/>
  <c r="K288" i="7" s="1"/>
  <c r="K289" i="7" s="1"/>
  <c r="K132" i="7"/>
  <c r="N361" i="9"/>
  <c r="N374" i="9" s="1"/>
  <c r="N458" i="24"/>
  <c r="N312" i="9"/>
  <c r="N366" i="9"/>
  <c r="N354" i="9"/>
  <c r="P279" i="8"/>
  <c r="P357" i="8"/>
  <c r="P358" i="8"/>
  <c r="P140" i="11"/>
  <c r="P68" i="11"/>
  <c r="P141" i="11"/>
  <c r="M1105" i="24"/>
  <c r="M1118" i="24" s="1"/>
  <c r="M1098" i="24"/>
  <c r="M1110" i="24"/>
  <c r="L378" i="7"/>
  <c r="L375" i="7"/>
  <c r="M370" i="7"/>
  <c r="L44" i="14"/>
  <c r="L47" i="14"/>
  <c r="M39" i="14"/>
  <c r="K7" i="21"/>
  <c r="K9" i="21" s="1"/>
  <c r="K902" i="22"/>
  <c r="K905" i="22"/>
  <c r="Q479" i="11"/>
  <c r="P493" i="11"/>
  <c r="P507" i="11"/>
  <c r="P10" i="12"/>
  <c r="Q10" i="12"/>
  <c r="P99" i="13"/>
  <c r="N183" i="22"/>
  <c r="P100" i="13"/>
  <c r="P101" i="13"/>
  <c r="M895" i="22"/>
  <c r="N196" i="22"/>
  <c r="O224" i="22"/>
  <c r="O237" i="22"/>
  <c r="O319" i="22"/>
  <c r="O306" i="22"/>
  <c r="M1194" i="24"/>
  <c r="L68" i="26"/>
  <c r="M1142" i="24"/>
  <c r="O136" i="12"/>
  <c r="O127" i="12"/>
  <c r="O139" i="12"/>
  <c r="J188" i="26"/>
  <c r="J216" i="13"/>
  <c r="J219" i="13"/>
  <c r="J115" i="8"/>
  <c r="J441" i="8"/>
  <c r="J497" i="8"/>
  <c r="G192" i="26"/>
  <c r="J445" i="8"/>
  <c r="R223" i="7"/>
  <c r="R177" i="11"/>
  <c r="R105" i="11"/>
  <c r="R330" i="8"/>
  <c r="R384" i="8"/>
  <c r="R306" i="8"/>
  <c r="B9" i="5"/>
  <c r="A156" i="26"/>
  <c r="C1435" i="24"/>
  <c r="J104" i="8"/>
  <c r="J108" i="8"/>
  <c r="J93" i="8"/>
  <c r="L13" i="14"/>
  <c r="L75" i="14"/>
  <c r="M75" i="14" s="1"/>
  <c r="L69" i="14"/>
  <c r="M67" i="14"/>
  <c r="L285" i="22"/>
  <c r="L288" i="22"/>
  <c r="L794" i="24"/>
  <c r="L806" i="24"/>
  <c r="L803" i="24"/>
  <c r="R429" i="11"/>
  <c r="N925" i="22"/>
  <c r="N931" i="22"/>
  <c r="N944" i="22" s="1"/>
  <c r="N936" i="22"/>
  <c r="K22" i="5"/>
  <c r="K24" i="5" s="1"/>
  <c r="L84" i="16"/>
  <c r="L86" i="16" s="1"/>
  <c r="K71" i="13"/>
  <c r="I66" i="26"/>
  <c r="N68" i="7"/>
  <c r="N79" i="8"/>
  <c r="L89" i="7"/>
  <c r="L82" i="7"/>
  <c r="M79" i="7"/>
  <c r="L95" i="7"/>
  <c r="M95" i="7" s="1"/>
  <c r="O201" i="12"/>
  <c r="K211" i="26"/>
  <c r="R232" i="10"/>
  <c r="R235" i="10"/>
  <c r="U235" i="10"/>
  <c r="U232" i="10"/>
  <c r="Q232" i="10"/>
  <c r="Q194" i="10"/>
  <c r="Q235" i="10"/>
  <c r="Q191" i="10"/>
  <c r="R312" i="7"/>
  <c r="U312" i="7"/>
  <c r="Q298" i="7"/>
  <c r="Q312" i="7"/>
  <c r="O206" i="12"/>
  <c r="K215" i="26"/>
  <c r="O252" i="8"/>
  <c r="O307" i="9"/>
  <c r="M400" i="11"/>
  <c r="M397" i="11"/>
  <c r="R37" i="7"/>
  <c r="R168" i="8"/>
  <c r="R604" i="8"/>
  <c r="U37" i="7"/>
  <c r="U604" i="8"/>
  <c r="Q37" i="7"/>
  <c r="U168" i="8"/>
  <c r="Q32" i="7"/>
  <c r="Q604" i="8"/>
  <c r="Q168" i="8"/>
  <c r="R259" i="10"/>
  <c r="Q259" i="10"/>
  <c r="U259" i="10"/>
  <c r="Q218" i="10"/>
  <c r="R353" i="8"/>
  <c r="L112" i="7"/>
  <c r="L262" i="7"/>
  <c r="L225" i="11"/>
  <c r="L239" i="11"/>
  <c r="I141" i="26"/>
  <c r="M219" i="11"/>
  <c r="M426" i="8"/>
  <c r="M220" i="11"/>
  <c r="K1149" i="24"/>
  <c r="K1152" i="24"/>
  <c r="M70" i="16" l="1"/>
  <c r="M60" i="16" s="1"/>
  <c r="L245" i="11"/>
  <c r="M226" i="11"/>
  <c r="M225" i="11"/>
  <c r="L10" i="3"/>
  <c r="M10" i="3" s="1"/>
  <c r="L105" i="7"/>
  <c r="M89" i="7"/>
  <c r="L15" i="14"/>
  <c r="M13" i="14"/>
  <c r="J507" i="8"/>
  <c r="J185" i="13"/>
  <c r="N209" i="22"/>
  <c r="P366" i="8"/>
  <c r="P371" i="8"/>
  <c r="P398" i="8"/>
  <c r="Q398" i="8" s="1"/>
  <c r="Q358" i="8"/>
  <c r="M224" i="12"/>
  <c r="M221" i="12"/>
  <c r="K209" i="26"/>
  <c r="O568" i="8"/>
  <c r="O571" i="8"/>
  <c r="O373" i="11"/>
  <c r="O189" i="12"/>
  <c r="K134" i="26"/>
  <c r="O366" i="11"/>
  <c r="O47" i="12"/>
  <c r="O40" i="12"/>
  <c r="Q159" i="11"/>
  <c r="Q156" i="11"/>
  <c r="L105" i="8"/>
  <c r="M105" i="8" s="1"/>
  <c r="M73" i="8"/>
  <c r="L263" i="11"/>
  <c r="L469" i="8"/>
  <c r="L466" i="8"/>
  <c r="L253" i="11"/>
  <c r="M87" i="7"/>
  <c r="L103" i="7"/>
  <c r="M103" i="7" s="1"/>
  <c r="L19" i="7"/>
  <c r="L118" i="7"/>
  <c r="I143" i="26"/>
  <c r="M488" i="8"/>
  <c r="M262" i="7"/>
  <c r="M263" i="7"/>
  <c r="J135" i="8"/>
  <c r="G194" i="26"/>
  <c r="J118" i="8"/>
  <c r="J19" i="8"/>
  <c r="M1156" i="24"/>
  <c r="P102" i="13"/>
  <c r="Q99" i="13"/>
  <c r="P38" i="12"/>
  <c r="P462" i="11"/>
  <c r="P319" i="11"/>
  <c r="P70" i="12" s="1"/>
  <c r="P364" i="11"/>
  <c r="L104" i="26"/>
  <c r="Q319" i="11"/>
  <c r="Q507" i="11"/>
  <c r="M47" i="14"/>
  <c r="M44" i="14"/>
  <c r="P167" i="11"/>
  <c r="P236" i="7"/>
  <c r="P181" i="11"/>
  <c r="Q181" i="11" s="1"/>
  <c r="P145" i="11"/>
  <c r="Q141" i="11"/>
  <c r="P365" i="8"/>
  <c r="P359" i="8"/>
  <c r="P370" i="8"/>
  <c r="P397" i="8"/>
  <c r="Q397" i="8" s="1"/>
  <c r="Q357" i="8"/>
  <c r="N320" i="9"/>
  <c r="N333" i="9" s="1"/>
  <c r="N325" i="9"/>
  <c r="N313" i="9"/>
  <c r="K452" i="8"/>
  <c r="K133" i="7"/>
  <c r="K119" i="8"/>
  <c r="K20" i="8"/>
  <c r="M46" i="11"/>
  <c r="M37" i="11"/>
  <c r="M49" i="11"/>
  <c r="O471" i="11"/>
  <c r="O328" i="11"/>
  <c r="L1380" i="24"/>
  <c r="L1373" i="24"/>
  <c r="K1166" i="24"/>
  <c r="K1163" i="24"/>
  <c r="L69" i="16"/>
  <c r="L59" i="16" s="1"/>
  <c r="K61" i="16"/>
  <c r="Q353" i="11"/>
  <c r="M13" i="21"/>
  <c r="Q360" i="11"/>
  <c r="P74" i="7"/>
  <c r="P96" i="7"/>
  <c r="Q96" i="7" s="1"/>
  <c r="Q64" i="7"/>
  <c r="L211" i="13"/>
  <c r="L217" i="13"/>
  <c r="M217" i="13" s="1"/>
  <c r="M209" i="13"/>
  <c r="P544" i="8"/>
  <c r="P549" i="8"/>
  <c r="Q549" i="8" s="1"/>
  <c r="Q536" i="8"/>
  <c r="H154" i="26"/>
  <c r="K16" i="3"/>
  <c r="K25" i="7"/>
  <c r="K26" i="7" s="1"/>
  <c r="Q339" i="8"/>
  <c r="M296" i="22"/>
  <c r="L132" i="22"/>
  <c r="N386" i="7"/>
  <c r="O136" i="7"/>
  <c r="O23" i="8"/>
  <c r="O129" i="8"/>
  <c r="O483" i="8"/>
  <c r="O305" i="11"/>
  <c r="K631" i="22"/>
  <c r="K667" i="22"/>
  <c r="K658" i="22"/>
  <c r="K670" i="22"/>
  <c r="K590" i="22"/>
  <c r="J19" i="6"/>
  <c r="M19" i="6" s="1"/>
  <c r="M17" i="6"/>
  <c r="J334" i="7"/>
  <c r="P56" i="7"/>
  <c r="P113" i="7"/>
  <c r="P181" i="7"/>
  <c r="P113" i="8"/>
  <c r="P432" i="8"/>
  <c r="P240" i="11"/>
  <c r="Q48" i="7"/>
  <c r="Q113" i="8"/>
  <c r="Q240" i="11"/>
  <c r="Q432" i="8"/>
  <c r="Q113" i="7"/>
  <c r="N681" i="22"/>
  <c r="N705" i="22"/>
  <c r="N683" i="22"/>
  <c r="N709" i="22" s="1"/>
  <c r="M462" i="22"/>
  <c r="M476" i="22"/>
  <c r="M598" i="22"/>
  <c r="M438" i="22"/>
  <c r="M440" i="22"/>
  <c r="P449" i="8"/>
  <c r="P292" i="11"/>
  <c r="Q449" i="8"/>
  <c r="Q139" i="10"/>
  <c r="Q292" i="11"/>
  <c r="J285" i="11"/>
  <c r="J477" i="8"/>
  <c r="J135" i="7"/>
  <c r="N165" i="12"/>
  <c r="N78" i="12"/>
  <c r="O149" i="12"/>
  <c r="O151" i="12"/>
  <c r="J137" i="14"/>
  <c r="J141" i="14"/>
  <c r="L81" i="13"/>
  <c r="M81" i="13" s="1"/>
  <c r="M79" i="13"/>
  <c r="Q130" i="11"/>
  <c r="Q269" i="8"/>
  <c r="Q272" i="8"/>
  <c r="I146" i="26"/>
  <c r="M265" i="7"/>
  <c r="M491" i="8"/>
  <c r="M266" i="7"/>
  <c r="R80" i="8"/>
  <c r="P301" i="10"/>
  <c r="Q301" i="10"/>
  <c r="R185" i="8"/>
  <c r="R439" i="8"/>
  <c r="R261" i="11"/>
  <c r="N406" i="22"/>
  <c r="N530" i="22"/>
  <c r="N449" i="22"/>
  <c r="A103" i="23"/>
  <c r="A105" i="23" s="1" a="1"/>
  <c r="A11" i="26"/>
  <c r="C168" i="10" s="1"/>
  <c r="M99" i="26"/>
  <c r="O692" i="22"/>
  <c r="O24" i="22"/>
  <c r="J22" i="7"/>
  <c r="J128" i="7"/>
  <c r="G150" i="26"/>
  <c r="J282" i="7"/>
  <c r="R194" i="8"/>
  <c r="R460" i="8"/>
  <c r="R233" i="11"/>
  <c r="N518" i="22"/>
  <c r="A111" i="23"/>
  <c r="A113" i="23" s="1" a="1"/>
  <c r="N437" i="22"/>
  <c r="N394" i="22"/>
  <c r="A13" i="26"/>
  <c r="B169" i="10" s="1"/>
  <c r="M93" i="26"/>
  <c r="O680" i="22"/>
  <c r="O12" i="22"/>
  <c r="N34" i="12"/>
  <c r="N31" i="12"/>
  <c r="J96" i="22"/>
  <c r="J93" i="22"/>
  <c r="J80" i="22"/>
  <c r="M233" i="9"/>
  <c r="M236" i="9"/>
  <c r="M241" i="9"/>
  <c r="L575" i="22"/>
  <c r="L548" i="22"/>
  <c r="L588" i="22" s="1"/>
  <c r="G201" i="26"/>
  <c r="J22" i="8"/>
  <c r="J128" i="8"/>
  <c r="K16" i="17"/>
  <c r="K10" i="17"/>
  <c r="I715" i="22" s="1"/>
  <c r="O937" i="22"/>
  <c r="R49" i="7"/>
  <c r="R193" i="8"/>
  <c r="R457" i="8"/>
  <c r="R43" i="10"/>
  <c r="R118" i="10"/>
  <c r="R223" i="11"/>
  <c r="N390" i="22"/>
  <c r="N514" i="22"/>
  <c r="N433" i="22"/>
  <c r="A75" i="23"/>
  <c r="A77" i="23" s="1" a="1"/>
  <c r="A4" i="26"/>
  <c r="B165" i="10" s="1"/>
  <c r="M90" i="26"/>
  <c r="O676" i="22"/>
  <c r="O8" i="22"/>
  <c r="O369" i="9"/>
  <c r="O345" i="9"/>
  <c r="O448" i="24"/>
  <c r="O302" i="9"/>
  <c r="O347" i="9"/>
  <c r="O373" i="9" s="1"/>
  <c r="N219" i="9"/>
  <c r="N243" i="9"/>
  <c r="N774" i="24"/>
  <c r="N221" i="9"/>
  <c r="N247" i="9" s="1"/>
  <c r="L216" i="22"/>
  <c r="L207" i="22"/>
  <c r="L219" i="22"/>
  <c r="L124" i="14"/>
  <c r="L121" i="14"/>
  <c r="M116" i="14"/>
  <c r="C18" i="17"/>
  <c r="J297" i="11"/>
  <c r="O218" i="9"/>
  <c r="S189" i="10"/>
  <c r="O1088" i="24"/>
  <c r="S526" i="8"/>
  <c r="P344" i="9"/>
  <c r="P207" i="10"/>
  <c r="P204" i="10"/>
  <c r="R240" i="10"/>
  <c r="P212" i="10"/>
  <c r="U240" i="10"/>
  <c r="Q199" i="10"/>
  <c r="P125" i="12"/>
  <c r="P118" i="12"/>
  <c r="P130" i="12"/>
  <c r="Q130" i="12" s="1"/>
  <c r="Q117" i="12"/>
  <c r="P95" i="10"/>
  <c r="P65" i="10"/>
  <c r="Q65" i="10" s="1"/>
  <c r="Q61" i="10"/>
  <c r="O255" i="22"/>
  <c r="P123" i="13"/>
  <c r="Q123" i="13" s="1"/>
  <c r="Q120" i="13"/>
  <c r="P276" i="7"/>
  <c r="P501" i="8"/>
  <c r="P267" i="11"/>
  <c r="L101" i="26"/>
  <c r="Q276" i="7"/>
  <c r="Q267" i="11"/>
  <c r="Q501" i="8"/>
  <c r="Q184" i="7"/>
  <c r="M420" i="22"/>
  <c r="M408" i="22"/>
  <c r="R280" i="8"/>
  <c r="R362" i="8"/>
  <c r="R361" i="8"/>
  <c r="R154" i="11"/>
  <c r="R72" i="11"/>
  <c r="R153" i="11"/>
  <c r="N1114" i="24"/>
  <c r="N1102" i="24"/>
  <c r="R356" i="11" s="1"/>
  <c r="L499" i="22"/>
  <c r="L661" i="22" s="1"/>
  <c r="L621" i="22"/>
  <c r="L494" i="22"/>
  <c r="L656" i="22" s="1"/>
  <c r="L616" i="22"/>
  <c r="L467" i="22"/>
  <c r="L175" i="22"/>
  <c r="L166" i="22"/>
  <c r="L178" i="22"/>
  <c r="L379" i="7"/>
  <c r="L391" i="7"/>
  <c r="L388" i="7"/>
  <c r="L329" i="7"/>
  <c r="M365" i="7"/>
  <c r="M362" i="7"/>
  <c r="N334" i="22"/>
  <c r="N383" i="11"/>
  <c r="N205" i="12"/>
  <c r="J214" i="26"/>
  <c r="N385" i="11"/>
  <c r="O209" i="11"/>
  <c r="O200" i="11"/>
  <c r="O212" i="11"/>
  <c r="O173" i="11"/>
  <c r="O91" i="8"/>
  <c r="O102" i="8"/>
  <c r="L1075" i="24"/>
  <c r="L1078" i="24"/>
  <c r="R69" i="8"/>
  <c r="L268" i="7"/>
  <c r="M113" i="8"/>
  <c r="M432" i="8"/>
  <c r="M113" i="7"/>
  <c r="M112" i="7"/>
  <c r="L77" i="14"/>
  <c r="L74" i="14"/>
  <c r="M69" i="14"/>
  <c r="P76" i="11"/>
  <c r="P81" i="11"/>
  <c r="Q81" i="11" s="1"/>
  <c r="P211" i="7"/>
  <c r="P69" i="11"/>
  <c r="Q68" i="11"/>
  <c r="N268" i="9"/>
  <c r="N915" i="22"/>
  <c r="N466" i="24"/>
  <c r="N479" i="24" s="1"/>
  <c r="N459" i="24"/>
  <c r="N471" i="24"/>
  <c r="O52" i="10"/>
  <c r="O49" i="10"/>
  <c r="K25" i="8"/>
  <c r="H203" i="26" s="1"/>
  <c r="H195" i="26"/>
  <c r="L218" i="13"/>
  <c r="M218" i="13" s="1"/>
  <c r="M210" i="13"/>
  <c r="M64" i="16"/>
  <c r="K134" i="22"/>
  <c r="K137" i="22"/>
  <c r="K125" i="22"/>
  <c r="R69" i="7"/>
  <c r="P457" i="11"/>
  <c r="Q457" i="11" s="1"/>
  <c r="P144" i="12"/>
  <c r="L219" i="26"/>
  <c r="Q449" i="11"/>
  <c r="P450" i="11"/>
  <c r="R224" i="7"/>
  <c r="R106" i="11"/>
  <c r="R178" i="11"/>
  <c r="J510" i="8"/>
  <c r="O940" i="22"/>
  <c r="R52" i="7"/>
  <c r="R436" i="8"/>
  <c r="R184" i="8"/>
  <c r="R46" i="10"/>
  <c r="R130" i="10"/>
  <c r="R251" i="11"/>
  <c r="N526" i="22"/>
  <c r="N445" i="22"/>
  <c r="N402" i="22"/>
  <c r="A2" i="26"/>
  <c r="C164" i="10" s="1"/>
  <c r="A67" i="23"/>
  <c r="A69" i="23" s="1" a="1"/>
  <c r="M96" i="26"/>
  <c r="O688" i="22"/>
  <c r="O20" i="22"/>
  <c r="O106" i="8"/>
  <c r="P556" i="8"/>
  <c r="Q556" i="8" s="1"/>
  <c r="P541" i="8"/>
  <c r="Q543" i="8"/>
  <c r="K283" i="7"/>
  <c r="K508" i="8"/>
  <c r="N119" i="14"/>
  <c r="N72" i="14" s="1"/>
  <c r="O189" i="7"/>
  <c r="O186" i="7"/>
  <c r="L409" i="22"/>
  <c r="L412" i="22"/>
  <c r="L417" i="22"/>
  <c r="P155" i="10"/>
  <c r="Q155" i="10" s="1"/>
  <c r="O133" i="10"/>
  <c r="O145" i="10"/>
  <c r="O142" i="10"/>
  <c r="N171" i="13"/>
  <c r="N166" i="13"/>
  <c r="M257" i="8"/>
  <c r="M254" i="8"/>
  <c r="M245" i="8"/>
  <c r="J22" i="5"/>
  <c r="J71" i="13"/>
  <c r="K84" i="16"/>
  <c r="H66" i="26"/>
  <c r="N13" i="22"/>
  <c r="N37" i="22"/>
  <c r="N15" i="22"/>
  <c r="N41" i="22" s="1"/>
  <c r="M543" i="22"/>
  <c r="M583" i="22" s="1"/>
  <c r="M557" i="22"/>
  <c r="M519" i="22"/>
  <c r="M521" i="22"/>
  <c r="P141" i="10"/>
  <c r="R150" i="10"/>
  <c r="Q115" i="10"/>
  <c r="P119" i="10"/>
  <c r="P116" i="10"/>
  <c r="P207" i="8"/>
  <c r="Q207" i="8" s="1"/>
  <c r="P189" i="8"/>
  <c r="L175" i="26"/>
  <c r="Q181" i="8"/>
  <c r="P182" i="8"/>
  <c r="P48" i="8"/>
  <c r="Q230" i="7"/>
  <c r="Q338" i="8"/>
  <c r="M643" i="22"/>
  <c r="K223" i="26"/>
  <c r="O458" i="11"/>
  <c r="O455" i="11"/>
  <c r="R80" i="7"/>
  <c r="Q113" i="12"/>
  <c r="Q110" i="12"/>
  <c r="J301" i="11"/>
  <c r="J278" i="7"/>
  <c r="J132" i="7"/>
  <c r="K1220" i="24"/>
  <c r="K1223" i="24"/>
  <c r="O200" i="8"/>
  <c r="O203" i="8"/>
  <c r="O212" i="8"/>
  <c r="O82" i="10"/>
  <c r="O85" i="10"/>
  <c r="O283" i="7"/>
  <c r="O508" i="8"/>
  <c r="O288" i="11"/>
  <c r="N58" i="12"/>
  <c r="N62" i="12" s="1"/>
  <c r="N60" i="12"/>
  <c r="P328" i="8"/>
  <c r="P340" i="8"/>
  <c r="P337" i="8"/>
  <c r="P394" i="8"/>
  <c r="P391" i="8"/>
  <c r="Q311" i="8"/>
  <c r="Q314" i="8"/>
  <c r="P416" i="8"/>
  <c r="Q416" i="8" s="1"/>
  <c r="Q336" i="8"/>
  <c r="N252" i="22"/>
  <c r="M462" i="8"/>
  <c r="L493" i="8"/>
  <c r="M493" i="8" s="1"/>
  <c r="M431" i="8"/>
  <c r="R354" i="8"/>
  <c r="R351" i="8"/>
  <c r="R128" i="11"/>
  <c r="O263" i="9"/>
  <c r="O214" i="9"/>
  <c r="S522" i="8"/>
  <c r="S185" i="10"/>
  <c r="O1084" i="24"/>
  <c r="P340" i="9"/>
  <c r="R527" i="8"/>
  <c r="R551" i="8"/>
  <c r="R146" i="8"/>
  <c r="R529" i="8"/>
  <c r="N286" i="9"/>
  <c r="N261" i="9"/>
  <c r="N264" i="9"/>
  <c r="C716" i="22"/>
  <c r="C717" i="22" s="1"/>
  <c r="C12" i="17"/>
  <c r="M203" i="7"/>
  <c r="M200" i="7"/>
  <c r="R561" i="8"/>
  <c r="R448" i="11"/>
  <c r="R175" i="12"/>
  <c r="N1068" i="24"/>
  <c r="L215" i="13"/>
  <c r="M215" i="13" s="1"/>
  <c r="M213" i="13"/>
  <c r="N140" i="13"/>
  <c r="N129" i="13"/>
  <c r="N144" i="13"/>
  <c r="R597" i="8"/>
  <c r="R252" i="10"/>
  <c r="U597" i="8"/>
  <c r="Q252" i="10"/>
  <c r="Q211" i="10"/>
  <c r="Q597" i="8"/>
  <c r="U252" i="10"/>
  <c r="P430" i="11"/>
  <c r="P423" i="11"/>
  <c r="P435" i="11"/>
  <c r="Q435" i="11" s="1"/>
  <c r="Q422" i="11"/>
  <c r="O337" i="22"/>
  <c r="P480" i="8"/>
  <c r="P295" i="11"/>
  <c r="Q140" i="10"/>
  <c r="Q480" i="8"/>
  <c r="Q295" i="11"/>
  <c r="N38" i="22"/>
  <c r="N26" i="22"/>
  <c r="M490" i="22"/>
  <c r="M612" i="22"/>
  <c r="M451" i="22"/>
  <c r="M463" i="22"/>
  <c r="O280" i="9"/>
  <c r="O256" i="9"/>
  <c r="O213" i="9"/>
  <c r="S521" i="8"/>
  <c r="O1083" i="24"/>
  <c r="S184" i="10"/>
  <c r="P339" i="9"/>
  <c r="R552" i="8"/>
  <c r="R540" i="8"/>
  <c r="N356" i="7"/>
  <c r="N369" i="7"/>
  <c r="N38" i="14"/>
  <c r="N82" i="14"/>
  <c r="K53" i="22"/>
  <c r="K87" i="22" s="1"/>
  <c r="L115" i="22"/>
  <c r="L123" i="22" s="1"/>
  <c r="M143" i="22"/>
  <c r="M266" i="22"/>
  <c r="L102" i="22"/>
  <c r="N32" i="14"/>
  <c r="N104" i="14" s="1"/>
  <c r="K57" i="22"/>
  <c r="K91" i="22" s="1"/>
  <c r="M279" i="22"/>
  <c r="M287" i="22" s="1"/>
  <c r="K347" i="22"/>
  <c r="K355" i="22" s="1"/>
  <c r="K49" i="22"/>
  <c r="M156" i="22"/>
  <c r="M164" i="22" s="1"/>
  <c r="K375" i="22"/>
  <c r="K383" i="22" s="1"/>
  <c r="K361" i="22"/>
  <c r="K369" i="22" s="1"/>
  <c r="J83" i="26"/>
  <c r="K1238" i="24"/>
  <c r="L487" i="22"/>
  <c r="L609" i="22"/>
  <c r="L452" i="22"/>
  <c r="L455" i="22"/>
  <c r="L460" i="22"/>
  <c r="O299" i="10"/>
  <c r="O302" i="10"/>
  <c r="O33" i="12"/>
  <c r="O26" i="12"/>
  <c r="M211" i="22"/>
  <c r="K64" i="9"/>
  <c r="K70" i="9"/>
  <c r="K17" i="9"/>
  <c r="K1469" i="24"/>
  <c r="N396" i="11"/>
  <c r="N218" i="12"/>
  <c r="J129" i="26"/>
  <c r="N398" i="11"/>
  <c r="N35" i="11"/>
  <c r="N40" i="11"/>
  <c r="O420" i="8"/>
  <c r="O381" i="8"/>
  <c r="O417" i="8"/>
  <c r="O408" i="8"/>
  <c r="M243" i="11"/>
  <c r="M242" i="11"/>
  <c r="O102" i="7"/>
  <c r="O91" i="7"/>
  <c r="O497" i="11"/>
  <c r="O485" i="11"/>
  <c r="O511" i="11"/>
  <c r="O14" i="12"/>
  <c r="O116" i="13"/>
  <c r="O117" i="13"/>
  <c r="O115" i="13"/>
  <c r="M200" i="22"/>
  <c r="N228" i="22"/>
  <c r="N241" i="22"/>
  <c r="N323" i="22"/>
  <c r="M187" i="22"/>
  <c r="N310" i="22"/>
  <c r="L896" i="22"/>
  <c r="L1198" i="24"/>
  <c r="K71" i="26"/>
  <c r="L1146" i="24"/>
  <c r="O487" i="11"/>
  <c r="L1183" i="24" s="1"/>
  <c r="P65" i="7"/>
  <c r="P65" i="8"/>
  <c r="P204" i="11"/>
  <c r="Q204" i="11" s="1"/>
  <c r="Q124" i="11"/>
  <c r="P254" i="7"/>
  <c r="Q254" i="7" s="1"/>
  <c r="Q228" i="7"/>
  <c r="P229" i="7"/>
  <c r="P232" i="7"/>
  <c r="M239" i="11"/>
  <c r="M240" i="11"/>
  <c r="K26" i="13"/>
  <c r="K22" i="13"/>
  <c r="K19" i="13"/>
  <c r="K23" i="13"/>
  <c r="K27" i="13"/>
  <c r="H119" i="26" s="1"/>
  <c r="K28" i="13"/>
  <c r="H120" i="26" s="1"/>
  <c r="K31" i="13"/>
  <c r="H123" i="26" s="1"/>
  <c r="K18" i="13"/>
  <c r="K20" i="13"/>
  <c r="K30" i="13"/>
  <c r="H122" i="26" s="1"/>
  <c r="C28" i="4"/>
  <c r="R386" i="8"/>
  <c r="R332" i="8"/>
  <c r="Q101" i="13"/>
  <c r="P281" i="8"/>
  <c r="P283" i="8"/>
  <c r="P292" i="8"/>
  <c r="Q292" i="8" s="1"/>
  <c r="Q279" i="8"/>
  <c r="L160" i="13"/>
  <c r="M160" i="13" s="1"/>
  <c r="L130" i="14"/>
  <c r="M150" i="13"/>
  <c r="N198" i="13"/>
  <c r="N200" i="13"/>
  <c r="J21" i="5"/>
  <c r="L88" i="7"/>
  <c r="L92" i="7"/>
  <c r="L15" i="7"/>
  <c r="L260" i="11"/>
  <c r="L250" i="11"/>
  <c r="L435" i="8"/>
  <c r="L438" i="8"/>
  <c r="L98" i="7"/>
  <c r="M98" i="7" s="1"/>
  <c r="M82" i="7"/>
  <c r="N82" i="8"/>
  <c r="N933" i="22"/>
  <c r="N930" i="22"/>
  <c r="N938" i="22"/>
  <c r="M1371" i="24"/>
  <c r="P521" i="11" s="1"/>
  <c r="O250" i="22"/>
  <c r="Q100" i="13"/>
  <c r="P24" i="12"/>
  <c r="Q493" i="11"/>
  <c r="M378" i="7"/>
  <c r="M375" i="7"/>
  <c r="L330" i="7"/>
  <c r="P355" i="11"/>
  <c r="M1106" i="24"/>
  <c r="M1103" i="24"/>
  <c r="M1111" i="24"/>
  <c r="P142" i="11"/>
  <c r="P166" i="11"/>
  <c r="P235" i="7"/>
  <c r="P180" i="11"/>
  <c r="Q180" i="11" s="1"/>
  <c r="P144" i="11"/>
  <c r="Q140" i="11"/>
  <c r="N359" i="9"/>
  <c r="N362" i="9"/>
  <c r="N367" i="9"/>
  <c r="R179" i="7"/>
  <c r="R180" i="8"/>
  <c r="R426" i="8"/>
  <c r="R111" i="10"/>
  <c r="R135" i="10"/>
  <c r="R75" i="10"/>
  <c r="R220" i="11"/>
  <c r="N432" i="22"/>
  <c r="A63" i="23"/>
  <c r="A65" i="23" s="1" a="1"/>
  <c r="N389" i="22"/>
  <c r="N513" i="22"/>
  <c r="A1" i="26"/>
  <c r="M89" i="26"/>
  <c r="O7" i="22"/>
  <c r="O675" i="22"/>
  <c r="N372" i="7"/>
  <c r="N359" i="7"/>
  <c r="N29" i="14"/>
  <c r="K69" i="22"/>
  <c r="K71" i="22" s="1"/>
  <c r="N154" i="13" s="1"/>
  <c r="L118" i="22"/>
  <c r="L120" i="22" s="1"/>
  <c r="M159" i="22"/>
  <c r="M161" i="22" s="1"/>
  <c r="L105" i="22"/>
  <c r="N9" i="14"/>
  <c r="N41" i="14"/>
  <c r="N85" i="14"/>
  <c r="M282" i="22"/>
  <c r="M284" i="22" s="1"/>
  <c r="K378" i="22"/>
  <c r="K380" i="22" s="1"/>
  <c r="K73" i="22"/>
  <c r="K75" i="22" s="1"/>
  <c r="N155" i="13" s="1"/>
  <c r="M146" i="22"/>
  <c r="M269" i="22"/>
  <c r="K364" i="22"/>
  <c r="K366" i="22" s="1"/>
  <c r="K65" i="22"/>
  <c r="K350" i="22"/>
  <c r="K352" i="22" s="1"/>
  <c r="N80" i="13" s="1"/>
  <c r="J85" i="26"/>
  <c r="O18" i="10"/>
  <c r="P18" i="10" s="1"/>
  <c r="O11" i="10"/>
  <c r="M208" i="12"/>
  <c r="M211" i="12"/>
  <c r="O222" i="8"/>
  <c r="O235" i="8"/>
  <c r="O18" i="11"/>
  <c r="O17" i="11"/>
  <c r="O378" i="11"/>
  <c r="O391" i="11"/>
  <c r="O158" i="12"/>
  <c r="O341" i="7"/>
  <c r="L63" i="9"/>
  <c r="L67" i="9"/>
  <c r="L1474" i="24" s="1"/>
  <c r="O522" i="11"/>
  <c r="R164" i="11"/>
  <c r="N194" i="12"/>
  <c r="N196" i="12"/>
  <c r="N169" i="13"/>
  <c r="L103" i="8"/>
  <c r="M103" i="8" s="1"/>
  <c r="L76" i="8"/>
  <c r="M71" i="8"/>
  <c r="L14" i="8"/>
  <c r="L72" i="8"/>
  <c r="L289" i="22"/>
  <c r="L298" i="22"/>
  <c r="L301" i="22"/>
  <c r="P480" i="11"/>
  <c r="M1077" i="24"/>
  <c r="M1070" i="24"/>
  <c r="P570" i="8"/>
  <c r="Q570" i="8" s="1"/>
  <c r="L205" i="26"/>
  <c r="Q562" i="8"/>
  <c r="P563" i="8"/>
  <c r="R103" i="11"/>
  <c r="O275" i="9"/>
  <c r="O226" i="9"/>
  <c r="S534" i="8"/>
  <c r="O1096" i="24"/>
  <c r="S197" i="10"/>
  <c r="P352" i="9"/>
  <c r="L61" i="14"/>
  <c r="L58" i="14"/>
  <c r="M53" i="14"/>
  <c r="P33" i="8"/>
  <c r="P152" i="8"/>
  <c r="P155" i="8"/>
  <c r="Q151" i="8"/>
  <c r="P148" i="12"/>
  <c r="Q148" i="12" s="1"/>
  <c r="L222" i="26"/>
  <c r="Q453" i="11"/>
  <c r="N61" i="13"/>
  <c r="N58" i="13"/>
  <c r="K78" i="22"/>
  <c r="Q231" i="7"/>
  <c r="N95" i="8"/>
  <c r="N66" i="8"/>
  <c r="O11" i="3"/>
  <c r="O106" i="7"/>
  <c r="J175" i="13"/>
  <c r="P143" i="10"/>
  <c r="Q143" i="10" s="1"/>
  <c r="Q117" i="10"/>
  <c r="P84" i="10"/>
  <c r="Q84" i="10" s="1"/>
  <c r="Q76" i="10"/>
  <c r="P44" i="10"/>
  <c r="P9" i="10"/>
  <c r="P188" i="7"/>
  <c r="P266" i="7"/>
  <c r="P491" i="8"/>
  <c r="P236" i="11"/>
  <c r="L94" i="26"/>
  <c r="Q236" i="11"/>
  <c r="Q266" i="7"/>
  <c r="Q491" i="8"/>
  <c r="Q180" i="7"/>
  <c r="P50" i="7"/>
  <c r="P9" i="7"/>
  <c r="J304" i="11"/>
  <c r="R327" i="8"/>
  <c r="R324" i="8"/>
  <c r="L156" i="13"/>
  <c r="L133" i="14"/>
  <c r="M153" i="13"/>
  <c r="N472" i="11"/>
  <c r="N329" i="11"/>
  <c r="N469" i="11"/>
  <c r="N326" i="11"/>
  <c r="J110" i="26"/>
  <c r="O139" i="13"/>
  <c r="O108" i="13"/>
  <c r="O112" i="13"/>
  <c r="M248" i="22"/>
  <c r="M257" i="22"/>
  <c r="M260" i="22"/>
  <c r="O258" i="7"/>
  <c r="O255" i="7"/>
  <c r="O246" i="7"/>
  <c r="P74" i="8"/>
  <c r="P96" i="8"/>
  <c r="Q96" i="8" s="1"/>
  <c r="Q64" i="8"/>
  <c r="P294" i="10"/>
  <c r="Q294" i="10"/>
  <c r="M87" i="8"/>
  <c r="L15" i="8"/>
  <c r="M15" i="8" s="1"/>
  <c r="L88" i="8"/>
  <c r="L92" i="8"/>
  <c r="M91" i="14"/>
  <c r="M88" i="14"/>
  <c r="Q64" i="11"/>
  <c r="Q61" i="11"/>
  <c r="Q415" i="11"/>
  <c r="Q418" i="11"/>
  <c r="P123" i="10"/>
  <c r="M792" i="24"/>
  <c r="M805" i="24" s="1"/>
  <c r="M797" i="24"/>
  <c r="M785" i="24"/>
  <c r="M290" i="9"/>
  <c r="M287" i="9"/>
  <c r="M278" i="9"/>
  <c r="N368" i="7"/>
  <c r="N355" i="7"/>
  <c r="N25" i="14"/>
  <c r="M142" i="22"/>
  <c r="M265" i="22"/>
  <c r="K52" i="22"/>
  <c r="L114" i="22"/>
  <c r="N8" i="14"/>
  <c r="N31" i="14"/>
  <c r="N103" i="14" s="1"/>
  <c r="N37" i="14"/>
  <c r="K1237" i="24" s="1"/>
  <c r="N81" i="14"/>
  <c r="K48" i="22"/>
  <c r="K56" i="22"/>
  <c r="L101" i="22"/>
  <c r="M278" i="22"/>
  <c r="K360" i="22"/>
  <c r="K346" i="22"/>
  <c r="M155" i="22"/>
  <c r="K374" i="22"/>
  <c r="J82" i="26"/>
  <c r="O214" i="8"/>
  <c r="K186" i="26"/>
  <c r="O10" i="8"/>
  <c r="O57" i="8"/>
  <c r="O54" i="8"/>
  <c r="L568" i="22"/>
  <c r="L533" i="22"/>
  <c r="L536" i="22"/>
  <c r="L541" i="22"/>
  <c r="L581" i="22" s="1"/>
  <c r="M695" i="22"/>
  <c r="M698" i="22"/>
  <c r="M703" i="22"/>
  <c r="O55" i="7"/>
  <c r="O58" i="7"/>
  <c r="Q131" i="11"/>
  <c r="I198" i="26"/>
  <c r="M122" i="8"/>
  <c r="R263" i="8"/>
  <c r="R308" i="8"/>
  <c r="R309" i="8"/>
  <c r="R110" i="11"/>
  <c r="R58" i="11"/>
  <c r="R109" i="11"/>
  <c r="N1089" i="24"/>
  <c r="N1113" i="24"/>
  <c r="N1091" i="24"/>
  <c r="N1117" i="24" s="1"/>
  <c r="M14" i="14"/>
  <c r="M934" i="22"/>
  <c r="M946" i="22"/>
  <c r="M943" i="22"/>
  <c r="J449" i="8"/>
  <c r="J292" i="11"/>
  <c r="G153" i="26"/>
  <c r="J285" i="7"/>
  <c r="P33" i="7"/>
  <c r="P152" i="7"/>
  <c r="R314" i="7"/>
  <c r="R606" i="8"/>
  <c r="P304" i="7"/>
  <c r="Q300" i="7"/>
  <c r="U314" i="7"/>
  <c r="U606" i="8"/>
  <c r="R165" i="7"/>
  <c r="R165" i="8"/>
  <c r="R595" i="8"/>
  <c r="P302" i="7"/>
  <c r="P155" i="7"/>
  <c r="U165" i="8"/>
  <c r="Q151" i="7"/>
  <c r="U165" i="7"/>
  <c r="U595" i="8"/>
  <c r="M1376" i="24"/>
  <c r="P526" i="11" s="1"/>
  <c r="N214" i="22"/>
  <c r="P369" i="11"/>
  <c r="P43" i="12"/>
  <c r="P467" i="11"/>
  <c r="P324" i="11"/>
  <c r="P75" i="12" s="1"/>
  <c r="L108" i="26"/>
  <c r="Q512" i="11"/>
  <c r="Q324" i="11"/>
  <c r="R154" i="10"/>
  <c r="Q128" i="10"/>
  <c r="N694" i="22"/>
  <c r="N706" i="22"/>
  <c r="M571" i="22"/>
  <c r="M544" i="22"/>
  <c r="M584" i="22" s="1"/>
  <c r="M532" i="22"/>
  <c r="M572" i="22" s="1"/>
  <c r="O912" i="22"/>
  <c r="O918" i="22"/>
  <c r="O462" i="24"/>
  <c r="O316" i="9"/>
  <c r="O358" i="9"/>
  <c r="O370" i="9"/>
  <c r="N788" i="24"/>
  <c r="N232" i="9"/>
  <c r="N244" i="9"/>
  <c r="O182" i="12"/>
  <c r="O185" i="12"/>
  <c r="J295" i="11"/>
  <c r="J480" i="8"/>
  <c r="K18" i="9"/>
  <c r="K68" i="9"/>
  <c r="K1473" i="24"/>
  <c r="N197" i="7"/>
  <c r="N28" i="11"/>
  <c r="N34" i="11"/>
  <c r="N39" i="11"/>
  <c r="N227" i="8"/>
  <c r="N251" i="8"/>
  <c r="N229" i="8"/>
  <c r="M115" i="7"/>
  <c r="M123" i="8"/>
  <c r="M116" i="7"/>
  <c r="M463" i="8"/>
  <c r="N71" i="7"/>
  <c r="J503" i="8"/>
  <c r="J451" i="8"/>
  <c r="O332" i="22"/>
  <c r="O464" i="11"/>
  <c r="O321" i="11"/>
  <c r="K106" i="26"/>
  <c r="J138" i="26"/>
  <c r="N371" i="11"/>
  <c r="N374" i="11"/>
  <c r="L641" i="22"/>
  <c r="L644" i="22"/>
  <c r="P184" i="12"/>
  <c r="Q184" i="12" s="1"/>
  <c r="Q176" i="12"/>
  <c r="P177" i="12"/>
  <c r="Q209" i="7"/>
  <c r="N214" i="13"/>
  <c r="M30" i="22"/>
  <c r="M27" i="22"/>
  <c r="M35" i="22"/>
  <c r="P157" i="10"/>
  <c r="Q157" i="10" s="1"/>
  <c r="J714" i="22"/>
  <c r="L129" i="14"/>
  <c r="L159" i="13"/>
  <c r="M159" i="13" s="1"/>
  <c r="M149" i="13"/>
  <c r="N73" i="7"/>
  <c r="N66" i="7"/>
  <c r="P77" i="10"/>
  <c r="P50" i="10"/>
  <c r="Q50" i="10" s="1"/>
  <c r="Q42" i="10"/>
  <c r="M395" i="22"/>
  <c r="M419" i="22"/>
  <c r="M397" i="22"/>
  <c r="M423" i="22" s="1"/>
  <c r="N76" i="12"/>
  <c r="N163" i="12"/>
  <c r="N48" i="12"/>
  <c r="N45" i="12"/>
  <c r="N70" i="16"/>
  <c r="O193" i="13"/>
  <c r="L1165" i="24"/>
  <c r="L1158" i="24"/>
  <c r="P199" i="11"/>
  <c r="P196" i="11"/>
  <c r="Q116" i="11"/>
  <c r="Q119" i="11"/>
  <c r="P129" i="11"/>
  <c r="P120" i="11"/>
  <c r="P132" i="11"/>
  <c r="M236" i="11"/>
  <c r="M235" i="11"/>
  <c r="J282" i="11"/>
  <c r="J446" i="8"/>
  <c r="J276" i="11"/>
  <c r="J287" i="11"/>
  <c r="L128" i="14"/>
  <c r="L158" i="13"/>
  <c r="M158" i="13" s="1"/>
  <c r="L151" i="13"/>
  <c r="M148" i="13"/>
  <c r="O9" i="6"/>
  <c r="O18" i="6"/>
  <c r="O23" i="7"/>
  <c r="O129" i="7"/>
  <c r="O279" i="7"/>
  <c r="O136" i="8"/>
  <c r="O504" i="8"/>
  <c r="O277" i="11"/>
  <c r="K102" i="26"/>
  <c r="O6" i="3"/>
  <c r="O11" i="7"/>
  <c r="J482" i="8"/>
  <c r="K286" i="7"/>
  <c r="K511" i="8"/>
  <c r="L132" i="8"/>
  <c r="M132" i="8" s="1"/>
  <c r="I191" i="26"/>
  <c r="M112" i="8"/>
  <c r="K85" i="16"/>
  <c r="H67" i="26"/>
  <c r="R297" i="7"/>
  <c r="S577" i="8"/>
  <c r="S229" i="10"/>
  <c r="R90" i="10"/>
  <c r="R190" i="10"/>
  <c r="R214" i="10"/>
  <c r="R412" i="11"/>
  <c r="R107" i="12"/>
  <c r="N733" i="24"/>
  <c r="R56" i="10"/>
  <c r="R146" i="7"/>
  <c r="R192" i="10"/>
  <c r="O230" i="9"/>
  <c r="O1100" i="24"/>
  <c r="S538" i="8"/>
  <c r="S201" i="10"/>
  <c r="P356" i="9"/>
  <c r="P62" i="10"/>
  <c r="P24" i="10"/>
  <c r="P97" i="10"/>
  <c r="Q282" i="10"/>
  <c r="Q93" i="10"/>
  <c r="Q273" i="10"/>
  <c r="M751" i="24"/>
  <c r="M764" i="24" s="1"/>
  <c r="M744" i="24"/>
  <c r="M756" i="24"/>
  <c r="R247" i="10"/>
  <c r="P219" i="10"/>
  <c r="U247" i="10"/>
  <c r="Q206" i="10"/>
  <c r="P29" i="12"/>
  <c r="Q29" i="12" s="1"/>
  <c r="Q498" i="11"/>
  <c r="L185" i="26"/>
  <c r="Q198" i="8"/>
  <c r="P211" i="8"/>
  <c r="Q211" i="8" s="1"/>
  <c r="P202" i="8"/>
  <c r="Q202" i="8" s="1"/>
  <c r="S594" i="8"/>
  <c r="S243" i="10"/>
  <c r="R426" i="11"/>
  <c r="R121" i="12"/>
  <c r="N747" i="24"/>
  <c r="R215" i="10"/>
  <c r="R203" i="10"/>
  <c r="R301" i="7"/>
  <c r="R94" i="10"/>
  <c r="L648" i="22"/>
  <c r="K1381" i="24"/>
  <c r="K1378" i="24"/>
  <c r="M218" i="22"/>
  <c r="M330" i="22"/>
  <c r="M339" i="22"/>
  <c r="M342" i="22"/>
  <c r="N346" i="7"/>
  <c r="N348" i="7"/>
  <c r="N240" i="8"/>
  <c r="N242" i="8"/>
  <c r="N59" i="12" l="1"/>
  <c r="P52" i="12"/>
  <c r="Q521" i="11"/>
  <c r="N60" i="16"/>
  <c r="O70" i="16"/>
  <c r="N244" i="8"/>
  <c r="N241" i="8"/>
  <c r="S315" i="7"/>
  <c r="S607" i="8"/>
  <c r="R122" i="12"/>
  <c r="R134" i="12"/>
  <c r="R260" i="10"/>
  <c r="Q219" i="10"/>
  <c r="Q260" i="10"/>
  <c r="U260" i="10"/>
  <c r="P286" i="10"/>
  <c r="Q97" i="10"/>
  <c r="Q286" i="10"/>
  <c r="S322" i="8"/>
  <c r="S321" i="8"/>
  <c r="S267" i="8"/>
  <c r="S149" i="11"/>
  <c r="S71" i="11"/>
  <c r="S150" i="11"/>
  <c r="S233" i="10"/>
  <c r="R218" i="10"/>
  <c r="R109" i="12"/>
  <c r="R133" i="12"/>
  <c r="R111" i="12"/>
  <c r="R98" i="10"/>
  <c r="R23" i="10"/>
  <c r="R58" i="10"/>
  <c r="O139" i="7"/>
  <c r="O26" i="7"/>
  <c r="O289" i="7"/>
  <c r="Q132" i="11"/>
  <c r="Q120" i="11"/>
  <c r="Q129" i="11"/>
  <c r="Q199" i="11"/>
  <c r="Q196" i="11"/>
  <c r="Q77" i="10"/>
  <c r="Q43" i="12"/>
  <c r="Q75" i="12"/>
  <c r="R166" i="7"/>
  <c r="U166" i="7"/>
  <c r="Q152" i="7"/>
  <c r="P156" i="7"/>
  <c r="P153" i="7"/>
  <c r="R226" i="7"/>
  <c r="R111" i="11"/>
  <c r="R117" i="11"/>
  <c r="R189" i="11"/>
  <c r="R122" i="11"/>
  <c r="K1239" i="24"/>
  <c r="N51" i="14"/>
  <c r="K58" i="22"/>
  <c r="K90" i="22"/>
  <c r="M790" i="24"/>
  <c r="M793" i="24"/>
  <c r="M798" i="24"/>
  <c r="S244" i="10"/>
  <c r="R427" i="11"/>
  <c r="R439" i="11"/>
  <c r="Q32" i="10"/>
  <c r="P284" i="10"/>
  <c r="Q24" i="10"/>
  <c r="Q284" i="10"/>
  <c r="T32" i="10"/>
  <c r="P25" i="10"/>
  <c r="P461" i="24"/>
  <c r="P315" i="9"/>
  <c r="O787" i="24"/>
  <c r="R154" i="7"/>
  <c r="S160" i="7"/>
  <c r="R298" i="7"/>
  <c r="S160" i="8"/>
  <c r="S578" i="8"/>
  <c r="R414" i="11"/>
  <c r="R438" i="11"/>
  <c r="R416" i="11"/>
  <c r="K80" i="16"/>
  <c r="P7" i="3"/>
  <c r="Q7" i="3" s="1"/>
  <c r="O27" i="3"/>
  <c r="O12" i="6" s="1"/>
  <c r="O17" i="3"/>
  <c r="O10" i="6"/>
  <c r="O14" i="6"/>
  <c r="O21" i="3"/>
  <c r="O11" i="6" s="1"/>
  <c r="O15" i="6"/>
  <c r="O20" i="6"/>
  <c r="O26" i="8"/>
  <c r="O139" i="8"/>
  <c r="O514" i="8"/>
  <c r="O308" i="11"/>
  <c r="K103" i="26"/>
  <c r="O52" i="13"/>
  <c r="L1217" i="24"/>
  <c r="O56" i="13"/>
  <c r="L1214" i="24"/>
  <c r="O51" i="13"/>
  <c r="O55" i="13"/>
  <c r="L1213" i="24"/>
  <c r="L1218" i="24"/>
  <c r="O28" i="14" s="1"/>
  <c r="O335" i="7"/>
  <c r="O19" i="6"/>
  <c r="L157" i="13"/>
  <c r="L161" i="13"/>
  <c r="M151" i="13"/>
  <c r="J288" i="11"/>
  <c r="M421" i="22"/>
  <c r="M396" i="22"/>
  <c r="M399" i="22"/>
  <c r="Q177" i="12"/>
  <c r="N253" i="8"/>
  <c r="N228" i="8"/>
  <c r="N231" i="8"/>
  <c r="N36" i="11"/>
  <c r="N33" i="11"/>
  <c r="N41" i="11"/>
  <c r="P193" i="12"/>
  <c r="Q193" i="12" s="1"/>
  <c r="L137" i="26"/>
  <c r="Q369" i="11"/>
  <c r="R169" i="7"/>
  <c r="R38" i="8"/>
  <c r="R166" i="8"/>
  <c r="R596" i="8"/>
  <c r="R599" i="8"/>
  <c r="Q599" i="8"/>
  <c r="U599" i="8"/>
  <c r="Q169" i="7"/>
  <c r="Q596" i="8"/>
  <c r="Q38" i="8"/>
  <c r="Q155" i="7"/>
  <c r="U38" i="8"/>
  <c r="U169" i="7"/>
  <c r="U596" i="8"/>
  <c r="U166" i="8"/>
  <c r="Q166" i="8"/>
  <c r="R318" i="7"/>
  <c r="R610" i="8"/>
  <c r="M17" i="21"/>
  <c r="M19" i="21" s="1"/>
  <c r="U318" i="7"/>
  <c r="U610" i="8"/>
  <c r="Q304" i="7"/>
  <c r="Q318" i="7"/>
  <c r="Q610" i="8"/>
  <c r="R38" i="7"/>
  <c r="R169" i="8"/>
  <c r="R608" i="8"/>
  <c r="U169" i="8"/>
  <c r="U38" i="7"/>
  <c r="Q33" i="7"/>
  <c r="U608" i="8"/>
  <c r="P34" i="7"/>
  <c r="R208" i="7"/>
  <c r="R60" i="11"/>
  <c r="R84" i="11"/>
  <c r="R62" i="11"/>
  <c r="R271" i="8"/>
  <c r="R289" i="8"/>
  <c r="R264" i="8"/>
  <c r="K362" i="22"/>
  <c r="K368" i="22"/>
  <c r="K50" i="22"/>
  <c r="K60" i="22"/>
  <c r="K82" i="22"/>
  <c r="N10" i="14"/>
  <c r="N97" i="14"/>
  <c r="J84" i="26"/>
  <c r="M144" i="22"/>
  <c r="M150" i="22"/>
  <c r="M168" i="22"/>
  <c r="Q74" i="8"/>
  <c r="J305" i="11"/>
  <c r="P286" i="7"/>
  <c r="P511" i="8"/>
  <c r="P298" i="11"/>
  <c r="Q511" i="8"/>
  <c r="Q188" i="7"/>
  <c r="Q298" i="11"/>
  <c r="Q286" i="7"/>
  <c r="Q152" i="8"/>
  <c r="P156" i="8"/>
  <c r="S266" i="8"/>
  <c r="S318" i="8"/>
  <c r="S317" i="8"/>
  <c r="S137" i="11"/>
  <c r="S67" i="11"/>
  <c r="S136" i="11"/>
  <c r="O1104" i="24"/>
  <c r="O53" i="12"/>
  <c r="O530" i="11"/>
  <c r="O523" i="11"/>
  <c r="L71" i="9"/>
  <c r="L1470" i="24"/>
  <c r="L1478" i="24" s="1"/>
  <c r="O386" i="11"/>
  <c r="O202" i="12"/>
  <c r="K212" i="26"/>
  <c r="O379" i="11"/>
  <c r="O230" i="8"/>
  <c r="O248" i="8"/>
  <c r="O223" i="8"/>
  <c r="M148" i="22"/>
  <c r="M174" i="22" s="1"/>
  <c r="M172" i="22"/>
  <c r="N87" i="14"/>
  <c r="N118" i="14"/>
  <c r="N71" i="14" s="1"/>
  <c r="N361" i="7"/>
  <c r="N385" i="7"/>
  <c r="O677" i="22"/>
  <c r="O701" i="22"/>
  <c r="N515" i="22"/>
  <c r="N539" i="22"/>
  <c r="N579" i="22" s="1"/>
  <c r="N553" i="22"/>
  <c r="S149" i="10"/>
  <c r="R206" i="8"/>
  <c r="R188" i="8"/>
  <c r="M174" i="26"/>
  <c r="L70" i="13"/>
  <c r="M330" i="7"/>
  <c r="Q24" i="12"/>
  <c r="L500" i="8"/>
  <c r="M500" i="8" s="1"/>
  <c r="I193" i="26"/>
  <c r="M438" i="8"/>
  <c r="L448" i="8"/>
  <c r="L13" i="3"/>
  <c r="M13" i="3" s="1"/>
  <c r="M15" i="7"/>
  <c r="K8" i="13"/>
  <c r="K24" i="13"/>
  <c r="K34" i="13"/>
  <c r="H111" i="26"/>
  <c r="K39" i="13"/>
  <c r="H116" i="26"/>
  <c r="Q229" i="7"/>
  <c r="Q232" i="7"/>
  <c r="L1375" i="24"/>
  <c r="O525" i="11" s="1"/>
  <c r="L1200" i="24"/>
  <c r="L1202" i="24"/>
  <c r="N325" i="22"/>
  <c r="N327" i="22"/>
  <c r="O125" i="13"/>
  <c r="O118" i="13"/>
  <c r="O131" i="13"/>
  <c r="O466" i="11"/>
  <c r="O323" i="11"/>
  <c r="O74" i="12" s="1"/>
  <c r="O368" i="11"/>
  <c r="O513" i="11"/>
  <c r="O42" i="12"/>
  <c r="K107" i="26"/>
  <c r="O515" i="11"/>
  <c r="O12" i="3"/>
  <c r="O107" i="7"/>
  <c r="J131" i="26"/>
  <c r="N400" i="11"/>
  <c r="N397" i="11"/>
  <c r="N14" i="3"/>
  <c r="K69" i="9"/>
  <c r="K72" i="9"/>
  <c r="L500" i="22"/>
  <c r="L662" i="22" s="1"/>
  <c r="L622" i="22"/>
  <c r="L649" i="22"/>
  <c r="M274" i="22"/>
  <c r="M300" i="22" s="1"/>
  <c r="M292" i="22"/>
  <c r="N90" i="14"/>
  <c r="N115" i="14"/>
  <c r="N68" i="14"/>
  <c r="S523" i="8"/>
  <c r="S547" i="8"/>
  <c r="M652" i="22"/>
  <c r="P443" i="11"/>
  <c r="Q443" i="11" s="1"/>
  <c r="Q430" i="11"/>
  <c r="C17" i="4"/>
  <c r="B10" i="5"/>
  <c r="S147" i="8"/>
  <c r="S530" i="8"/>
  <c r="O213" i="8"/>
  <c r="O204" i="8"/>
  <c r="O216" i="8"/>
  <c r="J20" i="8"/>
  <c r="J452" i="8"/>
  <c r="J133" i="7"/>
  <c r="J119" i="8"/>
  <c r="P56" i="8"/>
  <c r="Q56" i="8" s="1"/>
  <c r="P9" i="8"/>
  <c r="P50" i="8"/>
  <c r="L176" i="26"/>
  <c r="Q48" i="8"/>
  <c r="P215" i="8"/>
  <c r="Q215" i="8" s="1"/>
  <c r="Q189" i="8"/>
  <c r="M545" i="22"/>
  <c r="M585" i="22" s="1"/>
  <c r="M559" i="22"/>
  <c r="M520" i="22"/>
  <c r="M523" i="22"/>
  <c r="O28" i="22"/>
  <c r="R49" i="8"/>
  <c r="R186" i="8"/>
  <c r="M177" i="26"/>
  <c r="P152" i="12"/>
  <c r="Q152" i="12" s="1"/>
  <c r="Q144" i="12"/>
  <c r="P145" i="12"/>
  <c r="M66" i="16"/>
  <c r="N64" i="16"/>
  <c r="N276" i="9"/>
  <c r="N289" i="9" s="1"/>
  <c r="N227" i="9"/>
  <c r="N1097" i="24"/>
  <c r="R535" i="8"/>
  <c r="R198" i="10"/>
  <c r="N269" i="9"/>
  <c r="N281" i="9"/>
  <c r="O353" i="9"/>
  <c r="O107" i="8"/>
  <c r="J216" i="26"/>
  <c r="N387" i="11"/>
  <c r="N384" i="11"/>
  <c r="L331" i="7"/>
  <c r="M331" i="7" s="1"/>
  <c r="L69" i="13"/>
  <c r="M329" i="7"/>
  <c r="R566" i="8"/>
  <c r="R453" i="11"/>
  <c r="R180" i="12"/>
  <c r="N1073" i="24"/>
  <c r="R484" i="11" s="1"/>
  <c r="R194" i="11"/>
  <c r="R240" i="7"/>
  <c r="R158" i="11"/>
  <c r="T590" i="8"/>
  <c r="T230" i="10"/>
  <c r="S413" i="11"/>
  <c r="S108" i="12"/>
  <c r="O734" i="24"/>
  <c r="R113" i="10"/>
  <c r="N800" i="24"/>
  <c r="N776" i="24"/>
  <c r="N778" i="24"/>
  <c r="N804" i="24" s="1"/>
  <c r="O304" i="9"/>
  <c r="O328" i="9"/>
  <c r="O306" i="9"/>
  <c r="O332" i="9" s="1"/>
  <c r="N398" i="22"/>
  <c r="R116" i="7"/>
  <c r="R123" i="8"/>
  <c r="R463" i="8"/>
  <c r="R243" i="11"/>
  <c r="A159" i="23"/>
  <c r="A161" i="23" s="1" a="1"/>
  <c r="M237" i="9"/>
  <c r="M249" i="9"/>
  <c r="M246" i="9"/>
  <c r="N477" i="22"/>
  <c r="N599" i="22"/>
  <c r="J508" i="8"/>
  <c r="J283" i="7"/>
  <c r="G154" i="26"/>
  <c r="J25" i="7"/>
  <c r="J16" i="3"/>
  <c r="J136" i="7"/>
  <c r="J129" i="8"/>
  <c r="J23" i="8"/>
  <c r="J483" i="8"/>
  <c r="M466" i="22"/>
  <c r="M480" i="22"/>
  <c r="M602" i="22"/>
  <c r="M502" i="22"/>
  <c r="M664" i="22" s="1"/>
  <c r="M624" i="22"/>
  <c r="Q181" i="7"/>
  <c r="H155" i="26"/>
  <c r="K10" i="6"/>
  <c r="K26" i="8"/>
  <c r="K139" i="8"/>
  <c r="K17" i="3"/>
  <c r="K514" i="8"/>
  <c r="L219" i="13"/>
  <c r="L216" i="13"/>
  <c r="M211" i="13"/>
  <c r="Q74" i="7"/>
  <c r="L71" i="16"/>
  <c r="P410" i="8"/>
  <c r="Q410" i="8" s="1"/>
  <c r="Q370" i="8"/>
  <c r="P171" i="11"/>
  <c r="P185" i="11"/>
  <c r="Q185" i="11" s="1"/>
  <c r="Q145" i="11"/>
  <c r="P221" i="8"/>
  <c r="P234" i="8"/>
  <c r="P14" i="11"/>
  <c r="P13" i="11"/>
  <c r="P377" i="11"/>
  <c r="P390" i="11"/>
  <c r="P157" i="12"/>
  <c r="Q157" i="12" s="1"/>
  <c r="P340" i="7"/>
  <c r="Q462" i="11"/>
  <c r="Q102" i="13"/>
  <c r="M119" i="7"/>
  <c r="M118" i="7"/>
  <c r="L125" i="7"/>
  <c r="L273" i="11"/>
  <c r="I149" i="26"/>
  <c r="M253" i="11"/>
  <c r="L284" i="11"/>
  <c r="O79" i="12"/>
  <c r="O166" i="12"/>
  <c r="O197" i="12"/>
  <c r="O190" i="12"/>
  <c r="P406" i="8"/>
  <c r="Q406" i="8" s="1"/>
  <c r="P379" i="8"/>
  <c r="Q366" i="8"/>
  <c r="L16" i="7"/>
  <c r="M16" i="7" s="1"/>
  <c r="M105" i="7"/>
  <c r="S598" i="8"/>
  <c r="S256" i="10"/>
  <c r="Q62" i="10"/>
  <c r="P66" i="10"/>
  <c r="P63" i="10"/>
  <c r="R305" i="7"/>
  <c r="S311" i="7"/>
  <c r="S603" i="8"/>
  <c r="R32" i="7"/>
  <c r="R148" i="7"/>
  <c r="J139" i="26"/>
  <c r="N255" i="8"/>
  <c r="O329" i="9"/>
  <c r="O317" i="9"/>
  <c r="O55" i="8"/>
  <c r="O58" i="8"/>
  <c r="N83" i="14"/>
  <c r="N114" i="14"/>
  <c r="N67" i="14" s="1"/>
  <c r="N89" i="14"/>
  <c r="N33" i="14"/>
  <c r="N30" i="14"/>
  <c r="Q17" i="10"/>
  <c r="Q9" i="10"/>
  <c r="N98" i="8"/>
  <c r="Q33" i="8"/>
  <c r="P34" i="8"/>
  <c r="Q34" i="8" s="1"/>
  <c r="S150" i="8"/>
  <c r="S542" i="8"/>
  <c r="Q11" i="12"/>
  <c r="P488" i="11"/>
  <c r="M1184" i="24" s="1"/>
  <c r="Q480" i="11"/>
  <c r="Q488" i="11"/>
  <c r="P494" i="11"/>
  <c r="M1143" i="24" s="1"/>
  <c r="P508" i="11"/>
  <c r="P11" i="12"/>
  <c r="P104" i="13"/>
  <c r="P105" i="13"/>
  <c r="P106" i="13"/>
  <c r="O225" i="22"/>
  <c r="O238" i="22"/>
  <c r="N184" i="22"/>
  <c r="O320" i="22"/>
  <c r="N197" i="22"/>
  <c r="O307" i="22"/>
  <c r="L69" i="26"/>
  <c r="M899" i="22"/>
  <c r="M1195" i="24"/>
  <c r="Q481" i="11"/>
  <c r="P481" i="11"/>
  <c r="R81" i="7"/>
  <c r="R70" i="8"/>
  <c r="O349" i="7"/>
  <c r="O342" i="7"/>
  <c r="O194" i="7"/>
  <c r="O19" i="11"/>
  <c r="O43" i="11"/>
  <c r="O21" i="11"/>
  <c r="K67" i="22"/>
  <c r="K77" i="22"/>
  <c r="N135" i="14"/>
  <c r="N43" i="14"/>
  <c r="N374" i="7"/>
  <c r="O33" i="22"/>
  <c r="O9" i="22"/>
  <c r="N391" i="22"/>
  <c r="N415" i="22"/>
  <c r="A7" i="26"/>
  <c r="B166" i="10" s="1"/>
  <c r="R263" i="7"/>
  <c r="R488" i="8"/>
  <c r="R226" i="11"/>
  <c r="A87" i="23"/>
  <c r="A89" i="23" s="1" a="1"/>
  <c r="M91" i="26"/>
  <c r="N375" i="9"/>
  <c r="N363" i="9"/>
  <c r="N372" i="9"/>
  <c r="P243" i="7"/>
  <c r="P248" i="7"/>
  <c r="Q248" i="7" s="1"/>
  <c r="Q235" i="7"/>
  <c r="M1116" i="24"/>
  <c r="M1107" i="24"/>
  <c r="M1119" i="24"/>
  <c r="L115" i="8"/>
  <c r="L441" i="8"/>
  <c r="L497" i="8"/>
  <c r="M497" i="8" s="1"/>
  <c r="I192" i="26"/>
  <c r="L445" i="8"/>
  <c r="M435" i="8"/>
  <c r="N202" i="13"/>
  <c r="N199" i="13"/>
  <c r="C8" i="18"/>
  <c r="C9" i="18" s="1"/>
  <c r="B171" i="26"/>
  <c r="C29" i="4"/>
  <c r="K35" i="13"/>
  <c r="H112" i="26"/>
  <c r="P97" i="8"/>
  <c r="Q97" i="8" s="1"/>
  <c r="P75" i="8"/>
  <c r="Q65" i="8"/>
  <c r="L904" i="22"/>
  <c r="L897" i="22"/>
  <c r="N243" i="22"/>
  <c r="N245" i="22"/>
  <c r="O127" i="13"/>
  <c r="O133" i="13"/>
  <c r="L1181" i="24"/>
  <c r="K73" i="26"/>
  <c r="O489" i="11"/>
  <c r="O486" i="11"/>
  <c r="K32" i="9"/>
  <c r="K1471" i="24"/>
  <c r="K1477" i="24"/>
  <c r="K1246" i="24"/>
  <c r="N52" i="14"/>
  <c r="M151" i="22"/>
  <c r="M177" i="22" s="1"/>
  <c r="M169" i="22"/>
  <c r="N46" i="14"/>
  <c r="P365" i="9"/>
  <c r="P341" i="9"/>
  <c r="P444" i="24"/>
  <c r="P298" i="9"/>
  <c r="O215" i="9"/>
  <c r="O239" i="9"/>
  <c r="O770" i="24"/>
  <c r="M503" i="22"/>
  <c r="M665" i="22" s="1"/>
  <c r="M625" i="22"/>
  <c r="M204" i="26"/>
  <c r="P348" i="9"/>
  <c r="P445" i="24"/>
  <c r="P299" i="9"/>
  <c r="O222" i="9"/>
  <c r="O771" i="24"/>
  <c r="J288" i="7"/>
  <c r="K224" i="26"/>
  <c r="P187" i="8"/>
  <c r="P190" i="8"/>
  <c r="P208" i="8"/>
  <c r="Q208" i="8" s="1"/>
  <c r="Q182" i="8"/>
  <c r="N39" i="22"/>
  <c r="N14" i="22"/>
  <c r="N17" i="22"/>
  <c r="J18" i="13"/>
  <c r="J22" i="13"/>
  <c r="J26" i="13"/>
  <c r="J19" i="13"/>
  <c r="J27" i="13"/>
  <c r="J31" i="13"/>
  <c r="J20" i="13"/>
  <c r="J23" i="13"/>
  <c r="J28" i="13"/>
  <c r="J30" i="13"/>
  <c r="L413" i="22"/>
  <c r="L1384" i="24" s="1"/>
  <c r="L425" i="22"/>
  <c r="L422" i="22"/>
  <c r="O696" i="22"/>
  <c r="N410" i="22"/>
  <c r="R123" i="7"/>
  <c r="R116" i="8"/>
  <c r="R442" i="8"/>
  <c r="R271" i="11"/>
  <c r="A151" i="23"/>
  <c r="A153" i="23" s="1" a="1"/>
  <c r="L220" i="26"/>
  <c r="Q450" i="11"/>
  <c r="N464" i="24"/>
  <c r="N467" i="24"/>
  <c r="N472" i="24"/>
  <c r="N29" i="21" s="1"/>
  <c r="N31" i="21" s="1"/>
  <c r="P85" i="7"/>
  <c r="P89" i="11"/>
  <c r="Q89" i="11" s="1"/>
  <c r="Q76" i="11"/>
  <c r="M74" i="14"/>
  <c r="M77" i="14"/>
  <c r="R363" i="8"/>
  <c r="R401" i="8"/>
  <c r="R374" i="8"/>
  <c r="P126" i="12"/>
  <c r="P123" i="12"/>
  <c r="P131" i="12"/>
  <c r="Q131" i="12" s="1"/>
  <c r="Q118" i="12"/>
  <c r="R253" i="10"/>
  <c r="Q212" i="10"/>
  <c r="U253" i="10"/>
  <c r="Q253" i="10"/>
  <c r="P449" i="24"/>
  <c r="P303" i="9"/>
  <c r="O775" i="24"/>
  <c r="O258" i="9"/>
  <c r="O474" i="24"/>
  <c r="O923" i="22"/>
  <c r="O450" i="24"/>
  <c r="O452" i="24"/>
  <c r="O478" i="24" s="1"/>
  <c r="O16" i="22"/>
  <c r="B77" i="23"/>
  <c r="A77" i="23"/>
  <c r="A113" i="23"/>
  <c r="B113" i="23"/>
  <c r="B105" i="23"/>
  <c r="A105" i="23"/>
  <c r="M464" i="22"/>
  <c r="M478" i="22"/>
  <c r="M640" i="22" s="1"/>
  <c r="M600" i="22"/>
  <c r="M442" i="22"/>
  <c r="M439" i="22"/>
  <c r="L61" i="16"/>
  <c r="M69" i="16"/>
  <c r="M71" i="16" s="1"/>
  <c r="P364" i="8"/>
  <c r="P367" i="8"/>
  <c r="P372" i="8"/>
  <c r="P399" i="8"/>
  <c r="Q399" i="8" s="1"/>
  <c r="Q359" i="8"/>
  <c r="P188" i="12"/>
  <c r="L133" i="26"/>
  <c r="Q364" i="11"/>
  <c r="Q38" i="12"/>
  <c r="Q70" i="12"/>
  <c r="J25" i="8"/>
  <c r="G195" i="26"/>
  <c r="I147" i="26"/>
  <c r="M20" i="7"/>
  <c r="M19" i="7"/>
  <c r="M133" i="8"/>
  <c r="M494" i="8"/>
  <c r="M8" i="6"/>
  <c r="L125" i="8"/>
  <c r="L472" i="8"/>
  <c r="I199" i="26"/>
  <c r="M466" i="8"/>
  <c r="L476" i="8"/>
  <c r="M476" i="8" s="1"/>
  <c r="O72" i="12"/>
  <c r="O159" i="12"/>
  <c r="K135" i="26"/>
  <c r="L176" i="13"/>
  <c r="M15" i="14"/>
  <c r="M246" i="11"/>
  <c r="M245" i="11"/>
  <c r="N347" i="7"/>
  <c r="N350" i="7"/>
  <c r="T581" i="8"/>
  <c r="T242" i="10"/>
  <c r="S425" i="11"/>
  <c r="S120" i="12"/>
  <c r="O746" i="24"/>
  <c r="R91" i="10"/>
  <c r="R64" i="10"/>
  <c r="S585" i="8"/>
  <c r="S255" i="10"/>
  <c r="J307" i="11"/>
  <c r="L139" i="14"/>
  <c r="M139" i="14" s="1"/>
  <c r="M129" i="14"/>
  <c r="N199" i="7"/>
  <c r="N201" i="7"/>
  <c r="R316" i="7"/>
  <c r="U316" i="7"/>
  <c r="Q302" i="7"/>
  <c r="P303" i="7"/>
  <c r="P306" i="7"/>
  <c r="J286" i="7"/>
  <c r="J511" i="8"/>
  <c r="R227" i="7"/>
  <c r="R118" i="11"/>
  <c r="R190" i="11"/>
  <c r="R123" i="11"/>
  <c r="K376" i="22"/>
  <c r="K382" i="22"/>
  <c r="M280" i="22"/>
  <c r="M286" i="22"/>
  <c r="L116" i="22"/>
  <c r="L122" i="22"/>
  <c r="N748" i="24"/>
  <c r="N760" i="24"/>
  <c r="M749" i="24"/>
  <c r="M752" i="24"/>
  <c r="M757" i="24"/>
  <c r="Q296" i="10"/>
  <c r="N759" i="24"/>
  <c r="N735" i="24"/>
  <c r="N737" i="24"/>
  <c r="N763" i="24" s="1"/>
  <c r="R216" i="10"/>
  <c r="S231" i="10"/>
  <c r="R191" i="10"/>
  <c r="R194" i="10"/>
  <c r="L138" i="14"/>
  <c r="M138" i="14" s="1"/>
  <c r="L131" i="14"/>
  <c r="M128" i="14"/>
  <c r="N80" i="12"/>
  <c r="N77" i="12"/>
  <c r="N164" i="12"/>
  <c r="N167" i="12"/>
  <c r="J513" i="8"/>
  <c r="N459" i="8"/>
  <c r="N232" i="11"/>
  <c r="N456" i="8"/>
  <c r="N222" i="11"/>
  <c r="N79" i="7"/>
  <c r="N68" i="8"/>
  <c r="N47" i="11"/>
  <c r="K35" i="9"/>
  <c r="K1475" i="24"/>
  <c r="R127" i="10"/>
  <c r="N801" i="24"/>
  <c r="N789" i="24"/>
  <c r="O272" i="9"/>
  <c r="O928" i="22"/>
  <c r="O475" i="24"/>
  <c r="O463" i="24"/>
  <c r="P226" i="8"/>
  <c r="P239" i="8"/>
  <c r="Q239" i="8" s="1"/>
  <c r="P30" i="11"/>
  <c r="P31" i="11"/>
  <c r="Q31" i="11" s="1"/>
  <c r="P382" i="11"/>
  <c r="P395" i="11"/>
  <c r="P162" i="12"/>
  <c r="Q162" i="12" s="1"/>
  <c r="P345" i="7"/>
  <c r="Q345" i="7" s="1"/>
  <c r="Q467" i="11"/>
  <c r="R352" i="11"/>
  <c r="N1115" i="24"/>
  <c r="N1090" i="24"/>
  <c r="N1093" i="24"/>
  <c r="R335" i="8"/>
  <c r="R389" i="8"/>
  <c r="R313" i="8"/>
  <c r="L573" i="22"/>
  <c r="L576" i="22"/>
  <c r="L537" i="22"/>
  <c r="L549" i="22"/>
  <c r="L546" i="22"/>
  <c r="M163" i="22"/>
  <c r="M157" i="22"/>
  <c r="L109" i="22"/>
  <c r="L135" i="22" s="1"/>
  <c r="L127" i="22"/>
  <c r="L103" i="22"/>
  <c r="N39" i="14"/>
  <c r="N45" i="14"/>
  <c r="K86" i="22"/>
  <c r="K54" i="22"/>
  <c r="N357" i="7"/>
  <c r="N381" i="7"/>
  <c r="N363" i="7"/>
  <c r="P53" i="7"/>
  <c r="P197" i="8"/>
  <c r="P467" i="8"/>
  <c r="P47" i="10"/>
  <c r="P131" i="10"/>
  <c r="P254" i="11"/>
  <c r="M403" i="22"/>
  <c r="M527" i="22"/>
  <c r="M446" i="22"/>
  <c r="L97" i="26"/>
  <c r="N21" i="22"/>
  <c r="N689" i="22"/>
  <c r="P79" i="10"/>
  <c r="P124" i="10"/>
  <c r="P183" i="7"/>
  <c r="P136" i="10"/>
  <c r="Q123" i="10"/>
  <c r="Q467" i="8"/>
  <c r="Q254" i="11"/>
  <c r="L136" i="14"/>
  <c r="M136" i="14" s="1"/>
  <c r="M133" i="14"/>
  <c r="P8" i="6"/>
  <c r="P17" i="6"/>
  <c r="P20" i="7"/>
  <c r="P119" i="7"/>
  <c r="P269" i="7"/>
  <c r="P133" i="8"/>
  <c r="P494" i="8"/>
  <c r="P246" i="11"/>
  <c r="L95" i="26"/>
  <c r="Q133" i="8"/>
  <c r="Q494" i="8"/>
  <c r="Q246" i="11"/>
  <c r="Q119" i="7"/>
  <c r="Q8" i="6"/>
  <c r="Q269" i="7"/>
  <c r="Q9" i="7"/>
  <c r="Q20" i="7"/>
  <c r="Q44" i="10"/>
  <c r="P360" i="9"/>
  <c r="P457" i="24"/>
  <c r="P311" i="9"/>
  <c r="O234" i="9"/>
  <c r="O783" i="24"/>
  <c r="L93" i="8"/>
  <c r="L104" i="8"/>
  <c r="L108" i="8"/>
  <c r="M72" i="8"/>
  <c r="M76" i="8"/>
  <c r="N198" i="12"/>
  <c r="N195" i="12"/>
  <c r="O44" i="11"/>
  <c r="O22" i="11"/>
  <c r="K1241" i="24"/>
  <c r="N101" i="14"/>
  <c r="J87" i="26"/>
  <c r="N134" i="14"/>
  <c r="A65" i="23"/>
  <c r="B65" i="23"/>
  <c r="P206" i="11"/>
  <c r="Q206" i="11" s="1"/>
  <c r="Q166" i="11"/>
  <c r="L122" i="7"/>
  <c r="L272" i="7"/>
  <c r="L270" i="11"/>
  <c r="L256" i="11"/>
  <c r="I148" i="26"/>
  <c r="M250" i="11"/>
  <c r="L281" i="11"/>
  <c r="M88" i="7"/>
  <c r="L108" i="7"/>
  <c r="M92" i="7"/>
  <c r="L93" i="7"/>
  <c r="L104" i="7"/>
  <c r="P296" i="8"/>
  <c r="Q296" i="8" s="1"/>
  <c r="Q283" i="8"/>
  <c r="K38" i="13"/>
  <c r="H115" i="26"/>
  <c r="P97" i="7"/>
  <c r="Q97" i="7" s="1"/>
  <c r="P75" i="7"/>
  <c r="Q65" i="7"/>
  <c r="L1148" i="24"/>
  <c r="L1160" i="24"/>
  <c r="L1150" i="24"/>
  <c r="N336" i="22"/>
  <c r="N312" i="22"/>
  <c r="N314" i="22"/>
  <c r="N340" i="22" s="1"/>
  <c r="N254" i="22"/>
  <c r="N230" i="22"/>
  <c r="N232" i="22"/>
  <c r="N258" i="22" s="1"/>
  <c r="O126" i="13"/>
  <c r="O132" i="13"/>
  <c r="O499" i="11"/>
  <c r="O28" i="12"/>
  <c r="O501" i="11"/>
  <c r="N220" i="12"/>
  <c r="N222" i="12"/>
  <c r="K19" i="9"/>
  <c r="L492" i="22"/>
  <c r="L614" i="22"/>
  <c r="L495" i="22"/>
  <c r="L617" i="22"/>
  <c r="L456" i="22"/>
  <c r="L465" i="22"/>
  <c r="L468" i="22"/>
  <c r="K83" i="22"/>
  <c r="K61" i="22"/>
  <c r="K95" i="22" s="1"/>
  <c r="N377" i="7"/>
  <c r="S296" i="7"/>
  <c r="T576" i="8"/>
  <c r="S186" i="10"/>
  <c r="S210" i="10"/>
  <c r="T225" i="10"/>
  <c r="S89" i="10"/>
  <c r="S408" i="11"/>
  <c r="S103" i="12"/>
  <c r="O729" i="24"/>
  <c r="M491" i="22"/>
  <c r="M653" i="22" s="1"/>
  <c r="M613" i="22"/>
  <c r="R143" i="12"/>
  <c r="M218" i="26"/>
  <c r="R528" i="8"/>
  <c r="R555" i="8"/>
  <c r="R553" i="8"/>
  <c r="R531" i="8"/>
  <c r="S345" i="8"/>
  <c r="S275" i="8"/>
  <c r="S344" i="8"/>
  <c r="S101" i="11"/>
  <c r="S55" i="11"/>
  <c r="S100" i="11"/>
  <c r="O1092" i="24"/>
  <c r="R70" i="7"/>
  <c r="R81" i="8"/>
  <c r="R151" i="10"/>
  <c r="Q119" i="10"/>
  <c r="Q116" i="10"/>
  <c r="R158" i="10"/>
  <c r="Q141" i="10"/>
  <c r="N172" i="13"/>
  <c r="N170" i="13"/>
  <c r="Q544" i="8"/>
  <c r="Q541" i="8"/>
  <c r="P557" i="8"/>
  <c r="P554" i="8"/>
  <c r="P545" i="8"/>
  <c r="N485" i="22"/>
  <c r="N607" i="22"/>
  <c r="N453" i="22"/>
  <c r="P74" i="11"/>
  <c r="P77" i="11"/>
  <c r="P82" i="11"/>
  <c r="Q82" i="11" s="1"/>
  <c r="Q69" i="11"/>
  <c r="R155" i="11"/>
  <c r="R193" i="11"/>
  <c r="R157" i="11"/>
  <c r="R239" i="7"/>
  <c r="R402" i="8"/>
  <c r="R375" i="8"/>
  <c r="Q95" i="10"/>
  <c r="P99" i="10"/>
  <c r="P96" i="10"/>
  <c r="P138" i="12"/>
  <c r="Q138" i="12" s="1"/>
  <c r="Q125" i="12"/>
  <c r="M121" i="14"/>
  <c r="M124" i="14"/>
  <c r="N245" i="9"/>
  <c r="N220" i="9"/>
  <c r="N223" i="9"/>
  <c r="O684" i="22"/>
  <c r="N441" i="22"/>
  <c r="N473" i="22"/>
  <c r="N595" i="22"/>
  <c r="A25" i="26"/>
  <c r="B173" i="10" s="1"/>
  <c r="G202" i="26"/>
  <c r="N558" i="22"/>
  <c r="N489" i="22"/>
  <c r="N611" i="22"/>
  <c r="M178" i="26"/>
  <c r="O153" i="12"/>
  <c r="O150" i="12"/>
  <c r="P133" i="7"/>
  <c r="P119" i="8"/>
  <c r="P20" i="8"/>
  <c r="P452" i="8"/>
  <c r="P302" i="11"/>
  <c r="Q20" i="8"/>
  <c r="Q133" i="7"/>
  <c r="Q452" i="8"/>
  <c r="Q119" i="8"/>
  <c r="Q56" i="7"/>
  <c r="Q302" i="11"/>
  <c r="P405" i="8"/>
  <c r="Q405" i="8" s="1"/>
  <c r="P378" i="8"/>
  <c r="Q365" i="8"/>
  <c r="P244" i="7"/>
  <c r="P249" i="7"/>
  <c r="Q249" i="7" s="1"/>
  <c r="Q236" i="7"/>
  <c r="J138" i="8"/>
  <c r="I200" i="26"/>
  <c r="M469" i="8"/>
  <c r="L479" i="8"/>
  <c r="M479" i="8" s="1"/>
  <c r="O201" i="13"/>
  <c r="O194" i="13"/>
  <c r="N14" i="7"/>
  <c r="N72" i="7"/>
  <c r="N76" i="7"/>
  <c r="N219" i="11"/>
  <c r="N425" i="8"/>
  <c r="N229" i="11"/>
  <c r="N428" i="8"/>
  <c r="M43" i="22"/>
  <c r="M31" i="22"/>
  <c r="M40" i="22"/>
  <c r="P57" i="12"/>
  <c r="Q57" i="12" s="1"/>
  <c r="Q526" i="11"/>
  <c r="R334" i="8"/>
  <c r="R310" i="8"/>
  <c r="R388" i="8"/>
  <c r="R312" i="8"/>
  <c r="M699" i="22"/>
  <c r="P12" i="16" s="1"/>
  <c r="M708" i="22"/>
  <c r="M711" i="22"/>
  <c r="K187" i="26"/>
  <c r="O11" i="8"/>
  <c r="K348" i="22"/>
  <c r="K354" i="22"/>
  <c r="M267" i="22"/>
  <c r="M273" i="22"/>
  <c r="M299" i="22" s="1"/>
  <c r="M291" i="22"/>
  <c r="N376" i="7"/>
  <c r="N370" i="7"/>
  <c r="M88" i="8"/>
  <c r="M92" i="8"/>
  <c r="M156" i="13"/>
  <c r="Q50" i="7"/>
  <c r="K15" i="17"/>
  <c r="K9" i="17"/>
  <c r="Q155" i="8"/>
  <c r="P153" i="8"/>
  <c r="M61" i="14"/>
  <c r="M58" i="14"/>
  <c r="S150" i="7"/>
  <c r="T580" i="8"/>
  <c r="T238" i="10"/>
  <c r="S60" i="10"/>
  <c r="S205" i="10"/>
  <c r="S421" i="11"/>
  <c r="S116" i="12"/>
  <c r="O742" i="24"/>
  <c r="L206" i="26"/>
  <c r="Q563" i="8"/>
  <c r="L16" i="8"/>
  <c r="M16" i="8" s="1"/>
  <c r="M14" i="8"/>
  <c r="O399" i="11"/>
  <c r="O215" i="12"/>
  <c r="K127" i="26"/>
  <c r="O392" i="11"/>
  <c r="O243" i="8"/>
  <c r="O236" i="8"/>
  <c r="O19" i="10"/>
  <c r="P19" i="10" s="1"/>
  <c r="M271" i="22"/>
  <c r="M297" i="22" s="1"/>
  <c r="M295" i="22"/>
  <c r="L107" i="22"/>
  <c r="L133" i="22" s="1"/>
  <c r="L131" i="22"/>
  <c r="B164" i="10"/>
  <c r="AZ26" i="27"/>
  <c r="N458" i="22"/>
  <c r="N472" i="22"/>
  <c r="N634" i="22" s="1"/>
  <c r="N594" i="22"/>
  <c r="N434" i="22"/>
  <c r="R446" i="8"/>
  <c r="R282" i="11"/>
  <c r="A71" i="23"/>
  <c r="A73" i="23" s="1" a="1"/>
  <c r="A3" i="26"/>
  <c r="D164" i="10" s="1"/>
  <c r="P143" i="11"/>
  <c r="P170" i="11"/>
  <c r="P184" i="11"/>
  <c r="Q184" i="11" s="1"/>
  <c r="Q144" i="11"/>
  <c r="P168" i="11"/>
  <c r="P237" i="7"/>
  <c r="P182" i="11"/>
  <c r="Q182" i="11" s="1"/>
  <c r="P146" i="11"/>
  <c r="Q142" i="11"/>
  <c r="P565" i="8"/>
  <c r="P357" i="11"/>
  <c r="P452" i="11"/>
  <c r="P179" i="12"/>
  <c r="M1072" i="24"/>
  <c r="P359" i="11"/>
  <c r="Q355" i="11"/>
  <c r="L275" i="7"/>
  <c r="L266" i="11"/>
  <c r="I151" i="26"/>
  <c r="L291" i="11"/>
  <c r="M260" i="11"/>
  <c r="K21" i="16"/>
  <c r="J24" i="5"/>
  <c r="L140" i="14"/>
  <c r="M140" i="14" s="1"/>
  <c r="M130" i="14"/>
  <c r="P85" i="8"/>
  <c r="P285" i="8"/>
  <c r="P294" i="8"/>
  <c r="Q294" i="8" s="1"/>
  <c r="P282" i="8"/>
  <c r="Q281" i="8"/>
  <c r="K36" i="13"/>
  <c r="H113" i="26"/>
  <c r="K9" i="13"/>
  <c r="K32" i="13"/>
  <c r="H118" i="26"/>
  <c r="M189" i="22"/>
  <c r="M213" i="22"/>
  <c r="M191" i="22"/>
  <c r="M202" i="22"/>
  <c r="M204" i="22"/>
  <c r="O16" i="12"/>
  <c r="O18" i="12"/>
  <c r="N84" i="7"/>
  <c r="N84" i="8"/>
  <c r="N48" i="11"/>
  <c r="L110" i="22"/>
  <c r="L136" i="22" s="1"/>
  <c r="L128" i="22"/>
  <c r="N364" i="7"/>
  <c r="N382" i="7"/>
  <c r="S262" i="8"/>
  <c r="S304" i="8"/>
  <c r="S305" i="8"/>
  <c r="S97" i="11"/>
  <c r="S54" i="11"/>
  <c r="S96" i="11"/>
  <c r="O1109" i="24"/>
  <c r="O1085" i="24"/>
  <c r="P431" i="11"/>
  <c r="P428" i="11"/>
  <c r="P436" i="11"/>
  <c r="Q436" i="11" s="1"/>
  <c r="Q423" i="11"/>
  <c r="R479" i="11"/>
  <c r="R154" i="8"/>
  <c r="R32" i="8"/>
  <c r="R148" i="8"/>
  <c r="S147" i="7"/>
  <c r="T589" i="8"/>
  <c r="S57" i="10"/>
  <c r="T226" i="10"/>
  <c r="S193" i="10"/>
  <c r="S409" i="11"/>
  <c r="S104" i="12"/>
  <c r="O730" i="24"/>
  <c r="Q394" i="8"/>
  <c r="Q391" i="8"/>
  <c r="Q340" i="8"/>
  <c r="Q337" i="8"/>
  <c r="Q328" i="8"/>
  <c r="J302" i="11"/>
  <c r="M547" i="22"/>
  <c r="M587" i="22" s="1"/>
  <c r="M561" i="22"/>
  <c r="K86" i="16"/>
  <c r="K79" i="16"/>
  <c r="P156" i="10"/>
  <c r="P159" i="10"/>
  <c r="A69" i="23"/>
  <c r="B69" i="23"/>
  <c r="N566" i="22"/>
  <c r="N534" i="22"/>
  <c r="N574" i="22" s="1"/>
  <c r="A23" i="26"/>
  <c r="C172" i="10" s="1"/>
  <c r="N941" i="22"/>
  <c r="N919" i="22"/>
  <c r="N945" i="22" s="1"/>
  <c r="N916" i="22"/>
  <c r="P213" i="7"/>
  <c r="P215" i="7"/>
  <c r="Q215" i="7" s="1"/>
  <c r="Q211" i="7"/>
  <c r="M268" i="7"/>
  <c r="M269" i="7"/>
  <c r="N207" i="12"/>
  <c r="N209" i="12"/>
  <c r="M391" i="7"/>
  <c r="M379" i="7"/>
  <c r="M388" i="7"/>
  <c r="L507" i="22"/>
  <c r="L669" i="22" s="1"/>
  <c r="L629" i="22"/>
  <c r="R212" i="7"/>
  <c r="R73" i="11"/>
  <c r="R85" i="11"/>
  <c r="R293" i="8"/>
  <c r="R284" i="8"/>
  <c r="R245" i="10"/>
  <c r="R248" i="10"/>
  <c r="Q207" i="10"/>
  <c r="Q204" i="10"/>
  <c r="U245" i="10"/>
  <c r="U248" i="10"/>
  <c r="P217" i="10"/>
  <c r="P208" i="10"/>
  <c r="P220" i="10"/>
  <c r="S276" i="8"/>
  <c r="S349" i="8"/>
  <c r="S348" i="8"/>
  <c r="S113" i="11"/>
  <c r="S59" i="11"/>
  <c r="S114" i="11"/>
  <c r="J298" i="11"/>
  <c r="O371" i="9"/>
  <c r="O349" i="9"/>
  <c r="O346" i="9"/>
  <c r="N522" i="22"/>
  <c r="N554" i="22"/>
  <c r="R52" i="8"/>
  <c r="R195" i="8"/>
  <c r="M181" i="26"/>
  <c r="M182" i="26"/>
  <c r="J138" i="7"/>
  <c r="N570" i="22"/>
  <c r="M638" i="22"/>
  <c r="N707" i="22"/>
  <c r="N685" i="22"/>
  <c r="N682" i="22"/>
  <c r="J336" i="7"/>
  <c r="M336" i="7" s="1"/>
  <c r="M334" i="7"/>
  <c r="N318" i="9"/>
  <c r="N321" i="9"/>
  <c r="N326" i="9"/>
  <c r="P207" i="11"/>
  <c r="Q207" i="11" s="1"/>
  <c r="Q167" i="11"/>
  <c r="P192" i="13"/>
  <c r="I152" i="26"/>
  <c r="L294" i="11"/>
  <c r="M263" i="11"/>
  <c r="K210" i="26"/>
  <c r="P411" i="8"/>
  <c r="Q411" i="8" s="1"/>
  <c r="Q371" i="8"/>
  <c r="M1151" i="24" l="1"/>
  <c r="M1157" i="24"/>
  <c r="M1144" i="24"/>
  <c r="N73" i="14"/>
  <c r="N14" i="14"/>
  <c r="N334" i="9"/>
  <c r="N322" i="9"/>
  <c r="N331" i="9"/>
  <c r="M183" i="26"/>
  <c r="N562" i="22"/>
  <c r="T234" i="10"/>
  <c r="R507" i="11"/>
  <c r="R10" i="12"/>
  <c r="R493" i="11"/>
  <c r="R101" i="13"/>
  <c r="O196" i="22"/>
  <c r="R99" i="13"/>
  <c r="R100" i="13"/>
  <c r="O183" i="22"/>
  <c r="P306" i="22"/>
  <c r="N895" i="22"/>
  <c r="P224" i="22"/>
  <c r="P237" i="22"/>
  <c r="P319" i="22"/>
  <c r="N1194" i="24"/>
  <c r="M68" i="26"/>
  <c r="N1142" i="24"/>
  <c r="S207" i="7"/>
  <c r="S56" i="11"/>
  <c r="S80" i="11"/>
  <c r="S270" i="8"/>
  <c r="S288" i="8"/>
  <c r="N87" i="8"/>
  <c r="N89" i="8"/>
  <c r="M215" i="22"/>
  <c r="M193" i="22"/>
  <c r="M190" i="22"/>
  <c r="P101" i="8"/>
  <c r="Q101" i="8" s="1"/>
  <c r="P90" i="8"/>
  <c r="Q85" i="8"/>
  <c r="M292" i="11"/>
  <c r="M291" i="11"/>
  <c r="M449" i="8"/>
  <c r="P483" i="11"/>
  <c r="M1074" i="24"/>
  <c r="M1076" i="24"/>
  <c r="P567" i="8"/>
  <c r="L207" i="26"/>
  <c r="P569" i="8"/>
  <c r="Q569" i="8" s="1"/>
  <c r="Q565" i="8"/>
  <c r="Q170" i="11"/>
  <c r="P210" i="11"/>
  <c r="Q210" i="11" s="1"/>
  <c r="O223" i="12"/>
  <c r="O216" i="12"/>
  <c r="T164" i="7"/>
  <c r="T161" i="8"/>
  <c r="T582" i="8"/>
  <c r="R338" i="8"/>
  <c r="R392" i="8"/>
  <c r="R414" i="8"/>
  <c r="N112" i="8"/>
  <c r="N431" i="8"/>
  <c r="N487" i="8"/>
  <c r="J189" i="26"/>
  <c r="N651" i="22"/>
  <c r="Q159" i="10"/>
  <c r="Q156" i="10"/>
  <c r="O738" i="24"/>
  <c r="T161" i="7"/>
  <c r="T164" i="8"/>
  <c r="T591" i="8"/>
  <c r="S351" i="11"/>
  <c r="S223" i="7"/>
  <c r="S105" i="11"/>
  <c r="S177" i="11"/>
  <c r="N87" i="7"/>
  <c r="N100" i="7"/>
  <c r="M203" i="22"/>
  <c r="M206" i="22"/>
  <c r="Q282" i="8"/>
  <c r="Q285" i="8"/>
  <c r="P286" i="8"/>
  <c r="P295" i="8"/>
  <c r="P298" i="8"/>
  <c r="P181" i="12"/>
  <c r="P183" i="12"/>
  <c r="Q183" i="12" s="1"/>
  <c r="Q179" i="12"/>
  <c r="P86" i="7"/>
  <c r="P86" i="8"/>
  <c r="P208" i="11"/>
  <c r="Q208" i="11" s="1"/>
  <c r="Q168" i="11"/>
  <c r="P160" i="11"/>
  <c r="P172" i="11"/>
  <c r="P169" i="11"/>
  <c r="P186" i="11"/>
  <c r="P183" i="11"/>
  <c r="Q146" i="11"/>
  <c r="Q143" i="11"/>
  <c r="N498" i="22"/>
  <c r="N660" i="22" s="1"/>
  <c r="N620" i="22"/>
  <c r="K128" i="26"/>
  <c r="T246" i="10"/>
  <c r="N79" i="13"/>
  <c r="K353" i="22"/>
  <c r="K356" i="22"/>
  <c r="N112" i="7"/>
  <c r="N262" i="7"/>
  <c r="N239" i="11"/>
  <c r="N225" i="11"/>
  <c r="J141" i="26"/>
  <c r="Q378" i="8"/>
  <c r="P418" i="8"/>
  <c r="Q418" i="8" s="1"/>
  <c r="N481" i="22"/>
  <c r="N643" i="22" s="1"/>
  <c r="N603" i="22"/>
  <c r="Q99" i="10"/>
  <c r="Q96" i="10"/>
  <c r="S63" i="11"/>
  <c r="S353" i="8"/>
  <c r="T584" i="8"/>
  <c r="T251" i="10"/>
  <c r="O165" i="13"/>
  <c r="L469" i="22"/>
  <c r="L505" i="22"/>
  <c r="L627" i="22"/>
  <c r="L496" i="22"/>
  <c r="L508" i="22"/>
  <c r="L618" i="22"/>
  <c r="L630" i="22"/>
  <c r="L654" i="22"/>
  <c r="L657" i="22"/>
  <c r="N221" i="12"/>
  <c r="N224" i="12"/>
  <c r="O30" i="12"/>
  <c r="O32" i="12"/>
  <c r="O142" i="13"/>
  <c r="O196" i="13"/>
  <c r="L1162" i="24"/>
  <c r="L1164" i="24"/>
  <c r="L22" i="7"/>
  <c r="L128" i="7"/>
  <c r="I150" i="26"/>
  <c r="L282" i="7"/>
  <c r="M272" i="7"/>
  <c r="P334" i="7"/>
  <c r="Q17" i="6"/>
  <c r="P129" i="10"/>
  <c r="R153" i="10"/>
  <c r="P132" i="10"/>
  <c r="P137" i="10"/>
  <c r="Q124" i="10"/>
  <c r="N389" i="7"/>
  <c r="N149" i="13"/>
  <c r="K88" i="22"/>
  <c r="N47" i="14"/>
  <c r="N44" i="14"/>
  <c r="M162" i="22"/>
  <c r="M165" i="22"/>
  <c r="R562" i="8"/>
  <c r="R360" i="11"/>
  <c r="R449" i="11"/>
  <c r="R176" i="12"/>
  <c r="N1069" i="24"/>
  <c r="R353" i="11"/>
  <c r="P219" i="12"/>
  <c r="Q219" i="12" s="1"/>
  <c r="L130" i="26"/>
  <c r="Q395" i="11"/>
  <c r="O231" i="9"/>
  <c r="S539" i="8"/>
  <c r="O1101" i="24"/>
  <c r="S202" i="10"/>
  <c r="P357" i="9"/>
  <c r="O285" i="9"/>
  <c r="O273" i="9"/>
  <c r="N71" i="8"/>
  <c r="N100" i="8"/>
  <c r="N73" i="8"/>
  <c r="N122" i="8"/>
  <c r="N462" i="8"/>
  <c r="J196" i="26"/>
  <c r="S232" i="10"/>
  <c r="S235" i="10"/>
  <c r="L121" i="22"/>
  <c r="O65" i="16" s="1"/>
  <c r="L124" i="22"/>
  <c r="K381" i="22"/>
  <c r="K384" i="22"/>
  <c r="R198" i="11"/>
  <c r="R131" i="11"/>
  <c r="R317" i="7"/>
  <c r="R320" i="7"/>
  <c r="U320" i="7"/>
  <c r="Q317" i="7"/>
  <c r="U317" i="7"/>
  <c r="Q303" i="7"/>
  <c r="Q320" i="7"/>
  <c r="Q306" i="7"/>
  <c r="Q188" i="12"/>
  <c r="M479" i="22"/>
  <c r="M601" i="22"/>
  <c r="M482" i="22"/>
  <c r="M604" i="22"/>
  <c r="M504" i="22"/>
  <c r="M666" i="22" s="1"/>
  <c r="M626" i="22"/>
  <c r="O931" i="22"/>
  <c r="O944" i="22" s="1"/>
  <c r="O925" i="22"/>
  <c r="O936" i="22"/>
  <c r="R376" i="8"/>
  <c r="R403" i="8"/>
  <c r="N468" i="24"/>
  <c r="N480" i="24"/>
  <c r="N477" i="24"/>
  <c r="J36" i="13"/>
  <c r="G113" i="26"/>
  <c r="J9" i="13"/>
  <c r="J32" i="13"/>
  <c r="G118" i="26"/>
  <c r="S109" i="10"/>
  <c r="O796" i="24"/>
  <c r="O772" i="24"/>
  <c r="P300" i="9"/>
  <c r="P324" i="9"/>
  <c r="O143" i="13"/>
  <c r="L503" i="8"/>
  <c r="M503" i="8" s="1"/>
  <c r="L451" i="8"/>
  <c r="M441" i="8"/>
  <c r="B89" i="23"/>
  <c r="A89" i="23"/>
  <c r="O315" i="22"/>
  <c r="O333" i="22"/>
  <c r="O308" i="22"/>
  <c r="O246" i="22"/>
  <c r="O239" i="22"/>
  <c r="P107" i="13"/>
  <c r="P136" i="13"/>
  <c r="Q136" i="13" s="1"/>
  <c r="Q104" i="13"/>
  <c r="P109" i="13"/>
  <c r="N122" i="14"/>
  <c r="N116" i="14"/>
  <c r="S37" i="7"/>
  <c r="S168" i="8"/>
  <c r="S604" i="8"/>
  <c r="Q14" i="11"/>
  <c r="N69" i="16"/>
  <c r="O330" i="9"/>
  <c r="O305" i="9"/>
  <c r="O308" i="9"/>
  <c r="R180" i="7"/>
  <c r="R181" i="8"/>
  <c r="R429" i="8"/>
  <c r="R115" i="10"/>
  <c r="R139" i="10"/>
  <c r="R76" i="10"/>
  <c r="R230" i="11"/>
  <c r="N393" i="22"/>
  <c r="N517" i="22"/>
  <c r="N436" i="22"/>
  <c r="A99" i="23"/>
  <c r="A10" i="26"/>
  <c r="B168" i="10" s="1"/>
  <c r="M92" i="26"/>
  <c r="O11" i="22"/>
  <c r="O679" i="22"/>
  <c r="R117" i="10"/>
  <c r="R48" i="7"/>
  <c r="R42" i="10"/>
  <c r="R148" i="12"/>
  <c r="M222" i="26"/>
  <c r="L22" i="5"/>
  <c r="M22" i="5" s="1"/>
  <c r="L71" i="13"/>
  <c r="M84" i="16"/>
  <c r="J66" i="26"/>
  <c r="M69" i="13"/>
  <c r="R151" i="7"/>
  <c r="S593" i="8"/>
  <c r="S239" i="10"/>
  <c r="R61" i="10"/>
  <c r="R206" i="10"/>
  <c r="R422" i="11"/>
  <c r="R117" i="12"/>
  <c r="N743" i="24"/>
  <c r="R199" i="10"/>
  <c r="R93" i="10"/>
  <c r="R300" i="7"/>
  <c r="R211" i="10"/>
  <c r="O468" i="11"/>
  <c r="O325" i="11"/>
  <c r="K109" i="26"/>
  <c r="O517" i="11"/>
  <c r="O514" i="11"/>
  <c r="L1377" i="24"/>
  <c r="L1379" i="24"/>
  <c r="K19" i="3"/>
  <c r="K47" i="13"/>
  <c r="K10" i="13"/>
  <c r="H117" i="26"/>
  <c r="K14" i="6"/>
  <c r="N387" i="7"/>
  <c r="O256" i="8"/>
  <c r="O210" i="12"/>
  <c r="O203" i="12"/>
  <c r="S163" i="11"/>
  <c r="K59" i="22"/>
  <c r="K62" i="22"/>
  <c r="K84" i="22"/>
  <c r="N148" i="13"/>
  <c r="R39" i="7"/>
  <c r="R39" i="8"/>
  <c r="R167" i="8"/>
  <c r="R170" i="8"/>
  <c r="R609" i="8"/>
  <c r="R612" i="8"/>
  <c r="R600" i="8"/>
  <c r="U612" i="8"/>
  <c r="Q600" i="8"/>
  <c r="Q167" i="8"/>
  <c r="U609" i="8"/>
  <c r="Q609" i="8"/>
  <c r="U39" i="7"/>
  <c r="Q34" i="7"/>
  <c r="Q39" i="8"/>
  <c r="U39" i="8"/>
  <c r="U167" i="8"/>
  <c r="U170" i="8"/>
  <c r="Q170" i="8"/>
  <c r="Q39" i="7"/>
  <c r="Q612" i="8"/>
  <c r="U600" i="8"/>
  <c r="O57" i="13"/>
  <c r="O27" i="14"/>
  <c r="L1219" i="24"/>
  <c r="R440" i="11"/>
  <c r="R418" i="11"/>
  <c r="R415" i="11"/>
  <c r="Q33" i="10"/>
  <c r="P288" i="10"/>
  <c r="P285" i="10"/>
  <c r="Q25" i="10"/>
  <c r="Q288" i="10"/>
  <c r="Q285" i="10"/>
  <c r="P33" i="10"/>
  <c r="T33" i="10"/>
  <c r="R252" i="7"/>
  <c r="R230" i="7"/>
  <c r="R287" i="10"/>
  <c r="S323" i="8"/>
  <c r="S115" i="11"/>
  <c r="K81" i="16"/>
  <c r="K20" i="16" s="1"/>
  <c r="K12" i="4" s="1"/>
  <c r="H161" i="26" s="1"/>
  <c r="L89" i="16"/>
  <c r="L297" i="11"/>
  <c r="M266" i="11"/>
  <c r="P147" i="12"/>
  <c r="P454" i="11"/>
  <c r="L221" i="26"/>
  <c r="P456" i="11"/>
  <c r="Q456" i="11" s="1"/>
  <c r="Q452" i="11"/>
  <c r="M272" i="22"/>
  <c r="M275" i="22"/>
  <c r="M293" i="22"/>
  <c r="R195" i="11"/>
  <c r="R159" i="11"/>
  <c r="R241" i="7"/>
  <c r="S127" i="11"/>
  <c r="O755" i="24"/>
  <c r="O731" i="24"/>
  <c r="T227" i="10"/>
  <c r="O503" i="11"/>
  <c r="O500" i="11"/>
  <c r="N338" i="22"/>
  <c r="N313" i="22"/>
  <c r="N316" i="22"/>
  <c r="L1149" i="24"/>
  <c r="L1152" i="24"/>
  <c r="L278" i="7"/>
  <c r="M122" i="7"/>
  <c r="L132" i="7"/>
  <c r="P10" i="10"/>
  <c r="P48" i="10"/>
  <c r="P83" i="10"/>
  <c r="Q83" i="10" s="1"/>
  <c r="Q79" i="10"/>
  <c r="M454" i="22"/>
  <c r="M486" i="22"/>
  <c r="M608" i="22"/>
  <c r="M447" i="22"/>
  <c r="M459" i="22"/>
  <c r="L108" i="22"/>
  <c r="L111" i="22"/>
  <c r="L129" i="22"/>
  <c r="R339" i="8"/>
  <c r="R393" i="8"/>
  <c r="P206" i="12"/>
  <c r="Q206" i="12" s="1"/>
  <c r="L215" i="26"/>
  <c r="Q382" i="11"/>
  <c r="P252" i="8"/>
  <c r="Q252" i="8" s="1"/>
  <c r="Q226" i="8"/>
  <c r="N89" i="7"/>
  <c r="N82" i="7"/>
  <c r="N95" i="7"/>
  <c r="J145" i="26"/>
  <c r="L137" i="14"/>
  <c r="L141" i="14"/>
  <c r="M131" i="14"/>
  <c r="P298" i="10"/>
  <c r="Q298" i="10"/>
  <c r="M762" i="24"/>
  <c r="M753" i="24"/>
  <c r="M765" i="24"/>
  <c r="R203" i="11"/>
  <c r="R253" i="7"/>
  <c r="R231" i="7"/>
  <c r="L482" i="8"/>
  <c r="M482" i="8" s="1"/>
  <c r="M472" i="8"/>
  <c r="G203" i="26"/>
  <c r="P412" i="8"/>
  <c r="Q412" i="8" s="1"/>
  <c r="Q372" i="8"/>
  <c r="P101" i="7"/>
  <c r="Q101" i="7" s="1"/>
  <c r="P90" i="7"/>
  <c r="Q85" i="7"/>
  <c r="G122" i="26"/>
  <c r="G123" i="26"/>
  <c r="J38" i="13"/>
  <c r="G115" i="26"/>
  <c r="P307" i="9"/>
  <c r="P254" i="9"/>
  <c r="P910" i="22"/>
  <c r="P446" i="24"/>
  <c r="P470" i="24"/>
  <c r="L507" i="8"/>
  <c r="M507" i="8" s="1"/>
  <c r="M445" i="8"/>
  <c r="L135" i="8"/>
  <c r="M135" i="8" s="1"/>
  <c r="I194" i="26"/>
  <c r="L118" i="8"/>
  <c r="M115" i="8"/>
  <c r="L19" i="8"/>
  <c r="K79" i="22"/>
  <c r="N153" i="13"/>
  <c r="K76" i="22"/>
  <c r="O45" i="11"/>
  <c r="O23" i="11"/>
  <c r="O20" i="11"/>
  <c r="M1203" i="24"/>
  <c r="M1372" i="24"/>
  <c r="M1196" i="24"/>
  <c r="N205" i="22"/>
  <c r="N198" i="22"/>
  <c r="O233" i="22"/>
  <c r="O259" i="22" s="1"/>
  <c r="O251" i="22"/>
  <c r="O226" i="22"/>
  <c r="Q19" i="12"/>
  <c r="P19" i="12"/>
  <c r="Q12" i="12"/>
  <c r="P12" i="12"/>
  <c r="N91" i="14"/>
  <c r="N88" i="14"/>
  <c r="S319" i="7"/>
  <c r="S611" i="8"/>
  <c r="N18" i="21"/>
  <c r="P214" i="12"/>
  <c r="L126" i="26"/>
  <c r="Q390" i="11"/>
  <c r="Q234" i="8"/>
  <c r="Q171" i="11"/>
  <c r="P211" i="11"/>
  <c r="Q211" i="11" s="1"/>
  <c r="N71" i="16"/>
  <c r="M642" i="22"/>
  <c r="G155" i="26"/>
  <c r="J17" i="3"/>
  <c r="J26" i="8"/>
  <c r="J514" i="8"/>
  <c r="J10" i="6"/>
  <c r="J139" i="8"/>
  <c r="O361" i="9"/>
  <c r="O374" i="9" s="1"/>
  <c r="O458" i="24"/>
  <c r="O312" i="9"/>
  <c r="O366" i="9"/>
  <c r="O354" i="9"/>
  <c r="R151" i="8"/>
  <c r="R543" i="8"/>
  <c r="R548" i="8"/>
  <c r="R536" i="8"/>
  <c r="Q145" i="12"/>
  <c r="M179" i="26"/>
  <c r="N76" i="14"/>
  <c r="O470" i="11"/>
  <c r="O327" i="11"/>
  <c r="O370" i="11"/>
  <c r="O192" i="12"/>
  <c r="K136" i="26"/>
  <c r="O372" i="11"/>
  <c r="N329" i="22"/>
  <c r="N326" i="22"/>
  <c r="O527" i="11"/>
  <c r="O531" i="11" s="1"/>
  <c r="O56" i="12"/>
  <c r="O529" i="11"/>
  <c r="O249" i="8"/>
  <c r="K213" i="26"/>
  <c r="S319" i="8"/>
  <c r="S325" i="8"/>
  <c r="M176" i="22"/>
  <c r="N105" i="14"/>
  <c r="N102" i="14"/>
  <c r="K1304" i="24"/>
  <c r="J88" i="26"/>
  <c r="K1303" i="24"/>
  <c r="K1301" i="24"/>
  <c r="K1305" i="24"/>
  <c r="K1302" i="24"/>
  <c r="R86" i="11"/>
  <c r="R64" i="11"/>
  <c r="R61" i="11"/>
  <c r="O53" i="13"/>
  <c r="O59" i="13"/>
  <c r="O60" i="13"/>
  <c r="R442" i="11"/>
  <c r="S312" i="7"/>
  <c r="S168" i="7"/>
  <c r="S37" i="8"/>
  <c r="S162" i="8"/>
  <c r="S583" i="8"/>
  <c r="S586" i="8"/>
  <c r="P271" i="9"/>
  <c r="P927" i="22"/>
  <c r="N150" i="13"/>
  <c r="K92" i="22"/>
  <c r="R197" i="11"/>
  <c r="R116" i="11"/>
  <c r="R130" i="11"/>
  <c r="R167" i="7"/>
  <c r="R170" i="7"/>
  <c r="Q156" i="7"/>
  <c r="Q167" i="7"/>
  <c r="U167" i="7"/>
  <c r="Q153" i="7"/>
  <c r="U170" i="7"/>
  <c r="Q170" i="7"/>
  <c r="O60" i="16"/>
  <c r="J139" i="7"/>
  <c r="Q213" i="7"/>
  <c r="P214" i="7"/>
  <c r="P217" i="7"/>
  <c r="S112" i="12"/>
  <c r="S385" i="8"/>
  <c r="S331" i="8"/>
  <c r="M217" i="22"/>
  <c r="N474" i="22"/>
  <c r="N596" i="22"/>
  <c r="O750" i="24"/>
  <c r="N378" i="7"/>
  <c r="N375" i="7"/>
  <c r="K188" i="26"/>
  <c r="R390" i="8"/>
  <c r="R336" i="8"/>
  <c r="R311" i="8"/>
  <c r="R314" i="8"/>
  <c r="N490" i="8"/>
  <c r="J190" i="26"/>
  <c r="M294" i="11"/>
  <c r="M295" i="11"/>
  <c r="M480" i="8"/>
  <c r="Q192" i="13"/>
  <c r="S350" i="8"/>
  <c r="R249" i="10"/>
  <c r="R258" i="10"/>
  <c r="R261" i="10"/>
  <c r="U261" i="10"/>
  <c r="Q249" i="10"/>
  <c r="Q208" i="10"/>
  <c r="Q258" i="10"/>
  <c r="Q261" i="10"/>
  <c r="U258" i="10"/>
  <c r="Q217" i="10"/>
  <c r="Q220" i="10"/>
  <c r="U249" i="10"/>
  <c r="N942" i="22"/>
  <c r="N917" i="22"/>
  <c r="N920" i="22"/>
  <c r="S417" i="11"/>
  <c r="Q431" i="11"/>
  <c r="Q428" i="11"/>
  <c r="P432" i="11"/>
  <c r="P444" i="11"/>
  <c r="P441" i="11"/>
  <c r="S222" i="7"/>
  <c r="S104" i="11"/>
  <c r="S176" i="11"/>
  <c r="S98" i="11"/>
  <c r="S306" i="8"/>
  <c r="S330" i="8"/>
  <c r="S384" i="8"/>
  <c r="N390" i="7"/>
  <c r="O17" i="12"/>
  <c r="O20" i="12"/>
  <c r="H124" i="26"/>
  <c r="K15" i="6"/>
  <c r="I153" i="26"/>
  <c r="L285" i="7"/>
  <c r="M275" i="7"/>
  <c r="M12" i="21"/>
  <c r="M14" i="21" s="1"/>
  <c r="Q359" i="11"/>
  <c r="Q357" i="11"/>
  <c r="P361" i="11"/>
  <c r="P358" i="11"/>
  <c r="B73" i="23"/>
  <c r="A73" i="23"/>
  <c r="S124" i="12"/>
  <c r="Q153" i="8"/>
  <c r="Q156" i="8"/>
  <c r="O19" i="5"/>
  <c r="P9" i="4"/>
  <c r="L158" i="26" s="1"/>
  <c r="O10" i="15"/>
  <c r="N265" i="7"/>
  <c r="N235" i="11"/>
  <c r="J144" i="26"/>
  <c r="Q244" i="7"/>
  <c r="P257" i="7"/>
  <c r="Q257" i="7" s="1"/>
  <c r="N635" i="22"/>
  <c r="Q74" i="11"/>
  <c r="Q77" i="11"/>
  <c r="P87" i="11"/>
  <c r="P78" i="11"/>
  <c r="P90" i="11"/>
  <c r="N647" i="22"/>
  <c r="S346" i="8"/>
  <c r="S352" i="8"/>
  <c r="S105" i="12"/>
  <c r="S129" i="12"/>
  <c r="N256" i="22"/>
  <c r="N231" i="22"/>
  <c r="N234" i="22"/>
  <c r="L276" i="11"/>
  <c r="M256" i="11"/>
  <c r="L287" i="11"/>
  <c r="K1243" i="24"/>
  <c r="K1247" i="24" s="1"/>
  <c r="N55" i="14"/>
  <c r="M108" i="8"/>
  <c r="M93" i="8"/>
  <c r="M104" i="8"/>
  <c r="P319" i="9"/>
  <c r="P477" i="8"/>
  <c r="P285" i="11"/>
  <c r="Q136" i="10"/>
  <c r="Q285" i="11"/>
  <c r="Q477" i="8"/>
  <c r="N697" i="22"/>
  <c r="N710" i="22" s="1"/>
  <c r="N690" i="22"/>
  <c r="N702" i="22"/>
  <c r="M535" i="22"/>
  <c r="M567" i="22"/>
  <c r="M528" i="22"/>
  <c r="M540" i="22"/>
  <c r="M580" i="22" s="1"/>
  <c r="P144" i="10"/>
  <c r="Q144" i="10" s="1"/>
  <c r="Q131" i="10"/>
  <c r="P199" i="8"/>
  <c r="P53" i="8"/>
  <c r="L184" i="26"/>
  <c r="P201" i="8"/>
  <c r="P210" i="8"/>
  <c r="Q210" i="8" s="1"/>
  <c r="Q197" i="8"/>
  <c r="O168" i="13"/>
  <c r="L550" i="22"/>
  <c r="L586" i="22"/>
  <c r="L577" i="22"/>
  <c r="L589" i="22"/>
  <c r="J197" i="26"/>
  <c r="N761" i="24"/>
  <c r="N736" i="24"/>
  <c r="N739" i="24"/>
  <c r="M285" i="22"/>
  <c r="M288" i="22"/>
  <c r="M16" i="17"/>
  <c r="M10" i="17"/>
  <c r="M176" i="13"/>
  <c r="N16" i="17"/>
  <c r="I201" i="26"/>
  <c r="L22" i="8"/>
  <c r="L128" i="8"/>
  <c r="M128" i="8" s="1"/>
  <c r="M125" i="8"/>
  <c r="M59" i="16"/>
  <c r="O260" i="9"/>
  <c r="O284" i="9"/>
  <c r="O217" i="9"/>
  <c r="O1087" i="24"/>
  <c r="S525" i="8"/>
  <c r="S188" i="10"/>
  <c r="P343" i="9"/>
  <c r="O262" i="9"/>
  <c r="O288" i="9" s="1"/>
  <c r="P259" i="9"/>
  <c r="P924" i="22"/>
  <c r="G120" i="26"/>
  <c r="G119" i="26"/>
  <c r="J24" i="13"/>
  <c r="J34" i="13"/>
  <c r="J8" i="13"/>
  <c r="G111" i="26"/>
  <c r="S110" i="10"/>
  <c r="O779" i="24"/>
  <c r="P255" i="9"/>
  <c r="P911" i="22"/>
  <c r="P453" i="24"/>
  <c r="K1479" i="24"/>
  <c r="K1476" i="24"/>
  <c r="O25" i="6"/>
  <c r="L21" i="21"/>
  <c r="L1185" i="24"/>
  <c r="L1284" i="24"/>
  <c r="L1288" i="24"/>
  <c r="L1287" i="24"/>
  <c r="K74" i="26"/>
  <c r="L1182" i="24"/>
  <c r="L1285" i="24"/>
  <c r="L1286" i="24"/>
  <c r="N244" i="22"/>
  <c r="N247" i="22"/>
  <c r="Q75" i="8"/>
  <c r="B32" i="6"/>
  <c r="B172" i="26"/>
  <c r="O63" i="7"/>
  <c r="O63" i="8"/>
  <c r="O202" i="7"/>
  <c r="O195" i="7"/>
  <c r="M1177" i="24"/>
  <c r="L70" i="26"/>
  <c r="M901" i="22"/>
  <c r="M8" i="21" s="1"/>
  <c r="M903" i="22"/>
  <c r="O328" i="22"/>
  <c r="O321" i="22"/>
  <c r="P138" i="13"/>
  <c r="Q138" i="13" s="1"/>
  <c r="Q106" i="13"/>
  <c r="P111" i="13"/>
  <c r="P365" i="11"/>
  <c r="P39" i="12"/>
  <c r="P463" i="11"/>
  <c r="P320" i="11"/>
  <c r="P71" i="12" s="1"/>
  <c r="P516" i="11"/>
  <c r="L105" i="26"/>
  <c r="Q320" i="11"/>
  <c r="Q508" i="11"/>
  <c r="P509" i="11"/>
  <c r="Q379" i="8"/>
  <c r="P419" i="8"/>
  <c r="Q419" i="8" s="1"/>
  <c r="M273" i="11"/>
  <c r="L304" i="11"/>
  <c r="P201" i="12"/>
  <c r="L211" i="26"/>
  <c r="Q377" i="11"/>
  <c r="P247" i="8"/>
  <c r="Q247" i="8" s="1"/>
  <c r="Q221" i="8"/>
  <c r="L185" i="13"/>
  <c r="M185" i="13" s="1"/>
  <c r="M216" i="13"/>
  <c r="M219" i="13"/>
  <c r="M506" i="22"/>
  <c r="M668" i="22" s="1"/>
  <c r="M628" i="22"/>
  <c r="J26" i="7"/>
  <c r="N802" i="24"/>
  <c r="N780" i="24"/>
  <c r="N777" i="24"/>
  <c r="R498" i="11"/>
  <c r="N1147" i="24" s="1"/>
  <c r="N1161" i="24" s="1"/>
  <c r="R197" i="13" s="1"/>
  <c r="R512" i="11"/>
  <c r="R15" i="12"/>
  <c r="R121" i="13"/>
  <c r="P229" i="22"/>
  <c r="R122" i="13"/>
  <c r="R120" i="13"/>
  <c r="O201" i="22"/>
  <c r="P324" i="22"/>
  <c r="P311" i="22"/>
  <c r="O188" i="22"/>
  <c r="P242" i="22"/>
  <c r="N900" i="22"/>
  <c r="N1199" i="24"/>
  <c r="M72" i="26"/>
  <c r="M208" i="26"/>
  <c r="J217" i="26"/>
  <c r="R279" i="8"/>
  <c r="R358" i="8"/>
  <c r="R357" i="8"/>
  <c r="R68" i="11"/>
  <c r="R141" i="11"/>
  <c r="R140" i="11"/>
  <c r="N1105" i="24"/>
  <c r="N1118" i="24" s="1"/>
  <c r="N1110" i="24"/>
  <c r="N1098" i="24"/>
  <c r="L21" i="5"/>
  <c r="N66" i="16"/>
  <c r="Q50" i="8"/>
  <c r="C1367" i="24"/>
  <c r="N123" i="14"/>
  <c r="J132" i="26"/>
  <c r="O124" i="13"/>
  <c r="O128" i="13"/>
  <c r="O134" i="13"/>
  <c r="N555" i="22"/>
  <c r="S138" i="11"/>
  <c r="S162" i="11"/>
  <c r="S326" i="8"/>
  <c r="M152" i="22"/>
  <c r="M170" i="22"/>
  <c r="M149" i="22"/>
  <c r="K370" i="22"/>
  <c r="K367" i="22"/>
  <c r="R297" i="8"/>
  <c r="N254" i="8"/>
  <c r="N245" i="8"/>
  <c r="N257" i="8"/>
  <c r="O360" i="7"/>
  <c r="O373" i="7"/>
  <c r="L70" i="22"/>
  <c r="M119" i="22"/>
  <c r="O42" i="14"/>
  <c r="O86" i="14"/>
  <c r="M106" i="22"/>
  <c r="L74" i="22"/>
  <c r="L66" i="22"/>
  <c r="L379" i="22"/>
  <c r="N147" i="22"/>
  <c r="N270" i="22"/>
  <c r="N296" i="22" s="1"/>
  <c r="N283" i="22"/>
  <c r="L365" i="22"/>
  <c r="N160" i="22"/>
  <c r="L351" i="22"/>
  <c r="K86" i="26"/>
  <c r="L1242" i="24"/>
  <c r="O56" i="14" s="1"/>
  <c r="O24" i="14"/>
  <c r="L1222" i="24"/>
  <c r="S126" i="10"/>
  <c r="N209" i="13"/>
  <c r="N53" i="14"/>
  <c r="R228" i="7"/>
  <c r="R119" i="11"/>
  <c r="R191" i="11"/>
  <c r="R124" i="11"/>
  <c r="R280" i="10"/>
  <c r="R31" i="10"/>
  <c r="R135" i="12"/>
  <c r="R110" i="12"/>
  <c r="R113" i="12"/>
  <c r="S151" i="11"/>
  <c r="Q52" i="12"/>
  <c r="N211" i="12"/>
  <c r="N208" i="12"/>
  <c r="P242" i="7"/>
  <c r="P245" i="7"/>
  <c r="P250" i="7"/>
  <c r="Q250" i="7" s="1"/>
  <c r="Q237" i="7"/>
  <c r="S429" i="11"/>
  <c r="I714" i="22"/>
  <c r="R156" i="11"/>
  <c r="N493" i="22"/>
  <c r="N655" i="22" s="1"/>
  <c r="N615" i="22"/>
  <c r="Q557" i="8"/>
  <c r="Q554" i="8"/>
  <c r="Q545" i="8"/>
  <c r="S102" i="11"/>
  <c r="S126" i="11"/>
  <c r="S277" i="8"/>
  <c r="S410" i="11"/>
  <c r="S434" i="11"/>
  <c r="T310" i="7"/>
  <c r="T602" i="8"/>
  <c r="Q75" i="7"/>
  <c r="M93" i="7"/>
  <c r="M104" i="7"/>
  <c r="M108" i="7"/>
  <c r="M282" i="11"/>
  <c r="M446" i="8"/>
  <c r="M281" i="11"/>
  <c r="L301" i="11"/>
  <c r="M270" i="11"/>
  <c r="O68" i="7"/>
  <c r="O79" i="8"/>
  <c r="S122" i="10"/>
  <c r="O791" i="24"/>
  <c r="P267" i="9"/>
  <c r="P914" i="22"/>
  <c r="P465" i="24"/>
  <c r="P10" i="7"/>
  <c r="P54" i="7"/>
  <c r="P273" i="7"/>
  <c r="P498" i="8"/>
  <c r="P257" i="11"/>
  <c r="L98" i="26"/>
  <c r="P187" i="7"/>
  <c r="Q257" i="11"/>
  <c r="Q273" i="7"/>
  <c r="Q498" i="8"/>
  <c r="Q183" i="7"/>
  <c r="N29" i="22"/>
  <c r="N42" i="22" s="1"/>
  <c r="N34" i="22"/>
  <c r="N22" i="22"/>
  <c r="M411" i="22"/>
  <c r="M424" i="22" s="1"/>
  <c r="M404" i="22"/>
  <c r="M416" i="22"/>
  <c r="P81" i="10"/>
  <c r="P51" i="10"/>
  <c r="Q51" i="10" s="1"/>
  <c r="Q47" i="10"/>
  <c r="P126" i="7"/>
  <c r="P126" i="8"/>
  <c r="P473" i="8"/>
  <c r="P274" i="11"/>
  <c r="P185" i="7"/>
  <c r="P57" i="7"/>
  <c r="Q126" i="8"/>
  <c r="Q473" i="8"/>
  <c r="Q274" i="11"/>
  <c r="Q126" i="7"/>
  <c r="Q53" i="7"/>
  <c r="N365" i="7"/>
  <c r="N362" i="7"/>
  <c r="N383" i="7"/>
  <c r="R415" i="8"/>
  <c r="P198" i="7"/>
  <c r="Q198" i="7" s="1"/>
  <c r="P32" i="11"/>
  <c r="Q32" i="11" s="1"/>
  <c r="Q30" i="11"/>
  <c r="O932" i="22"/>
  <c r="O929" i="22"/>
  <c r="R198" i="8"/>
  <c r="R470" i="8"/>
  <c r="R264" i="11"/>
  <c r="N407" i="22"/>
  <c r="N531" i="22"/>
  <c r="N450" i="22"/>
  <c r="A14" i="26"/>
  <c r="C169" i="10" s="1"/>
  <c r="A115" i="23"/>
  <c r="A117" i="23" s="1" a="1"/>
  <c r="M100" i="26"/>
  <c r="O693" i="22"/>
  <c r="O25" i="22"/>
  <c r="R184" i="7"/>
  <c r="R140" i="10"/>
  <c r="R128" i="10"/>
  <c r="R80" i="10"/>
  <c r="N115" i="7"/>
  <c r="N242" i="11"/>
  <c r="J142" i="26"/>
  <c r="S257" i="10"/>
  <c r="P300" i="10"/>
  <c r="Q300" i="10"/>
  <c r="N203" i="7"/>
  <c r="N200" i="7"/>
  <c r="J308" i="11"/>
  <c r="P377" i="8"/>
  <c r="P404" i="8"/>
  <c r="P368" i="8"/>
  <c r="P380" i="8"/>
  <c r="P407" i="8"/>
  <c r="Q364" i="8"/>
  <c r="Q367" i="8"/>
  <c r="O476" i="24"/>
  <c r="O30" i="21" s="1"/>
  <c r="O451" i="24"/>
  <c r="O454" i="24"/>
  <c r="S114" i="10"/>
  <c r="Q123" i="12"/>
  <c r="Q126" i="12"/>
  <c r="P136" i="12"/>
  <c r="P127" i="12"/>
  <c r="P139" i="12"/>
  <c r="B153" i="23"/>
  <c r="A153" i="23"/>
  <c r="J39" i="13"/>
  <c r="G116" i="26"/>
  <c r="J35" i="13"/>
  <c r="G112" i="26"/>
  <c r="Q190" i="8"/>
  <c r="Q187" i="8"/>
  <c r="J289" i="7"/>
  <c r="N60" i="14"/>
  <c r="N210" i="13"/>
  <c r="K38" i="9"/>
  <c r="L7" i="21"/>
  <c r="L9" i="21" s="1"/>
  <c r="L905" i="22"/>
  <c r="L902" i="22"/>
  <c r="Q243" i="7"/>
  <c r="P256" i="7"/>
  <c r="Q256" i="7" s="1"/>
  <c r="N192" i="22"/>
  <c r="N218" i="22" s="1"/>
  <c r="N210" i="22"/>
  <c r="N185" i="22"/>
  <c r="P137" i="13"/>
  <c r="Q137" i="13" s="1"/>
  <c r="Q105" i="13"/>
  <c r="P110" i="13"/>
  <c r="P25" i="12"/>
  <c r="P502" i="11"/>
  <c r="Q502" i="11" s="1"/>
  <c r="Q494" i="11"/>
  <c r="P495" i="11"/>
  <c r="N69" i="14"/>
  <c r="N13" i="14"/>
  <c r="N75" i="14"/>
  <c r="S162" i="7"/>
  <c r="Q63" i="10"/>
  <c r="Q66" i="10"/>
  <c r="M285" i="11"/>
  <c r="M284" i="11"/>
  <c r="M477" i="8"/>
  <c r="L135" i="7"/>
  <c r="M125" i="7"/>
  <c r="Q340" i="7"/>
  <c r="P193" i="7"/>
  <c r="P15" i="11"/>
  <c r="Q13" i="11"/>
  <c r="N639" i="22"/>
  <c r="A161" i="23"/>
  <c r="B161" i="23"/>
  <c r="N277" i="9"/>
  <c r="N274" i="9"/>
  <c r="N282" i="9"/>
  <c r="N235" i="9"/>
  <c r="N248" i="9" s="1"/>
  <c r="N784" i="24"/>
  <c r="N240" i="9"/>
  <c r="N228" i="9"/>
  <c r="M560" i="22"/>
  <c r="M563" i="22"/>
  <c r="L180" i="26"/>
  <c r="Q9" i="8"/>
  <c r="B163" i="26"/>
  <c r="O44" i="12"/>
  <c r="O46" i="12"/>
  <c r="O225" i="8"/>
  <c r="O238" i="8"/>
  <c r="O27" i="11"/>
  <c r="O26" i="11"/>
  <c r="O394" i="11"/>
  <c r="O161" i="12"/>
  <c r="O381" i="11"/>
  <c r="O344" i="7"/>
  <c r="L62" i="9"/>
  <c r="L66" i="9"/>
  <c r="O141" i="13"/>
  <c r="L1201" i="24"/>
  <c r="L1204" i="24"/>
  <c r="K40" i="13"/>
  <c r="K33" i="13"/>
  <c r="L510" i="8"/>
  <c r="M510" i="8" s="1"/>
  <c r="M448" i="8"/>
  <c r="M85" i="16"/>
  <c r="N85" i="16" s="1"/>
  <c r="J67" i="26"/>
  <c r="M70" i="13"/>
  <c r="N120" i="14"/>
  <c r="O61" i="12"/>
  <c r="O54" i="12"/>
  <c r="S75" i="11"/>
  <c r="S268" i="8"/>
  <c r="K94" i="22"/>
  <c r="R64" i="8"/>
  <c r="R269" i="8"/>
  <c r="R272" i="8"/>
  <c r="R290" i="8"/>
  <c r="R64" i="7"/>
  <c r="R88" i="11"/>
  <c r="R216" i="7"/>
  <c r="R209" i="7"/>
  <c r="N49" i="11"/>
  <c r="N46" i="11"/>
  <c r="N37" i="11"/>
  <c r="L175" i="13"/>
  <c r="M157" i="13"/>
  <c r="M161" i="13"/>
  <c r="O336" i="7"/>
  <c r="O23" i="14"/>
  <c r="L1215" i="24"/>
  <c r="L1221" i="24"/>
  <c r="L90" i="16"/>
  <c r="L80" i="16" s="1"/>
  <c r="M806" i="24"/>
  <c r="M803" i="24"/>
  <c r="M794" i="24"/>
  <c r="K1245" i="24"/>
  <c r="R202" i="11"/>
  <c r="R137" i="12"/>
  <c r="S259" i="10"/>
  <c r="O214" i="22" l="1"/>
  <c r="P255" i="22"/>
  <c r="L1220" i="24"/>
  <c r="L1223" i="24"/>
  <c r="O396" i="11"/>
  <c r="O218" i="12"/>
  <c r="K129" i="26"/>
  <c r="O398" i="11"/>
  <c r="O227" i="8"/>
  <c r="O251" i="8"/>
  <c r="O229" i="8"/>
  <c r="O76" i="12"/>
  <c r="O163" i="12"/>
  <c r="O45" i="12"/>
  <c r="O48" i="12"/>
  <c r="Q404" i="8"/>
  <c r="Q407" i="8"/>
  <c r="O694" i="22"/>
  <c r="O706" i="22"/>
  <c r="N490" i="22"/>
  <c r="N612" i="22"/>
  <c r="N463" i="22"/>
  <c r="N451" i="22"/>
  <c r="Q185" i="7"/>
  <c r="P186" i="7"/>
  <c r="P189" i="7"/>
  <c r="P275" i="9"/>
  <c r="P226" i="9"/>
  <c r="T534" i="8"/>
  <c r="P1096" i="24"/>
  <c r="T197" i="10"/>
  <c r="Q352" i="9"/>
  <c r="M302" i="11"/>
  <c r="M301" i="11"/>
  <c r="O355" i="7"/>
  <c r="O368" i="7"/>
  <c r="O37" i="14"/>
  <c r="O81" i="14"/>
  <c r="L48" i="22"/>
  <c r="L56" i="22"/>
  <c r="N155" i="22"/>
  <c r="O25" i="14"/>
  <c r="O8" i="14"/>
  <c r="O31" i="14"/>
  <c r="O103" i="14" s="1"/>
  <c r="M101" i="22"/>
  <c r="M114" i="22"/>
  <c r="L374" i="22"/>
  <c r="L52" i="22"/>
  <c r="N278" i="22"/>
  <c r="L360" i="22"/>
  <c r="N142" i="22"/>
  <c r="N265" i="22"/>
  <c r="L346" i="22"/>
  <c r="K82" i="26"/>
  <c r="L1237" i="24"/>
  <c r="S80" i="7"/>
  <c r="O346" i="7"/>
  <c r="O348" i="7"/>
  <c r="O197" i="7"/>
  <c r="O28" i="11"/>
  <c r="O34" i="11"/>
  <c r="O39" i="11"/>
  <c r="N233" i="9"/>
  <c r="N236" i="9"/>
  <c r="N241" i="9"/>
  <c r="Q15" i="11"/>
  <c r="N15" i="14"/>
  <c r="P33" i="12"/>
  <c r="Q33" i="12" s="1"/>
  <c r="Q25" i="12"/>
  <c r="P26" i="12"/>
  <c r="N211" i="22"/>
  <c r="N218" i="13"/>
  <c r="Q127" i="12"/>
  <c r="Q139" i="12"/>
  <c r="Q136" i="12"/>
  <c r="R480" i="8"/>
  <c r="R295" i="11"/>
  <c r="A119" i="23"/>
  <c r="A121" i="23" s="1" a="1"/>
  <c r="A15" i="26"/>
  <c r="D169" i="10" s="1"/>
  <c r="N571" i="22"/>
  <c r="N532" i="22"/>
  <c r="N572" i="22" s="1"/>
  <c r="N544" i="22"/>
  <c r="N584" i="22" s="1"/>
  <c r="M409" i="22"/>
  <c r="M412" i="22"/>
  <c r="M417" i="22"/>
  <c r="O71" i="7"/>
  <c r="O356" i="7"/>
  <c r="O369" i="7"/>
  <c r="O32" i="14"/>
  <c r="O104" i="14" s="1"/>
  <c r="N156" i="22"/>
  <c r="N164" i="22" s="1"/>
  <c r="O38" i="14"/>
  <c r="L1238" i="24" s="1"/>
  <c r="O82" i="14"/>
  <c r="L53" i="22"/>
  <c r="L87" i="22" s="1"/>
  <c r="M115" i="22"/>
  <c r="M123" i="22" s="1"/>
  <c r="L49" i="22"/>
  <c r="L57" i="22"/>
  <c r="L91" i="22" s="1"/>
  <c r="L361" i="22"/>
  <c r="L369" i="22" s="1"/>
  <c r="N279" i="22"/>
  <c r="N287" i="22" s="1"/>
  <c r="L347" i="22"/>
  <c r="L355" i="22" s="1"/>
  <c r="M102" i="22"/>
  <c r="N143" i="22"/>
  <c r="N266" i="22"/>
  <c r="L375" i="22"/>
  <c r="L383" i="22" s="1"/>
  <c r="K83" i="26"/>
  <c r="N173" i="22"/>
  <c r="M132" i="22"/>
  <c r="M166" i="22"/>
  <c r="M175" i="22"/>
  <c r="M178" i="22"/>
  <c r="R359" i="8"/>
  <c r="R365" i="8"/>
  <c r="R370" i="8"/>
  <c r="R397" i="8"/>
  <c r="Q201" i="12"/>
  <c r="P47" i="12"/>
  <c r="Q71" i="12"/>
  <c r="Q39" i="12"/>
  <c r="P40" i="12"/>
  <c r="O66" i="8"/>
  <c r="O95" i="8"/>
  <c r="J19" i="3"/>
  <c r="J10" i="13"/>
  <c r="J47" i="13"/>
  <c r="G117" i="26"/>
  <c r="J14" i="6"/>
  <c r="M14" i="6" s="1"/>
  <c r="S263" i="8"/>
  <c r="S308" i="8"/>
  <c r="S309" i="8"/>
  <c r="S109" i="11"/>
  <c r="S110" i="11"/>
  <c r="S58" i="11"/>
  <c r="O1089" i="24"/>
  <c r="O1113" i="24"/>
  <c r="O1091" i="24"/>
  <c r="O1117" i="24" s="1"/>
  <c r="O69" i="16"/>
  <c r="M61" i="16"/>
  <c r="N59" i="16"/>
  <c r="N61" i="16"/>
  <c r="N10" i="17"/>
  <c r="K715" i="22"/>
  <c r="L186" i="26"/>
  <c r="P57" i="8"/>
  <c r="Q57" i="8" s="1"/>
  <c r="P10" i="8"/>
  <c r="P54" i="8"/>
  <c r="Q53" i="8"/>
  <c r="J146" i="26"/>
  <c r="M286" i="7"/>
  <c r="M285" i="7"/>
  <c r="M511" i="8"/>
  <c r="S386" i="8"/>
  <c r="S332" i="8"/>
  <c r="R394" i="8"/>
  <c r="R391" i="8"/>
  <c r="R328" i="8"/>
  <c r="R340" i="8"/>
  <c r="R337" i="8"/>
  <c r="N636" i="22"/>
  <c r="P70" i="16"/>
  <c r="O61" i="13"/>
  <c r="O58" i="13"/>
  <c r="O359" i="9"/>
  <c r="O362" i="9"/>
  <c r="O367" i="9"/>
  <c r="P299" i="10"/>
  <c r="P302" i="10"/>
  <c r="Q302" i="10"/>
  <c r="Q299" i="10"/>
  <c r="M455" i="22"/>
  <c r="M487" i="22"/>
  <c r="M609" i="22"/>
  <c r="M452" i="22"/>
  <c r="M460" i="22"/>
  <c r="M289" i="22"/>
  <c r="M298" i="22"/>
  <c r="M301" i="22"/>
  <c r="L223" i="26"/>
  <c r="Q454" i="11"/>
  <c r="P458" i="11"/>
  <c r="P455" i="11"/>
  <c r="N158" i="13"/>
  <c r="N151" i="13"/>
  <c r="N128" i="14"/>
  <c r="O326" i="11"/>
  <c r="O472" i="11"/>
  <c r="O329" i="11"/>
  <c r="O469" i="11"/>
  <c r="K110" i="26"/>
  <c r="R207" i="10"/>
  <c r="S240" i="10"/>
  <c r="R204" i="10"/>
  <c r="R212" i="10"/>
  <c r="S247" i="10"/>
  <c r="R219" i="10"/>
  <c r="R143" i="10"/>
  <c r="N419" i="22"/>
  <c r="N395" i="22"/>
  <c r="N397" i="22"/>
  <c r="N423" i="22" s="1"/>
  <c r="R84" i="10"/>
  <c r="A16" i="26"/>
  <c r="B170" i="10" s="1"/>
  <c r="R9" i="10"/>
  <c r="R44" i="10"/>
  <c r="R266" i="7"/>
  <c r="R188" i="7"/>
  <c r="R491" i="8"/>
  <c r="R236" i="11"/>
  <c r="A123" i="23"/>
  <c r="A125" i="23" s="1" a="1"/>
  <c r="M94" i="26"/>
  <c r="R9" i="7"/>
  <c r="R50" i="7"/>
  <c r="P139" i="13"/>
  <c r="Q139" i="13" s="1"/>
  <c r="Q107" i="13"/>
  <c r="P108" i="13"/>
  <c r="P112" i="13"/>
  <c r="L513" i="8"/>
  <c r="M513" i="8" s="1"/>
  <c r="M451" i="8"/>
  <c r="J198" i="26"/>
  <c r="T594" i="8"/>
  <c r="T243" i="10"/>
  <c r="S426" i="11"/>
  <c r="S121" i="12"/>
  <c r="O747" i="24"/>
  <c r="S94" i="10"/>
  <c r="S203" i="10"/>
  <c r="S215" i="10"/>
  <c r="S301" i="7"/>
  <c r="R480" i="11"/>
  <c r="N1077" i="24"/>
  <c r="N1070" i="24"/>
  <c r="N159" i="13"/>
  <c r="N129" i="14"/>
  <c r="R157" i="10"/>
  <c r="Q137" i="10"/>
  <c r="M508" i="8"/>
  <c r="M282" i="7"/>
  <c r="M283" i="7"/>
  <c r="O166" i="13"/>
  <c r="O171" i="13"/>
  <c r="S69" i="7"/>
  <c r="N268" i="7"/>
  <c r="N81" i="13"/>
  <c r="L209" i="26"/>
  <c r="Q567" i="8"/>
  <c r="P571" i="8"/>
  <c r="P568" i="8"/>
  <c r="Q90" i="8"/>
  <c r="P106" i="8"/>
  <c r="Q106" i="8" s="1"/>
  <c r="P332" i="22"/>
  <c r="R96" i="7"/>
  <c r="R74" i="7"/>
  <c r="O383" i="11"/>
  <c r="O205" i="12"/>
  <c r="K214" i="26"/>
  <c r="O385" i="11"/>
  <c r="N290" i="9"/>
  <c r="N287" i="9"/>
  <c r="N278" i="9"/>
  <c r="Q110" i="13"/>
  <c r="B117" i="23"/>
  <c r="A117" i="23"/>
  <c r="M185" i="26"/>
  <c r="R211" i="8"/>
  <c r="R202" i="8"/>
  <c r="P283" i="7"/>
  <c r="P508" i="8"/>
  <c r="P288" i="11"/>
  <c r="Q508" i="8"/>
  <c r="Q187" i="7"/>
  <c r="Q288" i="11"/>
  <c r="Q283" i="7"/>
  <c r="O214" i="13"/>
  <c r="O119" i="14"/>
  <c r="O72" i="14" s="1"/>
  <c r="S164" i="11"/>
  <c r="O129" i="13"/>
  <c r="O140" i="13"/>
  <c r="O144" i="13"/>
  <c r="M21" i="16"/>
  <c r="N21" i="16" s="1"/>
  <c r="L24" i="5"/>
  <c r="M24" i="5" s="1"/>
  <c r="M21" i="5"/>
  <c r="R142" i="11"/>
  <c r="R166" i="11"/>
  <c r="R180" i="11"/>
  <c r="R235" i="7"/>
  <c r="R144" i="11"/>
  <c r="R366" i="8"/>
  <c r="R398" i="8"/>
  <c r="R371" i="8"/>
  <c r="R123" i="13"/>
  <c r="P321" i="11"/>
  <c r="P464" i="11"/>
  <c r="Q464" i="11" s="1"/>
  <c r="L106" i="26"/>
  <c r="Q321" i="11"/>
  <c r="Q509" i="11"/>
  <c r="P471" i="11"/>
  <c r="Q471" i="11" s="1"/>
  <c r="P328" i="11"/>
  <c r="Q516" i="11"/>
  <c r="Q328" i="11"/>
  <c r="P373" i="11"/>
  <c r="Q373" i="11" s="1"/>
  <c r="P189" i="12"/>
  <c r="L134" i="26"/>
  <c r="Q365" i="11"/>
  <c r="P366" i="11"/>
  <c r="O66" i="7"/>
  <c r="O73" i="7"/>
  <c r="P369" i="9"/>
  <c r="P345" i="9"/>
  <c r="P448" i="24"/>
  <c r="P302" i="9"/>
  <c r="P347" i="9"/>
  <c r="P373" i="9" s="1"/>
  <c r="O243" i="9"/>
  <c r="O219" i="9"/>
  <c r="O774" i="24"/>
  <c r="O221" i="9"/>
  <c r="O247" i="9" s="1"/>
  <c r="R294" i="10"/>
  <c r="O169" i="13"/>
  <c r="P203" i="8"/>
  <c r="P212" i="8"/>
  <c r="Q212" i="8" s="1"/>
  <c r="P200" i="8"/>
  <c r="Q199" i="8"/>
  <c r="M568" i="22"/>
  <c r="M533" i="22"/>
  <c r="M536" i="22"/>
  <c r="M541" i="22"/>
  <c r="M581" i="22" s="1"/>
  <c r="N695" i="22"/>
  <c r="N698" i="22"/>
  <c r="N703" i="22"/>
  <c r="N213" i="13"/>
  <c r="N57" i="14"/>
  <c r="N58" i="14" s="1"/>
  <c r="L307" i="11"/>
  <c r="M276" i="11"/>
  <c r="S103" i="11"/>
  <c r="Q444" i="11"/>
  <c r="Q441" i="11"/>
  <c r="Q432" i="11"/>
  <c r="P230" i="9"/>
  <c r="P1100" i="24"/>
  <c r="T201" i="10"/>
  <c r="T538" i="8"/>
  <c r="Q356" i="9"/>
  <c r="R541" i="8"/>
  <c r="R556" i="8"/>
  <c r="M1380" i="24"/>
  <c r="M1373" i="24"/>
  <c r="L25" i="8"/>
  <c r="I195" i="26"/>
  <c r="M19" i="8"/>
  <c r="Q90" i="7"/>
  <c r="P106" i="7"/>
  <c r="Q106" i="7" s="1"/>
  <c r="P11" i="3"/>
  <c r="Q11" i="3" s="1"/>
  <c r="M132" i="7"/>
  <c r="M20" i="8"/>
  <c r="M119" i="8"/>
  <c r="M452" i="8"/>
  <c r="M133" i="7"/>
  <c r="P149" i="12"/>
  <c r="P151" i="12"/>
  <c r="Q151" i="12" s="1"/>
  <c r="Q147" i="12"/>
  <c r="L91" i="16"/>
  <c r="K1244" i="24"/>
  <c r="O528" i="11"/>
  <c r="H125" i="26"/>
  <c r="K20" i="3"/>
  <c r="S597" i="8"/>
  <c r="S252" i="10"/>
  <c r="N751" i="24"/>
  <c r="N764" i="24" s="1"/>
  <c r="N744" i="24"/>
  <c r="N756" i="24"/>
  <c r="R65" i="10"/>
  <c r="R95" i="10"/>
  <c r="O705" i="22"/>
  <c r="O681" i="22"/>
  <c r="O683" i="22"/>
  <c r="O709" i="22" s="1"/>
  <c r="N121" i="14"/>
  <c r="N124" i="14"/>
  <c r="Q109" i="13"/>
  <c r="O341" i="22"/>
  <c r="N105" i="8"/>
  <c r="S280" i="8"/>
  <c r="S361" i="8"/>
  <c r="S362" i="8"/>
  <c r="S72" i="11"/>
  <c r="S153" i="11"/>
  <c r="S154" i="11"/>
  <c r="O1102" i="24"/>
  <c r="S356" i="11" s="1"/>
  <c r="O1114" i="24"/>
  <c r="R184" i="12"/>
  <c r="R177" i="12"/>
  <c r="R570" i="8"/>
  <c r="M205" i="26"/>
  <c r="R563" i="8"/>
  <c r="Q334" i="7"/>
  <c r="L1163" i="24"/>
  <c r="L1166" i="24"/>
  <c r="N245" i="11"/>
  <c r="P91" i="8"/>
  <c r="P102" i="8"/>
  <c r="Q102" i="8" s="1"/>
  <c r="Q86" i="8"/>
  <c r="Q181" i="12"/>
  <c r="P185" i="12"/>
  <c r="P182" i="12"/>
  <c r="Q298" i="8"/>
  <c r="Q286" i="8"/>
  <c r="Q295" i="8"/>
  <c r="S561" i="8"/>
  <c r="S448" i="11"/>
  <c r="S175" i="12"/>
  <c r="O1068" i="24"/>
  <c r="N493" i="8"/>
  <c r="N1156" i="24"/>
  <c r="O209" i="22"/>
  <c r="R319" i="11"/>
  <c r="R70" i="12" s="1"/>
  <c r="R364" i="11"/>
  <c r="R462" i="11"/>
  <c r="R38" i="12"/>
  <c r="M104" i="26"/>
  <c r="M15" i="17"/>
  <c r="M9" i="17"/>
  <c r="M175" i="13"/>
  <c r="N15" i="17"/>
  <c r="O35" i="11"/>
  <c r="O40" i="11"/>
  <c r="Q193" i="7"/>
  <c r="Q495" i="11"/>
  <c r="S194" i="8"/>
  <c r="S460" i="8"/>
  <c r="S233" i="11"/>
  <c r="O394" i="22"/>
  <c r="O518" i="22"/>
  <c r="O437" i="22"/>
  <c r="B13" i="26"/>
  <c r="B111" i="23"/>
  <c r="N93" i="26"/>
  <c r="P680" i="22"/>
  <c r="P12" i="22"/>
  <c r="R276" i="7"/>
  <c r="R501" i="8"/>
  <c r="R267" i="11"/>
  <c r="A127" i="23"/>
  <c r="A129" i="23" s="1" a="1"/>
  <c r="M101" i="26"/>
  <c r="N420" i="22"/>
  <c r="N408" i="22"/>
  <c r="S128" i="11"/>
  <c r="N217" i="13"/>
  <c r="N211" i="13"/>
  <c r="S185" i="8"/>
  <c r="S439" i="8"/>
  <c r="S261" i="11"/>
  <c r="O449" i="22"/>
  <c r="O406" i="22"/>
  <c r="O530" i="22"/>
  <c r="B11" i="26"/>
  <c r="B103" i="23"/>
  <c r="N99" i="26"/>
  <c r="P24" i="22"/>
  <c r="P692" i="22"/>
  <c r="R96" i="8"/>
  <c r="R74" i="8"/>
  <c r="S69" i="8"/>
  <c r="L68" i="9"/>
  <c r="L18" i="9"/>
  <c r="L1473" i="24"/>
  <c r="O240" i="8"/>
  <c r="O242" i="8"/>
  <c r="O165" i="12"/>
  <c r="O78" i="12"/>
  <c r="R123" i="10"/>
  <c r="N792" i="24"/>
  <c r="N805" i="24" s="1"/>
  <c r="N797" i="24"/>
  <c r="N785" i="24"/>
  <c r="M135" i="7"/>
  <c r="M483" i="8"/>
  <c r="M129" i="8"/>
  <c r="M23" i="8"/>
  <c r="M136" i="7"/>
  <c r="N77" i="14"/>
  <c r="N74" i="14"/>
  <c r="Q377" i="8"/>
  <c r="Q368" i="8"/>
  <c r="Q380" i="8"/>
  <c r="P417" i="8"/>
  <c r="P408" i="8"/>
  <c r="P420" i="8"/>
  <c r="P381" i="8"/>
  <c r="A17" i="26"/>
  <c r="C170" i="10" s="1"/>
  <c r="O26" i="22"/>
  <c r="O38" i="22"/>
  <c r="N388" i="7"/>
  <c r="N379" i="7"/>
  <c r="N391" i="7"/>
  <c r="N329" i="7"/>
  <c r="P136" i="7"/>
  <c r="P23" i="8"/>
  <c r="P483" i="8"/>
  <c r="P129" i="8"/>
  <c r="P305" i="11"/>
  <c r="Q483" i="8"/>
  <c r="Q23" i="8"/>
  <c r="Q57" i="7"/>
  <c r="Q305" i="11"/>
  <c r="Q129" i="8"/>
  <c r="Q136" i="7"/>
  <c r="Q81" i="10"/>
  <c r="P82" i="10"/>
  <c r="P85" i="10"/>
  <c r="N27" i="22"/>
  <c r="N30" i="22"/>
  <c r="N35" i="22"/>
  <c r="Q54" i="7"/>
  <c r="P55" i="7"/>
  <c r="P58" i="7"/>
  <c r="P940" i="22"/>
  <c r="S52" i="7"/>
  <c r="S184" i="8"/>
  <c r="S436" i="8"/>
  <c r="S130" i="10"/>
  <c r="S46" i="10"/>
  <c r="S251" i="11"/>
  <c r="O402" i="22"/>
  <c r="B67" i="23"/>
  <c r="O526" i="22"/>
  <c r="O445" i="22"/>
  <c r="N96" i="26"/>
  <c r="B2" i="26"/>
  <c r="P20" i="22"/>
  <c r="P688" i="22"/>
  <c r="S80" i="8"/>
  <c r="Q245" i="7"/>
  <c r="Q242" i="7"/>
  <c r="P255" i="7"/>
  <c r="P246" i="7"/>
  <c r="P258" i="7"/>
  <c r="R65" i="7"/>
  <c r="R65" i="8"/>
  <c r="R204" i="11"/>
  <c r="R254" i="7"/>
  <c r="R232" i="7"/>
  <c r="R229" i="7"/>
  <c r="N59" i="14"/>
  <c r="L78" i="22"/>
  <c r="O386" i="7"/>
  <c r="R355" i="11"/>
  <c r="N1103" i="24"/>
  <c r="N1106" i="24"/>
  <c r="N1111" i="24"/>
  <c r="R167" i="11"/>
  <c r="R236" i="7"/>
  <c r="R181" i="11"/>
  <c r="R145" i="11"/>
  <c r="R281" i="8"/>
  <c r="R292" i="8"/>
  <c r="R283" i="8"/>
  <c r="N1376" i="24"/>
  <c r="R526" i="11" s="1"/>
  <c r="P337" i="22"/>
  <c r="R467" i="11"/>
  <c r="R324" i="11"/>
  <c r="R75" i="12" s="1"/>
  <c r="R369" i="11"/>
  <c r="R43" i="12"/>
  <c r="M108" i="26"/>
  <c r="Q111" i="13"/>
  <c r="P937" i="22"/>
  <c r="S49" i="7"/>
  <c r="S193" i="8"/>
  <c r="S457" i="8"/>
  <c r="S118" i="10"/>
  <c r="S43" i="10"/>
  <c r="S223" i="11"/>
  <c r="O433" i="22"/>
  <c r="O390" i="22"/>
  <c r="O514" i="22"/>
  <c r="N90" i="26"/>
  <c r="B75" i="23"/>
  <c r="B4" i="26"/>
  <c r="P676" i="22"/>
  <c r="P8" i="22"/>
  <c r="S297" i="7"/>
  <c r="T577" i="8"/>
  <c r="S90" i="10"/>
  <c r="S190" i="10"/>
  <c r="S214" i="10"/>
  <c r="T229" i="10"/>
  <c r="S412" i="11"/>
  <c r="S107" i="12"/>
  <c r="O733" i="24"/>
  <c r="S192" i="10"/>
  <c r="S56" i="10"/>
  <c r="S146" i="7"/>
  <c r="R301" i="10"/>
  <c r="P214" i="8"/>
  <c r="Q214" i="8" s="1"/>
  <c r="Q201" i="8"/>
  <c r="S354" i="8"/>
  <c r="S351" i="8"/>
  <c r="Q361" i="11"/>
  <c r="Q358" i="11"/>
  <c r="S224" i="7"/>
  <c r="S106" i="11"/>
  <c r="S178" i="11"/>
  <c r="R416" i="8"/>
  <c r="N330" i="7"/>
  <c r="N130" i="14"/>
  <c r="N160" i="13"/>
  <c r="O58" i="12"/>
  <c r="O59" i="12" s="1"/>
  <c r="O60" i="12"/>
  <c r="O194" i="12"/>
  <c r="O196" i="12"/>
  <c r="O320" i="9"/>
  <c r="O333" i="9" s="1"/>
  <c r="O313" i="9"/>
  <c r="O325" i="9"/>
  <c r="N156" i="13"/>
  <c r="N133" i="14"/>
  <c r="P912" i="22"/>
  <c r="P918" i="22"/>
  <c r="M137" i="14"/>
  <c r="M141" i="14"/>
  <c r="N15" i="7"/>
  <c r="N88" i="7"/>
  <c r="N92" i="7"/>
  <c r="N435" i="8"/>
  <c r="N438" i="8"/>
  <c r="N250" i="11"/>
  <c r="N260" i="11"/>
  <c r="N98" i="7"/>
  <c r="O64" i="16"/>
  <c r="L125" i="22"/>
  <c r="L134" i="22"/>
  <c r="L137" i="22"/>
  <c r="M648" i="22"/>
  <c r="Q48" i="10"/>
  <c r="P49" i="10"/>
  <c r="P52" i="10"/>
  <c r="L79" i="16"/>
  <c r="O359" i="7"/>
  <c r="O372" i="7"/>
  <c r="O9" i="14"/>
  <c r="O41" i="14"/>
  <c r="O85" i="14"/>
  <c r="O29" i="14"/>
  <c r="L69" i="22"/>
  <c r="L71" i="22" s="1"/>
  <c r="O154" i="13" s="1"/>
  <c r="M118" i="22"/>
  <c r="M120" i="22" s="1"/>
  <c r="L65" i="22"/>
  <c r="L73" i="22"/>
  <c r="L75" i="22" s="1"/>
  <c r="O155" i="13" s="1"/>
  <c r="L350" i="22"/>
  <c r="L352" i="22" s="1"/>
  <c r="M105" i="22"/>
  <c r="N282" i="22"/>
  <c r="N284" i="22" s="1"/>
  <c r="L378" i="22"/>
  <c r="L380" i="22" s="1"/>
  <c r="N146" i="22"/>
  <c r="N159" i="22"/>
  <c r="N161" i="22" s="1"/>
  <c r="N269" i="22"/>
  <c r="L364" i="22"/>
  <c r="L366" i="22" s="1"/>
  <c r="K85" i="26"/>
  <c r="L1241" i="24"/>
  <c r="R33" i="7"/>
  <c r="R152" i="7"/>
  <c r="S314" i="7"/>
  <c r="S606" i="8"/>
  <c r="R304" i="7"/>
  <c r="R125" i="12"/>
  <c r="R130" i="12"/>
  <c r="R118" i="12"/>
  <c r="M86" i="16"/>
  <c r="N86" i="16" s="1"/>
  <c r="N84" i="16"/>
  <c r="R50" i="10"/>
  <c r="R77" i="10"/>
  <c r="A22" i="26"/>
  <c r="B172" i="10" s="1"/>
  <c r="O13" i="22"/>
  <c r="O37" i="22"/>
  <c r="O15" i="22"/>
  <c r="O41" i="22" s="1"/>
  <c r="N438" i="22"/>
  <c r="N462" i="22"/>
  <c r="N476" i="22"/>
  <c r="N598" i="22"/>
  <c r="N440" i="22"/>
  <c r="R449" i="8"/>
  <c r="R292" i="11"/>
  <c r="A12" i="26"/>
  <c r="D168" i="10" s="1"/>
  <c r="A107" i="23"/>
  <c r="A109" i="23" s="1" a="1"/>
  <c r="O933" i="22"/>
  <c r="O930" i="22"/>
  <c r="O938" i="22"/>
  <c r="S540" i="8"/>
  <c r="S552" i="8"/>
  <c r="R457" i="11"/>
  <c r="R144" i="12"/>
  <c r="M219" i="26"/>
  <c r="R450" i="11"/>
  <c r="L138" i="7"/>
  <c r="M128" i="7"/>
  <c r="O198" i="13"/>
  <c r="O200" i="13"/>
  <c r="Q183" i="11"/>
  <c r="Q186" i="11"/>
  <c r="Q160" i="11"/>
  <c r="Q172" i="11"/>
  <c r="Q169" i="11"/>
  <c r="P173" i="11"/>
  <c r="P209" i="11"/>
  <c r="P200" i="11"/>
  <c r="P212" i="11"/>
  <c r="P102" i="7"/>
  <c r="Q102" i="7" s="1"/>
  <c r="P91" i="7"/>
  <c r="Q86" i="7"/>
  <c r="N132" i="8"/>
  <c r="J191" i="26"/>
  <c r="M1075" i="24"/>
  <c r="M1078" i="24"/>
  <c r="M207" i="22"/>
  <c r="M216" i="22"/>
  <c r="M219" i="22"/>
  <c r="N15" i="8"/>
  <c r="N88" i="8"/>
  <c r="N92" i="8"/>
  <c r="P250" i="22"/>
  <c r="R24" i="12"/>
  <c r="P193" i="13"/>
  <c r="M1165" i="24"/>
  <c r="M1158" i="24"/>
  <c r="M90" i="16"/>
  <c r="N90" i="16" s="1"/>
  <c r="O62" i="12"/>
  <c r="L64" i="9"/>
  <c r="L70" i="9"/>
  <c r="L17" i="9"/>
  <c r="L19" i="9" s="1"/>
  <c r="L1469" i="24"/>
  <c r="S154" i="10"/>
  <c r="P9" i="6"/>
  <c r="P18" i="6"/>
  <c r="P23" i="7"/>
  <c r="P129" i="7"/>
  <c r="P279" i="7"/>
  <c r="P136" i="8"/>
  <c r="P504" i="8"/>
  <c r="P277" i="11"/>
  <c r="L102" i="26"/>
  <c r="Q10" i="7"/>
  <c r="Q279" i="7"/>
  <c r="Q136" i="8"/>
  <c r="Q9" i="6"/>
  <c r="Q129" i="7"/>
  <c r="Q277" i="11"/>
  <c r="Q504" i="8"/>
  <c r="Q23" i="7"/>
  <c r="P6" i="3"/>
  <c r="P11" i="7"/>
  <c r="O82" i="8"/>
  <c r="G414" i="2"/>
  <c r="R76" i="11"/>
  <c r="R69" i="11"/>
  <c r="R211" i="7"/>
  <c r="R81" i="11"/>
  <c r="R29" i="12"/>
  <c r="M305" i="11"/>
  <c r="M304" i="11"/>
  <c r="P222" i="8"/>
  <c r="P235" i="8"/>
  <c r="P18" i="11"/>
  <c r="P17" i="11"/>
  <c r="P378" i="11"/>
  <c r="P391" i="11"/>
  <c r="P158" i="12"/>
  <c r="Q158" i="12" s="1"/>
  <c r="P341" i="7"/>
  <c r="M63" i="9"/>
  <c r="M67" i="9"/>
  <c r="M1474" i="24" s="1"/>
  <c r="Q463" i="11"/>
  <c r="P263" i="9"/>
  <c r="P214" i="9"/>
  <c r="T185" i="10"/>
  <c r="P1084" i="24"/>
  <c r="T522" i="8"/>
  <c r="Q340" i="9"/>
  <c r="J40" i="13"/>
  <c r="J33" i="13"/>
  <c r="P218" i="9"/>
  <c r="P1088" i="24"/>
  <c r="T526" i="8"/>
  <c r="T189" i="10"/>
  <c r="Q344" i="9"/>
  <c r="S527" i="8"/>
  <c r="S551" i="8"/>
  <c r="S146" i="8"/>
  <c r="S529" i="8"/>
  <c r="O286" i="9"/>
  <c r="O264" i="9"/>
  <c r="O261" i="9"/>
  <c r="I202" i="26"/>
  <c r="M22" i="8"/>
  <c r="M575" i="22"/>
  <c r="M548" i="22"/>
  <c r="M588" i="22" s="1"/>
  <c r="M287" i="11"/>
  <c r="M288" i="11"/>
  <c r="N248" i="22"/>
  <c r="N257" i="22"/>
  <c r="N260" i="22"/>
  <c r="Q78" i="11"/>
  <c r="Q90" i="11"/>
  <c r="Q87" i="11"/>
  <c r="N943" i="22"/>
  <c r="N946" i="22"/>
  <c r="N934" i="22"/>
  <c r="Q214" i="7"/>
  <c r="Q217" i="7"/>
  <c r="R199" i="11"/>
  <c r="R196" i="11"/>
  <c r="R132" i="11"/>
  <c r="R129" i="11"/>
  <c r="R120" i="11"/>
  <c r="S327" i="8"/>
  <c r="S324" i="8"/>
  <c r="K138" i="26"/>
  <c r="O374" i="11"/>
  <c r="O371" i="11"/>
  <c r="R544" i="8"/>
  <c r="R549" i="8"/>
  <c r="R155" i="8"/>
  <c r="R33" i="8"/>
  <c r="R152" i="8"/>
  <c r="O268" i="9"/>
  <c r="O915" i="22"/>
  <c r="O466" i="24"/>
  <c r="O479" i="24" s="1"/>
  <c r="O471" i="24"/>
  <c r="O459" i="24"/>
  <c r="Q214" i="12"/>
  <c r="O252" i="22"/>
  <c r="P522" i="11"/>
  <c r="L138" i="8"/>
  <c r="M138" i="8" s="1"/>
  <c r="M118" i="8"/>
  <c r="P280" i="9"/>
  <c r="P256" i="9"/>
  <c r="P213" i="9"/>
  <c r="P1083" i="24"/>
  <c r="T184" i="10"/>
  <c r="T521" i="8"/>
  <c r="Q339" i="9"/>
  <c r="N10" i="3"/>
  <c r="N105" i="7"/>
  <c r="M499" i="22"/>
  <c r="M661" i="22" s="1"/>
  <c r="M621" i="22"/>
  <c r="M494" i="22"/>
  <c r="M656" i="22" s="1"/>
  <c r="M616" i="22"/>
  <c r="M467" i="22"/>
  <c r="Q18" i="10"/>
  <c r="Q10" i="10"/>
  <c r="P11" i="10"/>
  <c r="L288" i="7"/>
  <c r="M278" i="7"/>
  <c r="N339" i="22"/>
  <c r="N342" i="22"/>
  <c r="N330" i="22"/>
  <c r="M298" i="11"/>
  <c r="M297" i="11"/>
  <c r="K93" i="22"/>
  <c r="K96" i="22"/>
  <c r="K80" i="22"/>
  <c r="L1378" i="24"/>
  <c r="L1381" i="24"/>
  <c r="R62" i="10"/>
  <c r="R24" i="10"/>
  <c r="R97" i="10"/>
  <c r="R430" i="11"/>
  <c r="R435" i="11"/>
  <c r="R423" i="11"/>
  <c r="S165" i="7"/>
  <c r="S165" i="8"/>
  <c r="S595" i="8"/>
  <c r="R155" i="7"/>
  <c r="R302" i="7"/>
  <c r="L26" i="13"/>
  <c r="L18" i="13"/>
  <c r="M71" i="13"/>
  <c r="L22" i="13"/>
  <c r="L27" i="13"/>
  <c r="L28" i="13"/>
  <c r="L31" i="13"/>
  <c r="L20" i="13"/>
  <c r="L19" i="13"/>
  <c r="L23" i="13"/>
  <c r="L30" i="13"/>
  <c r="R181" i="7"/>
  <c r="R113" i="7"/>
  <c r="R56" i="7"/>
  <c r="R113" i="8"/>
  <c r="R432" i="8"/>
  <c r="R240" i="11"/>
  <c r="A147" i="23"/>
  <c r="A149" i="23" s="1" a="1"/>
  <c r="N543" i="22"/>
  <c r="N583" i="22" s="1"/>
  <c r="N557" i="22"/>
  <c r="N519" i="22"/>
  <c r="N521" i="22"/>
  <c r="S150" i="10"/>
  <c r="R141" i="10"/>
  <c r="R119" i="10"/>
  <c r="R116" i="10"/>
  <c r="R189" i="8"/>
  <c r="R207" i="8"/>
  <c r="M175" i="26"/>
  <c r="R182" i="8"/>
  <c r="R48" i="8"/>
  <c r="O334" i="22"/>
  <c r="S179" i="7"/>
  <c r="S180" i="8"/>
  <c r="S426" i="8"/>
  <c r="S111" i="10"/>
  <c r="S135" i="10"/>
  <c r="S75" i="10"/>
  <c r="S220" i="11"/>
  <c r="O513" i="22"/>
  <c r="O432" i="22"/>
  <c r="O389" i="22"/>
  <c r="B63" i="23"/>
  <c r="B1" i="26"/>
  <c r="N89" i="26"/>
  <c r="P675" i="22"/>
  <c r="P7" i="22"/>
  <c r="G124" i="26"/>
  <c r="J15" i="6"/>
  <c r="M15" i="6" s="1"/>
  <c r="M641" i="22"/>
  <c r="M644" i="22"/>
  <c r="N103" i="8"/>
  <c r="N14" i="8"/>
  <c r="N72" i="8"/>
  <c r="N76" i="8"/>
  <c r="P462" i="24"/>
  <c r="P316" i="9"/>
  <c r="P358" i="9"/>
  <c r="P370" i="9"/>
  <c r="O788" i="24"/>
  <c r="O232" i="9"/>
  <c r="O244" i="9"/>
  <c r="N13" i="21"/>
  <c r="R155" i="10"/>
  <c r="Q129" i="10"/>
  <c r="Q132" i="10"/>
  <c r="P142" i="10"/>
  <c r="P133" i="10"/>
  <c r="P145" i="10"/>
  <c r="I154" i="26"/>
  <c r="L16" i="3"/>
  <c r="L25" i="7"/>
  <c r="M22" i="7"/>
  <c r="O34" i="12"/>
  <c r="O31" i="12"/>
  <c r="L590" i="22"/>
  <c r="L631" i="22"/>
  <c r="L667" i="22"/>
  <c r="L658" i="22"/>
  <c r="L670" i="22"/>
  <c r="N118" i="7"/>
  <c r="N19" i="7"/>
  <c r="J143" i="26"/>
  <c r="N469" i="8"/>
  <c r="N263" i="11"/>
  <c r="N466" i="8"/>
  <c r="N253" i="11"/>
  <c r="N103" i="7"/>
  <c r="Q483" i="11"/>
  <c r="P497" i="11"/>
  <c r="P485" i="11"/>
  <c r="P511" i="11"/>
  <c r="P14" i="12"/>
  <c r="Q485" i="11"/>
  <c r="Q14" i="12"/>
  <c r="P115" i="13"/>
  <c r="P116" i="13"/>
  <c r="P117" i="13"/>
  <c r="N187" i="22"/>
  <c r="O310" i="22"/>
  <c r="N200" i="22"/>
  <c r="O228" i="22"/>
  <c r="O241" i="22"/>
  <c r="O323" i="22"/>
  <c r="M896" i="22"/>
  <c r="L71" i="26"/>
  <c r="M1198" i="24"/>
  <c r="M1146" i="24"/>
  <c r="Q487" i="11"/>
  <c r="P487" i="11"/>
  <c r="M1183" i="24" s="1"/>
  <c r="N1371" i="24"/>
  <c r="R521" i="11" s="1"/>
  <c r="R102" i="13"/>
  <c r="N638" i="22" l="1"/>
  <c r="M80" i="16"/>
  <c r="R57" i="12"/>
  <c r="R52" i="12"/>
  <c r="M904" i="22"/>
  <c r="M897" i="22"/>
  <c r="N202" i="22"/>
  <c r="N204" i="22"/>
  <c r="P16" i="12"/>
  <c r="Q16" i="12"/>
  <c r="P18" i="12"/>
  <c r="Q18" i="12"/>
  <c r="N125" i="7"/>
  <c r="N273" i="11"/>
  <c r="J149" i="26"/>
  <c r="N284" i="11"/>
  <c r="R156" i="10"/>
  <c r="R159" i="10"/>
  <c r="Q145" i="10"/>
  <c r="Q142" i="10"/>
  <c r="Q133" i="10"/>
  <c r="P272" i="9"/>
  <c r="P928" i="22"/>
  <c r="P475" i="24"/>
  <c r="P463" i="24"/>
  <c r="N16" i="8"/>
  <c r="P9" i="22"/>
  <c r="P33" i="22"/>
  <c r="S151" i="10"/>
  <c r="R133" i="7"/>
  <c r="R20" i="8"/>
  <c r="R119" i="8"/>
  <c r="R452" i="8"/>
  <c r="R302" i="11"/>
  <c r="A155" i="23"/>
  <c r="A157" i="23" s="1" a="1"/>
  <c r="L36" i="13"/>
  <c r="M36" i="13" s="1"/>
  <c r="I113" i="26"/>
  <c r="M20" i="13"/>
  <c r="L38" i="13"/>
  <c r="M38" i="13" s="1"/>
  <c r="I115" i="26"/>
  <c r="M22" i="13"/>
  <c r="S316" i="7"/>
  <c r="R306" i="7"/>
  <c r="R303" i="7"/>
  <c r="M507" i="22"/>
  <c r="M669" i="22" s="1"/>
  <c r="M629" i="22"/>
  <c r="P215" i="9"/>
  <c r="P239" i="9"/>
  <c r="P770" i="24"/>
  <c r="O941" i="22"/>
  <c r="O919" i="22"/>
  <c r="O945" i="22" s="1"/>
  <c r="O916" i="22"/>
  <c r="Q449" i="24"/>
  <c r="Q303" i="9"/>
  <c r="P215" i="12"/>
  <c r="P399" i="11"/>
  <c r="Q399" i="11" s="1"/>
  <c r="L127" i="26"/>
  <c r="Q391" i="11"/>
  <c r="P392" i="11"/>
  <c r="N80" i="16"/>
  <c r="O90" i="16"/>
  <c r="M1148" i="24"/>
  <c r="M1160" i="24"/>
  <c r="M1150" i="24"/>
  <c r="O325" i="22"/>
  <c r="O327" i="22"/>
  <c r="O312" i="22"/>
  <c r="O336" i="22"/>
  <c r="O314" i="22"/>
  <c r="P125" i="13"/>
  <c r="P118" i="13"/>
  <c r="P131" i="13"/>
  <c r="Q131" i="13" s="1"/>
  <c r="Q115" i="13"/>
  <c r="P513" i="11"/>
  <c r="P42" i="12"/>
  <c r="P466" i="11"/>
  <c r="P323" i="11"/>
  <c r="P74" i="12" s="1"/>
  <c r="P368" i="11"/>
  <c r="L107" i="26"/>
  <c r="P515" i="11"/>
  <c r="Q511" i="11"/>
  <c r="Q323" i="11"/>
  <c r="N125" i="8"/>
  <c r="N472" i="8"/>
  <c r="J199" i="26"/>
  <c r="N476" i="8"/>
  <c r="I155" i="26"/>
  <c r="M17" i="3"/>
  <c r="M10" i="6"/>
  <c r="M26" i="8"/>
  <c r="M16" i="3"/>
  <c r="M139" i="8"/>
  <c r="M514" i="8"/>
  <c r="P701" i="22"/>
  <c r="P677" i="22"/>
  <c r="O391" i="22"/>
  <c r="O415" i="22"/>
  <c r="S446" i="8"/>
  <c r="S282" i="11"/>
  <c r="B3" i="26"/>
  <c r="B71" i="23"/>
  <c r="S188" i="8"/>
  <c r="S206" i="8"/>
  <c r="N174" i="26"/>
  <c r="N547" i="22"/>
  <c r="N587" i="22" s="1"/>
  <c r="N561" i="22"/>
  <c r="A149" i="23"/>
  <c r="B149" i="23"/>
  <c r="I122" i="26"/>
  <c r="M30" i="13"/>
  <c r="I123" i="26"/>
  <c r="M31" i="13"/>
  <c r="S169" i="7"/>
  <c r="S38" i="8"/>
  <c r="S166" i="8"/>
  <c r="S596" i="8"/>
  <c r="S599" i="8"/>
  <c r="R431" i="11"/>
  <c r="R428" i="11"/>
  <c r="R436" i="11"/>
  <c r="R286" i="10"/>
  <c r="R284" i="10"/>
  <c r="R32" i="10"/>
  <c r="R25" i="10"/>
  <c r="Q19" i="10"/>
  <c r="Q11" i="10"/>
  <c r="N16" i="7"/>
  <c r="T523" i="8"/>
  <c r="T547" i="8"/>
  <c r="U547" i="8" s="1"/>
  <c r="U521" i="8"/>
  <c r="O464" i="24"/>
  <c r="O467" i="24"/>
  <c r="O472" i="24"/>
  <c r="O29" i="21" s="1"/>
  <c r="O31" i="21" s="1"/>
  <c r="O276" i="9"/>
  <c r="O289" i="9" s="1"/>
  <c r="O227" i="9"/>
  <c r="O1097" i="24"/>
  <c r="S535" i="8"/>
  <c r="S198" i="10"/>
  <c r="O281" i="9"/>
  <c r="O269" i="9"/>
  <c r="P353" i="9"/>
  <c r="V590" i="8"/>
  <c r="V230" i="10"/>
  <c r="T413" i="11"/>
  <c r="T108" i="12"/>
  <c r="P734" i="24"/>
  <c r="Y230" i="10"/>
  <c r="Y590" i="8"/>
  <c r="U189" i="10"/>
  <c r="Q348" i="9"/>
  <c r="Q445" i="24"/>
  <c r="Q299" i="9"/>
  <c r="P222" i="9"/>
  <c r="P771" i="24"/>
  <c r="M71" i="9"/>
  <c r="M1470" i="24"/>
  <c r="M1478" i="24" s="1"/>
  <c r="P386" i="11"/>
  <c r="Q386" i="11" s="1"/>
  <c r="P202" i="12"/>
  <c r="L212" i="26"/>
  <c r="Q378" i="11"/>
  <c r="P379" i="11"/>
  <c r="P248" i="8"/>
  <c r="Q248" i="8" s="1"/>
  <c r="P230" i="8"/>
  <c r="Q222" i="8"/>
  <c r="P223" i="8"/>
  <c r="R85" i="7"/>
  <c r="R89" i="11"/>
  <c r="O202" i="13"/>
  <c r="O199" i="13"/>
  <c r="N502" i="22"/>
  <c r="N664" i="22" s="1"/>
  <c r="N624" i="22"/>
  <c r="O39" i="22"/>
  <c r="O14" i="22"/>
  <c r="O17" i="22"/>
  <c r="R123" i="12"/>
  <c r="R126" i="12"/>
  <c r="R131" i="12"/>
  <c r="S318" i="7"/>
  <c r="S610" i="8"/>
  <c r="N17" i="21"/>
  <c r="N19" i="21" s="1"/>
  <c r="N295" i="22"/>
  <c r="N271" i="22"/>
  <c r="N297" i="22" s="1"/>
  <c r="L67" i="22"/>
  <c r="L77" i="22"/>
  <c r="O87" i="14"/>
  <c r="O118" i="14"/>
  <c r="O71" i="14" s="1"/>
  <c r="O361" i="7"/>
  <c r="O385" i="7"/>
  <c r="O66" i="16"/>
  <c r="N275" i="7"/>
  <c r="N266" i="11"/>
  <c r="J151" i="26"/>
  <c r="N291" i="11"/>
  <c r="N136" i="14"/>
  <c r="N70" i="13"/>
  <c r="S91" i="10"/>
  <c r="S64" i="10"/>
  <c r="O473" i="22"/>
  <c r="O595" i="22"/>
  <c r="O441" i="22"/>
  <c r="S52" i="8"/>
  <c r="S195" i="8"/>
  <c r="N181" i="26"/>
  <c r="R193" i="12"/>
  <c r="M137" i="26"/>
  <c r="R85" i="8"/>
  <c r="R282" i="8"/>
  <c r="R285" i="8"/>
  <c r="R294" i="8"/>
  <c r="N1107" i="24"/>
  <c r="N1119" i="24"/>
  <c r="N1116" i="24"/>
  <c r="S123" i="7"/>
  <c r="S116" i="8"/>
  <c r="S442" i="8"/>
  <c r="S271" i="11"/>
  <c r="B151" i="23"/>
  <c r="Q58" i="7"/>
  <c r="Q55" i="7"/>
  <c r="N43" i="22"/>
  <c r="N31" i="22"/>
  <c r="N40" i="22"/>
  <c r="O241" i="8"/>
  <c r="O244" i="8"/>
  <c r="A129" i="23"/>
  <c r="B129" i="23"/>
  <c r="R234" i="8"/>
  <c r="R221" i="8"/>
  <c r="R13" i="11"/>
  <c r="R14" i="11"/>
  <c r="R377" i="11"/>
  <c r="R390" i="11"/>
  <c r="R157" i="12"/>
  <c r="R340" i="7"/>
  <c r="M206" i="26"/>
  <c r="S566" i="8"/>
  <c r="S180" i="12"/>
  <c r="O1073" i="24"/>
  <c r="S484" i="11" s="1"/>
  <c r="S375" i="8"/>
  <c r="S402" i="8"/>
  <c r="O707" i="22"/>
  <c r="O682" i="22"/>
  <c r="O685" i="22"/>
  <c r="R545" i="8"/>
  <c r="R557" i="8"/>
  <c r="R554" i="8"/>
  <c r="V581" i="8"/>
  <c r="V242" i="10"/>
  <c r="T425" i="11"/>
  <c r="T120" i="12"/>
  <c r="P746" i="24"/>
  <c r="U201" i="10"/>
  <c r="Y581" i="8"/>
  <c r="Y242" i="10"/>
  <c r="M573" i="22"/>
  <c r="M576" i="22"/>
  <c r="M549" i="22"/>
  <c r="M546" i="22"/>
  <c r="M537" i="22"/>
  <c r="P371" i="9"/>
  <c r="P349" i="9"/>
  <c r="P346" i="9"/>
  <c r="R411" i="8"/>
  <c r="R170" i="11"/>
  <c r="R143" i="11"/>
  <c r="R184" i="11"/>
  <c r="R206" i="11"/>
  <c r="S81" i="7"/>
  <c r="S70" i="8"/>
  <c r="N139" i="14"/>
  <c r="T315" i="7"/>
  <c r="T607" i="8"/>
  <c r="S134" i="12"/>
  <c r="S122" i="12"/>
  <c r="M495" i="22"/>
  <c r="M617" i="22"/>
  <c r="M492" i="22"/>
  <c r="M614" i="22"/>
  <c r="M456" i="22"/>
  <c r="M465" i="22"/>
  <c r="M468" i="22"/>
  <c r="Q54" i="8"/>
  <c r="P55" i="8"/>
  <c r="P58" i="8"/>
  <c r="S226" i="7"/>
  <c r="S117" i="11"/>
  <c r="S111" i="11"/>
  <c r="S189" i="11"/>
  <c r="S122" i="11"/>
  <c r="R405" i="8"/>
  <c r="R378" i="8"/>
  <c r="N274" i="22"/>
  <c r="N300" i="22" s="1"/>
  <c r="N292" i="22"/>
  <c r="M413" i="22"/>
  <c r="M1384" i="24" s="1"/>
  <c r="M425" i="22"/>
  <c r="M422" i="22"/>
  <c r="Q26" i="12"/>
  <c r="N237" i="9"/>
  <c r="N249" i="9"/>
  <c r="N246" i="9"/>
  <c r="O36" i="11"/>
  <c r="O33" i="11"/>
  <c r="O41" i="11"/>
  <c r="O347" i="7"/>
  <c r="O350" i="7"/>
  <c r="L362" i="22"/>
  <c r="L368" i="22"/>
  <c r="M122" i="22"/>
  <c r="M116" i="22"/>
  <c r="O33" i="14"/>
  <c r="O30" i="14"/>
  <c r="O89" i="14"/>
  <c r="O83" i="14"/>
  <c r="O114" i="14"/>
  <c r="O67" i="14" s="1"/>
  <c r="T318" i="8"/>
  <c r="T317" i="8"/>
  <c r="T266" i="8"/>
  <c r="T67" i="11"/>
  <c r="T136" i="11"/>
  <c r="T137" i="11"/>
  <c r="P1104" i="24"/>
  <c r="N652" i="22"/>
  <c r="O243" i="22"/>
  <c r="O245" i="22"/>
  <c r="J152" i="26"/>
  <c r="N294" i="11"/>
  <c r="O458" i="22"/>
  <c r="O472" i="22"/>
  <c r="O594" i="22"/>
  <c r="O434" i="22"/>
  <c r="T149" i="10"/>
  <c r="U149" i="10" s="1"/>
  <c r="R9" i="8"/>
  <c r="R50" i="8"/>
  <c r="R56" i="8"/>
  <c r="M176" i="26"/>
  <c r="I120" i="26"/>
  <c r="M28" i="13"/>
  <c r="L34" i="13"/>
  <c r="M34" i="13" s="1"/>
  <c r="L8" i="13"/>
  <c r="L24" i="13"/>
  <c r="I111" i="26"/>
  <c r="M18" i="13"/>
  <c r="K139" i="26"/>
  <c r="P26" i="7"/>
  <c r="P139" i="7"/>
  <c r="P289" i="7"/>
  <c r="Q139" i="7"/>
  <c r="Q11" i="7"/>
  <c r="Q26" i="7"/>
  <c r="Q289" i="7"/>
  <c r="M220" i="26"/>
  <c r="L1243" i="24"/>
  <c r="O55" i="14"/>
  <c r="M107" i="22"/>
  <c r="M133" i="22" s="1"/>
  <c r="M131" i="22"/>
  <c r="O43" i="14"/>
  <c r="N122" i="7"/>
  <c r="N272" i="7"/>
  <c r="N256" i="11"/>
  <c r="N270" i="11"/>
  <c r="J148" i="26"/>
  <c r="N281" i="11"/>
  <c r="S218" i="10"/>
  <c r="T233" i="10"/>
  <c r="O735" i="24"/>
  <c r="O759" i="24"/>
  <c r="O737" i="24"/>
  <c r="O763" i="24" s="1"/>
  <c r="T585" i="8"/>
  <c r="T255" i="10"/>
  <c r="S305" i="7"/>
  <c r="T311" i="7"/>
  <c r="T603" i="8"/>
  <c r="S148" i="7"/>
  <c r="S32" i="7"/>
  <c r="P16" i="22"/>
  <c r="S116" i="7"/>
  <c r="S123" i="8"/>
  <c r="S463" i="8"/>
  <c r="S243" i="11"/>
  <c r="B159" i="23"/>
  <c r="R296" i="8"/>
  <c r="R171" i="11"/>
  <c r="R185" i="11"/>
  <c r="R207" i="11"/>
  <c r="R565" i="8"/>
  <c r="R357" i="11"/>
  <c r="R452" i="11"/>
  <c r="R179" i="12"/>
  <c r="N1072" i="24"/>
  <c r="R359" i="11"/>
  <c r="R75" i="8"/>
  <c r="R97" i="8"/>
  <c r="Q246" i="7"/>
  <c r="Q258" i="7"/>
  <c r="Q255" i="7"/>
  <c r="O410" i="22"/>
  <c r="R53" i="7"/>
  <c r="R197" i="8"/>
  <c r="R467" i="8"/>
  <c r="R131" i="10"/>
  <c r="R47" i="10"/>
  <c r="R254" i="11"/>
  <c r="N446" i="22"/>
  <c r="A79" i="23"/>
  <c r="N403" i="22"/>
  <c r="N527" i="22"/>
  <c r="A5" i="26"/>
  <c r="C165" i="10" s="1"/>
  <c r="M97" i="26"/>
  <c r="O689" i="22"/>
  <c r="O21" i="22"/>
  <c r="R136" i="10"/>
  <c r="R79" i="10"/>
  <c r="R124" i="10"/>
  <c r="R183" i="7"/>
  <c r="O570" i="22"/>
  <c r="S479" i="11"/>
  <c r="Q185" i="12"/>
  <c r="Q182" i="12"/>
  <c r="S194" i="11"/>
  <c r="S240" i="7"/>
  <c r="S158" i="11"/>
  <c r="S363" i="8"/>
  <c r="S401" i="8"/>
  <c r="S374" i="8"/>
  <c r="H140" i="26"/>
  <c r="K21" i="3"/>
  <c r="K11" i="6" s="1"/>
  <c r="I203" i="26"/>
  <c r="M25" i="8"/>
  <c r="T322" i="8"/>
  <c r="T267" i="8"/>
  <c r="T321" i="8"/>
  <c r="T71" i="11"/>
  <c r="T150" i="11"/>
  <c r="T149" i="11"/>
  <c r="N699" i="22"/>
  <c r="Q12" i="16" s="1"/>
  <c r="N708" i="22"/>
  <c r="N711" i="22"/>
  <c r="P197" i="12"/>
  <c r="Q197" i="12" s="1"/>
  <c r="Q189" i="12"/>
  <c r="P190" i="12"/>
  <c r="R243" i="7"/>
  <c r="R248" i="7"/>
  <c r="R168" i="11"/>
  <c r="R237" i="7"/>
  <c r="R146" i="11"/>
  <c r="R182" i="11"/>
  <c r="O207" i="12"/>
  <c r="O209" i="12"/>
  <c r="T598" i="8"/>
  <c r="T256" i="10"/>
  <c r="S439" i="11"/>
  <c r="S427" i="11"/>
  <c r="Q108" i="13"/>
  <c r="Q112" i="13"/>
  <c r="R20" i="7"/>
  <c r="R8" i="6"/>
  <c r="R17" i="6"/>
  <c r="R119" i="7"/>
  <c r="R269" i="7"/>
  <c r="R133" i="8"/>
  <c r="R494" i="8"/>
  <c r="R246" i="11"/>
  <c r="A135" i="23"/>
  <c r="A137" i="23" s="1" a="1"/>
  <c r="M95" i="26"/>
  <c r="R286" i="7"/>
  <c r="R511" i="8"/>
  <c r="R298" i="11"/>
  <c r="A131" i="23"/>
  <c r="A133" i="23" s="1" a="1"/>
  <c r="R17" i="10"/>
  <c r="A19" i="26"/>
  <c r="S245" i="10"/>
  <c r="S248" i="10"/>
  <c r="R217" i="10"/>
  <c r="R208" i="10"/>
  <c r="R220" i="10"/>
  <c r="N138" i="14"/>
  <c r="N131" i="14"/>
  <c r="L187" i="26"/>
  <c r="Q10" i="8"/>
  <c r="P11" i="8"/>
  <c r="S352" i="11"/>
  <c r="O1115" i="24"/>
  <c r="O1093" i="24"/>
  <c r="O1090" i="24"/>
  <c r="S389" i="8"/>
  <c r="S335" i="8"/>
  <c r="S313" i="8"/>
  <c r="G125" i="26"/>
  <c r="J20" i="3"/>
  <c r="O98" i="8"/>
  <c r="P79" i="12"/>
  <c r="P166" i="12"/>
  <c r="Q166" i="12" s="1"/>
  <c r="Q47" i="12"/>
  <c r="Q79" i="12"/>
  <c r="L1246" i="24"/>
  <c r="O52" i="14"/>
  <c r="N151" i="22"/>
  <c r="N177" i="22" s="1"/>
  <c r="N169" i="22"/>
  <c r="N61" i="14"/>
  <c r="O232" i="11"/>
  <c r="O456" i="8"/>
  <c r="O459" i="8"/>
  <c r="O222" i="11"/>
  <c r="B121" i="23"/>
  <c r="A121" i="23"/>
  <c r="N176" i="13"/>
  <c r="O199" i="7"/>
  <c r="O201" i="7"/>
  <c r="L348" i="22"/>
  <c r="L354" i="22"/>
  <c r="N280" i="22"/>
  <c r="N286" i="22"/>
  <c r="M109" i="22"/>
  <c r="M135" i="22" s="1"/>
  <c r="M127" i="22"/>
  <c r="M103" i="22"/>
  <c r="N157" i="22"/>
  <c r="N163" i="22"/>
  <c r="O45" i="14"/>
  <c r="O39" i="14"/>
  <c r="T150" i="8"/>
  <c r="T542" i="8"/>
  <c r="U534" i="8"/>
  <c r="N491" i="22"/>
  <c r="N653" i="22" s="1"/>
  <c r="N613" i="22"/>
  <c r="O80" i="12"/>
  <c r="O77" i="12"/>
  <c r="O164" i="12"/>
  <c r="O167" i="12"/>
  <c r="O253" i="8"/>
  <c r="O231" i="8"/>
  <c r="O228" i="8"/>
  <c r="O220" i="12"/>
  <c r="O222" i="12"/>
  <c r="M1200" i="24"/>
  <c r="M1375" i="24"/>
  <c r="M1202" i="24"/>
  <c r="N189" i="22"/>
  <c r="N213" i="22"/>
  <c r="N191" i="22"/>
  <c r="N217" i="22" s="1"/>
  <c r="L73" i="26"/>
  <c r="M1181" i="24"/>
  <c r="Q489" i="11"/>
  <c r="Q486" i="11"/>
  <c r="P489" i="11"/>
  <c r="P486" i="11"/>
  <c r="S263" i="7"/>
  <c r="S488" i="8"/>
  <c r="S226" i="11"/>
  <c r="B87" i="23"/>
  <c r="N91" i="26"/>
  <c r="N545" i="22"/>
  <c r="N585" i="22" s="1"/>
  <c r="N559" i="22"/>
  <c r="N520" i="22"/>
  <c r="N523" i="22"/>
  <c r="L39" i="13"/>
  <c r="M39" i="13" s="1"/>
  <c r="I116" i="26"/>
  <c r="M23" i="13"/>
  <c r="R63" i="10"/>
  <c r="R66" i="10"/>
  <c r="T296" i="7"/>
  <c r="V576" i="8"/>
  <c r="T89" i="10"/>
  <c r="V225" i="10"/>
  <c r="T186" i="10"/>
  <c r="T210" i="10"/>
  <c r="T408" i="11"/>
  <c r="T103" i="12"/>
  <c r="P729" i="24"/>
  <c r="Y225" i="10"/>
  <c r="U184" i="10"/>
  <c r="Y576" i="8"/>
  <c r="P530" i="11"/>
  <c r="Q530" i="11" s="1"/>
  <c r="P53" i="12"/>
  <c r="P523" i="11"/>
  <c r="Q522" i="11"/>
  <c r="R156" i="8"/>
  <c r="U526" i="8"/>
  <c r="T147" i="8"/>
  <c r="T530" i="8"/>
  <c r="U522" i="8"/>
  <c r="P349" i="7"/>
  <c r="Q349" i="7" s="1"/>
  <c r="Q341" i="7"/>
  <c r="P342" i="7"/>
  <c r="P194" i="7"/>
  <c r="P19" i="11"/>
  <c r="P43" i="11"/>
  <c r="Q43" i="11" s="1"/>
  <c r="Q17" i="11"/>
  <c r="P21" i="11"/>
  <c r="R213" i="7"/>
  <c r="R215" i="7"/>
  <c r="C18" i="4"/>
  <c r="B11" i="5"/>
  <c r="C20" i="17"/>
  <c r="N126" i="27"/>
  <c r="L72" i="9"/>
  <c r="L69" i="9"/>
  <c r="N466" i="22"/>
  <c r="N480" i="22"/>
  <c r="N642" i="22" s="1"/>
  <c r="N602" i="22"/>
  <c r="N464" i="22"/>
  <c r="N478" i="22"/>
  <c r="N640" i="22" s="1"/>
  <c r="N600" i="22"/>
  <c r="N442" i="22"/>
  <c r="N439" i="22"/>
  <c r="O254" i="22"/>
  <c r="O230" i="22"/>
  <c r="O232" i="22"/>
  <c r="O258" i="22" s="1"/>
  <c r="P127" i="13"/>
  <c r="P133" i="13"/>
  <c r="Q133" i="13" s="1"/>
  <c r="Q117" i="13"/>
  <c r="P499" i="11"/>
  <c r="P28" i="12"/>
  <c r="P501" i="11"/>
  <c r="Q501" i="11" s="1"/>
  <c r="Q497" i="11"/>
  <c r="J200" i="26"/>
  <c r="N479" i="8"/>
  <c r="J147" i="26"/>
  <c r="P317" i="9"/>
  <c r="P329" i="9"/>
  <c r="N104" i="8"/>
  <c r="N108" i="8"/>
  <c r="N93" i="8"/>
  <c r="O539" i="22"/>
  <c r="O579" i="22" s="1"/>
  <c r="O553" i="22"/>
  <c r="O515" i="22"/>
  <c r="B7" i="26"/>
  <c r="R187" i="8"/>
  <c r="R190" i="8"/>
  <c r="R208" i="8"/>
  <c r="R215" i="8"/>
  <c r="S158" i="10"/>
  <c r="L35" i="13"/>
  <c r="M35" i="13" s="1"/>
  <c r="I112" i="26"/>
  <c r="M19" i="13"/>
  <c r="I119" i="26"/>
  <c r="M27" i="13"/>
  <c r="L9" i="13"/>
  <c r="L32" i="13"/>
  <c r="M32" i="13" s="1"/>
  <c r="I118" i="26"/>
  <c r="M26" i="13"/>
  <c r="R443" i="11"/>
  <c r="T304" i="8"/>
  <c r="T305" i="8"/>
  <c r="T262" i="8"/>
  <c r="T96" i="11"/>
  <c r="T54" i="11"/>
  <c r="T97" i="11"/>
  <c r="P1085" i="24"/>
  <c r="P1109" i="24"/>
  <c r="R34" i="8"/>
  <c r="S528" i="8"/>
  <c r="S555" i="8"/>
  <c r="S553" i="8"/>
  <c r="S531" i="8"/>
  <c r="T348" i="8"/>
  <c r="T276" i="8"/>
  <c r="T349" i="8"/>
  <c r="T59" i="11"/>
  <c r="T114" i="11"/>
  <c r="T113" i="11"/>
  <c r="T275" i="8"/>
  <c r="T344" i="8"/>
  <c r="T345" i="8"/>
  <c r="T55" i="11"/>
  <c r="T100" i="11"/>
  <c r="T101" i="11"/>
  <c r="P1092" i="24"/>
  <c r="P44" i="11"/>
  <c r="Q44" i="11" s="1"/>
  <c r="Q18" i="11"/>
  <c r="P22" i="11"/>
  <c r="R77" i="11"/>
  <c r="R74" i="11"/>
  <c r="R82" i="11"/>
  <c r="B26" i="5"/>
  <c r="P17" i="3"/>
  <c r="P21" i="3"/>
  <c r="P11" i="6" s="1"/>
  <c r="R7" i="3"/>
  <c r="P27" i="3"/>
  <c r="P12" i="6" s="1"/>
  <c r="P20" i="6"/>
  <c r="Q20" i="6" s="1"/>
  <c r="P10" i="6"/>
  <c r="P14" i="6"/>
  <c r="Q14" i="6" s="1"/>
  <c r="P15" i="6"/>
  <c r="Q15" i="6" s="1"/>
  <c r="P26" i="8"/>
  <c r="P139" i="8"/>
  <c r="P514" i="8"/>
  <c r="P308" i="11"/>
  <c r="L103" i="26"/>
  <c r="P52" i="13"/>
  <c r="M1217" i="24"/>
  <c r="P56" i="13"/>
  <c r="Q56" i="13" s="1"/>
  <c r="M1214" i="24"/>
  <c r="M1213" i="24"/>
  <c r="P51" i="13"/>
  <c r="P55" i="13"/>
  <c r="M1218" i="24"/>
  <c r="P28" i="14" s="1"/>
  <c r="Q308" i="11"/>
  <c r="Q10" i="6"/>
  <c r="Q17" i="3"/>
  <c r="Q139" i="8"/>
  <c r="Q12" i="6"/>
  <c r="Q11" i="6"/>
  <c r="Q21" i="3"/>
  <c r="Q26" i="8"/>
  <c r="Q27" i="3"/>
  <c r="Q6" i="3"/>
  <c r="Q514" i="8"/>
  <c r="P335" i="7"/>
  <c r="Q18" i="6"/>
  <c r="P19" i="6"/>
  <c r="Q19" i="6" s="1"/>
  <c r="L32" i="9"/>
  <c r="L1471" i="24"/>
  <c r="L1477" i="24"/>
  <c r="P201" i="13"/>
  <c r="Q201" i="13" s="1"/>
  <c r="Q193" i="13"/>
  <c r="P194" i="13"/>
  <c r="Q91" i="7"/>
  <c r="P12" i="3"/>
  <c r="Q12" i="3" s="1"/>
  <c r="P107" i="7"/>
  <c r="Q107" i="7" s="1"/>
  <c r="M138" i="7"/>
  <c r="M139" i="7"/>
  <c r="A109" i="23"/>
  <c r="B109" i="23"/>
  <c r="R138" i="12"/>
  <c r="S166" i="7"/>
  <c r="R156" i="7"/>
  <c r="R153" i="7"/>
  <c r="N148" i="22"/>
  <c r="N174" i="22" s="1"/>
  <c r="N172" i="22"/>
  <c r="O80" i="13"/>
  <c r="O134" i="14"/>
  <c r="O101" i="14"/>
  <c r="K87" i="26"/>
  <c r="Q49" i="10"/>
  <c r="Q52" i="10"/>
  <c r="N500" i="8"/>
  <c r="J193" i="26"/>
  <c r="N448" i="8"/>
  <c r="N93" i="7"/>
  <c r="N104" i="7"/>
  <c r="N108" i="7"/>
  <c r="O318" i="9"/>
  <c r="O321" i="9"/>
  <c r="O326" i="9"/>
  <c r="O195" i="12"/>
  <c r="O198" i="12"/>
  <c r="S133" i="12"/>
  <c r="S109" i="12"/>
  <c r="S111" i="12"/>
  <c r="S216" i="10"/>
  <c r="T231" i="10"/>
  <c r="S194" i="10"/>
  <c r="S191" i="10"/>
  <c r="P684" i="22"/>
  <c r="O522" i="22"/>
  <c r="O554" i="22"/>
  <c r="R75" i="7"/>
  <c r="R97" i="7"/>
  <c r="P696" i="22"/>
  <c r="O453" i="22"/>
  <c r="O485" i="22"/>
  <c r="O607" i="22"/>
  <c r="B23" i="26"/>
  <c r="S49" i="8"/>
  <c r="S186" i="8"/>
  <c r="N177" i="26"/>
  <c r="Q85" i="10"/>
  <c r="Q82" i="10"/>
  <c r="N793" i="24"/>
  <c r="N790" i="24"/>
  <c r="N798" i="24"/>
  <c r="L35" i="9"/>
  <c r="L1475" i="24"/>
  <c r="N178" i="26"/>
  <c r="O477" i="22"/>
  <c r="O599" i="22"/>
  <c r="N182" i="26"/>
  <c r="R192" i="13"/>
  <c r="N204" i="26"/>
  <c r="Q91" i="8"/>
  <c r="P107" i="8"/>
  <c r="Q107" i="8" s="1"/>
  <c r="S155" i="11"/>
  <c r="S193" i="11"/>
  <c r="S157" i="11"/>
  <c r="S239" i="7"/>
  <c r="S284" i="8"/>
  <c r="S293" i="8"/>
  <c r="R96" i="10"/>
  <c r="R99" i="10"/>
  <c r="N752" i="24"/>
  <c r="N749" i="24"/>
  <c r="N757" i="24"/>
  <c r="Q149" i="12"/>
  <c r="P150" i="12"/>
  <c r="P153" i="12"/>
  <c r="Q461" i="24"/>
  <c r="Q315" i="9"/>
  <c r="P787" i="24"/>
  <c r="N215" i="13"/>
  <c r="N219" i="13" s="1"/>
  <c r="S113" i="10"/>
  <c r="O776" i="24"/>
  <c r="O800" i="24"/>
  <c r="O778" i="24"/>
  <c r="O804" i="24" s="1"/>
  <c r="P304" i="9"/>
  <c r="P328" i="9"/>
  <c r="P306" i="9"/>
  <c r="P332" i="9" s="1"/>
  <c r="O14" i="7"/>
  <c r="O72" i="7"/>
  <c r="O76" i="7"/>
  <c r="O219" i="11"/>
  <c r="O425" i="8"/>
  <c r="O229" i="11"/>
  <c r="O428" i="8"/>
  <c r="L135" i="26"/>
  <c r="Q366" i="11"/>
  <c r="K216" i="26"/>
  <c r="O384" i="11"/>
  <c r="O387" i="11"/>
  <c r="O170" i="13"/>
  <c r="O172" i="13"/>
  <c r="T244" i="10"/>
  <c r="N421" i="22"/>
  <c r="N399" i="22"/>
  <c r="N396" i="22"/>
  <c r="S260" i="10"/>
  <c r="S253" i="10"/>
  <c r="N157" i="13"/>
  <c r="N161" i="13"/>
  <c r="M649" i="22"/>
  <c r="O59" i="16"/>
  <c r="O71" i="16"/>
  <c r="S208" i="7"/>
  <c r="S60" i="11"/>
  <c r="S84" i="11"/>
  <c r="S62" i="11"/>
  <c r="S334" i="8"/>
  <c r="S310" i="8"/>
  <c r="S388" i="8"/>
  <c r="S312" i="8"/>
  <c r="P72" i="12"/>
  <c r="P159" i="12"/>
  <c r="Q159" i="12" s="1"/>
  <c r="Q40" i="12"/>
  <c r="Q72" i="12"/>
  <c r="R367" i="8"/>
  <c r="R364" i="8"/>
  <c r="R399" i="8"/>
  <c r="R372" i="8"/>
  <c r="M110" i="22"/>
  <c r="M136" i="22" s="1"/>
  <c r="M128" i="22"/>
  <c r="O90" i="14"/>
  <c r="O115" i="14"/>
  <c r="O68" i="14" s="1"/>
  <c r="O377" i="7"/>
  <c r="N267" i="22"/>
  <c r="N273" i="22"/>
  <c r="N299" i="22" s="1"/>
  <c r="N291" i="22"/>
  <c r="L54" i="22"/>
  <c r="L86" i="22"/>
  <c r="L90" i="22"/>
  <c r="L58" i="22"/>
  <c r="O376" i="7"/>
  <c r="O370" i="7"/>
  <c r="Q360" i="9"/>
  <c r="Q457" i="24"/>
  <c r="Q311" i="9"/>
  <c r="P234" i="9"/>
  <c r="P783" i="24"/>
  <c r="Q186" i="7"/>
  <c r="Q189" i="7"/>
  <c r="N503" i="22"/>
  <c r="N665" i="22" s="1"/>
  <c r="N625" i="22"/>
  <c r="K131" i="26"/>
  <c r="O397" i="11"/>
  <c r="O14" i="3"/>
  <c r="O400" i="11"/>
  <c r="P126" i="13"/>
  <c r="P132" i="13"/>
  <c r="Q132" i="13" s="1"/>
  <c r="Q116" i="13"/>
  <c r="M26" i="7"/>
  <c r="M25" i="7"/>
  <c r="S127" i="10"/>
  <c r="O789" i="24"/>
  <c r="O801" i="24"/>
  <c r="M288" i="7"/>
  <c r="M289" i="7"/>
  <c r="Q365" i="9"/>
  <c r="Q341" i="9"/>
  <c r="Q444" i="24"/>
  <c r="Q298" i="9"/>
  <c r="R153" i="8"/>
  <c r="S32" i="8"/>
  <c r="S154" i="8"/>
  <c r="S148" i="8"/>
  <c r="P775" i="24"/>
  <c r="T147" i="7"/>
  <c r="V589" i="8"/>
  <c r="T193" i="10"/>
  <c r="V226" i="10"/>
  <c r="T57" i="10"/>
  <c r="T409" i="11"/>
  <c r="T104" i="12"/>
  <c r="P730" i="24"/>
  <c r="U185" i="10"/>
  <c r="Y226" i="10"/>
  <c r="Y589" i="8"/>
  <c r="P243" i="8"/>
  <c r="Q243" i="8" s="1"/>
  <c r="Q235" i="8"/>
  <c r="P236" i="8"/>
  <c r="Q209" i="11"/>
  <c r="Q200" i="11"/>
  <c r="Q212" i="11"/>
  <c r="Q173" i="11"/>
  <c r="R152" i="12"/>
  <c r="R145" i="12"/>
  <c r="A24" i="26"/>
  <c r="D172" i="10" s="1"/>
  <c r="S38" i="7"/>
  <c r="S169" i="8"/>
  <c r="S608" i="8"/>
  <c r="R34" i="7"/>
  <c r="O135" i="14"/>
  <c r="O374" i="7"/>
  <c r="L81" i="16"/>
  <c r="L20" i="16" s="1"/>
  <c r="L12" i="4" s="1"/>
  <c r="I161" i="26" s="1"/>
  <c r="M89" i="16"/>
  <c r="M79" i="16" s="1"/>
  <c r="N115" i="8"/>
  <c r="N441" i="8"/>
  <c r="N497" i="8"/>
  <c r="J192" i="26"/>
  <c r="N445" i="8"/>
  <c r="N13" i="3"/>
  <c r="N140" i="14"/>
  <c r="S154" i="7"/>
  <c r="T160" i="7"/>
  <c r="S298" i="7"/>
  <c r="T160" i="8"/>
  <c r="T578" i="8"/>
  <c r="S414" i="11"/>
  <c r="S438" i="11"/>
  <c r="S416" i="11"/>
  <c r="S98" i="10"/>
  <c r="S23" i="10"/>
  <c r="S58" i="10"/>
  <c r="O398" i="22"/>
  <c r="B25" i="26"/>
  <c r="R226" i="8"/>
  <c r="R239" i="8"/>
  <c r="R31" i="11"/>
  <c r="R395" i="11"/>
  <c r="R162" i="12"/>
  <c r="R30" i="11"/>
  <c r="R382" i="11"/>
  <c r="R345" i="7"/>
  <c r="R244" i="7"/>
  <c r="R249" i="7"/>
  <c r="P28" i="22"/>
  <c r="O566" i="22"/>
  <c r="O534" i="22"/>
  <c r="O574" i="22" s="1"/>
  <c r="N331" i="7"/>
  <c r="N69" i="13"/>
  <c r="Q408" i="8"/>
  <c r="Q420" i="8"/>
  <c r="Q381" i="8"/>
  <c r="Q417" i="8"/>
  <c r="O489" i="22"/>
  <c r="O651" i="22" s="1"/>
  <c r="O611" i="22"/>
  <c r="S70" i="7"/>
  <c r="S81" i="8"/>
  <c r="O558" i="22"/>
  <c r="O84" i="7"/>
  <c r="O84" i="8"/>
  <c r="O48" i="11"/>
  <c r="N9" i="17"/>
  <c r="K714" i="22"/>
  <c r="R188" i="12"/>
  <c r="M133" i="26"/>
  <c r="S143" i="12"/>
  <c r="N218" i="26"/>
  <c r="S85" i="11"/>
  <c r="S73" i="11"/>
  <c r="S212" i="7"/>
  <c r="K24" i="3"/>
  <c r="U538" i="8"/>
  <c r="M307" i="11"/>
  <c r="M308" i="11"/>
  <c r="Q203" i="8"/>
  <c r="Q200" i="8"/>
  <c r="P216" i="8"/>
  <c r="P213" i="8"/>
  <c r="P204" i="8"/>
  <c r="O245" i="9"/>
  <c r="O223" i="9"/>
  <c r="O220" i="9"/>
  <c r="P258" i="9"/>
  <c r="P923" i="22"/>
  <c r="P474" i="24"/>
  <c r="P450" i="24"/>
  <c r="P452" i="24"/>
  <c r="P478" i="24" s="1"/>
  <c r="R379" i="8"/>
  <c r="R406" i="8"/>
  <c r="L210" i="26"/>
  <c r="Q568" i="8"/>
  <c r="Q571" i="8"/>
  <c r="R494" i="11"/>
  <c r="R508" i="11"/>
  <c r="R11" i="12"/>
  <c r="R488" i="11"/>
  <c r="N1184" i="24" s="1"/>
  <c r="R105" i="13"/>
  <c r="O184" i="22"/>
  <c r="R106" i="13"/>
  <c r="R104" i="13"/>
  <c r="O197" i="22"/>
  <c r="P307" i="22"/>
  <c r="P225" i="22"/>
  <c r="P238" i="22"/>
  <c r="P320" i="22"/>
  <c r="N899" i="22"/>
  <c r="N1195" i="24"/>
  <c r="M69" i="26"/>
  <c r="N1143" i="24"/>
  <c r="R481" i="11"/>
  <c r="O760" i="24"/>
  <c r="O748" i="24"/>
  <c r="A125" i="23"/>
  <c r="B125" i="23"/>
  <c r="A18" i="26"/>
  <c r="D170" i="10" s="1"/>
  <c r="L224" i="26"/>
  <c r="Q455" i="11"/>
  <c r="Q458" i="11"/>
  <c r="M500" i="22"/>
  <c r="M662" i="22" s="1"/>
  <c r="M622" i="22"/>
  <c r="O363" i="9"/>
  <c r="O372" i="9"/>
  <c r="O375" i="9"/>
  <c r="S227" i="7"/>
  <c r="S190" i="11"/>
  <c r="S118" i="11"/>
  <c r="S123" i="11"/>
  <c r="S289" i="8"/>
  <c r="S271" i="8"/>
  <c r="S264" i="8"/>
  <c r="R410" i="8"/>
  <c r="L61" i="22"/>
  <c r="L95" i="22" s="1"/>
  <c r="L83" i="22"/>
  <c r="O46" i="14"/>
  <c r="O364" i="7"/>
  <c r="O382" i="7"/>
  <c r="O79" i="7"/>
  <c r="O68" i="8"/>
  <c r="O47" i="11"/>
  <c r="L1239" i="24"/>
  <c r="L1245" i="24"/>
  <c r="O51" i="14"/>
  <c r="N168" i="22"/>
  <c r="N144" i="22"/>
  <c r="N150" i="22"/>
  <c r="L376" i="22"/>
  <c r="L382" i="22"/>
  <c r="O10" i="14"/>
  <c r="O97" i="14"/>
  <c r="K84" i="26"/>
  <c r="L60" i="22"/>
  <c r="L94" i="22" s="1"/>
  <c r="L82" i="22"/>
  <c r="L50" i="22"/>
  <c r="O363" i="7"/>
  <c r="O357" i="7"/>
  <c r="O381" i="7"/>
  <c r="T150" i="7"/>
  <c r="V580" i="8"/>
  <c r="T60" i="10"/>
  <c r="T205" i="10"/>
  <c r="V238" i="10"/>
  <c r="T421" i="11"/>
  <c r="T116" i="12"/>
  <c r="P742" i="24"/>
  <c r="Y238" i="10"/>
  <c r="Y580" i="8"/>
  <c r="U197" i="10"/>
  <c r="O255" i="8"/>
  <c r="N176" i="22" l="1"/>
  <c r="O639" i="22"/>
  <c r="O14" i="14"/>
  <c r="O73" i="14"/>
  <c r="O76" i="14"/>
  <c r="V164" i="7"/>
  <c r="V161" i="8"/>
  <c r="V582" i="8"/>
  <c r="Y164" i="7"/>
  <c r="U150" i="7"/>
  <c r="Y161" i="8"/>
  <c r="Y582" i="8"/>
  <c r="L384" i="22"/>
  <c r="L381" i="22"/>
  <c r="S198" i="11"/>
  <c r="S131" i="11"/>
  <c r="P328" i="22"/>
  <c r="P321" i="22"/>
  <c r="R137" i="13"/>
  <c r="R110" i="13"/>
  <c r="P925" i="22"/>
  <c r="P931" i="22"/>
  <c r="P944" i="22" s="1"/>
  <c r="P936" i="22"/>
  <c r="R206" i="12"/>
  <c r="M215" i="26"/>
  <c r="S442" i="11"/>
  <c r="T168" i="7"/>
  <c r="T37" i="8"/>
  <c r="T162" i="8"/>
  <c r="T583" i="8"/>
  <c r="T586" i="8"/>
  <c r="U60" i="10"/>
  <c r="L59" i="22"/>
  <c r="O148" i="13"/>
  <c r="L62" i="22"/>
  <c r="L84" i="22"/>
  <c r="P246" i="22"/>
  <c r="P239" i="22"/>
  <c r="R107" i="13"/>
  <c r="R136" i="13"/>
  <c r="R109" i="13"/>
  <c r="P260" i="9"/>
  <c r="P284" i="9"/>
  <c r="P217" i="9"/>
  <c r="T525" i="8"/>
  <c r="T188" i="10"/>
  <c r="P1087" i="24"/>
  <c r="Q343" i="9"/>
  <c r="P262" i="9"/>
  <c r="P288" i="9" s="1"/>
  <c r="O87" i="8"/>
  <c r="O89" i="8"/>
  <c r="R257" i="7"/>
  <c r="R198" i="7"/>
  <c r="R32" i="11"/>
  <c r="M91" i="16"/>
  <c r="N89" i="16"/>
  <c r="P738" i="24"/>
  <c r="U57" i="10"/>
  <c r="V161" i="7"/>
  <c r="V164" i="8"/>
  <c r="V591" i="8"/>
  <c r="Y161" i="7"/>
  <c r="U147" i="7"/>
  <c r="Y164" i="8"/>
  <c r="Y591" i="8"/>
  <c r="Q300" i="9"/>
  <c r="Q324" i="9"/>
  <c r="Q126" i="13"/>
  <c r="P142" i="13"/>
  <c r="Q142" i="13" s="1"/>
  <c r="N272" i="22"/>
  <c r="N275" i="22"/>
  <c r="N293" i="22"/>
  <c r="R412" i="8"/>
  <c r="S390" i="8"/>
  <c r="S336" i="8"/>
  <c r="S311" i="8"/>
  <c r="S314" i="8"/>
  <c r="K217" i="26"/>
  <c r="O490" i="8"/>
  <c r="K190" i="26"/>
  <c r="Q271" i="9"/>
  <c r="Q927" i="22"/>
  <c r="Q150" i="12"/>
  <c r="Q153" i="12"/>
  <c r="N510" i="8"/>
  <c r="Q194" i="13"/>
  <c r="L1479" i="24"/>
  <c r="L1476" i="24"/>
  <c r="Q335" i="7"/>
  <c r="P336" i="7"/>
  <c r="Q336" i="7" s="1"/>
  <c r="P57" i="13"/>
  <c r="Q57" i="13" s="1"/>
  <c r="Q55" i="13"/>
  <c r="C8" i="4"/>
  <c r="C6" i="5"/>
  <c r="B28" i="5"/>
  <c r="C9" i="16"/>
  <c r="T126" i="11"/>
  <c r="T102" i="11"/>
  <c r="U100" i="11"/>
  <c r="T277" i="8"/>
  <c r="U275" i="8"/>
  <c r="T115" i="11"/>
  <c r="U113" i="11"/>
  <c r="U276" i="8"/>
  <c r="T351" i="11"/>
  <c r="T288" i="8"/>
  <c r="U288" i="8" s="1"/>
  <c r="T270" i="8"/>
  <c r="U262" i="8"/>
  <c r="Q499" i="11"/>
  <c r="P500" i="11"/>
  <c r="P503" i="11"/>
  <c r="N506" i="22"/>
  <c r="N668" i="22" s="1"/>
  <c r="N628" i="22"/>
  <c r="U530" i="8"/>
  <c r="P61" i="12"/>
  <c r="Q61" i="12" s="1"/>
  <c r="P54" i="12"/>
  <c r="Q53" i="12"/>
  <c r="U89" i="10"/>
  <c r="U278" i="10"/>
  <c r="U270" i="10"/>
  <c r="U150" i="8"/>
  <c r="O79" i="13"/>
  <c r="L353" i="22"/>
  <c r="L356" i="22"/>
  <c r="O16" i="17"/>
  <c r="O10" i="17"/>
  <c r="L715" i="22" s="1"/>
  <c r="K145" i="26"/>
  <c r="S393" i="8"/>
  <c r="S339" i="8"/>
  <c r="B171" i="10"/>
  <c r="B174" i="10"/>
  <c r="A133" i="23"/>
  <c r="B133" i="23"/>
  <c r="O208" i="12"/>
  <c r="O211" i="12"/>
  <c r="R245" i="7"/>
  <c r="R242" i="7"/>
  <c r="R250" i="7"/>
  <c r="R256" i="7"/>
  <c r="Q9" i="4"/>
  <c r="P19" i="5"/>
  <c r="R12" i="16"/>
  <c r="P10" i="15"/>
  <c r="U71" i="11"/>
  <c r="R10" i="10"/>
  <c r="R48" i="10"/>
  <c r="A8" i="26"/>
  <c r="C166" i="10" s="1"/>
  <c r="R83" i="10"/>
  <c r="R126" i="7"/>
  <c r="R126" i="8"/>
  <c r="R473" i="8"/>
  <c r="R274" i="11"/>
  <c r="A163" i="23"/>
  <c r="R57" i="7"/>
  <c r="R185" i="7"/>
  <c r="R181" i="12"/>
  <c r="R183" i="12"/>
  <c r="R567" i="8"/>
  <c r="M207" i="26"/>
  <c r="R569" i="8"/>
  <c r="R211" i="11"/>
  <c r="T162" i="7"/>
  <c r="N301" i="11"/>
  <c r="N278" i="7"/>
  <c r="N132" i="7"/>
  <c r="L19" i="3"/>
  <c r="L47" i="13"/>
  <c r="M47" i="13" s="1"/>
  <c r="L10" i="13"/>
  <c r="M10" i="13" s="1"/>
  <c r="I117" i="26"/>
  <c r="M8" i="13"/>
  <c r="M180" i="26"/>
  <c r="O244" i="22"/>
  <c r="O247" i="22"/>
  <c r="T75" i="11"/>
  <c r="U67" i="11"/>
  <c r="S252" i="7"/>
  <c r="S230" i="7"/>
  <c r="M657" i="22"/>
  <c r="M654" i="22"/>
  <c r="P168" i="13"/>
  <c r="M550" i="22"/>
  <c r="M586" i="22"/>
  <c r="M577" i="22"/>
  <c r="M589" i="22"/>
  <c r="S498" i="11"/>
  <c r="O1147" i="24" s="1"/>
  <c r="O1161" i="24" s="1"/>
  <c r="S197" i="13" s="1"/>
  <c r="S512" i="11"/>
  <c r="S15" i="12"/>
  <c r="S120" i="13"/>
  <c r="P188" i="22"/>
  <c r="Q242" i="22"/>
  <c r="S121" i="13"/>
  <c r="S122" i="13"/>
  <c r="P201" i="22"/>
  <c r="Q324" i="22"/>
  <c r="Q229" i="22"/>
  <c r="Q255" i="22" s="1"/>
  <c r="Q311" i="22"/>
  <c r="Q337" i="22" s="1"/>
  <c r="O900" i="22"/>
  <c r="N72" i="26"/>
  <c r="O1199" i="24"/>
  <c r="R247" i="8"/>
  <c r="O635" i="22"/>
  <c r="N21" i="5"/>
  <c r="O387" i="7"/>
  <c r="S151" i="7"/>
  <c r="T593" i="8"/>
  <c r="S61" i="10"/>
  <c r="S206" i="10"/>
  <c r="T239" i="10"/>
  <c r="S422" i="11"/>
  <c r="S117" i="12"/>
  <c r="O743" i="24"/>
  <c r="S300" i="7"/>
  <c r="S93" i="10"/>
  <c r="S211" i="10"/>
  <c r="S199" i="10"/>
  <c r="O340" i="22"/>
  <c r="O326" i="22"/>
  <c r="O329" i="22"/>
  <c r="Q259" i="9"/>
  <c r="Q924" i="22"/>
  <c r="S320" i="7"/>
  <c r="S317" i="7"/>
  <c r="N135" i="7"/>
  <c r="Q20" i="12"/>
  <c r="Q17" i="12"/>
  <c r="P20" i="12"/>
  <c r="P17" i="12"/>
  <c r="L1244" i="24"/>
  <c r="L1247" i="24"/>
  <c r="S253" i="7"/>
  <c r="S231" i="7"/>
  <c r="N1372" i="24"/>
  <c r="N1203" i="24"/>
  <c r="N1196" i="24"/>
  <c r="T312" i="7"/>
  <c r="N503" i="8"/>
  <c r="N451" i="8"/>
  <c r="O150" i="13"/>
  <c r="L92" i="22"/>
  <c r="S338" i="8"/>
  <c r="S392" i="8"/>
  <c r="O802" i="24"/>
  <c r="O780" i="24"/>
  <c r="O777" i="24"/>
  <c r="N803" i="24"/>
  <c r="N794" i="24"/>
  <c r="N806" i="24"/>
  <c r="N179" i="26"/>
  <c r="T232" i="10"/>
  <c r="T235" i="10"/>
  <c r="S135" i="12"/>
  <c r="S110" i="12"/>
  <c r="S113" i="12"/>
  <c r="O322" i="9"/>
  <c r="O331" i="9"/>
  <c r="O334" i="9"/>
  <c r="S170" i="7"/>
  <c r="S167" i="7"/>
  <c r="L38" i="9"/>
  <c r="P59" i="13"/>
  <c r="Q59" i="13" s="1"/>
  <c r="P53" i="13"/>
  <c r="Q51" i="13"/>
  <c r="P27" i="14"/>
  <c r="M1219" i="24"/>
  <c r="T63" i="11"/>
  <c r="U55" i="11"/>
  <c r="U114" i="11"/>
  <c r="T350" i="8"/>
  <c r="U348" i="8"/>
  <c r="T223" i="7"/>
  <c r="T177" i="11"/>
  <c r="U177" i="11" s="1"/>
  <c r="T105" i="11"/>
  <c r="U97" i="11"/>
  <c r="T385" i="8"/>
  <c r="U385" i="8" s="1"/>
  <c r="T331" i="8"/>
  <c r="U305" i="8"/>
  <c r="I124" i="26"/>
  <c r="M9" i="13"/>
  <c r="O555" i="22"/>
  <c r="O256" i="22"/>
  <c r="O231" i="22"/>
  <c r="O234" i="22"/>
  <c r="N482" i="22"/>
  <c r="N604" i="22"/>
  <c r="N479" i="22"/>
  <c r="N601" i="22"/>
  <c r="N504" i="22"/>
  <c r="N666" i="22" s="1"/>
  <c r="N626" i="22"/>
  <c r="B16" i="5"/>
  <c r="R217" i="7"/>
  <c r="R214" i="7"/>
  <c r="P45" i="11"/>
  <c r="Q45" i="11" s="1"/>
  <c r="Q19" i="11"/>
  <c r="P20" i="11"/>
  <c r="P23" i="11"/>
  <c r="U147" i="8"/>
  <c r="P755" i="24"/>
  <c r="P731" i="24"/>
  <c r="V584" i="8"/>
  <c r="V251" i="10"/>
  <c r="Y584" i="8"/>
  <c r="Y251" i="10"/>
  <c r="U210" i="10"/>
  <c r="M1377" i="24"/>
  <c r="M1379" i="24"/>
  <c r="N162" i="22"/>
  <c r="N165" i="22"/>
  <c r="O115" i="7"/>
  <c r="O242" i="11"/>
  <c r="K142" i="26"/>
  <c r="G140" i="26"/>
  <c r="J21" i="3"/>
  <c r="J11" i="6" s="1"/>
  <c r="L188" i="26"/>
  <c r="Q11" i="8"/>
  <c r="N137" i="14"/>
  <c r="N141" i="14"/>
  <c r="B137" i="23"/>
  <c r="A137" i="23"/>
  <c r="R334" i="7"/>
  <c r="R86" i="7"/>
  <c r="R86" i="8"/>
  <c r="R208" i="11"/>
  <c r="T323" i="8"/>
  <c r="U321" i="8"/>
  <c r="S493" i="11"/>
  <c r="S507" i="11"/>
  <c r="S10" i="12"/>
  <c r="S100" i="13"/>
  <c r="Q224" i="22"/>
  <c r="S101" i="13"/>
  <c r="S99" i="13"/>
  <c r="Q319" i="22"/>
  <c r="P183" i="22"/>
  <c r="Q306" i="22"/>
  <c r="P196" i="22"/>
  <c r="Q237" i="22"/>
  <c r="N68" i="26"/>
  <c r="O1194" i="24"/>
  <c r="O895" i="22"/>
  <c r="O1142" i="24"/>
  <c r="R477" i="8"/>
  <c r="R285" i="11"/>
  <c r="A83" i="23"/>
  <c r="A85" i="23" s="1" a="1"/>
  <c r="A6" i="26"/>
  <c r="D165" i="10" s="1"/>
  <c r="N486" i="22"/>
  <c r="N608" i="22"/>
  <c r="N454" i="22"/>
  <c r="N447" i="22"/>
  <c r="N459" i="22"/>
  <c r="O213" i="13"/>
  <c r="O57" i="14"/>
  <c r="O634" i="22"/>
  <c r="T268" i="8"/>
  <c r="U266" i="8"/>
  <c r="O69" i="14"/>
  <c r="O13" i="14"/>
  <c r="O75" i="14"/>
  <c r="O46" i="11"/>
  <c r="O37" i="11"/>
  <c r="O49" i="11"/>
  <c r="U120" i="12"/>
  <c r="R201" i="12"/>
  <c r="M211" i="26"/>
  <c r="R101" i="8"/>
  <c r="R90" i="8"/>
  <c r="N183" i="26"/>
  <c r="N297" i="11"/>
  <c r="R139" i="12"/>
  <c r="R136" i="12"/>
  <c r="R127" i="12"/>
  <c r="R101" i="7"/>
  <c r="R90" i="7"/>
  <c r="P256" i="8"/>
  <c r="Q256" i="8" s="1"/>
  <c r="Q230" i="8"/>
  <c r="Q307" i="9"/>
  <c r="P361" i="9"/>
  <c r="P374" i="9" s="1"/>
  <c r="P458" i="24"/>
  <c r="P312" i="9"/>
  <c r="P366" i="9"/>
  <c r="P354" i="9"/>
  <c r="S151" i="8"/>
  <c r="S543" i="8"/>
  <c r="S548" i="8"/>
  <c r="S536" i="8"/>
  <c r="R288" i="10"/>
  <c r="R33" i="10"/>
  <c r="R285" i="10"/>
  <c r="N482" i="8"/>
  <c r="P470" i="11"/>
  <c r="Q470" i="11" s="1"/>
  <c r="P327" i="11"/>
  <c r="Q327" i="11"/>
  <c r="Q515" i="11"/>
  <c r="P225" i="8"/>
  <c r="P238" i="8"/>
  <c r="P26" i="11"/>
  <c r="P27" i="11"/>
  <c r="P381" i="11"/>
  <c r="P394" i="11"/>
  <c r="P161" i="12"/>
  <c r="Q161" i="12" s="1"/>
  <c r="P344" i="7"/>
  <c r="M66" i="9"/>
  <c r="M62" i="9"/>
  <c r="Q466" i="11"/>
  <c r="P932" i="22"/>
  <c r="P929" i="22"/>
  <c r="P750" i="24"/>
  <c r="O102" i="14"/>
  <c r="O105" i="14"/>
  <c r="L1301" i="24"/>
  <c r="L1305" i="24"/>
  <c r="L1304" i="24"/>
  <c r="L1302" i="24"/>
  <c r="L1303" i="24"/>
  <c r="K88" i="26"/>
  <c r="N149" i="22"/>
  <c r="N152" i="22"/>
  <c r="N170" i="22"/>
  <c r="O71" i="8"/>
  <c r="O100" i="8"/>
  <c r="O73" i="8"/>
  <c r="S64" i="8"/>
  <c r="S290" i="8"/>
  <c r="S272" i="8"/>
  <c r="S269" i="8"/>
  <c r="S203" i="11"/>
  <c r="P233" i="22"/>
  <c r="P259" i="22" s="1"/>
  <c r="P251" i="22"/>
  <c r="P226" i="22"/>
  <c r="R138" i="13"/>
  <c r="R111" i="13"/>
  <c r="R19" i="12"/>
  <c r="R12" i="12"/>
  <c r="P476" i="24"/>
  <c r="P30" i="21" s="1"/>
  <c r="P451" i="24"/>
  <c r="P454" i="24"/>
  <c r="O87" i="7"/>
  <c r="O100" i="7"/>
  <c r="R252" i="8"/>
  <c r="N507" i="8"/>
  <c r="O89" i="16"/>
  <c r="M81" i="16"/>
  <c r="M20" i="16" s="1"/>
  <c r="N79" i="16"/>
  <c r="N81" i="16"/>
  <c r="T112" i="12"/>
  <c r="U104" i="12"/>
  <c r="T114" i="10"/>
  <c r="Q254" i="9"/>
  <c r="Q910" i="22"/>
  <c r="Q470" i="24"/>
  <c r="Q446" i="24"/>
  <c r="Q319" i="9"/>
  <c r="O149" i="13"/>
  <c r="L88" i="22"/>
  <c r="S414" i="8"/>
  <c r="S86" i="11"/>
  <c r="S61" i="11"/>
  <c r="S64" i="11"/>
  <c r="P69" i="16"/>
  <c r="O61" i="16"/>
  <c r="O265" i="7"/>
  <c r="O235" i="11"/>
  <c r="K144" i="26"/>
  <c r="T126" i="10"/>
  <c r="T124" i="12"/>
  <c r="U124" i="12" s="1"/>
  <c r="U116" i="12"/>
  <c r="V246" i="10"/>
  <c r="Y246" i="10"/>
  <c r="U205" i="10"/>
  <c r="O383" i="7"/>
  <c r="O365" i="7"/>
  <c r="O362" i="7"/>
  <c r="O82" i="7"/>
  <c r="O89" i="7"/>
  <c r="O95" i="7"/>
  <c r="O390" i="7"/>
  <c r="N1177" i="24"/>
  <c r="M70" i="26"/>
  <c r="N901" i="22"/>
  <c r="N8" i="21" s="1"/>
  <c r="N903" i="22"/>
  <c r="P315" i="22"/>
  <c r="P341" i="22" s="1"/>
  <c r="P333" i="22"/>
  <c r="P308" i="22"/>
  <c r="O210" i="22"/>
  <c r="O192" i="22"/>
  <c r="O185" i="22"/>
  <c r="R463" i="11"/>
  <c r="R320" i="11"/>
  <c r="R71" i="12" s="1"/>
  <c r="R516" i="11"/>
  <c r="R365" i="11"/>
  <c r="R39" i="12"/>
  <c r="M105" i="26"/>
  <c r="R509" i="11"/>
  <c r="R419" i="8"/>
  <c r="Q204" i="8"/>
  <c r="Q216" i="8"/>
  <c r="Q213" i="8"/>
  <c r="K12" i="5"/>
  <c r="L22" i="16"/>
  <c r="N22" i="5"/>
  <c r="N71" i="13"/>
  <c r="O84" i="16"/>
  <c r="K66" i="26"/>
  <c r="R219" i="12"/>
  <c r="M130" i="26"/>
  <c r="S280" i="10"/>
  <c r="S31" i="10"/>
  <c r="S287" i="10"/>
  <c r="S440" i="11"/>
  <c r="S418" i="11"/>
  <c r="S415" i="11"/>
  <c r="N135" i="8"/>
  <c r="J194" i="26"/>
  <c r="N19" i="8"/>
  <c r="N118" i="8"/>
  <c r="Q236" i="8"/>
  <c r="T417" i="11"/>
  <c r="U409" i="11"/>
  <c r="V234" i="10"/>
  <c r="Y234" i="10"/>
  <c r="U193" i="10"/>
  <c r="S198" i="8"/>
  <c r="S470" i="8"/>
  <c r="S264" i="11"/>
  <c r="B115" i="23"/>
  <c r="O407" i="22"/>
  <c r="O531" i="22"/>
  <c r="O450" i="22"/>
  <c r="N100" i="26"/>
  <c r="B14" i="26"/>
  <c r="P25" i="22"/>
  <c r="P693" i="22"/>
  <c r="S140" i="10"/>
  <c r="S184" i="7"/>
  <c r="S128" i="10"/>
  <c r="S80" i="10"/>
  <c r="K132" i="26"/>
  <c r="T122" i="10"/>
  <c r="P791" i="24"/>
  <c r="Q267" i="9"/>
  <c r="Q914" i="22"/>
  <c r="Q465" i="24"/>
  <c r="R380" i="8"/>
  <c r="R407" i="8"/>
  <c r="R404" i="8"/>
  <c r="R377" i="8"/>
  <c r="R368" i="8"/>
  <c r="S64" i="7"/>
  <c r="S88" i="11"/>
  <c r="S216" i="7"/>
  <c r="S209" i="7"/>
  <c r="O112" i="8"/>
  <c r="O431" i="8"/>
  <c r="O487" i="8"/>
  <c r="K189" i="26"/>
  <c r="P330" i="9"/>
  <c r="P305" i="9"/>
  <c r="P308" i="9"/>
  <c r="S180" i="7"/>
  <c r="S181" i="8"/>
  <c r="S429" i="8"/>
  <c r="S115" i="10"/>
  <c r="S139" i="10"/>
  <c r="S76" i="10"/>
  <c r="S230" i="11"/>
  <c r="B99" i="23"/>
  <c r="O393" i="22"/>
  <c r="O517" i="22"/>
  <c r="O436" i="22"/>
  <c r="N92" i="26"/>
  <c r="B10" i="26"/>
  <c r="P679" i="22"/>
  <c r="P11" i="22"/>
  <c r="S48" i="7"/>
  <c r="S117" i="10"/>
  <c r="S42" i="10"/>
  <c r="R300" i="10"/>
  <c r="S159" i="11"/>
  <c r="S195" i="11"/>
  <c r="S241" i="7"/>
  <c r="O647" i="22"/>
  <c r="O562" i="22"/>
  <c r="T257" i="10"/>
  <c r="P23" i="14"/>
  <c r="M1215" i="24"/>
  <c r="M1221" i="24"/>
  <c r="P60" i="13"/>
  <c r="Q60" i="13" s="1"/>
  <c r="Q52" i="13"/>
  <c r="P68" i="7"/>
  <c r="P79" i="8"/>
  <c r="Q22" i="11"/>
  <c r="T353" i="8"/>
  <c r="U345" i="8"/>
  <c r="U59" i="11"/>
  <c r="T207" i="7"/>
  <c r="T56" i="11"/>
  <c r="T80" i="11"/>
  <c r="U80" i="11" s="1"/>
  <c r="U54" i="11"/>
  <c r="T306" i="8"/>
  <c r="T384" i="8"/>
  <c r="U384" i="8" s="1"/>
  <c r="T330" i="8"/>
  <c r="U304" i="8"/>
  <c r="B164" i="26"/>
  <c r="C19" i="4"/>
  <c r="P63" i="7"/>
  <c r="P63" i="8"/>
  <c r="Q21" i="11"/>
  <c r="P202" i="7"/>
  <c r="Q202" i="7" s="1"/>
  <c r="Q194" i="7"/>
  <c r="P195" i="7"/>
  <c r="T105" i="12"/>
  <c r="T129" i="12"/>
  <c r="U129" i="12" s="1"/>
  <c r="U103" i="12"/>
  <c r="V227" i="10"/>
  <c r="Y227" i="10"/>
  <c r="U186" i="10"/>
  <c r="M1201" i="24"/>
  <c r="M1204" i="24"/>
  <c r="O221" i="12"/>
  <c r="O224" i="12"/>
  <c r="O47" i="14"/>
  <c r="O44" i="14"/>
  <c r="M108" i="22"/>
  <c r="M111" i="22"/>
  <c r="M129" i="22"/>
  <c r="N285" i="22"/>
  <c r="N288" i="22"/>
  <c r="K197" i="26"/>
  <c r="O60" i="14"/>
  <c r="O210" i="13"/>
  <c r="S415" i="8"/>
  <c r="T151" i="11"/>
  <c r="U149" i="11"/>
  <c r="U267" i="8"/>
  <c r="R10" i="7"/>
  <c r="R54" i="7"/>
  <c r="R273" i="7"/>
  <c r="R498" i="8"/>
  <c r="R257" i="11"/>
  <c r="A91" i="23"/>
  <c r="A93" i="23" s="1" a="1"/>
  <c r="M98" i="26"/>
  <c r="R187" i="7"/>
  <c r="O29" i="22"/>
  <c r="O42" i="22" s="1"/>
  <c r="O22" i="22"/>
  <c r="O34" i="22"/>
  <c r="N535" i="22"/>
  <c r="N567" i="22"/>
  <c r="N540" i="22"/>
  <c r="N580" i="22" s="1"/>
  <c r="N528" i="22"/>
  <c r="A26" i="26"/>
  <c r="C173" i="10" s="1"/>
  <c r="R51" i="10"/>
  <c r="R81" i="10"/>
  <c r="N12" i="21"/>
  <c r="N14" i="21" s="1"/>
  <c r="R454" i="11"/>
  <c r="R147" i="12"/>
  <c r="M221" i="26"/>
  <c r="R456" i="11"/>
  <c r="T319" i="7"/>
  <c r="T611" i="8"/>
  <c r="O18" i="21"/>
  <c r="O761" i="24"/>
  <c r="O739" i="24"/>
  <c r="O736" i="24"/>
  <c r="T259" i="10"/>
  <c r="N276" i="11"/>
  <c r="N287" i="11"/>
  <c r="O498" i="22"/>
  <c r="O660" i="22" s="1"/>
  <c r="O620" i="22"/>
  <c r="T163" i="11"/>
  <c r="U163" i="11" s="1"/>
  <c r="U137" i="11"/>
  <c r="T319" i="8"/>
  <c r="T325" i="8"/>
  <c r="U317" i="8"/>
  <c r="O116" i="14"/>
  <c r="O122" i="14"/>
  <c r="L367" i="22"/>
  <c r="L370" i="22"/>
  <c r="R418" i="8"/>
  <c r="S228" i="7"/>
  <c r="S119" i="11"/>
  <c r="S191" i="11"/>
  <c r="S124" i="11"/>
  <c r="Q55" i="8"/>
  <c r="Q58" i="8"/>
  <c r="P165" i="13"/>
  <c r="M469" i="22"/>
  <c r="M505" i="22"/>
  <c r="M627" i="22"/>
  <c r="M496" i="22"/>
  <c r="M508" i="22"/>
  <c r="M618" i="22"/>
  <c r="M630" i="22"/>
  <c r="R169" i="11"/>
  <c r="R160" i="11"/>
  <c r="R172" i="11"/>
  <c r="R186" i="11"/>
  <c r="R183" i="11"/>
  <c r="U425" i="11"/>
  <c r="S453" i="11"/>
  <c r="O481" i="22"/>
  <c r="O643" i="22" s="1"/>
  <c r="O603" i="22"/>
  <c r="O85" i="16"/>
  <c r="O80" i="16" s="1"/>
  <c r="K67" i="26"/>
  <c r="O153" i="13"/>
  <c r="L76" i="22"/>
  <c r="L79" i="22"/>
  <c r="P210" i="12"/>
  <c r="Q210" i="12" s="1"/>
  <c r="Q202" i="12"/>
  <c r="P203" i="12"/>
  <c r="T110" i="10"/>
  <c r="P779" i="24"/>
  <c r="Q255" i="9"/>
  <c r="Q911" i="22"/>
  <c r="Q453" i="24"/>
  <c r="U108" i="12"/>
  <c r="O274" i="9"/>
  <c r="O277" i="9"/>
  <c r="O282" i="9"/>
  <c r="S357" i="8"/>
  <c r="S358" i="8"/>
  <c r="S279" i="8"/>
  <c r="S68" i="11"/>
  <c r="S141" i="11"/>
  <c r="S140" i="11"/>
  <c r="O1105" i="24"/>
  <c r="O1118" i="24" s="1"/>
  <c r="O1110" i="24"/>
  <c r="O1098" i="24"/>
  <c r="J201" i="26"/>
  <c r="N128" i="8"/>
  <c r="N22" i="8"/>
  <c r="P44" i="12"/>
  <c r="P46" i="12"/>
  <c r="Q42" i="12"/>
  <c r="Q74" i="12"/>
  <c r="P124" i="13"/>
  <c r="P128" i="13"/>
  <c r="P134" i="13"/>
  <c r="Q134" i="13" s="1"/>
  <c r="Q118" i="13"/>
  <c r="O338" i="22"/>
  <c r="O313" i="22"/>
  <c r="O316" i="22"/>
  <c r="P196" i="13"/>
  <c r="M1162" i="24"/>
  <c r="M1164" i="24"/>
  <c r="L128" i="26"/>
  <c r="Q392" i="11"/>
  <c r="P223" i="12"/>
  <c r="Q223" i="12" s="1"/>
  <c r="Q215" i="12"/>
  <c r="P216" i="12"/>
  <c r="T109" i="10"/>
  <c r="P796" i="24"/>
  <c r="P772" i="24"/>
  <c r="P231" i="9"/>
  <c r="T202" i="10"/>
  <c r="P1101" i="24"/>
  <c r="T539" i="8"/>
  <c r="P273" i="9"/>
  <c r="P285" i="9"/>
  <c r="Q357" i="9"/>
  <c r="N304" i="11"/>
  <c r="N206" i="22"/>
  <c r="N203" i="22"/>
  <c r="T429" i="11"/>
  <c r="U429" i="11" s="1"/>
  <c r="U421" i="11"/>
  <c r="O389" i="7"/>
  <c r="O59" i="14"/>
  <c r="O209" i="13"/>
  <c r="O53" i="14"/>
  <c r="S297" i="8"/>
  <c r="N1151" i="24"/>
  <c r="N1157" i="24"/>
  <c r="N1144" i="24"/>
  <c r="O205" i="22"/>
  <c r="O198" i="22"/>
  <c r="R502" i="11"/>
  <c r="R25" i="12"/>
  <c r="R495" i="11"/>
  <c r="S39" i="7"/>
  <c r="S39" i="8"/>
  <c r="S170" i="8"/>
  <c r="S167" i="8"/>
  <c r="S609" i="8"/>
  <c r="S612" i="8"/>
  <c r="S600" i="8"/>
  <c r="O375" i="7"/>
  <c r="O378" i="7"/>
  <c r="O123" i="14"/>
  <c r="O112" i="7"/>
  <c r="O262" i="7"/>
  <c r="O239" i="11"/>
  <c r="O225" i="11"/>
  <c r="K141" i="26"/>
  <c r="R298" i="10"/>
  <c r="N762" i="24"/>
  <c r="N753" i="24"/>
  <c r="N765" i="24"/>
  <c r="S156" i="11"/>
  <c r="O493" i="22"/>
  <c r="O655" i="22" s="1"/>
  <c r="O615" i="22"/>
  <c r="S137" i="12"/>
  <c r="P360" i="7"/>
  <c r="P373" i="7"/>
  <c r="Q373" i="7" s="1"/>
  <c r="Q100" i="14"/>
  <c r="M70" i="22"/>
  <c r="N119" i="22"/>
  <c r="Q28" i="14"/>
  <c r="P42" i="14"/>
  <c r="Q42" i="14" s="1"/>
  <c r="P86" i="14"/>
  <c r="M66" i="22"/>
  <c r="M74" i="22"/>
  <c r="O160" i="22"/>
  <c r="M351" i="22"/>
  <c r="M379" i="22"/>
  <c r="N106" i="22"/>
  <c r="O147" i="22"/>
  <c r="O173" i="22" s="1"/>
  <c r="O270" i="22"/>
  <c r="O283" i="22"/>
  <c r="M365" i="22"/>
  <c r="L86" i="26"/>
  <c r="M1242" i="24"/>
  <c r="P56" i="14" s="1"/>
  <c r="P24" i="14"/>
  <c r="M1222" i="24"/>
  <c r="R87" i="11"/>
  <c r="R78" i="11"/>
  <c r="R90" i="11"/>
  <c r="T127" i="11"/>
  <c r="U101" i="11"/>
  <c r="T352" i="8"/>
  <c r="T346" i="8"/>
  <c r="U344" i="8"/>
  <c r="U349" i="8"/>
  <c r="T222" i="7"/>
  <c r="T104" i="11"/>
  <c r="T98" i="11"/>
  <c r="T176" i="11"/>
  <c r="U176" i="11" s="1"/>
  <c r="U96" i="11"/>
  <c r="P30" i="12"/>
  <c r="P32" i="12"/>
  <c r="Q32" i="12" s="1"/>
  <c r="Q28" i="12"/>
  <c r="Q127" i="13"/>
  <c r="P143" i="13"/>
  <c r="Q143" i="13" s="1"/>
  <c r="Q342" i="7"/>
  <c r="Q523" i="11"/>
  <c r="T410" i="11"/>
  <c r="T434" i="11"/>
  <c r="U434" i="11" s="1"/>
  <c r="U408" i="11"/>
  <c r="V310" i="7"/>
  <c r="V602" i="8"/>
  <c r="Y310" i="7"/>
  <c r="Y602" i="8"/>
  <c r="U296" i="7"/>
  <c r="N560" i="22"/>
  <c r="N563" i="22"/>
  <c r="P25" i="6"/>
  <c r="Q25" i="6"/>
  <c r="M21" i="21"/>
  <c r="M1182" i="24"/>
  <c r="M1285" i="24"/>
  <c r="M1185" i="24"/>
  <c r="M1284" i="24"/>
  <c r="M1288" i="24"/>
  <c r="M1286" i="24"/>
  <c r="M1287" i="24"/>
  <c r="L74" i="26"/>
  <c r="N215" i="22"/>
  <c r="N190" i="22"/>
  <c r="N193" i="22"/>
  <c r="P525" i="11"/>
  <c r="O245" i="8"/>
  <c r="O257" i="8"/>
  <c r="O254" i="8"/>
  <c r="U542" i="8"/>
  <c r="O200" i="7"/>
  <c r="O203" i="7"/>
  <c r="O122" i="8"/>
  <c r="O462" i="8"/>
  <c r="K196" i="26"/>
  <c r="S562" i="8"/>
  <c r="S449" i="11"/>
  <c r="S176" i="12"/>
  <c r="S360" i="11"/>
  <c r="O1069" i="24"/>
  <c r="S353" i="11"/>
  <c r="S249" i="10"/>
  <c r="S258" i="10"/>
  <c r="S261" i="10"/>
  <c r="Q190" i="12"/>
  <c r="U150" i="11"/>
  <c r="U322" i="8"/>
  <c r="S403" i="8"/>
  <c r="S376" i="8"/>
  <c r="R132" i="10"/>
  <c r="R129" i="10"/>
  <c r="S153" i="10"/>
  <c r="R137" i="10"/>
  <c r="O697" i="22"/>
  <c r="O710" i="22" s="1"/>
  <c r="O702" i="22"/>
  <c r="O690" i="22"/>
  <c r="N411" i="22"/>
  <c r="N424" i="22" s="1"/>
  <c r="N404" i="22"/>
  <c r="N416" i="22"/>
  <c r="R144" i="10"/>
  <c r="R53" i="8"/>
  <c r="R199" i="8"/>
  <c r="M184" i="26"/>
  <c r="R210" i="8"/>
  <c r="R201" i="8"/>
  <c r="R483" i="11"/>
  <c r="N1074" i="24"/>
  <c r="N1076" i="24"/>
  <c r="R358" i="11"/>
  <c r="R361" i="11"/>
  <c r="T37" i="7"/>
  <c r="T168" i="8"/>
  <c r="T604" i="8"/>
  <c r="N128" i="7"/>
  <c r="N22" i="7"/>
  <c r="J150" i="26"/>
  <c r="N282" i="7"/>
  <c r="L40" i="13"/>
  <c r="L33" i="13"/>
  <c r="M24" i="13"/>
  <c r="O474" i="22"/>
  <c r="O636" i="22" s="1"/>
  <c r="O596" i="22"/>
  <c r="T162" i="11"/>
  <c r="U162" i="11" s="1"/>
  <c r="T138" i="11"/>
  <c r="U136" i="11"/>
  <c r="T326" i="8"/>
  <c r="U318" i="8"/>
  <c r="O91" i="14"/>
  <c r="O88" i="14"/>
  <c r="M121" i="22"/>
  <c r="P65" i="16" s="1"/>
  <c r="M124" i="22"/>
  <c r="S202" i="11"/>
  <c r="S197" i="11"/>
  <c r="S116" i="11"/>
  <c r="S130" i="11"/>
  <c r="R210" i="11"/>
  <c r="N208" i="26"/>
  <c r="R214" i="12"/>
  <c r="M126" i="26"/>
  <c r="R193" i="7"/>
  <c r="R15" i="11"/>
  <c r="N216" i="13"/>
  <c r="R298" i="8"/>
  <c r="R295" i="8"/>
  <c r="R286" i="8"/>
  <c r="J153" i="26"/>
  <c r="N285" i="7"/>
  <c r="O120" i="14"/>
  <c r="P249" i="8"/>
  <c r="Q249" i="8" s="1"/>
  <c r="Q223" i="8"/>
  <c r="L213" i="26"/>
  <c r="Q379" i="11"/>
  <c r="U413" i="11"/>
  <c r="O235" i="9"/>
  <c r="O248" i="9" s="1"/>
  <c r="O784" i="24"/>
  <c r="O228" i="9"/>
  <c r="O240" i="9"/>
  <c r="O480" i="24"/>
  <c r="O477" i="24"/>
  <c r="O468" i="24"/>
  <c r="U523" i="8"/>
  <c r="R432" i="11"/>
  <c r="R444" i="11"/>
  <c r="R441" i="11"/>
  <c r="P370" i="11"/>
  <c r="P192" i="12"/>
  <c r="L136" i="26"/>
  <c r="P372" i="11"/>
  <c r="Q372" i="11" s="1"/>
  <c r="Q368" i="11"/>
  <c r="P325" i="11"/>
  <c r="P468" i="11"/>
  <c r="Q468" i="11" s="1"/>
  <c r="L109" i="26"/>
  <c r="Q325" i="11"/>
  <c r="Q513" i="11"/>
  <c r="P514" i="11"/>
  <c r="P517" i="11"/>
  <c r="Q125" i="13"/>
  <c r="P141" i="13"/>
  <c r="Q141" i="13" s="1"/>
  <c r="M1152" i="24"/>
  <c r="M1149" i="24"/>
  <c r="O942" i="22"/>
  <c r="O917" i="22"/>
  <c r="O920" i="22"/>
  <c r="B157" i="23"/>
  <c r="A157" i="23"/>
  <c r="M7" i="21"/>
  <c r="M9" i="21" s="1"/>
  <c r="M905" i="22"/>
  <c r="M902" i="22"/>
  <c r="M78" i="22" l="1"/>
  <c r="P90" i="16"/>
  <c r="P356" i="7"/>
  <c r="P369" i="7"/>
  <c r="Q96" i="14"/>
  <c r="M49" i="22"/>
  <c r="M57" i="22"/>
  <c r="M91" i="22" s="1"/>
  <c r="P32" i="14"/>
  <c r="Q24" i="14"/>
  <c r="Q32" i="14"/>
  <c r="P38" i="14"/>
  <c r="M1238" i="24" s="1"/>
  <c r="P82" i="14"/>
  <c r="N102" i="22"/>
  <c r="M375" i="22"/>
  <c r="M383" i="22" s="1"/>
  <c r="N115" i="22"/>
  <c r="N123" i="22" s="1"/>
  <c r="M361" i="22"/>
  <c r="M369" i="22" s="1"/>
  <c r="M53" i="22"/>
  <c r="M87" i="22" s="1"/>
  <c r="O279" i="22"/>
  <c r="O287" i="22" s="1"/>
  <c r="M347" i="22"/>
  <c r="M355" i="22" s="1"/>
  <c r="O143" i="22"/>
  <c r="O156" i="22"/>
  <c r="O164" i="22" s="1"/>
  <c r="O266" i="22"/>
  <c r="L83" i="26"/>
  <c r="R33" i="12"/>
  <c r="R26" i="12"/>
  <c r="P163" i="12"/>
  <c r="Q163" i="12" s="1"/>
  <c r="P76" i="12"/>
  <c r="Q44" i="12"/>
  <c r="Q76" i="12"/>
  <c r="P45" i="12"/>
  <c r="P48" i="12"/>
  <c r="S167" i="11"/>
  <c r="S236" i="7"/>
  <c r="S145" i="11"/>
  <c r="S181" i="11"/>
  <c r="T49" i="7"/>
  <c r="T193" i="8"/>
  <c r="T457" i="8"/>
  <c r="T43" i="10"/>
  <c r="T118" i="10"/>
  <c r="T223" i="11"/>
  <c r="P514" i="22"/>
  <c r="P433" i="22"/>
  <c r="P390" i="22"/>
  <c r="C75" i="23"/>
  <c r="C4" i="26"/>
  <c r="O90" i="26"/>
  <c r="Q676" i="22"/>
  <c r="Q8" i="22"/>
  <c r="U110" i="10"/>
  <c r="U223" i="11"/>
  <c r="U457" i="8"/>
  <c r="O124" i="14"/>
  <c r="O121" i="14"/>
  <c r="S77" i="10"/>
  <c r="S50" i="10"/>
  <c r="B22" i="26"/>
  <c r="S84" i="10"/>
  <c r="B16" i="26"/>
  <c r="S44" i="10"/>
  <c r="S9" i="10"/>
  <c r="S74" i="7"/>
  <c r="S96" i="7"/>
  <c r="P706" i="22"/>
  <c r="P694" i="22"/>
  <c r="P334" i="22"/>
  <c r="O103" i="8"/>
  <c r="O72" i="8"/>
  <c r="O76" i="8"/>
  <c r="O14" i="8"/>
  <c r="S541" i="8"/>
  <c r="S556" i="8"/>
  <c r="O215" i="13"/>
  <c r="P209" i="22"/>
  <c r="N513" i="8"/>
  <c r="S207" i="10"/>
  <c r="T240" i="10"/>
  <c r="S204" i="10"/>
  <c r="S212" i="10"/>
  <c r="R9" i="4"/>
  <c r="M158" i="26"/>
  <c r="Q500" i="11"/>
  <c r="Q503" i="11"/>
  <c r="U115" i="11"/>
  <c r="C11" i="4"/>
  <c r="B157" i="26"/>
  <c r="S416" i="8"/>
  <c r="T527" i="8"/>
  <c r="T551" i="8"/>
  <c r="U551" i="8" s="1"/>
  <c r="U525" i="8"/>
  <c r="T529" i="8"/>
  <c r="T146" i="8"/>
  <c r="L80" i="22"/>
  <c r="L93" i="22"/>
  <c r="L96" i="22"/>
  <c r="L138" i="26"/>
  <c r="Q370" i="11"/>
  <c r="P374" i="11"/>
  <c r="P371" i="11"/>
  <c r="M33" i="13"/>
  <c r="M40" i="13"/>
  <c r="M186" i="26"/>
  <c r="R10" i="8"/>
  <c r="R57" i="8"/>
  <c r="R54" i="8"/>
  <c r="S480" i="11"/>
  <c r="O1077" i="24"/>
  <c r="O1070" i="24"/>
  <c r="O211" i="13"/>
  <c r="O217" i="13"/>
  <c r="M1163" i="24"/>
  <c r="M1166" i="24"/>
  <c r="Q937" i="22"/>
  <c r="R149" i="12"/>
  <c r="R151" i="12"/>
  <c r="R283" i="7"/>
  <c r="R508" i="8"/>
  <c r="R288" i="11"/>
  <c r="A95" i="23"/>
  <c r="P82" i="8"/>
  <c r="Q79" i="8"/>
  <c r="R471" i="11"/>
  <c r="R328" i="11"/>
  <c r="O379" i="7"/>
  <c r="O391" i="7"/>
  <c r="O388" i="7"/>
  <c r="O329" i="7"/>
  <c r="O129" i="14"/>
  <c r="O159" i="13"/>
  <c r="P320" i="9"/>
  <c r="P333" i="9" s="1"/>
  <c r="P325" i="9"/>
  <c r="P313" i="9"/>
  <c r="M1381" i="24"/>
  <c r="M1378" i="24"/>
  <c r="O751" i="24"/>
  <c r="O764" i="24" s="1"/>
  <c r="O744" i="24"/>
  <c r="O756" i="24"/>
  <c r="P214" i="22"/>
  <c r="R136" i="7"/>
  <c r="R23" i="8"/>
  <c r="R129" i="8"/>
  <c r="R483" i="8"/>
  <c r="R305" i="11"/>
  <c r="A167" i="23"/>
  <c r="R258" i="7"/>
  <c r="R255" i="7"/>
  <c r="R246" i="7"/>
  <c r="S196" i="11"/>
  <c r="S199" i="11"/>
  <c r="S120" i="11"/>
  <c r="S132" i="11"/>
  <c r="S129" i="11"/>
  <c r="U326" i="8"/>
  <c r="J154" i="26"/>
  <c r="N25" i="7"/>
  <c r="N16" i="3"/>
  <c r="R485" i="11"/>
  <c r="R511" i="11"/>
  <c r="R14" i="12"/>
  <c r="R497" i="11"/>
  <c r="N1146" i="24" s="1"/>
  <c r="R117" i="13"/>
  <c r="O187" i="22"/>
  <c r="P228" i="22"/>
  <c r="R115" i="13"/>
  <c r="R116" i="13"/>
  <c r="P323" i="22"/>
  <c r="N896" i="22"/>
  <c r="P310" i="22"/>
  <c r="O200" i="22"/>
  <c r="P241" i="22"/>
  <c r="M71" i="26"/>
  <c r="N1198" i="24"/>
  <c r="R487" i="11"/>
  <c r="N1183" i="24" s="1"/>
  <c r="S157" i="10"/>
  <c r="O13" i="21"/>
  <c r="N219" i="22"/>
  <c r="N207" i="22"/>
  <c r="N216" i="22"/>
  <c r="U410" i="11"/>
  <c r="T224" i="7"/>
  <c r="T106" i="11"/>
  <c r="T178" i="11"/>
  <c r="U178" i="11" s="1"/>
  <c r="U98" i="11"/>
  <c r="T354" i="8"/>
  <c r="T351" i="8"/>
  <c r="U346" i="8"/>
  <c r="U127" i="11"/>
  <c r="P214" i="13"/>
  <c r="Q214" i="13" s="1"/>
  <c r="Q56" i="14"/>
  <c r="O296" i="22"/>
  <c r="P119" i="14"/>
  <c r="Q119" i="14" s="1"/>
  <c r="P72" i="14"/>
  <c r="Q72" i="14" s="1"/>
  <c r="Q86" i="14"/>
  <c r="O19" i="7"/>
  <c r="O118" i="7"/>
  <c r="K143" i="26"/>
  <c r="P788" i="24"/>
  <c r="P232" i="9"/>
  <c r="P244" i="9"/>
  <c r="P198" i="13"/>
  <c r="P200" i="13"/>
  <c r="Q200" i="13" s="1"/>
  <c r="Q196" i="13"/>
  <c r="J202" i="26"/>
  <c r="S76" i="11"/>
  <c r="S211" i="7"/>
  <c r="S69" i="11"/>
  <c r="S81" i="11"/>
  <c r="Q263" i="9"/>
  <c r="Q214" i="9"/>
  <c r="Q1084" i="24"/>
  <c r="V522" i="8"/>
  <c r="V185" i="10"/>
  <c r="R340" i="9"/>
  <c r="Q203" i="12"/>
  <c r="S148" i="12"/>
  <c r="N222" i="26"/>
  <c r="R173" i="11"/>
  <c r="R209" i="11"/>
  <c r="R200" i="11"/>
  <c r="R212" i="11"/>
  <c r="M590" i="22"/>
  <c r="M631" i="22"/>
  <c r="M667" i="22"/>
  <c r="M658" i="22"/>
  <c r="M670" i="22"/>
  <c r="S65" i="7"/>
  <c r="S65" i="8"/>
  <c r="S204" i="11"/>
  <c r="S254" i="7"/>
  <c r="S232" i="7"/>
  <c r="S229" i="7"/>
  <c r="N307" i="11"/>
  <c r="R82" i="10"/>
  <c r="R85" i="10"/>
  <c r="N536" i="22"/>
  <c r="N568" i="22"/>
  <c r="N533" i="22"/>
  <c r="N541" i="22"/>
  <c r="N581" i="22" s="1"/>
  <c r="O218" i="13"/>
  <c r="Q195" i="7"/>
  <c r="U353" i="8"/>
  <c r="P71" i="7"/>
  <c r="Q68" i="7"/>
  <c r="M1223" i="24"/>
  <c r="M1220" i="24"/>
  <c r="S143" i="10"/>
  <c r="S449" i="8"/>
  <c r="S292" i="11"/>
  <c r="B107" i="23"/>
  <c r="B12" i="26"/>
  <c r="S207" i="8"/>
  <c r="S189" i="8"/>
  <c r="N175" i="26"/>
  <c r="S48" i="8"/>
  <c r="S182" i="8"/>
  <c r="R381" i="8"/>
  <c r="R417" i="8"/>
  <c r="R408" i="8"/>
  <c r="R420" i="8"/>
  <c r="B17" i="26"/>
  <c r="P26" i="22"/>
  <c r="P38" i="22"/>
  <c r="O571" i="22"/>
  <c r="O532" i="22"/>
  <c r="O572" i="22" s="1"/>
  <c r="O544" i="22"/>
  <c r="O584" i="22" s="1"/>
  <c r="U417" i="11"/>
  <c r="O86" i="16"/>
  <c r="O211" i="22"/>
  <c r="O105" i="7"/>
  <c r="O10" i="3"/>
  <c r="P71" i="16"/>
  <c r="U112" i="12"/>
  <c r="M12" i="4"/>
  <c r="N20" i="16"/>
  <c r="P252" i="22"/>
  <c r="O105" i="8"/>
  <c r="M17" i="9"/>
  <c r="M64" i="9"/>
  <c r="M70" i="9"/>
  <c r="M1469" i="24"/>
  <c r="P396" i="11"/>
  <c r="P218" i="12"/>
  <c r="L129" i="26"/>
  <c r="P398" i="11"/>
  <c r="Q398" i="11" s="1"/>
  <c r="Q394" i="11"/>
  <c r="P240" i="8"/>
  <c r="P242" i="8"/>
  <c r="Q242" i="8" s="1"/>
  <c r="Q238" i="8"/>
  <c r="S33" i="8"/>
  <c r="S155" i="8"/>
  <c r="S152" i="8"/>
  <c r="P268" i="9"/>
  <c r="P915" i="22"/>
  <c r="P466" i="24"/>
  <c r="P479" i="24" s="1"/>
  <c r="P459" i="24"/>
  <c r="P471" i="24"/>
  <c r="R11" i="3"/>
  <c r="R106" i="7"/>
  <c r="N499" i="22"/>
  <c r="N661" i="22" s="1"/>
  <c r="N621" i="22"/>
  <c r="N648" i="22"/>
  <c r="O1156" i="24"/>
  <c r="Q23" i="11"/>
  <c r="Q20" i="11"/>
  <c r="U350" i="8"/>
  <c r="P61" i="13"/>
  <c r="P58" i="13"/>
  <c r="Q53" i="13"/>
  <c r="Q218" i="9"/>
  <c r="V189" i="10"/>
  <c r="V526" i="8"/>
  <c r="Q1088" i="24"/>
  <c r="R344" i="9"/>
  <c r="T597" i="8"/>
  <c r="T252" i="10"/>
  <c r="S125" i="12"/>
  <c r="S118" i="12"/>
  <c r="S130" i="12"/>
  <c r="S65" i="10"/>
  <c r="S95" i="10"/>
  <c r="O21" i="16"/>
  <c r="N24" i="5"/>
  <c r="S123" i="13"/>
  <c r="N288" i="7"/>
  <c r="R49" i="10"/>
  <c r="R52" i="10"/>
  <c r="Q10" i="15"/>
  <c r="O81" i="13"/>
  <c r="Q54" i="12"/>
  <c r="T561" i="8"/>
  <c r="T448" i="11"/>
  <c r="T175" i="12"/>
  <c r="P1068" i="24"/>
  <c r="U351" i="11"/>
  <c r="T128" i="11"/>
  <c r="U102" i="11"/>
  <c r="Q345" i="9"/>
  <c r="Q369" i="9"/>
  <c r="Q448" i="24"/>
  <c r="Q302" i="9"/>
  <c r="Q347" i="9"/>
  <c r="Q373" i="9" s="1"/>
  <c r="P243" i="9"/>
  <c r="P219" i="9"/>
  <c r="P774" i="24"/>
  <c r="P221" i="9"/>
  <c r="P247" i="9" s="1"/>
  <c r="P933" i="22"/>
  <c r="P930" i="22"/>
  <c r="P938" i="22"/>
  <c r="P386" i="7"/>
  <c r="Q386" i="7" s="1"/>
  <c r="Q360" i="7"/>
  <c r="R302" i="10"/>
  <c r="R299" i="10"/>
  <c r="V594" i="8"/>
  <c r="V243" i="10"/>
  <c r="T426" i="11"/>
  <c r="T121" i="12"/>
  <c r="P747" i="24"/>
  <c r="U202" i="10"/>
  <c r="Y594" i="8"/>
  <c r="Y243" i="10"/>
  <c r="T301" i="7"/>
  <c r="T203" i="10"/>
  <c r="T215" i="10"/>
  <c r="T94" i="10"/>
  <c r="S365" i="8"/>
  <c r="S359" i="8"/>
  <c r="S397" i="8"/>
  <c r="S370" i="8"/>
  <c r="T324" i="8"/>
  <c r="T327" i="8"/>
  <c r="U319" i="8"/>
  <c r="S480" i="8"/>
  <c r="S295" i="11"/>
  <c r="B15" i="26"/>
  <c r="B119" i="23"/>
  <c r="N185" i="26"/>
  <c r="S202" i="8"/>
  <c r="S211" i="8"/>
  <c r="O469" i="8"/>
  <c r="O263" i="11"/>
  <c r="O253" i="11"/>
  <c r="O466" i="8"/>
  <c r="O103" i="7"/>
  <c r="P197" i="7"/>
  <c r="P34" i="11"/>
  <c r="P28" i="11"/>
  <c r="P39" i="11"/>
  <c r="Q39" i="11" s="1"/>
  <c r="Q26" i="11"/>
  <c r="O77" i="14"/>
  <c r="O74" i="14"/>
  <c r="S462" i="11"/>
  <c r="S319" i="11"/>
  <c r="S70" i="12" s="1"/>
  <c r="S364" i="11"/>
  <c r="S38" i="12"/>
  <c r="N104" i="26"/>
  <c r="T247" i="10"/>
  <c r="S219" i="10"/>
  <c r="S29" i="12"/>
  <c r="O934" i="22"/>
  <c r="O943" i="22"/>
  <c r="O946" i="22"/>
  <c r="P329" i="11"/>
  <c r="P469" i="11"/>
  <c r="P326" i="11"/>
  <c r="P472" i="11"/>
  <c r="L110" i="26"/>
  <c r="Q517" i="11"/>
  <c r="Q514" i="11"/>
  <c r="Q326" i="11"/>
  <c r="Q329" i="11"/>
  <c r="O695" i="22"/>
  <c r="O698" i="22"/>
  <c r="O703" i="22"/>
  <c r="S184" i="12"/>
  <c r="S177" i="12"/>
  <c r="T103" i="11"/>
  <c r="U104" i="11"/>
  <c r="U352" i="8"/>
  <c r="O268" i="7"/>
  <c r="O330" i="7"/>
  <c r="R193" i="13"/>
  <c r="N1165" i="24"/>
  <c r="N1158" i="24"/>
  <c r="U539" i="8"/>
  <c r="T552" i="8"/>
  <c r="U552" i="8" s="1"/>
  <c r="T540" i="8"/>
  <c r="U540" i="8" s="1"/>
  <c r="T179" i="7"/>
  <c r="T180" i="8"/>
  <c r="T426" i="8"/>
  <c r="T111" i="10"/>
  <c r="T135" i="10"/>
  <c r="T75" i="10"/>
  <c r="T220" i="11"/>
  <c r="P389" i="22"/>
  <c r="P513" i="22"/>
  <c r="P432" i="22"/>
  <c r="C63" i="23"/>
  <c r="C1" i="26"/>
  <c r="O89" i="26"/>
  <c r="Q7" i="22"/>
  <c r="Q675" i="22"/>
  <c r="U426" i="8"/>
  <c r="U220" i="11"/>
  <c r="U109" i="10"/>
  <c r="S281" i="8"/>
  <c r="S292" i="8"/>
  <c r="S283" i="8"/>
  <c r="O133" i="14"/>
  <c r="O156" i="13"/>
  <c r="P166" i="13"/>
  <c r="P171" i="13"/>
  <c r="Q171" i="13" s="1"/>
  <c r="Q165" i="13"/>
  <c r="S301" i="10"/>
  <c r="M223" i="26"/>
  <c r="R458" i="11"/>
  <c r="R455" i="11"/>
  <c r="A27" i="26"/>
  <c r="D173" i="10" s="1"/>
  <c r="O27" i="22"/>
  <c r="O30" i="22"/>
  <c r="O35" i="22"/>
  <c r="B93" i="23"/>
  <c r="A93" i="23"/>
  <c r="R58" i="7"/>
  <c r="R55" i="7"/>
  <c r="U151" i="11"/>
  <c r="P66" i="8"/>
  <c r="P95" i="8"/>
  <c r="Q95" i="8" s="1"/>
  <c r="Q63" i="8"/>
  <c r="T332" i="8"/>
  <c r="T386" i="8"/>
  <c r="U386" i="8" s="1"/>
  <c r="U306" i="8"/>
  <c r="U56" i="11"/>
  <c r="P355" i="7"/>
  <c r="P368" i="7"/>
  <c r="P8" i="14"/>
  <c r="P31" i="14"/>
  <c r="N101" i="22"/>
  <c r="Q8" i="14"/>
  <c r="Q23" i="14"/>
  <c r="Q31" i="14"/>
  <c r="P37" i="14"/>
  <c r="M1237" i="24" s="1"/>
  <c r="P81" i="14"/>
  <c r="M48" i="22"/>
  <c r="M56" i="22"/>
  <c r="P25" i="14"/>
  <c r="Q25" i="14"/>
  <c r="Q95" i="14"/>
  <c r="M52" i="22"/>
  <c r="N114" i="22"/>
  <c r="M374" i="22"/>
  <c r="O278" i="22"/>
  <c r="M360" i="22"/>
  <c r="O142" i="22"/>
  <c r="O155" i="22"/>
  <c r="O265" i="22"/>
  <c r="M346" i="22"/>
  <c r="L82" i="26"/>
  <c r="S181" i="7"/>
  <c r="S113" i="7"/>
  <c r="S56" i="7"/>
  <c r="S113" i="8"/>
  <c r="S432" i="8"/>
  <c r="S240" i="11"/>
  <c r="B147" i="23"/>
  <c r="P37" i="22"/>
  <c r="P13" i="22"/>
  <c r="P15" i="22"/>
  <c r="P41" i="22" s="1"/>
  <c r="O438" i="22"/>
  <c r="O462" i="22"/>
  <c r="O476" i="22"/>
  <c r="O598" i="22"/>
  <c r="O440" i="22"/>
  <c r="T150" i="10"/>
  <c r="U150" i="10" s="1"/>
  <c r="S141" i="10"/>
  <c r="S119" i="10"/>
  <c r="S116" i="10"/>
  <c r="S188" i="7"/>
  <c r="S266" i="7"/>
  <c r="S491" i="8"/>
  <c r="S236" i="11"/>
  <c r="N94" i="26"/>
  <c r="B123" i="23"/>
  <c r="S9" i="7"/>
  <c r="S50" i="7"/>
  <c r="O493" i="8"/>
  <c r="Q940" i="22"/>
  <c r="T52" i="7"/>
  <c r="T184" i="8"/>
  <c r="T436" i="8"/>
  <c r="T130" i="10"/>
  <c r="U130" i="10" s="1"/>
  <c r="T46" i="10"/>
  <c r="T251" i="11"/>
  <c r="P402" i="22"/>
  <c r="P526" i="22"/>
  <c r="P445" i="22"/>
  <c r="C67" i="23"/>
  <c r="C2" i="26"/>
  <c r="O96" i="26"/>
  <c r="Q20" i="22"/>
  <c r="Q688" i="22"/>
  <c r="U251" i="11"/>
  <c r="U436" i="8"/>
  <c r="U122" i="10"/>
  <c r="T154" i="10"/>
  <c r="U154" i="10" s="1"/>
  <c r="O408" i="22"/>
  <c r="O420" i="22"/>
  <c r="N138" i="8"/>
  <c r="R47" i="12"/>
  <c r="R40" i="12"/>
  <c r="O218" i="22"/>
  <c r="O15" i="7"/>
  <c r="O88" i="7"/>
  <c r="O92" i="7"/>
  <c r="O435" i="8"/>
  <c r="O438" i="8"/>
  <c r="O260" i="11"/>
  <c r="O250" i="11"/>
  <c r="O98" i="7"/>
  <c r="T185" i="8"/>
  <c r="T439" i="8"/>
  <c r="T261" i="11"/>
  <c r="P530" i="22"/>
  <c r="C103" i="23"/>
  <c r="P449" i="22"/>
  <c r="P406" i="22"/>
  <c r="C11" i="26"/>
  <c r="O99" i="26"/>
  <c r="Q692" i="22"/>
  <c r="Q24" i="22"/>
  <c r="U439" i="8"/>
  <c r="U261" i="11"/>
  <c r="U126" i="10"/>
  <c r="Q918" i="22"/>
  <c r="Q912" i="22"/>
  <c r="O91" i="16"/>
  <c r="M68" i="9"/>
  <c r="M18" i="9"/>
  <c r="M1473" i="24"/>
  <c r="P383" i="11"/>
  <c r="P205" i="12"/>
  <c r="L214" i="26"/>
  <c r="P385" i="11"/>
  <c r="Q385" i="11" s="1"/>
  <c r="Q381" i="11"/>
  <c r="P227" i="8"/>
  <c r="P251" i="8"/>
  <c r="Q251" i="8" s="1"/>
  <c r="P229" i="8"/>
  <c r="Q225" i="8"/>
  <c r="S544" i="8"/>
  <c r="S549" i="8"/>
  <c r="P359" i="9"/>
  <c r="P362" i="9"/>
  <c r="P367" i="9"/>
  <c r="N452" i="22"/>
  <c r="N455" i="22"/>
  <c r="N487" i="22"/>
  <c r="N649" i="22" s="1"/>
  <c r="N609" i="22"/>
  <c r="N460" i="22"/>
  <c r="S102" i="13"/>
  <c r="S24" i="12"/>
  <c r="U323" i="8"/>
  <c r="R91" i="8"/>
  <c r="R102" i="8"/>
  <c r="U223" i="7"/>
  <c r="T69" i="7"/>
  <c r="U63" i="11"/>
  <c r="N1380" i="24"/>
  <c r="N1373" i="24"/>
  <c r="S62" i="10"/>
  <c r="S24" i="10"/>
  <c r="S97" i="10"/>
  <c r="S430" i="11"/>
  <c r="S435" i="11"/>
  <c r="S423" i="11"/>
  <c r="O1376" i="24"/>
  <c r="S526" i="11" s="1"/>
  <c r="M209" i="26"/>
  <c r="R568" i="8"/>
  <c r="R571" i="8"/>
  <c r="R185" i="12"/>
  <c r="R182" i="12"/>
  <c r="R18" i="10"/>
  <c r="A20" i="26"/>
  <c r="R11" i="10"/>
  <c r="B29" i="5"/>
  <c r="B8" i="19"/>
  <c r="S337" i="8"/>
  <c r="S394" i="8"/>
  <c r="S391" i="8"/>
  <c r="S328" i="8"/>
  <c r="S340" i="8"/>
  <c r="O15" i="8"/>
  <c r="O88" i="8"/>
  <c r="O92" i="8"/>
  <c r="T263" i="8"/>
  <c r="T308" i="8"/>
  <c r="T309" i="8"/>
  <c r="T58" i="11"/>
  <c r="T110" i="11"/>
  <c r="T109" i="11"/>
  <c r="P1113" i="24"/>
  <c r="P1089" i="24"/>
  <c r="P1091" i="24"/>
  <c r="P1117" i="24" s="1"/>
  <c r="R139" i="13"/>
  <c r="R108" i="13"/>
  <c r="R112" i="13"/>
  <c r="N1078" i="24"/>
  <c r="N1075" i="24"/>
  <c r="N409" i="22"/>
  <c r="N412" i="22"/>
  <c r="N417" i="22"/>
  <c r="S570" i="8"/>
  <c r="N205" i="26"/>
  <c r="S563" i="8"/>
  <c r="Q128" i="13"/>
  <c r="Q124" i="13"/>
  <c r="P144" i="13"/>
  <c r="P129" i="13"/>
  <c r="P140" i="13"/>
  <c r="S355" i="11"/>
  <c r="O1103" i="24"/>
  <c r="O1106" i="24"/>
  <c r="O1111" i="24"/>
  <c r="N575" i="22"/>
  <c r="N548" i="22"/>
  <c r="N588" i="22" s="1"/>
  <c r="C24" i="4"/>
  <c r="B169" i="26" s="1"/>
  <c r="B22" i="6"/>
  <c r="B23" i="6"/>
  <c r="B165" i="26"/>
  <c r="O419" i="22"/>
  <c r="O395" i="22"/>
  <c r="O397" i="22"/>
  <c r="O423" i="22" s="1"/>
  <c r="O490" i="22"/>
  <c r="O652" i="22" s="1"/>
  <c r="O612" i="22"/>
  <c r="O463" i="22"/>
  <c r="O451" i="22"/>
  <c r="R464" i="11"/>
  <c r="R321" i="11"/>
  <c r="M106" i="26"/>
  <c r="Q250" i="22"/>
  <c r="N644" i="22"/>
  <c r="N641" i="22"/>
  <c r="O233" i="9"/>
  <c r="O236" i="9"/>
  <c r="O241" i="9"/>
  <c r="N185" i="13"/>
  <c r="N138" i="7"/>
  <c r="R203" i="8"/>
  <c r="R212" i="8"/>
  <c r="R200" i="8"/>
  <c r="P194" i="12"/>
  <c r="P196" i="12"/>
  <c r="Q196" i="12" s="1"/>
  <c r="Q192" i="12"/>
  <c r="S123" i="10"/>
  <c r="O792" i="24"/>
  <c r="O805" i="24" s="1"/>
  <c r="O785" i="24"/>
  <c r="O797" i="24"/>
  <c r="P60" i="16"/>
  <c r="T164" i="11"/>
  <c r="U138" i="11"/>
  <c r="R214" i="8"/>
  <c r="S155" i="10"/>
  <c r="R133" i="10"/>
  <c r="R145" i="10"/>
  <c r="R142" i="10"/>
  <c r="S457" i="11"/>
  <c r="S144" i="12"/>
  <c r="N219" i="26"/>
  <c r="S450" i="11"/>
  <c r="K198" i="26"/>
  <c r="P527" i="11"/>
  <c r="P56" i="12"/>
  <c r="P529" i="11"/>
  <c r="Q529" i="11" s="1"/>
  <c r="Q525" i="11"/>
  <c r="Q30" i="12"/>
  <c r="P31" i="12"/>
  <c r="P34" i="12"/>
  <c r="U222" i="7"/>
  <c r="N132" i="22"/>
  <c r="O245" i="11"/>
  <c r="O58" i="14"/>
  <c r="O61" i="14"/>
  <c r="Q462" i="24"/>
  <c r="Q316" i="9"/>
  <c r="Q370" i="9"/>
  <c r="Q358" i="9"/>
  <c r="T280" i="8"/>
  <c r="T361" i="8"/>
  <c r="T362" i="8"/>
  <c r="T72" i="11"/>
  <c r="T154" i="11"/>
  <c r="T153" i="11"/>
  <c r="P1114" i="24"/>
  <c r="P1102" i="24"/>
  <c r="T356" i="11" s="1"/>
  <c r="Q216" i="12"/>
  <c r="O339" i="22"/>
  <c r="O342" i="22"/>
  <c r="O330" i="22"/>
  <c r="P78" i="12"/>
  <c r="P165" i="12"/>
  <c r="Q165" i="12" s="1"/>
  <c r="Q46" i="12"/>
  <c r="Q78" i="12"/>
  <c r="S166" i="11"/>
  <c r="S142" i="11"/>
  <c r="S235" i="7"/>
  <c r="S180" i="11"/>
  <c r="S144" i="11"/>
  <c r="S366" i="8"/>
  <c r="S371" i="8"/>
  <c r="S398" i="8"/>
  <c r="O287" i="9"/>
  <c r="O278" i="9"/>
  <c r="O290" i="9"/>
  <c r="U325" i="8"/>
  <c r="S294" i="10"/>
  <c r="R18" i="6"/>
  <c r="R23" i="7"/>
  <c r="R129" i="7"/>
  <c r="R9" i="6"/>
  <c r="R279" i="7"/>
  <c r="R136" i="8"/>
  <c r="R504" i="8"/>
  <c r="R277" i="11"/>
  <c r="A139" i="23"/>
  <c r="A141" i="23" s="1" a="1"/>
  <c r="M102" i="26"/>
  <c r="R6" i="3"/>
  <c r="R11" i="7"/>
  <c r="M125" i="22"/>
  <c r="P64" i="16"/>
  <c r="P59" i="16" s="1"/>
  <c r="M134" i="22"/>
  <c r="M137" i="22"/>
  <c r="U105" i="12"/>
  <c r="P73" i="7"/>
  <c r="P66" i="7"/>
  <c r="Q63" i="7"/>
  <c r="U330" i="8"/>
  <c r="U207" i="7"/>
  <c r="P681" i="22"/>
  <c r="P705" i="22"/>
  <c r="P683" i="22"/>
  <c r="P709" i="22" s="1"/>
  <c r="O519" i="22"/>
  <c r="O543" i="22"/>
  <c r="O583" i="22" s="1"/>
  <c r="O557" i="22"/>
  <c r="O521" i="22"/>
  <c r="O132" i="8"/>
  <c r="K191" i="26"/>
  <c r="Q275" i="9"/>
  <c r="Q226" i="9"/>
  <c r="Q1096" i="24"/>
  <c r="V197" i="10"/>
  <c r="V534" i="8"/>
  <c r="R352" i="9"/>
  <c r="S276" i="7"/>
  <c r="S501" i="8"/>
  <c r="S267" i="11"/>
  <c r="B127" i="23"/>
  <c r="N101" i="26"/>
  <c r="N25" i="8"/>
  <c r="J195" i="26"/>
  <c r="N18" i="13"/>
  <c r="N22" i="13"/>
  <c r="N26" i="13"/>
  <c r="N27" i="13"/>
  <c r="N20" i="13"/>
  <c r="N31" i="13"/>
  <c r="N23" i="13"/>
  <c r="N19" i="13"/>
  <c r="N28" i="13"/>
  <c r="N30" i="13"/>
  <c r="R189" i="12"/>
  <c r="R373" i="11"/>
  <c r="M134" i="26"/>
  <c r="R366" i="11"/>
  <c r="R222" i="8"/>
  <c r="R235" i="8"/>
  <c r="R17" i="11"/>
  <c r="R18" i="11"/>
  <c r="R391" i="11"/>
  <c r="R158" i="12"/>
  <c r="R378" i="11"/>
  <c r="R341" i="7"/>
  <c r="N67" i="9"/>
  <c r="N1474" i="24" s="1"/>
  <c r="N63" i="9"/>
  <c r="K146" i="26"/>
  <c r="Q256" i="9"/>
  <c r="Q280" i="9"/>
  <c r="Q213" i="9"/>
  <c r="V521" i="8"/>
  <c r="V184" i="10"/>
  <c r="Q1083" i="24"/>
  <c r="R339" i="9"/>
  <c r="T194" i="8"/>
  <c r="T460" i="8"/>
  <c r="T233" i="11"/>
  <c r="P394" i="22"/>
  <c r="P518" i="22"/>
  <c r="P437" i="22"/>
  <c r="C111" i="23"/>
  <c r="C13" i="26"/>
  <c r="O93" i="26"/>
  <c r="Q680" i="22"/>
  <c r="Q12" i="22"/>
  <c r="U460" i="8"/>
  <c r="U233" i="11"/>
  <c r="U114" i="10"/>
  <c r="O79" i="16"/>
  <c r="S74" i="8"/>
  <c r="S96" i="8"/>
  <c r="N178" i="22"/>
  <c r="N166" i="22"/>
  <c r="N175" i="22"/>
  <c r="P346" i="7"/>
  <c r="P348" i="7"/>
  <c r="Q348" i="7" s="1"/>
  <c r="Q344" i="7"/>
  <c r="P35" i="11"/>
  <c r="P40" i="11"/>
  <c r="Q40" i="11" s="1"/>
  <c r="Q27" i="11"/>
  <c r="R106" i="8"/>
  <c r="O15" i="14"/>
  <c r="T69" i="8"/>
  <c r="U268" i="8"/>
  <c r="N494" i="22"/>
  <c r="N656" i="22" s="1"/>
  <c r="N616" i="22"/>
  <c r="N467" i="22"/>
  <c r="A85" i="23"/>
  <c r="B85" i="23"/>
  <c r="O1371" i="24"/>
  <c r="S521" i="11" s="1"/>
  <c r="Q332" i="22"/>
  <c r="R91" i="7"/>
  <c r="R102" i="7"/>
  <c r="U292" i="10"/>
  <c r="B33" i="5"/>
  <c r="O257" i="22"/>
  <c r="O260" i="22"/>
  <c r="O248" i="22"/>
  <c r="U331" i="8"/>
  <c r="U105" i="11"/>
  <c r="P359" i="7"/>
  <c r="P372" i="7"/>
  <c r="M65" i="22"/>
  <c r="M73" i="22"/>
  <c r="M75" i="22" s="1"/>
  <c r="P155" i="13" s="1"/>
  <c r="P9" i="14"/>
  <c r="Q27" i="14"/>
  <c r="P41" i="14"/>
  <c r="M1241" i="24" s="1"/>
  <c r="P85" i="14"/>
  <c r="Q9" i="14"/>
  <c r="P29" i="14"/>
  <c r="Q29" i="14"/>
  <c r="Q99" i="14"/>
  <c r="N105" i="22"/>
  <c r="M69" i="22"/>
  <c r="M71" i="22" s="1"/>
  <c r="P154" i="13" s="1"/>
  <c r="O146" i="22"/>
  <c r="O159" i="22"/>
  <c r="O161" i="22" s="1"/>
  <c r="O269" i="22"/>
  <c r="M364" i="22"/>
  <c r="M366" i="22" s="1"/>
  <c r="N118" i="22"/>
  <c r="N120" i="22" s="1"/>
  <c r="M350" i="22"/>
  <c r="M352" i="22" s="1"/>
  <c r="O282" i="22"/>
  <c r="O284" i="22" s="1"/>
  <c r="M378" i="22"/>
  <c r="M380" i="22" s="1"/>
  <c r="L85" i="26"/>
  <c r="O130" i="14"/>
  <c r="O160" i="13"/>
  <c r="R522" i="11"/>
  <c r="S33" i="7"/>
  <c r="S152" i="7"/>
  <c r="T314" i="7"/>
  <c r="T606" i="8"/>
  <c r="S304" i="7"/>
  <c r="T165" i="7"/>
  <c r="T165" i="8"/>
  <c r="T595" i="8"/>
  <c r="S155" i="7"/>
  <c r="S302" i="7"/>
  <c r="S43" i="12"/>
  <c r="S467" i="11"/>
  <c r="S324" i="11"/>
  <c r="S75" i="12" s="1"/>
  <c r="S369" i="11"/>
  <c r="N108" i="26"/>
  <c r="P169" i="13"/>
  <c r="Q168" i="13"/>
  <c r="T80" i="7"/>
  <c r="U75" i="11"/>
  <c r="I125" i="26"/>
  <c r="L20" i="3"/>
  <c r="M19" i="3"/>
  <c r="R189" i="7"/>
  <c r="R186" i="7"/>
  <c r="A9" i="26"/>
  <c r="D166" i="10" s="1"/>
  <c r="Q19" i="5"/>
  <c r="U270" i="8"/>
  <c r="T80" i="8"/>
  <c r="U277" i="8"/>
  <c r="U126" i="11"/>
  <c r="D8" i="16"/>
  <c r="C13" i="15"/>
  <c r="Q230" i="9"/>
  <c r="V538" i="8"/>
  <c r="Q1100" i="24"/>
  <c r="V201" i="10"/>
  <c r="R356" i="9"/>
  <c r="N175" i="13"/>
  <c r="N298" i="22"/>
  <c r="N301" i="22"/>
  <c r="N289" i="22"/>
  <c r="L24" i="3"/>
  <c r="N91" i="16"/>
  <c r="T297" i="7"/>
  <c r="V577" i="8"/>
  <c r="T90" i="10"/>
  <c r="T190" i="10"/>
  <c r="T214" i="10"/>
  <c r="V229" i="10"/>
  <c r="T412" i="11"/>
  <c r="T107" i="12"/>
  <c r="P733" i="24"/>
  <c r="Y229" i="10"/>
  <c r="Y577" i="8"/>
  <c r="U188" i="10"/>
  <c r="T56" i="10"/>
  <c r="T146" i="7"/>
  <c r="T192" i="10"/>
  <c r="P286" i="9"/>
  <c r="P261" i="9"/>
  <c r="P264" i="9"/>
  <c r="O158" i="13"/>
  <c r="O151" i="13"/>
  <c r="O128" i="14"/>
  <c r="P80" i="13" l="1"/>
  <c r="N1148" i="24"/>
  <c r="N1160" i="24"/>
  <c r="N1150" i="24"/>
  <c r="M1243" i="24"/>
  <c r="P55" i="14"/>
  <c r="S57" i="12"/>
  <c r="S52" i="12"/>
  <c r="M1246" i="24"/>
  <c r="P52" i="14"/>
  <c r="W581" i="8"/>
  <c r="W242" i="10"/>
  <c r="V425" i="11"/>
  <c r="V120" i="12"/>
  <c r="Q746" i="24"/>
  <c r="U80" i="8"/>
  <c r="Q169" i="13"/>
  <c r="O271" i="22"/>
  <c r="O297" i="22" s="1"/>
  <c r="O295" i="22"/>
  <c r="P361" i="7"/>
  <c r="P385" i="7"/>
  <c r="Q385" i="7" s="1"/>
  <c r="Q359" i="7"/>
  <c r="U69" i="8"/>
  <c r="R243" i="8"/>
  <c r="R236" i="8"/>
  <c r="J120" i="26"/>
  <c r="N24" i="13"/>
  <c r="N34" i="13"/>
  <c r="N8" i="13"/>
  <c r="J111" i="26"/>
  <c r="V150" i="8"/>
  <c r="V542" i="8"/>
  <c r="O545" i="22"/>
  <c r="O585" i="22" s="1"/>
  <c r="O559" i="22"/>
  <c r="O520" i="22"/>
  <c r="O523" i="22"/>
  <c r="Q73" i="7"/>
  <c r="T218" i="10"/>
  <c r="V233" i="10"/>
  <c r="Y233" i="10"/>
  <c r="U192" i="10"/>
  <c r="T414" i="11"/>
  <c r="T438" i="11"/>
  <c r="U438" i="11" s="1"/>
  <c r="U412" i="11"/>
  <c r="T416" i="11"/>
  <c r="T98" i="10"/>
  <c r="U279" i="10"/>
  <c r="U271" i="10"/>
  <c r="U90" i="10"/>
  <c r="T23" i="10"/>
  <c r="T58" i="10"/>
  <c r="L12" i="5"/>
  <c r="M12" i="5" s="1"/>
  <c r="M22" i="16"/>
  <c r="N22" i="16" s="1"/>
  <c r="M24" i="3"/>
  <c r="O15" i="17"/>
  <c r="O9" i="17"/>
  <c r="V267" i="8"/>
  <c r="V322" i="8"/>
  <c r="V321" i="8"/>
  <c r="V150" i="11"/>
  <c r="V71" i="11"/>
  <c r="V149" i="11"/>
  <c r="C23" i="3"/>
  <c r="T316" i="7"/>
  <c r="S303" i="7"/>
  <c r="S306" i="7"/>
  <c r="T318" i="7"/>
  <c r="T610" i="8"/>
  <c r="O17" i="21"/>
  <c r="O19" i="21" s="1"/>
  <c r="T38" i="7"/>
  <c r="T169" i="8"/>
  <c r="T608" i="8"/>
  <c r="S34" i="7"/>
  <c r="O140" i="14"/>
  <c r="Q80" i="13"/>
  <c r="P87" i="14"/>
  <c r="Q87" i="14" s="1"/>
  <c r="P118" i="14"/>
  <c r="P71" i="14" s="1"/>
  <c r="Q85" i="14"/>
  <c r="P135" i="14"/>
  <c r="Q135" i="14" s="1"/>
  <c r="Q155" i="13"/>
  <c r="P84" i="7"/>
  <c r="P84" i="8"/>
  <c r="Q35" i="11"/>
  <c r="P48" i="11"/>
  <c r="Q48" i="11" s="1"/>
  <c r="O81" i="16"/>
  <c r="O20" i="16" s="1"/>
  <c r="O12" i="4" s="1"/>
  <c r="K161" i="26" s="1"/>
  <c r="P89" i="16"/>
  <c r="V296" i="7"/>
  <c r="W576" i="8"/>
  <c r="W225" i="10"/>
  <c r="V89" i="10"/>
  <c r="V186" i="10"/>
  <c r="V210" i="10"/>
  <c r="V408" i="11"/>
  <c r="V103" i="12"/>
  <c r="Q729" i="24"/>
  <c r="R349" i="7"/>
  <c r="R342" i="7"/>
  <c r="R399" i="11"/>
  <c r="R215" i="12"/>
  <c r="M127" i="26"/>
  <c r="R392" i="11"/>
  <c r="R230" i="8"/>
  <c r="R248" i="8"/>
  <c r="R223" i="8"/>
  <c r="N35" i="13"/>
  <c r="J112" i="26"/>
  <c r="J119" i="26"/>
  <c r="J203" i="26"/>
  <c r="V150" i="7"/>
  <c r="W580" i="8"/>
  <c r="W238" i="10"/>
  <c r="V60" i="10"/>
  <c r="V205" i="10"/>
  <c r="V421" i="11"/>
  <c r="V116" i="12"/>
  <c r="Q742" i="24"/>
  <c r="O547" i="22"/>
  <c r="O587" i="22" s="1"/>
  <c r="O561" i="22"/>
  <c r="B141" i="23"/>
  <c r="A141" i="23"/>
  <c r="R335" i="7"/>
  <c r="R19" i="6"/>
  <c r="S411" i="8"/>
  <c r="T155" i="11"/>
  <c r="U153" i="11"/>
  <c r="T193" i="11"/>
  <c r="U193" i="11" s="1"/>
  <c r="T239" i="7"/>
  <c r="U239" i="7" s="1"/>
  <c r="T157" i="11"/>
  <c r="T363" i="8"/>
  <c r="U361" i="8"/>
  <c r="T401" i="8"/>
  <c r="U401" i="8" s="1"/>
  <c r="T374" i="8"/>
  <c r="U374" i="8" s="1"/>
  <c r="Q329" i="9"/>
  <c r="Q317" i="9"/>
  <c r="Q527" i="11"/>
  <c r="P528" i="11"/>
  <c r="P531" i="11"/>
  <c r="S152" i="12"/>
  <c r="S145" i="12"/>
  <c r="O790" i="24"/>
  <c r="O793" i="24"/>
  <c r="O798" i="24"/>
  <c r="O246" i="9"/>
  <c r="O237" i="9"/>
  <c r="O249" i="9"/>
  <c r="O503" i="22"/>
  <c r="O665" i="22" s="1"/>
  <c r="O625" i="22"/>
  <c r="O421" i="22"/>
  <c r="O396" i="22"/>
  <c r="O399" i="22"/>
  <c r="T227" i="7"/>
  <c r="T118" i="11"/>
  <c r="T190" i="11"/>
  <c r="U190" i="11" s="1"/>
  <c r="U110" i="11"/>
  <c r="T123" i="11"/>
  <c r="T289" i="8"/>
  <c r="U289" i="8" s="1"/>
  <c r="T271" i="8"/>
  <c r="U263" i="8"/>
  <c r="T264" i="8"/>
  <c r="S428" i="11"/>
  <c r="S431" i="11"/>
  <c r="S436" i="11"/>
  <c r="S66" i="10"/>
  <c r="S63" i="10"/>
  <c r="R107" i="8"/>
  <c r="N500" i="22"/>
  <c r="N662" i="22" s="1"/>
  <c r="N622" i="22"/>
  <c r="N492" i="22"/>
  <c r="N614" i="22"/>
  <c r="N495" i="22"/>
  <c r="N617" i="22"/>
  <c r="N456" i="22"/>
  <c r="N465" i="22"/>
  <c r="N468" i="22"/>
  <c r="P489" i="22"/>
  <c r="P611" i="22"/>
  <c r="O500" i="8"/>
  <c r="K193" i="26"/>
  <c r="O448" i="8"/>
  <c r="O13" i="3"/>
  <c r="Q28" i="22"/>
  <c r="P453" i="22"/>
  <c r="P485" i="22"/>
  <c r="P607" i="22"/>
  <c r="S17" i="6"/>
  <c r="S20" i="7"/>
  <c r="S119" i="7"/>
  <c r="S269" i="7"/>
  <c r="S8" i="6"/>
  <c r="S133" i="8"/>
  <c r="S494" i="8"/>
  <c r="S246" i="11"/>
  <c r="B135" i="23"/>
  <c r="N95" i="26"/>
  <c r="O466" i="22"/>
  <c r="O480" i="22"/>
  <c r="O642" i="22" s="1"/>
  <c r="O602" i="22"/>
  <c r="O464" i="22"/>
  <c r="O478" i="22"/>
  <c r="O640" i="22" s="1"/>
  <c r="O600" i="22"/>
  <c r="O439" i="22"/>
  <c r="O442" i="22"/>
  <c r="O273" i="22"/>
  <c r="O291" i="22"/>
  <c r="O267" i="22"/>
  <c r="O280" i="22"/>
  <c r="O286" i="22"/>
  <c r="M60" i="22"/>
  <c r="M82" i="22"/>
  <c r="M50" i="22"/>
  <c r="P97" i="14"/>
  <c r="Q97" i="14"/>
  <c r="P10" i="14"/>
  <c r="Q10" i="14"/>
  <c r="L84" i="26"/>
  <c r="P170" i="13"/>
  <c r="P172" i="13"/>
  <c r="Q166" i="13"/>
  <c r="S296" i="8"/>
  <c r="Q9" i="22"/>
  <c r="Q33" i="22"/>
  <c r="P434" i="22"/>
  <c r="P458" i="22"/>
  <c r="P472" i="22"/>
  <c r="P594" i="22"/>
  <c r="V149" i="10"/>
  <c r="U111" i="10"/>
  <c r="T188" i="8"/>
  <c r="T206" i="8"/>
  <c r="U206" i="8" s="1"/>
  <c r="O174" i="26"/>
  <c r="U180" i="8"/>
  <c r="R201" i="13"/>
  <c r="R194" i="13"/>
  <c r="O711" i="22"/>
  <c r="O699" i="22"/>
  <c r="S12" i="16" s="1"/>
  <c r="O708" i="22"/>
  <c r="T260" i="10"/>
  <c r="S188" i="12"/>
  <c r="N133" i="26"/>
  <c r="P199" i="7"/>
  <c r="P201" i="7"/>
  <c r="Q201" i="7" s="1"/>
  <c r="Q197" i="7"/>
  <c r="O125" i="7"/>
  <c r="O273" i="11"/>
  <c r="K149" i="26"/>
  <c r="O284" i="11"/>
  <c r="S405" i="8"/>
  <c r="S378" i="8"/>
  <c r="V315" i="7"/>
  <c r="V607" i="8"/>
  <c r="Y315" i="7"/>
  <c r="U301" i="7"/>
  <c r="Y607" i="8"/>
  <c r="P748" i="24"/>
  <c r="U297" i="10" s="1"/>
  <c r="P760" i="24"/>
  <c r="Q371" i="9"/>
  <c r="Q346" i="9"/>
  <c r="Q349" i="9"/>
  <c r="O204" i="26"/>
  <c r="U561" i="8"/>
  <c r="S138" i="12"/>
  <c r="P276" i="9"/>
  <c r="P289" i="9" s="1"/>
  <c r="P227" i="9"/>
  <c r="T198" i="10"/>
  <c r="T535" i="8"/>
  <c r="P1097" i="24"/>
  <c r="P281" i="9"/>
  <c r="P269" i="9"/>
  <c r="Q353" i="9"/>
  <c r="S34" i="8"/>
  <c r="L131" i="26"/>
  <c r="Q396" i="11"/>
  <c r="P14" i="3"/>
  <c r="P397" i="11"/>
  <c r="P400" i="11"/>
  <c r="M19" i="9"/>
  <c r="S75" i="8"/>
  <c r="S97" i="8"/>
  <c r="R348" i="9"/>
  <c r="R445" i="24"/>
  <c r="R299" i="9"/>
  <c r="Q222" i="9"/>
  <c r="Q771" i="24"/>
  <c r="Q198" i="13"/>
  <c r="P202" i="13"/>
  <c r="P199" i="13"/>
  <c r="N904" i="22"/>
  <c r="N897" i="22"/>
  <c r="P230" i="22"/>
  <c r="P254" i="22"/>
  <c r="P232" i="22"/>
  <c r="R16" i="12"/>
  <c r="R18" i="12"/>
  <c r="O139" i="14"/>
  <c r="Q82" i="8"/>
  <c r="R150" i="12"/>
  <c r="R153" i="12"/>
  <c r="C13" i="4"/>
  <c r="B160" i="26"/>
  <c r="T253" i="10"/>
  <c r="O104" i="8"/>
  <c r="O108" i="8"/>
  <c r="O93" i="8"/>
  <c r="P554" i="22"/>
  <c r="P522" i="22"/>
  <c r="U118" i="10"/>
  <c r="T52" i="8"/>
  <c r="T195" i="8"/>
  <c r="O181" i="26"/>
  <c r="U193" i="8"/>
  <c r="S171" i="11"/>
  <c r="S185" i="11"/>
  <c r="P164" i="12"/>
  <c r="P77" i="12"/>
  <c r="P167" i="12"/>
  <c r="P80" i="12"/>
  <c r="Q80" i="12"/>
  <c r="Q45" i="12"/>
  <c r="Q48" i="12"/>
  <c r="Q77" i="12"/>
  <c r="O169" i="22"/>
  <c r="O151" i="22"/>
  <c r="O177" i="22" s="1"/>
  <c r="P115" i="14"/>
  <c r="P68" i="14"/>
  <c r="P90" i="14"/>
  <c r="Q90" i="14" s="1"/>
  <c r="Q82" i="14"/>
  <c r="Q104" i="14"/>
  <c r="P104" i="14"/>
  <c r="P377" i="7"/>
  <c r="Q377" i="7" s="1"/>
  <c r="Q369" i="7"/>
  <c r="P43" i="14"/>
  <c r="Q43" i="14" s="1"/>
  <c r="Q41" i="14"/>
  <c r="V523" i="8"/>
  <c r="V547" i="8"/>
  <c r="N39" i="13"/>
  <c r="J116" i="26"/>
  <c r="S243" i="7"/>
  <c r="S248" i="7"/>
  <c r="U280" i="8"/>
  <c r="T293" i="8"/>
  <c r="U293" i="8" s="1"/>
  <c r="T284" i="8"/>
  <c r="U284" i="8" s="1"/>
  <c r="S156" i="10"/>
  <c r="S159" i="10"/>
  <c r="T81" i="7"/>
  <c r="T70" i="8"/>
  <c r="U164" i="11"/>
  <c r="Q194" i="12"/>
  <c r="P198" i="12"/>
  <c r="P195" i="12"/>
  <c r="Q140" i="13"/>
  <c r="Q144" i="13"/>
  <c r="Q129" i="13"/>
  <c r="N422" i="22"/>
  <c r="N425" i="22"/>
  <c r="N413" i="22"/>
  <c r="N1384" i="24" s="1"/>
  <c r="T352" i="11"/>
  <c r="P1115" i="24"/>
  <c r="P1090" i="24"/>
  <c r="P1093" i="24"/>
  <c r="T208" i="7"/>
  <c r="T60" i="11"/>
  <c r="T84" i="11"/>
  <c r="U84" i="11" s="1"/>
  <c r="U58" i="11"/>
  <c r="T62" i="11"/>
  <c r="B1450" i="24"/>
  <c r="U69" i="7"/>
  <c r="P253" i="8"/>
  <c r="Q253" i="8" s="1"/>
  <c r="Q227" i="8"/>
  <c r="P228" i="8"/>
  <c r="P231" i="8"/>
  <c r="P207" i="12"/>
  <c r="P209" i="12"/>
  <c r="Q209" i="12" s="1"/>
  <c r="Q205" i="12"/>
  <c r="P61" i="16"/>
  <c r="Q69" i="16"/>
  <c r="O178" i="26"/>
  <c r="U185" i="8"/>
  <c r="O115" i="8"/>
  <c r="O441" i="8"/>
  <c r="O497" i="8"/>
  <c r="K192" i="26"/>
  <c r="O445" i="8"/>
  <c r="P534" i="22"/>
  <c r="P574" i="22" s="1"/>
  <c r="P566" i="22"/>
  <c r="T123" i="7"/>
  <c r="T116" i="8"/>
  <c r="T442" i="8"/>
  <c r="T271" i="11"/>
  <c r="C151" i="23"/>
  <c r="U123" i="7"/>
  <c r="U271" i="11"/>
  <c r="U442" i="8"/>
  <c r="U52" i="7"/>
  <c r="U116" i="8"/>
  <c r="S133" i="7"/>
  <c r="S119" i="8"/>
  <c r="S20" i="8"/>
  <c r="S452" i="8"/>
  <c r="S302" i="11"/>
  <c r="B155" i="23"/>
  <c r="M1239" i="24"/>
  <c r="M1245" i="24"/>
  <c r="P51" i="14"/>
  <c r="O163" i="22"/>
  <c r="O157" i="22"/>
  <c r="M376" i="22"/>
  <c r="M382" i="22"/>
  <c r="P89" i="14"/>
  <c r="Q89" i="14" s="1"/>
  <c r="P83" i="14"/>
  <c r="P114" i="14"/>
  <c r="P67" i="14" s="1"/>
  <c r="Q81" i="14"/>
  <c r="P370" i="7"/>
  <c r="P376" i="7"/>
  <c r="Q376" i="7" s="1"/>
  <c r="Q368" i="7"/>
  <c r="O136" i="14"/>
  <c r="P539" i="22"/>
  <c r="P579" i="22" s="1"/>
  <c r="P553" i="22"/>
  <c r="P515" i="22"/>
  <c r="C7" i="26"/>
  <c r="U75" i="10"/>
  <c r="T263" i="7"/>
  <c r="T488" i="8"/>
  <c r="T226" i="11"/>
  <c r="C87" i="23"/>
  <c r="O91" i="26"/>
  <c r="U488" i="8"/>
  <c r="U263" i="7"/>
  <c r="U226" i="11"/>
  <c r="U179" i="7"/>
  <c r="Q472" i="11"/>
  <c r="Q469" i="11"/>
  <c r="K152" i="26"/>
  <c r="O294" i="11"/>
  <c r="S410" i="8"/>
  <c r="U94" i="10"/>
  <c r="U274" i="10"/>
  <c r="U283" i="10"/>
  <c r="U121" i="12"/>
  <c r="T122" i="12"/>
  <c r="U122" i="12" s="1"/>
  <c r="T134" i="12"/>
  <c r="U134" i="12" s="1"/>
  <c r="T113" i="10"/>
  <c r="P776" i="24"/>
  <c r="P800" i="24"/>
  <c r="P778" i="24"/>
  <c r="P804" i="24" s="1"/>
  <c r="Q304" i="9"/>
  <c r="Q328" i="9"/>
  <c r="Q306" i="9"/>
  <c r="Q332" i="9" s="1"/>
  <c r="T70" i="7"/>
  <c r="T81" i="8"/>
  <c r="U128" i="11"/>
  <c r="U175" i="12"/>
  <c r="W590" i="8"/>
  <c r="W230" i="10"/>
  <c r="V413" i="11"/>
  <c r="V108" i="12"/>
  <c r="Q734" i="24"/>
  <c r="S192" i="13"/>
  <c r="P467" i="24"/>
  <c r="P464" i="24"/>
  <c r="P472" i="24"/>
  <c r="P29" i="21" s="1"/>
  <c r="P31" i="21" s="1"/>
  <c r="M32" i="9"/>
  <c r="M1471" i="24"/>
  <c r="M1477" i="24"/>
  <c r="O16" i="7"/>
  <c r="S208" i="8"/>
  <c r="S187" i="8"/>
  <c r="S190" i="8"/>
  <c r="S215" i="8"/>
  <c r="P456" i="8"/>
  <c r="P222" i="11"/>
  <c r="P459" i="8"/>
  <c r="P232" i="11"/>
  <c r="Q71" i="7"/>
  <c r="S75" i="7"/>
  <c r="S97" i="7"/>
  <c r="V147" i="7"/>
  <c r="W589" i="8"/>
  <c r="W226" i="10"/>
  <c r="V193" i="10"/>
  <c r="V57" i="10"/>
  <c r="V409" i="11"/>
  <c r="V104" i="12"/>
  <c r="Q730" i="24"/>
  <c r="S77" i="11"/>
  <c r="S74" i="11"/>
  <c r="S82" i="11"/>
  <c r="K147" i="26"/>
  <c r="P243" i="22"/>
  <c r="P245" i="22"/>
  <c r="P325" i="22"/>
  <c r="P327" i="22"/>
  <c r="O213" i="22"/>
  <c r="O189" i="22"/>
  <c r="O191" i="22"/>
  <c r="R323" i="11"/>
  <c r="R74" i="12" s="1"/>
  <c r="R368" i="11"/>
  <c r="R513" i="11"/>
  <c r="R466" i="11"/>
  <c r="R42" i="12"/>
  <c r="M107" i="26"/>
  <c r="R515" i="11"/>
  <c r="J155" i="26"/>
  <c r="M187" i="26"/>
  <c r="R11" i="8"/>
  <c r="T245" i="10"/>
  <c r="T248" i="10"/>
  <c r="S208" i="10"/>
  <c r="S220" i="10"/>
  <c r="S217" i="10"/>
  <c r="S545" i="8"/>
  <c r="S557" i="8"/>
  <c r="S554" i="8"/>
  <c r="B24" i="26"/>
  <c r="Q16" i="22"/>
  <c r="C25" i="26"/>
  <c r="U43" i="10"/>
  <c r="T116" i="7"/>
  <c r="T123" i="8"/>
  <c r="T463" i="8"/>
  <c r="T243" i="11"/>
  <c r="C159" i="23"/>
  <c r="U463" i="8"/>
  <c r="U49" i="7"/>
  <c r="U123" i="8"/>
  <c r="U116" i="7"/>
  <c r="U243" i="11"/>
  <c r="S244" i="7"/>
  <c r="S249" i="7"/>
  <c r="P46" i="14"/>
  <c r="Q46" i="14" s="1"/>
  <c r="Q38" i="14"/>
  <c r="P382" i="7"/>
  <c r="Q382" i="7" s="1"/>
  <c r="P364" i="7"/>
  <c r="Q356" i="7"/>
  <c r="O157" i="13"/>
  <c r="O161" i="13"/>
  <c r="T109" i="12"/>
  <c r="T133" i="12"/>
  <c r="U133" i="12" s="1"/>
  <c r="U107" i="12"/>
  <c r="T111" i="12"/>
  <c r="V160" i="7"/>
  <c r="T298" i="7"/>
  <c r="T154" i="7"/>
  <c r="V160" i="8"/>
  <c r="V578" i="8"/>
  <c r="U146" i="7"/>
  <c r="Y160" i="7"/>
  <c r="Y578" i="8"/>
  <c r="Y160" i="8"/>
  <c r="U80" i="7"/>
  <c r="S226" i="8"/>
  <c r="S239" i="8"/>
  <c r="S31" i="11"/>
  <c r="S30" i="11"/>
  <c r="S382" i="11"/>
  <c r="S395" i="11"/>
  <c r="S162" i="12"/>
  <c r="S345" i="7"/>
  <c r="T169" i="7"/>
  <c r="T38" i="8"/>
  <c r="T166" i="8"/>
  <c r="T596" i="8"/>
  <c r="T599" i="8"/>
  <c r="R53" i="12"/>
  <c r="R530" i="11"/>
  <c r="R523" i="11"/>
  <c r="O172" i="22"/>
  <c r="O148" i="22"/>
  <c r="O174" i="22" s="1"/>
  <c r="M77" i="22"/>
  <c r="M67" i="22"/>
  <c r="R12" i="3"/>
  <c r="R107" i="7"/>
  <c r="N507" i="22"/>
  <c r="N669" i="22" s="1"/>
  <c r="N629" i="22"/>
  <c r="P477" i="22"/>
  <c r="P599" i="22"/>
  <c r="O182" i="26"/>
  <c r="U194" i="8"/>
  <c r="R44" i="11"/>
  <c r="R22" i="11"/>
  <c r="M135" i="26"/>
  <c r="R197" i="12"/>
  <c r="R190" i="12"/>
  <c r="N9" i="13"/>
  <c r="N32" i="13"/>
  <c r="J118" i="26"/>
  <c r="V266" i="8"/>
  <c r="V318" i="8"/>
  <c r="V317" i="8"/>
  <c r="V137" i="11"/>
  <c r="V136" i="11"/>
  <c r="V67" i="11"/>
  <c r="Q1104" i="24"/>
  <c r="R26" i="7"/>
  <c r="R139" i="7"/>
  <c r="R289" i="7"/>
  <c r="S406" i="8"/>
  <c r="S379" i="8"/>
  <c r="U154" i="11"/>
  <c r="T194" i="11"/>
  <c r="U194" i="11" s="1"/>
  <c r="T240" i="7"/>
  <c r="U240" i="7" s="1"/>
  <c r="T158" i="11"/>
  <c r="U158" i="11" s="1"/>
  <c r="Q272" i="9"/>
  <c r="Q928" i="22"/>
  <c r="Q475" i="24"/>
  <c r="Q463" i="24"/>
  <c r="N220" i="26"/>
  <c r="O138" i="14"/>
  <c r="O131" i="14"/>
  <c r="T64" i="10"/>
  <c r="U64" i="10" s="1"/>
  <c r="T91" i="10"/>
  <c r="U56" i="10"/>
  <c r="P735" i="24"/>
  <c r="P759" i="24"/>
  <c r="P737" i="24"/>
  <c r="P763" i="24" s="1"/>
  <c r="V585" i="8"/>
  <c r="V255" i="10"/>
  <c r="Y255" i="10"/>
  <c r="U214" i="10"/>
  <c r="Y585" i="8"/>
  <c r="V311" i="7"/>
  <c r="T305" i="7"/>
  <c r="V603" i="8"/>
  <c r="Y311" i="7"/>
  <c r="U297" i="7"/>
  <c r="Y603" i="8"/>
  <c r="T32" i="7"/>
  <c r="T148" i="7"/>
  <c r="R461" i="24"/>
  <c r="R315" i="9"/>
  <c r="Q787" i="24"/>
  <c r="I140" i="26"/>
  <c r="M20" i="3"/>
  <c r="M21" i="3"/>
  <c r="M11" i="6"/>
  <c r="P134" i="14"/>
  <c r="Q134" i="14" s="1"/>
  <c r="Q154" i="13"/>
  <c r="P374" i="7"/>
  <c r="Q374" i="7" s="1"/>
  <c r="Q372" i="7"/>
  <c r="O176" i="13"/>
  <c r="P558" i="22"/>
  <c r="R341" i="9"/>
  <c r="R365" i="9"/>
  <c r="R444" i="24"/>
  <c r="R298" i="9"/>
  <c r="Q239" i="9"/>
  <c r="Q215" i="9"/>
  <c r="Q770" i="24"/>
  <c r="N71" i="9"/>
  <c r="N1470" i="24"/>
  <c r="N1478" i="24" s="1"/>
  <c r="R386" i="11"/>
  <c r="R202" i="12"/>
  <c r="M212" i="26"/>
  <c r="R379" i="11"/>
  <c r="R194" i="7"/>
  <c r="R19" i="11"/>
  <c r="R43" i="11"/>
  <c r="R21" i="11"/>
  <c r="J122" i="26"/>
  <c r="J123" i="26"/>
  <c r="N38" i="13"/>
  <c r="J115" i="26"/>
  <c r="R360" i="9"/>
  <c r="R457" i="24"/>
  <c r="R311" i="9"/>
  <c r="Q234" i="9"/>
  <c r="Q783" i="24"/>
  <c r="P707" i="22"/>
  <c r="P682" i="22"/>
  <c r="P685" i="22"/>
  <c r="P14" i="7"/>
  <c r="P72" i="7"/>
  <c r="P76" i="7"/>
  <c r="P425" i="8"/>
  <c r="P219" i="11"/>
  <c r="P428" i="8"/>
  <c r="P229" i="11"/>
  <c r="Q66" i="7"/>
  <c r="P66" i="16"/>
  <c r="S7" i="3"/>
  <c r="R21" i="3"/>
  <c r="R11" i="6" s="1"/>
  <c r="R10" i="6"/>
  <c r="R14" i="6"/>
  <c r="R15" i="6"/>
  <c r="R27" i="3"/>
  <c r="R12" i="6" s="1"/>
  <c r="R20" i="6"/>
  <c r="R17" i="3"/>
  <c r="R26" i="8"/>
  <c r="R139" i="8"/>
  <c r="R514" i="8"/>
  <c r="R308" i="11"/>
  <c r="A143" i="23"/>
  <c r="A145" i="23" s="1" a="1"/>
  <c r="M103" i="26"/>
  <c r="R55" i="13"/>
  <c r="R52" i="13"/>
  <c r="N1218" i="24"/>
  <c r="R28" i="14" s="1"/>
  <c r="N1214" i="24"/>
  <c r="R56" i="13"/>
  <c r="N1213" i="24"/>
  <c r="R51" i="13"/>
  <c r="N1217" i="24"/>
  <c r="S168" i="11"/>
  <c r="S146" i="11"/>
  <c r="S182" i="11"/>
  <c r="S237" i="7"/>
  <c r="T566" i="8"/>
  <c r="T180" i="12"/>
  <c r="U180" i="12" s="1"/>
  <c r="P1073" i="24"/>
  <c r="T484" i="11" s="1"/>
  <c r="U356" i="11"/>
  <c r="U72" i="11"/>
  <c r="T73" i="11"/>
  <c r="U73" i="11" s="1"/>
  <c r="T85" i="11"/>
  <c r="U85" i="11" s="1"/>
  <c r="T212" i="7"/>
  <c r="U212" i="7" s="1"/>
  <c r="S53" i="7"/>
  <c r="S197" i="8"/>
  <c r="S467" i="8"/>
  <c r="S131" i="10"/>
  <c r="S47" i="10"/>
  <c r="S254" i="11"/>
  <c r="O527" i="22"/>
  <c r="O446" i="22"/>
  <c r="O403" i="22"/>
  <c r="B5" i="26"/>
  <c r="B79" i="23"/>
  <c r="N97" i="26"/>
  <c r="P21" i="22"/>
  <c r="P689" i="22"/>
  <c r="S183" i="7"/>
  <c r="S79" i="10"/>
  <c r="S124" i="10"/>
  <c r="S136" i="10"/>
  <c r="O1107" i="24"/>
  <c r="O1119" i="24"/>
  <c r="O1116" i="24"/>
  <c r="T389" i="8"/>
  <c r="U389" i="8" s="1"/>
  <c r="T335" i="8"/>
  <c r="U309" i="8"/>
  <c r="T313" i="8"/>
  <c r="R19" i="10"/>
  <c r="A21" i="26"/>
  <c r="M210" i="26"/>
  <c r="S443" i="11"/>
  <c r="S286" i="10"/>
  <c r="P372" i="9"/>
  <c r="P375" i="9"/>
  <c r="P363" i="9"/>
  <c r="L216" i="26"/>
  <c r="Q383" i="11"/>
  <c r="P384" i="11"/>
  <c r="P387" i="11"/>
  <c r="P570" i="22"/>
  <c r="O122" i="7"/>
  <c r="O272" i="7"/>
  <c r="O270" i="11"/>
  <c r="O256" i="11"/>
  <c r="K148" i="26"/>
  <c r="O281" i="11"/>
  <c r="R166" i="12"/>
  <c r="R79" i="12"/>
  <c r="P410" i="22"/>
  <c r="S286" i="7"/>
  <c r="S511" i="8"/>
  <c r="S298" i="11"/>
  <c r="B131" i="23"/>
  <c r="T158" i="10"/>
  <c r="U158" i="10" s="1"/>
  <c r="O638" i="22"/>
  <c r="P39" i="22"/>
  <c r="P14" i="22"/>
  <c r="P17" i="22"/>
  <c r="O150" i="22"/>
  <c r="O168" i="22"/>
  <c r="O144" i="22"/>
  <c r="N122" i="22"/>
  <c r="N116" i="22"/>
  <c r="Q30" i="14"/>
  <c r="P33" i="14"/>
  <c r="P30" i="14"/>
  <c r="Q33" i="14"/>
  <c r="P45" i="14"/>
  <c r="Q45" i="14" s="1"/>
  <c r="P39" i="14"/>
  <c r="Q37" i="14"/>
  <c r="N103" i="22"/>
  <c r="N109" i="22"/>
  <c r="N127" i="22"/>
  <c r="P363" i="7"/>
  <c r="P357" i="7"/>
  <c r="P381" i="7"/>
  <c r="Q381" i="7" s="1"/>
  <c r="Q355" i="7"/>
  <c r="U332" i="8"/>
  <c r="P98" i="8"/>
  <c r="Q98" i="8" s="1"/>
  <c r="Q66" i="8"/>
  <c r="M224" i="26"/>
  <c r="S85" i="8"/>
  <c r="S294" i="8"/>
  <c r="S282" i="8"/>
  <c r="S285" i="8"/>
  <c r="P415" i="22"/>
  <c r="P391" i="22"/>
  <c r="O70" i="13"/>
  <c r="P33" i="11"/>
  <c r="P36" i="11"/>
  <c r="P41" i="11"/>
  <c r="Q41" i="11" s="1"/>
  <c r="Q28" i="11"/>
  <c r="K200" i="26"/>
  <c r="O479" i="8"/>
  <c r="U327" i="8"/>
  <c r="U324" i="8"/>
  <c r="V598" i="8"/>
  <c r="V256" i="10"/>
  <c r="U215" i="10"/>
  <c r="Y598" i="8"/>
  <c r="Y256" i="10"/>
  <c r="U426" i="11"/>
  <c r="T439" i="11"/>
  <c r="U439" i="11" s="1"/>
  <c r="T427" i="11"/>
  <c r="U427" i="11" s="1"/>
  <c r="P245" i="9"/>
  <c r="P220" i="9"/>
  <c r="P223" i="9"/>
  <c r="Q258" i="9"/>
  <c r="Q450" i="24"/>
  <c r="Q474" i="24"/>
  <c r="Q923" i="22"/>
  <c r="Q452" i="24"/>
  <c r="Q478" i="24" s="1"/>
  <c r="T143" i="12"/>
  <c r="O218" i="26"/>
  <c r="U448" i="11"/>
  <c r="R449" i="24"/>
  <c r="R303" i="9"/>
  <c r="Q775" i="24"/>
  <c r="S156" i="8"/>
  <c r="S56" i="8"/>
  <c r="S9" i="8"/>
  <c r="S50" i="8"/>
  <c r="N176" i="26"/>
  <c r="N576" i="22"/>
  <c r="N573" i="22"/>
  <c r="N549" i="22"/>
  <c r="N546" i="22"/>
  <c r="N537" i="22"/>
  <c r="V147" i="8"/>
  <c r="V530" i="8"/>
  <c r="S213" i="7"/>
  <c r="S215" i="7"/>
  <c r="U224" i="7"/>
  <c r="O202" i="22"/>
  <c r="O204" i="22"/>
  <c r="R126" i="13"/>
  <c r="R132" i="13"/>
  <c r="R127" i="13"/>
  <c r="R133" i="13"/>
  <c r="M73" i="26"/>
  <c r="N1181" i="24"/>
  <c r="R486" i="11"/>
  <c r="R489" i="11"/>
  <c r="P318" i="9"/>
  <c r="P321" i="9"/>
  <c r="P326" i="9"/>
  <c r="S488" i="11"/>
  <c r="O1184" i="24" s="1"/>
  <c r="S494" i="11"/>
  <c r="O1143" i="24" s="1"/>
  <c r="S508" i="11"/>
  <c r="S11" i="12"/>
  <c r="S104" i="13"/>
  <c r="P197" i="22"/>
  <c r="Q225" i="22"/>
  <c r="S105" i="13"/>
  <c r="S106" i="13"/>
  <c r="Q320" i="22"/>
  <c r="O899" i="22"/>
  <c r="Q307" i="22"/>
  <c r="P184" i="22"/>
  <c r="Q238" i="22"/>
  <c r="O1195" i="24"/>
  <c r="N69" i="26"/>
  <c r="S481" i="11"/>
  <c r="L139" i="26"/>
  <c r="Q371" i="11"/>
  <c r="Q374" i="11"/>
  <c r="T32" i="8"/>
  <c r="T148" i="8"/>
  <c r="T154" i="8"/>
  <c r="U146" i="8"/>
  <c r="T553" i="8"/>
  <c r="U553" i="8" s="1"/>
  <c r="U527" i="8"/>
  <c r="T531" i="8"/>
  <c r="O16" i="8"/>
  <c r="S17" i="10"/>
  <c r="T17" i="10" s="1"/>
  <c r="B19" i="26"/>
  <c r="B18" i="26"/>
  <c r="Q684" i="22"/>
  <c r="P398" i="22"/>
  <c r="S207" i="11"/>
  <c r="O274" i="22"/>
  <c r="O300" i="22" s="1"/>
  <c r="O292" i="22"/>
  <c r="M61" i="22"/>
  <c r="M95" i="22" s="1"/>
  <c r="M83" i="22"/>
  <c r="V231" i="10"/>
  <c r="T216" i="10"/>
  <c r="Y231" i="10"/>
  <c r="U190" i="10"/>
  <c r="T194" i="10"/>
  <c r="T191" i="10"/>
  <c r="S193" i="12"/>
  <c r="N137" i="26"/>
  <c r="T166" i="7"/>
  <c r="S153" i="7"/>
  <c r="S156" i="7"/>
  <c r="N131" i="22"/>
  <c r="N107" i="22"/>
  <c r="N133" i="22" s="1"/>
  <c r="P101" i="14"/>
  <c r="Q101" i="14"/>
  <c r="L87" i="26"/>
  <c r="Q346" i="7"/>
  <c r="P347" i="7"/>
  <c r="P350" i="7"/>
  <c r="V304" i="8"/>
  <c r="V262" i="8"/>
  <c r="V305" i="8"/>
  <c r="V54" i="11"/>
  <c r="V96" i="11"/>
  <c r="V97" i="11"/>
  <c r="Q1085" i="24"/>
  <c r="Q1109" i="24"/>
  <c r="N36" i="13"/>
  <c r="J113" i="26"/>
  <c r="S170" i="11"/>
  <c r="S143" i="11"/>
  <c r="S184" i="11"/>
  <c r="S206" i="11"/>
  <c r="U362" i="8"/>
  <c r="T402" i="8"/>
  <c r="U402" i="8" s="1"/>
  <c r="T375" i="8"/>
  <c r="U375" i="8" s="1"/>
  <c r="Q34" i="12"/>
  <c r="Q31" i="12"/>
  <c r="P58" i="12"/>
  <c r="P60" i="12"/>
  <c r="Q60" i="12" s="1"/>
  <c r="Q56" i="12"/>
  <c r="Q70" i="16"/>
  <c r="R70" i="16" s="1"/>
  <c r="R216" i="8"/>
  <c r="R204" i="8"/>
  <c r="R213" i="8"/>
  <c r="O491" i="22"/>
  <c r="O653" i="22" s="1"/>
  <c r="O613" i="22"/>
  <c r="S565" i="8"/>
  <c r="S357" i="11"/>
  <c r="S452" i="11"/>
  <c r="S179" i="12"/>
  <c r="O1072" i="24"/>
  <c r="S359" i="11"/>
  <c r="N206" i="26"/>
  <c r="T226" i="7"/>
  <c r="T117" i="11"/>
  <c r="T111" i="11"/>
  <c r="T189" i="11"/>
  <c r="U189" i="11" s="1"/>
  <c r="U109" i="11"/>
  <c r="T122" i="11"/>
  <c r="T310" i="8"/>
  <c r="T388" i="8"/>
  <c r="U388" i="8" s="1"/>
  <c r="T334" i="8"/>
  <c r="U308" i="8"/>
  <c r="T312" i="8"/>
  <c r="C1462" i="24"/>
  <c r="C1465" i="24"/>
  <c r="C171" i="10"/>
  <c r="C174" i="10"/>
  <c r="S284" i="10"/>
  <c r="S32" i="10"/>
  <c r="S25" i="10"/>
  <c r="P255" i="8"/>
  <c r="Q255" i="8" s="1"/>
  <c r="Q229" i="8"/>
  <c r="M35" i="9"/>
  <c r="M1475" i="24"/>
  <c r="N24" i="3"/>
  <c r="O275" i="7"/>
  <c r="O266" i="11"/>
  <c r="K151" i="26"/>
  <c r="O291" i="11"/>
  <c r="O93" i="7"/>
  <c r="O108" i="7"/>
  <c r="O104" i="7"/>
  <c r="R72" i="12"/>
  <c r="R159" i="12"/>
  <c r="Q696" i="22"/>
  <c r="C23" i="26"/>
  <c r="U46" i="10"/>
  <c r="T49" i="8"/>
  <c r="T186" i="8"/>
  <c r="O177" i="26"/>
  <c r="U184" i="8"/>
  <c r="T151" i="10"/>
  <c r="U151" i="10" s="1"/>
  <c r="O502" i="22"/>
  <c r="O664" i="22" s="1"/>
  <c r="O624" i="22"/>
  <c r="M348" i="22"/>
  <c r="M354" i="22"/>
  <c r="M362" i="22"/>
  <c r="M368" i="22"/>
  <c r="M54" i="22"/>
  <c r="M86" i="22"/>
  <c r="M90" i="22"/>
  <c r="M58" i="22"/>
  <c r="P103" i="14"/>
  <c r="Q103" i="14"/>
  <c r="O40" i="22"/>
  <c r="O43" i="22"/>
  <c r="O31" i="22"/>
  <c r="Q701" i="22"/>
  <c r="Q677" i="22"/>
  <c r="T446" i="8"/>
  <c r="T282" i="11"/>
  <c r="C71" i="23"/>
  <c r="C3" i="26"/>
  <c r="U282" i="11"/>
  <c r="U446" i="8"/>
  <c r="U135" i="10"/>
  <c r="U106" i="11"/>
  <c r="U103" i="11"/>
  <c r="S221" i="8"/>
  <c r="S234" i="8"/>
  <c r="S14" i="11"/>
  <c r="S390" i="11"/>
  <c r="S157" i="12"/>
  <c r="S13" i="11"/>
  <c r="S377" i="11"/>
  <c r="S340" i="7"/>
  <c r="P79" i="7"/>
  <c r="P68" i="8"/>
  <c r="Q34" i="11"/>
  <c r="P47" i="11"/>
  <c r="Q47" i="11" s="1"/>
  <c r="O125" i="8"/>
  <c r="O472" i="8"/>
  <c r="K199" i="26"/>
  <c r="O476" i="8"/>
  <c r="S367" i="8"/>
  <c r="S364" i="8"/>
  <c r="S372" i="8"/>
  <c r="S399" i="8"/>
  <c r="V244" i="10"/>
  <c r="U203" i="10"/>
  <c r="Y244" i="10"/>
  <c r="T479" i="11"/>
  <c r="S96" i="10"/>
  <c r="S99" i="10"/>
  <c r="S123" i="12"/>
  <c r="S126" i="12"/>
  <c r="S131" i="12"/>
  <c r="V276" i="8"/>
  <c r="V348" i="8"/>
  <c r="V349" i="8"/>
  <c r="V114" i="11"/>
  <c r="V59" i="11"/>
  <c r="V113" i="11"/>
  <c r="Q58" i="13"/>
  <c r="Q61" i="13"/>
  <c r="P941" i="22"/>
  <c r="P919" i="22"/>
  <c r="P945" i="22" s="1"/>
  <c r="P916" i="22"/>
  <c r="S153" i="8"/>
  <c r="Q240" i="8"/>
  <c r="P241" i="8"/>
  <c r="P244" i="8"/>
  <c r="P220" i="12"/>
  <c r="P222" i="12"/>
  <c r="Q222" i="12" s="1"/>
  <c r="Q218" i="12"/>
  <c r="M69" i="9"/>
  <c r="M72" i="9"/>
  <c r="N12" i="4"/>
  <c r="J161" i="26"/>
  <c r="V275" i="8"/>
  <c r="V344" i="8"/>
  <c r="V345" i="8"/>
  <c r="V55" i="11"/>
  <c r="V101" i="11"/>
  <c r="V100" i="11"/>
  <c r="Q1092" i="24"/>
  <c r="S85" i="7"/>
  <c r="S89" i="11"/>
  <c r="T127" i="10"/>
  <c r="P801" i="24"/>
  <c r="P789" i="24"/>
  <c r="U354" i="8"/>
  <c r="U351" i="8"/>
  <c r="N1200" i="24"/>
  <c r="N1375" i="24"/>
  <c r="N1202" i="24"/>
  <c r="P312" i="22"/>
  <c r="P336" i="22"/>
  <c r="P314" i="22"/>
  <c r="P340" i="22" s="1"/>
  <c r="R125" i="13"/>
  <c r="R118" i="13"/>
  <c r="R131" i="13"/>
  <c r="R499" i="11"/>
  <c r="R28" i="12"/>
  <c r="R501" i="11"/>
  <c r="O749" i="24"/>
  <c r="O752" i="24"/>
  <c r="O757" i="24"/>
  <c r="O331" i="7"/>
  <c r="O69" i="13"/>
  <c r="O219" i="13"/>
  <c r="O216" i="13"/>
  <c r="R55" i="8"/>
  <c r="R58" i="8"/>
  <c r="T528" i="8"/>
  <c r="T555" i="8"/>
  <c r="U555" i="8" s="1"/>
  <c r="U529" i="8"/>
  <c r="P473" i="22"/>
  <c r="P635" i="22" s="1"/>
  <c r="P595" i="22"/>
  <c r="P441" i="22"/>
  <c r="N110" i="22"/>
  <c r="N136" i="22" s="1"/>
  <c r="N128" i="22"/>
  <c r="O176" i="22" l="1"/>
  <c r="T453" i="11"/>
  <c r="P13" i="14"/>
  <c r="P75" i="14"/>
  <c r="Q75" i="14" s="1"/>
  <c r="P69" i="14"/>
  <c r="Q67" i="14"/>
  <c r="P481" i="22"/>
  <c r="P603" i="22"/>
  <c r="P338" i="22"/>
  <c r="P316" i="22"/>
  <c r="P313" i="22"/>
  <c r="T198" i="8"/>
  <c r="T470" i="8"/>
  <c r="T264" i="11"/>
  <c r="P450" i="22"/>
  <c r="P407" i="22"/>
  <c r="P531" i="22"/>
  <c r="C115" i="23"/>
  <c r="C14" i="26"/>
  <c r="O100" i="26"/>
  <c r="Q25" i="22"/>
  <c r="Q693" i="22"/>
  <c r="U470" i="8"/>
  <c r="U127" i="10"/>
  <c r="U264" i="11"/>
  <c r="T184" i="7"/>
  <c r="T80" i="10"/>
  <c r="T140" i="10"/>
  <c r="T128" i="10"/>
  <c r="S139" i="12"/>
  <c r="S136" i="12"/>
  <c r="S127" i="12"/>
  <c r="S380" i="8"/>
  <c r="S407" i="8"/>
  <c r="S404" i="8"/>
  <c r="S377" i="8"/>
  <c r="S368" i="8"/>
  <c r="V270" i="8"/>
  <c r="V288" i="8"/>
  <c r="U148" i="8"/>
  <c r="O901" i="22"/>
  <c r="O8" i="21" s="1"/>
  <c r="O903" i="22"/>
  <c r="Q233" i="22"/>
  <c r="Q251" i="22"/>
  <c r="Q226" i="22"/>
  <c r="U531" i="8"/>
  <c r="U528" i="8"/>
  <c r="O22" i="5"/>
  <c r="P84" i="16"/>
  <c r="O71" i="13"/>
  <c r="L66" i="26"/>
  <c r="S300" i="10"/>
  <c r="R503" i="11"/>
  <c r="R500" i="11"/>
  <c r="R141" i="13"/>
  <c r="V353" i="8"/>
  <c r="Q244" i="8"/>
  <c r="Q241" i="8"/>
  <c r="P942" i="22"/>
  <c r="P917" i="22"/>
  <c r="P920" i="22"/>
  <c r="U479" i="11"/>
  <c r="T493" i="11"/>
  <c r="T507" i="11"/>
  <c r="T10" i="12"/>
  <c r="U10" i="12"/>
  <c r="T99" i="13"/>
  <c r="R237" i="22"/>
  <c r="T100" i="13"/>
  <c r="T101" i="13"/>
  <c r="R319" i="22"/>
  <c r="Q183" i="22"/>
  <c r="R306" i="22"/>
  <c r="Q196" i="22"/>
  <c r="R224" i="22"/>
  <c r="P895" i="22"/>
  <c r="O68" i="26"/>
  <c r="P1194" i="24"/>
  <c r="P1142" i="24"/>
  <c r="O482" i="8"/>
  <c r="P71" i="8"/>
  <c r="P100" i="8"/>
  <c r="Q100" i="8" s="1"/>
  <c r="Q68" i="8"/>
  <c r="P73" i="8"/>
  <c r="S247" i="8"/>
  <c r="O179" i="26"/>
  <c r="U49" i="8"/>
  <c r="O297" i="11"/>
  <c r="N12" i="5"/>
  <c r="O22" i="16"/>
  <c r="T392" i="8"/>
  <c r="U392" i="8" s="1"/>
  <c r="T338" i="8"/>
  <c r="U312" i="8"/>
  <c r="T336" i="8"/>
  <c r="T390" i="8"/>
  <c r="U390" i="8" s="1"/>
  <c r="U310" i="8"/>
  <c r="T314" i="8"/>
  <c r="T311" i="8"/>
  <c r="T228" i="7"/>
  <c r="T119" i="11"/>
  <c r="T191" i="11"/>
  <c r="U191" i="11" s="1"/>
  <c r="U111" i="11"/>
  <c r="T124" i="11"/>
  <c r="O12" i="21"/>
  <c r="O14" i="21" s="1"/>
  <c r="S361" i="11"/>
  <c r="S358" i="11"/>
  <c r="S160" i="11"/>
  <c r="S172" i="11"/>
  <c r="S169" i="11"/>
  <c r="S186" i="11"/>
  <c r="S183" i="11"/>
  <c r="V222" i="7"/>
  <c r="V98" i="11"/>
  <c r="V104" i="11"/>
  <c r="V176" i="11"/>
  <c r="V330" i="8"/>
  <c r="V306" i="8"/>
  <c r="V384" i="8"/>
  <c r="U32" i="8"/>
  <c r="N70" i="26"/>
  <c r="O1177" i="24"/>
  <c r="Q246" i="22"/>
  <c r="Q239" i="22"/>
  <c r="Q328" i="22"/>
  <c r="Q321" i="22"/>
  <c r="P205" i="22"/>
  <c r="P198" i="22"/>
  <c r="S502" i="11"/>
  <c r="S25" i="12"/>
  <c r="S495" i="11"/>
  <c r="R25" i="6"/>
  <c r="N21" i="21"/>
  <c r="N1286" i="24"/>
  <c r="N1182" i="24"/>
  <c r="N1285" i="24"/>
  <c r="N1185" i="24"/>
  <c r="N1287" i="24"/>
  <c r="M74" i="26"/>
  <c r="N1288" i="24"/>
  <c r="N1284" i="24"/>
  <c r="R142" i="13"/>
  <c r="R259" i="9"/>
  <c r="R924" i="22"/>
  <c r="U143" i="12"/>
  <c r="P362" i="7"/>
  <c r="P383" i="7"/>
  <c r="Q383" i="7" s="1"/>
  <c r="P365" i="7"/>
  <c r="Q357" i="7"/>
  <c r="N111" i="22"/>
  <c r="N129" i="22"/>
  <c r="N108" i="22"/>
  <c r="N121" i="22"/>
  <c r="Q65" i="16" s="1"/>
  <c r="N124" i="22"/>
  <c r="O278" i="7"/>
  <c r="O132" i="7"/>
  <c r="T415" i="8"/>
  <c r="U415" i="8" s="1"/>
  <c r="U335" i="8"/>
  <c r="S132" i="10"/>
  <c r="S129" i="10"/>
  <c r="T153" i="10"/>
  <c r="U153" i="10" s="1"/>
  <c r="S137" i="10"/>
  <c r="P29" i="22"/>
  <c r="P42" i="22" s="1"/>
  <c r="P34" i="22"/>
  <c r="P22" i="22"/>
  <c r="O411" i="22"/>
  <c r="O424" i="22" s="1"/>
  <c r="O416" i="22"/>
  <c r="O404" i="22"/>
  <c r="O208" i="26"/>
  <c r="U566" i="8"/>
  <c r="R27" i="14"/>
  <c r="N1219" i="24"/>
  <c r="R24" i="14"/>
  <c r="N1222" i="24"/>
  <c r="P265" i="7"/>
  <c r="P235" i="11"/>
  <c r="L144" i="26"/>
  <c r="Q229" i="11"/>
  <c r="V122" i="10"/>
  <c r="Q791" i="24"/>
  <c r="R267" i="9"/>
  <c r="R914" i="22"/>
  <c r="R465" i="24"/>
  <c r="M213" i="26"/>
  <c r="R254" i="9"/>
  <c r="R910" i="22"/>
  <c r="R470" i="24"/>
  <c r="R446" i="24"/>
  <c r="P761" i="24"/>
  <c r="U293" i="10"/>
  <c r="P736" i="24"/>
  <c r="P739" i="24"/>
  <c r="O137" i="14"/>
  <c r="O141" i="14"/>
  <c r="Q929" i="22"/>
  <c r="Q932" i="22"/>
  <c r="V163" i="11"/>
  <c r="R61" i="12"/>
  <c r="R54" i="12"/>
  <c r="S206" i="12"/>
  <c r="N215" i="26"/>
  <c r="S252" i="8"/>
  <c r="T137" i="12"/>
  <c r="U137" i="12" s="1"/>
  <c r="U111" i="12"/>
  <c r="P390" i="7"/>
  <c r="Q390" i="7" s="1"/>
  <c r="Q364" i="7"/>
  <c r="R370" i="11"/>
  <c r="R192" i="12"/>
  <c r="M136" i="26"/>
  <c r="R372" i="11"/>
  <c r="P244" i="22"/>
  <c r="P247" i="22"/>
  <c r="V417" i="11"/>
  <c r="P122" i="8"/>
  <c r="P462" i="8"/>
  <c r="L196" i="26"/>
  <c r="Q456" i="8"/>
  <c r="M38" i="9"/>
  <c r="P802" i="24"/>
  <c r="P780" i="24"/>
  <c r="P777" i="24"/>
  <c r="O135" i="8"/>
  <c r="K194" i="26"/>
  <c r="O19" i="8"/>
  <c r="O118" i="8"/>
  <c r="Q71" i="16"/>
  <c r="R69" i="16"/>
  <c r="Q207" i="12"/>
  <c r="P211" i="12"/>
  <c r="P208" i="12"/>
  <c r="T86" i="11"/>
  <c r="U86" i="11" s="1"/>
  <c r="U60" i="11"/>
  <c r="T64" i="11"/>
  <c r="T61" i="11"/>
  <c r="U81" i="7"/>
  <c r="P123" i="14"/>
  <c r="Q123" i="14" s="1"/>
  <c r="Q115" i="14"/>
  <c r="P258" i="22"/>
  <c r="Q397" i="11"/>
  <c r="Q400" i="11"/>
  <c r="P235" i="9"/>
  <c r="P248" i="9" s="1"/>
  <c r="P784" i="24"/>
  <c r="P240" i="9"/>
  <c r="P228" i="9"/>
  <c r="S418" i="8"/>
  <c r="R19" i="5"/>
  <c r="S9" i="4"/>
  <c r="N158" i="26" s="1"/>
  <c r="R10" i="15"/>
  <c r="P474" i="22"/>
  <c r="P596" i="22"/>
  <c r="M94" i="22"/>
  <c r="S334" i="7"/>
  <c r="P493" i="22"/>
  <c r="P655" i="22" s="1"/>
  <c r="P615" i="22"/>
  <c r="T198" i="11"/>
  <c r="U198" i="11" s="1"/>
  <c r="U118" i="11"/>
  <c r="T131" i="11"/>
  <c r="W246" i="10"/>
  <c r="W164" i="7"/>
  <c r="W161" i="8"/>
  <c r="W582" i="8"/>
  <c r="R249" i="8"/>
  <c r="M128" i="26"/>
  <c r="Q731" i="24"/>
  <c r="Q755" i="24"/>
  <c r="W227" i="10"/>
  <c r="P87" i="7"/>
  <c r="Q84" i="7"/>
  <c r="P100" i="7"/>
  <c r="Q100" i="7" s="1"/>
  <c r="P14" i="14"/>
  <c r="P73" i="14"/>
  <c r="Q73" i="14" s="1"/>
  <c r="Q71" i="14"/>
  <c r="T317" i="7"/>
  <c r="T320" i="7"/>
  <c r="C8" i="15"/>
  <c r="O563" i="22"/>
  <c r="O560" i="22"/>
  <c r="N19" i="3"/>
  <c r="N10" i="13"/>
  <c r="N47" i="13"/>
  <c r="J117" i="26"/>
  <c r="N1377" i="24"/>
  <c r="N1379" i="24"/>
  <c r="P89" i="7"/>
  <c r="P82" i="7"/>
  <c r="Q79" i="7"/>
  <c r="P95" i="7"/>
  <c r="Q95" i="7" s="1"/>
  <c r="S483" i="11"/>
  <c r="O1074" i="24"/>
  <c r="O1076" i="24"/>
  <c r="V207" i="7"/>
  <c r="V56" i="11"/>
  <c r="V80" i="11"/>
  <c r="S138" i="13"/>
  <c r="S111" i="13"/>
  <c r="V114" i="10"/>
  <c r="Q33" i="11"/>
  <c r="Q36" i="11"/>
  <c r="P46" i="11"/>
  <c r="P37" i="11"/>
  <c r="P49" i="11"/>
  <c r="P85" i="16"/>
  <c r="L67" i="26"/>
  <c r="S295" i="8"/>
  <c r="S286" i="8"/>
  <c r="S298" i="8"/>
  <c r="P389" i="7"/>
  <c r="Q389" i="7" s="1"/>
  <c r="Q363" i="7"/>
  <c r="O276" i="11"/>
  <c r="O287" i="11"/>
  <c r="L217" i="26"/>
  <c r="Q384" i="11"/>
  <c r="Q387" i="11"/>
  <c r="D171" i="10"/>
  <c r="D174" i="10"/>
  <c r="S10" i="10"/>
  <c r="S48" i="10"/>
  <c r="B8" i="26"/>
  <c r="S83" i="10"/>
  <c r="O486" i="22"/>
  <c r="O608" i="22"/>
  <c r="O454" i="22"/>
  <c r="O459" i="22"/>
  <c r="O447" i="22"/>
  <c r="B26" i="26"/>
  <c r="S51" i="10"/>
  <c r="S81" i="10"/>
  <c r="S53" i="8"/>
  <c r="S199" i="8"/>
  <c r="N184" i="26"/>
  <c r="S201" i="8"/>
  <c r="S210" i="8"/>
  <c r="U15" i="12"/>
  <c r="U484" i="11"/>
  <c r="T498" i="11"/>
  <c r="P1147" i="24" s="1"/>
  <c r="P1161" i="24" s="1"/>
  <c r="T197" i="13" s="1"/>
  <c r="U197" i="13" s="1"/>
  <c r="T512" i="11"/>
  <c r="T15" i="12"/>
  <c r="Q201" i="22"/>
  <c r="T120" i="13"/>
  <c r="T121" i="13"/>
  <c r="U121" i="13" s="1"/>
  <c r="T122" i="13"/>
  <c r="U122" i="13" s="1"/>
  <c r="Q188" i="22"/>
  <c r="Q214" i="22" s="1"/>
  <c r="R242" i="22"/>
  <c r="P900" i="22"/>
  <c r="R324" i="22"/>
  <c r="R229" i="22"/>
  <c r="R311" i="22"/>
  <c r="P1199" i="24"/>
  <c r="O72" i="26"/>
  <c r="S86" i="7"/>
  <c r="S86" i="8"/>
  <c r="S208" i="11"/>
  <c r="R53" i="13"/>
  <c r="R59" i="13"/>
  <c r="R360" i="7"/>
  <c r="R373" i="7"/>
  <c r="R42" i="14"/>
  <c r="N1242" i="24" s="1"/>
  <c r="R56" i="14" s="1"/>
  <c r="R86" i="14"/>
  <c r="N66" i="22"/>
  <c r="N74" i="22"/>
  <c r="P147" i="22"/>
  <c r="P270" i="22"/>
  <c r="O106" i="22"/>
  <c r="P283" i="22"/>
  <c r="N365" i="22"/>
  <c r="P160" i="22"/>
  <c r="N351" i="22"/>
  <c r="N70" i="22"/>
  <c r="O119" i="22"/>
  <c r="N379" i="22"/>
  <c r="M86" i="26"/>
  <c r="A145" i="23"/>
  <c r="B145" i="23"/>
  <c r="P490" i="8"/>
  <c r="Q490" i="8" s="1"/>
  <c r="L190" i="26"/>
  <c r="Q428" i="8"/>
  <c r="R45" i="11"/>
  <c r="R23" i="11"/>
  <c r="R20" i="11"/>
  <c r="V162" i="7"/>
  <c r="Y162" i="7"/>
  <c r="U148" i="7"/>
  <c r="Q231" i="9"/>
  <c r="V539" i="8"/>
  <c r="Q1101" i="24"/>
  <c r="V202" i="10"/>
  <c r="Q285" i="9"/>
  <c r="R357" i="9"/>
  <c r="Q273" i="9"/>
  <c r="V319" i="8"/>
  <c r="V325" i="8"/>
  <c r="P639" i="22"/>
  <c r="P153" i="13"/>
  <c r="M76" i="22"/>
  <c r="M79" i="22"/>
  <c r="S198" i="7"/>
  <c r="S32" i="11"/>
  <c r="V168" i="7"/>
  <c r="V162" i="8"/>
  <c r="V37" i="8"/>
  <c r="V583" i="8"/>
  <c r="V586" i="8"/>
  <c r="Y586" i="8"/>
  <c r="U154" i="7"/>
  <c r="Y37" i="8"/>
  <c r="Y583" i="8"/>
  <c r="Y168" i="7"/>
  <c r="Y162" i="8"/>
  <c r="S257" i="7"/>
  <c r="R327" i="11"/>
  <c r="R470" i="11"/>
  <c r="R238" i="8"/>
  <c r="R225" i="8"/>
  <c r="R27" i="11"/>
  <c r="R26" i="11"/>
  <c r="R381" i="11"/>
  <c r="R394" i="11"/>
  <c r="R161" i="12"/>
  <c r="R344" i="7"/>
  <c r="N66" i="9"/>
  <c r="N62" i="9"/>
  <c r="L145" i="26"/>
  <c r="Q232" i="11"/>
  <c r="U81" i="8"/>
  <c r="Q330" i="9"/>
  <c r="Q305" i="9"/>
  <c r="Q308" i="9"/>
  <c r="T180" i="7"/>
  <c r="T181" i="8"/>
  <c r="T429" i="8"/>
  <c r="T76" i="10"/>
  <c r="T115" i="10"/>
  <c r="T139" i="10"/>
  <c r="T230" i="11"/>
  <c r="P436" i="22"/>
  <c r="P393" i="22"/>
  <c r="P517" i="22"/>
  <c r="C99" i="23"/>
  <c r="C10" i="26"/>
  <c r="O92" i="26"/>
  <c r="Q11" i="22"/>
  <c r="Q679" i="22"/>
  <c r="U113" i="10"/>
  <c r="U429" i="8"/>
  <c r="U230" i="11"/>
  <c r="T48" i="7"/>
  <c r="T42" i="10"/>
  <c r="T117" i="10"/>
  <c r="P116" i="14"/>
  <c r="P122" i="14"/>
  <c r="Q122" i="14" s="1"/>
  <c r="Q114" i="14"/>
  <c r="P53" i="14"/>
  <c r="P59" i="14"/>
  <c r="Q59" i="14" s="1"/>
  <c r="P209" i="13"/>
  <c r="Q51" i="14"/>
  <c r="T64" i="7"/>
  <c r="T88" i="11"/>
  <c r="U88" i="11" s="1"/>
  <c r="U62" i="11"/>
  <c r="T216" i="7"/>
  <c r="U216" i="7" s="1"/>
  <c r="U208" i="7"/>
  <c r="T209" i="7"/>
  <c r="T562" i="8"/>
  <c r="T449" i="11"/>
  <c r="T360" i="11"/>
  <c r="T176" i="12"/>
  <c r="P1069" i="24"/>
  <c r="U352" i="11"/>
  <c r="T353" i="11"/>
  <c r="S256" i="7"/>
  <c r="S211" i="11"/>
  <c r="U195" i="8"/>
  <c r="P562" i="22"/>
  <c r="C33" i="4"/>
  <c r="B26" i="6"/>
  <c r="B34" i="6"/>
  <c r="B162" i="26"/>
  <c r="L132" i="26"/>
  <c r="Q14" i="3"/>
  <c r="T279" i="8"/>
  <c r="T357" i="8"/>
  <c r="T358" i="8"/>
  <c r="T140" i="11"/>
  <c r="T68" i="11"/>
  <c r="T141" i="11"/>
  <c r="P1105" i="24"/>
  <c r="P1118" i="24" s="1"/>
  <c r="P1110" i="24"/>
  <c r="P1098" i="24"/>
  <c r="U188" i="8"/>
  <c r="P634" i="22"/>
  <c r="Q172" i="13"/>
  <c r="Q170" i="13"/>
  <c r="O299" i="22"/>
  <c r="O506" i="22"/>
  <c r="O668" i="22" s="1"/>
  <c r="O628" i="22"/>
  <c r="P651" i="22"/>
  <c r="S441" i="11"/>
  <c r="S432" i="11"/>
  <c r="S444" i="11"/>
  <c r="T64" i="8"/>
  <c r="T269" i="8"/>
  <c r="T272" i="8"/>
  <c r="T290" i="8"/>
  <c r="U290" i="8" s="1"/>
  <c r="U264" i="8"/>
  <c r="T203" i="11"/>
  <c r="U203" i="11" s="1"/>
  <c r="U123" i="11"/>
  <c r="T253" i="7"/>
  <c r="U253" i="7" s="1"/>
  <c r="U227" i="7"/>
  <c r="T231" i="7"/>
  <c r="O806" i="24"/>
  <c r="O803" i="24"/>
  <c r="O794" i="24"/>
  <c r="U363" i="8"/>
  <c r="T403" i="8"/>
  <c r="U403" i="8" s="1"/>
  <c r="T376" i="8"/>
  <c r="U376" i="8" s="1"/>
  <c r="Q750" i="24"/>
  <c r="V105" i="12"/>
  <c r="V129" i="12"/>
  <c r="T39" i="7"/>
  <c r="T39" i="8"/>
  <c r="T167" i="8"/>
  <c r="T170" i="8"/>
  <c r="T600" i="8"/>
  <c r="T609" i="8"/>
  <c r="T612" i="8"/>
  <c r="L714" i="22"/>
  <c r="U58" i="10"/>
  <c r="P387" i="7"/>
  <c r="Q387" i="7" s="1"/>
  <c r="Q361" i="7"/>
  <c r="R196" i="13"/>
  <c r="N1162" i="24"/>
  <c r="N1164" i="24"/>
  <c r="O185" i="13"/>
  <c r="V102" i="11"/>
  <c r="V126" i="11"/>
  <c r="V346" i="8"/>
  <c r="V352" i="8"/>
  <c r="K201" i="26"/>
  <c r="O128" i="8"/>
  <c r="O22" i="8"/>
  <c r="S214" i="12"/>
  <c r="N126" i="26"/>
  <c r="P149" i="13"/>
  <c r="M88" i="22"/>
  <c r="P79" i="13"/>
  <c r="M353" i="22"/>
  <c r="M356" i="22"/>
  <c r="K153" i="26"/>
  <c r="O285" i="7"/>
  <c r="S288" i="10"/>
  <c r="S33" i="10"/>
  <c r="S285" i="10"/>
  <c r="T202" i="11"/>
  <c r="U202" i="11" s="1"/>
  <c r="U122" i="11"/>
  <c r="T116" i="11"/>
  <c r="T197" i="11"/>
  <c r="U197" i="11" s="1"/>
  <c r="U117" i="11"/>
  <c r="T130" i="11"/>
  <c r="S567" i="8"/>
  <c r="N207" i="26"/>
  <c r="S569" i="8"/>
  <c r="S210" i="11"/>
  <c r="O1151" i="24"/>
  <c r="O1157" i="24"/>
  <c r="O1144" i="24"/>
  <c r="P192" i="22"/>
  <c r="P218" i="22" s="1"/>
  <c r="P210" i="22"/>
  <c r="P185" i="22"/>
  <c r="S136" i="13"/>
  <c r="S107" i="13"/>
  <c r="S109" i="13"/>
  <c r="P322" i="9"/>
  <c r="P331" i="9"/>
  <c r="P334" i="9"/>
  <c r="R143" i="13"/>
  <c r="Q476" i="24"/>
  <c r="Q30" i="21" s="1"/>
  <c r="Q454" i="24"/>
  <c r="Q451" i="24"/>
  <c r="S298" i="10"/>
  <c r="O765" i="24"/>
  <c r="O762" i="24"/>
  <c r="O753" i="24"/>
  <c r="R124" i="13"/>
  <c r="R128" i="13"/>
  <c r="R134" i="13"/>
  <c r="N1201" i="24"/>
  <c r="N1204" i="24"/>
  <c r="S90" i="7"/>
  <c r="S101" i="7"/>
  <c r="V127" i="11"/>
  <c r="V277" i="8"/>
  <c r="Q220" i="12"/>
  <c r="P221" i="12"/>
  <c r="P224" i="12"/>
  <c r="V115" i="11"/>
  <c r="V350" i="8"/>
  <c r="S412" i="8"/>
  <c r="S201" i="12"/>
  <c r="N211" i="26"/>
  <c r="P150" i="13"/>
  <c r="M92" i="22"/>
  <c r="U186" i="8"/>
  <c r="T414" i="8"/>
  <c r="U414" i="8" s="1"/>
  <c r="U334" i="8"/>
  <c r="T252" i="7"/>
  <c r="U252" i="7" s="1"/>
  <c r="U226" i="7"/>
  <c r="T230" i="7"/>
  <c r="S181" i="12"/>
  <c r="S183" i="12"/>
  <c r="Q58" i="12"/>
  <c r="P59" i="12"/>
  <c r="P62" i="12"/>
  <c r="V351" i="11"/>
  <c r="V331" i="8"/>
  <c r="V385" i="8"/>
  <c r="V232" i="10"/>
  <c r="V235" i="10"/>
  <c r="Y235" i="10"/>
  <c r="Y232" i="10"/>
  <c r="U191" i="10"/>
  <c r="U194" i="10"/>
  <c r="V257" i="10"/>
  <c r="U216" i="10"/>
  <c r="Y257" i="10"/>
  <c r="U154" i="8"/>
  <c r="Q315" i="22"/>
  <c r="Q333" i="22"/>
  <c r="Q308" i="22"/>
  <c r="S137" i="13"/>
  <c r="S110" i="13"/>
  <c r="S19" i="12"/>
  <c r="S12" i="12"/>
  <c r="O206" i="22"/>
  <c r="O203" i="22"/>
  <c r="S214" i="7"/>
  <c r="S217" i="7"/>
  <c r="R168" i="13"/>
  <c r="N550" i="22"/>
  <c r="N586" i="22"/>
  <c r="N577" i="22"/>
  <c r="N589" i="22"/>
  <c r="Q284" i="9"/>
  <c r="Q260" i="9"/>
  <c r="Q217" i="9"/>
  <c r="V188" i="10"/>
  <c r="V525" i="8"/>
  <c r="Q1087" i="24"/>
  <c r="R343" i="9"/>
  <c r="Q262" i="9"/>
  <c r="Q288" i="9" s="1"/>
  <c r="P44" i="14"/>
  <c r="P47" i="14"/>
  <c r="Q39" i="14"/>
  <c r="O149" i="22"/>
  <c r="O152" i="22"/>
  <c r="O170" i="22"/>
  <c r="O301" i="11"/>
  <c r="T393" i="8"/>
  <c r="U393" i="8" s="1"/>
  <c r="T339" i="8"/>
  <c r="U313" i="8"/>
  <c r="S10" i="7"/>
  <c r="S54" i="7"/>
  <c r="S273" i="7"/>
  <c r="S498" i="8"/>
  <c r="S257" i="11"/>
  <c r="N98" i="26"/>
  <c r="B91" i="23"/>
  <c r="S187" i="7"/>
  <c r="O567" i="22"/>
  <c r="O535" i="22"/>
  <c r="O540" i="22"/>
  <c r="O580" i="22" s="1"/>
  <c r="O528" i="22"/>
  <c r="S144" i="10"/>
  <c r="S126" i="7"/>
  <c r="S126" i="8"/>
  <c r="S473" i="8"/>
  <c r="S274" i="11"/>
  <c r="B163" i="23"/>
  <c r="S57" i="7"/>
  <c r="S185" i="7"/>
  <c r="S245" i="7"/>
  <c r="S242" i="7"/>
  <c r="S250" i="7"/>
  <c r="R23" i="14"/>
  <c r="N1215" i="24"/>
  <c r="N1221" i="24"/>
  <c r="R60" i="13"/>
  <c r="O21" i="5"/>
  <c r="P112" i="7"/>
  <c r="P262" i="7"/>
  <c r="P225" i="11"/>
  <c r="P239" i="11"/>
  <c r="L141" i="26"/>
  <c r="Q219" i="11"/>
  <c r="Q72" i="7"/>
  <c r="Q76" i="7"/>
  <c r="R210" i="12"/>
  <c r="R203" i="12"/>
  <c r="P16" i="17"/>
  <c r="P10" i="17"/>
  <c r="M715" i="22" s="1"/>
  <c r="R271" i="9"/>
  <c r="R927" i="22"/>
  <c r="V37" i="7"/>
  <c r="V168" i="8"/>
  <c r="V604" i="8"/>
  <c r="Y604" i="8"/>
  <c r="Y168" i="8"/>
  <c r="Y37" i="7"/>
  <c r="U32" i="7"/>
  <c r="U91" i="10"/>
  <c r="V75" i="11"/>
  <c r="V326" i="8"/>
  <c r="V312" i="7"/>
  <c r="U298" i="7"/>
  <c r="Y312" i="7"/>
  <c r="M188" i="26"/>
  <c r="O217" i="22"/>
  <c r="P326" i="22"/>
  <c r="P329" i="22"/>
  <c r="Q738" i="24"/>
  <c r="W234" i="10"/>
  <c r="L197" i="26"/>
  <c r="Q459" i="8"/>
  <c r="P468" i="24"/>
  <c r="P480" i="24"/>
  <c r="P477" i="24"/>
  <c r="U70" i="7"/>
  <c r="P88" i="14"/>
  <c r="P91" i="14"/>
  <c r="Q83" i="14"/>
  <c r="M381" i="22"/>
  <c r="M384" i="22"/>
  <c r="P254" i="8"/>
  <c r="P245" i="8"/>
  <c r="P257" i="8"/>
  <c r="Q231" i="8"/>
  <c r="Q228" i="8"/>
  <c r="Q164" i="12"/>
  <c r="Q167" i="12"/>
  <c r="O183" i="26"/>
  <c r="U52" i="8"/>
  <c r="P256" i="22"/>
  <c r="P231" i="22"/>
  <c r="P234" i="22"/>
  <c r="R307" i="9"/>
  <c r="Q361" i="9"/>
  <c r="Q374" i="9" s="1"/>
  <c r="Q458" i="24"/>
  <c r="Q312" i="9"/>
  <c r="Q366" i="9"/>
  <c r="Q354" i="9"/>
  <c r="T151" i="8"/>
  <c r="T543" i="8"/>
  <c r="T548" i="8"/>
  <c r="U548" i="8" s="1"/>
  <c r="T536" i="8"/>
  <c r="U535" i="8"/>
  <c r="O304" i="11"/>
  <c r="Q199" i="7"/>
  <c r="P200" i="7"/>
  <c r="P203" i="7"/>
  <c r="P498" i="22"/>
  <c r="P660" i="22" s="1"/>
  <c r="P620" i="22"/>
  <c r="P148" i="13"/>
  <c r="M62" i="22"/>
  <c r="M84" i="22"/>
  <c r="M59" i="22"/>
  <c r="O285" i="22"/>
  <c r="O288" i="22"/>
  <c r="O504" i="22"/>
  <c r="O666" i="22" s="1"/>
  <c r="O626" i="22"/>
  <c r="O510" i="8"/>
  <c r="R165" i="13"/>
  <c r="N496" i="22"/>
  <c r="N508" i="22"/>
  <c r="N618" i="22"/>
  <c r="N630" i="22"/>
  <c r="N469" i="22"/>
  <c r="N505" i="22"/>
  <c r="N627" i="22"/>
  <c r="N654" i="22"/>
  <c r="N657" i="22"/>
  <c r="Q531" i="11"/>
  <c r="Q528" i="11"/>
  <c r="T156" i="11"/>
  <c r="U157" i="11"/>
  <c r="U155" i="11"/>
  <c r="T241" i="7"/>
  <c r="U241" i="7" s="1"/>
  <c r="T195" i="11"/>
  <c r="U195" i="11" s="1"/>
  <c r="T159" i="11"/>
  <c r="V124" i="12"/>
  <c r="R223" i="12"/>
  <c r="R216" i="12"/>
  <c r="V410" i="11"/>
  <c r="V434" i="11"/>
  <c r="P91" i="16"/>
  <c r="P120" i="14"/>
  <c r="Q120" i="14" s="1"/>
  <c r="Q118" i="14"/>
  <c r="V323" i="8"/>
  <c r="U31" i="10"/>
  <c r="T280" i="10"/>
  <c r="X31" i="10"/>
  <c r="U280" i="10"/>
  <c r="U23" i="10"/>
  <c r="T287" i="10"/>
  <c r="U98" i="10"/>
  <c r="U287" i="10"/>
  <c r="T440" i="11"/>
  <c r="U440" i="11" s="1"/>
  <c r="U414" i="11"/>
  <c r="T415" i="11"/>
  <c r="T418" i="11"/>
  <c r="V259" i="10"/>
  <c r="Y259" i="10"/>
  <c r="U218" i="10"/>
  <c r="P210" i="13"/>
  <c r="P60" i="14"/>
  <c r="Q60" i="14" s="1"/>
  <c r="Q52" i="14"/>
  <c r="P57" i="14"/>
  <c r="Q57" i="14" s="1"/>
  <c r="P213" i="13"/>
  <c r="Q55" i="14"/>
  <c r="N1149" i="24"/>
  <c r="N1152" i="24"/>
  <c r="R30" i="12"/>
  <c r="R32" i="12"/>
  <c r="R525" i="11"/>
  <c r="V63" i="11"/>
  <c r="S193" i="7"/>
  <c r="S15" i="11"/>
  <c r="M367" i="22"/>
  <c r="M370" i="22"/>
  <c r="S454" i="11"/>
  <c r="S147" i="12"/>
  <c r="N221" i="26"/>
  <c r="S456" i="11"/>
  <c r="V223" i="7"/>
  <c r="V177" i="11"/>
  <c r="V105" i="11"/>
  <c r="Q350" i="7"/>
  <c r="Q347" i="7"/>
  <c r="T167" i="7"/>
  <c r="T170" i="7"/>
  <c r="O1372" i="24"/>
  <c r="O1203" i="24"/>
  <c r="O1196" i="24"/>
  <c r="S39" i="12"/>
  <c r="S463" i="11"/>
  <c r="S320" i="11"/>
  <c r="S71" i="12" s="1"/>
  <c r="S516" i="11"/>
  <c r="S365" i="11"/>
  <c r="N105" i="26"/>
  <c r="S509" i="11"/>
  <c r="N180" i="26"/>
  <c r="Q925" i="22"/>
  <c r="Q931" i="22"/>
  <c r="Q944" i="22" s="1"/>
  <c r="Q936" i="22"/>
  <c r="S101" i="8"/>
  <c r="S90" i="8"/>
  <c r="N135" i="22"/>
  <c r="O128" i="7"/>
  <c r="O22" i="7"/>
  <c r="K150" i="26"/>
  <c r="O282" i="7"/>
  <c r="S477" i="8"/>
  <c r="S285" i="11"/>
  <c r="B83" i="23"/>
  <c r="B6" i="26"/>
  <c r="P697" i="22"/>
  <c r="P710" i="22" s="1"/>
  <c r="P702" i="22"/>
  <c r="P690" i="22"/>
  <c r="T148" i="12"/>
  <c r="U148" i="12" s="1"/>
  <c r="O222" i="26"/>
  <c r="U453" i="11"/>
  <c r="R57" i="13"/>
  <c r="P112" i="8"/>
  <c r="P431" i="8"/>
  <c r="P487" i="8"/>
  <c r="Q487" i="8" s="1"/>
  <c r="L189" i="26"/>
  <c r="Q425" i="8"/>
  <c r="Q14" i="7"/>
  <c r="R319" i="9"/>
  <c r="R63" i="7"/>
  <c r="R63" i="8"/>
  <c r="R202" i="7"/>
  <c r="R195" i="7"/>
  <c r="V109" i="10"/>
  <c r="Q772" i="24"/>
  <c r="Q796" i="24"/>
  <c r="R300" i="9"/>
  <c r="R324" i="9"/>
  <c r="V126" i="10"/>
  <c r="V319" i="7"/>
  <c r="V611" i="8"/>
  <c r="P18" i="21"/>
  <c r="Y611" i="8"/>
  <c r="U305" i="7"/>
  <c r="Y319" i="7"/>
  <c r="S419" i="8"/>
  <c r="V138" i="11"/>
  <c r="V162" i="11"/>
  <c r="V268" i="8"/>
  <c r="J124" i="26"/>
  <c r="R68" i="7"/>
  <c r="R79" i="8"/>
  <c r="S219" i="12"/>
  <c r="N130" i="26"/>
  <c r="T135" i="12"/>
  <c r="U135" i="12" s="1"/>
  <c r="U109" i="12"/>
  <c r="T113" i="12"/>
  <c r="T110" i="12"/>
  <c r="T258" i="10"/>
  <c r="T261" i="10"/>
  <c r="T249" i="10"/>
  <c r="R44" i="12"/>
  <c r="R46" i="12"/>
  <c r="R468" i="11"/>
  <c r="R325" i="11"/>
  <c r="M109" i="26"/>
  <c r="R517" i="11"/>
  <c r="R514" i="11"/>
  <c r="O215" i="22"/>
  <c r="O190" i="22"/>
  <c r="O193" i="22"/>
  <c r="S87" i="11"/>
  <c r="S78" i="11"/>
  <c r="S90" i="11"/>
  <c r="V112" i="12"/>
  <c r="W161" i="7"/>
  <c r="W164" i="8"/>
  <c r="W591" i="8"/>
  <c r="P115" i="7"/>
  <c r="P242" i="11"/>
  <c r="L142" i="26"/>
  <c r="Q222" i="11"/>
  <c r="M1476" i="24"/>
  <c r="M1479" i="24"/>
  <c r="P555" i="22"/>
  <c r="P378" i="7"/>
  <c r="P375" i="7"/>
  <c r="Q370" i="7"/>
  <c r="O162" i="22"/>
  <c r="O165" i="22"/>
  <c r="M1244" i="24"/>
  <c r="M1247" i="24"/>
  <c r="O507" i="8"/>
  <c r="O503" i="8"/>
  <c r="O451" i="8"/>
  <c r="Q198" i="12"/>
  <c r="Q195" i="12"/>
  <c r="U70" i="8"/>
  <c r="P76" i="14"/>
  <c r="Q76" i="14" s="1"/>
  <c r="Q68" i="14"/>
  <c r="R17" i="12"/>
  <c r="R20" i="12"/>
  <c r="N7" i="21"/>
  <c r="N9" i="21" s="1"/>
  <c r="N902" i="22"/>
  <c r="N905" i="22"/>
  <c r="Q202" i="13"/>
  <c r="Q199" i="13"/>
  <c r="V110" i="10"/>
  <c r="Q779" i="24"/>
  <c r="R255" i="9"/>
  <c r="R911" i="22"/>
  <c r="R453" i="24"/>
  <c r="P274" i="9"/>
  <c r="P277" i="9"/>
  <c r="P282" i="9"/>
  <c r="T151" i="7"/>
  <c r="V593" i="8"/>
  <c r="T61" i="10"/>
  <c r="T206" i="10"/>
  <c r="V239" i="10"/>
  <c r="T422" i="11"/>
  <c r="T117" i="12"/>
  <c r="P743" i="24"/>
  <c r="T93" i="10"/>
  <c r="T300" i="7"/>
  <c r="T199" i="10"/>
  <c r="T211" i="10"/>
  <c r="U198" i="10"/>
  <c r="Y593" i="8"/>
  <c r="Y239" i="10"/>
  <c r="O135" i="7"/>
  <c r="P105" i="14"/>
  <c r="P102" i="14"/>
  <c r="Q105" i="14"/>
  <c r="Q102" i="14"/>
  <c r="M1302" i="24"/>
  <c r="M1301" i="24"/>
  <c r="M1305" i="24"/>
  <c r="M1303" i="24"/>
  <c r="M1304" i="24"/>
  <c r="L88" i="26"/>
  <c r="O272" i="22"/>
  <c r="O275" i="22"/>
  <c r="O293" i="22"/>
  <c r="O479" i="22"/>
  <c r="O601" i="22"/>
  <c r="O482" i="22"/>
  <c r="O604" i="22"/>
  <c r="P647" i="22"/>
  <c r="T297" i="8"/>
  <c r="U297" i="8" s="1"/>
  <c r="U271" i="8"/>
  <c r="R336" i="7"/>
  <c r="V429" i="11"/>
  <c r="R256" i="8"/>
  <c r="W584" i="8"/>
  <c r="W251" i="10"/>
  <c r="W310" i="7"/>
  <c r="W602" i="8"/>
  <c r="P87" i="8"/>
  <c r="Q84" i="8"/>
  <c r="P89" i="8"/>
  <c r="Q89" i="8" s="1"/>
  <c r="V151" i="11"/>
  <c r="T442" i="11"/>
  <c r="U442" i="11" s="1"/>
  <c r="U416" i="11"/>
  <c r="N40" i="13"/>
  <c r="N33" i="13"/>
  <c r="R337" i="22" l="1"/>
  <c r="Q341" i="22"/>
  <c r="P296" i="22"/>
  <c r="O132" i="22"/>
  <c r="T207" i="10"/>
  <c r="T204" i="10"/>
  <c r="V240" i="10"/>
  <c r="T212" i="10"/>
  <c r="U199" i="10"/>
  <c r="Y240" i="10"/>
  <c r="T95" i="10"/>
  <c r="T65" i="10"/>
  <c r="U65" i="10" s="1"/>
  <c r="U61" i="10"/>
  <c r="V49" i="7"/>
  <c r="V193" i="8"/>
  <c r="V457" i="8"/>
  <c r="V43" i="10"/>
  <c r="V118" i="10"/>
  <c r="V223" i="11"/>
  <c r="Q390" i="22"/>
  <c r="D75" i="23"/>
  <c r="Q514" i="22"/>
  <c r="Q433" i="22"/>
  <c r="D4" i="26"/>
  <c r="P90" i="26"/>
  <c r="R8" i="22"/>
  <c r="R676" i="22"/>
  <c r="Q242" i="11"/>
  <c r="O216" i="22"/>
  <c r="O219" i="22"/>
  <c r="O207" i="22"/>
  <c r="V179" i="7"/>
  <c r="V180" i="8"/>
  <c r="V426" i="8"/>
  <c r="V111" i="10"/>
  <c r="V135" i="10"/>
  <c r="V75" i="10"/>
  <c r="V220" i="11"/>
  <c r="Q389" i="22"/>
  <c r="Q513" i="22"/>
  <c r="Q432" i="22"/>
  <c r="P89" i="26"/>
  <c r="D63" i="23"/>
  <c r="D1" i="26"/>
  <c r="R675" i="22"/>
  <c r="R7" i="22"/>
  <c r="R73" i="7"/>
  <c r="R66" i="7"/>
  <c r="P493" i="8"/>
  <c r="Q493" i="8" s="1"/>
  <c r="Q431" i="8"/>
  <c r="K154" i="26"/>
  <c r="O25" i="7"/>
  <c r="O16" i="3"/>
  <c r="S471" i="11"/>
  <c r="S328" i="11"/>
  <c r="V69" i="7"/>
  <c r="T33" i="7"/>
  <c r="T152" i="7"/>
  <c r="V314" i="7"/>
  <c r="V606" i="8"/>
  <c r="T304" i="7"/>
  <c r="Y314" i="7"/>
  <c r="U300" i="7"/>
  <c r="Y606" i="8"/>
  <c r="T430" i="11"/>
  <c r="T435" i="11"/>
  <c r="U435" i="11" s="1"/>
  <c r="T423" i="11"/>
  <c r="U422" i="11"/>
  <c r="P287" i="9"/>
  <c r="P278" i="9"/>
  <c r="P290" i="9"/>
  <c r="R263" i="9"/>
  <c r="R214" i="9"/>
  <c r="R1084" i="24"/>
  <c r="W522" i="8"/>
  <c r="W185" i="10"/>
  <c r="S340" i="9"/>
  <c r="O513" i="8"/>
  <c r="Q115" i="7"/>
  <c r="R78" i="12"/>
  <c r="R165" i="12"/>
  <c r="R82" i="8"/>
  <c r="O138" i="7"/>
  <c r="Q930" i="22"/>
  <c r="Q933" i="22"/>
  <c r="Q938" i="22"/>
  <c r="S149" i="12"/>
  <c r="S151" i="12"/>
  <c r="R31" i="12"/>
  <c r="R34" i="12"/>
  <c r="P218" i="13"/>
  <c r="Q218" i="13" s="1"/>
  <c r="Q210" i="13"/>
  <c r="U418" i="11"/>
  <c r="U415" i="11"/>
  <c r="U159" i="11"/>
  <c r="U156" i="11"/>
  <c r="Q200" i="7"/>
  <c r="Q203" i="7"/>
  <c r="T544" i="8"/>
  <c r="T549" i="8"/>
  <c r="U549" i="8" s="1"/>
  <c r="U536" i="8"/>
  <c r="Q359" i="9"/>
  <c r="Q362" i="9"/>
  <c r="Q367" i="9"/>
  <c r="Q257" i="8"/>
  <c r="Q254" i="8"/>
  <c r="Q245" i="8"/>
  <c r="Q88" i="14"/>
  <c r="Q91" i="14"/>
  <c r="V80" i="7"/>
  <c r="Q239" i="11"/>
  <c r="P268" i="7"/>
  <c r="Q112" i="7"/>
  <c r="R368" i="7"/>
  <c r="R355" i="7"/>
  <c r="R25" i="14"/>
  <c r="N52" i="22"/>
  <c r="O114" i="22"/>
  <c r="O101" i="22"/>
  <c r="R8" i="14"/>
  <c r="R31" i="14"/>
  <c r="R103" i="14" s="1"/>
  <c r="R37" i="14"/>
  <c r="R81" i="14"/>
  <c r="N48" i="22"/>
  <c r="P142" i="22"/>
  <c r="P155" i="22"/>
  <c r="P265" i="22"/>
  <c r="N346" i="22"/>
  <c r="N374" i="22"/>
  <c r="N56" i="22"/>
  <c r="P278" i="22"/>
  <c r="N360" i="22"/>
  <c r="M82" i="26"/>
  <c r="N1237" i="24"/>
  <c r="U339" i="8"/>
  <c r="V297" i="7"/>
  <c r="W577" i="8"/>
  <c r="W229" i="10"/>
  <c r="V90" i="10"/>
  <c r="V190" i="10"/>
  <c r="V214" i="10"/>
  <c r="V412" i="11"/>
  <c r="V107" i="12"/>
  <c r="Q733" i="24"/>
  <c r="V56" i="10"/>
  <c r="V146" i="7"/>
  <c r="V192" i="10"/>
  <c r="Q59" i="12"/>
  <c r="Q62" i="12"/>
  <c r="U230" i="7"/>
  <c r="Q224" i="12"/>
  <c r="Q221" i="12"/>
  <c r="U130" i="11"/>
  <c r="P81" i="13"/>
  <c r="Q81" i="13" s="1"/>
  <c r="Q79" i="13"/>
  <c r="K202" i="26"/>
  <c r="R198" i="13"/>
  <c r="R200" i="13"/>
  <c r="U231" i="7"/>
  <c r="U272" i="8"/>
  <c r="U269" i="8"/>
  <c r="T366" i="8"/>
  <c r="T398" i="8"/>
  <c r="U398" i="8" s="1"/>
  <c r="T371" i="8"/>
  <c r="U358" i="8"/>
  <c r="T184" i="12"/>
  <c r="U184" i="12" s="1"/>
  <c r="U176" i="12"/>
  <c r="T177" i="12"/>
  <c r="U209" i="7"/>
  <c r="P124" i="14"/>
  <c r="P121" i="14"/>
  <c r="Q116" i="14"/>
  <c r="T56" i="7"/>
  <c r="T181" i="7"/>
  <c r="T113" i="7"/>
  <c r="T113" i="8"/>
  <c r="T432" i="8"/>
  <c r="T240" i="11"/>
  <c r="C147" i="23"/>
  <c r="U113" i="8"/>
  <c r="U240" i="11"/>
  <c r="U432" i="8"/>
  <c r="U113" i="7"/>
  <c r="U48" i="7"/>
  <c r="Q681" i="22"/>
  <c r="Q705" i="22"/>
  <c r="Q683" i="22"/>
  <c r="Q709" i="22" s="1"/>
  <c r="T84" i="10"/>
  <c r="C16" i="26"/>
  <c r="U76" i="10"/>
  <c r="T9" i="10"/>
  <c r="T44" i="10"/>
  <c r="T188" i="7"/>
  <c r="T266" i="7"/>
  <c r="T491" i="8"/>
  <c r="T236" i="11"/>
  <c r="C123" i="23"/>
  <c r="O94" i="26"/>
  <c r="U491" i="8"/>
  <c r="U236" i="11"/>
  <c r="U266" i="7"/>
  <c r="U180" i="7"/>
  <c r="T50" i="7"/>
  <c r="T9" i="7"/>
  <c r="N18" i="9"/>
  <c r="N68" i="9"/>
  <c r="N1473" i="24"/>
  <c r="R227" i="8"/>
  <c r="R251" i="8"/>
  <c r="R229" i="8"/>
  <c r="P156" i="13"/>
  <c r="P133" i="14"/>
  <c r="Q153" i="13"/>
  <c r="R462" i="24"/>
  <c r="R316" i="9"/>
  <c r="R370" i="9"/>
  <c r="R358" i="9"/>
  <c r="V552" i="8"/>
  <c r="V540" i="8"/>
  <c r="N78" i="22"/>
  <c r="R386" i="7"/>
  <c r="R255" i="22"/>
  <c r="S214" i="8"/>
  <c r="O487" i="22"/>
  <c r="O609" i="22"/>
  <c r="O452" i="22"/>
  <c r="O455" i="22"/>
  <c r="O460" i="22"/>
  <c r="O648" i="22"/>
  <c r="S52" i="10"/>
  <c r="S49" i="10"/>
  <c r="P469" i="8"/>
  <c r="P263" i="11"/>
  <c r="P466" i="8"/>
  <c r="P253" i="11"/>
  <c r="Q87" i="7"/>
  <c r="P103" i="7"/>
  <c r="Q103" i="7" s="1"/>
  <c r="P636" i="22"/>
  <c r="O25" i="8"/>
  <c r="K195" i="26"/>
  <c r="O412" i="22"/>
  <c r="O409" i="22"/>
  <c r="O417" i="22"/>
  <c r="P379" i="7"/>
  <c r="P391" i="7"/>
  <c r="P388" i="7"/>
  <c r="P329" i="7"/>
  <c r="Q362" i="7"/>
  <c r="Q365" i="7"/>
  <c r="T65" i="7"/>
  <c r="T65" i="8"/>
  <c r="T204" i="11"/>
  <c r="U204" i="11" s="1"/>
  <c r="U124" i="11"/>
  <c r="T254" i="7"/>
  <c r="U254" i="7" s="1"/>
  <c r="U228" i="7"/>
  <c r="T232" i="7"/>
  <c r="T229" i="7"/>
  <c r="P1156" i="24"/>
  <c r="R250" i="22"/>
  <c r="T102" i="13"/>
  <c r="U99" i="13"/>
  <c r="T38" i="12"/>
  <c r="T462" i="11"/>
  <c r="T319" i="11"/>
  <c r="T70" i="12" s="1"/>
  <c r="T364" i="11"/>
  <c r="O104" i="26"/>
  <c r="U319" i="11"/>
  <c r="U507" i="11"/>
  <c r="Q259" i="22"/>
  <c r="C17" i="26"/>
  <c r="U80" i="10"/>
  <c r="P490" i="22"/>
  <c r="P612" i="22"/>
  <c r="P451" i="22"/>
  <c r="P463" i="22"/>
  <c r="O298" i="22"/>
  <c r="O301" i="22"/>
  <c r="O289" i="22"/>
  <c r="V165" i="7"/>
  <c r="V165" i="8"/>
  <c r="V595" i="8"/>
  <c r="T155" i="7"/>
  <c r="T302" i="7"/>
  <c r="Y595" i="8"/>
  <c r="Y165" i="8"/>
  <c r="U151" i="7"/>
  <c r="Y165" i="7"/>
  <c r="R71" i="7"/>
  <c r="P695" i="22"/>
  <c r="P698" i="22"/>
  <c r="P703" i="22"/>
  <c r="N223" i="26"/>
  <c r="S458" i="11"/>
  <c r="S455" i="11"/>
  <c r="P128" i="14"/>
  <c r="P158" i="13"/>
  <c r="Q158" i="13" s="1"/>
  <c r="P151" i="13"/>
  <c r="Q148" i="13"/>
  <c r="R230" i="9"/>
  <c r="W538" i="8"/>
  <c r="R1100" i="24"/>
  <c r="W201" i="10"/>
  <c r="S356" i="9"/>
  <c r="O575" i="22"/>
  <c r="O548" i="22"/>
  <c r="O588" i="22" s="1"/>
  <c r="S58" i="7"/>
  <c r="S55" i="7"/>
  <c r="R345" i="9"/>
  <c r="R369" i="9"/>
  <c r="R448" i="24"/>
  <c r="R302" i="9"/>
  <c r="R347" i="9"/>
  <c r="R373" i="9" s="1"/>
  <c r="Q219" i="9"/>
  <c r="Q243" i="9"/>
  <c r="Q774" i="24"/>
  <c r="Q221" i="9"/>
  <c r="Q247" i="9" s="1"/>
  <c r="P160" i="13"/>
  <c r="Q160" i="13" s="1"/>
  <c r="P130" i="14"/>
  <c r="Q150" i="13"/>
  <c r="S299" i="10"/>
  <c r="S302" i="10"/>
  <c r="P211" i="22"/>
  <c r="S193" i="13"/>
  <c r="O1165" i="24"/>
  <c r="O1158" i="24"/>
  <c r="V354" i="8"/>
  <c r="V351" i="8"/>
  <c r="V128" i="11"/>
  <c r="T74" i="8"/>
  <c r="T96" i="8"/>
  <c r="U96" i="8" s="1"/>
  <c r="U64" i="8"/>
  <c r="T167" i="11"/>
  <c r="T236" i="7"/>
  <c r="T145" i="11"/>
  <c r="T181" i="11"/>
  <c r="U181" i="11" s="1"/>
  <c r="U141" i="11"/>
  <c r="T365" i="8"/>
  <c r="T359" i="8"/>
  <c r="T370" i="8"/>
  <c r="T397" i="8"/>
  <c r="U397" i="8" s="1"/>
  <c r="U357" i="8"/>
  <c r="U353" i="11"/>
  <c r="P13" i="21"/>
  <c r="U360" i="11"/>
  <c r="T74" i="7"/>
  <c r="T96" i="7"/>
  <c r="U96" i="7" s="1"/>
  <c r="U64" i="7"/>
  <c r="P61" i="14"/>
  <c r="P58" i="14"/>
  <c r="Q53" i="14"/>
  <c r="Q37" i="22"/>
  <c r="Q13" i="22"/>
  <c r="Q15" i="22"/>
  <c r="Q41" i="22" s="1"/>
  <c r="P519" i="22"/>
  <c r="P543" i="22"/>
  <c r="P583" i="22" s="1"/>
  <c r="P557" i="22"/>
  <c r="P521" i="22"/>
  <c r="R346" i="7"/>
  <c r="R348" i="7"/>
  <c r="R383" i="11"/>
  <c r="R205" i="12"/>
  <c r="M214" i="26"/>
  <c r="R385" i="11"/>
  <c r="R240" i="8"/>
  <c r="R242" i="8"/>
  <c r="V327" i="8"/>
  <c r="V324" i="8"/>
  <c r="Q788" i="24"/>
  <c r="Q244" i="9"/>
  <c r="Q232" i="9"/>
  <c r="R119" i="14"/>
  <c r="R72" i="14" s="1"/>
  <c r="S85" i="10"/>
  <c r="S82" i="10"/>
  <c r="O499" i="22"/>
  <c r="O661" i="22" s="1"/>
  <c r="O621" i="22"/>
  <c r="S18" i="10"/>
  <c r="T18" i="10" s="1"/>
  <c r="B20" i="26"/>
  <c r="S11" i="10"/>
  <c r="O307" i="11"/>
  <c r="Q46" i="11"/>
  <c r="Q37" i="11"/>
  <c r="Q49" i="11"/>
  <c r="O1078" i="24"/>
  <c r="O1075" i="24"/>
  <c r="Q14" i="14"/>
  <c r="T123" i="10"/>
  <c r="P792" i="24"/>
  <c r="P805" i="24" s="1"/>
  <c r="P797" i="24"/>
  <c r="P785" i="24"/>
  <c r="Q462" i="8"/>
  <c r="T301" i="10"/>
  <c r="U301" i="10"/>
  <c r="R912" i="22"/>
  <c r="R918" i="22"/>
  <c r="R372" i="7"/>
  <c r="R359" i="7"/>
  <c r="R29" i="14"/>
  <c r="O105" i="22"/>
  <c r="P146" i="22"/>
  <c r="P269" i="22"/>
  <c r="N65" i="22"/>
  <c r="N73" i="22"/>
  <c r="N75" i="22" s="1"/>
  <c r="R155" i="13" s="1"/>
  <c r="R9" i="14"/>
  <c r="R41" i="14"/>
  <c r="R85" i="14"/>
  <c r="N69" i="22"/>
  <c r="N71" i="22" s="1"/>
  <c r="R154" i="13" s="1"/>
  <c r="O118" i="22"/>
  <c r="O120" i="22" s="1"/>
  <c r="P282" i="22"/>
  <c r="P284" i="22" s="1"/>
  <c r="N378" i="22"/>
  <c r="N380" i="22" s="1"/>
  <c r="P159" i="22"/>
  <c r="P161" i="22" s="1"/>
  <c r="N364" i="22"/>
  <c r="N366" i="22" s="1"/>
  <c r="N350" i="22"/>
  <c r="N352" i="22" s="1"/>
  <c r="M85" i="26"/>
  <c r="N1241" i="24"/>
  <c r="T155" i="10"/>
  <c r="U155" i="10" s="1"/>
  <c r="S133" i="10"/>
  <c r="S145" i="10"/>
  <c r="S142" i="10"/>
  <c r="R65" i="16"/>
  <c r="Q60" i="16"/>
  <c r="R218" i="9"/>
  <c r="W189" i="10"/>
  <c r="R1088" i="24"/>
  <c r="W526" i="8"/>
  <c r="S344" i="9"/>
  <c r="T328" i="8"/>
  <c r="T340" i="8"/>
  <c r="T337" i="8"/>
  <c r="T394" i="8"/>
  <c r="T391" i="8"/>
  <c r="U311" i="8"/>
  <c r="U314" i="8"/>
  <c r="T416" i="8"/>
  <c r="U416" i="8" s="1"/>
  <c r="U336" i="8"/>
  <c r="P103" i="8"/>
  <c r="Q103" i="8" s="1"/>
  <c r="Q71" i="8"/>
  <c r="P14" i="8"/>
  <c r="P72" i="8"/>
  <c r="P76" i="8"/>
  <c r="P1371" i="24"/>
  <c r="T521" i="11" s="1"/>
  <c r="U101" i="13"/>
  <c r="P943" i="22"/>
  <c r="P946" i="22"/>
  <c r="P934" i="22"/>
  <c r="T276" i="7"/>
  <c r="T501" i="8"/>
  <c r="T267" i="11"/>
  <c r="C127" i="23"/>
  <c r="O101" i="26"/>
  <c r="U276" i="7"/>
  <c r="U267" i="11"/>
  <c r="U501" i="8"/>
  <c r="U184" i="7"/>
  <c r="Q706" i="22"/>
  <c r="Q694" i="22"/>
  <c r="O185" i="26"/>
  <c r="U198" i="8"/>
  <c r="T211" i="8"/>
  <c r="U211" i="8" s="1"/>
  <c r="T202" i="8"/>
  <c r="U202" i="8" s="1"/>
  <c r="P77" i="14"/>
  <c r="P74" i="14"/>
  <c r="Q69" i="14"/>
  <c r="O641" i="22"/>
  <c r="O644" i="22"/>
  <c r="T62" i="10"/>
  <c r="T24" i="10"/>
  <c r="T97" i="10"/>
  <c r="U93" i="10"/>
  <c r="U273" i="10"/>
  <c r="U282" i="10"/>
  <c r="R472" i="11"/>
  <c r="R329" i="11"/>
  <c r="R469" i="11"/>
  <c r="R326" i="11"/>
  <c r="M110" i="26"/>
  <c r="U113" i="12"/>
  <c r="U110" i="12"/>
  <c r="V69" i="8"/>
  <c r="V185" i="8"/>
  <c r="V439" i="8"/>
  <c r="V261" i="11"/>
  <c r="Q406" i="22"/>
  <c r="Q530" i="22"/>
  <c r="Q449" i="22"/>
  <c r="P99" i="26"/>
  <c r="D103" i="23"/>
  <c r="D11" i="26"/>
  <c r="R24" i="22"/>
  <c r="R692" i="22"/>
  <c r="P132" i="8"/>
  <c r="Q132" i="8" s="1"/>
  <c r="L191" i="26"/>
  <c r="Q112" i="8"/>
  <c r="S222" i="8"/>
  <c r="S235" i="8"/>
  <c r="S18" i="11"/>
  <c r="S378" i="11"/>
  <c r="S17" i="11"/>
  <c r="S391" i="11"/>
  <c r="S158" i="12"/>
  <c r="S341" i="7"/>
  <c r="O67" i="9"/>
  <c r="O1474" i="24" s="1"/>
  <c r="O63" i="9"/>
  <c r="O1380" i="24"/>
  <c r="O1373" i="24"/>
  <c r="P215" i="13"/>
  <c r="Q215" i="13" s="1"/>
  <c r="Q213" i="13"/>
  <c r="Q87" i="8"/>
  <c r="P15" i="8"/>
  <c r="Q15" i="8" s="1"/>
  <c r="P92" i="8"/>
  <c r="P88" i="8"/>
  <c r="V597" i="8"/>
  <c r="V252" i="10"/>
  <c r="Y252" i="10"/>
  <c r="Y597" i="8"/>
  <c r="U211" i="10"/>
  <c r="P751" i="24"/>
  <c r="P764" i="24" s="1"/>
  <c r="P756" i="24"/>
  <c r="P744" i="24"/>
  <c r="V247" i="10"/>
  <c r="T219" i="10"/>
  <c r="Y247" i="10"/>
  <c r="U206" i="10"/>
  <c r="Q375" i="7"/>
  <c r="Q378" i="7"/>
  <c r="P330" i="7"/>
  <c r="V164" i="11"/>
  <c r="R95" i="8"/>
  <c r="R66" i="8"/>
  <c r="S464" i="11"/>
  <c r="S321" i="11"/>
  <c r="N106" i="26"/>
  <c r="S373" i="11"/>
  <c r="S189" i="12"/>
  <c r="N134" i="26"/>
  <c r="S366" i="11"/>
  <c r="S47" i="12"/>
  <c r="S40" i="12"/>
  <c r="S522" i="11"/>
  <c r="R527" i="11"/>
  <c r="R56" i="12"/>
  <c r="R529" i="11"/>
  <c r="O24" i="3"/>
  <c r="N658" i="22"/>
  <c r="N670" i="22"/>
  <c r="N590" i="22"/>
  <c r="N631" i="22"/>
  <c r="N667" i="22"/>
  <c r="M80" i="22"/>
  <c r="M96" i="22"/>
  <c r="M93" i="22"/>
  <c r="T541" i="8"/>
  <c r="T556" i="8"/>
  <c r="U556" i="8" s="1"/>
  <c r="U543" i="8"/>
  <c r="Q320" i="9"/>
  <c r="Q333" i="9" s="1"/>
  <c r="Q313" i="9"/>
  <c r="Q325" i="9"/>
  <c r="P245" i="11"/>
  <c r="Q225" i="11"/>
  <c r="P21" i="16"/>
  <c r="O24" i="5"/>
  <c r="S189" i="7"/>
  <c r="S186" i="7"/>
  <c r="S9" i="6"/>
  <c r="S18" i="6"/>
  <c r="S23" i="7"/>
  <c r="S129" i="7"/>
  <c r="S279" i="7"/>
  <c r="S136" i="8"/>
  <c r="S504" i="8"/>
  <c r="S277" i="11"/>
  <c r="N102" i="26"/>
  <c r="B139" i="23"/>
  <c r="S6" i="3"/>
  <c r="S11" i="7"/>
  <c r="Q44" i="14"/>
  <c r="Q47" i="14"/>
  <c r="V263" i="8"/>
  <c r="V308" i="8"/>
  <c r="V309" i="8"/>
  <c r="V110" i="11"/>
  <c r="V58" i="11"/>
  <c r="V109" i="11"/>
  <c r="Q1113" i="24"/>
  <c r="Q1089" i="24"/>
  <c r="Q1091" i="24"/>
  <c r="Q1117" i="24" s="1"/>
  <c r="Q286" i="9"/>
  <c r="Q261" i="9"/>
  <c r="Q264" i="9"/>
  <c r="Q334" i="22"/>
  <c r="V561" i="8"/>
  <c r="V448" i="11"/>
  <c r="V175" i="12"/>
  <c r="Q1068" i="24"/>
  <c r="S11" i="3"/>
  <c r="S106" i="7"/>
  <c r="P129" i="14"/>
  <c r="P159" i="13"/>
  <c r="Q159" i="13" s="1"/>
  <c r="Q149" i="13"/>
  <c r="T355" i="11"/>
  <c r="P1103" i="24"/>
  <c r="P1106" i="24"/>
  <c r="P1111" i="24"/>
  <c r="T76" i="11"/>
  <c r="T69" i="11"/>
  <c r="T211" i="7"/>
  <c r="T81" i="11"/>
  <c r="U81" i="11" s="1"/>
  <c r="U68" i="11"/>
  <c r="T281" i="8"/>
  <c r="T283" i="8"/>
  <c r="T292" i="8"/>
  <c r="U292" i="8" s="1"/>
  <c r="U279" i="8"/>
  <c r="T457" i="11"/>
  <c r="U457" i="11" s="1"/>
  <c r="T144" i="12"/>
  <c r="O219" i="26"/>
  <c r="U449" i="11"/>
  <c r="T450" i="11"/>
  <c r="T143" i="10"/>
  <c r="U143" i="10" s="1"/>
  <c r="U117" i="10"/>
  <c r="P395" i="22"/>
  <c r="P419" i="22"/>
  <c r="P397" i="22"/>
  <c r="P423" i="22" s="1"/>
  <c r="T449" i="8"/>
  <c r="T292" i="11"/>
  <c r="C107" i="23"/>
  <c r="C12" i="26"/>
  <c r="U449" i="8"/>
  <c r="U139" i="10"/>
  <c r="U292" i="11"/>
  <c r="R197" i="7"/>
  <c r="R28" i="11"/>
  <c r="R34" i="11"/>
  <c r="R39" i="11"/>
  <c r="W594" i="8"/>
  <c r="W243" i="10"/>
  <c r="V426" i="11"/>
  <c r="V121" i="12"/>
  <c r="Q747" i="24"/>
  <c r="V203" i="10"/>
  <c r="V301" i="7"/>
  <c r="V215" i="10"/>
  <c r="V94" i="10"/>
  <c r="P173" i="22"/>
  <c r="S102" i="8"/>
  <c r="S91" i="8"/>
  <c r="P1376" i="24"/>
  <c r="T526" i="11" s="1"/>
  <c r="T369" i="11"/>
  <c r="T43" i="12"/>
  <c r="T467" i="11"/>
  <c r="T324" i="11"/>
  <c r="T75" i="12" s="1"/>
  <c r="O108" i="26"/>
  <c r="U512" i="11"/>
  <c r="U324" i="11"/>
  <c r="S200" i="8"/>
  <c r="S212" i="8"/>
  <c r="S203" i="8"/>
  <c r="B27" i="26"/>
  <c r="O494" i="22"/>
  <c r="O656" i="22" s="1"/>
  <c r="O616" i="22"/>
  <c r="O467" i="22"/>
  <c r="B9" i="26"/>
  <c r="V194" i="8"/>
  <c r="V460" i="8"/>
  <c r="V233" i="11"/>
  <c r="Q437" i="22"/>
  <c r="Q394" i="22"/>
  <c r="Q518" i="22"/>
  <c r="P93" i="26"/>
  <c r="D111" i="23"/>
  <c r="D13" i="26"/>
  <c r="R12" i="22"/>
  <c r="R680" i="22"/>
  <c r="S497" i="11"/>
  <c r="S485" i="11"/>
  <c r="S511" i="11"/>
  <c r="S14" i="12"/>
  <c r="S116" i="13"/>
  <c r="P200" i="22"/>
  <c r="Q241" i="22"/>
  <c r="S117" i="13"/>
  <c r="S115" i="13"/>
  <c r="P187" i="22"/>
  <c r="Q323" i="22"/>
  <c r="O896" i="22"/>
  <c r="Q310" i="22"/>
  <c r="Q228" i="22"/>
  <c r="O1198" i="24"/>
  <c r="N71" i="26"/>
  <c r="O1146" i="24"/>
  <c r="S487" i="11"/>
  <c r="O1183" i="24" s="1"/>
  <c r="P15" i="7"/>
  <c r="P88" i="7"/>
  <c r="P92" i="7"/>
  <c r="P435" i="8"/>
  <c r="P250" i="11"/>
  <c r="P438" i="8"/>
  <c r="P260" i="11"/>
  <c r="Q82" i="7"/>
  <c r="P98" i="7"/>
  <c r="Q98" i="7" s="1"/>
  <c r="J125" i="26"/>
  <c r="N20" i="3"/>
  <c r="U64" i="11"/>
  <c r="U61" i="11"/>
  <c r="Q211" i="12"/>
  <c r="Q208" i="12"/>
  <c r="R71" i="16"/>
  <c r="L198" i="26"/>
  <c r="Q122" i="8"/>
  <c r="R194" i="12"/>
  <c r="R196" i="12"/>
  <c r="O175" i="13"/>
  <c r="R256" i="9"/>
  <c r="R280" i="9"/>
  <c r="R213" i="9"/>
  <c r="R1083" i="24"/>
  <c r="W521" i="8"/>
  <c r="W184" i="10"/>
  <c r="S339" i="9"/>
  <c r="R940" i="22"/>
  <c r="V52" i="7"/>
  <c r="V184" i="8"/>
  <c r="V436" i="8"/>
  <c r="V46" i="10"/>
  <c r="V130" i="10"/>
  <c r="V251" i="11"/>
  <c r="Q445" i="22"/>
  <c r="Q402" i="22"/>
  <c r="Q526" i="22"/>
  <c r="D2" i="26"/>
  <c r="D67" i="23"/>
  <c r="P96" i="26"/>
  <c r="R20" i="22"/>
  <c r="R688" i="22"/>
  <c r="Q235" i="11"/>
  <c r="Q64" i="16"/>
  <c r="N125" i="22"/>
  <c r="N134" i="22"/>
  <c r="N137" i="22"/>
  <c r="V386" i="8"/>
  <c r="V332" i="8"/>
  <c r="V224" i="7"/>
  <c r="V106" i="11"/>
  <c r="V178" i="11"/>
  <c r="S173" i="11"/>
  <c r="S209" i="11"/>
  <c r="S200" i="11"/>
  <c r="S212" i="11"/>
  <c r="P105" i="8"/>
  <c r="Q105" i="8" s="1"/>
  <c r="Q73" i="8"/>
  <c r="R332" i="22"/>
  <c r="U100" i="13"/>
  <c r="T24" i="12"/>
  <c r="U493" i="11"/>
  <c r="O18" i="13"/>
  <c r="O26" i="13"/>
  <c r="O22" i="13"/>
  <c r="O27" i="13"/>
  <c r="O30" i="13"/>
  <c r="O20" i="13"/>
  <c r="O28" i="13"/>
  <c r="O19" i="13"/>
  <c r="O31" i="13"/>
  <c r="O23" i="13"/>
  <c r="Q252" i="22"/>
  <c r="S420" i="8"/>
  <c r="S381" i="8"/>
  <c r="S417" i="8"/>
  <c r="S408" i="8"/>
  <c r="V154" i="10"/>
  <c r="U128" i="10"/>
  <c r="Q38" i="22"/>
  <c r="Q26" i="22"/>
  <c r="P571" i="22"/>
  <c r="P544" i="22"/>
  <c r="P584" i="22" s="1"/>
  <c r="P532" i="22"/>
  <c r="P572" i="22" s="1"/>
  <c r="P330" i="22"/>
  <c r="P339" i="22"/>
  <c r="P342" i="22"/>
  <c r="P643" i="22"/>
  <c r="T125" i="12"/>
  <c r="T118" i="12"/>
  <c r="T130" i="12"/>
  <c r="U130" i="12" s="1"/>
  <c r="U117" i="12"/>
  <c r="R937" i="22"/>
  <c r="R76" i="12"/>
  <c r="R163" i="12"/>
  <c r="R45" i="12"/>
  <c r="R48" i="12"/>
  <c r="S106" i="8"/>
  <c r="R171" i="13"/>
  <c r="R166" i="13"/>
  <c r="T152" i="8"/>
  <c r="T33" i="8"/>
  <c r="T155" i="8"/>
  <c r="U151" i="8"/>
  <c r="Q268" i="9"/>
  <c r="Q915" i="22"/>
  <c r="Q466" i="24"/>
  <c r="Q479" i="24" s="1"/>
  <c r="Q471" i="24"/>
  <c r="Q459" i="24"/>
  <c r="P257" i="22"/>
  <c r="P248" i="22"/>
  <c r="P260" i="22"/>
  <c r="P19" i="7"/>
  <c r="P118" i="7"/>
  <c r="L143" i="26"/>
  <c r="Q262" i="7"/>
  <c r="N1223" i="24"/>
  <c r="N1220" i="24"/>
  <c r="S246" i="7"/>
  <c r="S258" i="7"/>
  <c r="S255" i="7"/>
  <c r="S136" i="7"/>
  <c r="S23" i="8"/>
  <c r="S129" i="8"/>
  <c r="S483" i="8"/>
  <c r="S305" i="11"/>
  <c r="B167" i="23"/>
  <c r="O533" i="22"/>
  <c r="O536" i="22"/>
  <c r="O568" i="22"/>
  <c r="O541" i="22"/>
  <c r="O581" i="22" s="1"/>
  <c r="S283" i="7"/>
  <c r="S508" i="8"/>
  <c r="S288" i="11"/>
  <c r="B95" i="23"/>
  <c r="O175" i="22"/>
  <c r="O178" i="22"/>
  <c r="O166" i="22"/>
  <c r="V527" i="8"/>
  <c r="V551" i="8"/>
  <c r="V146" i="8"/>
  <c r="V529" i="8"/>
  <c r="R169" i="13"/>
  <c r="S185" i="12"/>
  <c r="S182" i="12"/>
  <c r="V80" i="8"/>
  <c r="R140" i="13"/>
  <c r="R129" i="13"/>
  <c r="R144" i="13"/>
  <c r="S139" i="13"/>
  <c r="S108" i="13"/>
  <c r="S112" i="13"/>
  <c r="N209" i="26"/>
  <c r="S568" i="8"/>
  <c r="S571" i="8"/>
  <c r="T199" i="11"/>
  <c r="T196" i="11"/>
  <c r="U119" i="11"/>
  <c r="U116" i="11"/>
  <c r="T129" i="11"/>
  <c r="T120" i="11"/>
  <c r="T132" i="11"/>
  <c r="N1163" i="24"/>
  <c r="N1166" i="24"/>
  <c r="T142" i="11"/>
  <c r="T166" i="11"/>
  <c r="T235" i="7"/>
  <c r="T180" i="11"/>
  <c r="U180" i="11" s="1"/>
  <c r="T144" i="11"/>
  <c r="U140" i="11"/>
  <c r="T480" i="11"/>
  <c r="P1077" i="24"/>
  <c r="P1070" i="24"/>
  <c r="T570" i="8"/>
  <c r="U570" i="8" s="1"/>
  <c r="O205" i="26"/>
  <c r="U562" i="8"/>
  <c r="T563" i="8"/>
  <c r="P211" i="13"/>
  <c r="P217" i="13"/>
  <c r="Q217" i="13" s="1"/>
  <c r="Q209" i="13"/>
  <c r="T77" i="10"/>
  <c r="T50" i="10"/>
  <c r="C22" i="26"/>
  <c r="U42" i="10"/>
  <c r="P462" i="22"/>
  <c r="P476" i="22"/>
  <c r="P638" i="22" s="1"/>
  <c r="P598" i="22"/>
  <c r="P438" i="22"/>
  <c r="P440" i="22"/>
  <c r="T141" i="10"/>
  <c r="V150" i="10"/>
  <c r="U115" i="10"/>
  <c r="T119" i="10"/>
  <c r="T116" i="10"/>
  <c r="T207" i="8"/>
  <c r="U207" i="8" s="1"/>
  <c r="T189" i="8"/>
  <c r="O175" i="26"/>
  <c r="U181" i="8"/>
  <c r="T48" i="8"/>
  <c r="T182" i="8"/>
  <c r="N64" i="9"/>
  <c r="N70" i="9"/>
  <c r="N17" i="9"/>
  <c r="N19" i="9" s="1"/>
  <c r="N1469" i="24"/>
  <c r="R396" i="11"/>
  <c r="R218" i="12"/>
  <c r="M129" i="26"/>
  <c r="R398" i="11"/>
  <c r="R35" i="11"/>
  <c r="R40" i="11"/>
  <c r="V362" i="8"/>
  <c r="V280" i="8"/>
  <c r="V361" i="8"/>
  <c r="V154" i="11"/>
  <c r="V72" i="11"/>
  <c r="V153" i="11"/>
  <c r="Q1102" i="24"/>
  <c r="V356" i="11" s="1"/>
  <c r="Q1114" i="24"/>
  <c r="R214" i="13"/>
  <c r="R61" i="13"/>
  <c r="R58" i="13"/>
  <c r="S102" i="7"/>
  <c r="S91" i="7"/>
  <c r="T123" i="13"/>
  <c r="U123" i="13" s="1"/>
  <c r="U120" i="13"/>
  <c r="T29" i="12"/>
  <c r="U29" i="12" s="1"/>
  <c r="U498" i="11"/>
  <c r="N186" i="26"/>
  <c r="S57" i="8"/>
  <c r="S10" i="8"/>
  <c r="S54" i="8"/>
  <c r="P80" i="16"/>
  <c r="Q89" i="7"/>
  <c r="P10" i="3"/>
  <c r="Q10" i="3" s="1"/>
  <c r="P105" i="7"/>
  <c r="N1378" i="24"/>
  <c r="N1381" i="24"/>
  <c r="C22" i="15"/>
  <c r="C25" i="15" s="1"/>
  <c r="U131" i="11"/>
  <c r="P236" i="9"/>
  <c r="P233" i="9"/>
  <c r="P241" i="9"/>
  <c r="O138" i="8"/>
  <c r="M138" i="26"/>
  <c r="R371" i="11"/>
  <c r="R374" i="11"/>
  <c r="T294" i="10"/>
  <c r="U294" i="10"/>
  <c r="R275" i="9"/>
  <c r="R226" i="9"/>
  <c r="W534" i="8"/>
  <c r="W197" i="10"/>
  <c r="R1096" i="24"/>
  <c r="S352" i="9"/>
  <c r="L146" i="26"/>
  <c r="Q265" i="7"/>
  <c r="R356" i="7"/>
  <c r="R369" i="7"/>
  <c r="R38" i="14"/>
  <c r="R82" i="14"/>
  <c r="O102" i="22"/>
  <c r="N49" i="22"/>
  <c r="N57" i="22"/>
  <c r="N91" i="22" s="1"/>
  <c r="R32" i="14"/>
  <c r="R104" i="14" s="1"/>
  <c r="N53" i="22"/>
  <c r="N87" i="22" s="1"/>
  <c r="O115" i="22"/>
  <c r="O123" i="22" s="1"/>
  <c r="P143" i="22"/>
  <c r="P156" i="22"/>
  <c r="P164" i="22" s="1"/>
  <c r="P266" i="22"/>
  <c r="N375" i="22"/>
  <c r="N383" i="22" s="1"/>
  <c r="N361" i="22"/>
  <c r="N369" i="22" s="1"/>
  <c r="P279" i="22"/>
  <c r="P287" i="22" s="1"/>
  <c r="N347" i="22"/>
  <c r="N355" i="22" s="1"/>
  <c r="M83" i="26"/>
  <c r="N1238" i="24"/>
  <c r="P27" i="22"/>
  <c r="P30" i="22"/>
  <c r="P35" i="22"/>
  <c r="T157" i="10"/>
  <c r="U157" i="10" s="1"/>
  <c r="O288" i="7"/>
  <c r="S33" i="12"/>
  <c r="S26" i="12"/>
  <c r="V103" i="11"/>
  <c r="U338" i="8"/>
  <c r="Q209" i="22"/>
  <c r="P86" i="16"/>
  <c r="P79" i="16"/>
  <c r="T480" i="8"/>
  <c r="T295" i="11"/>
  <c r="C119" i="23"/>
  <c r="C15" i="26"/>
  <c r="U480" i="8"/>
  <c r="U295" i="11"/>
  <c r="U140" i="10"/>
  <c r="P408" i="22"/>
  <c r="P420" i="22"/>
  <c r="P15" i="14"/>
  <c r="Q13" i="14"/>
  <c r="R80" i="13" l="1"/>
  <c r="P274" i="22"/>
  <c r="P300" i="22" s="1"/>
  <c r="P292" i="22"/>
  <c r="O110" i="22"/>
  <c r="O136" i="22" s="1"/>
  <c r="O128" i="22"/>
  <c r="R364" i="7"/>
  <c r="R382" i="7"/>
  <c r="R234" i="9"/>
  <c r="R783" i="24"/>
  <c r="D1427" i="24"/>
  <c r="N187" i="26"/>
  <c r="S11" i="8"/>
  <c r="V293" i="8"/>
  <c r="V284" i="8"/>
  <c r="T56" i="8"/>
  <c r="U56" i="8" s="1"/>
  <c r="T9" i="8"/>
  <c r="T50" i="8"/>
  <c r="O176" i="26"/>
  <c r="U48" i="8"/>
  <c r="Q118" i="7"/>
  <c r="Q276" i="9"/>
  <c r="Q289" i="9" s="1"/>
  <c r="Q227" i="9"/>
  <c r="V535" i="8"/>
  <c r="V198" i="10"/>
  <c r="Q1097" i="24"/>
  <c r="Q281" i="9"/>
  <c r="Q269" i="9"/>
  <c r="R353" i="9"/>
  <c r="O35" i="13"/>
  <c r="K112" i="26"/>
  <c r="K119" i="26"/>
  <c r="P81" i="16"/>
  <c r="P20" i="16" s="1"/>
  <c r="P12" i="4" s="1"/>
  <c r="L161" i="26" s="1"/>
  <c r="Q89" i="16"/>
  <c r="P40" i="22"/>
  <c r="P43" i="22"/>
  <c r="P31" i="22"/>
  <c r="R90" i="14"/>
  <c r="R115" i="14"/>
  <c r="R68" i="14" s="1"/>
  <c r="W266" i="8"/>
  <c r="W318" i="8"/>
  <c r="W317" i="8"/>
  <c r="W137" i="11"/>
  <c r="W67" i="11"/>
  <c r="W136" i="11"/>
  <c r="R1104" i="24"/>
  <c r="C25" i="3"/>
  <c r="S12" i="3"/>
  <c r="S107" i="7"/>
  <c r="V73" i="11"/>
  <c r="V85" i="11"/>
  <c r="V212" i="7"/>
  <c r="V402" i="8"/>
  <c r="V375" i="8"/>
  <c r="R84" i="7"/>
  <c r="R84" i="8"/>
  <c r="R48" i="11"/>
  <c r="V151" i="10"/>
  <c r="U119" i="10"/>
  <c r="U116" i="10"/>
  <c r="V158" i="10"/>
  <c r="U141" i="10"/>
  <c r="C24" i="26"/>
  <c r="U50" i="10"/>
  <c r="P219" i="13"/>
  <c r="P216" i="13"/>
  <c r="Q211" i="13"/>
  <c r="T243" i="7"/>
  <c r="T248" i="7"/>
  <c r="U248" i="7" s="1"/>
  <c r="U235" i="7"/>
  <c r="N210" i="26"/>
  <c r="V528" i="8"/>
  <c r="V555" i="8"/>
  <c r="V553" i="8"/>
  <c r="V531" i="8"/>
  <c r="O573" i="22"/>
  <c r="O576" i="22"/>
  <c r="O537" i="22"/>
  <c r="O549" i="22"/>
  <c r="O546" i="22"/>
  <c r="L147" i="26"/>
  <c r="Q19" i="7"/>
  <c r="R172" i="13"/>
  <c r="R170" i="13"/>
  <c r="T126" i="12"/>
  <c r="T123" i="12"/>
  <c r="T131" i="12"/>
  <c r="U131" i="12" s="1"/>
  <c r="U118" i="12"/>
  <c r="K120" i="26"/>
  <c r="O38" i="13"/>
  <c r="K115" i="26"/>
  <c r="R696" i="22"/>
  <c r="S341" i="9"/>
  <c r="S365" i="9"/>
  <c r="S444" i="24"/>
  <c r="S298" i="9"/>
  <c r="R239" i="9"/>
  <c r="R215" i="9"/>
  <c r="R770" i="24"/>
  <c r="P500" i="8"/>
  <c r="Q500" i="8" s="1"/>
  <c r="L193" i="26"/>
  <c r="Q438" i="8"/>
  <c r="P448" i="8"/>
  <c r="Q92" i="7"/>
  <c r="Q88" i="7"/>
  <c r="P108" i="7"/>
  <c r="P93" i="7"/>
  <c r="P104" i="7"/>
  <c r="O904" i="22"/>
  <c r="O897" i="22"/>
  <c r="S127" i="13"/>
  <c r="S133" i="13"/>
  <c r="S16" i="12"/>
  <c r="S18" i="12"/>
  <c r="P182" i="26"/>
  <c r="U75" i="12"/>
  <c r="U43" i="12"/>
  <c r="W244" i="10"/>
  <c r="R199" i="7"/>
  <c r="R201" i="7"/>
  <c r="T152" i="12"/>
  <c r="U152" i="12" s="1"/>
  <c r="U144" i="12"/>
  <c r="T145" i="12"/>
  <c r="T296" i="8"/>
  <c r="U296" i="8" s="1"/>
  <c r="U283" i="8"/>
  <c r="T213" i="7"/>
  <c r="T215" i="7"/>
  <c r="U215" i="7" s="1"/>
  <c r="U211" i="7"/>
  <c r="V479" i="11"/>
  <c r="V226" i="7"/>
  <c r="V189" i="11"/>
  <c r="V111" i="11"/>
  <c r="V117" i="11"/>
  <c r="V122" i="11"/>
  <c r="V310" i="8"/>
  <c r="V334" i="8"/>
  <c r="V388" i="8"/>
  <c r="V312" i="8"/>
  <c r="S139" i="7"/>
  <c r="S26" i="7"/>
  <c r="S289" i="7"/>
  <c r="Q318" i="9"/>
  <c r="Q321" i="9"/>
  <c r="Q326" i="9"/>
  <c r="U544" i="8"/>
  <c r="U541" i="8"/>
  <c r="T557" i="8"/>
  <c r="T554" i="8"/>
  <c r="T545" i="8"/>
  <c r="S194" i="7"/>
  <c r="S19" i="11"/>
  <c r="S43" i="11"/>
  <c r="S21" i="11"/>
  <c r="S230" i="8"/>
  <c r="S248" i="8"/>
  <c r="S223" i="8"/>
  <c r="Q570" i="22"/>
  <c r="T286" i="10"/>
  <c r="U286" i="10"/>
  <c r="U97" i="10"/>
  <c r="Q77" i="14"/>
  <c r="Q74" i="14"/>
  <c r="S449" i="24"/>
  <c r="S303" i="9"/>
  <c r="R775" i="24"/>
  <c r="R87" i="14"/>
  <c r="R118" i="14"/>
  <c r="R71" i="14" s="1"/>
  <c r="N77" i="22"/>
  <c r="N67" i="22"/>
  <c r="Q39" i="22"/>
  <c r="Q14" i="22"/>
  <c r="Q17" i="22"/>
  <c r="T364" i="8"/>
  <c r="T367" i="8"/>
  <c r="T372" i="8"/>
  <c r="T399" i="8"/>
  <c r="U399" i="8" s="1"/>
  <c r="U359" i="8"/>
  <c r="T171" i="11"/>
  <c r="T185" i="11"/>
  <c r="U185" i="11" s="1"/>
  <c r="U145" i="11"/>
  <c r="P140" i="14"/>
  <c r="Q140" i="14" s="1"/>
  <c r="Q130" i="14"/>
  <c r="Q245" i="9"/>
  <c r="Q223" i="9"/>
  <c r="Q220" i="9"/>
  <c r="S461" i="24"/>
  <c r="S315" i="9"/>
  <c r="R787" i="24"/>
  <c r="P157" i="13"/>
  <c r="P161" i="13"/>
  <c r="Q151" i="13"/>
  <c r="N224" i="26"/>
  <c r="P503" i="22"/>
  <c r="P665" i="22" s="1"/>
  <c r="P625" i="22"/>
  <c r="T75" i="7"/>
  <c r="T97" i="7"/>
  <c r="U97" i="7" s="1"/>
  <c r="U65" i="7"/>
  <c r="P125" i="8"/>
  <c r="P472" i="8"/>
  <c r="L199" i="26"/>
  <c r="Q466" i="8"/>
  <c r="P476" i="8"/>
  <c r="Q476" i="8" s="1"/>
  <c r="R329" i="9"/>
  <c r="R317" i="9"/>
  <c r="R253" i="8"/>
  <c r="R231" i="8"/>
  <c r="R228" i="8"/>
  <c r="T8" i="6"/>
  <c r="T17" i="6"/>
  <c r="T119" i="7"/>
  <c r="T20" i="7"/>
  <c r="T269" i="7"/>
  <c r="T133" i="8"/>
  <c r="T494" i="8"/>
  <c r="T246" i="11"/>
  <c r="C135" i="23"/>
  <c r="O95" i="26"/>
  <c r="U133" i="8"/>
  <c r="U494" i="8"/>
  <c r="U246" i="11"/>
  <c r="U119" i="7"/>
  <c r="U8" i="6"/>
  <c r="U20" i="7"/>
  <c r="U9" i="7"/>
  <c r="U269" i="7"/>
  <c r="U44" i="10"/>
  <c r="C18" i="26"/>
  <c r="U84" i="10"/>
  <c r="V91" i="10"/>
  <c r="V64" i="10"/>
  <c r="W585" i="8"/>
  <c r="W255" i="10"/>
  <c r="P286" i="22"/>
  <c r="P280" i="22"/>
  <c r="P267" i="22"/>
  <c r="P273" i="22"/>
  <c r="P291" i="22"/>
  <c r="R83" i="14"/>
  <c r="R114" i="14"/>
  <c r="R67" i="14"/>
  <c r="R89" i="14"/>
  <c r="O103" i="22"/>
  <c r="O109" i="22"/>
  <c r="O127" i="22"/>
  <c r="R357" i="7"/>
  <c r="R381" i="7"/>
  <c r="R363" i="7"/>
  <c r="Q268" i="7"/>
  <c r="S153" i="12"/>
  <c r="S150" i="12"/>
  <c r="W147" i="7"/>
  <c r="X589" i="8"/>
  <c r="W57" i="10"/>
  <c r="X226" i="10"/>
  <c r="W193" i="10"/>
  <c r="W409" i="11"/>
  <c r="W104" i="12"/>
  <c r="R730" i="24"/>
  <c r="T443" i="11"/>
  <c r="U443" i="11" s="1"/>
  <c r="U430" i="11"/>
  <c r="V318" i="7"/>
  <c r="V610" i="8"/>
  <c r="P17" i="21"/>
  <c r="P19" i="21" s="1"/>
  <c r="Y318" i="7"/>
  <c r="Y610" i="8"/>
  <c r="U304" i="7"/>
  <c r="V38" i="7"/>
  <c r="V169" i="8"/>
  <c r="V608" i="8"/>
  <c r="U33" i="7"/>
  <c r="Y608" i="8"/>
  <c r="Y169" i="8"/>
  <c r="Y38" i="7"/>
  <c r="T34" i="7"/>
  <c r="K155" i="26"/>
  <c r="R701" i="22"/>
  <c r="R677" i="22"/>
  <c r="Q434" i="22"/>
  <c r="Q458" i="22"/>
  <c r="Q472" i="22"/>
  <c r="Q594" i="22"/>
  <c r="D7" i="26"/>
  <c r="V263" i="7"/>
  <c r="V488" i="8"/>
  <c r="V226" i="11"/>
  <c r="P91" i="26"/>
  <c r="D87" i="23"/>
  <c r="R16" i="22"/>
  <c r="Q554" i="22"/>
  <c r="Q522" i="22"/>
  <c r="D25" i="26"/>
  <c r="V253" i="10"/>
  <c r="U212" i="10"/>
  <c r="Y253" i="10"/>
  <c r="P466" i="22"/>
  <c r="P480" i="22"/>
  <c r="P602" i="22"/>
  <c r="T138" i="12"/>
  <c r="U138" i="12" s="1"/>
  <c r="U125" i="12"/>
  <c r="U24" i="12"/>
  <c r="R28" i="22"/>
  <c r="P122" i="7"/>
  <c r="P272" i="7"/>
  <c r="P270" i="11"/>
  <c r="P256" i="11"/>
  <c r="L148" i="26"/>
  <c r="Q250" i="11"/>
  <c r="P281" i="11"/>
  <c r="Q281" i="11" s="1"/>
  <c r="Q15" i="7"/>
  <c r="P13" i="3"/>
  <c r="Q13" i="3" s="1"/>
  <c r="Q325" i="22"/>
  <c r="Q327" i="22"/>
  <c r="Q243" i="22"/>
  <c r="Q245" i="22"/>
  <c r="S466" i="11"/>
  <c r="S323" i="11"/>
  <c r="S74" i="12" s="1"/>
  <c r="S368" i="11"/>
  <c r="S513" i="11"/>
  <c r="S42" i="12"/>
  <c r="N107" i="26"/>
  <c r="S515" i="11"/>
  <c r="Q558" i="22"/>
  <c r="T193" i="12"/>
  <c r="U193" i="12" s="1"/>
  <c r="O137" i="26"/>
  <c r="U369" i="11"/>
  <c r="S107" i="8"/>
  <c r="Q748" i="24"/>
  <c r="Q760" i="24"/>
  <c r="R79" i="7"/>
  <c r="R68" i="8"/>
  <c r="R47" i="11"/>
  <c r="O220" i="26"/>
  <c r="U450" i="11"/>
  <c r="T85" i="8"/>
  <c r="T294" i="8"/>
  <c r="U294" i="8" s="1"/>
  <c r="T282" i="8"/>
  <c r="T285" i="8"/>
  <c r="U281" i="8"/>
  <c r="T74" i="11"/>
  <c r="T77" i="11"/>
  <c r="T82" i="11"/>
  <c r="U82" i="11" s="1"/>
  <c r="U69" i="11"/>
  <c r="P1107" i="24"/>
  <c r="P1119" i="24"/>
  <c r="P1116" i="24"/>
  <c r="V208" i="7"/>
  <c r="V60" i="11"/>
  <c r="V84" i="11"/>
  <c r="V62" i="11"/>
  <c r="V271" i="8"/>
  <c r="V289" i="8"/>
  <c r="V264" i="8"/>
  <c r="T7" i="3"/>
  <c r="U7" i="3" s="1"/>
  <c r="S17" i="3"/>
  <c r="S27" i="3"/>
  <c r="S12" i="6" s="1"/>
  <c r="S10" i="6"/>
  <c r="S14" i="6"/>
  <c r="S15" i="6"/>
  <c r="S21" i="3"/>
  <c r="S11" i="6" s="1"/>
  <c r="S20" i="6"/>
  <c r="S26" i="8"/>
  <c r="S139" i="8"/>
  <c r="S514" i="8"/>
  <c r="S308" i="11"/>
  <c r="B143" i="23"/>
  <c r="N103" i="26"/>
  <c r="S51" i="13"/>
  <c r="O1213" i="24"/>
  <c r="S55" i="13"/>
  <c r="O1214" i="24"/>
  <c r="S52" i="13"/>
  <c r="S56" i="13"/>
  <c r="O1218" i="24"/>
  <c r="S28" i="14" s="1"/>
  <c r="O1217" i="24"/>
  <c r="R58" i="12"/>
  <c r="R60" i="12"/>
  <c r="S53" i="12"/>
  <c r="S530" i="11"/>
  <c r="S523" i="11"/>
  <c r="S79" i="12"/>
  <c r="S166" i="12"/>
  <c r="S197" i="12"/>
  <c r="S190" i="12"/>
  <c r="P70" i="13"/>
  <c r="Q330" i="7"/>
  <c r="P749" i="24"/>
  <c r="P752" i="24"/>
  <c r="P757" i="24"/>
  <c r="U296" i="10"/>
  <c r="S349" i="7"/>
  <c r="S342" i="7"/>
  <c r="S386" i="11"/>
  <c r="S202" i="12"/>
  <c r="N212" i="26"/>
  <c r="S379" i="11"/>
  <c r="U32" i="10"/>
  <c r="T284" i="10"/>
  <c r="U24" i="10"/>
  <c r="U284" i="10"/>
  <c r="X32" i="10"/>
  <c r="T25" i="10"/>
  <c r="P93" i="8"/>
  <c r="P108" i="8"/>
  <c r="P104" i="8"/>
  <c r="Q72" i="8"/>
  <c r="Q76" i="8"/>
  <c r="R43" i="14"/>
  <c r="P271" i="22"/>
  <c r="P297" i="22" s="1"/>
  <c r="P295" i="22"/>
  <c r="R361" i="7"/>
  <c r="R385" i="7"/>
  <c r="T53" i="7"/>
  <c r="T197" i="8"/>
  <c r="T467" i="8"/>
  <c r="T47" i="10"/>
  <c r="T131" i="10"/>
  <c r="T254" i="11"/>
  <c r="P403" i="22"/>
  <c r="P527" i="22"/>
  <c r="P446" i="22"/>
  <c r="C5" i="26"/>
  <c r="C79" i="23"/>
  <c r="O97" i="26"/>
  <c r="Q689" i="22"/>
  <c r="Q21" i="22"/>
  <c r="T136" i="10"/>
  <c r="T79" i="10"/>
  <c r="T124" i="10"/>
  <c r="T183" i="7"/>
  <c r="U254" i="11"/>
  <c r="U123" i="10"/>
  <c r="U467" i="8"/>
  <c r="R350" i="7"/>
  <c r="R347" i="7"/>
  <c r="T405" i="8"/>
  <c r="U405" i="8" s="1"/>
  <c r="T378" i="8"/>
  <c r="U365" i="8"/>
  <c r="T244" i="7"/>
  <c r="T249" i="7"/>
  <c r="U249" i="7" s="1"/>
  <c r="U236" i="7"/>
  <c r="U74" i="8"/>
  <c r="S201" i="13"/>
  <c r="S194" i="13"/>
  <c r="X581" i="8"/>
  <c r="X242" i="10"/>
  <c r="W425" i="11"/>
  <c r="W120" i="12"/>
  <c r="R746" i="24"/>
  <c r="V316" i="7"/>
  <c r="Y316" i="7"/>
  <c r="U302" i="7"/>
  <c r="T306" i="7"/>
  <c r="T303" i="7"/>
  <c r="P491" i="22"/>
  <c r="P653" i="22" s="1"/>
  <c r="P613" i="22"/>
  <c r="T221" i="8"/>
  <c r="T234" i="8"/>
  <c r="T14" i="11"/>
  <c r="T13" i="11"/>
  <c r="T377" i="11"/>
  <c r="T390" i="11"/>
  <c r="T157" i="12"/>
  <c r="U157" i="12" s="1"/>
  <c r="T340" i="7"/>
  <c r="U462" i="11"/>
  <c r="U102" i="13"/>
  <c r="T192" i="13"/>
  <c r="U229" i="7"/>
  <c r="U232" i="7"/>
  <c r="Q379" i="7"/>
  <c r="Q388" i="7"/>
  <c r="Q391" i="7"/>
  <c r="K203" i="26"/>
  <c r="L152" i="26"/>
  <c r="Q263" i="11"/>
  <c r="P294" i="11"/>
  <c r="Q294" i="11" s="1"/>
  <c r="O492" i="22"/>
  <c r="O614" i="22"/>
  <c r="O495" i="22"/>
  <c r="O617" i="22"/>
  <c r="O465" i="22"/>
  <c r="O468" i="22"/>
  <c r="O456" i="22"/>
  <c r="R272" i="9"/>
  <c r="R928" i="22"/>
  <c r="R463" i="24"/>
  <c r="R475" i="24"/>
  <c r="R255" i="8"/>
  <c r="N35" i="9"/>
  <c r="N1475" i="24"/>
  <c r="U50" i="7"/>
  <c r="U17" i="10"/>
  <c r="C19" i="26"/>
  <c r="U9" i="10"/>
  <c r="Q124" i="14"/>
  <c r="Q121" i="14"/>
  <c r="T379" i="8"/>
  <c r="T406" i="8"/>
  <c r="U406" i="8" s="1"/>
  <c r="U366" i="8"/>
  <c r="Q759" i="24"/>
  <c r="Q735" i="24"/>
  <c r="Q737" i="24"/>
  <c r="Q763" i="24" s="1"/>
  <c r="V216" i="10"/>
  <c r="W231" i="10"/>
  <c r="V191" i="10"/>
  <c r="V194" i="10"/>
  <c r="N1239" i="24"/>
  <c r="N1245" i="24"/>
  <c r="R51" i="14"/>
  <c r="N58" i="22"/>
  <c r="N90" i="22"/>
  <c r="P157" i="22"/>
  <c r="P163" i="22"/>
  <c r="R39" i="14"/>
  <c r="R45" i="14"/>
  <c r="O116" i="22"/>
  <c r="O122" i="22"/>
  <c r="R376" i="7"/>
  <c r="R370" i="7"/>
  <c r="W147" i="8"/>
  <c r="W530" i="8"/>
  <c r="Q515" i="22"/>
  <c r="Q539" i="22"/>
  <c r="Q579" i="22" s="1"/>
  <c r="Q553" i="22"/>
  <c r="V52" i="8"/>
  <c r="V195" i="8"/>
  <c r="P181" i="26"/>
  <c r="U95" i="10"/>
  <c r="T99" i="10"/>
  <c r="T96" i="10"/>
  <c r="N1246" i="24"/>
  <c r="R52" i="14"/>
  <c r="P151" i="22"/>
  <c r="P177" i="22" s="1"/>
  <c r="P169" i="22"/>
  <c r="R46" i="14"/>
  <c r="W150" i="7"/>
  <c r="X580" i="8"/>
  <c r="X238" i="10"/>
  <c r="W60" i="10"/>
  <c r="W205" i="10"/>
  <c r="W421" i="11"/>
  <c r="W116" i="12"/>
  <c r="R742" i="24"/>
  <c r="P16" i="7"/>
  <c r="Q16" i="7" s="1"/>
  <c r="Q105" i="7"/>
  <c r="V194" i="11"/>
  <c r="V240" i="7"/>
  <c r="V158" i="11"/>
  <c r="M131" i="26"/>
  <c r="R397" i="11"/>
  <c r="R14" i="3"/>
  <c r="R400" i="11"/>
  <c r="N69" i="9"/>
  <c r="N72" i="9"/>
  <c r="P502" i="22"/>
  <c r="P664" i="22" s="1"/>
  <c r="P624" i="22"/>
  <c r="U77" i="10"/>
  <c r="O206" i="26"/>
  <c r="U563" i="8"/>
  <c r="T206" i="11"/>
  <c r="U206" i="11" s="1"/>
  <c r="U166" i="11"/>
  <c r="U129" i="11"/>
  <c r="U120" i="11"/>
  <c r="U132" i="11"/>
  <c r="U196" i="11"/>
  <c r="U199" i="11"/>
  <c r="V154" i="8"/>
  <c r="V32" i="8"/>
  <c r="V148" i="8"/>
  <c r="U155" i="8"/>
  <c r="T153" i="8"/>
  <c r="O39" i="13"/>
  <c r="K116" i="26"/>
  <c r="O36" i="13"/>
  <c r="K113" i="26"/>
  <c r="O9" i="13"/>
  <c r="O32" i="13"/>
  <c r="K118" i="26"/>
  <c r="Q66" i="16"/>
  <c r="Q59" i="16"/>
  <c r="R64" i="16"/>
  <c r="Q534" i="22"/>
  <c r="Q574" i="22" s="1"/>
  <c r="Q566" i="22"/>
  <c r="V123" i="7"/>
  <c r="V116" i="8"/>
  <c r="V442" i="8"/>
  <c r="V271" i="11"/>
  <c r="D151" i="23"/>
  <c r="W296" i="7"/>
  <c r="X576" i="8"/>
  <c r="W186" i="10"/>
  <c r="W210" i="10"/>
  <c r="X225" i="10"/>
  <c r="W89" i="10"/>
  <c r="W408" i="11"/>
  <c r="W103" i="12"/>
  <c r="R729" i="24"/>
  <c r="P15" i="17"/>
  <c r="P9" i="17"/>
  <c r="O1375" i="24"/>
  <c r="S525" i="11" s="1"/>
  <c r="O1200" i="24"/>
  <c r="O1202" i="24"/>
  <c r="P176" i="13"/>
  <c r="Q15" i="14"/>
  <c r="N61" i="22"/>
  <c r="N95" i="22" s="1"/>
  <c r="N83" i="22"/>
  <c r="R377" i="7"/>
  <c r="W150" i="8"/>
  <c r="W542" i="8"/>
  <c r="P246" i="9"/>
  <c r="P237" i="9"/>
  <c r="P249" i="9"/>
  <c r="Q90" i="16"/>
  <c r="R90" i="16" s="1"/>
  <c r="S58" i="8"/>
  <c r="S55" i="8"/>
  <c r="V566" i="8"/>
  <c r="V180" i="12"/>
  <c r="Q1073" i="24"/>
  <c r="V484" i="11" s="1"/>
  <c r="V363" i="8"/>
  <c r="V374" i="8"/>
  <c r="V401" i="8"/>
  <c r="N32" i="9"/>
  <c r="N1471" i="24"/>
  <c r="N1477" i="24"/>
  <c r="T187" i="8"/>
  <c r="T208" i="8"/>
  <c r="U208" i="8" s="1"/>
  <c r="T190" i="8"/>
  <c r="U182" i="8"/>
  <c r="T215" i="8"/>
  <c r="U215" i="8" s="1"/>
  <c r="U189" i="8"/>
  <c r="P464" i="22"/>
  <c r="P478" i="22"/>
  <c r="P600" i="22"/>
  <c r="P439" i="22"/>
  <c r="P442" i="22"/>
  <c r="T143" i="11"/>
  <c r="T170" i="11"/>
  <c r="T184" i="11"/>
  <c r="U184" i="11" s="1"/>
  <c r="U144" i="11"/>
  <c r="T168" i="11"/>
  <c r="T237" i="7"/>
  <c r="T182" i="11"/>
  <c r="U182" i="11" s="1"/>
  <c r="T146" i="11"/>
  <c r="U142" i="11"/>
  <c r="Q941" i="22"/>
  <c r="Q916" i="22"/>
  <c r="Q919" i="22"/>
  <c r="Q945" i="22" s="1"/>
  <c r="U33" i="8"/>
  <c r="T34" i="8"/>
  <c r="U34" i="8" s="1"/>
  <c r="K123" i="26"/>
  <c r="K122" i="26"/>
  <c r="Q410" i="22"/>
  <c r="W523" i="8"/>
  <c r="W547" i="8"/>
  <c r="J140" i="26"/>
  <c r="P115" i="8"/>
  <c r="P441" i="8"/>
  <c r="P497" i="8"/>
  <c r="Q497" i="8" s="1"/>
  <c r="L192" i="26"/>
  <c r="Q435" i="8"/>
  <c r="P445" i="8"/>
  <c r="Q230" i="22"/>
  <c r="Q254" i="22"/>
  <c r="Q232" i="22"/>
  <c r="P189" i="22"/>
  <c r="P213" i="22"/>
  <c r="P191" i="22"/>
  <c r="P202" i="22"/>
  <c r="P204" i="22"/>
  <c r="O1181" i="24"/>
  <c r="N73" i="26"/>
  <c r="S489" i="11"/>
  <c r="S486" i="11"/>
  <c r="O507" i="22"/>
  <c r="O669" i="22" s="1"/>
  <c r="O629" i="22"/>
  <c r="S216" i="8"/>
  <c r="S213" i="8"/>
  <c r="S204" i="8"/>
  <c r="W598" i="8"/>
  <c r="W256" i="10"/>
  <c r="V134" i="12"/>
  <c r="V122" i="12"/>
  <c r="P421" i="22"/>
  <c r="P396" i="22"/>
  <c r="P399" i="22"/>
  <c r="T85" i="7"/>
  <c r="T89" i="11"/>
  <c r="U89" i="11" s="1"/>
  <c r="U76" i="11"/>
  <c r="T565" i="8"/>
  <c r="T357" i="11"/>
  <c r="T452" i="11"/>
  <c r="T179" i="12"/>
  <c r="P1072" i="24"/>
  <c r="T359" i="11"/>
  <c r="U355" i="11"/>
  <c r="P139" i="14"/>
  <c r="Q139" i="14" s="1"/>
  <c r="Q129" i="14"/>
  <c r="P204" i="26"/>
  <c r="V352" i="11"/>
  <c r="Q1115" i="24"/>
  <c r="Q1093" i="24"/>
  <c r="Q1090" i="24"/>
  <c r="V227" i="7"/>
  <c r="V118" i="11"/>
  <c r="V190" i="11"/>
  <c r="V123" i="11"/>
  <c r="S335" i="7"/>
  <c r="S19" i="6"/>
  <c r="Q245" i="11"/>
  <c r="O12" i="5"/>
  <c r="P22" i="16"/>
  <c r="R531" i="11"/>
  <c r="R528" i="11"/>
  <c r="S72" i="12"/>
  <c r="S159" i="12"/>
  <c r="N135" i="26"/>
  <c r="R98" i="8"/>
  <c r="V81" i="7"/>
  <c r="V70" i="8"/>
  <c r="Q88" i="8"/>
  <c r="Q92" i="8"/>
  <c r="S44" i="11"/>
  <c r="S22" i="11"/>
  <c r="U62" i="10"/>
  <c r="T63" i="10"/>
  <c r="T66" i="10"/>
  <c r="P16" i="8"/>
  <c r="Q16" i="8" s="1"/>
  <c r="Q14" i="8"/>
  <c r="U394" i="8"/>
  <c r="U391" i="8"/>
  <c r="U340" i="8"/>
  <c r="U337" i="8"/>
  <c r="U328" i="8"/>
  <c r="W276" i="8"/>
  <c r="W349" i="8"/>
  <c r="W348" i="8"/>
  <c r="W113" i="11"/>
  <c r="W59" i="11"/>
  <c r="W114" i="11"/>
  <c r="R60" i="16"/>
  <c r="S70" i="16"/>
  <c r="R101" i="14"/>
  <c r="M87" i="26"/>
  <c r="P148" i="22"/>
  <c r="P174" i="22" s="1"/>
  <c r="P172" i="22"/>
  <c r="R374" i="7"/>
  <c r="P790" i="24"/>
  <c r="P793" i="24"/>
  <c r="P798" i="24"/>
  <c r="S19" i="10"/>
  <c r="T19" i="10" s="1"/>
  <c r="B21" i="26"/>
  <c r="V127" i="10"/>
  <c r="Q801" i="24"/>
  <c r="Q789" i="24"/>
  <c r="R244" i="8"/>
  <c r="R241" i="8"/>
  <c r="R207" i="12"/>
  <c r="R209" i="12"/>
  <c r="P545" i="22"/>
  <c r="P585" i="22" s="1"/>
  <c r="P559" i="22"/>
  <c r="P523" i="22"/>
  <c r="P520" i="22"/>
  <c r="T207" i="11"/>
  <c r="U207" i="11" s="1"/>
  <c r="U167" i="11"/>
  <c r="V113" i="10"/>
  <c r="Q800" i="24"/>
  <c r="Q776" i="24"/>
  <c r="Q778" i="24"/>
  <c r="Q804" i="24" s="1"/>
  <c r="R328" i="9"/>
  <c r="R304" i="9"/>
  <c r="R306" i="9"/>
  <c r="R332" i="9" s="1"/>
  <c r="R371" i="9"/>
  <c r="R349" i="9"/>
  <c r="R346" i="9"/>
  <c r="W321" i="8"/>
  <c r="W267" i="8"/>
  <c r="W322" i="8"/>
  <c r="W149" i="11"/>
  <c r="W71" i="11"/>
  <c r="W150" i="11"/>
  <c r="P138" i="14"/>
  <c r="Q138" i="14" s="1"/>
  <c r="P131" i="14"/>
  <c r="Q128" i="14"/>
  <c r="P708" i="22"/>
  <c r="P711" i="22"/>
  <c r="P699" i="22"/>
  <c r="T12" i="16" s="1"/>
  <c r="V169" i="7"/>
  <c r="V38" i="8"/>
  <c r="V166" i="8"/>
  <c r="V596" i="8"/>
  <c r="V599" i="8"/>
  <c r="U155" i="7"/>
  <c r="Y169" i="7"/>
  <c r="Y166" i="8"/>
  <c r="Y38" i="8"/>
  <c r="Y599" i="8"/>
  <c r="Y596" i="8"/>
  <c r="T188" i="12"/>
  <c r="O133" i="26"/>
  <c r="U364" i="11"/>
  <c r="U38" i="12"/>
  <c r="U70" i="12"/>
  <c r="P331" i="7"/>
  <c r="Q331" i="7" s="1"/>
  <c r="P69" i="13"/>
  <c r="Q329" i="7"/>
  <c r="L200" i="26"/>
  <c r="Q469" i="8"/>
  <c r="P479" i="8"/>
  <c r="Q479" i="8" s="1"/>
  <c r="P136" i="14"/>
  <c r="Q136" i="14" s="1"/>
  <c r="Q133" i="14"/>
  <c r="U181" i="7"/>
  <c r="U177" i="12"/>
  <c r="W233" i="10"/>
  <c r="V218" i="10"/>
  <c r="V109" i="12"/>
  <c r="V133" i="12"/>
  <c r="V111" i="12"/>
  <c r="V98" i="10"/>
  <c r="V23" i="10"/>
  <c r="V58" i="10"/>
  <c r="W311" i="7"/>
  <c r="V305" i="7"/>
  <c r="W603" i="8"/>
  <c r="V32" i="7"/>
  <c r="V148" i="7"/>
  <c r="N376" i="22"/>
  <c r="N382" i="22"/>
  <c r="P150" i="22"/>
  <c r="P176" i="22" s="1"/>
  <c r="P168" i="22"/>
  <c r="P144" i="22"/>
  <c r="N86" i="22"/>
  <c r="N54" i="22"/>
  <c r="Q363" i="9"/>
  <c r="Q372" i="9"/>
  <c r="Q375" i="9"/>
  <c r="W345" i="8"/>
  <c r="W275" i="8"/>
  <c r="W344" i="8"/>
  <c r="W101" i="11"/>
  <c r="W55" i="11"/>
  <c r="W100" i="11"/>
  <c r="R1092" i="24"/>
  <c r="T431" i="11"/>
  <c r="T428" i="11"/>
  <c r="T436" i="11"/>
  <c r="U436" i="11" s="1"/>
  <c r="U423" i="11"/>
  <c r="Q415" i="22"/>
  <c r="Q391" i="22"/>
  <c r="V446" i="8"/>
  <c r="V282" i="11"/>
  <c r="D71" i="23"/>
  <c r="D3" i="26"/>
  <c r="Q398" i="22"/>
  <c r="V116" i="7"/>
  <c r="V123" i="8"/>
  <c r="V463" i="8"/>
  <c r="V243" i="11"/>
  <c r="D159" i="23"/>
  <c r="V245" i="10"/>
  <c r="V248" i="10"/>
  <c r="U207" i="10"/>
  <c r="U204" i="10"/>
  <c r="Y245" i="10"/>
  <c r="Y248" i="10"/>
  <c r="T208" i="10"/>
  <c r="T217" i="10"/>
  <c r="T220" i="10"/>
  <c r="S360" i="9"/>
  <c r="S457" i="24"/>
  <c r="S311" i="9"/>
  <c r="M139" i="26"/>
  <c r="V155" i="11"/>
  <c r="V193" i="11"/>
  <c r="V157" i="11"/>
  <c r="V239" i="7"/>
  <c r="R220" i="12"/>
  <c r="R222" i="12"/>
  <c r="U11" i="12"/>
  <c r="T488" i="11"/>
  <c r="P1184" i="24" s="1"/>
  <c r="U480" i="11"/>
  <c r="U488" i="11"/>
  <c r="T494" i="11"/>
  <c r="T508" i="11"/>
  <c r="T11" i="12"/>
  <c r="R238" i="22"/>
  <c r="T104" i="13"/>
  <c r="T105" i="13"/>
  <c r="T106" i="13"/>
  <c r="Q184" i="22"/>
  <c r="Q197" i="22"/>
  <c r="R320" i="22"/>
  <c r="P899" i="22"/>
  <c r="R307" i="22"/>
  <c r="R225" i="22"/>
  <c r="P1195" i="24"/>
  <c r="O69" i="26"/>
  <c r="P1143" i="24"/>
  <c r="U481" i="11"/>
  <c r="T481" i="11"/>
  <c r="Q464" i="24"/>
  <c r="Q467" i="24"/>
  <c r="Q472" i="24"/>
  <c r="Q29" i="21" s="1"/>
  <c r="Q31" i="21" s="1"/>
  <c r="U152" i="8"/>
  <c r="T156" i="8"/>
  <c r="R80" i="12"/>
  <c r="R77" i="12"/>
  <c r="R164" i="12"/>
  <c r="R167" i="12"/>
  <c r="O8" i="13"/>
  <c r="O24" i="13"/>
  <c r="O34" i="13"/>
  <c r="K111" i="26"/>
  <c r="Q485" i="22"/>
  <c r="Q607" i="22"/>
  <c r="Q453" i="22"/>
  <c r="D23" i="26"/>
  <c r="V49" i="8"/>
  <c r="V186" i="8"/>
  <c r="P177" i="26"/>
  <c r="W262" i="8"/>
  <c r="W304" i="8"/>
  <c r="W305" i="8"/>
  <c r="W97" i="11"/>
  <c r="W96" i="11"/>
  <c r="W54" i="11"/>
  <c r="R1109" i="24"/>
  <c r="R1085" i="24"/>
  <c r="R195" i="12"/>
  <c r="R198" i="12"/>
  <c r="P275" i="7"/>
  <c r="P266" i="11"/>
  <c r="L151" i="26"/>
  <c r="Q260" i="11"/>
  <c r="P291" i="11"/>
  <c r="Q291" i="11" s="1"/>
  <c r="O1148" i="24"/>
  <c r="O1160" i="24"/>
  <c r="O1150" i="24"/>
  <c r="Q312" i="22"/>
  <c r="Q336" i="22"/>
  <c r="Q314" i="22"/>
  <c r="Q340" i="22" s="1"/>
  <c r="S125" i="13"/>
  <c r="S118" i="13"/>
  <c r="S131" i="13"/>
  <c r="S126" i="13"/>
  <c r="S132" i="13"/>
  <c r="S499" i="11"/>
  <c r="S28" i="12"/>
  <c r="S501" i="11"/>
  <c r="Q477" i="22"/>
  <c r="Q599" i="22"/>
  <c r="T226" i="8"/>
  <c r="T239" i="8"/>
  <c r="U239" i="8" s="1"/>
  <c r="T30" i="11"/>
  <c r="T31" i="11"/>
  <c r="U31" i="11" s="1"/>
  <c r="T382" i="11"/>
  <c r="T395" i="11"/>
  <c r="T162" i="12"/>
  <c r="U162" i="12" s="1"/>
  <c r="T345" i="7"/>
  <c r="U345" i="7" s="1"/>
  <c r="U467" i="11"/>
  <c r="T57" i="12"/>
  <c r="U57" i="12" s="1"/>
  <c r="U526" i="11"/>
  <c r="W315" i="7"/>
  <c r="W607" i="8"/>
  <c r="V427" i="11"/>
  <c r="V439" i="11"/>
  <c r="R36" i="11"/>
  <c r="R33" i="11"/>
  <c r="R41" i="11"/>
  <c r="V143" i="12"/>
  <c r="P218" i="26"/>
  <c r="V335" i="8"/>
  <c r="V389" i="8"/>
  <c r="V313" i="8"/>
  <c r="V260" i="10"/>
  <c r="Y260" i="10"/>
  <c r="U219" i="10"/>
  <c r="O71" i="9"/>
  <c r="O1470" i="24"/>
  <c r="O1478" i="24" s="1"/>
  <c r="S399" i="11"/>
  <c r="S215" i="12"/>
  <c r="N127" i="26"/>
  <c r="S392" i="11"/>
  <c r="S243" i="8"/>
  <c r="S236" i="8"/>
  <c r="Q489" i="22"/>
  <c r="Q651" i="22" s="1"/>
  <c r="Q611" i="22"/>
  <c r="P178" i="26"/>
  <c r="T52" i="12"/>
  <c r="U521" i="11"/>
  <c r="X590" i="8"/>
  <c r="X230" i="10"/>
  <c r="W413" i="11"/>
  <c r="W108" i="12"/>
  <c r="R734" i="24"/>
  <c r="T156" i="10"/>
  <c r="T159" i="10"/>
  <c r="N1243" i="24"/>
  <c r="R55" i="14"/>
  <c r="R134" i="14"/>
  <c r="R135" i="14"/>
  <c r="O131" i="22"/>
  <c r="O107" i="22"/>
  <c r="O133" i="22" s="1"/>
  <c r="M216" i="26"/>
  <c r="R387" i="11"/>
  <c r="R384" i="11"/>
  <c r="P547" i="22"/>
  <c r="P587" i="22" s="1"/>
  <c r="P561" i="22"/>
  <c r="Q61" i="14"/>
  <c r="Q58" i="14"/>
  <c r="U74" i="7"/>
  <c r="T410" i="8"/>
  <c r="U410" i="8" s="1"/>
  <c r="U370" i="8"/>
  <c r="V70" i="7"/>
  <c r="V81" i="8"/>
  <c r="R258" i="9"/>
  <c r="R923" i="22"/>
  <c r="R450" i="24"/>
  <c r="R474" i="24"/>
  <c r="R452" i="24"/>
  <c r="R478" i="24" s="1"/>
  <c r="R459" i="8"/>
  <c r="R456" i="8"/>
  <c r="R222" i="11"/>
  <c r="R232" i="11"/>
  <c r="P652" i="22"/>
  <c r="T97" i="8"/>
  <c r="U97" i="8" s="1"/>
  <c r="T75" i="8"/>
  <c r="U65" i="8"/>
  <c r="O422" i="22"/>
  <c r="O413" i="22"/>
  <c r="O1384" i="24" s="1"/>
  <c r="O425" i="22"/>
  <c r="P125" i="7"/>
  <c r="P273" i="11"/>
  <c r="L149" i="26"/>
  <c r="Q253" i="11"/>
  <c r="P284" i="11"/>
  <c r="Q284" i="11" s="1"/>
  <c r="O500" i="22"/>
  <c r="O662" i="22" s="1"/>
  <c r="O622" i="22"/>
  <c r="O649" i="22"/>
  <c r="Q156" i="13"/>
  <c r="T286" i="7"/>
  <c r="T511" i="8"/>
  <c r="T298" i="11"/>
  <c r="C131" i="23"/>
  <c r="U286" i="7"/>
  <c r="U188" i="7"/>
  <c r="U511" i="8"/>
  <c r="U298" i="11"/>
  <c r="Q707" i="22"/>
  <c r="Q685" i="22"/>
  <c r="Q682" i="22"/>
  <c r="T133" i="7"/>
  <c r="T119" i="8"/>
  <c r="T20" i="8"/>
  <c r="T452" i="8"/>
  <c r="T302" i="11"/>
  <c r="C155" i="23"/>
  <c r="U56" i="7"/>
  <c r="U133" i="7"/>
  <c r="U20" i="8"/>
  <c r="U119" i="8"/>
  <c r="U452" i="8"/>
  <c r="U302" i="11"/>
  <c r="T411" i="8"/>
  <c r="U411" i="8" s="1"/>
  <c r="U371" i="8"/>
  <c r="R202" i="13"/>
  <c r="R199" i="13"/>
  <c r="V154" i="7"/>
  <c r="W160" i="7"/>
  <c r="V298" i="7"/>
  <c r="W160" i="8"/>
  <c r="W578" i="8"/>
  <c r="V414" i="11"/>
  <c r="V438" i="11"/>
  <c r="V416" i="11"/>
  <c r="N362" i="22"/>
  <c r="N368" i="22"/>
  <c r="N348" i="22"/>
  <c r="N354" i="22"/>
  <c r="N50" i="22"/>
  <c r="N82" i="22"/>
  <c r="N60" i="22"/>
  <c r="N94" i="22" s="1"/>
  <c r="R10" i="14"/>
  <c r="R97" i="14"/>
  <c r="M84" i="26"/>
  <c r="R33" i="14"/>
  <c r="R30" i="14"/>
  <c r="S348" i="9"/>
  <c r="S445" i="24"/>
  <c r="S299" i="9"/>
  <c r="R222" i="9"/>
  <c r="R771" i="24"/>
  <c r="V166" i="7"/>
  <c r="Y166" i="7"/>
  <c r="U152" i="7"/>
  <c r="T156" i="7"/>
  <c r="T153" i="7"/>
  <c r="R14" i="7"/>
  <c r="R72" i="7"/>
  <c r="R76" i="7"/>
  <c r="R425" i="8"/>
  <c r="R219" i="11"/>
  <c r="R229" i="11"/>
  <c r="R428" i="8"/>
  <c r="R33" i="22"/>
  <c r="R9" i="22"/>
  <c r="W149" i="10"/>
  <c r="V206" i="8"/>
  <c r="V188" i="8"/>
  <c r="P174" i="26"/>
  <c r="R684" i="22"/>
  <c r="Q441" i="22"/>
  <c r="Q473" i="22"/>
  <c r="Q635" i="22" s="1"/>
  <c r="Q595" i="22"/>
  <c r="Q639" i="22" l="1"/>
  <c r="Q647" i="22"/>
  <c r="P299" i="22"/>
  <c r="Q258" i="22"/>
  <c r="P217" i="22"/>
  <c r="S527" i="11"/>
  <c r="S56" i="12"/>
  <c r="S529" i="11"/>
  <c r="R76" i="14"/>
  <c r="Q481" i="22"/>
  <c r="Q603" i="22"/>
  <c r="R112" i="8"/>
  <c r="R431" i="8"/>
  <c r="R487" i="8"/>
  <c r="M189" i="26"/>
  <c r="R79" i="13"/>
  <c r="N356" i="22"/>
  <c r="N353" i="22"/>
  <c r="W168" i="7"/>
  <c r="W37" i="8"/>
  <c r="W162" i="8"/>
  <c r="W583" i="8"/>
  <c r="W586" i="8"/>
  <c r="V415" i="8"/>
  <c r="R46" i="11"/>
  <c r="R37" i="11"/>
  <c r="R49" i="11"/>
  <c r="T198" i="7"/>
  <c r="U198" i="7" s="1"/>
  <c r="T32" i="11"/>
  <c r="U32" i="11" s="1"/>
  <c r="U30" i="11"/>
  <c r="S30" i="12"/>
  <c r="S32" i="12"/>
  <c r="S141" i="13"/>
  <c r="W385" i="8"/>
  <c r="W331" i="8"/>
  <c r="O40" i="13"/>
  <c r="O33" i="13"/>
  <c r="P1203" i="24"/>
  <c r="P1372" i="24"/>
  <c r="T522" i="11" s="1"/>
  <c r="P1196" i="24"/>
  <c r="T137" i="13"/>
  <c r="U137" i="13" s="1"/>
  <c r="U105" i="13"/>
  <c r="T110" i="13"/>
  <c r="T365" i="11"/>
  <c r="T39" i="12"/>
  <c r="T463" i="11"/>
  <c r="T320" i="11"/>
  <c r="T71" i="12" s="1"/>
  <c r="T516" i="11"/>
  <c r="O105" i="26"/>
  <c r="U508" i="11"/>
  <c r="U320" i="11"/>
  <c r="T509" i="11"/>
  <c r="S267" i="9"/>
  <c r="S914" i="22"/>
  <c r="S465" i="24"/>
  <c r="R490" i="8"/>
  <c r="M190" i="26"/>
  <c r="V167" i="7"/>
  <c r="V170" i="7"/>
  <c r="Y167" i="7"/>
  <c r="U153" i="7"/>
  <c r="Y170" i="7"/>
  <c r="U156" i="7"/>
  <c r="S307" i="9"/>
  <c r="W312" i="7"/>
  <c r="Q125" i="7"/>
  <c r="P135" i="7"/>
  <c r="Q135" i="7" s="1"/>
  <c r="M145" i="26"/>
  <c r="R476" i="24"/>
  <c r="R30" i="21" s="1"/>
  <c r="R454" i="24"/>
  <c r="R451" i="24"/>
  <c r="U159" i="10"/>
  <c r="U156" i="10"/>
  <c r="T219" i="12"/>
  <c r="U219" i="12" s="1"/>
  <c r="O130" i="26"/>
  <c r="U395" i="11"/>
  <c r="S503" i="11"/>
  <c r="S500" i="11"/>
  <c r="S196" i="13"/>
  <c r="O1162" i="24"/>
  <c r="O1164" i="24"/>
  <c r="W207" i="7"/>
  <c r="W56" i="11"/>
  <c r="W80" i="11"/>
  <c r="W330" i="8"/>
  <c r="W306" i="8"/>
  <c r="W384" i="8"/>
  <c r="O19" i="3"/>
  <c r="O47" i="13"/>
  <c r="O10" i="13"/>
  <c r="K117" i="26"/>
  <c r="R251" i="22"/>
  <c r="R233" i="22"/>
  <c r="R226" i="22"/>
  <c r="Q205" i="22"/>
  <c r="Q198" i="22"/>
  <c r="T107" i="13"/>
  <c r="T136" i="13"/>
  <c r="U136" i="13" s="1"/>
  <c r="U104" i="13"/>
  <c r="T109" i="13"/>
  <c r="T25" i="12"/>
  <c r="T502" i="11"/>
  <c r="U502" i="11" s="1"/>
  <c r="U494" i="11"/>
  <c r="T495" i="11"/>
  <c r="W63" i="11"/>
  <c r="W353" i="8"/>
  <c r="W37" i="7"/>
  <c r="W168" i="8"/>
  <c r="W604" i="8"/>
  <c r="V287" i="10"/>
  <c r="P22" i="5"/>
  <c r="Q22" i="5" s="1"/>
  <c r="P71" i="13"/>
  <c r="Q84" i="16"/>
  <c r="M66" i="26"/>
  <c r="Q69" i="13"/>
  <c r="U188" i="12"/>
  <c r="V180" i="7"/>
  <c r="V181" i="8"/>
  <c r="V429" i="8"/>
  <c r="V115" i="10"/>
  <c r="V139" i="10"/>
  <c r="V76" i="10"/>
  <c r="V230" i="11"/>
  <c r="Q517" i="22"/>
  <c r="Q436" i="22"/>
  <c r="Q393" i="22"/>
  <c r="D10" i="26"/>
  <c r="D99" i="23"/>
  <c r="P92" i="26"/>
  <c r="R11" i="22"/>
  <c r="R679" i="22"/>
  <c r="V117" i="10"/>
  <c r="V48" i="7"/>
  <c r="V42" i="10"/>
  <c r="P560" i="22"/>
  <c r="P563" i="22"/>
  <c r="V198" i="8"/>
  <c r="V470" i="8"/>
  <c r="V264" i="11"/>
  <c r="Q531" i="22"/>
  <c r="Q450" i="22"/>
  <c r="Q407" i="22"/>
  <c r="D115" i="23"/>
  <c r="D14" i="26"/>
  <c r="P100" i="26"/>
  <c r="R25" i="22"/>
  <c r="R693" i="22"/>
  <c r="V128" i="10"/>
  <c r="V80" i="10"/>
  <c r="V184" i="7"/>
  <c r="V140" i="10"/>
  <c r="W350" i="8"/>
  <c r="T483" i="11"/>
  <c r="P1074" i="24"/>
  <c r="P1076" i="24"/>
  <c r="T567" i="8"/>
  <c r="O207" i="26"/>
  <c r="T569" i="8"/>
  <c r="U569" i="8" s="1"/>
  <c r="U565" i="8"/>
  <c r="T86" i="7"/>
  <c r="T86" i="8"/>
  <c r="T208" i="11"/>
  <c r="U208" i="11" s="1"/>
  <c r="U168" i="11"/>
  <c r="T160" i="11"/>
  <c r="T172" i="11"/>
  <c r="T169" i="11"/>
  <c r="T186" i="11"/>
  <c r="T183" i="11"/>
  <c r="U143" i="11"/>
  <c r="U146" i="11"/>
  <c r="P640" i="22"/>
  <c r="V498" i="11"/>
  <c r="Q1147" i="24" s="1"/>
  <c r="Q1161" i="24" s="1"/>
  <c r="V197" i="13" s="1"/>
  <c r="V512" i="11"/>
  <c r="V15" i="12"/>
  <c r="V121" i="13"/>
  <c r="V122" i="13"/>
  <c r="V120" i="13"/>
  <c r="S229" i="22"/>
  <c r="S255" i="22" s="1"/>
  <c r="S311" i="22"/>
  <c r="R188" i="22"/>
  <c r="R214" i="22" s="1"/>
  <c r="S242" i="22"/>
  <c r="Q900" i="22"/>
  <c r="R201" i="22"/>
  <c r="S324" i="22"/>
  <c r="Q1199" i="24"/>
  <c r="P72" i="26"/>
  <c r="P208" i="26"/>
  <c r="Q16" i="17"/>
  <c r="Q10" i="17"/>
  <c r="R16" i="17"/>
  <c r="Q176" i="13"/>
  <c r="W129" i="12"/>
  <c r="W105" i="12"/>
  <c r="R750" i="24"/>
  <c r="U96" i="10"/>
  <c r="U99" i="10"/>
  <c r="O121" i="22"/>
  <c r="S65" i="16" s="1"/>
  <c r="O124" i="22"/>
  <c r="R59" i="14"/>
  <c r="R209" i="13"/>
  <c r="R53" i="14"/>
  <c r="W232" i="10"/>
  <c r="W235" i="10"/>
  <c r="U14" i="11"/>
  <c r="U378" i="8"/>
  <c r="T418" i="8"/>
  <c r="U418" i="8" s="1"/>
  <c r="T477" i="8"/>
  <c r="T285" i="11"/>
  <c r="C83" i="23"/>
  <c r="C6" i="26"/>
  <c r="U136" i="10"/>
  <c r="U477" i="8"/>
  <c r="U285" i="11"/>
  <c r="P411" i="22"/>
  <c r="P424" i="22" s="1"/>
  <c r="P404" i="22"/>
  <c r="P416" i="22"/>
  <c r="C26" i="26"/>
  <c r="T51" i="10"/>
  <c r="T81" i="10"/>
  <c r="U47" i="10"/>
  <c r="T126" i="7"/>
  <c r="T126" i="8"/>
  <c r="T473" i="8"/>
  <c r="T274" i="11"/>
  <c r="C163" i="23"/>
  <c r="T185" i="7"/>
  <c r="T57" i="7"/>
  <c r="U53" i="7"/>
  <c r="U126" i="7"/>
  <c r="U126" i="8"/>
  <c r="U473" i="8"/>
  <c r="U274" i="11"/>
  <c r="U33" i="10"/>
  <c r="T288" i="10"/>
  <c r="T285" i="10"/>
  <c r="U285" i="10"/>
  <c r="X33" i="10"/>
  <c r="U25" i="10"/>
  <c r="U288" i="10"/>
  <c r="S210" i="12"/>
  <c r="S203" i="12"/>
  <c r="T298" i="10"/>
  <c r="U298" i="10"/>
  <c r="P765" i="24"/>
  <c r="P762" i="24"/>
  <c r="P753" i="24"/>
  <c r="S531" i="11"/>
  <c r="S528" i="11"/>
  <c r="S27" i="14"/>
  <c r="O1219" i="24"/>
  <c r="S24" i="14"/>
  <c r="O1222" i="24"/>
  <c r="V86" i="11"/>
  <c r="V61" i="11"/>
  <c r="V64" i="11"/>
  <c r="U285" i="8"/>
  <c r="U282" i="8"/>
  <c r="T295" i="8"/>
  <c r="T286" i="8"/>
  <c r="T298" i="8"/>
  <c r="Q270" i="11"/>
  <c r="P301" i="11"/>
  <c r="Q301" i="11" s="1"/>
  <c r="P506" i="22"/>
  <c r="P668" i="22" s="1"/>
  <c r="P628" i="22"/>
  <c r="Q634" i="22"/>
  <c r="W417" i="11"/>
  <c r="O108" i="22"/>
  <c r="O111" i="22"/>
  <c r="O129" i="22"/>
  <c r="R122" i="14"/>
  <c r="R116" i="14"/>
  <c r="P272" i="22"/>
  <c r="P275" i="22"/>
  <c r="P293" i="22"/>
  <c r="Q472" i="8"/>
  <c r="P482" i="8"/>
  <c r="Q482" i="8" s="1"/>
  <c r="U75" i="7"/>
  <c r="W126" i="10"/>
  <c r="T412" i="8"/>
  <c r="U412" i="8" s="1"/>
  <c r="U372" i="8"/>
  <c r="R153" i="13"/>
  <c r="N79" i="22"/>
  <c r="N76" i="22"/>
  <c r="R120" i="14"/>
  <c r="U557" i="8"/>
  <c r="U554" i="8"/>
  <c r="U545" i="8"/>
  <c r="V202" i="11"/>
  <c r="V507" i="11"/>
  <c r="V10" i="12"/>
  <c r="V493" i="11"/>
  <c r="V101" i="13"/>
  <c r="R183" i="22"/>
  <c r="V99" i="13"/>
  <c r="V100" i="13"/>
  <c r="R196" i="22"/>
  <c r="S224" i="22"/>
  <c r="S237" i="22"/>
  <c r="Q895" i="22"/>
  <c r="S319" i="22"/>
  <c r="S306" i="22"/>
  <c r="Q1194" i="24"/>
  <c r="P68" i="26"/>
  <c r="Q1142" i="24"/>
  <c r="U213" i="7"/>
  <c r="T217" i="7"/>
  <c r="T214" i="7"/>
  <c r="S168" i="13"/>
  <c r="O577" i="22"/>
  <c r="O589" i="22"/>
  <c r="O550" i="22"/>
  <c r="O586" i="22"/>
  <c r="W75" i="11"/>
  <c r="W268" i="8"/>
  <c r="Q274" i="9"/>
  <c r="Q277" i="9"/>
  <c r="Q282" i="9"/>
  <c r="V151" i="8"/>
  <c r="V543" i="8"/>
  <c r="V548" i="8"/>
  <c r="V536" i="8"/>
  <c r="N188" i="26"/>
  <c r="R265" i="7"/>
  <c r="R235" i="11"/>
  <c r="M144" i="26"/>
  <c r="V440" i="11"/>
  <c r="V415" i="11"/>
  <c r="V418" i="11"/>
  <c r="U75" i="8"/>
  <c r="S223" i="12"/>
  <c r="S216" i="12"/>
  <c r="P1151" i="24"/>
  <c r="P1157" i="24"/>
  <c r="P1144" i="24"/>
  <c r="R208" i="12"/>
  <c r="R211" i="12"/>
  <c r="T181" i="12"/>
  <c r="T183" i="12"/>
  <c r="U183" i="12" s="1"/>
  <c r="U179" i="12"/>
  <c r="Q256" i="22"/>
  <c r="Q234" i="22"/>
  <c r="Q231" i="22"/>
  <c r="P504" i="22"/>
  <c r="P666" i="22" s="1"/>
  <c r="P626" i="22"/>
  <c r="N1476" i="24"/>
  <c r="N1479" i="24"/>
  <c r="W410" i="11"/>
  <c r="W434" i="11"/>
  <c r="X310" i="7"/>
  <c r="X602" i="8"/>
  <c r="M132" i="26"/>
  <c r="W124" i="12"/>
  <c r="R378" i="7"/>
  <c r="R375" i="7"/>
  <c r="P162" i="22"/>
  <c r="P165" i="22"/>
  <c r="Q761" i="24"/>
  <c r="Q736" i="24"/>
  <c r="Q739" i="24"/>
  <c r="S165" i="13"/>
  <c r="O469" i="22"/>
  <c r="O505" i="22"/>
  <c r="O627" i="22"/>
  <c r="O496" i="22"/>
  <c r="O508" i="22"/>
  <c r="O618" i="22"/>
  <c r="O630" i="22"/>
  <c r="T214" i="12"/>
  <c r="O126" i="26"/>
  <c r="U390" i="11"/>
  <c r="U234" i="8"/>
  <c r="V317" i="7"/>
  <c r="V320" i="7"/>
  <c r="U303" i="7"/>
  <c r="U306" i="7"/>
  <c r="Y317" i="7"/>
  <c r="Y320" i="7"/>
  <c r="T54" i="7"/>
  <c r="T273" i="7"/>
  <c r="T10" i="7"/>
  <c r="T498" i="8"/>
  <c r="T257" i="11"/>
  <c r="C91" i="23"/>
  <c r="O98" i="26"/>
  <c r="T187" i="7"/>
  <c r="U273" i="7"/>
  <c r="U498" i="8"/>
  <c r="U257" i="11"/>
  <c r="U183" i="7"/>
  <c r="Q29" i="22"/>
  <c r="Q42" i="22" s="1"/>
  <c r="Q22" i="22"/>
  <c r="Q34" i="22"/>
  <c r="N213" i="26"/>
  <c r="R62" i="12"/>
  <c r="R59" i="12"/>
  <c r="S360" i="7"/>
  <c r="S373" i="7"/>
  <c r="P106" i="22"/>
  <c r="Q160" i="22"/>
  <c r="S42" i="14"/>
  <c r="O1242" i="24" s="1"/>
  <c r="S56" i="14" s="1"/>
  <c r="S86" i="14"/>
  <c r="O66" i="22"/>
  <c r="O74" i="22"/>
  <c r="O70" i="22"/>
  <c r="P119" i="22"/>
  <c r="Q147" i="22"/>
  <c r="Q270" i="22"/>
  <c r="O379" i="22"/>
  <c r="Q283" i="22"/>
  <c r="O365" i="22"/>
  <c r="O351" i="22"/>
  <c r="N86" i="26"/>
  <c r="S57" i="13"/>
  <c r="V297" i="8"/>
  <c r="U74" i="11"/>
  <c r="U77" i="11"/>
  <c r="T90" i="11"/>
  <c r="T87" i="11"/>
  <c r="T78" i="11"/>
  <c r="R71" i="8"/>
  <c r="R100" i="8"/>
  <c r="R73" i="8"/>
  <c r="S44" i="12"/>
  <c r="S46" i="12"/>
  <c r="S225" i="8"/>
  <c r="S238" i="8"/>
  <c r="S27" i="11"/>
  <c r="S26" i="11"/>
  <c r="S394" i="11"/>
  <c r="S161" i="12"/>
  <c r="S381" i="11"/>
  <c r="S344" i="7"/>
  <c r="O62" i="9"/>
  <c r="O66" i="9"/>
  <c r="Q326" i="22"/>
  <c r="Q329" i="22"/>
  <c r="P22" i="7"/>
  <c r="P128" i="7"/>
  <c r="L150" i="26"/>
  <c r="Q272" i="7"/>
  <c r="P282" i="7"/>
  <c r="Q282" i="7" s="1"/>
  <c r="Q562" i="22"/>
  <c r="Q498" i="22"/>
  <c r="Q660" i="22" s="1"/>
  <c r="Q620" i="22"/>
  <c r="V39" i="7"/>
  <c r="V39" i="8"/>
  <c r="V167" i="8"/>
  <c r="V170" i="8"/>
  <c r="V609" i="8"/>
  <c r="V612" i="8"/>
  <c r="V600" i="8"/>
  <c r="Y170" i="8"/>
  <c r="Y167" i="8"/>
  <c r="Y39" i="8"/>
  <c r="Y609" i="8"/>
  <c r="U34" i="7"/>
  <c r="Y600" i="8"/>
  <c r="Y612" i="8"/>
  <c r="Y39" i="7"/>
  <c r="X234" i="10"/>
  <c r="R365" i="7"/>
  <c r="R362" i="7"/>
  <c r="R383" i="7"/>
  <c r="R91" i="14"/>
  <c r="R88" i="14"/>
  <c r="P285" i="22"/>
  <c r="P288" i="22"/>
  <c r="L201" i="26"/>
  <c r="Q125" i="8"/>
  <c r="P128" i="8"/>
  <c r="Q128" i="8" s="1"/>
  <c r="P22" i="8"/>
  <c r="U171" i="11"/>
  <c r="T211" i="11"/>
  <c r="U211" i="11" s="1"/>
  <c r="S259" i="9"/>
  <c r="S924" i="22"/>
  <c r="V414" i="8"/>
  <c r="V116" i="11"/>
  <c r="V197" i="11"/>
  <c r="V130" i="11"/>
  <c r="V252" i="7"/>
  <c r="V230" i="7"/>
  <c r="U243" i="7"/>
  <c r="T256" i="7"/>
  <c r="U256" i="7" s="1"/>
  <c r="R87" i="8"/>
  <c r="R89" i="8"/>
  <c r="W163" i="11"/>
  <c r="Q235" i="9"/>
  <c r="Q248" i="9" s="1"/>
  <c r="Q784" i="24"/>
  <c r="Q228" i="9"/>
  <c r="Q240" i="9"/>
  <c r="W122" i="10"/>
  <c r="R791" i="24"/>
  <c r="W110" i="10"/>
  <c r="R779" i="24"/>
  <c r="S255" i="9"/>
  <c r="S911" i="22"/>
  <c r="S453" i="24"/>
  <c r="N62" i="22"/>
  <c r="N84" i="22"/>
  <c r="R148" i="13"/>
  <c r="N59" i="22"/>
  <c r="N367" i="22"/>
  <c r="N370" i="22"/>
  <c r="R115" i="7"/>
  <c r="R242" i="11"/>
  <c r="M142" i="26"/>
  <c r="R925" i="22"/>
  <c r="R931" i="22"/>
  <c r="R944" i="22" s="1"/>
  <c r="R936" i="22"/>
  <c r="V339" i="8"/>
  <c r="V393" i="8"/>
  <c r="T206" i="12"/>
  <c r="U206" i="12" s="1"/>
  <c r="O215" i="26"/>
  <c r="U382" i="11"/>
  <c r="T252" i="8"/>
  <c r="U252" i="8" s="1"/>
  <c r="U226" i="8"/>
  <c r="O1149" i="24"/>
  <c r="O1152" i="24"/>
  <c r="Q266" i="11"/>
  <c r="P297" i="11"/>
  <c r="Q297" i="11" s="1"/>
  <c r="W222" i="7"/>
  <c r="W176" i="11"/>
  <c r="W98" i="11"/>
  <c r="W104" i="11"/>
  <c r="W270" i="8"/>
  <c r="W288" i="8"/>
  <c r="Q468" i="24"/>
  <c r="Q480" i="24"/>
  <c r="Q477" i="24"/>
  <c r="R315" i="22"/>
  <c r="R333" i="22"/>
  <c r="R308" i="22"/>
  <c r="Q192" i="22"/>
  <c r="Q218" i="22" s="1"/>
  <c r="Q210" i="22"/>
  <c r="Q185" i="22"/>
  <c r="R246" i="22"/>
  <c r="R239" i="22"/>
  <c r="V156" i="11"/>
  <c r="V249" i="10"/>
  <c r="V258" i="10"/>
  <c r="V261" i="10"/>
  <c r="U217" i="10"/>
  <c r="U220" i="10"/>
  <c r="U208" i="10"/>
  <c r="Y261" i="10"/>
  <c r="Y258" i="10"/>
  <c r="Y249" i="10"/>
  <c r="W127" i="11"/>
  <c r="R112" i="7"/>
  <c r="R262" i="7"/>
  <c r="R239" i="11"/>
  <c r="R225" i="11"/>
  <c r="M141" i="26"/>
  <c r="R105" i="14"/>
  <c r="R102" i="14"/>
  <c r="N1303" i="24"/>
  <c r="N1302" i="24"/>
  <c r="N1304" i="24"/>
  <c r="N1301" i="24"/>
  <c r="N1305" i="24"/>
  <c r="M88" i="26"/>
  <c r="V442" i="11"/>
  <c r="R122" i="8"/>
  <c r="R462" i="8"/>
  <c r="M196" i="26"/>
  <c r="R284" i="9"/>
  <c r="R260" i="9"/>
  <c r="R217" i="9"/>
  <c r="R1087" i="24"/>
  <c r="W188" i="10"/>
  <c r="W525" i="8"/>
  <c r="R262" i="9"/>
  <c r="R288" i="9" s="1"/>
  <c r="S343" i="9"/>
  <c r="M217" i="26"/>
  <c r="R213" i="13"/>
  <c r="R57" i="14"/>
  <c r="U52" i="12"/>
  <c r="N128" i="26"/>
  <c r="S124" i="13"/>
  <c r="S128" i="13"/>
  <c r="S134" i="13"/>
  <c r="Q338" i="22"/>
  <c r="Q313" i="22"/>
  <c r="Q316" i="22"/>
  <c r="L153" i="26"/>
  <c r="Q275" i="7"/>
  <c r="P285" i="7"/>
  <c r="Q285" i="7" s="1"/>
  <c r="W351" i="11"/>
  <c r="W223" i="7"/>
  <c r="W105" i="11"/>
  <c r="W177" i="11"/>
  <c r="P179" i="26"/>
  <c r="P901" i="22"/>
  <c r="P8" i="21" s="1"/>
  <c r="P903" i="22"/>
  <c r="T138" i="13"/>
  <c r="U138" i="13" s="1"/>
  <c r="U106" i="13"/>
  <c r="T111" i="13"/>
  <c r="U19" i="12"/>
  <c r="T19" i="12"/>
  <c r="T12" i="12"/>
  <c r="U12" i="12"/>
  <c r="R224" i="12"/>
  <c r="R221" i="12"/>
  <c r="S319" i="9"/>
  <c r="W346" i="8"/>
  <c r="W352" i="8"/>
  <c r="P149" i="22"/>
  <c r="P152" i="22"/>
  <c r="P170" i="22"/>
  <c r="N381" i="22"/>
  <c r="N384" i="22"/>
  <c r="W319" i="7"/>
  <c r="W611" i="8"/>
  <c r="Q18" i="21"/>
  <c r="V280" i="10"/>
  <c r="V31" i="10"/>
  <c r="V135" i="12"/>
  <c r="V110" i="12"/>
  <c r="V113" i="12"/>
  <c r="T9" i="4"/>
  <c r="O158" i="26" s="1"/>
  <c r="S19" i="5"/>
  <c r="S10" i="15"/>
  <c r="P137" i="14"/>
  <c r="P141" i="14"/>
  <c r="Q131" i="14"/>
  <c r="W323" i="8"/>
  <c r="Q802" i="24"/>
  <c r="Q777" i="24"/>
  <c r="Q780" i="24"/>
  <c r="P806" i="24"/>
  <c r="P803" i="24"/>
  <c r="P794" i="24"/>
  <c r="S60" i="16"/>
  <c r="S68" i="7"/>
  <c r="S79" i="8"/>
  <c r="S336" i="7"/>
  <c r="V198" i="11"/>
  <c r="V131" i="11"/>
  <c r="T147" i="12"/>
  <c r="T454" i="11"/>
  <c r="O221" i="26"/>
  <c r="T456" i="11"/>
  <c r="U456" i="11" s="1"/>
  <c r="U452" i="11"/>
  <c r="S25" i="6"/>
  <c r="O21" i="21"/>
  <c r="O1287" i="24"/>
  <c r="N74" i="26"/>
  <c r="O1286" i="24"/>
  <c r="O1182" i="24"/>
  <c r="O1185" i="24"/>
  <c r="O1284" i="24"/>
  <c r="O1288" i="24"/>
  <c r="O1285" i="24"/>
  <c r="P215" i="22"/>
  <c r="P193" i="22"/>
  <c r="P190" i="22"/>
  <c r="P507" i="8"/>
  <c r="Q507" i="8" s="1"/>
  <c r="Q445" i="8"/>
  <c r="P503" i="8"/>
  <c r="Q503" i="8" s="1"/>
  <c r="Q441" i="8"/>
  <c r="P451" i="8"/>
  <c r="Q942" i="22"/>
  <c r="Q917" i="22"/>
  <c r="Q920" i="22"/>
  <c r="P479" i="22"/>
  <c r="P601" i="22"/>
  <c r="P482" i="22"/>
  <c r="P604" i="22"/>
  <c r="N38" i="9"/>
  <c r="V453" i="11"/>
  <c r="O1201" i="24"/>
  <c r="O1204" i="24"/>
  <c r="X584" i="8"/>
  <c r="X251" i="10"/>
  <c r="S69" i="16"/>
  <c r="Q61" i="16"/>
  <c r="R59" i="16"/>
  <c r="R61" i="16"/>
  <c r="U153" i="8"/>
  <c r="U156" i="8"/>
  <c r="W429" i="11"/>
  <c r="X164" i="7"/>
  <c r="X161" i="8"/>
  <c r="X582" i="8"/>
  <c r="P183" i="26"/>
  <c r="N1247" i="24"/>
  <c r="N1244" i="24"/>
  <c r="U379" i="8"/>
  <c r="T419" i="8"/>
  <c r="U419" i="8" s="1"/>
  <c r="R932" i="22"/>
  <c r="R929" i="22"/>
  <c r="T201" i="12"/>
  <c r="O211" i="26"/>
  <c r="U377" i="11"/>
  <c r="T247" i="8"/>
  <c r="U247" i="8" s="1"/>
  <c r="U221" i="8"/>
  <c r="U244" i="7"/>
  <c r="T257" i="7"/>
  <c r="U257" i="7" s="1"/>
  <c r="T129" i="10"/>
  <c r="V153" i="10"/>
  <c r="T132" i="10"/>
  <c r="T137" i="10"/>
  <c r="U124" i="10"/>
  <c r="Q697" i="22"/>
  <c r="Q710" i="22" s="1"/>
  <c r="Q702" i="22"/>
  <c r="Q690" i="22"/>
  <c r="P454" i="22"/>
  <c r="P486" i="22"/>
  <c r="P608" i="22"/>
  <c r="P459" i="22"/>
  <c r="P447" i="22"/>
  <c r="R387" i="7"/>
  <c r="T300" i="10"/>
  <c r="U300" i="10"/>
  <c r="Q85" i="16"/>
  <c r="R85" i="16" s="1"/>
  <c r="M67" i="26"/>
  <c r="Q70" i="13"/>
  <c r="S61" i="12"/>
  <c r="S54" i="12"/>
  <c r="S23" i="14"/>
  <c r="O1215" i="24"/>
  <c r="O1221" i="24"/>
  <c r="V64" i="8"/>
  <c r="V269" i="8"/>
  <c r="V290" i="8"/>
  <c r="V272" i="8"/>
  <c r="V64" i="7"/>
  <c r="V88" i="11"/>
  <c r="V216" i="7"/>
  <c r="V209" i="7"/>
  <c r="T101" i="8"/>
  <c r="U101" i="8" s="1"/>
  <c r="T90" i="8"/>
  <c r="U85" i="8"/>
  <c r="R89" i="7"/>
  <c r="R82" i="7"/>
  <c r="R95" i="7"/>
  <c r="S468" i="11"/>
  <c r="S325" i="11"/>
  <c r="N109" i="26"/>
  <c r="S517" i="11"/>
  <c r="S514" i="11"/>
  <c r="P278" i="7"/>
  <c r="Q122" i="7"/>
  <c r="P132" i="7"/>
  <c r="Q132" i="7" s="1"/>
  <c r="R738" i="24"/>
  <c r="X161" i="7"/>
  <c r="X164" i="8"/>
  <c r="X591" i="8"/>
  <c r="R389" i="7"/>
  <c r="T334" i="7"/>
  <c r="U17" i="6"/>
  <c r="R254" i="8"/>
  <c r="R245" i="8"/>
  <c r="R257" i="8"/>
  <c r="Q157" i="13"/>
  <c r="Q161" i="13"/>
  <c r="T404" i="8"/>
  <c r="T377" i="8"/>
  <c r="T407" i="8"/>
  <c r="T368" i="8"/>
  <c r="T380" i="8"/>
  <c r="U367" i="8"/>
  <c r="U364" i="8"/>
  <c r="W114" i="10"/>
  <c r="S256" i="8"/>
  <c r="S45" i="11"/>
  <c r="S23" i="11"/>
  <c r="S20" i="11"/>
  <c r="V390" i="8"/>
  <c r="V336" i="8"/>
  <c r="V311" i="8"/>
  <c r="V314" i="8"/>
  <c r="V228" i="7"/>
  <c r="V119" i="11"/>
  <c r="V191" i="11"/>
  <c r="V124" i="11"/>
  <c r="S143" i="13"/>
  <c r="Q93" i="7"/>
  <c r="Q104" i="7"/>
  <c r="Q108" i="7"/>
  <c r="P510" i="8"/>
  <c r="Q510" i="8" s="1"/>
  <c r="Q448" i="8"/>
  <c r="W109" i="10"/>
  <c r="R772" i="24"/>
  <c r="R796" i="24"/>
  <c r="S324" i="9"/>
  <c r="S300" i="9"/>
  <c r="R87" i="7"/>
  <c r="R100" i="7"/>
  <c r="W319" i="8"/>
  <c r="W325" i="8"/>
  <c r="Q91" i="16"/>
  <c r="R89" i="16"/>
  <c r="V279" i="8"/>
  <c r="V358" i="8"/>
  <c r="V357" i="8"/>
  <c r="V68" i="11"/>
  <c r="V140" i="11"/>
  <c r="V141" i="11"/>
  <c r="Q1105" i="24"/>
  <c r="Q1118" i="24" s="1"/>
  <c r="Q1098" i="24"/>
  <c r="Q1110" i="24"/>
  <c r="U50" i="8"/>
  <c r="R390" i="7"/>
  <c r="Q273" i="11"/>
  <c r="P304" i="11"/>
  <c r="Q304" i="11" s="1"/>
  <c r="M197" i="26"/>
  <c r="S142" i="13"/>
  <c r="Q493" i="22"/>
  <c r="Q655" i="22" s="1"/>
  <c r="Q615" i="22"/>
  <c r="O70" i="26"/>
  <c r="P1177" i="24"/>
  <c r="R328" i="22"/>
  <c r="R321" i="22"/>
  <c r="V241" i="7"/>
  <c r="V159" i="11"/>
  <c r="V195" i="11"/>
  <c r="U428" i="11"/>
  <c r="U431" i="11"/>
  <c r="T441" i="11"/>
  <c r="T432" i="11"/>
  <c r="T444" i="11"/>
  <c r="W102" i="11"/>
  <c r="W126" i="11"/>
  <c r="W277" i="8"/>
  <c r="R149" i="13"/>
  <c r="N88" i="22"/>
  <c r="W162" i="7"/>
  <c r="V137" i="12"/>
  <c r="W259" i="10"/>
  <c r="W151" i="11"/>
  <c r="R330" i="9"/>
  <c r="R305" i="9"/>
  <c r="R308" i="9"/>
  <c r="W115" i="11"/>
  <c r="U63" i="10"/>
  <c r="U66" i="10"/>
  <c r="V203" i="11"/>
  <c r="V253" i="7"/>
  <c r="V231" i="7"/>
  <c r="V562" i="8"/>
  <c r="V360" i="11"/>
  <c r="V449" i="11"/>
  <c r="V176" i="12"/>
  <c r="Q1069" i="24"/>
  <c r="V353" i="11"/>
  <c r="P12" i="21"/>
  <c r="P14" i="21" s="1"/>
  <c r="U359" i="11"/>
  <c r="U357" i="11"/>
  <c r="T358" i="11"/>
  <c r="T361" i="11"/>
  <c r="T90" i="7"/>
  <c r="T101" i="7"/>
  <c r="U101" i="7" s="1"/>
  <c r="U85" i="7"/>
  <c r="P203" i="22"/>
  <c r="P206" i="22"/>
  <c r="P135" i="8"/>
  <c r="Q135" i="8" s="1"/>
  <c r="L194" i="26"/>
  <c r="Q115" i="8"/>
  <c r="P118" i="8"/>
  <c r="P19" i="8"/>
  <c r="T242" i="7"/>
  <c r="T245" i="7"/>
  <c r="T250" i="7"/>
  <c r="U250" i="7" s="1"/>
  <c r="U237" i="7"/>
  <c r="U170" i="11"/>
  <c r="T210" i="11"/>
  <c r="U210" i="11" s="1"/>
  <c r="U187" i="8"/>
  <c r="U190" i="8"/>
  <c r="V376" i="8"/>
  <c r="V403" i="8"/>
  <c r="O1377" i="24"/>
  <c r="O1379" i="24"/>
  <c r="M714" i="22"/>
  <c r="R731" i="24"/>
  <c r="R755" i="24"/>
  <c r="X227" i="10"/>
  <c r="P21" i="5"/>
  <c r="R66" i="16"/>
  <c r="K124" i="26"/>
  <c r="X246" i="10"/>
  <c r="R60" i="14"/>
  <c r="R210" i="13"/>
  <c r="Q555" i="22"/>
  <c r="R47" i="14"/>
  <c r="R44" i="14"/>
  <c r="R150" i="13"/>
  <c r="N92" i="22"/>
  <c r="W257" i="10"/>
  <c r="R231" i="9"/>
  <c r="W539" i="8"/>
  <c r="W202" i="10"/>
  <c r="R1101" i="24"/>
  <c r="S357" i="9"/>
  <c r="R273" i="9"/>
  <c r="R285" i="9"/>
  <c r="O654" i="22"/>
  <c r="O657" i="22"/>
  <c r="U192" i="13"/>
  <c r="U340" i="7"/>
  <c r="T193" i="7"/>
  <c r="T15" i="11"/>
  <c r="U13" i="11"/>
  <c r="T10" i="10"/>
  <c r="T48" i="10"/>
  <c r="C8" i="26"/>
  <c r="T83" i="10"/>
  <c r="U79" i="10"/>
  <c r="P567" i="22"/>
  <c r="P535" i="22"/>
  <c r="P540" i="22"/>
  <c r="P580" i="22" s="1"/>
  <c r="P528" i="22"/>
  <c r="T144" i="10"/>
  <c r="U144" i="10" s="1"/>
  <c r="U131" i="10"/>
  <c r="T199" i="8"/>
  <c r="T53" i="8"/>
  <c r="O184" i="26"/>
  <c r="T201" i="8"/>
  <c r="T210" i="8"/>
  <c r="U210" i="8" s="1"/>
  <c r="U197" i="8"/>
  <c r="Q108" i="8"/>
  <c r="Q93" i="8"/>
  <c r="Q104" i="8"/>
  <c r="S60" i="13"/>
  <c r="S53" i="13"/>
  <c r="S59" i="13"/>
  <c r="S470" i="11"/>
  <c r="S327" i="11"/>
  <c r="S370" i="11"/>
  <c r="S192" i="12"/>
  <c r="N136" i="26"/>
  <c r="S372" i="11"/>
  <c r="Q244" i="22"/>
  <c r="Q247" i="22"/>
  <c r="P276" i="11"/>
  <c r="Q256" i="11"/>
  <c r="P287" i="11"/>
  <c r="Q287" i="11" s="1"/>
  <c r="P642" i="22"/>
  <c r="Q474" i="22"/>
  <c r="Q636" i="22" s="1"/>
  <c r="Q596" i="22"/>
  <c r="W112" i="12"/>
  <c r="O135" i="22"/>
  <c r="R69" i="14"/>
  <c r="R13" i="14"/>
  <c r="R75" i="14"/>
  <c r="S271" i="9"/>
  <c r="S927" i="22"/>
  <c r="R73" i="14"/>
  <c r="R14" i="14"/>
  <c r="S249" i="8"/>
  <c r="S63" i="7"/>
  <c r="S63" i="8"/>
  <c r="S202" i="7"/>
  <c r="S195" i="7"/>
  <c r="Q331" i="9"/>
  <c r="Q334" i="9"/>
  <c r="Q322" i="9"/>
  <c r="V338" i="8"/>
  <c r="V392" i="8"/>
  <c r="U145" i="12"/>
  <c r="R200" i="7"/>
  <c r="R203" i="7"/>
  <c r="S20" i="12"/>
  <c r="S17" i="12"/>
  <c r="O7" i="21"/>
  <c r="O9" i="21" s="1"/>
  <c r="O902" i="22"/>
  <c r="O905" i="22"/>
  <c r="S254" i="9"/>
  <c r="S446" i="24"/>
  <c r="S470" i="24"/>
  <c r="S910" i="22"/>
  <c r="U126" i="12"/>
  <c r="U123" i="12"/>
  <c r="T136" i="12"/>
  <c r="T127" i="12"/>
  <c r="T139" i="12"/>
  <c r="Q219" i="13"/>
  <c r="P185" i="13"/>
  <c r="Q185" i="13" s="1"/>
  <c r="Q216" i="13"/>
  <c r="C23" i="15"/>
  <c r="C177" i="13"/>
  <c r="C26" i="3"/>
  <c r="W138" i="11"/>
  <c r="W162" i="11"/>
  <c r="W326" i="8"/>
  <c r="R123" i="14"/>
  <c r="R361" i="9"/>
  <c r="R374" i="9" s="1"/>
  <c r="R458" i="24"/>
  <c r="R312" i="9"/>
  <c r="R366" i="9"/>
  <c r="R354" i="9"/>
  <c r="V151" i="7"/>
  <c r="W593" i="8"/>
  <c r="W239" i="10"/>
  <c r="V61" i="10"/>
  <c r="V206" i="10"/>
  <c r="V422" i="11"/>
  <c r="V117" i="12"/>
  <c r="Q743" i="24"/>
  <c r="V300" i="7"/>
  <c r="V199" i="10"/>
  <c r="V93" i="10"/>
  <c r="V211" i="10"/>
  <c r="O180" i="26"/>
  <c r="U9" i="8"/>
  <c r="Q296" i="22" l="1"/>
  <c r="V95" i="10"/>
  <c r="V65" i="10"/>
  <c r="R268" i="9"/>
  <c r="R915" i="22"/>
  <c r="R466" i="24"/>
  <c r="R479" i="24" s="1"/>
  <c r="R471" i="24"/>
  <c r="R459" i="24"/>
  <c r="S280" i="9"/>
  <c r="S256" i="9"/>
  <c r="S213" i="9"/>
  <c r="X521" i="8"/>
  <c r="S1083" i="24"/>
  <c r="X184" i="10"/>
  <c r="T339" i="9"/>
  <c r="P575" i="22"/>
  <c r="P548" i="22"/>
  <c r="P588" i="22" s="1"/>
  <c r="V184" i="12"/>
  <c r="V177" i="12"/>
  <c r="V142" i="11"/>
  <c r="V166" i="11"/>
  <c r="V235" i="7"/>
  <c r="V180" i="11"/>
  <c r="V144" i="11"/>
  <c r="V62" i="10"/>
  <c r="V24" i="10"/>
  <c r="V97" i="10"/>
  <c r="V125" i="12"/>
  <c r="V118" i="12"/>
  <c r="V130" i="12"/>
  <c r="R359" i="9"/>
  <c r="R362" i="9"/>
  <c r="R367" i="9"/>
  <c r="C9" i="5"/>
  <c r="B156" i="26"/>
  <c r="D1435" i="24"/>
  <c r="U136" i="12"/>
  <c r="U127" i="12"/>
  <c r="U139" i="12"/>
  <c r="S194" i="12"/>
  <c r="S196" i="12"/>
  <c r="U48" i="10"/>
  <c r="T52" i="10"/>
  <c r="T49" i="10"/>
  <c r="W552" i="8"/>
  <c r="W540" i="8"/>
  <c r="V457" i="11"/>
  <c r="V144" i="12"/>
  <c r="P219" i="26"/>
  <c r="V450" i="11"/>
  <c r="U444" i="11"/>
  <c r="U441" i="11"/>
  <c r="U432" i="11"/>
  <c r="V355" i="11"/>
  <c r="Q1106" i="24"/>
  <c r="Q1103" i="24"/>
  <c r="Q1111" i="24"/>
  <c r="V76" i="11"/>
  <c r="V211" i="7"/>
  <c r="V69" i="11"/>
  <c r="V81" i="11"/>
  <c r="V394" i="8"/>
  <c r="V391" i="8"/>
  <c r="V328" i="8"/>
  <c r="V340" i="8"/>
  <c r="V337" i="8"/>
  <c r="U334" i="7"/>
  <c r="R105" i="7"/>
  <c r="R10" i="3"/>
  <c r="P648" i="22"/>
  <c r="U201" i="12"/>
  <c r="S71" i="16"/>
  <c r="V148" i="12"/>
  <c r="P222" i="26"/>
  <c r="S82" i="8"/>
  <c r="R215" i="13"/>
  <c r="W297" i="7"/>
  <c r="X577" i="8"/>
  <c r="W90" i="10"/>
  <c r="W190" i="10"/>
  <c r="W214" i="10"/>
  <c r="X229" i="10"/>
  <c r="W412" i="11"/>
  <c r="W107" i="12"/>
  <c r="R733" i="24"/>
  <c r="W56" i="10"/>
  <c r="W146" i="7"/>
  <c r="W192" i="10"/>
  <c r="R245" i="11"/>
  <c r="R341" i="22"/>
  <c r="R158" i="13"/>
  <c r="R151" i="13"/>
  <c r="R128" i="14"/>
  <c r="Q233" i="9"/>
  <c r="Q236" i="9"/>
  <c r="Q241" i="9"/>
  <c r="S218" i="9"/>
  <c r="S1088" i="24"/>
  <c r="X526" i="8"/>
  <c r="X189" i="10"/>
  <c r="T344" i="9"/>
  <c r="L202" i="26"/>
  <c r="Q22" i="8"/>
  <c r="O64" i="9"/>
  <c r="O70" i="9"/>
  <c r="O17" i="9"/>
  <c r="O1469" i="24"/>
  <c r="S396" i="11"/>
  <c r="S218" i="12"/>
  <c r="N129" i="26"/>
  <c r="S398" i="11"/>
  <c r="S227" i="8"/>
  <c r="S251" i="8"/>
  <c r="S229" i="8"/>
  <c r="S76" i="12"/>
  <c r="S163" i="12"/>
  <c r="S45" i="12"/>
  <c r="S48" i="12"/>
  <c r="S386" i="7"/>
  <c r="T9" i="6"/>
  <c r="T18" i="6"/>
  <c r="T23" i="7"/>
  <c r="T129" i="7"/>
  <c r="T279" i="7"/>
  <c r="T136" i="8"/>
  <c r="T504" i="8"/>
  <c r="T277" i="11"/>
  <c r="C139" i="23"/>
  <c r="O102" i="26"/>
  <c r="U277" i="11"/>
  <c r="U279" i="7"/>
  <c r="U129" i="7"/>
  <c r="U504" i="8"/>
  <c r="U10" i="7"/>
  <c r="U23" i="7"/>
  <c r="U9" i="6"/>
  <c r="U136" i="8"/>
  <c r="T11" i="7"/>
  <c r="T6" i="3"/>
  <c r="V544" i="8"/>
  <c r="V549" i="8"/>
  <c r="V152" i="8"/>
  <c r="V33" i="8"/>
  <c r="V155" i="8"/>
  <c r="S332" i="22"/>
  <c r="S250" i="22"/>
  <c r="R209" i="22"/>
  <c r="O134" i="22"/>
  <c r="O137" i="22"/>
  <c r="S64" i="16"/>
  <c r="O125" i="22"/>
  <c r="U185" i="7"/>
  <c r="T186" i="7"/>
  <c r="T189" i="7"/>
  <c r="C27" i="26"/>
  <c r="U51" i="10"/>
  <c r="R217" i="13"/>
  <c r="R211" i="13"/>
  <c r="R10" i="17"/>
  <c r="N715" i="22"/>
  <c r="S337" i="22"/>
  <c r="U186" i="11"/>
  <c r="U183" i="11"/>
  <c r="U160" i="11"/>
  <c r="U172" i="11"/>
  <c r="U169" i="11"/>
  <c r="T212" i="11"/>
  <c r="T173" i="11"/>
  <c r="T209" i="11"/>
  <c r="T200" i="11"/>
  <c r="T102" i="7"/>
  <c r="U102" i="7" s="1"/>
  <c r="T91" i="7"/>
  <c r="U86" i="7"/>
  <c r="U483" i="11"/>
  <c r="T497" i="11"/>
  <c r="T485" i="11"/>
  <c r="T511" i="11"/>
  <c r="T14" i="12"/>
  <c r="U485" i="11"/>
  <c r="U14" i="12"/>
  <c r="T115" i="13"/>
  <c r="T116" i="13"/>
  <c r="T117" i="13"/>
  <c r="R228" i="22"/>
  <c r="R241" i="22"/>
  <c r="Q187" i="22"/>
  <c r="R323" i="22"/>
  <c r="Q200" i="22"/>
  <c r="R310" i="22"/>
  <c r="P896" i="22"/>
  <c r="P1198" i="24"/>
  <c r="O71" i="26"/>
  <c r="P1146" i="24"/>
  <c r="U487" i="11"/>
  <c r="T487" i="11"/>
  <c r="P1183" i="24" s="1"/>
  <c r="W154" i="10"/>
  <c r="Q571" i="22"/>
  <c r="Q544" i="22"/>
  <c r="Q584" i="22" s="1"/>
  <c r="Q532" i="22"/>
  <c r="Q572" i="22" s="1"/>
  <c r="P185" i="26"/>
  <c r="V202" i="8"/>
  <c r="V211" i="8"/>
  <c r="V56" i="7"/>
  <c r="V181" i="7"/>
  <c r="V113" i="7"/>
  <c r="V113" i="8"/>
  <c r="V432" i="8"/>
  <c r="V240" i="11"/>
  <c r="D147" i="23"/>
  <c r="Q462" i="22"/>
  <c r="Q476" i="22"/>
  <c r="Q598" i="22"/>
  <c r="Q438" i="22"/>
  <c r="Q440" i="22"/>
  <c r="W150" i="10"/>
  <c r="V141" i="10"/>
  <c r="V119" i="10"/>
  <c r="V116" i="10"/>
  <c r="V189" i="8"/>
  <c r="V207" i="8"/>
  <c r="P175" i="26"/>
  <c r="V182" i="8"/>
  <c r="V48" i="8"/>
  <c r="W69" i="7"/>
  <c r="K125" i="26"/>
  <c r="O20" i="3"/>
  <c r="O1166" i="24"/>
  <c r="O1163" i="24"/>
  <c r="S275" i="9"/>
  <c r="S226" i="9"/>
  <c r="X197" i="10"/>
  <c r="X534" i="8"/>
  <c r="S1096" i="24"/>
  <c r="T352" i="9"/>
  <c r="T47" i="12"/>
  <c r="U71" i="12"/>
  <c r="U39" i="12"/>
  <c r="T40" i="12"/>
  <c r="T530" i="11"/>
  <c r="U530" i="11" s="1"/>
  <c r="T53" i="12"/>
  <c r="U522" i="11"/>
  <c r="T523" i="11"/>
  <c r="S34" i="12"/>
  <c r="S31" i="12"/>
  <c r="Q643" i="22"/>
  <c r="N138" i="26"/>
  <c r="S371" i="11"/>
  <c r="S374" i="11"/>
  <c r="S462" i="24"/>
  <c r="S316" i="9"/>
  <c r="S370" i="9"/>
  <c r="S358" i="9"/>
  <c r="Q21" i="16"/>
  <c r="R21" i="16" s="1"/>
  <c r="P24" i="5"/>
  <c r="Q24" i="5" s="1"/>
  <c r="Q21" i="5"/>
  <c r="P25" i="8"/>
  <c r="L195" i="26"/>
  <c r="Q19" i="8"/>
  <c r="U361" i="11"/>
  <c r="U358" i="11"/>
  <c r="W80" i="8"/>
  <c r="R91" i="16"/>
  <c r="P24" i="3"/>
  <c r="P487" i="22"/>
  <c r="P609" i="22"/>
  <c r="P452" i="22"/>
  <c r="P455" i="22"/>
  <c r="P460" i="22"/>
  <c r="P494" i="22"/>
  <c r="P656" i="22" s="1"/>
  <c r="P616" i="22"/>
  <c r="P467" i="22"/>
  <c r="V155" i="10"/>
  <c r="U129" i="10"/>
  <c r="U132" i="10"/>
  <c r="T142" i="10"/>
  <c r="T133" i="10"/>
  <c r="T145" i="10"/>
  <c r="Q80" i="16"/>
  <c r="P513" i="8"/>
  <c r="Q513" i="8" s="1"/>
  <c r="Q451" i="8"/>
  <c r="O223" i="26"/>
  <c r="U454" i="11"/>
  <c r="T458" i="11"/>
  <c r="T455" i="11"/>
  <c r="S71" i="7"/>
  <c r="Q137" i="14"/>
  <c r="Q141" i="14"/>
  <c r="W561" i="8"/>
  <c r="W448" i="11"/>
  <c r="W175" i="12"/>
  <c r="R1068" i="24"/>
  <c r="S345" i="9"/>
  <c r="S369" i="9"/>
  <c r="S448" i="24"/>
  <c r="S302" i="9"/>
  <c r="S347" i="9"/>
  <c r="S373" i="9" s="1"/>
  <c r="W263" i="8"/>
  <c r="W308" i="8"/>
  <c r="W309" i="8"/>
  <c r="W109" i="11"/>
  <c r="W58" i="11"/>
  <c r="W110" i="11"/>
  <c r="R1089" i="24"/>
  <c r="R1113" i="24"/>
  <c r="R1091" i="24"/>
  <c r="R1117" i="24" s="1"/>
  <c r="M198" i="26"/>
  <c r="W103" i="11"/>
  <c r="S937" i="22"/>
  <c r="W49" i="7"/>
  <c r="W193" i="8"/>
  <c r="W457" i="8"/>
  <c r="W118" i="10"/>
  <c r="W43" i="10"/>
  <c r="W223" i="11"/>
  <c r="R390" i="22"/>
  <c r="R514" i="22"/>
  <c r="R433" i="22"/>
  <c r="E75" i="23"/>
  <c r="E4" i="26"/>
  <c r="Q90" i="26"/>
  <c r="S8" i="22"/>
  <c r="S676" i="22"/>
  <c r="W52" i="7"/>
  <c r="W184" i="8"/>
  <c r="W436" i="8"/>
  <c r="W130" i="10"/>
  <c r="W46" i="10"/>
  <c r="W251" i="11"/>
  <c r="R526" i="22"/>
  <c r="R445" i="22"/>
  <c r="R402" i="22"/>
  <c r="E2" i="26"/>
  <c r="E67" i="23"/>
  <c r="Q96" i="26"/>
  <c r="S20" i="22"/>
  <c r="S688" i="22"/>
  <c r="V123" i="10"/>
  <c r="Q792" i="24"/>
  <c r="Q805" i="24" s="1"/>
  <c r="Q797" i="24"/>
  <c r="Q785" i="24"/>
  <c r="R92" i="8"/>
  <c r="R15" i="8"/>
  <c r="R88" i="8"/>
  <c r="V199" i="11"/>
  <c r="V196" i="11"/>
  <c r="V120" i="11"/>
  <c r="V132" i="11"/>
  <c r="V129" i="11"/>
  <c r="S346" i="7"/>
  <c r="S348" i="7"/>
  <c r="S197" i="7"/>
  <c r="S28" i="11"/>
  <c r="S34" i="11"/>
  <c r="S39" i="11"/>
  <c r="R105" i="8"/>
  <c r="U90" i="11"/>
  <c r="U87" i="11"/>
  <c r="U78" i="11"/>
  <c r="Q30" i="22"/>
  <c r="Q27" i="22"/>
  <c r="Q35" i="22"/>
  <c r="U214" i="12"/>
  <c r="V294" i="10"/>
  <c r="T193" i="13"/>
  <c r="P1165" i="24"/>
  <c r="P1158" i="24"/>
  <c r="M146" i="26"/>
  <c r="W80" i="7"/>
  <c r="Q1156" i="24"/>
  <c r="V319" i="11"/>
  <c r="V70" i="12" s="1"/>
  <c r="V364" i="11"/>
  <c r="V462" i="11"/>
  <c r="V38" i="12"/>
  <c r="P104" i="26"/>
  <c r="S356" i="7"/>
  <c r="S369" i="7"/>
  <c r="S32" i="14"/>
  <c r="S104" i="14" s="1"/>
  <c r="O53" i="22"/>
  <c r="O87" i="22" s="1"/>
  <c r="P115" i="22"/>
  <c r="P123" i="22" s="1"/>
  <c r="Q143" i="22"/>
  <c r="Q266" i="22"/>
  <c r="S38" i="14"/>
  <c r="O1238" i="24" s="1"/>
  <c r="S82" i="14"/>
  <c r="P102" i="22"/>
  <c r="Q279" i="22"/>
  <c r="Q287" i="22" s="1"/>
  <c r="O347" i="22"/>
  <c r="O355" i="22" s="1"/>
  <c r="O57" i="22"/>
  <c r="O91" i="22" s="1"/>
  <c r="Q156" i="22"/>
  <c r="Q164" i="22" s="1"/>
  <c r="O49" i="22"/>
  <c r="O375" i="22"/>
  <c r="O383" i="22" s="1"/>
  <c r="O361" i="22"/>
  <c r="O369" i="22" s="1"/>
  <c r="N83" i="26"/>
  <c r="O209" i="26"/>
  <c r="U567" i="8"/>
  <c r="T571" i="8"/>
  <c r="T568" i="8"/>
  <c r="V480" i="8"/>
  <c r="V295" i="11"/>
  <c r="D119" i="23"/>
  <c r="D15" i="26"/>
  <c r="R706" i="22"/>
  <c r="R694" i="22"/>
  <c r="V143" i="10"/>
  <c r="Q543" i="22"/>
  <c r="Q583" i="22" s="1"/>
  <c r="Q557" i="22"/>
  <c r="Q519" i="22"/>
  <c r="Q521" i="22"/>
  <c r="V84" i="10"/>
  <c r="D16" i="26"/>
  <c r="V44" i="10"/>
  <c r="V9" i="10"/>
  <c r="V188" i="7"/>
  <c r="V266" i="7"/>
  <c r="V491" i="8"/>
  <c r="V236" i="11"/>
  <c r="D123" i="23"/>
  <c r="P94" i="26"/>
  <c r="V9" i="7"/>
  <c r="V50" i="7"/>
  <c r="Q86" i="16"/>
  <c r="R86" i="16" s="1"/>
  <c r="R84" i="16"/>
  <c r="Q79" i="16"/>
  <c r="R252" i="22"/>
  <c r="W386" i="8"/>
  <c r="W332" i="8"/>
  <c r="S198" i="13"/>
  <c r="S200" i="13"/>
  <c r="T321" i="11"/>
  <c r="T464" i="11"/>
  <c r="U464" i="11" s="1"/>
  <c r="O106" i="26"/>
  <c r="U509" i="11"/>
  <c r="U321" i="11"/>
  <c r="T471" i="11"/>
  <c r="U471" i="11" s="1"/>
  <c r="T328" i="11"/>
  <c r="U328" i="11"/>
  <c r="U516" i="11"/>
  <c r="T373" i="11"/>
  <c r="U373" i="11" s="1"/>
  <c r="T189" i="12"/>
  <c r="O134" i="26"/>
  <c r="U365" i="11"/>
  <c r="T366" i="11"/>
  <c r="R493" i="8"/>
  <c r="Q751" i="24"/>
  <c r="Q764" i="24" s="1"/>
  <c r="Q756" i="24"/>
  <c r="Q744" i="24"/>
  <c r="V207" i="10"/>
  <c r="W240" i="10"/>
  <c r="V204" i="10"/>
  <c r="V212" i="10"/>
  <c r="V430" i="11"/>
  <c r="V435" i="11"/>
  <c r="V423" i="11"/>
  <c r="S230" i="9"/>
  <c r="X201" i="10"/>
  <c r="X538" i="8"/>
  <c r="S1100" i="24"/>
  <c r="T356" i="9"/>
  <c r="R77" i="14"/>
  <c r="R74" i="14"/>
  <c r="O186" i="26"/>
  <c r="T10" i="8"/>
  <c r="T54" i="8"/>
  <c r="T57" i="8"/>
  <c r="U57" i="8" s="1"/>
  <c r="U53" i="8"/>
  <c r="P568" i="22"/>
  <c r="P533" i="22"/>
  <c r="P536" i="22"/>
  <c r="P541" i="22"/>
  <c r="P581" i="22" s="1"/>
  <c r="U18" i="10"/>
  <c r="C20" i="26"/>
  <c r="U10" i="10"/>
  <c r="T11" i="10"/>
  <c r="U15" i="11"/>
  <c r="R788" i="24"/>
  <c r="R244" i="9"/>
  <c r="R232" i="9"/>
  <c r="O1378" i="24"/>
  <c r="O1381" i="24"/>
  <c r="U245" i="7"/>
  <c r="U242" i="7"/>
  <c r="T246" i="7"/>
  <c r="T258" i="7"/>
  <c r="T255" i="7"/>
  <c r="Q13" i="21"/>
  <c r="V359" i="8"/>
  <c r="V365" i="8"/>
  <c r="V397" i="8"/>
  <c r="V370" i="8"/>
  <c r="W179" i="7"/>
  <c r="W180" i="8"/>
  <c r="W426" i="8"/>
  <c r="W111" i="10"/>
  <c r="W135" i="10"/>
  <c r="W75" i="10"/>
  <c r="W220" i="11"/>
  <c r="R432" i="22"/>
  <c r="E63" i="23"/>
  <c r="R389" i="22"/>
  <c r="R513" i="22"/>
  <c r="E1" i="26"/>
  <c r="Q89" i="26"/>
  <c r="S7" i="22"/>
  <c r="S675" i="22"/>
  <c r="V416" i="8"/>
  <c r="P175" i="13"/>
  <c r="V152" i="7"/>
  <c r="V33" i="7"/>
  <c r="W314" i="7"/>
  <c r="W606" i="8"/>
  <c r="V304" i="7"/>
  <c r="W247" i="10"/>
  <c r="V219" i="10"/>
  <c r="R320" i="9"/>
  <c r="R333" i="9" s="1"/>
  <c r="R313" i="9"/>
  <c r="R325" i="9"/>
  <c r="W164" i="11"/>
  <c r="D17" i="17"/>
  <c r="D11" i="17"/>
  <c r="C178" i="13"/>
  <c r="S66" i="8"/>
  <c r="S95" i="8"/>
  <c r="Q276" i="11"/>
  <c r="P307" i="11"/>
  <c r="Q307" i="11" s="1"/>
  <c r="S61" i="13"/>
  <c r="S58" i="13"/>
  <c r="T203" i="8"/>
  <c r="T212" i="8"/>
  <c r="U212" i="8" s="1"/>
  <c r="T200" i="8"/>
  <c r="U199" i="8"/>
  <c r="C9" i="26"/>
  <c r="U83" i="10"/>
  <c r="U193" i="7"/>
  <c r="W280" i="8"/>
  <c r="W361" i="8"/>
  <c r="W362" i="8"/>
  <c r="W72" i="11"/>
  <c r="W153" i="11"/>
  <c r="W154" i="11"/>
  <c r="R1114" i="24"/>
  <c r="R1102" i="24"/>
  <c r="W356" i="11" s="1"/>
  <c r="R130" i="14"/>
  <c r="R160" i="13"/>
  <c r="R218" i="13"/>
  <c r="P138" i="8"/>
  <c r="Q138" i="8" s="1"/>
  <c r="Q118" i="8"/>
  <c r="V480" i="11"/>
  <c r="Q1077" i="24"/>
  <c r="Q1070" i="24"/>
  <c r="W128" i="11"/>
  <c r="V167" i="11"/>
  <c r="V236" i="7"/>
  <c r="V181" i="11"/>
  <c r="V145" i="11"/>
  <c r="V366" i="8"/>
  <c r="V371" i="8"/>
  <c r="V398" i="8"/>
  <c r="W327" i="8"/>
  <c r="W324" i="8"/>
  <c r="R469" i="8"/>
  <c r="R263" i="11"/>
  <c r="R466" i="8"/>
  <c r="R253" i="11"/>
  <c r="R103" i="7"/>
  <c r="V65" i="7"/>
  <c r="V65" i="8"/>
  <c r="V204" i="11"/>
  <c r="V254" i="7"/>
  <c r="V232" i="7"/>
  <c r="V229" i="7"/>
  <c r="U407" i="8"/>
  <c r="U404" i="8"/>
  <c r="Q278" i="7"/>
  <c r="P288" i="7"/>
  <c r="Q288" i="7" s="1"/>
  <c r="V74" i="7"/>
  <c r="V96" i="7"/>
  <c r="O1220" i="24"/>
  <c r="O1223" i="24"/>
  <c r="P499" i="22"/>
  <c r="P661" i="22" s="1"/>
  <c r="P621" i="22"/>
  <c r="Q695" i="22"/>
  <c r="Q698" i="22"/>
  <c r="Q703" i="22"/>
  <c r="V157" i="10"/>
  <c r="U137" i="10"/>
  <c r="Q934" i="22"/>
  <c r="Q946" i="22"/>
  <c r="Q943" i="22"/>
  <c r="P216" i="22"/>
  <c r="P207" i="22"/>
  <c r="P219" i="22"/>
  <c r="T149" i="12"/>
  <c r="T151" i="12"/>
  <c r="U151" i="12" s="1"/>
  <c r="U147" i="12"/>
  <c r="T70" i="16"/>
  <c r="P175" i="22"/>
  <c r="P166" i="22"/>
  <c r="P178" i="22"/>
  <c r="W354" i="8"/>
  <c r="W351" i="8"/>
  <c r="U111" i="13"/>
  <c r="Q330" i="22"/>
  <c r="Q339" i="22"/>
  <c r="Q342" i="22"/>
  <c r="R219" i="9"/>
  <c r="R243" i="9"/>
  <c r="R774" i="24"/>
  <c r="R221" i="9"/>
  <c r="R247" i="9" s="1"/>
  <c r="R19" i="7"/>
  <c r="R118" i="7"/>
  <c r="M143" i="26"/>
  <c r="R334" i="22"/>
  <c r="W224" i="7"/>
  <c r="W106" i="11"/>
  <c r="W178" i="11"/>
  <c r="S263" i="9"/>
  <c r="S214" i="9"/>
  <c r="X522" i="8"/>
  <c r="X185" i="10"/>
  <c r="S1084" i="24"/>
  <c r="T340" i="9"/>
  <c r="Q128" i="7"/>
  <c r="P138" i="7"/>
  <c r="Q138" i="7" s="1"/>
  <c r="S383" i="11"/>
  <c r="S205" i="12"/>
  <c r="N214" i="26"/>
  <c r="S385" i="11"/>
  <c r="S35" i="11"/>
  <c r="S40" i="11"/>
  <c r="Q173" i="22"/>
  <c r="O78" i="22"/>
  <c r="P132" i="22"/>
  <c r="U54" i="7"/>
  <c r="T58" i="7"/>
  <c r="T55" i="7"/>
  <c r="O631" i="22"/>
  <c r="O667" i="22"/>
  <c r="O658" i="22"/>
  <c r="O670" i="22"/>
  <c r="O590" i="22"/>
  <c r="V301" i="10"/>
  <c r="Q248" i="22"/>
  <c r="Q260" i="22"/>
  <c r="Q257" i="22"/>
  <c r="U181" i="12"/>
  <c r="T182" i="12"/>
  <c r="T185" i="12"/>
  <c r="S169" i="13"/>
  <c r="U217" i="7"/>
  <c r="U214" i="7"/>
  <c r="V24" i="12"/>
  <c r="W185" i="8"/>
  <c r="W439" i="8"/>
  <c r="W261" i="11"/>
  <c r="R406" i="22"/>
  <c r="R530" i="22"/>
  <c r="R449" i="22"/>
  <c r="E103" i="23"/>
  <c r="E11" i="26"/>
  <c r="Q99" i="26"/>
  <c r="S24" i="22"/>
  <c r="S692" i="22"/>
  <c r="P289" i="22"/>
  <c r="P298" i="22"/>
  <c r="P301" i="22"/>
  <c r="U298" i="8"/>
  <c r="U295" i="8"/>
  <c r="U286" i="8"/>
  <c r="T299" i="10"/>
  <c r="T302" i="10"/>
  <c r="U302" i="10"/>
  <c r="U299" i="10"/>
  <c r="Q1376" i="24"/>
  <c r="V526" i="11" s="1"/>
  <c r="V123" i="13"/>
  <c r="V467" i="11"/>
  <c r="V324" i="11"/>
  <c r="V75" i="12" s="1"/>
  <c r="V369" i="11"/>
  <c r="V43" i="12"/>
  <c r="P108" i="26"/>
  <c r="V276" i="7"/>
  <c r="V501" i="8"/>
  <c r="V267" i="11"/>
  <c r="P101" i="26"/>
  <c r="D127" i="23"/>
  <c r="R26" i="22"/>
  <c r="R38" i="22"/>
  <c r="Q420" i="22"/>
  <c r="Q408" i="22"/>
  <c r="R681" i="22"/>
  <c r="R705" i="22"/>
  <c r="R683" i="22"/>
  <c r="R709" i="22" s="1"/>
  <c r="P18" i="13"/>
  <c r="Q71" i="13"/>
  <c r="P26" i="13"/>
  <c r="P19" i="13"/>
  <c r="P23" i="13"/>
  <c r="P28" i="13"/>
  <c r="P22" i="13"/>
  <c r="P31" i="13"/>
  <c r="P20" i="13"/>
  <c r="P27" i="13"/>
  <c r="P30" i="13"/>
  <c r="T33" i="12"/>
  <c r="U33" i="12" s="1"/>
  <c r="U25" i="12"/>
  <c r="T26" i="12"/>
  <c r="T139" i="13"/>
  <c r="U139" i="13" s="1"/>
  <c r="U107" i="13"/>
  <c r="T108" i="13"/>
  <c r="T112" i="13"/>
  <c r="R259" i="22"/>
  <c r="U110" i="13"/>
  <c r="P1380" i="24"/>
  <c r="P1373" i="24"/>
  <c r="R132" i="8"/>
  <c r="M191" i="26"/>
  <c r="S58" i="12"/>
  <c r="S59" i="12" s="1"/>
  <c r="S60" i="12"/>
  <c r="W597" i="8"/>
  <c r="W252" i="10"/>
  <c r="W165" i="7"/>
  <c r="W165" i="8"/>
  <c r="W595" i="8"/>
  <c r="V302" i="7"/>
  <c r="V155" i="7"/>
  <c r="S912" i="22"/>
  <c r="S918" i="22"/>
  <c r="S66" i="7"/>
  <c r="S73" i="7"/>
  <c r="R15" i="14"/>
  <c r="T214" i="8"/>
  <c r="U214" i="8" s="1"/>
  <c r="U201" i="8"/>
  <c r="X594" i="8"/>
  <c r="X243" i="10"/>
  <c r="W426" i="11"/>
  <c r="W121" i="12"/>
  <c r="R747" i="24"/>
  <c r="W203" i="10"/>
  <c r="W301" i="7"/>
  <c r="W215" i="10"/>
  <c r="W94" i="10"/>
  <c r="U90" i="7"/>
  <c r="T11" i="3"/>
  <c r="U11" i="3" s="1"/>
  <c r="T106" i="7"/>
  <c r="U106" i="7" s="1"/>
  <c r="V570" i="8"/>
  <c r="P205" i="26"/>
  <c r="V563" i="8"/>
  <c r="R159" i="13"/>
  <c r="R129" i="14"/>
  <c r="V281" i="8"/>
  <c r="V283" i="8"/>
  <c r="V292" i="8"/>
  <c r="W194" i="8"/>
  <c r="W460" i="8"/>
  <c r="W233" i="11"/>
  <c r="R518" i="22"/>
  <c r="E111" i="23"/>
  <c r="R437" i="22"/>
  <c r="R394" i="22"/>
  <c r="E13" i="26"/>
  <c r="Q93" i="26"/>
  <c r="S12" i="22"/>
  <c r="S680" i="22"/>
  <c r="U380" i="8"/>
  <c r="U377" i="8"/>
  <c r="U368" i="8"/>
  <c r="T381" i="8"/>
  <c r="T417" i="8"/>
  <c r="T408" i="8"/>
  <c r="T420" i="8"/>
  <c r="S326" i="11"/>
  <c r="S472" i="11"/>
  <c r="S329" i="11"/>
  <c r="S469" i="11"/>
  <c r="N110" i="26"/>
  <c r="R15" i="7"/>
  <c r="R88" i="7"/>
  <c r="R92" i="7"/>
  <c r="R260" i="11"/>
  <c r="R435" i="8"/>
  <c r="R250" i="11"/>
  <c r="R438" i="8"/>
  <c r="R98" i="7"/>
  <c r="U90" i="8"/>
  <c r="T106" i="8"/>
  <c r="U106" i="8" s="1"/>
  <c r="V96" i="8"/>
  <c r="V74" i="8"/>
  <c r="S355" i="7"/>
  <c r="S368" i="7"/>
  <c r="S37" i="14"/>
  <c r="S81" i="14"/>
  <c r="Q142" i="22"/>
  <c r="Q265" i="22"/>
  <c r="S25" i="14"/>
  <c r="O52" i="22"/>
  <c r="P114" i="22"/>
  <c r="S8" i="14"/>
  <c r="S31" i="14"/>
  <c r="S103" i="14" s="1"/>
  <c r="O48" i="22"/>
  <c r="O56" i="22"/>
  <c r="Q278" i="22"/>
  <c r="O360" i="22"/>
  <c r="P101" i="22"/>
  <c r="Q155" i="22"/>
  <c r="O346" i="22"/>
  <c r="O374" i="22"/>
  <c r="N82" i="26"/>
  <c r="O1237" i="24"/>
  <c r="P641" i="22"/>
  <c r="P644" i="22"/>
  <c r="S140" i="13"/>
  <c r="S144" i="13"/>
  <c r="S129" i="13"/>
  <c r="W527" i="8"/>
  <c r="W551" i="8"/>
  <c r="W146" i="8"/>
  <c r="W529" i="8"/>
  <c r="R286" i="9"/>
  <c r="R264" i="9"/>
  <c r="R261" i="9"/>
  <c r="R268" i="7"/>
  <c r="Q211" i="22"/>
  <c r="R930" i="22"/>
  <c r="R933" i="22"/>
  <c r="R938" i="22"/>
  <c r="N96" i="22"/>
  <c r="N93" i="22"/>
  <c r="N80" i="22"/>
  <c r="R388" i="7"/>
  <c r="R379" i="7"/>
  <c r="R391" i="7"/>
  <c r="R329" i="7"/>
  <c r="L154" i="26"/>
  <c r="Q22" i="7"/>
  <c r="P16" i="3"/>
  <c r="P25" i="7"/>
  <c r="Q25" i="7" s="1"/>
  <c r="O18" i="9"/>
  <c r="O68" i="9"/>
  <c r="O1473" i="24"/>
  <c r="S240" i="8"/>
  <c r="S242" i="8"/>
  <c r="S165" i="12"/>
  <c r="S78" i="12"/>
  <c r="R103" i="8"/>
  <c r="R14" i="8"/>
  <c r="R72" i="8"/>
  <c r="R76" i="8"/>
  <c r="S214" i="13"/>
  <c r="S119" i="14"/>
  <c r="T283" i="7"/>
  <c r="T508" i="8"/>
  <c r="T288" i="11"/>
  <c r="C95" i="23"/>
  <c r="U283" i="7"/>
  <c r="U288" i="11"/>
  <c r="U508" i="8"/>
  <c r="U187" i="7"/>
  <c r="S166" i="13"/>
  <c r="S171" i="13"/>
  <c r="R330" i="7"/>
  <c r="V556" i="8"/>
  <c r="V541" i="8"/>
  <c r="Q278" i="9"/>
  <c r="Q290" i="9"/>
  <c r="Q287" i="9"/>
  <c r="W69" i="8"/>
  <c r="Q1371" i="24"/>
  <c r="V102" i="13"/>
  <c r="R156" i="13"/>
  <c r="R133" i="14"/>
  <c r="R121" i="14"/>
  <c r="R124" i="14"/>
  <c r="S359" i="7"/>
  <c r="S372" i="7"/>
  <c r="S9" i="14"/>
  <c r="S41" i="14"/>
  <c r="S85" i="14"/>
  <c r="O69" i="22"/>
  <c r="O71" i="22" s="1"/>
  <c r="S154" i="13" s="1"/>
  <c r="P118" i="22"/>
  <c r="P120" i="22" s="1"/>
  <c r="Q159" i="22"/>
  <c r="Q161" i="22" s="1"/>
  <c r="S29" i="14"/>
  <c r="P105" i="22"/>
  <c r="O65" i="22"/>
  <c r="Q146" i="22"/>
  <c r="Q269" i="22"/>
  <c r="Q282" i="22"/>
  <c r="Q284" i="22" s="1"/>
  <c r="O378" i="22"/>
  <c r="O380" i="22" s="1"/>
  <c r="O364" i="22"/>
  <c r="O366" i="22" s="1"/>
  <c r="O73" i="22"/>
  <c r="O75" i="22" s="1"/>
  <c r="S155" i="13" s="1"/>
  <c r="O350" i="22"/>
  <c r="O352" i="22" s="1"/>
  <c r="N85" i="26"/>
  <c r="O1241" i="24"/>
  <c r="T136" i="7"/>
  <c r="T23" i="8"/>
  <c r="T129" i="8"/>
  <c r="T483" i="8"/>
  <c r="T305" i="11"/>
  <c r="C167" i="23"/>
  <c r="U57" i="7"/>
  <c r="U136" i="7"/>
  <c r="U129" i="8"/>
  <c r="U23" i="8"/>
  <c r="U483" i="8"/>
  <c r="U305" i="11"/>
  <c r="U81" i="10"/>
  <c r="T85" i="10"/>
  <c r="T82" i="10"/>
  <c r="P409" i="22"/>
  <c r="P412" i="22"/>
  <c r="P417" i="22"/>
  <c r="R61" i="14"/>
  <c r="R58" i="14"/>
  <c r="V29" i="12"/>
  <c r="T102" i="8"/>
  <c r="U102" i="8" s="1"/>
  <c r="T91" i="8"/>
  <c r="U86" i="8"/>
  <c r="P1078" i="24"/>
  <c r="P1075" i="24"/>
  <c r="D17" i="26"/>
  <c r="Q490" i="22"/>
  <c r="Q652" i="22" s="1"/>
  <c r="Q612" i="22"/>
  <c r="Q451" i="22"/>
  <c r="Q463" i="22"/>
  <c r="V50" i="10"/>
  <c r="V77" i="10"/>
  <c r="D22" i="26"/>
  <c r="R13" i="22"/>
  <c r="R37" i="22"/>
  <c r="R15" i="22"/>
  <c r="R41" i="22" s="1"/>
  <c r="Q395" i="22"/>
  <c r="Q419" i="22"/>
  <c r="Q397" i="22"/>
  <c r="Q423" i="22" s="1"/>
  <c r="V449" i="8"/>
  <c r="V292" i="11"/>
  <c r="D107" i="23"/>
  <c r="D12" i="26"/>
  <c r="U495" i="11"/>
  <c r="U109" i="13"/>
  <c r="S940" i="22"/>
  <c r="T222" i="8"/>
  <c r="T235" i="8"/>
  <c r="T18" i="11"/>
  <c r="T17" i="11"/>
  <c r="T378" i="11"/>
  <c r="T391" i="11"/>
  <c r="T158" i="12"/>
  <c r="U158" i="12" s="1"/>
  <c r="T341" i="7"/>
  <c r="P67" i="9"/>
  <c r="P1474" i="24" s="1"/>
  <c r="P63" i="9"/>
  <c r="U463" i="11"/>
  <c r="R81" i="13"/>
  <c r="T248" i="8" l="1"/>
  <c r="U248" i="8" s="1"/>
  <c r="T230" i="8"/>
  <c r="U222" i="8"/>
  <c r="T223" i="8"/>
  <c r="D24" i="26"/>
  <c r="S134" i="14"/>
  <c r="S374" i="7"/>
  <c r="R16" i="8"/>
  <c r="Q163" i="22"/>
  <c r="Q157" i="22"/>
  <c r="O58" i="22"/>
  <c r="O90" i="22"/>
  <c r="P116" i="22"/>
  <c r="P122" i="22"/>
  <c r="S363" i="7"/>
  <c r="S357" i="7"/>
  <c r="S381" i="7"/>
  <c r="R122" i="7"/>
  <c r="R272" i="7"/>
  <c r="R256" i="11"/>
  <c r="R270" i="11"/>
  <c r="M148" i="26"/>
  <c r="R281" i="11"/>
  <c r="R139" i="14"/>
  <c r="T349" i="7"/>
  <c r="U349" i="7" s="1"/>
  <c r="U341" i="7"/>
  <c r="T342" i="7"/>
  <c r="T194" i="7"/>
  <c r="T19" i="11"/>
  <c r="T43" i="11"/>
  <c r="U43" i="11" s="1"/>
  <c r="U17" i="11"/>
  <c r="T21" i="11"/>
  <c r="R39" i="22"/>
  <c r="R17" i="22"/>
  <c r="R14" i="22"/>
  <c r="S135" i="14"/>
  <c r="Q271" i="22"/>
  <c r="Q297" i="22" s="1"/>
  <c r="Q295" i="22"/>
  <c r="S87" i="14"/>
  <c r="S118" i="14"/>
  <c r="S71" i="14" s="1"/>
  <c r="S361" i="7"/>
  <c r="S385" i="7"/>
  <c r="S241" i="8"/>
  <c r="S244" i="8"/>
  <c r="P109" i="22"/>
  <c r="P135" i="22" s="1"/>
  <c r="P127" i="22"/>
  <c r="P103" i="22"/>
  <c r="O50" i="22"/>
  <c r="O60" i="22"/>
  <c r="O82" i="22"/>
  <c r="O86" i="22"/>
  <c r="O54" i="22"/>
  <c r="S89" i="14"/>
  <c r="S83" i="14"/>
  <c r="S114" i="14"/>
  <c r="S67" i="14" s="1"/>
  <c r="R115" i="8"/>
  <c r="R441" i="8"/>
  <c r="R497" i="8"/>
  <c r="M192" i="26"/>
  <c r="R445" i="8"/>
  <c r="R104" i="7"/>
  <c r="R108" i="7"/>
  <c r="R93" i="7"/>
  <c r="R558" i="22"/>
  <c r="X598" i="8"/>
  <c r="X256" i="10"/>
  <c r="R748" i="24"/>
  <c r="R760" i="24"/>
  <c r="U112" i="13"/>
  <c r="U108" i="13"/>
  <c r="L122" i="26"/>
  <c r="Q30" i="13"/>
  <c r="P38" i="13"/>
  <c r="Q38" i="13" s="1"/>
  <c r="L115" i="26"/>
  <c r="Q22" i="13"/>
  <c r="P9" i="13"/>
  <c r="P32" i="13"/>
  <c r="Q32" i="13" s="1"/>
  <c r="L118" i="26"/>
  <c r="Q26" i="13"/>
  <c r="U185" i="12"/>
  <c r="U182" i="12"/>
  <c r="U58" i="7"/>
  <c r="U55" i="7"/>
  <c r="N216" i="26"/>
  <c r="S387" i="11"/>
  <c r="S384" i="11"/>
  <c r="T348" i="9"/>
  <c r="T299" i="9"/>
  <c r="S222" i="9"/>
  <c r="S771" i="24"/>
  <c r="W113" i="10"/>
  <c r="R800" i="24"/>
  <c r="R776" i="24"/>
  <c r="R778" i="24"/>
  <c r="R804" i="24" s="1"/>
  <c r="M200" i="26"/>
  <c r="R479" i="8"/>
  <c r="V244" i="7"/>
  <c r="V249" i="7"/>
  <c r="W240" i="7"/>
  <c r="W158" i="11"/>
  <c r="W194" i="11"/>
  <c r="W363" i="8"/>
  <c r="W401" i="8"/>
  <c r="W374" i="8"/>
  <c r="U203" i="8"/>
  <c r="U200" i="8"/>
  <c r="T216" i="8"/>
  <c r="T204" i="8"/>
  <c r="T213" i="8"/>
  <c r="Q15" i="17"/>
  <c r="Q9" i="17"/>
  <c r="Q175" i="13"/>
  <c r="R15" i="17"/>
  <c r="S33" i="22"/>
  <c r="S9" i="22"/>
  <c r="R391" i="22"/>
  <c r="R415" i="22"/>
  <c r="W446" i="8"/>
  <c r="W282" i="11"/>
  <c r="E71" i="23"/>
  <c r="E3" i="26"/>
  <c r="W188" i="8"/>
  <c r="W206" i="8"/>
  <c r="Q174" i="26"/>
  <c r="V405" i="8"/>
  <c r="V378" i="8"/>
  <c r="W127" i="10"/>
  <c r="R801" i="24"/>
  <c r="R789" i="24"/>
  <c r="O187" i="26"/>
  <c r="U10" i="8"/>
  <c r="T11" i="8"/>
  <c r="X425" i="11"/>
  <c r="X120" i="12"/>
  <c r="S746" i="24"/>
  <c r="Y201" i="10"/>
  <c r="V443" i="11"/>
  <c r="W245" i="10"/>
  <c r="W248" i="10"/>
  <c r="V217" i="10"/>
  <c r="V208" i="10"/>
  <c r="V220" i="10"/>
  <c r="S202" i="13"/>
  <c r="S199" i="13"/>
  <c r="V17" i="10"/>
  <c r="D19" i="26"/>
  <c r="O210" i="26"/>
  <c r="U568" i="8"/>
  <c r="U571" i="8"/>
  <c r="S46" i="14"/>
  <c r="V188" i="12"/>
  <c r="P133" i="26"/>
  <c r="S79" i="7"/>
  <c r="S68" i="8"/>
  <c r="S47" i="11"/>
  <c r="R566" i="22"/>
  <c r="R534" i="22"/>
  <c r="R574" i="22" s="1"/>
  <c r="S16" i="22"/>
  <c r="R441" i="22"/>
  <c r="R473" i="22"/>
  <c r="R595" i="22"/>
  <c r="W352" i="11"/>
  <c r="R1115" i="24"/>
  <c r="R1090" i="24"/>
  <c r="R1093" i="24"/>
  <c r="W389" i="8"/>
  <c r="W335" i="8"/>
  <c r="W313" i="8"/>
  <c r="S304" i="9"/>
  <c r="S328" i="9"/>
  <c r="S306" i="9"/>
  <c r="S332" i="9" s="1"/>
  <c r="S371" i="9"/>
  <c r="S346" i="9"/>
  <c r="S349" i="9"/>
  <c r="Q204" i="26"/>
  <c r="S456" i="8"/>
  <c r="S232" i="11"/>
  <c r="S222" i="11"/>
  <c r="S459" i="8"/>
  <c r="L203" i="26"/>
  <c r="Q25" i="8"/>
  <c r="S272" i="9"/>
  <c r="S928" i="22"/>
  <c r="S475" i="24"/>
  <c r="S463" i="24"/>
  <c r="U523" i="11"/>
  <c r="T159" i="12"/>
  <c r="U159" i="12" s="1"/>
  <c r="T72" i="12"/>
  <c r="U40" i="12"/>
  <c r="U72" i="12"/>
  <c r="T360" i="9"/>
  <c r="T311" i="9"/>
  <c r="S234" i="9"/>
  <c r="S783" i="24"/>
  <c r="V9" i="8"/>
  <c r="V50" i="8"/>
  <c r="V56" i="8"/>
  <c r="P176" i="26"/>
  <c r="Q464" i="22"/>
  <c r="Q478" i="22"/>
  <c r="Q600" i="22"/>
  <c r="Q442" i="22"/>
  <c r="Q439" i="22"/>
  <c r="Q202" i="22"/>
  <c r="Q204" i="22"/>
  <c r="R230" i="22"/>
  <c r="R254" i="22"/>
  <c r="R232" i="22"/>
  <c r="P1181" i="24"/>
  <c r="O73" i="26"/>
  <c r="U486" i="11"/>
  <c r="T489" i="11"/>
  <c r="T486" i="11"/>
  <c r="U489" i="11"/>
  <c r="U91" i="7"/>
  <c r="T12" i="3"/>
  <c r="U12" i="3" s="1"/>
  <c r="T107" i="7"/>
  <c r="U107" i="7" s="1"/>
  <c r="U209" i="11"/>
  <c r="U200" i="11"/>
  <c r="U212" i="11"/>
  <c r="U173" i="11"/>
  <c r="R216" i="13"/>
  <c r="R219" i="13"/>
  <c r="S66" i="16"/>
  <c r="S59" i="16"/>
  <c r="V34" i="8"/>
  <c r="T26" i="7"/>
  <c r="T139" i="7"/>
  <c r="T289" i="7"/>
  <c r="U11" i="7"/>
  <c r="U26" i="7"/>
  <c r="U289" i="7"/>
  <c r="U139" i="7"/>
  <c r="N131" i="26"/>
  <c r="S397" i="11"/>
  <c r="S14" i="3"/>
  <c r="S400" i="11"/>
  <c r="O69" i="9"/>
  <c r="O72" i="9"/>
  <c r="X413" i="11"/>
  <c r="X108" i="12"/>
  <c r="S734" i="24"/>
  <c r="Y189" i="10"/>
  <c r="R138" i="14"/>
  <c r="R131" i="14"/>
  <c r="V213" i="7"/>
  <c r="V215" i="7"/>
  <c r="Q1116" i="24"/>
  <c r="Q1107" i="24"/>
  <c r="Q1119" i="24"/>
  <c r="P220" i="26"/>
  <c r="D28" i="4"/>
  <c r="V286" i="10"/>
  <c r="V284" i="10"/>
  <c r="V32" i="10"/>
  <c r="V25" i="10"/>
  <c r="V243" i="7"/>
  <c r="V248" i="7"/>
  <c r="X296" i="7"/>
  <c r="X89" i="10"/>
  <c r="X186" i="10"/>
  <c r="X210" i="10"/>
  <c r="Y210" i="10" s="1"/>
  <c r="X408" i="11"/>
  <c r="X103" i="12"/>
  <c r="S729" i="24"/>
  <c r="Y184" i="10"/>
  <c r="P413" i="22"/>
  <c r="P1384" i="24" s="1"/>
  <c r="P425" i="22"/>
  <c r="P422" i="22"/>
  <c r="O1243" i="24"/>
  <c r="S55" i="14"/>
  <c r="R136" i="14"/>
  <c r="R70" i="13"/>
  <c r="R331" i="7"/>
  <c r="R69" i="13"/>
  <c r="W528" i="8"/>
  <c r="W555" i="8"/>
  <c r="O362" i="22"/>
  <c r="O368" i="22"/>
  <c r="S45" i="14"/>
  <c r="S39" i="14"/>
  <c r="R707" i="22"/>
  <c r="R682" i="22"/>
  <c r="R685" i="22"/>
  <c r="R489" i="22"/>
  <c r="R611" i="22"/>
  <c r="X275" i="8"/>
  <c r="X344" i="8"/>
  <c r="X345" i="8"/>
  <c r="X55" i="11"/>
  <c r="X100" i="11"/>
  <c r="X101" i="11"/>
  <c r="S1092" i="24"/>
  <c r="R125" i="7"/>
  <c r="R273" i="11"/>
  <c r="M149" i="26"/>
  <c r="R284" i="11"/>
  <c r="V379" i="8"/>
  <c r="V406" i="8"/>
  <c r="V207" i="11"/>
  <c r="W70" i="7"/>
  <c r="W81" i="8"/>
  <c r="V494" i="11"/>
  <c r="V508" i="11"/>
  <c r="V11" i="12"/>
  <c r="V488" i="11"/>
  <c r="Q1184" i="24" s="1"/>
  <c r="V105" i="13"/>
  <c r="V106" i="13"/>
  <c r="V104" i="13"/>
  <c r="S225" i="22"/>
  <c r="S238" i="22"/>
  <c r="R184" i="22"/>
  <c r="R197" i="22"/>
  <c r="S320" i="22"/>
  <c r="S307" i="22"/>
  <c r="Q899" i="22"/>
  <c r="P69" i="26"/>
  <c r="Q1195" i="24"/>
  <c r="Q1143" i="24"/>
  <c r="V481" i="11"/>
  <c r="R140" i="14"/>
  <c r="W155" i="11"/>
  <c r="W239" i="7"/>
  <c r="W193" i="11"/>
  <c r="W157" i="11"/>
  <c r="W293" i="8"/>
  <c r="W284" i="8"/>
  <c r="R318" i="9"/>
  <c r="R321" i="9"/>
  <c r="R326" i="9"/>
  <c r="X149" i="10"/>
  <c r="Y149" i="10" s="1"/>
  <c r="W263" i="7"/>
  <c r="W488" i="8"/>
  <c r="W226" i="11"/>
  <c r="E87" i="23"/>
  <c r="Q91" i="26"/>
  <c r="U246" i="7"/>
  <c r="U258" i="7"/>
  <c r="U255" i="7"/>
  <c r="U19" i="10"/>
  <c r="C21" i="26"/>
  <c r="U11" i="10"/>
  <c r="T315" i="9"/>
  <c r="S787" i="24"/>
  <c r="T197" i="12"/>
  <c r="U197" i="12" s="1"/>
  <c r="U189" i="12"/>
  <c r="T190" i="12"/>
  <c r="S89" i="16"/>
  <c r="Q81" i="16"/>
  <c r="Q20" i="16" s="1"/>
  <c r="R79" i="16"/>
  <c r="R81" i="16"/>
  <c r="V20" i="7"/>
  <c r="V8" i="6"/>
  <c r="V17" i="6"/>
  <c r="V119" i="7"/>
  <c r="V269" i="7"/>
  <c r="V133" i="8"/>
  <c r="V494" i="8"/>
  <c r="V246" i="11"/>
  <c r="D135" i="23"/>
  <c r="P95" i="26"/>
  <c r="Q547" i="22"/>
  <c r="Q587" i="22" s="1"/>
  <c r="Q561" i="22"/>
  <c r="O1246" i="24"/>
  <c r="S52" i="14"/>
  <c r="O83" i="22"/>
  <c r="O61" i="22"/>
  <c r="O95" i="22" s="1"/>
  <c r="Q274" i="22"/>
  <c r="Q300" i="22" s="1"/>
  <c r="Q292" i="22"/>
  <c r="V234" i="8"/>
  <c r="V221" i="8"/>
  <c r="V13" i="11"/>
  <c r="V377" i="11"/>
  <c r="V14" i="11"/>
  <c r="V390" i="11"/>
  <c r="V157" i="12"/>
  <c r="V340" i="7"/>
  <c r="Q40" i="22"/>
  <c r="Q43" i="22"/>
  <c r="Q31" i="22"/>
  <c r="S36" i="11"/>
  <c r="S33" i="11"/>
  <c r="S41" i="11"/>
  <c r="S350" i="7"/>
  <c r="S347" i="7"/>
  <c r="V53" i="7"/>
  <c r="V197" i="8"/>
  <c r="V467" i="8"/>
  <c r="V131" i="10"/>
  <c r="V47" i="10"/>
  <c r="V254" i="11"/>
  <c r="Q403" i="22"/>
  <c r="Q527" i="22"/>
  <c r="Q446" i="22"/>
  <c r="P97" i="26"/>
  <c r="D79" i="23"/>
  <c r="D5" i="26"/>
  <c r="R689" i="22"/>
  <c r="R21" i="22"/>
  <c r="V79" i="10"/>
  <c r="V124" i="10"/>
  <c r="V136" i="10"/>
  <c r="V183" i="7"/>
  <c r="S696" i="22"/>
  <c r="E23" i="26"/>
  <c r="W49" i="8"/>
  <c r="W186" i="8"/>
  <c r="Q177" i="26"/>
  <c r="R522" i="22"/>
  <c r="R554" i="22"/>
  <c r="E25" i="26"/>
  <c r="W227" i="7"/>
  <c r="W118" i="11"/>
  <c r="W190" i="11"/>
  <c r="W123" i="11"/>
  <c r="W310" i="8"/>
  <c r="W334" i="8"/>
  <c r="W388" i="8"/>
  <c r="W312" i="8"/>
  <c r="S258" i="9"/>
  <c r="S474" i="24"/>
  <c r="S923" i="22"/>
  <c r="S450" i="24"/>
  <c r="S452" i="24"/>
  <c r="S478" i="24" s="1"/>
  <c r="W143" i="12"/>
  <c r="Q218" i="26"/>
  <c r="O224" i="26"/>
  <c r="U458" i="11"/>
  <c r="U455" i="11"/>
  <c r="V156" i="10"/>
  <c r="V159" i="10"/>
  <c r="U133" i="10"/>
  <c r="U145" i="10"/>
  <c r="U142" i="10"/>
  <c r="P500" i="22"/>
  <c r="P662" i="22" s="1"/>
  <c r="P622" i="22"/>
  <c r="P649" i="22"/>
  <c r="X318" i="8"/>
  <c r="X266" i="8"/>
  <c r="X317" i="8"/>
  <c r="X67" i="11"/>
  <c r="X136" i="11"/>
  <c r="X137" i="11"/>
  <c r="S1104" i="24"/>
  <c r="V190" i="8"/>
  <c r="V208" i="8"/>
  <c r="V187" i="8"/>
  <c r="V215" i="8"/>
  <c r="W158" i="10"/>
  <c r="P1375" i="24"/>
  <c r="P1200" i="24"/>
  <c r="P1202" i="24"/>
  <c r="R325" i="22"/>
  <c r="R327" i="22"/>
  <c r="T127" i="13"/>
  <c r="T133" i="13"/>
  <c r="U133" i="13" s="1"/>
  <c r="U117" i="13"/>
  <c r="T499" i="11"/>
  <c r="T28" i="12"/>
  <c r="T501" i="11"/>
  <c r="U501" i="11" s="1"/>
  <c r="U497" i="11"/>
  <c r="V156" i="8"/>
  <c r="T335" i="7"/>
  <c r="U18" i="6"/>
  <c r="T19" i="6"/>
  <c r="U19" i="6" s="1"/>
  <c r="S255" i="8"/>
  <c r="O32" i="9"/>
  <c r="O1471" i="24"/>
  <c r="O1477" i="24"/>
  <c r="Y526" i="8"/>
  <c r="R157" i="13"/>
  <c r="R161" i="13"/>
  <c r="W218" i="10"/>
  <c r="X233" i="10"/>
  <c r="R759" i="24"/>
  <c r="R735" i="24"/>
  <c r="R737" i="24"/>
  <c r="R763" i="24" s="1"/>
  <c r="X585" i="8"/>
  <c r="X255" i="10"/>
  <c r="W305" i="7"/>
  <c r="X311" i="7"/>
  <c r="X603" i="8"/>
  <c r="W148" i="7"/>
  <c r="W32" i="7"/>
  <c r="U49" i="10"/>
  <c r="U52" i="10"/>
  <c r="V123" i="12"/>
  <c r="V126" i="12"/>
  <c r="V131" i="12"/>
  <c r="V66" i="10"/>
  <c r="V63" i="10"/>
  <c r="X262" i="8"/>
  <c r="X304" i="8"/>
  <c r="X305" i="8"/>
  <c r="X96" i="11"/>
  <c r="X54" i="11"/>
  <c r="X97" i="11"/>
  <c r="S1109" i="24"/>
  <c r="S1085" i="24"/>
  <c r="V99" i="10"/>
  <c r="V96" i="10"/>
  <c r="T44" i="11"/>
  <c r="U44" i="11" s="1"/>
  <c r="U18" i="11"/>
  <c r="T22" i="11"/>
  <c r="Q421" i="22"/>
  <c r="Q396" i="22"/>
  <c r="Q399" i="22"/>
  <c r="Q503" i="22"/>
  <c r="Q665" i="22" s="1"/>
  <c r="Q625" i="22"/>
  <c r="Q172" i="22"/>
  <c r="Q148" i="22"/>
  <c r="Q174" i="22" s="1"/>
  <c r="S43" i="14"/>
  <c r="V554" i="8"/>
  <c r="V545" i="8"/>
  <c r="V557" i="8"/>
  <c r="W553" i="8"/>
  <c r="W531" i="8"/>
  <c r="O376" i="22"/>
  <c r="O382" i="22"/>
  <c r="S33" i="14"/>
  <c r="S30" i="14"/>
  <c r="R275" i="7"/>
  <c r="R266" i="11"/>
  <c r="M151" i="26"/>
  <c r="R291" i="11"/>
  <c r="R13" i="3"/>
  <c r="V85" i="8"/>
  <c r="V294" i="8"/>
  <c r="V285" i="8"/>
  <c r="V282" i="8"/>
  <c r="X315" i="7"/>
  <c r="X607" i="8"/>
  <c r="W122" i="12"/>
  <c r="W134" i="12"/>
  <c r="R176" i="13"/>
  <c r="S14" i="7"/>
  <c r="S72" i="7"/>
  <c r="S76" i="7"/>
  <c r="S425" i="8"/>
  <c r="S219" i="11"/>
  <c r="S229" i="11"/>
  <c r="S428" i="8"/>
  <c r="L119" i="26"/>
  <c r="Q27" i="13"/>
  <c r="L120" i="26"/>
  <c r="Q28" i="13"/>
  <c r="P71" i="9"/>
  <c r="P1470" i="24"/>
  <c r="P1478" i="24" s="1"/>
  <c r="T215" i="12"/>
  <c r="T399" i="11"/>
  <c r="U399" i="11" s="1"/>
  <c r="O127" i="26"/>
  <c r="U391" i="11"/>
  <c r="T392" i="11"/>
  <c r="T243" i="8"/>
  <c r="U243" i="8" s="1"/>
  <c r="U235" i="8"/>
  <c r="T236" i="8"/>
  <c r="Q491" i="22"/>
  <c r="Q653" i="22" s="1"/>
  <c r="Q613" i="22"/>
  <c r="U91" i="8"/>
  <c r="T107" i="8"/>
  <c r="U107" i="8" s="1"/>
  <c r="U85" i="10"/>
  <c r="U82" i="10"/>
  <c r="O67" i="22"/>
  <c r="O77" i="22"/>
  <c r="S101" i="14"/>
  <c r="N87" i="26"/>
  <c r="V521" i="11"/>
  <c r="S170" i="13"/>
  <c r="S172" i="13"/>
  <c r="S72" i="14"/>
  <c r="R104" i="8"/>
  <c r="R108" i="8"/>
  <c r="R93" i="8"/>
  <c r="O35" i="9"/>
  <c r="O1475" i="24"/>
  <c r="L155" i="26"/>
  <c r="Q16" i="3"/>
  <c r="W32" i="8"/>
  <c r="W148" i="8"/>
  <c r="W154" i="8"/>
  <c r="O348" i="22"/>
  <c r="O354" i="22"/>
  <c r="Q280" i="22"/>
  <c r="Q286" i="22"/>
  <c r="S10" i="14"/>
  <c r="S97" i="14"/>
  <c r="N84" i="26"/>
  <c r="Q267" i="22"/>
  <c r="Q273" i="22"/>
  <c r="Q291" i="22"/>
  <c r="S376" i="7"/>
  <c r="S370" i="7"/>
  <c r="R500" i="8"/>
  <c r="M193" i="26"/>
  <c r="R448" i="8"/>
  <c r="U408" i="8"/>
  <c r="U420" i="8"/>
  <c r="U381" i="8"/>
  <c r="U417" i="8"/>
  <c r="R477" i="22"/>
  <c r="R639" i="22" s="1"/>
  <c r="R599" i="22"/>
  <c r="Q182" i="26"/>
  <c r="P206" i="26"/>
  <c r="X244" i="10"/>
  <c r="W439" i="11"/>
  <c r="W427" i="11"/>
  <c r="W453" i="11" s="1"/>
  <c r="W169" i="7"/>
  <c r="W38" i="8"/>
  <c r="W166" i="8"/>
  <c r="W596" i="8"/>
  <c r="W599" i="8"/>
  <c r="P36" i="13"/>
  <c r="Q36" i="13" s="1"/>
  <c r="L113" i="26"/>
  <c r="Q20" i="13"/>
  <c r="P39" i="13"/>
  <c r="Q39" i="13" s="1"/>
  <c r="L116" i="26"/>
  <c r="Q23" i="13"/>
  <c r="P34" i="13"/>
  <c r="Q34" i="13" s="1"/>
  <c r="P8" i="13"/>
  <c r="P24" i="13"/>
  <c r="L111" i="26"/>
  <c r="Q18" i="13"/>
  <c r="V226" i="8"/>
  <c r="V239" i="8"/>
  <c r="V31" i="11"/>
  <c r="V395" i="11"/>
  <c r="V162" i="12"/>
  <c r="V30" i="11"/>
  <c r="V382" i="11"/>
  <c r="V345" i="7"/>
  <c r="R570" i="22"/>
  <c r="Q178" i="26"/>
  <c r="X147" i="7"/>
  <c r="X193" i="10"/>
  <c r="X57" i="10"/>
  <c r="X409" i="11"/>
  <c r="X104" i="12"/>
  <c r="S730" i="24"/>
  <c r="Y185" i="10"/>
  <c r="R245" i="9"/>
  <c r="R220" i="9"/>
  <c r="R223" i="9"/>
  <c r="U149" i="12"/>
  <c r="T150" i="12"/>
  <c r="T153" i="12"/>
  <c r="Q699" i="22"/>
  <c r="U12" i="16" s="1"/>
  <c r="Q708" i="22"/>
  <c r="Q711" i="22"/>
  <c r="V75" i="8"/>
  <c r="V97" i="8"/>
  <c r="R125" i="8"/>
  <c r="R472" i="8"/>
  <c r="M199" i="26"/>
  <c r="R476" i="8"/>
  <c r="V171" i="11"/>
  <c r="V185" i="11"/>
  <c r="W566" i="8"/>
  <c r="W180" i="12"/>
  <c r="R1073" i="24"/>
  <c r="W484" i="11" s="1"/>
  <c r="W212" i="7"/>
  <c r="W73" i="11"/>
  <c r="W85" i="11"/>
  <c r="S98" i="8"/>
  <c r="D18" i="17"/>
  <c r="W318" i="7"/>
  <c r="W610" i="8"/>
  <c r="Q17" i="21"/>
  <c r="Q19" i="21" s="1"/>
  <c r="W38" i="7"/>
  <c r="W169" i="8"/>
  <c r="W608" i="8"/>
  <c r="V34" i="7"/>
  <c r="R458" i="22"/>
  <c r="R472" i="22"/>
  <c r="R594" i="22"/>
  <c r="R434" i="22"/>
  <c r="E7" i="26"/>
  <c r="V410" i="8"/>
  <c r="V367" i="8"/>
  <c r="V364" i="8"/>
  <c r="V372" i="8"/>
  <c r="V399" i="8"/>
  <c r="X322" i="8"/>
  <c r="X267" i="8"/>
  <c r="X321" i="8"/>
  <c r="X71" i="11"/>
  <c r="X149" i="11"/>
  <c r="X150" i="11"/>
  <c r="V431" i="11"/>
  <c r="V428" i="11"/>
  <c r="V436" i="11"/>
  <c r="W253" i="10"/>
  <c r="O135" i="26"/>
  <c r="U366" i="11"/>
  <c r="Q545" i="22"/>
  <c r="Q585" i="22" s="1"/>
  <c r="Q559" i="22"/>
  <c r="Q520" i="22"/>
  <c r="Q523" i="22"/>
  <c r="P110" i="22"/>
  <c r="P136" i="22" s="1"/>
  <c r="P128" i="22"/>
  <c r="Q151" i="22"/>
  <c r="Q177" i="22" s="1"/>
  <c r="Q169" i="22"/>
  <c r="S377" i="7"/>
  <c r="V192" i="13"/>
  <c r="T201" i="13"/>
  <c r="U201" i="13" s="1"/>
  <c r="U193" i="13"/>
  <c r="T194" i="13"/>
  <c r="S199" i="7"/>
  <c r="S201" i="7"/>
  <c r="Q790" i="24"/>
  <c r="Q793" i="24"/>
  <c r="Q798" i="24"/>
  <c r="S28" i="22"/>
  <c r="R410" i="22"/>
  <c r="R398" i="22"/>
  <c r="W52" i="8"/>
  <c r="W195" i="8"/>
  <c r="Q181" i="26"/>
  <c r="W208" i="7"/>
  <c r="W60" i="11"/>
  <c r="W84" i="11"/>
  <c r="W62" i="11"/>
  <c r="W271" i="8"/>
  <c r="W289" i="8"/>
  <c r="W264" i="8"/>
  <c r="P507" i="22"/>
  <c r="P669" i="22" s="1"/>
  <c r="P629" i="22"/>
  <c r="P12" i="5"/>
  <c r="Q12" i="5" s="1"/>
  <c r="Q22" i="16"/>
  <c r="R22" i="16" s="1"/>
  <c r="Q24" i="3"/>
  <c r="T61" i="12"/>
  <c r="U61" i="12" s="1"/>
  <c r="T54" i="12"/>
  <c r="U53" i="12"/>
  <c r="X150" i="8"/>
  <c r="X542" i="8"/>
  <c r="Y534" i="8"/>
  <c r="K140" i="26"/>
  <c r="W151" i="10"/>
  <c r="Q638" i="22"/>
  <c r="V133" i="7"/>
  <c r="V20" i="8"/>
  <c r="V119" i="8"/>
  <c r="V452" i="8"/>
  <c r="V302" i="11"/>
  <c r="D155" i="23"/>
  <c r="P904" i="22"/>
  <c r="P897" i="22"/>
  <c r="Q213" i="22"/>
  <c r="Q189" i="22"/>
  <c r="Q191" i="22"/>
  <c r="Q217" i="22" s="1"/>
  <c r="T126" i="13"/>
  <c r="T132" i="13"/>
  <c r="U132" i="13" s="1"/>
  <c r="U116" i="13"/>
  <c r="T16" i="12"/>
  <c r="U16" i="12"/>
  <c r="T18" i="12"/>
  <c r="U18" i="12"/>
  <c r="U189" i="7"/>
  <c r="U186" i="7"/>
  <c r="O19" i="9"/>
  <c r="X348" i="8"/>
  <c r="X349" i="8"/>
  <c r="X276" i="8"/>
  <c r="X59" i="11"/>
  <c r="X113" i="11"/>
  <c r="X114" i="11"/>
  <c r="Q246" i="9"/>
  <c r="Q237" i="9"/>
  <c r="Q249" i="9"/>
  <c r="W154" i="7"/>
  <c r="X160" i="7"/>
  <c r="W298" i="7"/>
  <c r="X160" i="8"/>
  <c r="X578" i="8"/>
  <c r="W109" i="12"/>
  <c r="W133" i="12"/>
  <c r="W111" i="12"/>
  <c r="W216" i="10"/>
  <c r="X231" i="10"/>
  <c r="W194" i="10"/>
  <c r="W191" i="10"/>
  <c r="R16" i="7"/>
  <c r="V85" i="7"/>
  <c r="V89" i="11"/>
  <c r="V565" i="8"/>
  <c r="V357" i="11"/>
  <c r="V452" i="11"/>
  <c r="V179" i="12"/>
  <c r="Q1072" i="24"/>
  <c r="V359" i="11"/>
  <c r="V152" i="12"/>
  <c r="V145" i="12"/>
  <c r="V138" i="12"/>
  <c r="V143" i="11"/>
  <c r="V170" i="11"/>
  <c r="V184" i="11"/>
  <c r="V206" i="11"/>
  <c r="X523" i="8"/>
  <c r="X547" i="8"/>
  <c r="Y547" i="8" s="1"/>
  <c r="Y521" i="8"/>
  <c r="R941" i="22"/>
  <c r="R916" i="22"/>
  <c r="R919" i="22"/>
  <c r="R945" i="22" s="1"/>
  <c r="T386" i="11"/>
  <c r="U386" i="11" s="1"/>
  <c r="T202" i="12"/>
  <c r="O212" i="26"/>
  <c r="U378" i="11"/>
  <c r="T379" i="11"/>
  <c r="S80" i="13"/>
  <c r="P107" i="22"/>
  <c r="P133" i="22" s="1"/>
  <c r="P131" i="22"/>
  <c r="O1245" i="24"/>
  <c r="O1239" i="24"/>
  <c r="S51" i="14"/>
  <c r="Q144" i="22"/>
  <c r="Q150" i="22"/>
  <c r="Q176" i="22" s="1"/>
  <c r="Q168" i="22"/>
  <c r="V296" i="8"/>
  <c r="W316" i="7"/>
  <c r="V303" i="7"/>
  <c r="V306" i="7"/>
  <c r="U26" i="12"/>
  <c r="L123" i="26"/>
  <c r="Q31" i="13"/>
  <c r="P35" i="13"/>
  <c r="Q35" i="13" s="1"/>
  <c r="L112" i="26"/>
  <c r="Q19" i="13"/>
  <c r="V193" i="12"/>
  <c r="P137" i="26"/>
  <c r="V57" i="12"/>
  <c r="S84" i="7"/>
  <c r="S84" i="8"/>
  <c r="S48" i="11"/>
  <c r="S207" i="12"/>
  <c r="S209" i="12"/>
  <c r="X147" i="8"/>
  <c r="X530" i="8"/>
  <c r="Y522" i="8"/>
  <c r="M147" i="26"/>
  <c r="V75" i="7"/>
  <c r="V97" i="7"/>
  <c r="M152" i="26"/>
  <c r="R294" i="11"/>
  <c r="V411" i="8"/>
  <c r="W402" i="8"/>
  <c r="W375" i="8"/>
  <c r="D716" i="22"/>
  <c r="D717" i="22" s="1"/>
  <c r="D12" i="17"/>
  <c r="W81" i="7"/>
  <c r="W70" i="8"/>
  <c r="W260" i="10"/>
  <c r="W166" i="7"/>
  <c r="V156" i="7"/>
  <c r="V153" i="7"/>
  <c r="S677" i="22"/>
  <c r="S701" i="22"/>
  <c r="R515" i="22"/>
  <c r="R539" i="22"/>
  <c r="R579" i="22" s="1"/>
  <c r="R553" i="22"/>
  <c r="P573" i="22"/>
  <c r="P576" i="22"/>
  <c r="P549" i="22"/>
  <c r="P546" i="22"/>
  <c r="P537" i="22"/>
  <c r="U54" i="8"/>
  <c r="T55" i="8"/>
  <c r="T58" i="8"/>
  <c r="Y538" i="8"/>
  <c r="Q749" i="24"/>
  <c r="Q752" i="24"/>
  <c r="Q757" i="24"/>
  <c r="V286" i="7"/>
  <c r="V511" i="8"/>
  <c r="V298" i="11"/>
  <c r="D131" i="23"/>
  <c r="D18" i="26"/>
  <c r="S90" i="14"/>
  <c r="S115" i="14"/>
  <c r="S68" i="14" s="1"/>
  <c r="S364" i="7"/>
  <c r="S382" i="7"/>
  <c r="R485" i="22"/>
  <c r="R647" i="22" s="1"/>
  <c r="R607" i="22"/>
  <c r="R453" i="22"/>
  <c r="W123" i="7"/>
  <c r="W116" i="8"/>
  <c r="W442" i="8"/>
  <c r="W271" i="11"/>
  <c r="E151" i="23"/>
  <c r="S684" i="22"/>
  <c r="W116" i="7"/>
  <c r="W123" i="8"/>
  <c r="W463" i="8"/>
  <c r="W243" i="11"/>
  <c r="E159" i="23"/>
  <c r="W226" i="7"/>
  <c r="W117" i="11"/>
  <c r="W111" i="11"/>
  <c r="W189" i="11"/>
  <c r="W122" i="11"/>
  <c r="W479" i="11"/>
  <c r="R80" i="16"/>
  <c r="S90" i="16"/>
  <c r="P492" i="22"/>
  <c r="P614" i="22"/>
  <c r="P495" i="22"/>
  <c r="P617" i="22"/>
  <c r="P456" i="22"/>
  <c r="P465" i="22"/>
  <c r="P468" i="22"/>
  <c r="S62" i="12"/>
  <c r="S329" i="9"/>
  <c r="S317" i="9"/>
  <c r="N139" i="26"/>
  <c r="T79" i="12"/>
  <c r="T166" i="12"/>
  <c r="U166" i="12" s="1"/>
  <c r="U47" i="12"/>
  <c r="U79" i="12"/>
  <c r="X150" i="7"/>
  <c r="X60" i="10"/>
  <c r="X205" i="10"/>
  <c r="Y205" i="10" s="1"/>
  <c r="X421" i="11"/>
  <c r="X116" i="12"/>
  <c r="S742" i="24"/>
  <c r="Y197" i="10"/>
  <c r="Q466" i="22"/>
  <c r="Q480" i="22"/>
  <c r="Q642" i="22" s="1"/>
  <c r="Q602" i="22"/>
  <c r="Q502" i="22"/>
  <c r="Q664" i="22" s="1"/>
  <c r="Q624" i="22"/>
  <c r="P1148" i="24"/>
  <c r="P1160" i="24"/>
  <c r="P1150" i="24"/>
  <c r="R336" i="22"/>
  <c r="R312" i="22"/>
  <c r="R314" i="22"/>
  <c r="R340" i="22" s="1"/>
  <c r="R243" i="22"/>
  <c r="R245" i="22"/>
  <c r="T125" i="13"/>
  <c r="T118" i="13"/>
  <c r="T131" i="13"/>
  <c r="U131" i="13" s="1"/>
  <c r="U115" i="13"/>
  <c r="T513" i="11"/>
  <c r="T42" i="12"/>
  <c r="T466" i="11"/>
  <c r="T323" i="11"/>
  <c r="T74" i="12" s="1"/>
  <c r="T368" i="11"/>
  <c r="O107" i="26"/>
  <c r="T515" i="11"/>
  <c r="U323" i="11"/>
  <c r="U511" i="11"/>
  <c r="V153" i="8"/>
  <c r="T17" i="3"/>
  <c r="V7" i="3"/>
  <c r="T21" i="3"/>
  <c r="T11" i="6" s="1"/>
  <c r="T27" i="3"/>
  <c r="T12" i="6" s="1"/>
  <c r="T20" i="6"/>
  <c r="U20" i="6" s="1"/>
  <c r="T10" i="6"/>
  <c r="T14" i="6"/>
  <c r="U14" i="6" s="1"/>
  <c r="T15" i="6"/>
  <c r="U15" i="6" s="1"/>
  <c r="T26" i="8"/>
  <c r="T139" i="8"/>
  <c r="T514" i="8"/>
  <c r="T308" i="11"/>
  <c r="C143" i="23"/>
  <c r="O103" i="26"/>
  <c r="T56" i="13"/>
  <c r="U56" i="13" s="1"/>
  <c r="P1217" i="24"/>
  <c r="T51" i="13"/>
  <c r="P1213" i="24"/>
  <c r="T55" i="13"/>
  <c r="T52" i="13"/>
  <c r="P1214" i="24"/>
  <c r="P1218" i="24"/>
  <c r="T28" i="14" s="1"/>
  <c r="U17" i="3"/>
  <c r="U139" i="8"/>
  <c r="U21" i="3"/>
  <c r="U26" i="8"/>
  <c r="U27" i="3"/>
  <c r="U308" i="11"/>
  <c r="U514" i="8"/>
  <c r="U12" i="6"/>
  <c r="U10" i="6"/>
  <c r="U11" i="6"/>
  <c r="U6" i="3"/>
  <c r="S80" i="12"/>
  <c r="S164" i="12"/>
  <c r="S167" i="12"/>
  <c r="S77" i="12"/>
  <c r="S253" i="8"/>
  <c r="S231" i="8"/>
  <c r="S228" i="8"/>
  <c r="S220" i="12"/>
  <c r="S222" i="12"/>
  <c r="T303" i="9"/>
  <c r="S775" i="24"/>
  <c r="W91" i="10"/>
  <c r="W64" i="10"/>
  <c r="W414" i="11"/>
  <c r="W438" i="11"/>
  <c r="W416" i="11"/>
  <c r="W98" i="10"/>
  <c r="W23" i="10"/>
  <c r="W58" i="10"/>
  <c r="V77" i="11"/>
  <c r="V74" i="11"/>
  <c r="V82" i="11"/>
  <c r="S198" i="12"/>
  <c r="S195" i="12"/>
  <c r="R363" i="9"/>
  <c r="R372" i="9"/>
  <c r="R375" i="9"/>
  <c r="V168" i="11"/>
  <c r="V146" i="11"/>
  <c r="V182" i="11"/>
  <c r="V237" i="7"/>
  <c r="T341" i="9"/>
  <c r="T365" i="9"/>
  <c r="T298" i="9"/>
  <c r="S215" i="9"/>
  <c r="S239" i="9"/>
  <c r="S770" i="24"/>
  <c r="R464" i="24"/>
  <c r="R467" i="24"/>
  <c r="R472" i="24"/>
  <c r="R29" i="21" s="1"/>
  <c r="R31" i="21" s="1"/>
  <c r="R276" i="9"/>
  <c r="R289" i="9" s="1"/>
  <c r="R227" i="9"/>
  <c r="W535" i="8"/>
  <c r="W198" i="10"/>
  <c r="R1097" i="24"/>
  <c r="R269" i="9"/>
  <c r="R281" i="9"/>
  <c r="S353" i="9"/>
  <c r="S69" i="14" l="1"/>
  <c r="S13" i="14"/>
  <c r="S75" i="14"/>
  <c r="W148" i="12"/>
  <c r="Q222" i="26"/>
  <c r="S361" i="9"/>
  <c r="S374" i="9" s="1"/>
  <c r="S458" i="24"/>
  <c r="S312" i="9"/>
  <c r="S354" i="9"/>
  <c r="S366" i="9"/>
  <c r="R235" i="9"/>
  <c r="R248" i="9" s="1"/>
  <c r="R784" i="24"/>
  <c r="R228" i="9"/>
  <c r="R240" i="9"/>
  <c r="R480" i="24"/>
  <c r="R477" i="24"/>
  <c r="R468" i="24"/>
  <c r="S221" i="12"/>
  <c r="S224" i="12"/>
  <c r="T360" i="7"/>
  <c r="T373" i="7"/>
  <c r="U373" i="7" s="1"/>
  <c r="U100" i="14"/>
  <c r="P70" i="22"/>
  <c r="Q119" i="22"/>
  <c r="Q106" i="22"/>
  <c r="Q132" i="22" s="1"/>
  <c r="U28" i="14"/>
  <c r="T42" i="14"/>
  <c r="U42" i="14" s="1"/>
  <c r="T86" i="14"/>
  <c r="P74" i="22"/>
  <c r="R147" i="22"/>
  <c r="R270" i="22"/>
  <c r="P379" i="22"/>
  <c r="P66" i="22"/>
  <c r="P78" i="22" s="1"/>
  <c r="R160" i="22"/>
  <c r="R283" i="22"/>
  <c r="P365" i="22"/>
  <c r="P351" i="22"/>
  <c r="O86" i="26"/>
  <c r="P1242" i="24"/>
  <c r="T56" i="14" s="1"/>
  <c r="T124" i="13"/>
  <c r="T128" i="13"/>
  <c r="T134" i="13"/>
  <c r="U134" i="13" s="1"/>
  <c r="U118" i="13"/>
  <c r="V298" i="10"/>
  <c r="Q762" i="24"/>
  <c r="Q753" i="24"/>
  <c r="Q765" i="24"/>
  <c r="U55" i="8"/>
  <c r="U58" i="8"/>
  <c r="Q170" i="22"/>
  <c r="Q149" i="22"/>
  <c r="Q152" i="22"/>
  <c r="O213" i="26"/>
  <c r="U379" i="11"/>
  <c r="V210" i="11"/>
  <c r="W357" i="8"/>
  <c r="W279" i="8"/>
  <c r="W358" i="8"/>
  <c r="W68" i="11"/>
  <c r="W141" i="11"/>
  <c r="W140" i="11"/>
  <c r="R1105" i="24"/>
  <c r="R1118" i="24" s="1"/>
  <c r="R1098" i="24"/>
  <c r="R1110" i="24"/>
  <c r="X109" i="10"/>
  <c r="S796" i="24"/>
  <c r="S772" i="24"/>
  <c r="T300" i="9"/>
  <c r="T324" i="9"/>
  <c r="V86" i="7"/>
  <c r="V86" i="8"/>
  <c r="V208" i="11"/>
  <c r="W280" i="10"/>
  <c r="W31" i="10"/>
  <c r="W287" i="10"/>
  <c r="W440" i="11"/>
  <c r="W418" i="11"/>
  <c r="W415" i="11"/>
  <c r="S245" i="8"/>
  <c r="S257" i="8"/>
  <c r="S254" i="8"/>
  <c r="T24" i="14"/>
  <c r="P1222" i="24"/>
  <c r="T59" i="13"/>
  <c r="U59" i="13" s="1"/>
  <c r="T53" i="13"/>
  <c r="U51" i="13"/>
  <c r="T370" i="11"/>
  <c r="T192" i="12"/>
  <c r="O136" i="26"/>
  <c r="T372" i="11"/>
  <c r="U372" i="11" s="1"/>
  <c r="U368" i="11"/>
  <c r="T325" i="11"/>
  <c r="T468" i="11"/>
  <c r="U468" i="11" s="1"/>
  <c r="O109" i="26"/>
  <c r="U513" i="11"/>
  <c r="U325" i="11"/>
  <c r="T514" i="11"/>
  <c r="T517" i="11"/>
  <c r="U125" i="13"/>
  <c r="T141" i="13"/>
  <c r="U141" i="13" s="1"/>
  <c r="R338" i="22"/>
  <c r="R313" i="22"/>
  <c r="R316" i="22"/>
  <c r="P1152" i="24"/>
  <c r="P1149" i="24"/>
  <c r="X124" i="12"/>
  <c r="Y124" i="12" s="1"/>
  <c r="Y116" i="12"/>
  <c r="W493" i="11"/>
  <c r="W507" i="11"/>
  <c r="W10" i="12"/>
  <c r="W100" i="13"/>
  <c r="S196" i="22"/>
  <c r="W101" i="13"/>
  <c r="W99" i="13"/>
  <c r="T306" i="22"/>
  <c r="T224" i="22"/>
  <c r="T237" i="22"/>
  <c r="R895" i="22"/>
  <c r="S183" i="22"/>
  <c r="T319" i="22"/>
  <c r="R1194" i="24"/>
  <c r="Q68" i="26"/>
  <c r="R1142" i="24"/>
  <c r="W228" i="7"/>
  <c r="W119" i="11"/>
  <c r="W191" i="11"/>
  <c r="W124" i="11"/>
  <c r="S390" i="7"/>
  <c r="S76" i="14"/>
  <c r="S87" i="8"/>
  <c r="S89" i="8"/>
  <c r="S59" i="14"/>
  <c r="S209" i="13"/>
  <c r="S53" i="14"/>
  <c r="V169" i="11"/>
  <c r="V160" i="11"/>
  <c r="V172" i="11"/>
  <c r="V183" i="11"/>
  <c r="V186" i="11"/>
  <c r="V181" i="12"/>
  <c r="V183" i="12"/>
  <c r="V567" i="8"/>
  <c r="P207" i="26"/>
  <c r="V569" i="8"/>
  <c r="X232" i="10"/>
  <c r="X235" i="10"/>
  <c r="X257" i="10"/>
  <c r="W135" i="12"/>
  <c r="W110" i="12"/>
  <c r="W113" i="12"/>
  <c r="X312" i="7"/>
  <c r="Y276" i="8"/>
  <c r="Q215" i="22"/>
  <c r="Q190" i="22"/>
  <c r="Q193" i="22"/>
  <c r="W64" i="8"/>
  <c r="W290" i="8"/>
  <c r="W272" i="8"/>
  <c r="W269" i="8"/>
  <c r="W64" i="7"/>
  <c r="W88" i="11"/>
  <c r="W216" i="7"/>
  <c r="W209" i="7"/>
  <c r="U194" i="13"/>
  <c r="Q560" i="22"/>
  <c r="Q563" i="22"/>
  <c r="V444" i="11"/>
  <c r="V441" i="11"/>
  <c r="V432" i="11"/>
  <c r="Y150" i="11"/>
  <c r="Y267" i="8"/>
  <c r="V380" i="8"/>
  <c r="V404" i="8"/>
  <c r="V377" i="8"/>
  <c r="V368" i="8"/>
  <c r="V407" i="8"/>
  <c r="W39" i="7"/>
  <c r="W39" i="8"/>
  <c r="W167" i="8"/>
  <c r="W170" i="8"/>
  <c r="W609" i="8"/>
  <c r="W612" i="8"/>
  <c r="W600" i="8"/>
  <c r="U9" i="4"/>
  <c r="T19" i="5"/>
  <c r="V12" i="16"/>
  <c r="T10" i="15"/>
  <c r="S738" i="24"/>
  <c r="Y57" i="10"/>
  <c r="V252" i="8"/>
  <c r="R510" i="8"/>
  <c r="Q299" i="22"/>
  <c r="S102" i="14"/>
  <c r="S105" i="14"/>
  <c r="O1304" i="24"/>
  <c r="N88" i="26"/>
  <c r="O1303" i="24"/>
  <c r="O1301" i="24"/>
  <c r="O1305" i="24"/>
  <c r="O1302" i="24"/>
  <c r="S79" i="13"/>
  <c r="O353" i="22"/>
  <c r="O356" i="22"/>
  <c r="O128" i="26"/>
  <c r="U392" i="11"/>
  <c r="T223" i="12"/>
  <c r="U223" i="12" s="1"/>
  <c r="U215" i="12"/>
  <c r="T216" i="12"/>
  <c r="S112" i="7"/>
  <c r="S262" i="7"/>
  <c r="S239" i="11"/>
  <c r="S225" i="11"/>
  <c r="N141" i="26"/>
  <c r="M153" i="26"/>
  <c r="R285" i="7"/>
  <c r="X385" i="8"/>
  <c r="Y385" i="8" s="1"/>
  <c r="X331" i="8"/>
  <c r="Y305" i="8"/>
  <c r="V136" i="12"/>
  <c r="V127" i="12"/>
  <c r="V139" i="12"/>
  <c r="X162" i="7"/>
  <c r="X319" i="7"/>
  <c r="X611" i="8"/>
  <c r="R18" i="21"/>
  <c r="O38" i="9"/>
  <c r="T30" i="12"/>
  <c r="T32" i="12"/>
  <c r="U32" i="12" s="1"/>
  <c r="U28" i="12"/>
  <c r="U127" i="13"/>
  <c r="T143" i="13"/>
  <c r="U143" i="13" s="1"/>
  <c r="P1201" i="24"/>
  <c r="P1204" i="24"/>
  <c r="X75" i="11"/>
  <c r="Y67" i="11"/>
  <c r="V10" i="7"/>
  <c r="V54" i="7"/>
  <c r="V273" i="7"/>
  <c r="V498" i="8"/>
  <c r="V257" i="11"/>
  <c r="D91" i="23"/>
  <c r="P98" i="26"/>
  <c r="V187" i="7"/>
  <c r="R29" i="22"/>
  <c r="R42" i="22" s="1"/>
  <c r="R34" i="22"/>
  <c r="R22" i="22"/>
  <c r="D26" i="26"/>
  <c r="V51" i="10"/>
  <c r="V81" i="10"/>
  <c r="V334" i="7"/>
  <c r="S91" i="16"/>
  <c r="R322" i="9"/>
  <c r="R331" i="9"/>
  <c r="R334" i="9"/>
  <c r="R205" i="22"/>
  <c r="R198" i="22"/>
  <c r="V107" i="13"/>
  <c r="V136" i="13"/>
  <c r="V109" i="13"/>
  <c r="V19" i="12"/>
  <c r="V12" i="12"/>
  <c r="R135" i="7"/>
  <c r="X353" i="8"/>
  <c r="Y345" i="8"/>
  <c r="O370" i="22"/>
  <c r="O367" i="22"/>
  <c r="R22" i="5"/>
  <c r="R71" i="13"/>
  <c r="S84" i="16"/>
  <c r="N66" i="26"/>
  <c r="S85" i="16"/>
  <c r="N67" i="26"/>
  <c r="S213" i="13"/>
  <c r="S57" i="14"/>
  <c r="X105" i="12"/>
  <c r="X129" i="12"/>
  <c r="Y129" i="12" s="1"/>
  <c r="Y103" i="12"/>
  <c r="Y186" i="10"/>
  <c r="V288" i="10"/>
  <c r="V33" i="10"/>
  <c r="V285" i="10"/>
  <c r="V217" i="7"/>
  <c r="V214" i="7"/>
  <c r="Y108" i="12"/>
  <c r="T69" i="16"/>
  <c r="S61" i="16"/>
  <c r="Q479" i="22"/>
  <c r="Q601" i="22"/>
  <c r="Q482" i="22"/>
  <c r="Q604" i="22"/>
  <c r="Q504" i="22"/>
  <c r="Q666" i="22" s="1"/>
  <c r="Q626" i="22"/>
  <c r="N145" i="26"/>
  <c r="W393" i="8"/>
  <c r="W339" i="8"/>
  <c r="R635" i="22"/>
  <c r="Y425" i="11"/>
  <c r="O188" i="26"/>
  <c r="U11" i="8"/>
  <c r="W403" i="8"/>
  <c r="W376" i="8"/>
  <c r="V257" i="7"/>
  <c r="N217" i="26"/>
  <c r="R135" i="8"/>
  <c r="M194" i="26"/>
  <c r="R19" i="8"/>
  <c r="R118" i="8"/>
  <c r="S149" i="13"/>
  <c r="O88" i="22"/>
  <c r="O59" i="22"/>
  <c r="O62" i="22"/>
  <c r="O84" i="22"/>
  <c r="S148" i="13"/>
  <c r="R301" i="11"/>
  <c r="R278" i="7"/>
  <c r="R132" i="7"/>
  <c r="S389" i="7"/>
  <c r="S150" i="13"/>
  <c r="O92" i="22"/>
  <c r="T256" i="8"/>
  <c r="U256" i="8" s="1"/>
  <c r="U230" i="8"/>
  <c r="W151" i="7"/>
  <c r="X593" i="8"/>
  <c r="W61" i="10"/>
  <c r="W206" i="10"/>
  <c r="X239" i="10"/>
  <c r="W422" i="11"/>
  <c r="W117" i="12"/>
  <c r="R743" i="24"/>
  <c r="W211" i="10"/>
  <c r="W199" i="10"/>
  <c r="W300" i="7"/>
  <c r="W93" i="10"/>
  <c r="V245" i="7"/>
  <c r="V242" i="7"/>
  <c r="V250" i="7"/>
  <c r="V90" i="11"/>
  <c r="V78" i="11"/>
  <c r="V87" i="11"/>
  <c r="T27" i="14"/>
  <c r="P1219" i="24"/>
  <c r="X429" i="11"/>
  <c r="Y429" i="11" s="1"/>
  <c r="Y421" i="11"/>
  <c r="W202" i="11"/>
  <c r="R493" i="22"/>
  <c r="R655" i="22" s="1"/>
  <c r="R615" i="22"/>
  <c r="Y349" i="8"/>
  <c r="U54" i="12"/>
  <c r="Q183" i="26"/>
  <c r="X151" i="11"/>
  <c r="Y149" i="11"/>
  <c r="Y322" i="8"/>
  <c r="R634" i="22"/>
  <c r="Q208" i="26"/>
  <c r="R482" i="8"/>
  <c r="X112" i="12"/>
  <c r="Y104" i="12"/>
  <c r="Y193" i="10"/>
  <c r="V219" i="12"/>
  <c r="P130" i="26"/>
  <c r="P40" i="13"/>
  <c r="P33" i="13"/>
  <c r="Q24" i="13"/>
  <c r="S375" i="7"/>
  <c r="S378" i="7"/>
  <c r="Q272" i="22"/>
  <c r="Q275" i="22"/>
  <c r="Q293" i="22"/>
  <c r="U236" i="8"/>
  <c r="S112" i="8"/>
  <c r="S431" i="8"/>
  <c r="S487" i="8"/>
  <c r="N189" i="26"/>
  <c r="T68" i="7"/>
  <c r="T79" i="8"/>
  <c r="U22" i="11"/>
  <c r="X223" i="7"/>
  <c r="X105" i="11"/>
  <c r="X177" i="11"/>
  <c r="Y177" i="11" s="1"/>
  <c r="Y97" i="11"/>
  <c r="X306" i="8"/>
  <c r="X384" i="8"/>
  <c r="Y384" i="8" s="1"/>
  <c r="X330" i="8"/>
  <c r="Y304" i="8"/>
  <c r="R761" i="24"/>
  <c r="R739" i="24"/>
  <c r="R736" i="24"/>
  <c r="X259" i="10"/>
  <c r="U499" i="11"/>
  <c r="T500" i="11"/>
  <c r="T503" i="11"/>
  <c r="P1377" i="24"/>
  <c r="P1379" i="24"/>
  <c r="X319" i="8"/>
  <c r="X325" i="8"/>
  <c r="Y317" i="8"/>
  <c r="S260" i="9"/>
  <c r="S284" i="9"/>
  <c r="S217" i="9"/>
  <c r="S1087" i="24"/>
  <c r="X188" i="10"/>
  <c r="X525" i="8"/>
  <c r="T343" i="9"/>
  <c r="S262" i="9"/>
  <c r="S288" i="9" s="1"/>
  <c r="W414" i="8"/>
  <c r="R562" i="22"/>
  <c r="V477" i="8"/>
  <c r="V285" i="11"/>
  <c r="D6" i="26"/>
  <c r="D83" i="23"/>
  <c r="R697" i="22"/>
  <c r="R710" i="22" s="1"/>
  <c r="R690" i="22"/>
  <c r="R702" i="22"/>
  <c r="Q454" i="22"/>
  <c r="Q486" i="22"/>
  <c r="Q608" i="22"/>
  <c r="Q459" i="22"/>
  <c r="Q447" i="22"/>
  <c r="V144" i="10"/>
  <c r="V53" i="8"/>
  <c r="V199" i="8"/>
  <c r="P184" i="26"/>
  <c r="V201" i="8"/>
  <c r="V210" i="8"/>
  <c r="S46" i="11"/>
  <c r="S37" i="11"/>
  <c r="S49" i="11"/>
  <c r="V201" i="12"/>
  <c r="P211" i="26"/>
  <c r="X126" i="10"/>
  <c r="W156" i="11"/>
  <c r="W159" i="11"/>
  <c r="W195" i="11"/>
  <c r="W241" i="7"/>
  <c r="Q1177" i="24"/>
  <c r="P70" i="26"/>
  <c r="Q901" i="22"/>
  <c r="Q8" i="21" s="1"/>
  <c r="Q903" i="22"/>
  <c r="R192" i="22"/>
  <c r="R218" i="22" s="1"/>
  <c r="R210" i="22"/>
  <c r="R185" i="22"/>
  <c r="V138" i="13"/>
  <c r="V111" i="13"/>
  <c r="V463" i="11"/>
  <c r="V320" i="11"/>
  <c r="V71" i="12" s="1"/>
  <c r="V516" i="11"/>
  <c r="V365" i="11"/>
  <c r="V39" i="12"/>
  <c r="P105" i="26"/>
  <c r="V509" i="11"/>
  <c r="X127" i="11"/>
  <c r="Y101" i="11"/>
  <c r="X352" i="8"/>
  <c r="X346" i="8"/>
  <c r="Y344" i="8"/>
  <c r="R651" i="22"/>
  <c r="S47" i="14"/>
  <c r="S44" i="14"/>
  <c r="X410" i="11"/>
  <c r="X434" i="11"/>
  <c r="Y434" i="11" s="1"/>
  <c r="Y408" i="11"/>
  <c r="Y278" i="10"/>
  <c r="Y270" i="10"/>
  <c r="Y89" i="10"/>
  <c r="Y413" i="11"/>
  <c r="R21" i="5"/>
  <c r="R185" i="13"/>
  <c r="R256" i="22"/>
  <c r="R234" i="22"/>
  <c r="R231" i="22"/>
  <c r="P180" i="26"/>
  <c r="T319" i="9"/>
  <c r="S929" i="22"/>
  <c r="S932" i="22"/>
  <c r="S462" i="8"/>
  <c r="S122" i="8"/>
  <c r="N196" i="26"/>
  <c r="W249" i="10"/>
  <c r="W258" i="10"/>
  <c r="W261" i="10"/>
  <c r="U216" i="8"/>
  <c r="U204" i="8"/>
  <c r="U213" i="8"/>
  <c r="W180" i="7"/>
  <c r="W181" i="8"/>
  <c r="W429" i="8"/>
  <c r="W115" i="10"/>
  <c r="W139" i="10"/>
  <c r="W76" i="10"/>
  <c r="W230" i="11"/>
  <c r="R393" i="22"/>
  <c r="R517" i="22"/>
  <c r="R436" i="22"/>
  <c r="E99" i="23"/>
  <c r="E10" i="26"/>
  <c r="Q92" i="26"/>
  <c r="S679" i="22"/>
  <c r="S11" i="22"/>
  <c r="W42" i="10"/>
  <c r="W48" i="7"/>
  <c r="W117" i="10"/>
  <c r="T307" i="9"/>
  <c r="S116" i="14"/>
  <c r="S122" i="14"/>
  <c r="P108" i="22"/>
  <c r="P111" i="22"/>
  <c r="P129" i="22"/>
  <c r="S14" i="14"/>
  <c r="S73" i="14"/>
  <c r="T45" i="11"/>
  <c r="U45" i="11" s="1"/>
  <c r="U19" i="11"/>
  <c r="T20" i="11"/>
  <c r="T23" i="11"/>
  <c r="Q162" i="22"/>
  <c r="Q165" i="22"/>
  <c r="W442" i="11"/>
  <c r="X114" i="10"/>
  <c r="T60" i="13"/>
  <c r="U60" i="13" s="1"/>
  <c r="U52" i="13"/>
  <c r="Y60" i="10"/>
  <c r="W116" i="11"/>
  <c r="W197" i="11"/>
  <c r="W130" i="11"/>
  <c r="V300" i="10"/>
  <c r="T168" i="13"/>
  <c r="P550" i="22"/>
  <c r="P586" i="22"/>
  <c r="P577" i="22"/>
  <c r="P589" i="22"/>
  <c r="Y530" i="8"/>
  <c r="S208" i="12"/>
  <c r="S211" i="12"/>
  <c r="S87" i="7"/>
  <c r="S100" i="7"/>
  <c r="W317" i="7"/>
  <c r="W320" i="7"/>
  <c r="O1247" i="24"/>
  <c r="O1244" i="24"/>
  <c r="R942" i="22"/>
  <c r="R917" i="22"/>
  <c r="R920" i="22"/>
  <c r="W137" i="12"/>
  <c r="Y114" i="11"/>
  <c r="W151" i="8"/>
  <c r="W543" i="8"/>
  <c r="W548" i="8"/>
  <c r="W536" i="8"/>
  <c r="T57" i="13"/>
  <c r="U57" i="13" s="1"/>
  <c r="U55" i="13"/>
  <c r="T470" i="11"/>
  <c r="U470" i="11" s="1"/>
  <c r="T327" i="11"/>
  <c r="U515" i="11"/>
  <c r="U327" i="11"/>
  <c r="T225" i="8"/>
  <c r="T238" i="8"/>
  <c r="T26" i="11"/>
  <c r="T27" i="11"/>
  <c r="T381" i="11"/>
  <c r="T394" i="11"/>
  <c r="T161" i="12"/>
  <c r="U161" i="12" s="1"/>
  <c r="T344" i="7"/>
  <c r="P62" i="9"/>
  <c r="P66" i="9"/>
  <c r="U466" i="11"/>
  <c r="R244" i="22"/>
  <c r="R247" i="22"/>
  <c r="Q506" i="22"/>
  <c r="Q668" i="22" s="1"/>
  <c r="Q628" i="22"/>
  <c r="T165" i="13"/>
  <c r="P469" i="22"/>
  <c r="P505" i="22"/>
  <c r="P627" i="22"/>
  <c r="P496" i="22"/>
  <c r="P508" i="22"/>
  <c r="P618" i="22"/>
  <c r="P630" i="22"/>
  <c r="P654" i="22"/>
  <c r="P657" i="22"/>
  <c r="W252" i="7"/>
  <c r="W230" i="7"/>
  <c r="S123" i="14"/>
  <c r="R555" i="22"/>
  <c r="W167" i="7"/>
  <c r="W170" i="7"/>
  <c r="Y147" i="8"/>
  <c r="T210" i="12"/>
  <c r="U210" i="12" s="1"/>
  <c r="U202" i="12"/>
  <c r="T203" i="12"/>
  <c r="Y523" i="8"/>
  <c r="Q12" i="21"/>
  <c r="Q14" i="21" s="1"/>
  <c r="V454" i="11"/>
  <c r="V147" i="12"/>
  <c r="P221" i="26"/>
  <c r="V456" i="11"/>
  <c r="X168" i="7"/>
  <c r="X37" i="8"/>
  <c r="X162" i="8"/>
  <c r="X583" i="8"/>
  <c r="X586" i="8"/>
  <c r="X115" i="11"/>
  <c r="Y113" i="11"/>
  <c r="X350" i="8"/>
  <c r="Y348" i="8"/>
  <c r="U126" i="13"/>
  <c r="T142" i="13"/>
  <c r="U142" i="13" s="1"/>
  <c r="P7" i="21"/>
  <c r="P9" i="21" s="1"/>
  <c r="P905" i="22"/>
  <c r="P902" i="22"/>
  <c r="Y542" i="8"/>
  <c r="Y71" i="11"/>
  <c r="R498" i="22"/>
  <c r="R660" i="22" s="1"/>
  <c r="R620" i="22"/>
  <c r="W498" i="11"/>
  <c r="R1147" i="24" s="1"/>
  <c r="R1161" i="24" s="1"/>
  <c r="W197" i="13" s="1"/>
  <c r="W512" i="11"/>
  <c r="W15" i="12"/>
  <c r="W120" i="13"/>
  <c r="T229" i="22"/>
  <c r="W121" i="13"/>
  <c r="W122" i="13"/>
  <c r="T324" i="22"/>
  <c r="T311" i="22"/>
  <c r="S188" i="22"/>
  <c r="T242" i="22"/>
  <c r="S201" i="22"/>
  <c r="R900" i="22"/>
  <c r="R1199" i="24"/>
  <c r="Q72" i="26"/>
  <c r="M201" i="26"/>
  <c r="R22" i="8"/>
  <c r="R128" i="8"/>
  <c r="U150" i="12"/>
  <c r="U153" i="12"/>
  <c r="X417" i="11"/>
  <c r="Y409" i="11"/>
  <c r="Y147" i="7"/>
  <c r="V206" i="12"/>
  <c r="P215" i="26"/>
  <c r="P19" i="3"/>
  <c r="P47" i="13"/>
  <c r="Q47" i="13" s="1"/>
  <c r="P10" i="13"/>
  <c r="Q10" i="13" s="1"/>
  <c r="L117" i="26"/>
  <c r="Q8" i="13"/>
  <c r="Q285" i="22"/>
  <c r="Q288" i="22"/>
  <c r="V52" i="12"/>
  <c r="S490" i="8"/>
  <c r="N190" i="26"/>
  <c r="S16" i="17"/>
  <c r="S10" i="17"/>
  <c r="O715" i="22" s="1"/>
  <c r="R297" i="11"/>
  <c r="O381" i="22"/>
  <c r="O384" i="22"/>
  <c r="X207" i="7"/>
  <c r="X56" i="11"/>
  <c r="X80" i="11"/>
  <c r="Y80" i="11" s="1"/>
  <c r="Y54" i="11"/>
  <c r="X270" i="8"/>
  <c r="X288" i="8"/>
  <c r="Y288" i="8" s="1"/>
  <c r="Y262" i="8"/>
  <c r="U335" i="7"/>
  <c r="T336" i="7"/>
  <c r="U336" i="7" s="1"/>
  <c r="R326" i="22"/>
  <c r="R329" i="22"/>
  <c r="T525" i="11"/>
  <c r="X163" i="11"/>
  <c r="Y163" i="11" s="1"/>
  <c r="Y137" i="11"/>
  <c r="X268" i="8"/>
  <c r="Y266" i="8"/>
  <c r="S476" i="24"/>
  <c r="S30" i="21" s="1"/>
  <c r="S451" i="24"/>
  <c r="S454" i="24"/>
  <c r="W338" i="8"/>
  <c r="W392" i="8"/>
  <c r="W390" i="8"/>
  <c r="W336" i="8"/>
  <c r="W311" i="8"/>
  <c r="W314" i="8"/>
  <c r="W198" i="11"/>
  <c r="W131" i="11"/>
  <c r="Q179" i="26"/>
  <c r="V132" i="10"/>
  <c r="V129" i="10"/>
  <c r="W153" i="10"/>
  <c r="V137" i="10"/>
  <c r="Q535" i="22"/>
  <c r="Q567" i="22"/>
  <c r="Q540" i="22"/>
  <c r="Q580" i="22" s="1"/>
  <c r="Q528" i="22"/>
  <c r="V126" i="7"/>
  <c r="V126" i="8"/>
  <c r="V473" i="8"/>
  <c r="V274" i="11"/>
  <c r="D163" i="23"/>
  <c r="V57" i="7"/>
  <c r="V185" i="7"/>
  <c r="V214" i="12"/>
  <c r="P126" i="26"/>
  <c r="V193" i="7"/>
  <c r="V15" i="11"/>
  <c r="S60" i="14"/>
  <c r="S210" i="13"/>
  <c r="U190" i="12"/>
  <c r="Q1151" i="24"/>
  <c r="Q1157" i="24"/>
  <c r="Q1144" i="24"/>
  <c r="S315" i="22"/>
  <c r="S333" i="22"/>
  <c r="S308" i="22"/>
  <c r="S246" i="22"/>
  <c r="S239" i="22"/>
  <c r="V137" i="13"/>
  <c r="V110" i="13"/>
  <c r="V502" i="11"/>
  <c r="V25" i="12"/>
  <c r="V495" i="11"/>
  <c r="V419" i="8"/>
  <c r="R304" i="11"/>
  <c r="X102" i="11"/>
  <c r="X126" i="11"/>
  <c r="Y100" i="11"/>
  <c r="X277" i="8"/>
  <c r="Y275" i="8"/>
  <c r="V256" i="7"/>
  <c r="D8" i="18"/>
  <c r="D9" i="18" s="1"/>
  <c r="C171" i="26"/>
  <c r="D29" i="4"/>
  <c r="N132" i="26"/>
  <c r="T25" i="6"/>
  <c r="U25" i="6"/>
  <c r="P21" i="21"/>
  <c r="P1185" i="24"/>
  <c r="P1284" i="24"/>
  <c r="P1288" i="24"/>
  <c r="P1287" i="24"/>
  <c r="O74" i="26"/>
  <c r="P1182" i="24"/>
  <c r="P1285" i="24"/>
  <c r="P1286" i="24"/>
  <c r="X122" i="10"/>
  <c r="S791" i="24"/>
  <c r="S231" i="9"/>
  <c r="X539" i="8"/>
  <c r="X202" i="10"/>
  <c r="S1101" i="24"/>
  <c r="S273" i="9"/>
  <c r="T357" i="9"/>
  <c r="S285" i="9"/>
  <c r="N197" i="26"/>
  <c r="W415" i="8"/>
  <c r="R481" i="22"/>
  <c r="R643" i="22" s="1"/>
  <c r="R603" i="22"/>
  <c r="S71" i="8"/>
  <c r="S100" i="8"/>
  <c r="S73" i="8"/>
  <c r="W470" i="8"/>
  <c r="W198" i="8"/>
  <c r="W264" i="11"/>
  <c r="R407" i="22"/>
  <c r="R531" i="22"/>
  <c r="R450" i="22"/>
  <c r="E115" i="23"/>
  <c r="E14" i="26"/>
  <c r="Q100" i="26"/>
  <c r="S25" i="22"/>
  <c r="S693" i="22"/>
  <c r="W184" i="7"/>
  <c r="W128" i="10"/>
  <c r="W140" i="10"/>
  <c r="W80" i="10"/>
  <c r="X110" i="10"/>
  <c r="S779" i="24"/>
  <c r="S91" i="14"/>
  <c r="S88" i="14"/>
  <c r="S120" i="14"/>
  <c r="T63" i="7"/>
  <c r="T63" i="8"/>
  <c r="U21" i="11"/>
  <c r="T202" i="7"/>
  <c r="U202" i="7" s="1"/>
  <c r="U194" i="7"/>
  <c r="T195" i="7"/>
  <c r="R276" i="11"/>
  <c r="R287" i="11"/>
  <c r="P121" i="22"/>
  <c r="T65" i="16" s="1"/>
  <c r="P124" i="22"/>
  <c r="T249" i="8"/>
  <c r="U249" i="8" s="1"/>
  <c r="U223" i="8"/>
  <c r="R277" i="9"/>
  <c r="R274" i="9"/>
  <c r="R282" i="9"/>
  <c r="T23" i="14"/>
  <c r="P1215" i="24"/>
  <c r="P1221" i="24"/>
  <c r="T44" i="12"/>
  <c r="T46" i="12"/>
  <c r="U42" i="12"/>
  <c r="U74" i="12"/>
  <c r="T196" i="13"/>
  <c r="P1162" i="24"/>
  <c r="P1164" i="24"/>
  <c r="S750" i="24"/>
  <c r="Y150" i="7"/>
  <c r="D17" i="4"/>
  <c r="C10" i="5"/>
  <c r="V483" i="11"/>
  <c r="Q1074" i="24"/>
  <c r="Q1076" i="24"/>
  <c r="V361" i="11"/>
  <c r="V358" i="11"/>
  <c r="V101" i="7"/>
  <c r="V90" i="7"/>
  <c r="Y59" i="11"/>
  <c r="T17" i="12"/>
  <c r="U20" i="12"/>
  <c r="U17" i="12"/>
  <c r="T20" i="12"/>
  <c r="Y150" i="8"/>
  <c r="W297" i="8"/>
  <c r="W86" i="11"/>
  <c r="W64" i="11"/>
  <c r="W61" i="11"/>
  <c r="Q794" i="24"/>
  <c r="Q806" i="24"/>
  <c r="Q803" i="24"/>
  <c r="S200" i="7"/>
  <c r="S203" i="7"/>
  <c r="X323" i="8"/>
  <c r="Y321" i="8"/>
  <c r="V412" i="8"/>
  <c r="R474" i="22"/>
  <c r="R636" i="22" s="1"/>
  <c r="R596" i="22"/>
  <c r="V211" i="11"/>
  <c r="V198" i="7"/>
  <c r="V32" i="11"/>
  <c r="S153" i="13"/>
  <c r="O79" i="22"/>
  <c r="O76" i="22"/>
  <c r="S265" i="7"/>
  <c r="S235" i="11"/>
  <c r="N144" i="26"/>
  <c r="V286" i="8"/>
  <c r="V298" i="8"/>
  <c r="V295" i="8"/>
  <c r="V101" i="8"/>
  <c r="V90" i="8"/>
  <c r="X351" i="11"/>
  <c r="X222" i="7"/>
  <c r="X104" i="11"/>
  <c r="X176" i="11"/>
  <c r="Y176" i="11" s="1"/>
  <c r="X98" i="11"/>
  <c r="Y96" i="11"/>
  <c r="X37" i="7"/>
  <c r="X168" i="8"/>
  <c r="X604" i="8"/>
  <c r="O1479" i="24"/>
  <c r="O1476" i="24"/>
  <c r="X138" i="11"/>
  <c r="X162" i="11"/>
  <c r="Y162" i="11" s="1"/>
  <c r="Y136" i="11"/>
  <c r="X326" i="8"/>
  <c r="Y318" i="8"/>
  <c r="S925" i="22"/>
  <c r="S931" i="22"/>
  <c r="S944" i="22" s="1"/>
  <c r="S936" i="22"/>
  <c r="W203" i="11"/>
  <c r="W253" i="7"/>
  <c r="W231" i="7"/>
  <c r="V10" i="10"/>
  <c r="V48" i="10"/>
  <c r="D8" i="26"/>
  <c r="V83" i="10"/>
  <c r="Q411" i="22"/>
  <c r="Q424" i="22" s="1"/>
  <c r="Q404" i="22"/>
  <c r="Q416" i="22"/>
  <c r="V247" i="8"/>
  <c r="Q12" i="4"/>
  <c r="R20" i="16"/>
  <c r="Q1203" i="24"/>
  <c r="Q1372" i="24"/>
  <c r="Q1196" i="24"/>
  <c r="S328" i="22"/>
  <c r="S321" i="22"/>
  <c r="S233" i="22"/>
  <c r="S251" i="22"/>
  <c r="S226" i="22"/>
  <c r="X63" i="11"/>
  <c r="Y55" i="11"/>
  <c r="S755" i="24"/>
  <c r="S731" i="24"/>
  <c r="Y296" i="7"/>
  <c r="R137" i="14"/>
  <c r="R141" i="14"/>
  <c r="R258" i="22"/>
  <c r="Q203" i="22"/>
  <c r="Q206" i="22"/>
  <c r="Q640" i="22"/>
  <c r="S115" i="7"/>
  <c r="S242" i="11"/>
  <c r="N142" i="26"/>
  <c r="S330" i="9"/>
  <c r="S305" i="9"/>
  <c r="S308" i="9"/>
  <c r="W562" i="8"/>
  <c r="W449" i="11"/>
  <c r="W176" i="12"/>
  <c r="W360" i="11"/>
  <c r="R1069" i="24"/>
  <c r="W353" i="11"/>
  <c r="S82" i="7"/>
  <c r="S89" i="7"/>
  <c r="S95" i="7"/>
  <c r="Y120" i="12"/>
  <c r="V418" i="8"/>
  <c r="R9" i="17"/>
  <c r="N714" i="22"/>
  <c r="R802" i="24"/>
  <c r="R780" i="24"/>
  <c r="R777" i="24"/>
  <c r="L124" i="26"/>
  <c r="Q9" i="13"/>
  <c r="R507" i="8"/>
  <c r="R503" i="8"/>
  <c r="R451" i="8"/>
  <c r="O94" i="22"/>
  <c r="S387" i="7"/>
  <c r="U342" i="7"/>
  <c r="R22" i="7"/>
  <c r="R128" i="7"/>
  <c r="M150" i="26"/>
  <c r="R282" i="7"/>
  <c r="S383" i="7"/>
  <c r="S365" i="7"/>
  <c r="S362" i="7"/>
  <c r="T255" i="22" l="1"/>
  <c r="S15" i="7"/>
  <c r="S88" i="7"/>
  <c r="S92" i="7"/>
  <c r="S250" i="11"/>
  <c r="S438" i="8"/>
  <c r="S260" i="11"/>
  <c r="S435" i="8"/>
  <c r="S98" i="7"/>
  <c r="R13" i="21"/>
  <c r="X69" i="7"/>
  <c r="Y63" i="11"/>
  <c r="D9" i="26"/>
  <c r="S933" i="22"/>
  <c r="S930" i="22"/>
  <c r="S938" i="22"/>
  <c r="X103" i="11"/>
  <c r="Y104" i="11"/>
  <c r="Q1075" i="24"/>
  <c r="Q1078" i="24"/>
  <c r="U195" i="7"/>
  <c r="W480" i="8"/>
  <c r="W295" i="11"/>
  <c r="E119" i="23"/>
  <c r="E15" i="26"/>
  <c r="R571" i="22"/>
  <c r="R532" i="22"/>
  <c r="R572" i="22" s="1"/>
  <c r="R544" i="22"/>
  <c r="R584" i="22" s="1"/>
  <c r="S103" i="8"/>
  <c r="S72" i="8"/>
  <c r="S76" i="8"/>
  <c r="S14" i="8"/>
  <c r="X361" i="8"/>
  <c r="X362" i="8"/>
  <c r="X280" i="8"/>
  <c r="X72" i="11"/>
  <c r="X154" i="11"/>
  <c r="X153" i="11"/>
  <c r="S1102" i="24"/>
  <c r="X356" i="11" s="1"/>
  <c r="S1114" i="24"/>
  <c r="S379" i="7"/>
  <c r="S391" i="7"/>
  <c r="S388" i="7"/>
  <c r="S329" i="7"/>
  <c r="W184" i="12"/>
  <c r="W177" i="12"/>
  <c r="S259" i="22"/>
  <c r="Q1380" i="24"/>
  <c r="Q1373" i="24"/>
  <c r="X224" i="7"/>
  <c r="X106" i="11"/>
  <c r="X178" i="11"/>
  <c r="Y178" i="11" s="1"/>
  <c r="Y98" i="11"/>
  <c r="Y222" i="7"/>
  <c r="X561" i="8"/>
  <c r="X448" i="11"/>
  <c r="X175" i="12"/>
  <c r="S1068" i="24"/>
  <c r="Y351" i="11"/>
  <c r="V106" i="8"/>
  <c r="S133" i="14"/>
  <c r="S156" i="13"/>
  <c r="V106" i="7"/>
  <c r="V11" i="3"/>
  <c r="V485" i="11"/>
  <c r="V511" i="11"/>
  <c r="V14" i="12"/>
  <c r="V497" i="11"/>
  <c r="Q1146" i="24" s="1"/>
  <c r="V117" i="13"/>
  <c r="V115" i="13"/>
  <c r="V116" i="13"/>
  <c r="R200" i="22"/>
  <c r="S310" i="22"/>
  <c r="S228" i="22"/>
  <c r="S241" i="22"/>
  <c r="R187" i="22"/>
  <c r="S323" i="22"/>
  <c r="Q896" i="22"/>
  <c r="P71" i="26"/>
  <c r="Q1198" i="24"/>
  <c r="V487" i="11"/>
  <c r="Q1183" i="24" s="1"/>
  <c r="D1367" i="24"/>
  <c r="P1220" i="24"/>
  <c r="P1223" i="24"/>
  <c r="R307" i="11"/>
  <c r="T66" i="8"/>
  <c r="T95" i="8"/>
  <c r="U95" i="8" s="1"/>
  <c r="U63" i="8"/>
  <c r="X154" i="10"/>
  <c r="Y154" i="10" s="1"/>
  <c r="R408" i="22"/>
  <c r="R420" i="22"/>
  <c r="Q185" i="26"/>
  <c r="W202" i="8"/>
  <c r="W211" i="8"/>
  <c r="S105" i="8"/>
  <c r="X426" i="11"/>
  <c r="X121" i="12"/>
  <c r="S747" i="24"/>
  <c r="Y202" i="10"/>
  <c r="X301" i="7"/>
  <c r="Y301" i="7" s="1"/>
  <c r="X94" i="10"/>
  <c r="X215" i="10"/>
  <c r="Y215" i="10" s="1"/>
  <c r="X203" i="10"/>
  <c r="Y203" i="10" s="1"/>
  <c r="X80" i="8"/>
  <c r="Y277" i="8"/>
  <c r="X128" i="11"/>
  <c r="Y102" i="11"/>
  <c r="V33" i="12"/>
  <c r="V26" i="12"/>
  <c r="S334" i="22"/>
  <c r="V193" i="13"/>
  <c r="Q1165" i="24"/>
  <c r="Q1158" i="24"/>
  <c r="S218" i="13"/>
  <c r="V189" i="7"/>
  <c r="V186" i="7"/>
  <c r="Q568" i="22"/>
  <c r="Q533" i="22"/>
  <c r="Q536" i="22"/>
  <c r="Q541" i="22"/>
  <c r="Q581" i="22" s="1"/>
  <c r="W157" i="10"/>
  <c r="W337" i="8"/>
  <c r="W394" i="8"/>
  <c r="W391" i="8"/>
  <c r="W328" i="8"/>
  <c r="W340" i="8"/>
  <c r="T527" i="11"/>
  <c r="T56" i="12"/>
  <c r="T529" i="11"/>
  <c r="U529" i="11" s="1"/>
  <c r="U525" i="11"/>
  <c r="L125" i="26"/>
  <c r="Q19" i="3"/>
  <c r="P20" i="3"/>
  <c r="Y417" i="11"/>
  <c r="M202" i="26"/>
  <c r="T337" i="22"/>
  <c r="W29" i="12"/>
  <c r="Y115" i="11"/>
  <c r="P223" i="26"/>
  <c r="V458" i="11"/>
  <c r="V455" i="11"/>
  <c r="T197" i="7"/>
  <c r="T34" i="11"/>
  <c r="T28" i="11"/>
  <c r="T39" i="11"/>
  <c r="U39" i="11" s="1"/>
  <c r="U26" i="11"/>
  <c r="W143" i="10"/>
  <c r="R543" i="22"/>
  <c r="R583" i="22" s="1"/>
  <c r="R557" i="22"/>
  <c r="R519" i="22"/>
  <c r="R521" i="22"/>
  <c r="W84" i="10"/>
  <c r="E16" i="26"/>
  <c r="W9" i="10"/>
  <c r="W44" i="10"/>
  <c r="W207" i="8"/>
  <c r="W189" i="8"/>
  <c r="Q175" i="26"/>
  <c r="W48" i="8"/>
  <c r="W182" i="8"/>
  <c r="Y352" i="8"/>
  <c r="V214" i="8"/>
  <c r="P186" i="26"/>
  <c r="V10" i="8"/>
  <c r="V54" i="8"/>
  <c r="V57" i="8"/>
  <c r="Q499" i="22"/>
  <c r="Q661" i="22" s="1"/>
  <c r="Q621" i="22"/>
  <c r="X297" i="7"/>
  <c r="X90" i="10"/>
  <c r="X190" i="10"/>
  <c r="X214" i="10"/>
  <c r="Y214" i="10" s="1"/>
  <c r="X412" i="11"/>
  <c r="X107" i="12"/>
  <c r="S733" i="24"/>
  <c r="Y188" i="10"/>
  <c r="X56" i="10"/>
  <c r="X192" i="10"/>
  <c r="X146" i="7"/>
  <c r="S286" i="9"/>
  <c r="S261" i="9"/>
  <c r="S264" i="9"/>
  <c r="X324" i="8"/>
  <c r="X327" i="8"/>
  <c r="Y319" i="8"/>
  <c r="W301" i="10"/>
  <c r="Y105" i="11"/>
  <c r="S330" i="7"/>
  <c r="V255" i="7"/>
  <c r="V246" i="7"/>
  <c r="V258" i="7"/>
  <c r="W62" i="10"/>
  <c r="W24" i="10"/>
  <c r="W97" i="10"/>
  <c r="R751" i="24"/>
  <c r="R764" i="24" s="1"/>
  <c r="R756" i="24"/>
  <c r="R744" i="24"/>
  <c r="X247" i="10"/>
  <c r="W219" i="10"/>
  <c r="S129" i="14"/>
  <c r="S159" i="13"/>
  <c r="Q641" i="22"/>
  <c r="Q644" i="22"/>
  <c r="V18" i="6"/>
  <c r="V129" i="7"/>
  <c r="V23" i="7"/>
  <c r="V9" i="6"/>
  <c r="V279" i="7"/>
  <c r="V136" i="8"/>
  <c r="V504" i="8"/>
  <c r="V277" i="11"/>
  <c r="D139" i="23"/>
  <c r="P102" i="26"/>
  <c r="V6" i="3"/>
  <c r="V11" i="7"/>
  <c r="U30" i="12"/>
  <c r="T31" i="12"/>
  <c r="T34" i="12"/>
  <c r="S245" i="11"/>
  <c r="U216" i="12"/>
  <c r="U19" i="5"/>
  <c r="W74" i="8"/>
  <c r="W96" i="8"/>
  <c r="S211" i="13"/>
  <c r="S217" i="13"/>
  <c r="W65" i="7"/>
  <c r="W65" i="8"/>
  <c r="W204" i="11"/>
  <c r="W254" i="7"/>
  <c r="W232" i="7"/>
  <c r="W229" i="7"/>
  <c r="T250" i="22"/>
  <c r="W462" i="11"/>
  <c r="W319" i="11"/>
  <c r="W70" i="12" s="1"/>
  <c r="W364" i="11"/>
  <c r="W38" i="12"/>
  <c r="Q104" i="26"/>
  <c r="O138" i="26"/>
  <c r="U370" i="11"/>
  <c r="T371" i="11"/>
  <c r="T374" i="11"/>
  <c r="W366" i="8"/>
  <c r="W371" i="8"/>
  <c r="W398" i="8"/>
  <c r="V302" i="10"/>
  <c r="V299" i="10"/>
  <c r="R173" i="22"/>
  <c r="W123" i="10"/>
  <c r="R792" i="24"/>
  <c r="R805" i="24" s="1"/>
  <c r="R797" i="24"/>
  <c r="R785" i="24"/>
  <c r="S320" i="9"/>
  <c r="S333" i="9" s="1"/>
  <c r="S325" i="9"/>
  <c r="S313" i="9"/>
  <c r="W457" i="11"/>
  <c r="W144" i="12"/>
  <c r="Q219" i="26"/>
  <c r="W450" i="11"/>
  <c r="V52" i="10"/>
  <c r="V49" i="10"/>
  <c r="C163" i="26"/>
  <c r="T78" i="12"/>
  <c r="T165" i="12"/>
  <c r="U165" i="12" s="1"/>
  <c r="U78" i="12"/>
  <c r="U46" i="12"/>
  <c r="W276" i="7"/>
  <c r="W501" i="8"/>
  <c r="W267" i="11"/>
  <c r="E127" i="23"/>
  <c r="Q101" i="26"/>
  <c r="T316" i="9"/>
  <c r="T358" i="9"/>
  <c r="T370" i="9"/>
  <c r="V136" i="7"/>
  <c r="V23" i="8"/>
  <c r="V129" i="8"/>
  <c r="V483" i="8"/>
  <c r="V305" i="11"/>
  <c r="D167" i="23"/>
  <c r="Y270" i="8"/>
  <c r="Y56" i="11"/>
  <c r="W123" i="13"/>
  <c r="P68" i="9"/>
  <c r="P18" i="9"/>
  <c r="P1473" i="24"/>
  <c r="T396" i="11"/>
  <c r="T218" i="12"/>
  <c r="O129" i="26"/>
  <c r="T398" i="11"/>
  <c r="U398" i="11" s="1"/>
  <c r="U394" i="11"/>
  <c r="T240" i="8"/>
  <c r="T242" i="8"/>
  <c r="U242" i="8" s="1"/>
  <c r="U238" i="8"/>
  <c r="W556" i="8"/>
  <c r="W541" i="8"/>
  <c r="S469" i="8"/>
  <c r="S263" i="11"/>
  <c r="S253" i="11"/>
  <c r="S466" i="8"/>
  <c r="S103" i="7"/>
  <c r="W196" i="11"/>
  <c r="W199" i="11"/>
  <c r="W129" i="11"/>
  <c r="W120" i="11"/>
  <c r="W132" i="11"/>
  <c r="S124" i="14"/>
  <c r="S121" i="14"/>
  <c r="W56" i="7"/>
  <c r="W181" i="7"/>
  <c r="W113" i="7"/>
  <c r="W113" i="8"/>
  <c r="W432" i="8"/>
  <c r="W240" i="11"/>
  <c r="E147" i="23"/>
  <c r="R419" i="22"/>
  <c r="R395" i="22"/>
  <c r="R397" i="22"/>
  <c r="R423" i="22" s="1"/>
  <c r="W449" i="8"/>
  <c r="W292" i="11"/>
  <c r="E12" i="26"/>
  <c r="E107" i="23"/>
  <c r="V47" i="12"/>
  <c r="V40" i="12"/>
  <c r="R695" i="22"/>
  <c r="R698" i="22"/>
  <c r="R703" i="22"/>
  <c r="X263" i="8"/>
  <c r="X308" i="8"/>
  <c r="X309" i="8"/>
  <c r="X58" i="11"/>
  <c r="X110" i="11"/>
  <c r="X109" i="11"/>
  <c r="S1089" i="24"/>
  <c r="S1113" i="24"/>
  <c r="S1091" i="24"/>
  <c r="S1117" i="24" s="1"/>
  <c r="U503" i="11"/>
  <c r="U500" i="11"/>
  <c r="W294" i="10"/>
  <c r="X332" i="8"/>
  <c r="X386" i="8"/>
  <c r="Y386" i="8" s="1"/>
  <c r="Y306" i="8"/>
  <c r="T82" i="8"/>
  <c r="U79" i="8"/>
  <c r="S493" i="8"/>
  <c r="Q289" i="22"/>
  <c r="Q298" i="22"/>
  <c r="Q301" i="22"/>
  <c r="T359" i="7"/>
  <c r="T372" i="7"/>
  <c r="T9" i="14"/>
  <c r="U27" i="14"/>
  <c r="T41" i="14"/>
  <c r="T85" i="14"/>
  <c r="P69" i="22"/>
  <c r="P71" i="22" s="1"/>
  <c r="T154" i="13" s="1"/>
  <c r="Q118" i="22"/>
  <c r="Q120" i="22" s="1"/>
  <c r="U9" i="14"/>
  <c r="T29" i="14"/>
  <c r="U29" i="14"/>
  <c r="U99" i="14"/>
  <c r="P65" i="22"/>
  <c r="P73" i="22"/>
  <c r="P75" i="22" s="1"/>
  <c r="T155" i="13" s="1"/>
  <c r="P350" i="22"/>
  <c r="P352" i="22" s="1"/>
  <c r="R146" i="22"/>
  <c r="R159" i="22"/>
  <c r="R161" i="22" s="1"/>
  <c r="R269" i="22"/>
  <c r="R282" i="22"/>
  <c r="R284" i="22" s="1"/>
  <c r="P378" i="22"/>
  <c r="P380" i="22" s="1"/>
  <c r="Q105" i="22"/>
  <c r="P364" i="22"/>
  <c r="P366" i="22" s="1"/>
  <c r="O85" i="26"/>
  <c r="W33" i="7"/>
  <c r="W152" i="7"/>
  <c r="X314" i="7"/>
  <c r="X606" i="8"/>
  <c r="W304" i="7"/>
  <c r="W125" i="12"/>
  <c r="W118" i="12"/>
  <c r="W130" i="12"/>
  <c r="W65" i="10"/>
  <c r="W95" i="10"/>
  <c r="R138" i="8"/>
  <c r="R18" i="13"/>
  <c r="R26" i="13"/>
  <c r="R22" i="13"/>
  <c r="R20" i="13"/>
  <c r="R28" i="13"/>
  <c r="R30" i="13"/>
  <c r="R23" i="13"/>
  <c r="R19" i="13"/>
  <c r="R27" i="13"/>
  <c r="R31" i="13"/>
  <c r="V283" i="7"/>
  <c r="V508" i="8"/>
  <c r="V288" i="11"/>
  <c r="D95" i="23"/>
  <c r="S81" i="13"/>
  <c r="V9" i="4"/>
  <c r="P158" i="26"/>
  <c r="P209" i="26"/>
  <c r="V568" i="8"/>
  <c r="V571" i="8"/>
  <c r="V185" i="12"/>
  <c r="V182" i="12"/>
  <c r="S15" i="8"/>
  <c r="S88" i="8"/>
  <c r="S92" i="8"/>
  <c r="R1156" i="24"/>
  <c r="S209" i="22"/>
  <c r="T332" i="22"/>
  <c r="R339" i="22"/>
  <c r="R342" i="22"/>
  <c r="R330" i="22"/>
  <c r="T356" i="7"/>
  <c r="T369" i="7"/>
  <c r="U96" i="14"/>
  <c r="R156" i="22"/>
  <c r="R164" i="22" s="1"/>
  <c r="T32" i="14"/>
  <c r="P53" i="22"/>
  <c r="P87" i="22" s="1"/>
  <c r="Q115" i="22"/>
  <c r="Q123" i="22" s="1"/>
  <c r="U24" i="14"/>
  <c r="U32" i="14"/>
  <c r="T38" i="14"/>
  <c r="T82" i="14"/>
  <c r="P49" i="22"/>
  <c r="P57" i="22"/>
  <c r="P91" i="22" s="1"/>
  <c r="P361" i="22"/>
  <c r="P369" i="22" s="1"/>
  <c r="R143" i="22"/>
  <c r="R266" i="22"/>
  <c r="R279" i="22"/>
  <c r="R287" i="22" s="1"/>
  <c r="P347" i="22"/>
  <c r="P355" i="22" s="1"/>
  <c r="Q102" i="22"/>
  <c r="P375" i="22"/>
  <c r="P383" i="22" s="1"/>
  <c r="O83" i="26"/>
  <c r="P1238" i="24"/>
  <c r="V91" i="8"/>
  <c r="V102" i="8"/>
  <c r="X179" i="7"/>
  <c r="X180" i="8"/>
  <c r="X426" i="8"/>
  <c r="X111" i="10"/>
  <c r="X135" i="10"/>
  <c r="X75" i="10"/>
  <c r="X220" i="11"/>
  <c r="S513" i="22"/>
  <c r="S432" i="22"/>
  <c r="S389" i="22"/>
  <c r="F1" i="26"/>
  <c r="F63" i="23"/>
  <c r="R89" i="26"/>
  <c r="T7" i="22"/>
  <c r="T675" i="22"/>
  <c r="Y109" i="10"/>
  <c r="Y426" i="8"/>
  <c r="Y220" i="11"/>
  <c r="W166" i="11"/>
  <c r="W142" i="11"/>
  <c r="W180" i="11"/>
  <c r="W144" i="11"/>
  <c r="W235" i="7"/>
  <c r="W281" i="8"/>
  <c r="W292" i="8"/>
  <c r="W283" i="8"/>
  <c r="U124" i="13"/>
  <c r="U128" i="13"/>
  <c r="T129" i="13"/>
  <c r="T140" i="13"/>
  <c r="T144" i="13"/>
  <c r="S268" i="9"/>
  <c r="S915" i="22"/>
  <c r="S466" i="24"/>
  <c r="S479" i="24" s="1"/>
  <c r="S459" i="24"/>
  <c r="S471" i="24"/>
  <c r="R12" i="4"/>
  <c r="M161" i="26"/>
  <c r="Q409" i="22"/>
  <c r="Q412" i="22"/>
  <c r="Q417" i="22"/>
  <c r="X164" i="11"/>
  <c r="Y138" i="11"/>
  <c r="N146" i="26"/>
  <c r="P1163" i="24"/>
  <c r="P1166" i="24"/>
  <c r="T355" i="7"/>
  <c r="T368" i="7"/>
  <c r="T8" i="14"/>
  <c r="T31" i="14"/>
  <c r="P48" i="22"/>
  <c r="P56" i="22"/>
  <c r="R155" i="22"/>
  <c r="U8" i="14"/>
  <c r="U23" i="14"/>
  <c r="U31" i="14"/>
  <c r="T37" i="14"/>
  <c r="P1237" i="24" s="1"/>
  <c r="T81" i="14"/>
  <c r="T25" i="14"/>
  <c r="U25" i="14"/>
  <c r="U95" i="14"/>
  <c r="Q101" i="22"/>
  <c r="P374" i="22"/>
  <c r="Q114" i="22"/>
  <c r="R142" i="22"/>
  <c r="R265" i="22"/>
  <c r="R278" i="22"/>
  <c r="P360" i="22"/>
  <c r="P52" i="22"/>
  <c r="P346" i="22"/>
  <c r="O82" i="26"/>
  <c r="T60" i="16"/>
  <c r="T73" i="7"/>
  <c r="T66" i="7"/>
  <c r="U63" i="7"/>
  <c r="X49" i="7"/>
  <c r="X193" i="8"/>
  <c r="X457" i="8"/>
  <c r="X43" i="10"/>
  <c r="X118" i="10"/>
  <c r="X223" i="11"/>
  <c r="S433" i="22"/>
  <c r="S390" i="22"/>
  <c r="S514" i="22"/>
  <c r="R90" i="26"/>
  <c r="F75" i="23"/>
  <c r="F4" i="26"/>
  <c r="T8" i="22"/>
  <c r="T676" i="22"/>
  <c r="Y457" i="8"/>
  <c r="Y110" i="10"/>
  <c r="Y223" i="11"/>
  <c r="S694" i="22"/>
  <c r="S706" i="22"/>
  <c r="Y539" i="8"/>
  <c r="X540" i="8"/>
  <c r="Y540" i="8" s="1"/>
  <c r="X552" i="8"/>
  <c r="Y552" i="8" s="1"/>
  <c r="X52" i="7"/>
  <c r="X184" i="8"/>
  <c r="X436" i="8"/>
  <c r="X130" i="10"/>
  <c r="Y130" i="10" s="1"/>
  <c r="X46" i="10"/>
  <c r="X251" i="11"/>
  <c r="S402" i="22"/>
  <c r="F67" i="23"/>
  <c r="S526" i="22"/>
  <c r="S445" i="22"/>
  <c r="R96" i="26"/>
  <c r="F2" i="26"/>
  <c r="T20" i="22"/>
  <c r="T688" i="22"/>
  <c r="Y122" i="10"/>
  <c r="Y251" i="11"/>
  <c r="Y436" i="8"/>
  <c r="R138" i="7"/>
  <c r="R513" i="8"/>
  <c r="S10" i="3"/>
  <c r="S105" i="7"/>
  <c r="W480" i="11"/>
  <c r="R1077" i="24"/>
  <c r="R1070" i="24"/>
  <c r="W570" i="8"/>
  <c r="Q205" i="26"/>
  <c r="W563" i="8"/>
  <c r="Y292" i="10"/>
  <c r="S252" i="22"/>
  <c r="V522" i="11"/>
  <c r="V18" i="10"/>
  <c r="D20" i="26"/>
  <c r="V11" i="10"/>
  <c r="Y326" i="8"/>
  <c r="Y323" i="8"/>
  <c r="T198" i="13"/>
  <c r="T200" i="13"/>
  <c r="U200" i="13" s="1"/>
  <c r="U196" i="13"/>
  <c r="T76" i="12"/>
  <c r="T163" i="12"/>
  <c r="U163" i="12" s="1"/>
  <c r="U44" i="12"/>
  <c r="U76" i="12"/>
  <c r="T48" i="12"/>
  <c r="T45" i="12"/>
  <c r="R287" i="9"/>
  <c r="R278" i="9"/>
  <c r="R290" i="9"/>
  <c r="E17" i="26"/>
  <c r="S26" i="22"/>
  <c r="S38" i="22"/>
  <c r="R490" i="22"/>
  <c r="R652" i="22" s="1"/>
  <c r="R612" i="22"/>
  <c r="R451" i="22"/>
  <c r="R463" i="22"/>
  <c r="S788" i="24"/>
  <c r="S232" i="9"/>
  <c r="S244" i="9"/>
  <c r="C32" i="6"/>
  <c r="C172" i="26"/>
  <c r="Y126" i="11"/>
  <c r="S341" i="22"/>
  <c r="W155" i="10"/>
  <c r="V142" i="10"/>
  <c r="V133" i="10"/>
  <c r="V145" i="10"/>
  <c r="W416" i="8"/>
  <c r="Y207" i="7"/>
  <c r="Y350" i="8"/>
  <c r="V149" i="12"/>
  <c r="V151" i="12"/>
  <c r="U203" i="12"/>
  <c r="P590" i="22"/>
  <c r="P631" i="22"/>
  <c r="P667" i="22"/>
  <c r="P658" i="22"/>
  <c r="P670" i="22"/>
  <c r="P64" i="9"/>
  <c r="P70" i="9"/>
  <c r="P17" i="9"/>
  <c r="P19" i="9" s="1"/>
  <c r="P1469" i="24"/>
  <c r="T383" i="11"/>
  <c r="T205" i="12"/>
  <c r="O214" i="26"/>
  <c r="T385" i="11"/>
  <c r="U385" i="11" s="1"/>
  <c r="U381" i="11"/>
  <c r="T251" i="8"/>
  <c r="U251" i="8" s="1"/>
  <c r="T227" i="8"/>
  <c r="T229" i="8"/>
  <c r="U225" i="8"/>
  <c r="W152" i="8"/>
  <c r="W155" i="8"/>
  <c r="W33" i="8"/>
  <c r="T169" i="13"/>
  <c r="U168" i="13"/>
  <c r="U20" i="11"/>
  <c r="U23" i="11"/>
  <c r="T64" i="16"/>
  <c r="P125" i="22"/>
  <c r="P134" i="22"/>
  <c r="P137" i="22"/>
  <c r="W77" i="10"/>
  <c r="W50" i="10"/>
  <c r="E22" i="26"/>
  <c r="S13" i="22"/>
  <c r="S37" i="22"/>
  <c r="S15" i="22"/>
  <c r="S41" i="22" s="1"/>
  <c r="X150" i="10"/>
  <c r="Y150" i="10" s="1"/>
  <c r="W141" i="10"/>
  <c r="W119" i="10"/>
  <c r="W116" i="10"/>
  <c r="W188" i="7"/>
  <c r="W266" i="7"/>
  <c r="W491" i="8"/>
  <c r="W236" i="11"/>
  <c r="E123" i="23"/>
  <c r="Q94" i="26"/>
  <c r="W50" i="7"/>
  <c r="W9" i="7"/>
  <c r="N198" i="26"/>
  <c r="S21" i="16"/>
  <c r="R24" i="5"/>
  <c r="Y127" i="11"/>
  <c r="V189" i="12"/>
  <c r="V373" i="11"/>
  <c r="P134" i="26"/>
  <c r="V366" i="11"/>
  <c r="V222" i="8"/>
  <c r="V235" i="8"/>
  <c r="V17" i="11"/>
  <c r="V391" i="11"/>
  <c r="V158" i="12"/>
  <c r="V18" i="11"/>
  <c r="V378" i="11"/>
  <c r="V341" i="7"/>
  <c r="Q63" i="9"/>
  <c r="Q67" i="9"/>
  <c r="Q1474" i="24" s="1"/>
  <c r="V203" i="8"/>
  <c r="V212" i="8"/>
  <c r="V200" i="8"/>
  <c r="Q648" i="22"/>
  <c r="T345" i="9"/>
  <c r="T369" i="9"/>
  <c r="T302" i="9"/>
  <c r="T347" i="9"/>
  <c r="T373" i="9" s="1"/>
  <c r="S243" i="9"/>
  <c r="S219" i="9"/>
  <c r="S774" i="24"/>
  <c r="S221" i="9"/>
  <c r="S247" i="9" s="1"/>
  <c r="Y223" i="7"/>
  <c r="T71" i="7"/>
  <c r="U68" i="7"/>
  <c r="S132" i="8"/>
  <c r="N191" i="26"/>
  <c r="Q40" i="13"/>
  <c r="Q33" i="13"/>
  <c r="Y112" i="12"/>
  <c r="W207" i="10"/>
  <c r="X240" i="10"/>
  <c r="W204" i="10"/>
  <c r="W212" i="10"/>
  <c r="W430" i="11"/>
  <c r="W435" i="11"/>
  <c r="W423" i="11"/>
  <c r="O93" i="22"/>
  <c r="O96" i="22"/>
  <c r="O80" i="22"/>
  <c r="R25" i="8"/>
  <c r="M195" i="26"/>
  <c r="Y105" i="12"/>
  <c r="S215" i="13"/>
  <c r="R24" i="3"/>
  <c r="V85" i="10"/>
  <c r="V82" i="10"/>
  <c r="R27" i="22"/>
  <c r="R30" i="22"/>
  <c r="R35" i="22"/>
  <c r="X80" i="7"/>
  <c r="Y75" i="11"/>
  <c r="R175" i="13"/>
  <c r="S19" i="7"/>
  <c r="S118" i="7"/>
  <c r="N143" i="26"/>
  <c r="U10" i="15"/>
  <c r="Q207" i="22"/>
  <c r="Q216" i="22"/>
  <c r="Q219" i="22"/>
  <c r="V173" i="11"/>
  <c r="V209" i="11"/>
  <c r="V200" i="11"/>
  <c r="V212" i="11"/>
  <c r="W102" i="13"/>
  <c r="W24" i="12"/>
  <c r="T329" i="11"/>
  <c r="T469" i="11"/>
  <c r="T326" i="11"/>
  <c r="T472" i="11"/>
  <c r="O110" i="26"/>
  <c r="U517" i="11"/>
  <c r="U514" i="11"/>
  <c r="U326" i="11"/>
  <c r="U329" i="11"/>
  <c r="T61" i="13"/>
  <c r="T58" i="13"/>
  <c r="U53" i="13"/>
  <c r="V91" i="7"/>
  <c r="V102" i="7"/>
  <c r="W167" i="11"/>
  <c r="W236" i="7"/>
  <c r="W145" i="11"/>
  <c r="W181" i="11"/>
  <c r="W365" i="8"/>
  <c r="W359" i="8"/>
  <c r="W370" i="8"/>
  <c r="W397" i="8"/>
  <c r="Q166" i="22"/>
  <c r="Q175" i="22"/>
  <c r="Q178" i="22"/>
  <c r="T119" i="14"/>
  <c r="U119" i="14" s="1"/>
  <c r="U86" i="14"/>
  <c r="T386" i="7"/>
  <c r="U386" i="7" s="1"/>
  <c r="U360" i="7"/>
  <c r="S15" i="14"/>
  <c r="M154" i="26"/>
  <c r="R16" i="3"/>
  <c r="R25" i="7"/>
  <c r="Q575" i="22"/>
  <c r="Q548" i="22"/>
  <c r="Q588" i="22" s="1"/>
  <c r="X69" i="8"/>
  <c r="Y268" i="8"/>
  <c r="R1376" i="24"/>
  <c r="W526" i="11" s="1"/>
  <c r="S214" i="22"/>
  <c r="W43" i="12"/>
  <c r="W467" i="11"/>
  <c r="W324" i="11"/>
  <c r="W75" i="12" s="1"/>
  <c r="W369" i="11"/>
  <c r="Q108" i="26"/>
  <c r="T166" i="13"/>
  <c r="T171" i="13"/>
  <c r="U171" i="13" s="1"/>
  <c r="U165" i="13"/>
  <c r="T346" i="7"/>
  <c r="T348" i="7"/>
  <c r="U348" i="7" s="1"/>
  <c r="U344" i="7"/>
  <c r="T35" i="11"/>
  <c r="T40" i="11"/>
  <c r="U40" i="11" s="1"/>
  <c r="U27" i="11"/>
  <c r="W544" i="8"/>
  <c r="W549" i="8"/>
  <c r="R943" i="22"/>
  <c r="R946" i="22"/>
  <c r="R934" i="22"/>
  <c r="X194" i="8"/>
  <c r="X460" i="8"/>
  <c r="X233" i="11"/>
  <c r="S394" i="22"/>
  <c r="S518" i="22"/>
  <c r="S437" i="22"/>
  <c r="F13" i="26"/>
  <c r="F111" i="23"/>
  <c r="R93" i="26"/>
  <c r="T12" i="22"/>
  <c r="T680" i="22"/>
  <c r="Y233" i="11"/>
  <c r="Y114" i="10"/>
  <c r="Y460" i="8"/>
  <c r="S705" i="22"/>
  <c r="S681" i="22"/>
  <c r="S683" i="22"/>
  <c r="S709" i="22" s="1"/>
  <c r="R438" i="22"/>
  <c r="R462" i="22"/>
  <c r="R476" i="22"/>
  <c r="R638" i="22" s="1"/>
  <c r="R598" i="22"/>
  <c r="R440" i="22"/>
  <c r="R248" i="22"/>
  <c r="R257" i="22"/>
  <c r="R260" i="22"/>
  <c r="Y410" i="11"/>
  <c r="X354" i="8"/>
  <c r="X351" i="8"/>
  <c r="Y346" i="8"/>
  <c r="V464" i="11"/>
  <c r="V321" i="11"/>
  <c r="P106" i="26"/>
  <c r="V471" i="11"/>
  <c r="V328" i="11"/>
  <c r="R211" i="22"/>
  <c r="X185" i="8"/>
  <c r="X439" i="8"/>
  <c r="X261" i="11"/>
  <c r="S449" i="22"/>
  <c r="S406" i="22"/>
  <c r="S530" i="22"/>
  <c r="F103" i="23"/>
  <c r="F11" i="26"/>
  <c r="R99" i="26"/>
  <c r="T24" i="22"/>
  <c r="T692" i="22"/>
  <c r="Y261" i="11"/>
  <c r="Y126" i="10"/>
  <c r="Y439" i="8"/>
  <c r="Q455" i="22"/>
  <c r="Q487" i="22"/>
  <c r="Q649" i="22" s="1"/>
  <c r="Q609" i="22"/>
  <c r="Q452" i="22"/>
  <c r="Q460" i="22"/>
  <c r="Q494" i="22"/>
  <c r="Q656" i="22" s="1"/>
  <c r="Q616" i="22"/>
  <c r="Q467" i="22"/>
  <c r="X527" i="8"/>
  <c r="X551" i="8"/>
  <c r="Y551" i="8" s="1"/>
  <c r="Y525" i="8"/>
  <c r="X529" i="8"/>
  <c r="X146" i="8"/>
  <c r="Y325" i="8"/>
  <c r="P1381" i="24"/>
  <c r="P1378" i="24"/>
  <c r="Y330" i="8"/>
  <c r="Y151" i="11"/>
  <c r="X597" i="8"/>
  <c r="X252" i="10"/>
  <c r="X165" i="7"/>
  <c r="X165" i="8"/>
  <c r="X595" i="8"/>
  <c r="W302" i="7"/>
  <c r="W155" i="7"/>
  <c r="S130" i="14"/>
  <c r="S160" i="13"/>
  <c r="R288" i="7"/>
  <c r="S158" i="13"/>
  <c r="S151" i="13"/>
  <c r="S128" i="14"/>
  <c r="T71" i="16"/>
  <c r="S86" i="16"/>
  <c r="S79" i="16"/>
  <c r="Y353" i="8"/>
  <c r="V139" i="13"/>
  <c r="V112" i="13"/>
  <c r="V108" i="13"/>
  <c r="D27" i="26"/>
  <c r="V58" i="7"/>
  <c r="V55" i="7"/>
  <c r="Y331" i="8"/>
  <c r="S268" i="7"/>
  <c r="V420" i="8"/>
  <c r="V381" i="8"/>
  <c r="V417" i="8"/>
  <c r="V408" i="8"/>
  <c r="W74" i="7"/>
  <c r="W96" i="7"/>
  <c r="S58" i="14"/>
  <c r="S61" i="14"/>
  <c r="R1371" i="24"/>
  <c r="W521" i="11" s="1"/>
  <c r="T194" i="12"/>
  <c r="T196" i="12"/>
  <c r="U196" i="12" s="1"/>
  <c r="U192" i="12"/>
  <c r="W355" i="11"/>
  <c r="R1103" i="24"/>
  <c r="R1106" i="24"/>
  <c r="R1111" i="24"/>
  <c r="W76" i="11"/>
  <c r="W211" i="7"/>
  <c r="W69" i="11"/>
  <c r="W81" i="11"/>
  <c r="T214" i="13"/>
  <c r="U214" i="13" s="1"/>
  <c r="U56" i="14"/>
  <c r="R296" i="22"/>
  <c r="R233" i="9"/>
  <c r="R236" i="9"/>
  <c r="R241" i="9"/>
  <c r="S362" i="9"/>
  <c r="S359" i="9"/>
  <c r="S367" i="9"/>
  <c r="S80" i="16"/>
  <c r="S77" i="14"/>
  <c r="S74" i="14"/>
  <c r="T80" i="13" l="1"/>
  <c r="W52" i="12"/>
  <c r="P1239" i="24"/>
  <c r="T51" i="14"/>
  <c r="Q1148" i="24"/>
  <c r="Q1160" i="24"/>
  <c r="Q1150" i="24"/>
  <c r="W77" i="11"/>
  <c r="W74" i="11"/>
  <c r="W82" i="11"/>
  <c r="X32" i="8"/>
  <c r="X148" i="8"/>
  <c r="X154" i="8"/>
  <c r="Y146" i="8"/>
  <c r="Q500" i="22"/>
  <c r="Q662" i="22" s="1"/>
  <c r="Q622" i="22"/>
  <c r="R466" i="22"/>
  <c r="R480" i="22"/>
  <c r="R602" i="22"/>
  <c r="W405" i="8"/>
  <c r="W378" i="8"/>
  <c r="R40" i="22"/>
  <c r="R43" i="22"/>
  <c r="R31" i="22"/>
  <c r="T456" i="8"/>
  <c r="T222" i="11"/>
  <c r="T459" i="8"/>
  <c r="T232" i="11"/>
  <c r="U71" i="7"/>
  <c r="S372" i="9"/>
  <c r="S375" i="9"/>
  <c r="S363" i="9"/>
  <c r="R237" i="9"/>
  <c r="R249" i="9"/>
  <c r="R246" i="9"/>
  <c r="W213" i="7"/>
  <c r="W215" i="7"/>
  <c r="R1107" i="24"/>
  <c r="R1119" i="24"/>
  <c r="R1116" i="24"/>
  <c r="S81" i="16"/>
  <c r="S20" i="16" s="1"/>
  <c r="S12" i="4" s="1"/>
  <c r="N161" i="26" s="1"/>
  <c r="T89" i="16"/>
  <c r="S140" i="14"/>
  <c r="X528" i="8"/>
  <c r="X555" i="8"/>
  <c r="Y555" i="8" s="1"/>
  <c r="Y529" i="8"/>
  <c r="Q507" i="22"/>
  <c r="Q669" i="22" s="1"/>
  <c r="Q629" i="22"/>
  <c r="Q495" i="22"/>
  <c r="Q617" i="22"/>
  <c r="Q492" i="22"/>
  <c r="Q614" i="22"/>
  <c r="Q456" i="22"/>
  <c r="Q465" i="22"/>
  <c r="Q468" i="22"/>
  <c r="R178" i="26"/>
  <c r="Y185" i="8"/>
  <c r="T170" i="13"/>
  <c r="T172" i="13"/>
  <c r="U166" i="13"/>
  <c r="W226" i="8"/>
  <c r="W239" i="8"/>
  <c r="W31" i="11"/>
  <c r="W30" i="11"/>
  <c r="W382" i="11"/>
  <c r="W395" i="11"/>
  <c r="W162" i="12"/>
  <c r="W345" i="7"/>
  <c r="M155" i="26"/>
  <c r="W207" i="11"/>
  <c r="Y80" i="7"/>
  <c r="X245" i="10"/>
  <c r="X248" i="10"/>
  <c r="W208" i="10"/>
  <c r="W220" i="10"/>
  <c r="W217" i="10"/>
  <c r="X113" i="10"/>
  <c r="S776" i="24"/>
  <c r="S800" i="24"/>
  <c r="S778" i="24"/>
  <c r="S804" i="24" s="1"/>
  <c r="T304" i="9"/>
  <c r="T328" i="9"/>
  <c r="T306" i="9"/>
  <c r="T332" i="9" s="1"/>
  <c r="V204" i="8"/>
  <c r="V213" i="8"/>
  <c r="V216" i="8"/>
  <c r="V386" i="11"/>
  <c r="V202" i="12"/>
  <c r="P212" i="26"/>
  <c r="V379" i="11"/>
  <c r="V194" i="7"/>
  <c r="V19" i="11"/>
  <c r="V43" i="11"/>
  <c r="V21" i="11"/>
  <c r="E24" i="26"/>
  <c r="W156" i="8"/>
  <c r="T207" i="12"/>
  <c r="T209" i="12"/>
  <c r="U209" i="12" s="1"/>
  <c r="U205" i="12"/>
  <c r="R491" i="22"/>
  <c r="R653" i="22" s="1"/>
  <c r="R613" i="22"/>
  <c r="S16" i="7"/>
  <c r="X123" i="7"/>
  <c r="X116" i="8"/>
  <c r="X442" i="8"/>
  <c r="X271" i="11"/>
  <c r="F151" i="23"/>
  <c r="Y116" i="8"/>
  <c r="Y123" i="7"/>
  <c r="Y271" i="11"/>
  <c r="Y442" i="8"/>
  <c r="Y52" i="7"/>
  <c r="S473" i="22"/>
  <c r="S595" i="22"/>
  <c r="S441" i="22"/>
  <c r="Y118" i="10"/>
  <c r="X52" i="8"/>
  <c r="X195" i="8"/>
  <c r="R181" i="26"/>
  <c r="Y193" i="8"/>
  <c r="T14" i="7"/>
  <c r="T72" i="7"/>
  <c r="T76" i="7"/>
  <c r="T425" i="8"/>
  <c r="T219" i="11"/>
  <c r="T428" i="8"/>
  <c r="T229" i="11"/>
  <c r="U66" i="7"/>
  <c r="P362" i="22"/>
  <c r="P368" i="22"/>
  <c r="Q122" i="22"/>
  <c r="Q116" i="22"/>
  <c r="P90" i="22"/>
  <c r="P58" i="22"/>
  <c r="T370" i="7"/>
  <c r="T376" i="7"/>
  <c r="U376" i="7" s="1"/>
  <c r="U368" i="7"/>
  <c r="W168" i="11"/>
  <c r="W146" i="11"/>
  <c r="W237" i="7"/>
  <c r="W182" i="11"/>
  <c r="S539" i="22"/>
  <c r="S579" i="22" s="1"/>
  <c r="S553" i="22"/>
  <c r="S515" i="22"/>
  <c r="U104" i="14"/>
  <c r="T104" i="14"/>
  <c r="T382" i="7"/>
  <c r="U382" i="7" s="1"/>
  <c r="T364" i="7"/>
  <c r="U356" i="7"/>
  <c r="R35" i="13"/>
  <c r="M112" i="26"/>
  <c r="R36" i="13"/>
  <c r="M113" i="26"/>
  <c r="X166" i="7"/>
  <c r="W156" i="7"/>
  <c r="W153" i="7"/>
  <c r="R295" i="22"/>
  <c r="R271" i="22"/>
  <c r="R297" i="22" s="1"/>
  <c r="T135" i="14"/>
  <c r="U135" i="14" s="1"/>
  <c r="U155" i="13"/>
  <c r="T87" i="14"/>
  <c r="U87" i="14" s="1"/>
  <c r="T118" i="14"/>
  <c r="T71" i="14" s="1"/>
  <c r="U85" i="14"/>
  <c r="T374" i="7"/>
  <c r="U374" i="7" s="1"/>
  <c r="U372" i="7"/>
  <c r="X227" i="7"/>
  <c r="X118" i="11"/>
  <c r="X190" i="11"/>
  <c r="Y190" i="11" s="1"/>
  <c r="Y110" i="11"/>
  <c r="X123" i="11"/>
  <c r="X289" i="8"/>
  <c r="Y289" i="8" s="1"/>
  <c r="X271" i="8"/>
  <c r="Y263" i="8"/>
  <c r="X264" i="8"/>
  <c r="V166" i="12"/>
  <c r="V79" i="12"/>
  <c r="S125" i="8"/>
  <c r="S472" i="8"/>
  <c r="N199" i="26"/>
  <c r="S476" i="8"/>
  <c r="Q220" i="26"/>
  <c r="R793" i="24"/>
  <c r="R790" i="24"/>
  <c r="R798" i="24"/>
  <c r="O139" i="26"/>
  <c r="U374" i="11"/>
  <c r="U371" i="11"/>
  <c r="W188" i="12"/>
  <c r="Q133" i="26"/>
  <c r="V26" i="7"/>
  <c r="V139" i="7"/>
  <c r="V289" i="7"/>
  <c r="X260" i="10"/>
  <c r="W286" i="10"/>
  <c r="V58" i="8"/>
  <c r="V55" i="8"/>
  <c r="W56" i="8"/>
  <c r="W9" i="8"/>
  <c r="W50" i="8"/>
  <c r="Q176" i="26"/>
  <c r="P224" i="26"/>
  <c r="T58" i="12"/>
  <c r="T60" i="12"/>
  <c r="U60" i="12" s="1"/>
  <c r="U56" i="12"/>
  <c r="T98" i="8"/>
  <c r="U98" i="8" s="1"/>
  <c r="U66" i="8"/>
  <c r="S243" i="22"/>
  <c r="S245" i="22"/>
  <c r="V126" i="13"/>
  <c r="V132" i="13"/>
  <c r="V16" i="12"/>
  <c r="V18" i="12"/>
  <c r="R204" i="26"/>
  <c r="Y561" i="8"/>
  <c r="Y224" i="7"/>
  <c r="X566" i="8"/>
  <c r="X180" i="12"/>
  <c r="Y180" i="12" s="1"/>
  <c r="S1073" i="24"/>
  <c r="X484" i="11" s="1"/>
  <c r="Y356" i="11"/>
  <c r="Y280" i="8"/>
  <c r="X293" i="8"/>
  <c r="Y293" i="8" s="1"/>
  <c r="X284" i="8"/>
  <c r="Y284" i="8" s="1"/>
  <c r="S500" i="8"/>
  <c r="N193" i="26"/>
  <c r="S448" i="8"/>
  <c r="S13" i="3"/>
  <c r="Y354" i="8"/>
  <c r="Y351" i="8"/>
  <c r="V243" i="8"/>
  <c r="V236" i="8"/>
  <c r="W286" i="7"/>
  <c r="W511" i="8"/>
  <c r="W298" i="11"/>
  <c r="E131" i="23"/>
  <c r="X158" i="10"/>
  <c r="Y158" i="10" s="1"/>
  <c r="S39" i="22"/>
  <c r="S17" i="22"/>
  <c r="S14" i="22"/>
  <c r="T66" i="16"/>
  <c r="O216" i="26"/>
  <c r="U383" i="11"/>
  <c r="T384" i="11"/>
  <c r="T387" i="11"/>
  <c r="P72" i="9"/>
  <c r="P69" i="9"/>
  <c r="V153" i="12"/>
  <c r="V150" i="12"/>
  <c r="X127" i="10"/>
  <c r="S789" i="24"/>
  <c r="S801" i="24"/>
  <c r="Q206" i="26"/>
  <c r="S410" i="22"/>
  <c r="T684" i="22"/>
  <c r="F25" i="26"/>
  <c r="Y43" i="10"/>
  <c r="X116" i="7"/>
  <c r="X123" i="8"/>
  <c r="X463" i="8"/>
  <c r="X243" i="11"/>
  <c r="F159" i="23"/>
  <c r="Y49" i="7"/>
  <c r="Y463" i="8"/>
  <c r="Y123" i="8"/>
  <c r="Y243" i="11"/>
  <c r="Y116" i="7"/>
  <c r="U73" i="7"/>
  <c r="R280" i="22"/>
  <c r="R286" i="22"/>
  <c r="P376" i="22"/>
  <c r="P382" i="22"/>
  <c r="U30" i="14"/>
  <c r="T33" i="14"/>
  <c r="T30" i="14"/>
  <c r="U33" i="14"/>
  <c r="P60" i="22"/>
  <c r="P82" i="22"/>
  <c r="P50" i="22"/>
  <c r="T363" i="7"/>
  <c r="T357" i="7"/>
  <c r="T381" i="7"/>
  <c r="U381" i="7" s="1"/>
  <c r="U355" i="7"/>
  <c r="X81" i="7"/>
  <c r="X70" i="8"/>
  <c r="Y164" i="11"/>
  <c r="Q422" i="22"/>
  <c r="Q413" i="22"/>
  <c r="Q1384" i="24" s="1"/>
  <c r="Q425" i="22"/>
  <c r="S941" i="22"/>
  <c r="S919" i="22"/>
  <c r="S945" i="22" s="1"/>
  <c r="S916" i="22"/>
  <c r="U129" i="13"/>
  <c r="U140" i="13"/>
  <c r="U144" i="13"/>
  <c r="W296" i="8"/>
  <c r="W243" i="7"/>
  <c r="W248" i="7"/>
  <c r="W206" i="11"/>
  <c r="T701" i="22"/>
  <c r="T677" i="22"/>
  <c r="X446" i="8"/>
  <c r="X282" i="11"/>
  <c r="F3" i="26"/>
  <c r="F71" i="23"/>
  <c r="Y282" i="11"/>
  <c r="Y446" i="8"/>
  <c r="Y135" i="10"/>
  <c r="V107" i="8"/>
  <c r="R274" i="22"/>
  <c r="R300" i="22" s="1"/>
  <c r="R292" i="22"/>
  <c r="P61" i="22"/>
  <c r="P95" i="22" s="1"/>
  <c r="P83" i="22"/>
  <c r="W192" i="13"/>
  <c r="R39" i="13"/>
  <c r="M116" i="26"/>
  <c r="R38" i="13"/>
  <c r="M115" i="26"/>
  <c r="X318" i="7"/>
  <c r="X610" i="8"/>
  <c r="R17" i="21"/>
  <c r="R19" i="21" s="1"/>
  <c r="X38" i="7"/>
  <c r="X169" i="8"/>
  <c r="X608" i="8"/>
  <c r="W34" i="7"/>
  <c r="Q107" i="22"/>
  <c r="Q133" i="22" s="1"/>
  <c r="Q131" i="22"/>
  <c r="P67" i="22"/>
  <c r="P77" i="22"/>
  <c r="T43" i="14"/>
  <c r="U43" i="14" s="1"/>
  <c r="U41" i="14"/>
  <c r="T361" i="7"/>
  <c r="T385" i="7"/>
  <c r="U385" i="7" s="1"/>
  <c r="U359" i="7"/>
  <c r="X208" i="7"/>
  <c r="X60" i="11"/>
  <c r="X84" i="11"/>
  <c r="Y84" i="11" s="1"/>
  <c r="Y58" i="11"/>
  <c r="X62" i="11"/>
  <c r="V72" i="12"/>
  <c r="V159" i="12"/>
  <c r="R421" i="22"/>
  <c r="R396" i="22"/>
  <c r="R399" i="22"/>
  <c r="S125" i="7"/>
  <c r="S273" i="11"/>
  <c r="N149" i="26"/>
  <c r="S284" i="11"/>
  <c r="W554" i="8"/>
  <c r="W545" i="8"/>
  <c r="W557" i="8"/>
  <c r="U240" i="8"/>
  <c r="T244" i="8"/>
  <c r="T241" i="8"/>
  <c r="T220" i="12"/>
  <c r="T222" i="12"/>
  <c r="U222" i="12" s="1"/>
  <c r="U218" i="12"/>
  <c r="S318" i="9"/>
  <c r="S321" i="9"/>
  <c r="S326" i="9"/>
  <c r="W411" i="8"/>
  <c r="W75" i="8"/>
  <c r="W97" i="8"/>
  <c r="S219" i="13"/>
  <c r="S216" i="13"/>
  <c r="W7" i="3"/>
  <c r="V17" i="3"/>
  <c r="V21" i="3"/>
  <c r="V11" i="6" s="1"/>
  <c r="V10" i="6"/>
  <c r="V14" i="6"/>
  <c r="V15" i="6"/>
  <c r="V20" i="6"/>
  <c r="V27" i="3"/>
  <c r="V12" i="6" s="1"/>
  <c r="V26" i="8"/>
  <c r="V139" i="8"/>
  <c r="V514" i="8"/>
  <c r="V308" i="11"/>
  <c r="P103" i="26"/>
  <c r="D143" i="23"/>
  <c r="V55" i="13"/>
  <c r="Q1218" i="24"/>
  <c r="V28" i="14" s="1"/>
  <c r="Q1214" i="24"/>
  <c r="V52" i="13"/>
  <c r="Q1213" i="24"/>
  <c r="V56" i="13"/>
  <c r="Q1217" i="24"/>
  <c r="V51" i="13"/>
  <c r="W284" i="10"/>
  <c r="W32" i="10"/>
  <c r="W25" i="10"/>
  <c r="S70" i="13"/>
  <c r="Y327" i="8"/>
  <c r="Y324" i="8"/>
  <c r="X154" i="7"/>
  <c r="Y154" i="7" s="1"/>
  <c r="X298" i="7"/>
  <c r="Y146" i="7"/>
  <c r="S735" i="24"/>
  <c r="S759" i="24"/>
  <c r="S737" i="24"/>
  <c r="S763" i="24" s="1"/>
  <c r="X216" i="10"/>
  <c r="Y216" i="10" s="1"/>
  <c r="Y190" i="10"/>
  <c r="X194" i="10"/>
  <c r="X191" i="10"/>
  <c r="P187" i="26"/>
  <c r="V11" i="8"/>
  <c r="E18" i="26"/>
  <c r="T33" i="11"/>
  <c r="T36" i="11"/>
  <c r="T41" i="11"/>
  <c r="U41" i="11" s="1"/>
  <c r="U28" i="11"/>
  <c r="U527" i="11"/>
  <c r="T528" i="11"/>
  <c r="T531" i="11"/>
  <c r="S748" i="24"/>
  <c r="Y297" i="10" s="1"/>
  <c r="S760" i="24"/>
  <c r="Q904" i="22"/>
  <c r="Q897" i="22"/>
  <c r="S254" i="22"/>
  <c r="S230" i="22"/>
  <c r="S232" i="22"/>
  <c r="V125" i="13"/>
  <c r="V118" i="13"/>
  <c r="V131" i="13"/>
  <c r="V323" i="11"/>
  <c r="V74" i="12" s="1"/>
  <c r="V368" i="11"/>
  <c r="V513" i="11"/>
  <c r="V466" i="11"/>
  <c r="V42" i="12"/>
  <c r="P107" i="26"/>
  <c r="V515" i="11"/>
  <c r="S136" i="14"/>
  <c r="Y175" i="12"/>
  <c r="S331" i="7"/>
  <c r="S69" i="13"/>
  <c r="X155" i="11"/>
  <c r="Y153" i="11"/>
  <c r="X239" i="7"/>
  <c r="Y239" i="7" s="1"/>
  <c r="X193" i="11"/>
  <c r="Y193" i="11" s="1"/>
  <c r="X157" i="11"/>
  <c r="Y362" i="8"/>
  <c r="X375" i="8"/>
  <c r="Y375" i="8" s="1"/>
  <c r="X402" i="8"/>
  <c r="Y402" i="8" s="1"/>
  <c r="S104" i="8"/>
  <c r="S108" i="8"/>
  <c r="S93" i="8"/>
  <c r="Y103" i="11"/>
  <c r="Y106" i="11"/>
  <c r="S122" i="7"/>
  <c r="S272" i="7"/>
  <c r="S270" i="11"/>
  <c r="S256" i="11"/>
  <c r="N148" i="26"/>
  <c r="S281" i="11"/>
  <c r="W85" i="7"/>
  <c r="W89" i="11"/>
  <c r="W565" i="8"/>
  <c r="W357" i="11"/>
  <c r="W452" i="11"/>
  <c r="W179" i="12"/>
  <c r="R1072" i="24"/>
  <c r="W359" i="11"/>
  <c r="U194" i="12"/>
  <c r="T195" i="12"/>
  <c r="T198" i="12"/>
  <c r="S138" i="14"/>
  <c r="S131" i="14"/>
  <c r="S489" i="22"/>
  <c r="S611" i="22"/>
  <c r="S707" i="22"/>
  <c r="S682" i="22"/>
  <c r="S685" i="22"/>
  <c r="U346" i="7"/>
  <c r="T350" i="7"/>
  <c r="T347" i="7"/>
  <c r="W57" i="12"/>
  <c r="Y69" i="8"/>
  <c r="S176" i="13"/>
  <c r="W410" i="8"/>
  <c r="U58" i="13"/>
  <c r="U61" i="13"/>
  <c r="M203" i="26"/>
  <c r="W443" i="11"/>
  <c r="S245" i="9"/>
  <c r="S223" i="9"/>
  <c r="S220" i="9"/>
  <c r="Q71" i="9"/>
  <c r="Q1470" i="24"/>
  <c r="Q1478" i="24" s="1"/>
  <c r="V44" i="11"/>
  <c r="V22" i="11"/>
  <c r="T90" i="16"/>
  <c r="S157" i="13"/>
  <c r="S161" i="13"/>
  <c r="X169" i="7"/>
  <c r="X38" i="8"/>
  <c r="X166" i="8"/>
  <c r="X596" i="8"/>
  <c r="X599" i="8"/>
  <c r="R502" i="22"/>
  <c r="R664" i="22" s="1"/>
  <c r="R624" i="22"/>
  <c r="S477" i="22"/>
  <c r="S599" i="22"/>
  <c r="R182" i="26"/>
  <c r="Y194" i="8"/>
  <c r="T84" i="7"/>
  <c r="T84" i="8"/>
  <c r="U35" i="11"/>
  <c r="T48" i="11"/>
  <c r="U48" i="11" s="1"/>
  <c r="W193" i="12"/>
  <c r="Q137" i="26"/>
  <c r="T72" i="14"/>
  <c r="U72" i="14" s="1"/>
  <c r="W367" i="8"/>
  <c r="W364" i="8"/>
  <c r="W372" i="8"/>
  <c r="W399" i="8"/>
  <c r="W171" i="11"/>
  <c r="W185" i="11"/>
  <c r="V12" i="3"/>
  <c r="V107" i="7"/>
  <c r="U472" i="11"/>
  <c r="U469" i="11"/>
  <c r="N147" i="26"/>
  <c r="S15" i="17"/>
  <c r="S9" i="17"/>
  <c r="T371" i="9"/>
  <c r="T346" i="9"/>
  <c r="T349" i="9"/>
  <c r="V349" i="7"/>
  <c r="V342" i="7"/>
  <c r="V230" i="8"/>
  <c r="V248" i="8"/>
  <c r="V223" i="8"/>
  <c r="W17" i="6"/>
  <c r="W20" i="7"/>
  <c r="W8" i="6"/>
  <c r="W119" i="7"/>
  <c r="W269" i="7"/>
  <c r="W133" i="8"/>
  <c r="W494" i="8"/>
  <c r="W246" i="11"/>
  <c r="E135" i="23"/>
  <c r="Q95" i="26"/>
  <c r="X151" i="10"/>
  <c r="Y151" i="10" s="1"/>
  <c r="W34" i="8"/>
  <c r="T255" i="8"/>
  <c r="U255" i="8" s="1"/>
  <c r="U229" i="8"/>
  <c r="P32" i="9"/>
  <c r="P1471" i="24"/>
  <c r="P1477" i="24"/>
  <c r="T164" i="12"/>
  <c r="T77" i="12"/>
  <c r="T80" i="12"/>
  <c r="T167" i="12"/>
  <c r="U48" i="12"/>
  <c r="U77" i="12"/>
  <c r="U80" i="12"/>
  <c r="U45" i="12"/>
  <c r="U198" i="13"/>
  <c r="T202" i="13"/>
  <c r="T199" i="13"/>
  <c r="V19" i="10"/>
  <c r="D21" i="26"/>
  <c r="T696" i="22"/>
  <c r="S453" i="22"/>
  <c r="S485" i="22"/>
  <c r="S607" i="22"/>
  <c r="F23" i="26"/>
  <c r="Y46" i="10"/>
  <c r="X49" i="8"/>
  <c r="X186" i="8"/>
  <c r="R177" i="26"/>
  <c r="Y184" i="8"/>
  <c r="T16" i="22"/>
  <c r="S522" i="22"/>
  <c r="S554" i="22"/>
  <c r="U70" i="16"/>
  <c r="V70" i="16" s="1"/>
  <c r="P348" i="22"/>
  <c r="P354" i="22"/>
  <c r="R267" i="22"/>
  <c r="R273" i="22"/>
  <c r="R291" i="22"/>
  <c r="Q109" i="22"/>
  <c r="Q135" i="22" s="1"/>
  <c r="Q127" i="22"/>
  <c r="Q103" i="22"/>
  <c r="T89" i="14"/>
  <c r="U89" i="14" s="1"/>
  <c r="T83" i="14"/>
  <c r="T114" i="14"/>
  <c r="T67" i="14" s="1"/>
  <c r="U81" i="14"/>
  <c r="T103" i="14"/>
  <c r="U103" i="14"/>
  <c r="S276" i="9"/>
  <c r="S289" i="9" s="1"/>
  <c r="S227" i="9"/>
  <c r="X535" i="8"/>
  <c r="S1097" i="24"/>
  <c r="X198" i="10"/>
  <c r="S269" i="9"/>
  <c r="S281" i="9"/>
  <c r="T353" i="9"/>
  <c r="W143" i="11"/>
  <c r="W170" i="11"/>
  <c r="W184" i="11"/>
  <c r="T9" i="22"/>
  <c r="T33" i="22"/>
  <c r="S391" i="22"/>
  <c r="S415" i="22"/>
  <c r="Y111" i="10"/>
  <c r="X206" i="8"/>
  <c r="Y206" i="8" s="1"/>
  <c r="X188" i="8"/>
  <c r="R174" i="26"/>
  <c r="Y180" i="8"/>
  <c r="Q110" i="22"/>
  <c r="Q136" i="22" s="1"/>
  <c r="Q128" i="22"/>
  <c r="R151" i="22"/>
  <c r="R177" i="22" s="1"/>
  <c r="R169" i="22"/>
  <c r="T115" i="14"/>
  <c r="T68" i="14" s="1"/>
  <c r="T90" i="14"/>
  <c r="U90" i="14" s="1"/>
  <c r="U82" i="14"/>
  <c r="P210" i="26"/>
  <c r="M123" i="26"/>
  <c r="M122" i="26"/>
  <c r="R9" i="13"/>
  <c r="R32" i="13"/>
  <c r="M118" i="26"/>
  <c r="W99" i="10"/>
  <c r="W96" i="10"/>
  <c r="W123" i="12"/>
  <c r="W126" i="12"/>
  <c r="W131" i="12"/>
  <c r="P1241" i="24"/>
  <c r="R148" i="22"/>
  <c r="R174" i="22" s="1"/>
  <c r="R172" i="22"/>
  <c r="U82" i="8"/>
  <c r="Y332" i="8"/>
  <c r="X352" i="11"/>
  <c r="S1115" i="24"/>
  <c r="S1093" i="24"/>
  <c r="S1090" i="24"/>
  <c r="X389" i="8"/>
  <c r="Y389" i="8" s="1"/>
  <c r="X335" i="8"/>
  <c r="Y309" i="8"/>
  <c r="X313" i="8"/>
  <c r="W133" i="7"/>
  <c r="W119" i="8"/>
  <c r="W20" i="8"/>
  <c r="W452" i="8"/>
  <c r="W302" i="11"/>
  <c r="E155" i="23"/>
  <c r="N152" i="26"/>
  <c r="S294" i="11"/>
  <c r="O131" i="26"/>
  <c r="U396" i="11"/>
  <c r="T14" i="3"/>
  <c r="T397" i="11"/>
  <c r="T400" i="11"/>
  <c r="T329" i="9"/>
  <c r="T317" i="9"/>
  <c r="W379" i="8"/>
  <c r="W406" i="8"/>
  <c r="W75" i="7"/>
  <c r="W97" i="7"/>
  <c r="U31" i="12"/>
  <c r="U34" i="12"/>
  <c r="S139" i="14"/>
  <c r="R752" i="24"/>
  <c r="R749" i="24"/>
  <c r="R757" i="24"/>
  <c r="W63" i="10"/>
  <c r="W66" i="10"/>
  <c r="X218" i="10"/>
  <c r="Y218" i="10" s="1"/>
  <c r="Y192" i="10"/>
  <c r="X109" i="12"/>
  <c r="X133" i="12"/>
  <c r="Y133" i="12" s="1"/>
  <c r="Y107" i="12"/>
  <c r="X111" i="12"/>
  <c r="X98" i="10"/>
  <c r="Y271" i="10"/>
  <c r="Y90" i="10"/>
  <c r="Y279" i="10"/>
  <c r="X23" i="10"/>
  <c r="X58" i="10"/>
  <c r="W17" i="10"/>
  <c r="X17" i="10" s="1"/>
  <c r="E19" i="26"/>
  <c r="R547" i="22"/>
  <c r="R587" i="22" s="1"/>
  <c r="R561" i="22"/>
  <c r="T79" i="7"/>
  <c r="T68" i="8"/>
  <c r="U34" i="11"/>
  <c r="T47" i="11"/>
  <c r="U47" i="11" s="1"/>
  <c r="L140" i="26"/>
  <c r="Q20" i="3"/>
  <c r="Q573" i="22"/>
  <c r="Q576" i="22"/>
  <c r="Q546" i="22"/>
  <c r="Q537" i="22"/>
  <c r="Q549" i="22"/>
  <c r="V201" i="13"/>
  <c r="V194" i="13"/>
  <c r="Y80" i="8"/>
  <c r="Y283" i="10"/>
  <c r="Y94" i="10"/>
  <c r="Y274" i="10"/>
  <c r="Y121" i="12"/>
  <c r="X134" i="12"/>
  <c r="Y134" i="12" s="1"/>
  <c r="X122" i="12"/>
  <c r="Y122" i="12" s="1"/>
  <c r="S325" i="22"/>
  <c r="S327" i="22"/>
  <c r="S312" i="22"/>
  <c r="S336" i="22"/>
  <c r="S314" i="22"/>
  <c r="V127" i="13"/>
  <c r="V133" i="13"/>
  <c r="P73" i="26"/>
  <c r="Q1181" i="24"/>
  <c r="V489" i="11"/>
  <c r="V486" i="11"/>
  <c r="X143" i="12"/>
  <c r="R218" i="26"/>
  <c r="Y448" i="11"/>
  <c r="Y154" i="11"/>
  <c r="X240" i="7"/>
  <c r="Y240" i="7" s="1"/>
  <c r="X158" i="11"/>
  <c r="Y158" i="11" s="1"/>
  <c r="X194" i="11"/>
  <c r="Y194" i="11" s="1"/>
  <c r="X363" i="8"/>
  <c r="Y361" i="8"/>
  <c r="X374" i="8"/>
  <c r="Y374" i="8" s="1"/>
  <c r="X401" i="8"/>
  <c r="Y401" i="8" s="1"/>
  <c r="S115" i="8"/>
  <c r="S441" i="8"/>
  <c r="S497" i="8"/>
  <c r="N192" i="26"/>
  <c r="S445" i="8"/>
  <c r="X316" i="7"/>
  <c r="W306" i="7"/>
  <c r="W303" i="7"/>
  <c r="X553" i="8"/>
  <c r="Y553" i="8" s="1"/>
  <c r="Y527" i="8"/>
  <c r="X531" i="8"/>
  <c r="S570" i="22"/>
  <c r="R464" i="22"/>
  <c r="R478" i="22"/>
  <c r="R600" i="22"/>
  <c r="R442" i="22"/>
  <c r="R439" i="22"/>
  <c r="S558" i="22"/>
  <c r="W244" i="7"/>
  <c r="W249" i="7"/>
  <c r="R12" i="5"/>
  <c r="S22" i="16"/>
  <c r="W428" i="11"/>
  <c r="W431" i="11"/>
  <c r="W436" i="11"/>
  <c r="X253" i="10"/>
  <c r="V399" i="11"/>
  <c r="V215" i="12"/>
  <c r="P127" i="26"/>
  <c r="V392" i="11"/>
  <c r="P135" i="26"/>
  <c r="V197" i="12"/>
  <c r="V190" i="12"/>
  <c r="U169" i="13"/>
  <c r="W153" i="8"/>
  <c r="T253" i="8"/>
  <c r="U253" i="8" s="1"/>
  <c r="U227" i="8"/>
  <c r="T231" i="8"/>
  <c r="T228" i="8"/>
  <c r="W156" i="10"/>
  <c r="W159" i="10"/>
  <c r="R503" i="22"/>
  <c r="R665" i="22" s="1"/>
  <c r="R625" i="22"/>
  <c r="V53" i="12"/>
  <c r="V530" i="11"/>
  <c r="V523" i="11"/>
  <c r="W488" i="11"/>
  <c r="R1184" i="24" s="1"/>
  <c r="W494" i="11"/>
  <c r="W508" i="11"/>
  <c r="W11" i="12"/>
  <c r="W104" i="13"/>
  <c r="S184" i="22"/>
  <c r="W105" i="13"/>
  <c r="W106" i="13"/>
  <c r="T307" i="22"/>
  <c r="T225" i="22"/>
  <c r="T238" i="22"/>
  <c r="S197" i="22"/>
  <c r="T320" i="22"/>
  <c r="R899" i="22"/>
  <c r="R1195" i="24"/>
  <c r="Q69" i="26"/>
  <c r="W481" i="11"/>
  <c r="T28" i="22"/>
  <c r="S566" i="22"/>
  <c r="S534" i="22"/>
  <c r="S574" i="22" s="1"/>
  <c r="S398" i="22"/>
  <c r="P54" i="22"/>
  <c r="P86" i="22"/>
  <c r="R144" i="22"/>
  <c r="R150" i="22"/>
  <c r="R168" i="22"/>
  <c r="T45" i="14"/>
  <c r="U45" i="14" s="1"/>
  <c r="T39" i="14"/>
  <c r="U37" i="14"/>
  <c r="R157" i="22"/>
  <c r="R163" i="22"/>
  <c r="T97" i="14"/>
  <c r="U97" i="14"/>
  <c r="T10" i="14"/>
  <c r="U10" i="14"/>
  <c r="O84" i="26"/>
  <c r="S464" i="24"/>
  <c r="S467" i="24"/>
  <c r="S472" i="24"/>
  <c r="S29" i="21" s="1"/>
  <c r="S31" i="21" s="1"/>
  <c r="W85" i="8"/>
  <c r="W282" i="8"/>
  <c r="W285" i="8"/>
  <c r="W294" i="8"/>
  <c r="S458" i="22"/>
  <c r="S472" i="22"/>
  <c r="S634" i="22" s="1"/>
  <c r="S594" i="22"/>
  <c r="S434" i="22"/>
  <c r="F7" i="26"/>
  <c r="Y75" i="10"/>
  <c r="X263" i="7"/>
  <c r="X488" i="8"/>
  <c r="X226" i="11"/>
  <c r="F87" i="23"/>
  <c r="R91" i="26"/>
  <c r="Y488" i="8"/>
  <c r="Y263" i="7"/>
  <c r="Y226" i="11"/>
  <c r="Y179" i="7"/>
  <c r="P1246" i="24"/>
  <c r="T52" i="14"/>
  <c r="T46" i="14"/>
  <c r="U46" i="14" s="1"/>
  <c r="U38" i="14"/>
  <c r="T377" i="7"/>
  <c r="U377" i="7" s="1"/>
  <c r="U369" i="7"/>
  <c r="M119" i="26"/>
  <c r="M120" i="26"/>
  <c r="R24" i="13"/>
  <c r="R34" i="13"/>
  <c r="R8" i="13"/>
  <c r="M111" i="26"/>
  <c r="W138" i="12"/>
  <c r="U80" i="13"/>
  <c r="T134" i="14"/>
  <c r="U134" i="14" s="1"/>
  <c r="U154" i="13"/>
  <c r="T101" i="14"/>
  <c r="U101" i="14"/>
  <c r="O87" i="26"/>
  <c r="X226" i="7"/>
  <c r="X117" i="11"/>
  <c r="X111" i="11"/>
  <c r="X189" i="11"/>
  <c r="Y189" i="11" s="1"/>
  <c r="Y109" i="11"/>
  <c r="X122" i="11"/>
  <c r="X310" i="8"/>
  <c r="X388" i="8"/>
  <c r="Y388" i="8" s="1"/>
  <c r="X334" i="8"/>
  <c r="Y308" i="8"/>
  <c r="X312" i="8"/>
  <c r="R699" i="22"/>
  <c r="W12" i="16" s="1"/>
  <c r="R708" i="22"/>
  <c r="R711" i="22"/>
  <c r="N200" i="26"/>
  <c r="S479" i="8"/>
  <c r="P35" i="9"/>
  <c r="P1475" i="24"/>
  <c r="W152" i="12"/>
  <c r="W145" i="12"/>
  <c r="W53" i="7"/>
  <c r="W197" i="8"/>
  <c r="W467" i="8"/>
  <c r="W131" i="10"/>
  <c r="W47" i="10"/>
  <c r="W254" i="11"/>
  <c r="R446" i="22"/>
  <c r="E79" i="23"/>
  <c r="R403" i="22"/>
  <c r="R527" i="22"/>
  <c r="E5" i="26"/>
  <c r="Q97" i="26"/>
  <c r="S21" i="22"/>
  <c r="S689" i="22"/>
  <c r="W124" i="10"/>
  <c r="W136" i="10"/>
  <c r="W183" i="7"/>
  <c r="W79" i="10"/>
  <c r="W221" i="8"/>
  <c r="W234" i="8"/>
  <c r="W14" i="11"/>
  <c r="W13" i="11"/>
  <c r="W390" i="11"/>
  <c r="W157" i="12"/>
  <c r="W377" i="11"/>
  <c r="W340" i="7"/>
  <c r="V335" i="7"/>
  <c r="V19" i="6"/>
  <c r="X64" i="10"/>
  <c r="Y64" i="10" s="1"/>
  <c r="X91" i="10"/>
  <c r="Y56" i="10"/>
  <c r="X414" i="11"/>
  <c r="X438" i="11"/>
  <c r="Y438" i="11" s="1"/>
  <c r="Y412" i="11"/>
  <c r="X416" i="11"/>
  <c r="X305" i="7"/>
  <c r="Y297" i="7"/>
  <c r="X32" i="7"/>
  <c r="X148" i="7"/>
  <c r="W208" i="8"/>
  <c r="W187" i="8"/>
  <c r="W190" i="8"/>
  <c r="W215" i="8"/>
  <c r="R545" i="22"/>
  <c r="R585" i="22" s="1"/>
  <c r="R559" i="22"/>
  <c r="R520" i="22"/>
  <c r="R523" i="22"/>
  <c r="T199" i="7"/>
  <c r="T201" i="7"/>
  <c r="U201" i="7" s="1"/>
  <c r="U197" i="7"/>
  <c r="X70" i="7"/>
  <c r="X81" i="8"/>
  <c r="Y128" i="11"/>
  <c r="Y426" i="11"/>
  <c r="X427" i="11"/>
  <c r="Y427" i="11" s="1"/>
  <c r="X439" i="11"/>
  <c r="Y439" i="11" s="1"/>
  <c r="H414" i="2"/>
  <c r="Q1200" i="24"/>
  <c r="Q1375" i="24"/>
  <c r="Q1202" i="24"/>
  <c r="R189" i="22"/>
  <c r="R213" i="22"/>
  <c r="R191" i="22"/>
  <c r="R202" i="22"/>
  <c r="R204" i="22"/>
  <c r="V499" i="11"/>
  <c r="V28" i="12"/>
  <c r="V501" i="11"/>
  <c r="X479" i="11"/>
  <c r="Y72" i="11"/>
  <c r="X212" i="7"/>
  <c r="Y212" i="7" s="1"/>
  <c r="X73" i="11"/>
  <c r="Y73" i="11" s="1"/>
  <c r="X85" i="11"/>
  <c r="Y85" i="11" s="1"/>
  <c r="S16" i="8"/>
  <c r="Y69" i="7"/>
  <c r="S275" i="7"/>
  <c r="S266" i="11"/>
  <c r="N151" i="26"/>
  <c r="S291" i="11"/>
  <c r="S93" i="7"/>
  <c r="S104" i="7"/>
  <c r="S108" i="7"/>
  <c r="T59" i="16"/>
  <c r="S340" i="22" l="1"/>
  <c r="S258" i="22"/>
  <c r="R299" i="22"/>
  <c r="R217" i="22"/>
  <c r="R176" i="22"/>
  <c r="T76" i="14"/>
  <c r="U76" i="14" s="1"/>
  <c r="U68" i="14"/>
  <c r="T14" i="14"/>
  <c r="T73" i="14"/>
  <c r="U73" i="14" s="1"/>
  <c r="U71" i="14"/>
  <c r="T61" i="16"/>
  <c r="U69" i="16"/>
  <c r="C11" i="5"/>
  <c r="D18" i="4"/>
  <c r="D20" i="17"/>
  <c r="P126" i="27"/>
  <c r="Y81" i="8"/>
  <c r="Y32" i="7"/>
  <c r="Y91" i="10"/>
  <c r="W193" i="7"/>
  <c r="W15" i="11"/>
  <c r="W10" i="7"/>
  <c r="W54" i="7"/>
  <c r="W273" i="7"/>
  <c r="W498" i="8"/>
  <c r="W257" i="11"/>
  <c r="E91" i="23"/>
  <c r="Q98" i="26"/>
  <c r="W187" i="7"/>
  <c r="R411" i="22"/>
  <c r="R424" i="22" s="1"/>
  <c r="R416" i="22"/>
  <c r="R404" i="22"/>
  <c r="W53" i="8"/>
  <c r="W199" i="8"/>
  <c r="Q184" i="26"/>
  <c r="W201" i="8"/>
  <c r="W210" i="8"/>
  <c r="X392" i="8"/>
  <c r="Y392" i="8" s="1"/>
  <c r="X338" i="8"/>
  <c r="Y312" i="8"/>
  <c r="X336" i="8"/>
  <c r="X390" i="8"/>
  <c r="Y390" i="8" s="1"/>
  <c r="Y310" i="8"/>
  <c r="X311" i="8"/>
  <c r="X314" i="8"/>
  <c r="T105" i="14"/>
  <c r="T102" i="14"/>
  <c r="U105" i="14"/>
  <c r="U102" i="14"/>
  <c r="P1301" i="24"/>
  <c r="P1305" i="24"/>
  <c r="P1304" i="24"/>
  <c r="P1302" i="24"/>
  <c r="O88" i="26"/>
  <c r="P1303" i="24"/>
  <c r="R901" i="22"/>
  <c r="R8" i="21" s="1"/>
  <c r="R903" i="22"/>
  <c r="T233" i="22"/>
  <c r="T251" i="22"/>
  <c r="T226" i="22"/>
  <c r="W502" i="11"/>
  <c r="W25" i="12"/>
  <c r="W495" i="11"/>
  <c r="W432" i="11"/>
  <c r="W444" i="11"/>
  <c r="W441" i="11"/>
  <c r="S326" i="22"/>
  <c r="S329" i="22"/>
  <c r="S297" i="11"/>
  <c r="Y479" i="11"/>
  <c r="X493" i="11"/>
  <c r="X507" i="11"/>
  <c r="X10" i="12"/>
  <c r="Y10" i="12"/>
  <c r="X99" i="13"/>
  <c r="X100" i="13"/>
  <c r="X101" i="13"/>
  <c r="T183" i="22"/>
  <c r="T196" i="22"/>
  <c r="S895" i="22"/>
  <c r="R68" i="26"/>
  <c r="S1194" i="24"/>
  <c r="S1142" i="24"/>
  <c r="V30" i="12"/>
  <c r="V32" i="12"/>
  <c r="Q1377" i="24"/>
  <c r="Q1379" i="24"/>
  <c r="C26" i="5"/>
  <c r="Y70" i="7"/>
  <c r="R560" i="22"/>
  <c r="R563" i="22"/>
  <c r="W201" i="12"/>
  <c r="Q211" i="26"/>
  <c r="W477" i="8"/>
  <c r="W285" i="11"/>
  <c r="E6" i="26"/>
  <c r="E83" i="23"/>
  <c r="E26" i="26"/>
  <c r="W51" i="10"/>
  <c r="W81" i="10"/>
  <c r="X202" i="11"/>
  <c r="Y202" i="11" s="1"/>
  <c r="Y122" i="11"/>
  <c r="X116" i="11"/>
  <c r="X197" i="11"/>
  <c r="Y197" i="11" s="1"/>
  <c r="Y117" i="11"/>
  <c r="X130" i="11"/>
  <c r="T210" i="13"/>
  <c r="T60" i="14"/>
  <c r="U60" i="14" s="1"/>
  <c r="U52" i="14"/>
  <c r="S474" i="22"/>
  <c r="S596" i="22"/>
  <c r="W286" i="8"/>
  <c r="W298" i="8"/>
  <c r="W295" i="8"/>
  <c r="S468" i="24"/>
  <c r="S480" i="24"/>
  <c r="S477" i="24"/>
  <c r="R1143" i="24"/>
  <c r="T328" i="22"/>
  <c r="T321" i="22"/>
  <c r="T315" i="22"/>
  <c r="T333" i="22"/>
  <c r="T308" i="22"/>
  <c r="W136" i="13"/>
  <c r="W107" i="13"/>
  <c r="W109" i="13"/>
  <c r="V61" i="12"/>
  <c r="V54" i="12"/>
  <c r="P128" i="26"/>
  <c r="R640" i="22"/>
  <c r="X320" i="7"/>
  <c r="X317" i="7"/>
  <c r="V25" i="6"/>
  <c r="Q21" i="21"/>
  <c r="Q1182" i="24"/>
  <c r="Q1285" i="24"/>
  <c r="Q1185" i="24"/>
  <c r="Q1284" i="24"/>
  <c r="Q1288" i="24"/>
  <c r="Q1286" i="24"/>
  <c r="P74" i="26"/>
  <c r="Q1287" i="24"/>
  <c r="T71" i="8"/>
  <c r="T100" i="8"/>
  <c r="U100" i="8" s="1"/>
  <c r="U68" i="8"/>
  <c r="T73" i="8"/>
  <c r="Y58" i="10"/>
  <c r="W300" i="10"/>
  <c r="X415" i="8"/>
  <c r="Y415" i="8" s="1"/>
  <c r="Y335" i="8"/>
  <c r="Y188" i="8"/>
  <c r="W210" i="11"/>
  <c r="X151" i="8"/>
  <c r="X543" i="8"/>
  <c r="X536" i="8"/>
  <c r="X548" i="8"/>
  <c r="Y548" i="8" s="1"/>
  <c r="Y535" i="8"/>
  <c r="P38" i="9"/>
  <c r="V249" i="8"/>
  <c r="T87" i="7"/>
  <c r="U84" i="7"/>
  <c r="T100" i="7"/>
  <c r="U100" i="7" s="1"/>
  <c r="V68" i="7"/>
  <c r="V79" i="8"/>
  <c r="W454" i="11"/>
  <c r="W147" i="12"/>
  <c r="Q221" i="26"/>
  <c r="W456" i="11"/>
  <c r="S278" i="7"/>
  <c r="S132" i="7"/>
  <c r="X156" i="11"/>
  <c r="Y157" i="11"/>
  <c r="Y155" i="11"/>
  <c r="X195" i="11"/>
  <c r="Y195" i="11" s="1"/>
  <c r="X241" i="7"/>
  <c r="Y241" i="7" s="1"/>
  <c r="X159" i="11"/>
  <c r="V44" i="12"/>
  <c r="V46" i="12"/>
  <c r="V468" i="11"/>
  <c r="V325" i="11"/>
  <c r="P109" i="26"/>
  <c r="V517" i="11"/>
  <c r="V514" i="11"/>
  <c r="V124" i="13"/>
  <c r="V128" i="13"/>
  <c r="V134" i="13"/>
  <c r="S256" i="22"/>
  <c r="S231" i="22"/>
  <c r="S234" i="22"/>
  <c r="P188" i="26"/>
  <c r="V53" i="13"/>
  <c r="V59" i="13"/>
  <c r="V60" i="13"/>
  <c r="S331" i="9"/>
  <c r="S334" i="9"/>
  <c r="S322" i="9"/>
  <c r="U241" i="8"/>
  <c r="U244" i="8"/>
  <c r="S135" i="7"/>
  <c r="S942" i="22"/>
  <c r="S920" i="22"/>
  <c r="S917" i="22"/>
  <c r="Y81" i="7"/>
  <c r="T389" i="7"/>
  <c r="U389" i="7" s="1"/>
  <c r="U363" i="7"/>
  <c r="V20" i="12"/>
  <c r="V17" i="12"/>
  <c r="S482" i="8"/>
  <c r="W245" i="7"/>
  <c r="W242" i="7"/>
  <c r="W250" i="7"/>
  <c r="Q121" i="22"/>
  <c r="U65" i="16" s="1"/>
  <c r="Q124" i="22"/>
  <c r="T112" i="8"/>
  <c r="T431" i="8"/>
  <c r="T487" i="8"/>
  <c r="U487" i="8" s="1"/>
  <c r="O189" i="26"/>
  <c r="U425" i="8"/>
  <c r="U14" i="7"/>
  <c r="Y195" i="8"/>
  <c r="S481" i="22"/>
  <c r="S603" i="22"/>
  <c r="U207" i="12"/>
  <c r="T211" i="12"/>
  <c r="T208" i="12"/>
  <c r="V210" i="12"/>
  <c r="V203" i="12"/>
  <c r="Q657" i="22"/>
  <c r="Q654" i="22"/>
  <c r="T122" i="8"/>
  <c r="T462" i="8"/>
  <c r="O196" i="26"/>
  <c r="U456" i="8"/>
  <c r="Y148" i="8"/>
  <c r="W87" i="11"/>
  <c r="W78" i="11"/>
  <c r="W90" i="11"/>
  <c r="Q1149" i="24"/>
  <c r="Q1152" i="24"/>
  <c r="Q1201" i="24"/>
  <c r="Q1204" i="24"/>
  <c r="U199" i="7"/>
  <c r="T200" i="7"/>
  <c r="T203" i="7"/>
  <c r="W144" i="10"/>
  <c r="T44" i="14"/>
  <c r="T47" i="14"/>
  <c r="U39" i="14"/>
  <c r="V168" i="13"/>
  <c r="Q550" i="22"/>
  <c r="Q586" i="22"/>
  <c r="Q577" i="22"/>
  <c r="Q589" i="22"/>
  <c r="T89" i="7"/>
  <c r="T82" i="7"/>
  <c r="U79" i="7"/>
  <c r="T95" i="7"/>
  <c r="U95" i="7" s="1"/>
  <c r="X280" i="10"/>
  <c r="Y23" i="10"/>
  <c r="Y280" i="10"/>
  <c r="X287" i="10"/>
  <c r="Y287" i="10"/>
  <c r="Y98" i="10"/>
  <c r="W298" i="10"/>
  <c r="R753" i="24"/>
  <c r="R765" i="24"/>
  <c r="R762" i="24"/>
  <c r="W419" i="8"/>
  <c r="X562" i="8"/>
  <c r="X449" i="11"/>
  <c r="X360" i="11"/>
  <c r="X176" i="12"/>
  <c r="S1069" i="24"/>
  <c r="Y352" i="11"/>
  <c r="X353" i="11"/>
  <c r="M124" i="26"/>
  <c r="T123" i="14"/>
  <c r="U123" i="14" s="1"/>
  <c r="U115" i="14"/>
  <c r="W172" i="11"/>
  <c r="W169" i="11"/>
  <c r="W160" i="11"/>
  <c r="W186" i="11"/>
  <c r="W183" i="11"/>
  <c r="S274" i="9"/>
  <c r="S277" i="9"/>
  <c r="S282" i="9"/>
  <c r="S235" i="9"/>
  <c r="S248" i="9" s="1"/>
  <c r="S784" i="24"/>
  <c r="S240" i="9"/>
  <c r="S228" i="9"/>
  <c r="T13" i="14"/>
  <c r="T75" i="14"/>
  <c r="U75" i="14" s="1"/>
  <c r="T69" i="14"/>
  <c r="U67" i="14"/>
  <c r="T79" i="13"/>
  <c r="P353" i="22"/>
  <c r="P356" i="22"/>
  <c r="R179" i="26"/>
  <c r="Y49" i="8"/>
  <c r="U167" i="12"/>
  <c r="U164" i="12"/>
  <c r="W334" i="7"/>
  <c r="T16" i="17"/>
  <c r="T10" i="17"/>
  <c r="P715" i="22" s="1"/>
  <c r="S137" i="14"/>
  <c r="S141" i="14"/>
  <c r="R12" i="21"/>
  <c r="R14" i="21" s="1"/>
  <c r="W361" i="11"/>
  <c r="W358" i="11"/>
  <c r="W101" i="7"/>
  <c r="W90" i="7"/>
  <c r="S276" i="11"/>
  <c r="S287" i="11"/>
  <c r="V370" i="11"/>
  <c r="V192" i="12"/>
  <c r="P136" i="26"/>
  <c r="V372" i="11"/>
  <c r="U531" i="11"/>
  <c r="U528" i="11"/>
  <c r="S761" i="24"/>
  <c r="Y293" i="10"/>
  <c r="S739" i="24"/>
  <c r="S736" i="24"/>
  <c r="V27" i="14"/>
  <c r="Q1219" i="24"/>
  <c r="V24" i="14"/>
  <c r="Q1222" i="24"/>
  <c r="X39" i="7"/>
  <c r="X39" i="8"/>
  <c r="X170" i="8"/>
  <c r="X167" i="8"/>
  <c r="X600" i="8"/>
  <c r="X609" i="8"/>
  <c r="X612" i="8"/>
  <c r="W256" i="7"/>
  <c r="T148" i="13"/>
  <c r="P59" i="22"/>
  <c r="P84" i="22"/>
  <c r="P62" i="22"/>
  <c r="P384" i="22"/>
  <c r="P381" i="22"/>
  <c r="X453" i="11"/>
  <c r="S244" i="22"/>
  <c r="S247" i="22"/>
  <c r="U58" i="12"/>
  <c r="T59" i="12"/>
  <c r="T62" i="12"/>
  <c r="R794" i="24"/>
  <c r="R806" i="24"/>
  <c r="R803" i="24"/>
  <c r="N201" i="26"/>
  <c r="S22" i="8"/>
  <c r="S128" i="8"/>
  <c r="X297" i="8"/>
  <c r="Y297" i="8" s="1"/>
  <c r="Y271" i="8"/>
  <c r="T390" i="7"/>
  <c r="U390" i="7" s="1"/>
  <c r="U364" i="7"/>
  <c r="T378" i="7"/>
  <c r="T375" i="7"/>
  <c r="U370" i="7"/>
  <c r="T265" i="7"/>
  <c r="T235" i="11"/>
  <c r="O144" i="26"/>
  <c r="U229" i="11"/>
  <c r="R183" i="26"/>
  <c r="Y52" i="8"/>
  <c r="V63" i="7"/>
  <c r="V63" i="8"/>
  <c r="V202" i="7"/>
  <c r="V195" i="7"/>
  <c r="S802" i="24"/>
  <c r="S777" i="24"/>
  <c r="S780" i="24"/>
  <c r="X258" i="10"/>
  <c r="X261" i="10"/>
  <c r="X249" i="10"/>
  <c r="W219" i="12"/>
  <c r="Q130" i="26"/>
  <c r="U172" i="13"/>
  <c r="U170" i="13"/>
  <c r="O145" i="26"/>
  <c r="U232" i="11"/>
  <c r="R642" i="22"/>
  <c r="Y32" i="8"/>
  <c r="T53" i="14"/>
  <c r="T209" i="13"/>
  <c r="U51" i="14"/>
  <c r="N153" i="26"/>
  <c r="S285" i="7"/>
  <c r="V500" i="11"/>
  <c r="V503" i="11"/>
  <c r="S18" i="21"/>
  <c r="Y305" i="7"/>
  <c r="X440" i="11"/>
  <c r="Y440" i="11" s="1"/>
  <c r="Y414" i="11"/>
  <c r="X418" i="11"/>
  <c r="X415" i="11"/>
  <c r="V336" i="7"/>
  <c r="W132" i="10"/>
  <c r="W129" i="10"/>
  <c r="X153" i="10"/>
  <c r="Y153" i="10" s="1"/>
  <c r="W137" i="10"/>
  <c r="R486" i="22"/>
  <c r="R608" i="22"/>
  <c r="R454" i="22"/>
  <c r="R447" i="22"/>
  <c r="R459" i="22"/>
  <c r="W126" i="7"/>
  <c r="W126" i="8"/>
  <c r="W473" i="8"/>
  <c r="W274" i="11"/>
  <c r="E163" i="23"/>
  <c r="W185" i="7"/>
  <c r="W57" i="7"/>
  <c r="X414" i="8"/>
  <c r="Y414" i="8" s="1"/>
  <c r="Y334" i="8"/>
  <c r="X252" i="7"/>
  <c r="Y252" i="7" s="1"/>
  <c r="Y226" i="7"/>
  <c r="X230" i="7"/>
  <c r="R40" i="13"/>
  <c r="R33" i="13"/>
  <c r="W101" i="8"/>
  <c r="W90" i="8"/>
  <c r="R152" i="22"/>
  <c r="R170" i="22"/>
  <c r="R149" i="22"/>
  <c r="S205" i="22"/>
  <c r="S198" i="22"/>
  <c r="W138" i="13"/>
  <c r="W111" i="13"/>
  <c r="W19" i="12"/>
  <c r="W12" i="12"/>
  <c r="T254" i="8"/>
  <c r="T245" i="8"/>
  <c r="T257" i="8"/>
  <c r="U231" i="8"/>
  <c r="U228" i="8"/>
  <c r="W257" i="7"/>
  <c r="R482" i="22"/>
  <c r="R604" i="22"/>
  <c r="R479" i="22"/>
  <c r="R601" i="22"/>
  <c r="R504" i="22"/>
  <c r="R666" i="22" s="1"/>
  <c r="R626" i="22"/>
  <c r="S507" i="8"/>
  <c r="S503" i="8"/>
  <c r="S451" i="8"/>
  <c r="S338" i="22"/>
  <c r="S313" i="22"/>
  <c r="S316" i="22"/>
  <c r="X135" i="12"/>
  <c r="Y135" i="12" s="1"/>
  <c r="Y109" i="12"/>
  <c r="X113" i="12"/>
  <c r="X110" i="12"/>
  <c r="U397" i="11"/>
  <c r="U400" i="11"/>
  <c r="R215" i="22"/>
  <c r="R190" i="22"/>
  <c r="R193" i="22"/>
  <c r="V525" i="11"/>
  <c r="Y148" i="7"/>
  <c r="X442" i="11"/>
  <c r="Y442" i="11" s="1"/>
  <c r="Y416" i="11"/>
  <c r="W214" i="12"/>
  <c r="Q126" i="26"/>
  <c r="W247" i="8"/>
  <c r="W10" i="10"/>
  <c r="W48" i="10"/>
  <c r="E8" i="26"/>
  <c r="W83" i="10"/>
  <c r="S697" i="22"/>
  <c r="S710" i="22" s="1"/>
  <c r="S690" i="22"/>
  <c r="S702" i="22"/>
  <c r="R535" i="22"/>
  <c r="R567" i="22"/>
  <c r="R528" i="22"/>
  <c r="R540" i="22"/>
  <c r="R580" i="22" s="1"/>
  <c r="W9" i="4"/>
  <c r="Q158" i="26" s="1"/>
  <c r="V19" i="5"/>
  <c r="V10" i="15"/>
  <c r="R19" i="3"/>
  <c r="R10" i="13"/>
  <c r="R47" i="13"/>
  <c r="M117" i="26"/>
  <c r="R1372" i="24"/>
  <c r="W522" i="11" s="1"/>
  <c r="R1203" i="24"/>
  <c r="R1196" i="24"/>
  <c r="T246" i="22"/>
  <c r="T239" i="22"/>
  <c r="W137" i="13"/>
  <c r="W110" i="13"/>
  <c r="W39" i="12"/>
  <c r="W463" i="11"/>
  <c r="W320" i="11"/>
  <c r="W71" i="12" s="1"/>
  <c r="W516" i="11"/>
  <c r="W365" i="11"/>
  <c r="Q105" i="26"/>
  <c r="W509" i="11"/>
  <c r="V223" i="12"/>
  <c r="V216" i="12"/>
  <c r="S135" i="8"/>
  <c r="N194" i="26"/>
  <c r="S118" i="8"/>
  <c r="S19" i="8"/>
  <c r="Y363" i="8"/>
  <c r="X376" i="8"/>
  <c r="Y376" i="8" s="1"/>
  <c r="X403" i="8"/>
  <c r="Y403" i="8" s="1"/>
  <c r="Y143" i="12"/>
  <c r="V143" i="13"/>
  <c r="X137" i="12"/>
  <c r="Y137" i="12" s="1"/>
  <c r="Y111" i="12"/>
  <c r="O132" i="26"/>
  <c r="U14" i="3"/>
  <c r="X393" i="8"/>
  <c r="Y393" i="8" s="1"/>
  <c r="X339" i="8"/>
  <c r="Y313" i="8"/>
  <c r="P1243" i="24"/>
  <c r="T55" i="14"/>
  <c r="W136" i="12"/>
  <c r="W127" i="12"/>
  <c r="W139" i="12"/>
  <c r="X151" i="7"/>
  <c r="X61" i="10"/>
  <c r="X206" i="10"/>
  <c r="X422" i="11"/>
  <c r="X117" i="12"/>
  <c r="S743" i="24"/>
  <c r="X211" i="10"/>
  <c r="Y211" i="10" s="1"/>
  <c r="X300" i="7"/>
  <c r="X199" i="10"/>
  <c r="X93" i="10"/>
  <c r="Y198" i="10"/>
  <c r="T116" i="14"/>
  <c r="T122" i="14"/>
  <c r="U122" i="14" s="1"/>
  <c r="U114" i="14"/>
  <c r="Q108" i="22"/>
  <c r="Q111" i="22"/>
  <c r="Q129" i="22"/>
  <c r="S562" i="22"/>
  <c r="S647" i="22"/>
  <c r="W412" i="8"/>
  <c r="S639" i="22"/>
  <c r="U347" i="7"/>
  <c r="U350" i="7"/>
  <c r="U195" i="12"/>
  <c r="U198" i="12"/>
  <c r="W483" i="11"/>
  <c r="R1074" i="24"/>
  <c r="R1076" i="24"/>
  <c r="W567" i="8"/>
  <c r="Q207" i="26"/>
  <c r="W569" i="8"/>
  <c r="S301" i="11"/>
  <c r="S22" i="5"/>
  <c r="T84" i="16"/>
  <c r="S71" i="13"/>
  <c r="O66" i="26"/>
  <c r="V327" i="11"/>
  <c r="V470" i="11"/>
  <c r="V238" i="8"/>
  <c r="V225" i="8"/>
  <c r="V27" i="11"/>
  <c r="V26" i="11"/>
  <c r="V381" i="11"/>
  <c r="V394" i="11"/>
  <c r="V161" i="12"/>
  <c r="V344" i="7"/>
  <c r="Q62" i="9"/>
  <c r="Q66" i="9"/>
  <c r="V141" i="13"/>
  <c r="Q7" i="21"/>
  <c r="Q9" i="21" s="1"/>
  <c r="Q905" i="22"/>
  <c r="Q902" i="22"/>
  <c r="U36" i="11"/>
  <c r="U33" i="11"/>
  <c r="T46" i="11"/>
  <c r="T37" i="11"/>
  <c r="T49" i="11"/>
  <c r="T85" i="16"/>
  <c r="O67" i="26"/>
  <c r="V360" i="7"/>
  <c r="V373" i="7"/>
  <c r="V42" i="14"/>
  <c r="V86" i="14"/>
  <c r="Q70" i="22"/>
  <c r="R119" i="22"/>
  <c r="Q66" i="22"/>
  <c r="Q74" i="22"/>
  <c r="R106" i="22"/>
  <c r="Q351" i="22"/>
  <c r="S147" i="22"/>
  <c r="S270" i="22"/>
  <c r="Q379" i="22"/>
  <c r="S160" i="22"/>
  <c r="S283" i="22"/>
  <c r="Q365" i="22"/>
  <c r="P86" i="26"/>
  <c r="Q1242" i="24"/>
  <c r="V56" i="14" s="1"/>
  <c r="X86" i="11"/>
  <c r="Y86" i="11" s="1"/>
  <c r="Y60" i="11"/>
  <c r="X61" i="11"/>
  <c r="X64" i="11"/>
  <c r="T387" i="7"/>
  <c r="U387" i="7" s="1"/>
  <c r="U361" i="7"/>
  <c r="P76" i="22"/>
  <c r="T153" i="13"/>
  <c r="P79" i="22"/>
  <c r="S510" i="8"/>
  <c r="R208" i="26"/>
  <c r="Y566" i="8"/>
  <c r="Q180" i="26"/>
  <c r="X198" i="11"/>
  <c r="Y198" i="11" s="1"/>
  <c r="Y118" i="11"/>
  <c r="X131" i="11"/>
  <c r="X170" i="7"/>
  <c r="X167" i="7"/>
  <c r="W86" i="7"/>
  <c r="W86" i="8"/>
  <c r="W208" i="11"/>
  <c r="T150" i="13"/>
  <c r="P92" i="22"/>
  <c r="T490" i="8"/>
  <c r="U490" i="8" s="1"/>
  <c r="O190" i="26"/>
  <c r="U428" i="8"/>
  <c r="U76" i="7"/>
  <c r="U72" i="7"/>
  <c r="S635" i="22"/>
  <c r="P213" i="26"/>
  <c r="T330" i="9"/>
  <c r="T305" i="9"/>
  <c r="T308" i="9"/>
  <c r="X180" i="7"/>
  <c r="X181" i="8"/>
  <c r="X429" i="8"/>
  <c r="X76" i="10"/>
  <c r="X115" i="10"/>
  <c r="X139" i="10"/>
  <c r="X230" i="11"/>
  <c r="F99" i="23"/>
  <c r="A101" i="23" s="1" a="1"/>
  <c r="S393" i="22"/>
  <c r="S517" i="22"/>
  <c r="S436" i="22"/>
  <c r="R92" i="26"/>
  <c r="F10" i="26"/>
  <c r="T11" i="22"/>
  <c r="T679" i="22"/>
  <c r="Y113" i="10"/>
  <c r="Y230" i="11"/>
  <c r="Y429" i="8"/>
  <c r="X117" i="10"/>
  <c r="X48" i="7"/>
  <c r="X42" i="10"/>
  <c r="W206" i="12"/>
  <c r="Q215" i="26"/>
  <c r="W252" i="8"/>
  <c r="V165" i="13"/>
  <c r="Q469" i="22"/>
  <c r="Q505" i="22"/>
  <c r="Q627" i="22"/>
  <c r="Q496" i="22"/>
  <c r="Q508" i="22"/>
  <c r="Q618" i="22"/>
  <c r="Q630" i="22"/>
  <c r="O197" i="26"/>
  <c r="U459" i="8"/>
  <c r="W418" i="8"/>
  <c r="R506" i="22"/>
  <c r="R668" i="22" s="1"/>
  <c r="R628" i="22"/>
  <c r="P1245" i="24"/>
  <c r="R203" i="22"/>
  <c r="R206" i="22"/>
  <c r="S29" i="22"/>
  <c r="S42" i="22" s="1"/>
  <c r="S34" i="22"/>
  <c r="S22" i="22"/>
  <c r="X228" i="7"/>
  <c r="X191" i="11"/>
  <c r="Y191" i="11" s="1"/>
  <c r="X119" i="11"/>
  <c r="Y111" i="11"/>
  <c r="X124" i="11"/>
  <c r="S498" i="22"/>
  <c r="S660" i="22" s="1"/>
  <c r="S620" i="22"/>
  <c r="R162" i="22"/>
  <c r="R165" i="22"/>
  <c r="P88" i="22"/>
  <c r="T149" i="13"/>
  <c r="R1177" i="24"/>
  <c r="Q70" i="26"/>
  <c r="S192" i="22"/>
  <c r="S218" i="22" s="1"/>
  <c r="S210" i="22"/>
  <c r="S185" i="22"/>
  <c r="T361" i="9"/>
  <c r="T374" i="9" s="1"/>
  <c r="T312" i="9"/>
  <c r="T366" i="9"/>
  <c r="T354" i="9"/>
  <c r="X279" i="8"/>
  <c r="X357" i="8"/>
  <c r="X358" i="8"/>
  <c r="X140" i="11"/>
  <c r="X68" i="11"/>
  <c r="X141" i="11"/>
  <c r="S1105" i="24"/>
  <c r="S1118" i="24" s="1"/>
  <c r="S1098" i="24"/>
  <c r="S1110" i="24"/>
  <c r="T88" i="14"/>
  <c r="T91" i="14"/>
  <c r="U83" i="14"/>
  <c r="R272" i="22"/>
  <c r="R275" i="22"/>
  <c r="R293" i="22"/>
  <c r="Y186" i="8"/>
  <c r="S493" i="22"/>
  <c r="S655" i="22" s="1"/>
  <c r="S615" i="22"/>
  <c r="U199" i="13"/>
  <c r="U202" i="13"/>
  <c r="P1479" i="24"/>
  <c r="P1476" i="24"/>
  <c r="V256" i="8"/>
  <c r="O714" i="22"/>
  <c r="W211" i="11"/>
  <c r="W404" i="8"/>
  <c r="W377" i="8"/>
  <c r="W368" i="8"/>
  <c r="W380" i="8"/>
  <c r="W407" i="8"/>
  <c r="T87" i="8"/>
  <c r="U84" i="8"/>
  <c r="T89" i="8"/>
  <c r="U89" i="8" s="1"/>
  <c r="S651" i="22"/>
  <c r="W181" i="12"/>
  <c r="W183" i="12"/>
  <c r="S22" i="7"/>
  <c r="S128" i="7"/>
  <c r="N150" i="26"/>
  <c r="S282" i="7"/>
  <c r="Y194" i="10"/>
  <c r="Y191" i="10"/>
  <c r="Y298" i="7"/>
  <c r="W288" i="10"/>
  <c r="W33" i="10"/>
  <c r="W285" i="10"/>
  <c r="V23" i="14"/>
  <c r="Q1215" i="24"/>
  <c r="Q1221" i="24"/>
  <c r="V57" i="13"/>
  <c r="S185" i="13"/>
  <c r="U220" i="12"/>
  <c r="T224" i="12"/>
  <c r="T221" i="12"/>
  <c r="S304" i="11"/>
  <c r="X64" i="7"/>
  <c r="X88" i="11"/>
  <c r="Y88" i="11" s="1"/>
  <c r="Y62" i="11"/>
  <c r="X216" i="7"/>
  <c r="Y216" i="7" s="1"/>
  <c r="Y208" i="7"/>
  <c r="X209" i="7"/>
  <c r="Y70" i="8"/>
  <c r="T362" i="7"/>
  <c r="T383" i="7"/>
  <c r="U383" i="7" s="1"/>
  <c r="T365" i="7"/>
  <c r="U357" i="7"/>
  <c r="P94" i="22"/>
  <c r="R285" i="22"/>
  <c r="R288" i="22"/>
  <c r="X198" i="8"/>
  <c r="X470" i="8"/>
  <c r="X264" i="11"/>
  <c r="F115" i="23"/>
  <c r="S407" i="22"/>
  <c r="S531" i="22"/>
  <c r="S450" i="22"/>
  <c r="R100" i="26"/>
  <c r="F14" i="26"/>
  <c r="T25" i="22"/>
  <c r="T693" i="22"/>
  <c r="Y264" i="11"/>
  <c r="Y127" i="10"/>
  <c r="Y470" i="8"/>
  <c r="X140" i="10"/>
  <c r="X184" i="7"/>
  <c r="X80" i="10"/>
  <c r="X128" i="10"/>
  <c r="Y128" i="10" s="1"/>
  <c r="O217" i="26"/>
  <c r="U387" i="11"/>
  <c r="U384" i="11"/>
  <c r="S21" i="5"/>
  <c r="Y15" i="12"/>
  <c r="Y484" i="11"/>
  <c r="X498" i="11"/>
  <c r="X512" i="11"/>
  <c r="X15" i="12"/>
  <c r="T188" i="22"/>
  <c r="X120" i="13"/>
  <c r="X121" i="13"/>
  <c r="Y121" i="13" s="1"/>
  <c r="X122" i="13"/>
  <c r="Y122" i="13" s="1"/>
  <c r="T201" i="22"/>
  <c r="S900" i="22"/>
  <c r="R72" i="26"/>
  <c r="S1199" i="24"/>
  <c r="V142" i="13"/>
  <c r="X269" i="8"/>
  <c r="X64" i="8"/>
  <c r="X290" i="8"/>
  <c r="Y290" i="8" s="1"/>
  <c r="X272" i="8"/>
  <c r="Y264" i="8"/>
  <c r="X203" i="11"/>
  <c r="Y203" i="11" s="1"/>
  <c r="Y123" i="11"/>
  <c r="X253" i="7"/>
  <c r="Y253" i="7" s="1"/>
  <c r="Y227" i="7"/>
  <c r="X231" i="7"/>
  <c r="T120" i="14"/>
  <c r="U120" i="14" s="1"/>
  <c r="U118" i="14"/>
  <c r="S555" i="22"/>
  <c r="P367" i="22"/>
  <c r="P370" i="22"/>
  <c r="T112" i="7"/>
  <c r="T262" i="7"/>
  <c r="T225" i="11"/>
  <c r="T239" i="11"/>
  <c r="O141" i="26"/>
  <c r="U219" i="11"/>
  <c r="V45" i="11"/>
  <c r="V23" i="11"/>
  <c r="V20" i="11"/>
  <c r="W198" i="7"/>
  <c r="W32" i="11"/>
  <c r="Y528" i="8"/>
  <c r="Y531" i="8"/>
  <c r="T91" i="16"/>
  <c r="W214" i="7"/>
  <c r="W217" i="7"/>
  <c r="T115" i="7"/>
  <c r="T242" i="11"/>
  <c r="O142" i="26"/>
  <c r="U222" i="11"/>
  <c r="Y154" i="8"/>
  <c r="V196" i="13"/>
  <c r="Q1162" i="24"/>
  <c r="Q1164" i="24"/>
  <c r="P1244" i="24"/>
  <c r="P1247" i="24"/>
  <c r="S296" i="22" l="1"/>
  <c r="Q1163" i="24"/>
  <c r="Q1166" i="24"/>
  <c r="X480" i="8"/>
  <c r="X295" i="11"/>
  <c r="F15" i="26"/>
  <c r="F119" i="23"/>
  <c r="Y140" i="10"/>
  <c r="Y480" i="8"/>
  <c r="Y295" i="11"/>
  <c r="T706" i="22"/>
  <c r="T694" i="22"/>
  <c r="R185" i="26"/>
  <c r="Y198" i="8"/>
  <c r="X211" i="8"/>
  <c r="Y211" i="8" s="1"/>
  <c r="X202" i="8"/>
  <c r="Y202" i="8" s="1"/>
  <c r="N154" i="26"/>
  <c r="S16" i="3"/>
  <c r="S25" i="7"/>
  <c r="U91" i="14"/>
  <c r="U88" i="14"/>
  <c r="X365" i="8"/>
  <c r="X359" i="8"/>
  <c r="X397" i="8"/>
  <c r="Y397" i="8" s="1"/>
  <c r="X370" i="8"/>
  <c r="Y357" i="8"/>
  <c r="T320" i="9"/>
  <c r="T333" i="9" s="1"/>
  <c r="T313" i="9"/>
  <c r="T325" i="9"/>
  <c r="T129" i="14"/>
  <c r="T159" i="13"/>
  <c r="U159" i="13" s="1"/>
  <c r="U149" i="13"/>
  <c r="V171" i="13"/>
  <c r="V166" i="13"/>
  <c r="T681" i="22"/>
  <c r="T705" i="22"/>
  <c r="T683" i="22"/>
  <c r="T709" i="22" s="1"/>
  <c r="S438" i="22"/>
  <c r="S462" i="22"/>
  <c r="S476" i="22"/>
  <c r="S598" i="22"/>
  <c r="S440" i="22"/>
  <c r="X84" i="10"/>
  <c r="F16" i="26"/>
  <c r="Y76" i="10"/>
  <c r="X9" i="10"/>
  <c r="X44" i="10"/>
  <c r="X188" i="7"/>
  <c r="X266" i="7"/>
  <c r="X491" i="8"/>
  <c r="X236" i="11"/>
  <c r="F123" i="23"/>
  <c r="R94" i="26"/>
  <c r="Y491" i="8"/>
  <c r="Y180" i="7"/>
  <c r="Y236" i="11"/>
  <c r="Y266" i="7"/>
  <c r="X50" i="7"/>
  <c r="X9" i="7"/>
  <c r="W102" i="7"/>
  <c r="W91" i="7"/>
  <c r="V198" i="13"/>
  <c r="V200" i="13"/>
  <c r="U242" i="11"/>
  <c r="T245" i="11"/>
  <c r="U225" i="11"/>
  <c r="X369" i="11"/>
  <c r="X43" i="12"/>
  <c r="X467" i="11"/>
  <c r="X324" i="11"/>
  <c r="X75" i="12" s="1"/>
  <c r="R108" i="26"/>
  <c r="Y512" i="11"/>
  <c r="Y324" i="11"/>
  <c r="T21" i="16"/>
  <c r="S24" i="5"/>
  <c r="T38" i="22"/>
  <c r="T26" i="22"/>
  <c r="S571" i="22"/>
  <c r="S544" i="22"/>
  <c r="S584" i="22" s="1"/>
  <c r="S532" i="22"/>
  <c r="S572" i="22" s="1"/>
  <c r="R298" i="22"/>
  <c r="R301" i="22"/>
  <c r="R289" i="22"/>
  <c r="X76" i="11"/>
  <c r="X211" i="7"/>
  <c r="X81" i="11"/>
  <c r="Y81" i="11" s="1"/>
  <c r="X69" i="11"/>
  <c r="Y68" i="11"/>
  <c r="X281" i="8"/>
  <c r="X292" i="8"/>
  <c r="Y292" i="8" s="1"/>
  <c r="X283" i="8"/>
  <c r="Y279" i="8"/>
  <c r="S211" i="22"/>
  <c r="T37" i="22"/>
  <c r="T13" i="22"/>
  <c r="T15" i="22"/>
  <c r="T41" i="22" s="1"/>
  <c r="S519" i="22"/>
  <c r="S543" i="22"/>
  <c r="S583" i="22" s="1"/>
  <c r="S557" i="22"/>
  <c r="S521" i="22"/>
  <c r="R132" i="22"/>
  <c r="V386" i="7"/>
  <c r="Q17" i="9"/>
  <c r="Q64" i="9"/>
  <c r="Q70" i="9"/>
  <c r="Q1469" i="24"/>
  <c r="V227" i="8"/>
  <c r="V251" i="8"/>
  <c r="V229" i="8"/>
  <c r="S26" i="13"/>
  <c r="S18" i="13"/>
  <c r="S23" i="13"/>
  <c r="S31" i="13"/>
  <c r="S22" i="13"/>
  <c r="S27" i="13"/>
  <c r="S30" i="13"/>
  <c r="S20" i="13"/>
  <c r="S28" i="13"/>
  <c r="S19" i="13"/>
  <c r="Q209" i="26"/>
  <c r="W571" i="8"/>
  <c r="W568" i="8"/>
  <c r="X62" i="10"/>
  <c r="X24" i="10"/>
  <c r="X97" i="10"/>
  <c r="Y93" i="10"/>
  <c r="Y273" i="10"/>
  <c r="Y282" i="10"/>
  <c r="S751" i="24"/>
  <c r="S764" i="24" s="1"/>
  <c r="S744" i="24"/>
  <c r="S756" i="24"/>
  <c r="X65" i="10"/>
  <c r="Y65" i="10" s="1"/>
  <c r="X95" i="10"/>
  <c r="Y61" i="10"/>
  <c r="Y339" i="8"/>
  <c r="S25" i="8"/>
  <c r="N195" i="26"/>
  <c r="E9" i="26"/>
  <c r="R207" i="22"/>
  <c r="R216" i="22"/>
  <c r="R219" i="22"/>
  <c r="R166" i="22"/>
  <c r="R175" i="22"/>
  <c r="R178" i="22"/>
  <c r="R499" i="22"/>
  <c r="R661" i="22" s="1"/>
  <c r="R621" i="22"/>
  <c r="R648" i="22"/>
  <c r="X155" i="10"/>
  <c r="Y155" i="10" s="1"/>
  <c r="W145" i="10"/>
  <c r="W142" i="10"/>
  <c r="W133" i="10"/>
  <c r="Y415" i="11"/>
  <c r="Y418" i="11"/>
  <c r="V95" i="8"/>
  <c r="V66" i="8"/>
  <c r="U375" i="7"/>
  <c r="U378" i="7"/>
  <c r="T330" i="7"/>
  <c r="U59" i="12"/>
  <c r="U62" i="12"/>
  <c r="V356" i="7"/>
  <c r="V369" i="7"/>
  <c r="V38" i="14"/>
  <c r="V82" i="14"/>
  <c r="Q49" i="22"/>
  <c r="Q57" i="22"/>
  <c r="Q91" i="22" s="1"/>
  <c r="V32" i="14"/>
  <c r="V104" i="14" s="1"/>
  <c r="R102" i="22"/>
  <c r="Q375" i="22"/>
  <c r="Q383" i="22" s="1"/>
  <c r="Q361" i="22"/>
  <c r="Q369" i="22" s="1"/>
  <c r="R115" i="22"/>
  <c r="R123" i="22" s="1"/>
  <c r="S143" i="22"/>
  <c r="S156" i="22"/>
  <c r="S164" i="22" s="1"/>
  <c r="S266" i="22"/>
  <c r="S279" i="22"/>
  <c r="S287" i="22" s="1"/>
  <c r="Q347" i="22"/>
  <c r="Q355" i="22" s="1"/>
  <c r="Q53" i="22"/>
  <c r="Q87" i="22" s="1"/>
  <c r="P83" i="26"/>
  <c r="Q1238" i="24"/>
  <c r="P138" i="26"/>
  <c r="V371" i="11"/>
  <c r="V374" i="11"/>
  <c r="T77" i="14"/>
  <c r="T74" i="14"/>
  <c r="U69" i="14"/>
  <c r="Y353" i="11"/>
  <c r="S13" i="21"/>
  <c r="Y360" i="11"/>
  <c r="T15" i="7"/>
  <c r="T88" i="7"/>
  <c r="T92" i="7"/>
  <c r="T260" i="11"/>
  <c r="T435" i="8"/>
  <c r="T250" i="11"/>
  <c r="T438" i="8"/>
  <c r="U82" i="7"/>
  <c r="T98" i="7"/>
  <c r="U98" i="7" s="1"/>
  <c r="U462" i="8"/>
  <c r="T493" i="8"/>
  <c r="U493" i="8" s="1"/>
  <c r="U431" i="8"/>
  <c r="V65" i="16"/>
  <c r="U60" i="16"/>
  <c r="V472" i="11"/>
  <c r="V329" i="11"/>
  <c r="V469" i="11"/>
  <c r="V326" i="11"/>
  <c r="P110" i="26"/>
  <c r="Y159" i="11"/>
  <c r="Y156" i="11"/>
  <c r="W149" i="12"/>
  <c r="W151" i="12"/>
  <c r="V82" i="8"/>
  <c r="T263" i="11"/>
  <c r="T469" i="8"/>
  <c r="T466" i="8"/>
  <c r="T253" i="11"/>
  <c r="U87" i="7"/>
  <c r="T103" i="7"/>
  <c r="U103" i="7" s="1"/>
  <c r="X556" i="8"/>
  <c r="Y556" i="8" s="1"/>
  <c r="X541" i="8"/>
  <c r="Y543" i="8"/>
  <c r="T334" i="22"/>
  <c r="Q1381" i="24"/>
  <c r="Q1378" i="24"/>
  <c r="S1156" i="24"/>
  <c r="X102" i="13"/>
  <c r="Y99" i="13"/>
  <c r="X38" i="12"/>
  <c r="X462" i="11"/>
  <c r="X319" i="11"/>
  <c r="X70" i="12" s="1"/>
  <c r="X364" i="11"/>
  <c r="R104" i="26"/>
  <c r="Y507" i="11"/>
  <c r="Y319" i="11"/>
  <c r="T252" i="22"/>
  <c r="X416" i="8"/>
  <c r="Y416" i="8" s="1"/>
  <c r="Y336" i="8"/>
  <c r="W212" i="8"/>
  <c r="W200" i="8"/>
  <c r="W203" i="8"/>
  <c r="W9" i="6"/>
  <c r="W18" i="6"/>
  <c r="W23" i="7"/>
  <c r="W129" i="7"/>
  <c r="W279" i="7"/>
  <c r="W136" i="8"/>
  <c r="W504" i="8"/>
  <c r="W277" i="11"/>
  <c r="E139" i="23"/>
  <c r="Q102" i="26"/>
  <c r="W6" i="3"/>
  <c r="W11" i="7"/>
  <c r="U115" i="7"/>
  <c r="X29" i="12"/>
  <c r="Y29" i="12" s="1"/>
  <c r="Y498" i="11"/>
  <c r="F17" i="26"/>
  <c r="Y80" i="10"/>
  <c r="S408" i="22"/>
  <c r="S420" i="22"/>
  <c r="U221" i="12"/>
  <c r="U224" i="12"/>
  <c r="Q1223" i="24"/>
  <c r="Q1220" i="24"/>
  <c r="X166" i="11"/>
  <c r="X142" i="11"/>
  <c r="X180" i="11"/>
  <c r="Y180" i="11" s="1"/>
  <c r="X144" i="11"/>
  <c r="X235" i="7"/>
  <c r="Y140" i="11"/>
  <c r="X77" i="10"/>
  <c r="X50" i="10"/>
  <c r="F22" i="26"/>
  <c r="Y42" i="10"/>
  <c r="Y131" i="11"/>
  <c r="T156" i="13"/>
  <c r="T133" i="14"/>
  <c r="U153" i="13"/>
  <c r="V119" i="14"/>
  <c r="V72" i="14" s="1"/>
  <c r="V346" i="7"/>
  <c r="V348" i="7"/>
  <c r="V383" i="11"/>
  <c r="V205" i="12"/>
  <c r="P214" i="26"/>
  <c r="V385" i="11"/>
  <c r="V240" i="8"/>
  <c r="V242" i="8"/>
  <c r="T86" i="16"/>
  <c r="X207" i="10"/>
  <c r="X204" i="10"/>
  <c r="X212" i="10"/>
  <c r="Y212" i="10" s="1"/>
  <c r="Y199" i="10"/>
  <c r="X125" i="12"/>
  <c r="X130" i="12"/>
  <c r="Y130" i="12" s="1"/>
  <c r="X118" i="12"/>
  <c r="Y117" i="12"/>
  <c r="X155" i="7"/>
  <c r="Y155" i="7" s="1"/>
  <c r="X302" i="7"/>
  <c r="Y151" i="7"/>
  <c r="S138" i="8"/>
  <c r="W222" i="8"/>
  <c r="W235" i="8"/>
  <c r="W18" i="11"/>
  <c r="W378" i="11"/>
  <c r="W391" i="11"/>
  <c r="W17" i="11"/>
  <c r="W158" i="12"/>
  <c r="W341" i="7"/>
  <c r="R63" i="9"/>
  <c r="R67" i="9"/>
  <c r="R1474" i="24" s="1"/>
  <c r="M125" i="26"/>
  <c r="R20" i="3"/>
  <c r="R536" i="22"/>
  <c r="R568" i="22"/>
  <c r="R533" i="22"/>
  <c r="R541" i="22"/>
  <c r="R581" i="22" s="1"/>
  <c r="S695" i="22"/>
  <c r="S698" i="22"/>
  <c r="S703" i="22"/>
  <c r="Y110" i="12"/>
  <c r="Y113" i="12"/>
  <c r="S339" i="22"/>
  <c r="S342" i="22"/>
  <c r="S330" i="22"/>
  <c r="W106" i="8"/>
  <c r="W136" i="7"/>
  <c r="W23" i="8"/>
  <c r="W129" i="8"/>
  <c r="W483" i="8"/>
  <c r="W305" i="11"/>
  <c r="E167" i="23"/>
  <c r="R452" i="22"/>
  <c r="R455" i="22"/>
  <c r="R487" i="22"/>
  <c r="R609" i="22"/>
  <c r="R460" i="22"/>
  <c r="T211" i="13"/>
  <c r="U209" i="13"/>
  <c r="V73" i="7"/>
  <c r="V66" i="7"/>
  <c r="U235" i="11"/>
  <c r="X148" i="12"/>
  <c r="Y148" i="12" s="1"/>
  <c r="R222" i="26"/>
  <c r="Y453" i="11"/>
  <c r="S307" i="11"/>
  <c r="X123" i="10"/>
  <c r="S792" i="24"/>
  <c r="S805" i="24" s="1"/>
  <c r="S797" i="24"/>
  <c r="S785" i="24"/>
  <c r="S290" i="9"/>
  <c r="S287" i="9"/>
  <c r="S278" i="9"/>
  <c r="X457" i="11"/>
  <c r="Y457" i="11" s="1"/>
  <c r="X144" i="12"/>
  <c r="R219" i="26"/>
  <c r="Y449" i="11"/>
  <c r="X450" i="11"/>
  <c r="U89" i="7"/>
  <c r="T10" i="3"/>
  <c r="U10" i="3" s="1"/>
  <c r="T105" i="7"/>
  <c r="O198" i="26"/>
  <c r="U122" i="8"/>
  <c r="U208" i="12"/>
  <c r="U211" i="12"/>
  <c r="Q223" i="26"/>
  <c r="W458" i="11"/>
  <c r="W455" i="11"/>
  <c r="V71" i="7"/>
  <c r="X33" i="8"/>
  <c r="X152" i="8"/>
  <c r="X155" i="8"/>
  <c r="Y151" i="8"/>
  <c r="T103" i="8"/>
  <c r="U103" i="8" s="1"/>
  <c r="U71" i="8"/>
  <c r="T76" i="8"/>
  <c r="T14" i="8"/>
  <c r="T72" i="8"/>
  <c r="R1151" i="24"/>
  <c r="R1157" i="24"/>
  <c r="R1144" i="24"/>
  <c r="T218" i="13"/>
  <c r="U218" i="13" s="1"/>
  <c r="U210" i="13"/>
  <c r="X199" i="11"/>
  <c r="X196" i="11"/>
  <c r="Y116" i="11"/>
  <c r="Y119" i="11"/>
  <c r="X120" i="11"/>
  <c r="X132" i="11"/>
  <c r="X129" i="11"/>
  <c r="S1371" i="24"/>
  <c r="X521" i="11" s="1"/>
  <c r="T209" i="22"/>
  <c r="X328" i="8"/>
  <c r="X340" i="8"/>
  <c r="X337" i="8"/>
  <c r="X394" i="8"/>
  <c r="X391" i="8"/>
  <c r="Y314" i="8"/>
  <c r="Y311" i="8"/>
  <c r="Q186" i="26"/>
  <c r="W57" i="8"/>
  <c r="W10" i="8"/>
  <c r="W54" i="8"/>
  <c r="W283" i="7"/>
  <c r="W508" i="8"/>
  <c r="W288" i="11"/>
  <c r="E95" i="23"/>
  <c r="C164" i="26"/>
  <c r="D19" i="4"/>
  <c r="U14" i="14"/>
  <c r="T19" i="7"/>
  <c r="T118" i="7"/>
  <c r="O143" i="26"/>
  <c r="U262" i="7"/>
  <c r="Y231" i="7"/>
  <c r="X74" i="8"/>
  <c r="X96" i="8"/>
  <c r="Y96" i="8" s="1"/>
  <c r="Y64" i="8"/>
  <c r="X123" i="13"/>
  <c r="Y123" i="13" s="1"/>
  <c r="Y120" i="13"/>
  <c r="U87" i="8"/>
  <c r="T15" i="8"/>
  <c r="U15" i="8" s="1"/>
  <c r="T88" i="8"/>
  <c r="T92" i="8"/>
  <c r="X355" i="11"/>
  <c r="S1103" i="24"/>
  <c r="S1106" i="24"/>
  <c r="S1111" i="24"/>
  <c r="T359" i="9"/>
  <c r="T362" i="9"/>
  <c r="T367" i="9"/>
  <c r="S419" i="22"/>
  <c r="S395" i="22"/>
  <c r="S397" i="22"/>
  <c r="S423" i="22" s="1"/>
  <c r="X449" i="8"/>
  <c r="X292" i="11"/>
  <c r="F107" i="23"/>
  <c r="F12" i="26"/>
  <c r="Y449" i="8"/>
  <c r="Y139" i="10"/>
  <c r="Y292" i="11"/>
  <c r="S24" i="3"/>
  <c r="U239" i="11"/>
  <c r="T268" i="7"/>
  <c r="U112" i="7"/>
  <c r="Y269" i="8"/>
  <c r="Y272" i="8"/>
  <c r="S1147" i="24"/>
  <c r="S1161" i="24" s="1"/>
  <c r="X197" i="13" s="1"/>
  <c r="Y197" i="13" s="1"/>
  <c r="T214" i="22"/>
  <c r="X276" i="7"/>
  <c r="X501" i="8"/>
  <c r="X267" i="11"/>
  <c r="F127" i="23"/>
  <c r="R101" i="26"/>
  <c r="Y267" i="11"/>
  <c r="Y501" i="8"/>
  <c r="Y184" i="7"/>
  <c r="Y276" i="7"/>
  <c r="T379" i="7"/>
  <c r="T391" i="7"/>
  <c r="T388" i="7"/>
  <c r="T329" i="7"/>
  <c r="U362" i="7"/>
  <c r="U365" i="7"/>
  <c r="Y209" i="7"/>
  <c r="V368" i="7"/>
  <c r="V355" i="7"/>
  <c r="V25" i="14"/>
  <c r="R101" i="22"/>
  <c r="Q48" i="22"/>
  <c r="Q56" i="22"/>
  <c r="V8" i="14"/>
  <c r="V31" i="14"/>
  <c r="V103" i="14" s="1"/>
  <c r="V37" i="14"/>
  <c r="V81" i="14"/>
  <c r="Q52" i="22"/>
  <c r="R114" i="22"/>
  <c r="Q374" i="22"/>
  <c r="S142" i="22"/>
  <c r="S155" i="22"/>
  <c r="S265" i="22"/>
  <c r="S278" i="22"/>
  <c r="Q360" i="22"/>
  <c r="Q346" i="22"/>
  <c r="P82" i="26"/>
  <c r="Q1237" i="24"/>
  <c r="S138" i="7"/>
  <c r="W182" i="12"/>
  <c r="W185" i="12"/>
  <c r="S175" i="13"/>
  <c r="W420" i="8"/>
  <c r="W381" i="8"/>
  <c r="W417" i="8"/>
  <c r="W408" i="8"/>
  <c r="X366" i="8"/>
  <c r="X371" i="8"/>
  <c r="X398" i="8"/>
  <c r="Y398" i="8" s="1"/>
  <c r="Y358" i="8"/>
  <c r="X65" i="7"/>
  <c r="X65" i="8"/>
  <c r="X204" i="11"/>
  <c r="Y204" i="11" s="1"/>
  <c r="Y124" i="11"/>
  <c r="X254" i="7"/>
  <c r="Y254" i="7" s="1"/>
  <c r="Y228" i="7"/>
  <c r="X232" i="7"/>
  <c r="X229" i="7"/>
  <c r="Q590" i="22"/>
  <c r="Q631" i="22"/>
  <c r="Q667" i="22"/>
  <c r="Q658" i="22"/>
  <c r="Q670" i="22"/>
  <c r="X56" i="7"/>
  <c r="X181" i="7"/>
  <c r="X113" i="7"/>
  <c r="X113" i="8"/>
  <c r="X432" i="8"/>
  <c r="X240" i="11"/>
  <c r="F147" i="23"/>
  <c r="Y48" i="7"/>
  <c r="Y432" i="8"/>
  <c r="Y113" i="8"/>
  <c r="Y240" i="11"/>
  <c r="Y113" i="7"/>
  <c r="A101" i="23"/>
  <c r="B101" i="23"/>
  <c r="X141" i="10"/>
  <c r="Y141" i="10" s="1"/>
  <c r="Y115" i="10"/>
  <c r="X119" i="10"/>
  <c r="X116" i="10"/>
  <c r="X207" i="8"/>
  <c r="Y207" i="8" s="1"/>
  <c r="X189" i="8"/>
  <c r="R175" i="26"/>
  <c r="Y181" i="8"/>
  <c r="X48" i="8"/>
  <c r="X182" i="8"/>
  <c r="W91" i="8"/>
  <c r="W102" i="8"/>
  <c r="Y61" i="11"/>
  <c r="Y64" i="11"/>
  <c r="S173" i="22"/>
  <c r="Q78" i="22"/>
  <c r="U37" i="11"/>
  <c r="U49" i="11"/>
  <c r="U46" i="11"/>
  <c r="V197" i="7"/>
  <c r="V28" i="11"/>
  <c r="V34" i="11"/>
  <c r="V39" i="11"/>
  <c r="R1075" i="24"/>
  <c r="R1078" i="24"/>
  <c r="T80" i="16"/>
  <c r="T124" i="14"/>
  <c r="T121" i="14"/>
  <c r="U116" i="14"/>
  <c r="X33" i="7"/>
  <c r="X152" i="7"/>
  <c r="X304" i="7"/>
  <c r="Y300" i="7"/>
  <c r="X430" i="11"/>
  <c r="X423" i="11"/>
  <c r="X435" i="11"/>
  <c r="Y435" i="11" s="1"/>
  <c r="Y422" i="11"/>
  <c r="T57" i="14"/>
  <c r="U57" i="14" s="1"/>
  <c r="T213" i="13"/>
  <c r="U55" i="14"/>
  <c r="W464" i="11"/>
  <c r="W321" i="11"/>
  <c r="Q106" i="26"/>
  <c r="W373" i="11"/>
  <c r="W189" i="12"/>
  <c r="Q134" i="26"/>
  <c r="W366" i="11"/>
  <c r="W47" i="12"/>
  <c r="W40" i="12"/>
  <c r="R1380" i="24"/>
  <c r="R1373" i="24"/>
  <c r="W52" i="10"/>
  <c r="W49" i="10"/>
  <c r="V527" i="11"/>
  <c r="V56" i="12"/>
  <c r="V529" i="11"/>
  <c r="U245" i="8"/>
  <c r="U257" i="8"/>
  <c r="U254" i="8"/>
  <c r="Y230" i="7"/>
  <c r="W189" i="7"/>
  <c r="W186" i="7"/>
  <c r="R494" i="22"/>
  <c r="R616" i="22"/>
  <c r="R467" i="22"/>
  <c r="X157" i="10"/>
  <c r="Y157" i="10" s="1"/>
  <c r="T59" i="14"/>
  <c r="U59" i="14" s="1"/>
  <c r="O146" i="26"/>
  <c r="U265" i="7"/>
  <c r="P80" i="22"/>
  <c r="P93" i="22"/>
  <c r="P96" i="22"/>
  <c r="V372" i="7"/>
  <c r="V359" i="7"/>
  <c r="V29" i="14"/>
  <c r="Q65" i="22"/>
  <c r="Q73" i="22"/>
  <c r="Q75" i="22" s="1"/>
  <c r="V155" i="13" s="1"/>
  <c r="V9" i="14"/>
  <c r="V41" i="14"/>
  <c r="V85" i="14"/>
  <c r="R105" i="22"/>
  <c r="Q364" i="22"/>
  <c r="Q366" i="22" s="1"/>
  <c r="Q69" i="22"/>
  <c r="Q71" i="22" s="1"/>
  <c r="V154" i="13" s="1"/>
  <c r="Q350" i="22"/>
  <c r="Q352" i="22" s="1"/>
  <c r="R118" i="22"/>
  <c r="R120" i="22" s="1"/>
  <c r="S146" i="22"/>
  <c r="S159" i="22"/>
  <c r="S161" i="22" s="1"/>
  <c r="S269" i="22"/>
  <c r="S282" i="22"/>
  <c r="S284" i="22" s="1"/>
  <c r="Q378" i="22"/>
  <c r="Q380" i="22" s="1"/>
  <c r="P85" i="26"/>
  <c r="Q1241" i="24"/>
  <c r="X301" i="10"/>
  <c r="Y301" i="10"/>
  <c r="T81" i="13"/>
  <c r="U81" i="13" s="1"/>
  <c r="U79" i="13"/>
  <c r="T15" i="14"/>
  <c r="U13" i="14"/>
  <c r="W212" i="11"/>
  <c r="W173" i="11"/>
  <c r="W209" i="11"/>
  <c r="W200" i="11"/>
  <c r="X480" i="11"/>
  <c r="S1077" i="24"/>
  <c r="S1070" i="24"/>
  <c r="X570" i="8"/>
  <c r="Y570" i="8" s="1"/>
  <c r="R205" i="26"/>
  <c r="Y562" i="8"/>
  <c r="X563" i="8"/>
  <c r="W299" i="10"/>
  <c r="W302" i="10"/>
  <c r="V169" i="13"/>
  <c r="U47" i="14"/>
  <c r="U44" i="14"/>
  <c r="S643" i="22"/>
  <c r="T132" i="8"/>
  <c r="U132" i="8" s="1"/>
  <c r="O191" i="26"/>
  <c r="U112" i="8"/>
  <c r="S943" i="22"/>
  <c r="S946" i="22"/>
  <c r="S934" i="22"/>
  <c r="V61" i="13"/>
  <c r="V58" i="13"/>
  <c r="S257" i="22"/>
  <c r="S260" i="22"/>
  <c r="S248" i="22"/>
  <c r="V140" i="13"/>
  <c r="V129" i="13"/>
  <c r="V144" i="13"/>
  <c r="V76" i="12"/>
  <c r="V163" i="12"/>
  <c r="V48" i="12"/>
  <c r="V45" i="12"/>
  <c r="T105" i="8"/>
  <c r="U105" i="8" s="1"/>
  <c r="U73" i="8"/>
  <c r="W139" i="13"/>
  <c r="W108" i="13"/>
  <c r="W112" i="13"/>
  <c r="T341" i="22"/>
  <c r="Y130" i="11"/>
  <c r="W85" i="10"/>
  <c r="W82" i="10"/>
  <c r="D8" i="4"/>
  <c r="D6" i="5"/>
  <c r="C28" i="5"/>
  <c r="D9" i="16"/>
  <c r="V34" i="12"/>
  <c r="V31" i="12"/>
  <c r="Y101" i="13"/>
  <c r="X24" i="12"/>
  <c r="Y493" i="11"/>
  <c r="W33" i="12"/>
  <c r="W26" i="12"/>
  <c r="T259" i="22"/>
  <c r="Y338" i="8"/>
  <c r="W214" i="8"/>
  <c r="R409" i="22"/>
  <c r="R412" i="22"/>
  <c r="R417" i="22"/>
  <c r="C16" i="5"/>
  <c r="T79" i="16"/>
  <c r="S1376" i="24"/>
  <c r="X526" i="11" s="1"/>
  <c r="S490" i="22"/>
  <c r="S652" i="22" s="1"/>
  <c r="S612" i="22"/>
  <c r="S463" i="22"/>
  <c r="S451" i="22"/>
  <c r="X74" i="7"/>
  <c r="X96" i="7"/>
  <c r="Y96" i="7" s="1"/>
  <c r="Y64" i="7"/>
  <c r="X167" i="11"/>
  <c r="X181" i="11"/>
  <c r="Y181" i="11" s="1"/>
  <c r="X236" i="7"/>
  <c r="X145" i="11"/>
  <c r="Y141" i="11"/>
  <c r="S27" i="22"/>
  <c r="S30" i="22"/>
  <c r="S35" i="22"/>
  <c r="X143" i="10"/>
  <c r="Y143" i="10" s="1"/>
  <c r="Y117" i="10"/>
  <c r="T160" i="13"/>
  <c r="U160" i="13" s="1"/>
  <c r="T130" i="14"/>
  <c r="U150" i="13"/>
  <c r="V214" i="13"/>
  <c r="Q68" i="9"/>
  <c r="Q18" i="9"/>
  <c r="Q1473" i="24"/>
  <c r="V396" i="11"/>
  <c r="V218" i="12"/>
  <c r="P129" i="26"/>
  <c r="V398" i="11"/>
  <c r="V35" i="11"/>
  <c r="V40" i="11"/>
  <c r="W497" i="11"/>
  <c r="W485" i="11"/>
  <c r="W511" i="11"/>
  <c r="W14" i="12"/>
  <c r="W116" i="13"/>
  <c r="S187" i="22"/>
  <c r="T228" i="22"/>
  <c r="W117" i="13"/>
  <c r="W115" i="13"/>
  <c r="T323" i="22"/>
  <c r="R896" i="22"/>
  <c r="S200" i="22"/>
  <c r="T310" i="22"/>
  <c r="T241" i="22"/>
  <c r="Q71" i="26"/>
  <c r="R1198" i="24"/>
  <c r="R1146" i="24"/>
  <c r="W487" i="11"/>
  <c r="R1183" i="24" s="1"/>
  <c r="U64" i="16"/>
  <c r="Q125" i="22"/>
  <c r="Q137" i="22"/>
  <c r="Q134" i="22"/>
  <c r="X219" i="10"/>
  <c r="Y219" i="10" s="1"/>
  <c r="Y206" i="10"/>
  <c r="W471" i="11"/>
  <c r="W328" i="11"/>
  <c r="W53" i="12"/>
  <c r="W530" i="11"/>
  <c r="W523" i="11"/>
  <c r="R575" i="22"/>
  <c r="R548" i="22"/>
  <c r="R588" i="22" s="1"/>
  <c r="W18" i="10"/>
  <c r="X18" i="10" s="1"/>
  <c r="E20" i="26"/>
  <c r="W11" i="10"/>
  <c r="S513" i="8"/>
  <c r="R644" i="22"/>
  <c r="R641" i="22"/>
  <c r="T61" i="14"/>
  <c r="T58" i="14"/>
  <c r="U53" i="14"/>
  <c r="N202" i="26"/>
  <c r="T128" i="14"/>
  <c r="T158" i="13"/>
  <c r="U158" i="13" s="1"/>
  <c r="T151" i="13"/>
  <c r="U148" i="13"/>
  <c r="X294" i="10"/>
  <c r="Y294" i="10"/>
  <c r="V194" i="12"/>
  <c r="V196" i="12"/>
  <c r="W11" i="3"/>
  <c r="W106" i="7"/>
  <c r="S233" i="9"/>
  <c r="S236" i="9"/>
  <c r="S241" i="9"/>
  <c r="X184" i="12"/>
  <c r="Y184" i="12" s="1"/>
  <c r="Y176" i="12"/>
  <c r="X177" i="12"/>
  <c r="U200" i="7"/>
  <c r="U203" i="7"/>
  <c r="W246" i="7"/>
  <c r="W258" i="7"/>
  <c r="W255" i="7"/>
  <c r="V165" i="12"/>
  <c r="V78" i="12"/>
  <c r="S288" i="7"/>
  <c r="X544" i="8"/>
  <c r="X549" i="8"/>
  <c r="Y549" i="8" s="1"/>
  <c r="Y536" i="8"/>
  <c r="S636" i="22"/>
  <c r="E27" i="26"/>
  <c r="Y100" i="13"/>
  <c r="W58" i="7"/>
  <c r="W55" i="7"/>
  <c r="U71" i="16"/>
  <c r="V69" i="16"/>
  <c r="X57" i="12" l="1"/>
  <c r="Y57" i="12" s="1"/>
  <c r="Y526" i="11"/>
  <c r="X52" i="12"/>
  <c r="Y521" i="11"/>
  <c r="W19" i="10"/>
  <c r="X19" i="10" s="1"/>
  <c r="E21" i="26"/>
  <c r="W466" i="11"/>
  <c r="W323" i="11"/>
  <c r="W74" i="12" s="1"/>
  <c r="W368" i="11"/>
  <c r="W513" i="11"/>
  <c r="W42" i="12"/>
  <c r="Q107" i="26"/>
  <c r="W515" i="11"/>
  <c r="Q35" i="9"/>
  <c r="Q1475" i="24"/>
  <c r="X244" i="7"/>
  <c r="X249" i="7"/>
  <c r="Y249" i="7" s="1"/>
  <c r="Y236" i="7"/>
  <c r="S491" i="22"/>
  <c r="S653" i="22" s="1"/>
  <c r="S613" i="22"/>
  <c r="R206" i="26"/>
  <c r="Y563" i="8"/>
  <c r="T243" i="22"/>
  <c r="T245" i="22"/>
  <c r="T325" i="22"/>
  <c r="T327" i="22"/>
  <c r="S213" i="22"/>
  <c r="S189" i="22"/>
  <c r="S191" i="22"/>
  <c r="Q73" i="26"/>
  <c r="R1181" i="24"/>
  <c r="W489" i="11"/>
  <c r="W486" i="11"/>
  <c r="V220" i="12"/>
  <c r="V222" i="12"/>
  <c r="S31" i="22"/>
  <c r="S40" i="22"/>
  <c r="S43" i="22"/>
  <c r="S503" i="22"/>
  <c r="S665" i="22" s="1"/>
  <c r="S625" i="22"/>
  <c r="C29" i="5"/>
  <c r="C8" i="19"/>
  <c r="R131" i="22"/>
  <c r="R107" i="22"/>
  <c r="R133" i="22" s="1"/>
  <c r="V135" i="14"/>
  <c r="V374" i="7"/>
  <c r="R507" i="22"/>
  <c r="R669" i="22" s="1"/>
  <c r="R629" i="22"/>
  <c r="V528" i="11"/>
  <c r="V531" i="11"/>
  <c r="V36" i="11"/>
  <c r="V33" i="11"/>
  <c r="V41" i="11"/>
  <c r="Y116" i="10"/>
  <c r="Y119" i="10"/>
  <c r="Y181" i="7"/>
  <c r="Q1239" i="24"/>
  <c r="Q1245" i="24"/>
  <c r="V51" i="14"/>
  <c r="S280" i="22"/>
  <c r="S286" i="22"/>
  <c r="Q376" i="22"/>
  <c r="Q382" i="22"/>
  <c r="V39" i="14"/>
  <c r="V45" i="14"/>
  <c r="Q60" i="22"/>
  <c r="Q82" i="22"/>
  <c r="Q50" i="22"/>
  <c r="V376" i="7"/>
  <c r="V370" i="7"/>
  <c r="S12" i="5"/>
  <c r="T22" i="16"/>
  <c r="Y74" i="8"/>
  <c r="Y391" i="8"/>
  <c r="Y394" i="8"/>
  <c r="Y328" i="8"/>
  <c r="Y340" i="8"/>
  <c r="Y337" i="8"/>
  <c r="T93" i="8"/>
  <c r="T104" i="8"/>
  <c r="T108" i="8"/>
  <c r="U72" i="8"/>
  <c r="U76" i="8"/>
  <c r="Y33" i="8"/>
  <c r="X34" i="8"/>
  <c r="Y34" i="8" s="1"/>
  <c r="Q224" i="26"/>
  <c r="R220" i="26"/>
  <c r="Y450" i="11"/>
  <c r="S790" i="24"/>
  <c r="S793" i="24"/>
  <c r="S798" i="24"/>
  <c r="U211" i="13"/>
  <c r="R649" i="22"/>
  <c r="S708" i="22"/>
  <c r="S711" i="22"/>
  <c r="S699" i="22"/>
  <c r="X12" i="16" s="1"/>
  <c r="W349" i="7"/>
  <c r="W342" i="7"/>
  <c r="W386" i="11"/>
  <c r="W202" i="12"/>
  <c r="Q212" i="26"/>
  <c r="W379" i="11"/>
  <c r="X138" i="12"/>
  <c r="Y138" i="12" s="1"/>
  <c r="Y125" i="12"/>
  <c r="T136" i="14"/>
  <c r="U136" i="14" s="1"/>
  <c r="U133" i="14"/>
  <c r="Y77" i="10"/>
  <c r="X143" i="11"/>
  <c r="X170" i="11"/>
  <c r="X184" i="11"/>
  <c r="Y184" i="11" s="1"/>
  <c r="Y144" i="11"/>
  <c r="W335" i="7"/>
  <c r="W19" i="6"/>
  <c r="W204" i="8"/>
  <c r="W216" i="8"/>
  <c r="W213" i="8"/>
  <c r="X188" i="12"/>
  <c r="R133" i="26"/>
  <c r="Y364" i="11"/>
  <c r="Y70" i="12"/>
  <c r="Y38" i="12"/>
  <c r="X192" i="13"/>
  <c r="T125" i="8"/>
  <c r="T472" i="8"/>
  <c r="O199" i="26"/>
  <c r="U466" i="8"/>
  <c r="T476" i="8"/>
  <c r="U476" i="8" s="1"/>
  <c r="W150" i="12"/>
  <c r="W153" i="12"/>
  <c r="T122" i="7"/>
  <c r="T272" i="7"/>
  <c r="T270" i="11"/>
  <c r="T256" i="11"/>
  <c r="O148" i="26"/>
  <c r="U250" i="11"/>
  <c r="T281" i="11"/>
  <c r="U281" i="11" s="1"/>
  <c r="U92" i="7"/>
  <c r="U88" i="7"/>
  <c r="T108" i="7"/>
  <c r="T93" i="7"/>
  <c r="T104" i="7"/>
  <c r="S151" i="22"/>
  <c r="S177" i="22" s="1"/>
  <c r="S169" i="22"/>
  <c r="R110" i="22"/>
  <c r="R136" i="22" s="1"/>
  <c r="R128" i="22"/>
  <c r="V90" i="14"/>
  <c r="V115" i="14"/>
  <c r="V68" i="14" s="1"/>
  <c r="X156" i="10"/>
  <c r="X159" i="10"/>
  <c r="N203" i="26"/>
  <c r="S749" i="24"/>
  <c r="S752" i="24"/>
  <c r="S757" i="24"/>
  <c r="Y296" i="10"/>
  <c r="Q210" i="26"/>
  <c r="S35" i="13"/>
  <c r="N112" i="26"/>
  <c r="N119" i="26"/>
  <c r="S8" i="13"/>
  <c r="S24" i="13"/>
  <c r="S34" i="13"/>
  <c r="N111" i="26"/>
  <c r="T39" i="22"/>
  <c r="T14" i="22"/>
  <c r="T17" i="22"/>
  <c r="X286" i="7"/>
  <c r="X511" i="8"/>
  <c r="X298" i="11"/>
  <c r="F131" i="23"/>
  <c r="Y511" i="8"/>
  <c r="Y188" i="7"/>
  <c r="Y298" i="11"/>
  <c r="Y286" i="7"/>
  <c r="S638" i="22"/>
  <c r="X410" i="8"/>
  <c r="Y410" i="8" s="1"/>
  <c r="Y370" i="8"/>
  <c r="N155" i="26"/>
  <c r="T157" i="13"/>
  <c r="T161" i="13"/>
  <c r="U151" i="13"/>
  <c r="W125" i="13"/>
  <c r="W118" i="13"/>
  <c r="W131" i="13"/>
  <c r="V80" i="13"/>
  <c r="S17" i="21"/>
  <c r="S19" i="21" s="1"/>
  <c r="Y304" i="7"/>
  <c r="U121" i="14"/>
  <c r="U124" i="14"/>
  <c r="V199" i="7"/>
  <c r="V201" i="7"/>
  <c r="W107" i="8"/>
  <c r="X133" i="7"/>
  <c r="X119" i="8"/>
  <c r="X20" i="8"/>
  <c r="X452" i="8"/>
  <c r="X302" i="11"/>
  <c r="F155" i="23"/>
  <c r="Y56" i="7"/>
  <c r="Y20" i="8"/>
  <c r="Y133" i="7"/>
  <c r="Y452" i="8"/>
  <c r="Y119" i="8"/>
  <c r="Y302" i="11"/>
  <c r="X97" i="8"/>
  <c r="Y97" i="8" s="1"/>
  <c r="X75" i="8"/>
  <c r="Y65" i="8"/>
  <c r="X411" i="8"/>
  <c r="Y411" i="8" s="1"/>
  <c r="Y371" i="8"/>
  <c r="S273" i="22"/>
  <c r="S299" i="22" s="1"/>
  <c r="S291" i="22"/>
  <c r="S267" i="22"/>
  <c r="R122" i="22"/>
  <c r="R116" i="22"/>
  <c r="R103" i="22"/>
  <c r="R109" i="22"/>
  <c r="R127" i="22"/>
  <c r="U388" i="7"/>
  <c r="U391" i="7"/>
  <c r="U379" i="7"/>
  <c r="S421" i="22"/>
  <c r="S396" i="22"/>
  <c r="S399" i="22"/>
  <c r="S1116" i="24"/>
  <c r="S1107" i="24"/>
  <c r="S1119" i="24"/>
  <c r="U92" i="8"/>
  <c r="U88" i="8"/>
  <c r="W58" i="8"/>
  <c r="W55" i="8"/>
  <c r="T16" i="8"/>
  <c r="U16" i="8" s="1"/>
  <c r="U14" i="8"/>
  <c r="T16" i="7"/>
  <c r="U16" i="7" s="1"/>
  <c r="U105" i="7"/>
  <c r="M140" i="26"/>
  <c r="W44" i="11"/>
  <c r="W22" i="11"/>
  <c r="V350" i="7"/>
  <c r="V347" i="7"/>
  <c r="U156" i="13"/>
  <c r="O200" i="26"/>
  <c r="U469" i="8"/>
  <c r="T479" i="8"/>
  <c r="U479" i="8" s="1"/>
  <c r="T115" i="8"/>
  <c r="T441" i="8"/>
  <c r="T497" i="8"/>
  <c r="U497" i="8" s="1"/>
  <c r="O192" i="26"/>
  <c r="U435" i="8"/>
  <c r="T445" i="8"/>
  <c r="U15" i="7"/>
  <c r="T13" i="3"/>
  <c r="U13" i="3" s="1"/>
  <c r="Q1246" i="24"/>
  <c r="V52" i="14"/>
  <c r="V46" i="14"/>
  <c r="Y95" i="10"/>
  <c r="X96" i="10"/>
  <c r="X99" i="10"/>
  <c r="X286" i="10"/>
  <c r="Y97" i="10"/>
  <c r="Y286" i="10"/>
  <c r="N120" i="26"/>
  <c r="S38" i="13"/>
  <c r="N115" i="26"/>
  <c r="Q69" i="9"/>
  <c r="Q72" i="9"/>
  <c r="X85" i="8"/>
  <c r="X285" i="8"/>
  <c r="X282" i="8"/>
  <c r="X294" i="8"/>
  <c r="Y294" i="8" s="1"/>
  <c r="Y281" i="8"/>
  <c r="X213" i="7"/>
  <c r="X215" i="7"/>
  <c r="Y215" i="7" s="1"/>
  <c r="Y211" i="7"/>
  <c r="X226" i="8"/>
  <c r="X239" i="8"/>
  <c r="Y239" i="8" s="1"/>
  <c r="X30" i="11"/>
  <c r="X31" i="11"/>
  <c r="Y31" i="11" s="1"/>
  <c r="X382" i="11"/>
  <c r="X395" i="11"/>
  <c r="X162" i="12"/>
  <c r="Y162" i="12" s="1"/>
  <c r="X345" i="7"/>
  <c r="Y345" i="7" s="1"/>
  <c r="Y467" i="11"/>
  <c r="V202" i="13"/>
  <c r="V199" i="13"/>
  <c r="X8" i="6"/>
  <c r="X17" i="6"/>
  <c r="X20" i="7"/>
  <c r="X119" i="7"/>
  <c r="X269" i="7"/>
  <c r="X133" i="8"/>
  <c r="X494" i="8"/>
  <c r="X246" i="11"/>
  <c r="F135" i="23"/>
  <c r="R95" i="26"/>
  <c r="Y494" i="8"/>
  <c r="Y246" i="11"/>
  <c r="Y8" i="6"/>
  <c r="Y119" i="7"/>
  <c r="Y9" i="7"/>
  <c r="Y269" i="7"/>
  <c r="Y20" i="7"/>
  <c r="Y133" i="8"/>
  <c r="Y44" i="10"/>
  <c r="F18" i="26"/>
  <c r="Y84" i="10"/>
  <c r="S502" i="22"/>
  <c r="S664" i="22" s="1"/>
  <c r="S624" i="22"/>
  <c r="T707" i="22"/>
  <c r="T682" i="22"/>
  <c r="T685" i="22"/>
  <c r="T318" i="9"/>
  <c r="T321" i="9"/>
  <c r="T326" i="9"/>
  <c r="V71" i="16"/>
  <c r="V195" i="12"/>
  <c r="V198" i="12"/>
  <c r="R1148" i="24"/>
  <c r="R1152" i="24" s="1"/>
  <c r="R1160" i="24"/>
  <c r="R1150" i="24"/>
  <c r="T312" i="22"/>
  <c r="T336" i="22"/>
  <c r="T314" i="22"/>
  <c r="T340" i="22" s="1"/>
  <c r="W126" i="13"/>
  <c r="W132" i="13"/>
  <c r="W499" i="11"/>
  <c r="W28" i="12"/>
  <c r="W501" i="11"/>
  <c r="V84" i="7"/>
  <c r="V84" i="8"/>
  <c r="V48" i="11"/>
  <c r="X207" i="11"/>
  <c r="Y207" i="11" s="1"/>
  <c r="Y167" i="11"/>
  <c r="T81" i="16"/>
  <c r="T20" i="16" s="1"/>
  <c r="T12" i="4" s="1"/>
  <c r="O161" i="26" s="1"/>
  <c r="U89" i="16"/>
  <c r="Y24" i="12"/>
  <c r="E8" i="16"/>
  <c r="D13" i="15"/>
  <c r="Y11" i="12"/>
  <c r="X488" i="11"/>
  <c r="Y480" i="11"/>
  <c r="Y488" i="11"/>
  <c r="X494" i="11"/>
  <c r="X508" i="11"/>
  <c r="X11" i="12"/>
  <c r="T197" i="22"/>
  <c r="X104" i="13"/>
  <c r="X105" i="13"/>
  <c r="X106" i="13"/>
  <c r="S899" i="22"/>
  <c r="T184" i="22"/>
  <c r="S1195" i="24"/>
  <c r="R69" i="26"/>
  <c r="S1143" i="24"/>
  <c r="Y481" i="11"/>
  <c r="X481" i="11"/>
  <c r="Q1243" i="24"/>
  <c r="V55" i="14"/>
  <c r="S271" i="22"/>
  <c r="S297" i="22" s="1"/>
  <c r="S295" i="22"/>
  <c r="V87" i="14"/>
  <c r="V118" i="14"/>
  <c r="V71" i="14" s="1"/>
  <c r="Q77" i="22"/>
  <c r="Q67" i="22"/>
  <c r="Y177" i="12"/>
  <c r="U58" i="14"/>
  <c r="U61" i="14"/>
  <c r="W61" i="12"/>
  <c r="W54" i="12"/>
  <c r="R1200" i="24"/>
  <c r="R1375" i="24"/>
  <c r="R1202" i="24"/>
  <c r="S202" i="22"/>
  <c r="S204" i="22"/>
  <c r="W127" i="13"/>
  <c r="W133" i="13"/>
  <c r="W16" i="12"/>
  <c r="W18" i="12"/>
  <c r="P131" i="26"/>
  <c r="V397" i="11"/>
  <c r="V14" i="3"/>
  <c r="V400" i="11"/>
  <c r="T140" i="14"/>
  <c r="U140" i="14" s="1"/>
  <c r="U130" i="14"/>
  <c r="X171" i="11"/>
  <c r="X185" i="11"/>
  <c r="Y185" i="11" s="1"/>
  <c r="Y145" i="11"/>
  <c r="Y74" i="7"/>
  <c r="C33" i="5"/>
  <c r="R422" i="22"/>
  <c r="R413" i="22"/>
  <c r="R1384" i="24" s="1"/>
  <c r="R425" i="22"/>
  <c r="D11" i="4"/>
  <c r="C157" i="26"/>
  <c r="V80" i="12"/>
  <c r="V77" i="12"/>
  <c r="V167" i="12"/>
  <c r="V164" i="12"/>
  <c r="T176" i="13"/>
  <c r="U15" i="14"/>
  <c r="V134" i="14"/>
  <c r="V43" i="14"/>
  <c r="R656" i="22"/>
  <c r="W79" i="12"/>
  <c r="W166" i="12"/>
  <c r="W197" i="12"/>
  <c r="W190" i="12"/>
  <c r="X431" i="11"/>
  <c r="X428" i="11"/>
  <c r="X436" i="11"/>
  <c r="Y436" i="11" s="1"/>
  <c r="Y423" i="11"/>
  <c r="Y152" i="7"/>
  <c r="X156" i="7"/>
  <c r="X153" i="7"/>
  <c r="V79" i="7"/>
  <c r="V68" i="8"/>
  <c r="V47" i="11"/>
  <c r="X187" i="8"/>
  <c r="X190" i="8"/>
  <c r="X208" i="8"/>
  <c r="Y208" i="8" s="1"/>
  <c r="Y182" i="8"/>
  <c r="X215" i="8"/>
  <c r="Y215" i="8" s="1"/>
  <c r="Y189" i="8"/>
  <c r="X97" i="7"/>
  <c r="Y97" i="7" s="1"/>
  <c r="X75" i="7"/>
  <c r="Y65" i="7"/>
  <c r="X406" i="8"/>
  <c r="Y406" i="8" s="1"/>
  <c r="X379" i="8"/>
  <c r="Y366" i="8"/>
  <c r="T15" i="17"/>
  <c r="T9" i="17"/>
  <c r="Q348" i="22"/>
  <c r="Q354" i="22"/>
  <c r="S157" i="22"/>
  <c r="S163" i="22"/>
  <c r="Q54" i="22"/>
  <c r="Q86" i="22"/>
  <c r="V10" i="14"/>
  <c r="V97" i="14"/>
  <c r="P84" i="26"/>
  <c r="V33" i="14"/>
  <c r="V30" i="14"/>
  <c r="T331" i="7"/>
  <c r="U331" i="7" s="1"/>
  <c r="T69" i="13"/>
  <c r="U329" i="7"/>
  <c r="T363" i="9"/>
  <c r="T372" i="9"/>
  <c r="T375" i="9"/>
  <c r="X565" i="8"/>
  <c r="X357" i="11"/>
  <c r="X452" i="11"/>
  <c r="X179" i="12"/>
  <c r="S1072" i="24"/>
  <c r="X359" i="11"/>
  <c r="Y355" i="11"/>
  <c r="U118" i="7"/>
  <c r="Q187" i="26"/>
  <c r="W11" i="8"/>
  <c r="Y199" i="11"/>
  <c r="Y196" i="11"/>
  <c r="R1149" i="24"/>
  <c r="Y155" i="8"/>
  <c r="X153" i="8"/>
  <c r="V459" i="8"/>
  <c r="V232" i="11"/>
  <c r="V456" i="8"/>
  <c r="V222" i="11"/>
  <c r="R500" i="22"/>
  <c r="R662" i="22" s="1"/>
  <c r="R622" i="22"/>
  <c r="R492" i="22"/>
  <c r="R614" i="22"/>
  <c r="R495" i="22"/>
  <c r="R617" i="22"/>
  <c r="R468" i="22"/>
  <c r="R456" i="22"/>
  <c r="R465" i="22"/>
  <c r="R576" i="22"/>
  <c r="R573" i="22"/>
  <c r="R546" i="22"/>
  <c r="R537" i="22"/>
  <c r="R549" i="22"/>
  <c r="W194" i="7"/>
  <c r="W19" i="11"/>
  <c r="W43" i="11"/>
  <c r="W21" i="11"/>
  <c r="W243" i="8"/>
  <c r="W236" i="8"/>
  <c r="X126" i="12"/>
  <c r="X123" i="12"/>
  <c r="X131" i="12"/>
  <c r="Y131" i="12" s="1"/>
  <c r="Y118" i="12"/>
  <c r="V241" i="8"/>
  <c r="V244" i="8"/>
  <c r="V207" i="12"/>
  <c r="V209" i="12"/>
  <c r="X168" i="11"/>
  <c r="X182" i="11"/>
  <c r="Y182" i="11" s="1"/>
  <c r="X237" i="7"/>
  <c r="X146" i="11"/>
  <c r="Y142" i="11"/>
  <c r="W139" i="7"/>
  <c r="W26" i="7"/>
  <c r="W289" i="7"/>
  <c r="O152" i="26"/>
  <c r="U263" i="11"/>
  <c r="T294" i="11"/>
  <c r="U294" i="11" s="1"/>
  <c r="V60" i="16"/>
  <c r="W70" i="16"/>
  <c r="T275" i="7"/>
  <c r="T266" i="11"/>
  <c r="O151" i="26"/>
  <c r="U260" i="11"/>
  <c r="T291" i="11"/>
  <c r="U291" i="11" s="1"/>
  <c r="U74" i="14"/>
  <c r="U77" i="14"/>
  <c r="P139" i="26"/>
  <c r="S274" i="22"/>
  <c r="S300" i="22" s="1"/>
  <c r="S292" i="22"/>
  <c r="V377" i="7"/>
  <c r="V98" i="8"/>
  <c r="X284" i="10"/>
  <c r="Y284" i="10"/>
  <c r="Y24" i="10"/>
  <c r="X25" i="10"/>
  <c r="S36" i="13"/>
  <c r="N113" i="26"/>
  <c r="N123" i="26"/>
  <c r="S9" i="13"/>
  <c r="S32" i="13"/>
  <c r="N118" i="26"/>
  <c r="V253" i="8"/>
  <c r="V228" i="8"/>
  <c r="V231" i="8"/>
  <c r="Q19" i="9"/>
  <c r="S545" i="22"/>
  <c r="S585" i="22" s="1"/>
  <c r="S559" i="22"/>
  <c r="S520" i="22"/>
  <c r="S523" i="22"/>
  <c r="X85" i="7"/>
  <c r="X89" i="11"/>
  <c r="Y89" i="11" s="1"/>
  <c r="Y76" i="11"/>
  <c r="Y75" i="12"/>
  <c r="Y43" i="12"/>
  <c r="Y50" i="7"/>
  <c r="F19" i="26"/>
  <c r="Y9" i="10"/>
  <c r="S466" i="22"/>
  <c r="S480" i="22"/>
  <c r="S602" i="22"/>
  <c r="S464" i="22"/>
  <c r="S478" i="22"/>
  <c r="S600" i="22"/>
  <c r="S439" i="22"/>
  <c r="S442" i="22"/>
  <c r="V172" i="13"/>
  <c r="V170" i="13"/>
  <c r="X364" i="8"/>
  <c r="X367" i="8"/>
  <c r="X399" i="8"/>
  <c r="Y399" i="8" s="1"/>
  <c r="X372" i="8"/>
  <c r="Y359" i="8"/>
  <c r="S249" i="9"/>
  <c r="S246" i="9"/>
  <c r="S237" i="9"/>
  <c r="T138" i="14"/>
  <c r="U138" i="14" s="1"/>
  <c r="T131" i="14"/>
  <c r="U128" i="14"/>
  <c r="U66" i="16"/>
  <c r="V64" i="16"/>
  <c r="R904" i="22"/>
  <c r="R897" i="22"/>
  <c r="T230" i="22"/>
  <c r="T254" i="22"/>
  <c r="T232" i="22"/>
  <c r="T258" i="22" s="1"/>
  <c r="S172" i="22"/>
  <c r="S148" i="22"/>
  <c r="S174" i="22" s="1"/>
  <c r="V101" i="14"/>
  <c r="P87" i="26"/>
  <c r="V361" i="7"/>
  <c r="V385" i="7"/>
  <c r="V58" i="12"/>
  <c r="V60" i="12"/>
  <c r="W72" i="12"/>
  <c r="W159" i="12"/>
  <c r="Q135" i="26"/>
  <c r="T215" i="13"/>
  <c r="U215" i="13" s="1"/>
  <c r="U213" i="13"/>
  <c r="X443" i="11"/>
  <c r="Y443" i="11" s="1"/>
  <c r="Y430" i="11"/>
  <c r="Y33" i="7"/>
  <c r="X34" i="7"/>
  <c r="Y34" i="7" s="1"/>
  <c r="U90" i="16"/>
  <c r="V90" i="16" s="1"/>
  <c r="X56" i="8"/>
  <c r="Y56" i="8" s="1"/>
  <c r="X9" i="8"/>
  <c r="X50" i="8"/>
  <c r="R176" i="26"/>
  <c r="Y48" i="8"/>
  <c r="Y229" i="7"/>
  <c r="Y232" i="7"/>
  <c r="Q362" i="22"/>
  <c r="Q368" i="22"/>
  <c r="S168" i="22"/>
  <c r="S144" i="22"/>
  <c r="S150" i="22"/>
  <c r="S176" i="22" s="1"/>
  <c r="V83" i="14"/>
  <c r="V114" i="14"/>
  <c r="V89" i="14"/>
  <c r="Q90" i="22"/>
  <c r="Q58" i="22"/>
  <c r="V357" i="7"/>
  <c r="V381" i="7"/>
  <c r="V363" i="7"/>
  <c r="U268" i="7"/>
  <c r="O147" i="26"/>
  <c r="U19" i="7"/>
  <c r="D24" i="4"/>
  <c r="C169" i="26" s="1"/>
  <c r="C22" i="6"/>
  <c r="C23" i="6"/>
  <c r="C165" i="26"/>
  <c r="Y132" i="11"/>
  <c r="Y129" i="11"/>
  <c r="Y120" i="11"/>
  <c r="W193" i="13"/>
  <c r="R1165" i="24"/>
  <c r="R1158" i="24"/>
  <c r="Y152" i="8"/>
  <c r="X156" i="8"/>
  <c r="X152" i="12"/>
  <c r="Y152" i="12" s="1"/>
  <c r="Y144" i="12"/>
  <c r="X145" i="12"/>
  <c r="X53" i="7"/>
  <c r="X197" i="8"/>
  <c r="X467" i="8"/>
  <c r="X47" i="10"/>
  <c r="X131" i="10"/>
  <c r="X254" i="11"/>
  <c r="S527" i="22"/>
  <c r="S446" i="22"/>
  <c r="S403" i="22"/>
  <c r="F79" i="23"/>
  <c r="A81" i="23" s="1" a="1"/>
  <c r="F5" i="26"/>
  <c r="R97" i="26"/>
  <c r="T21" i="22"/>
  <c r="T689" i="22"/>
  <c r="X136" i="10"/>
  <c r="X183" i="7"/>
  <c r="X79" i="10"/>
  <c r="X124" i="10"/>
  <c r="Y123" i="10"/>
  <c r="Y467" i="8"/>
  <c r="Y254" i="11"/>
  <c r="V14" i="7"/>
  <c r="V72" i="7"/>
  <c r="V76" i="7"/>
  <c r="V425" i="8"/>
  <c r="V219" i="11"/>
  <c r="V428" i="8"/>
  <c r="V229" i="11"/>
  <c r="T217" i="13"/>
  <c r="U217" i="13" s="1"/>
  <c r="R71" i="9"/>
  <c r="R1470" i="24"/>
  <c r="R1478" i="24" s="1"/>
  <c r="W399" i="11"/>
  <c r="W215" i="12"/>
  <c r="Q127" i="26"/>
  <c r="W392" i="11"/>
  <c r="W230" i="8"/>
  <c r="W248" i="8"/>
  <c r="W223" i="8"/>
  <c r="Y302" i="7"/>
  <c r="X303" i="7"/>
  <c r="X306" i="7"/>
  <c r="Y207" i="10"/>
  <c r="Y204" i="10"/>
  <c r="X220" i="10"/>
  <c r="X217" i="10"/>
  <c r="X208" i="10"/>
  <c r="P216" i="26"/>
  <c r="V387" i="11"/>
  <c r="V384" i="11"/>
  <c r="F24" i="26"/>
  <c r="Y50" i="10"/>
  <c r="X243" i="7"/>
  <c r="X248" i="7"/>
  <c r="Y248" i="7" s="1"/>
  <c r="Y235" i="7"/>
  <c r="X206" i="11"/>
  <c r="Y206" i="11" s="1"/>
  <c r="Y166" i="11"/>
  <c r="X7" i="3"/>
  <c r="Y7" i="3" s="1"/>
  <c r="W27" i="3"/>
  <c r="W12" i="6" s="1"/>
  <c r="W17" i="3"/>
  <c r="W21" i="3"/>
  <c r="W11" i="6" s="1"/>
  <c r="W10" i="6"/>
  <c r="W14" i="6"/>
  <c r="W15" i="6"/>
  <c r="W20" i="6"/>
  <c r="W26" i="8"/>
  <c r="W139" i="8"/>
  <c r="W514" i="8"/>
  <c r="W308" i="11"/>
  <c r="E143" i="23"/>
  <c r="Q103" i="26"/>
  <c r="W51" i="13"/>
  <c r="R1218" i="24"/>
  <c r="W28" i="14" s="1"/>
  <c r="R1214" i="24"/>
  <c r="W55" i="13"/>
  <c r="W52" i="13"/>
  <c r="R1213" i="24"/>
  <c r="W56" i="13"/>
  <c r="R1217" i="24"/>
  <c r="X221" i="8"/>
  <c r="X234" i="8"/>
  <c r="X14" i="11"/>
  <c r="X13" i="11"/>
  <c r="X377" i="11"/>
  <c r="X390" i="11"/>
  <c r="X157" i="12"/>
  <c r="Y157" i="12" s="1"/>
  <c r="X340" i="7"/>
  <c r="Y462" i="11"/>
  <c r="Y102" i="13"/>
  <c r="Y541" i="8"/>
  <c r="Y544" i="8"/>
  <c r="X554" i="8"/>
  <c r="X545" i="8"/>
  <c r="X557" i="8"/>
  <c r="T125" i="7"/>
  <c r="T273" i="11"/>
  <c r="O149" i="26"/>
  <c r="U253" i="11"/>
  <c r="T284" i="11"/>
  <c r="U284" i="11" s="1"/>
  <c r="T500" i="8"/>
  <c r="U500" i="8" s="1"/>
  <c r="O193" i="26"/>
  <c r="U438" i="8"/>
  <c r="T448" i="8"/>
  <c r="Q61" i="22"/>
  <c r="Q95" i="22" s="1"/>
  <c r="Q83" i="22"/>
  <c r="V364" i="7"/>
  <c r="V382" i="7"/>
  <c r="T70" i="13"/>
  <c r="U330" i="7"/>
  <c r="Y62" i="10"/>
  <c r="X66" i="10"/>
  <c r="X63" i="10"/>
  <c r="N122" i="26"/>
  <c r="S39" i="13"/>
  <c r="N116" i="26"/>
  <c r="V255" i="8"/>
  <c r="Q32" i="9"/>
  <c r="Q38" i="9" s="1"/>
  <c r="Q1471" i="24"/>
  <c r="Q1477" i="24"/>
  <c r="S547" i="22"/>
  <c r="S587" i="22" s="1"/>
  <c r="S561" i="22"/>
  <c r="X296" i="8"/>
  <c r="Y296" i="8" s="1"/>
  <c r="Y283" i="8"/>
  <c r="X74" i="11"/>
  <c r="X77" i="11"/>
  <c r="X82" i="11"/>
  <c r="Y82" i="11" s="1"/>
  <c r="Y69" i="11"/>
  <c r="X193" i="12"/>
  <c r="Y193" i="12" s="1"/>
  <c r="R137" i="26"/>
  <c r="Y369" i="11"/>
  <c r="U245" i="11"/>
  <c r="W12" i="3"/>
  <c r="W107" i="7"/>
  <c r="T139" i="14"/>
  <c r="U139" i="14" s="1"/>
  <c r="U129" i="14"/>
  <c r="X378" i="8"/>
  <c r="X405" i="8"/>
  <c r="Y405" i="8" s="1"/>
  <c r="Y365" i="8"/>
  <c r="U59" i="16"/>
  <c r="R135" i="22" l="1"/>
  <c r="S640" i="22"/>
  <c r="V73" i="14"/>
  <c r="V14" i="14"/>
  <c r="V76" i="14"/>
  <c r="Q1476" i="24"/>
  <c r="Q1479" i="24"/>
  <c r="V390" i="7"/>
  <c r="X201" i="12"/>
  <c r="R211" i="26"/>
  <c r="Y377" i="11"/>
  <c r="W60" i="13"/>
  <c r="Y220" i="10"/>
  <c r="Y217" i="10"/>
  <c r="Y208" i="10"/>
  <c r="W249" i="8"/>
  <c r="Q128" i="26"/>
  <c r="X126" i="7"/>
  <c r="X126" i="8"/>
  <c r="X473" i="8"/>
  <c r="X274" i="11"/>
  <c r="F163" i="23"/>
  <c r="A165" i="23" s="1" a="1"/>
  <c r="X185" i="7"/>
  <c r="X57" i="7"/>
  <c r="Y473" i="8"/>
  <c r="Y126" i="8"/>
  <c r="Y274" i="11"/>
  <c r="Y53" i="7"/>
  <c r="Y126" i="7"/>
  <c r="W201" i="13"/>
  <c r="W194" i="13"/>
  <c r="V122" i="14"/>
  <c r="V116" i="14"/>
  <c r="V62" i="12"/>
  <c r="V59" i="12"/>
  <c r="Y63" i="10"/>
  <c r="Y66" i="10"/>
  <c r="U85" i="16"/>
  <c r="P67" i="26"/>
  <c r="U70" i="13"/>
  <c r="Y340" i="7"/>
  <c r="X193" i="7"/>
  <c r="X15" i="11"/>
  <c r="Y13" i="11"/>
  <c r="W27" i="14"/>
  <c r="R1219" i="24"/>
  <c r="W57" i="13"/>
  <c r="V265" i="7"/>
  <c r="V235" i="11"/>
  <c r="P144" i="26"/>
  <c r="X129" i="10"/>
  <c r="X132" i="10"/>
  <c r="X137" i="10"/>
  <c r="Y137" i="10" s="1"/>
  <c r="Y124" i="10"/>
  <c r="T697" i="22"/>
  <c r="T710" i="22" s="1"/>
  <c r="T690" i="22"/>
  <c r="T702" i="22"/>
  <c r="A81" i="23"/>
  <c r="B81" i="23"/>
  <c r="Y145" i="12"/>
  <c r="V91" i="14"/>
  <c r="V88" i="14"/>
  <c r="V387" i="7"/>
  <c r="S642" i="22"/>
  <c r="X90" i="7"/>
  <c r="X101" i="7"/>
  <c r="Y101" i="7" s="1"/>
  <c r="Y85" i="7"/>
  <c r="U266" i="11"/>
  <c r="T297" i="11"/>
  <c r="U297" i="11" s="1"/>
  <c r="V208" i="12"/>
  <c r="V211" i="12"/>
  <c r="W63" i="7"/>
  <c r="W63" i="8"/>
  <c r="W202" i="7"/>
  <c r="W195" i="7"/>
  <c r="R654" i="22"/>
  <c r="R657" i="22"/>
  <c r="V115" i="7"/>
  <c r="V242" i="11"/>
  <c r="P142" i="26"/>
  <c r="Q188" i="26"/>
  <c r="X181" i="12"/>
  <c r="X183" i="12"/>
  <c r="Y183" i="12" s="1"/>
  <c r="Y179" i="12"/>
  <c r="T22" i="5"/>
  <c r="U22" i="5" s="1"/>
  <c r="T71" i="13"/>
  <c r="U84" i="16"/>
  <c r="P66" i="26"/>
  <c r="U69" i="13"/>
  <c r="Q88" i="22"/>
  <c r="V149" i="13"/>
  <c r="V79" i="13"/>
  <c r="Q353" i="22"/>
  <c r="Q356" i="22"/>
  <c r="P714" i="22"/>
  <c r="Y379" i="8"/>
  <c r="X419" i="8"/>
  <c r="Y419" i="8" s="1"/>
  <c r="Y431" i="11"/>
  <c r="Y428" i="11"/>
  <c r="X432" i="11"/>
  <c r="X444" i="11"/>
  <c r="X441" i="11"/>
  <c r="D13" i="4"/>
  <c r="C160" i="26"/>
  <c r="Y171" i="11"/>
  <c r="X211" i="11"/>
  <c r="Y211" i="11" s="1"/>
  <c r="P132" i="26"/>
  <c r="T192" i="22"/>
  <c r="T210" i="22"/>
  <c r="T185" i="22"/>
  <c r="X107" i="13"/>
  <c r="X136" i="13"/>
  <c r="Y136" i="13" s="1"/>
  <c r="Y104" i="13"/>
  <c r="X109" i="13"/>
  <c r="X25" i="12"/>
  <c r="X502" i="11"/>
  <c r="Y502" i="11" s="1"/>
  <c r="Y494" i="11"/>
  <c r="X495" i="11"/>
  <c r="X206" i="12"/>
  <c r="Y206" i="12" s="1"/>
  <c r="R215" i="26"/>
  <c r="Y382" i="11"/>
  <c r="X252" i="8"/>
  <c r="Y252" i="8" s="1"/>
  <c r="Y226" i="8"/>
  <c r="X101" i="8"/>
  <c r="Y101" i="8" s="1"/>
  <c r="X90" i="8"/>
  <c r="Y85" i="8"/>
  <c r="Y99" i="10"/>
  <c r="Y96" i="10"/>
  <c r="V203" i="7"/>
  <c r="V200" i="7"/>
  <c r="W141" i="13"/>
  <c r="S40" i="13"/>
  <c r="S33" i="13"/>
  <c r="Y159" i="10"/>
  <c r="Y156" i="10"/>
  <c r="T278" i="7"/>
  <c r="U122" i="7"/>
  <c r="T132" i="7"/>
  <c r="U132" i="7" s="1"/>
  <c r="O201" i="26"/>
  <c r="U125" i="8"/>
  <c r="T22" i="8"/>
  <c r="T128" i="8"/>
  <c r="U128" i="8" s="1"/>
  <c r="W336" i="7"/>
  <c r="X160" i="11"/>
  <c r="X172" i="11"/>
  <c r="X169" i="11"/>
  <c r="X186" i="11"/>
  <c r="X183" i="11"/>
  <c r="Y143" i="11"/>
  <c r="Y146" i="11"/>
  <c r="T219" i="13"/>
  <c r="U93" i="8"/>
  <c r="U104" i="8"/>
  <c r="U108" i="8"/>
  <c r="V378" i="7"/>
  <c r="V375" i="7"/>
  <c r="Q94" i="22"/>
  <c r="V59" i="14"/>
  <c r="V209" i="13"/>
  <c r="V53" i="14"/>
  <c r="V49" i="11"/>
  <c r="V37" i="11"/>
  <c r="V46" i="11"/>
  <c r="C1450" i="24"/>
  <c r="V224" i="12"/>
  <c r="V221" i="12"/>
  <c r="T244" i="22"/>
  <c r="T247" i="22"/>
  <c r="W470" i="11"/>
  <c r="W327" i="11"/>
  <c r="W370" i="11"/>
  <c r="W192" i="12"/>
  <c r="Q136" i="26"/>
  <c r="W372" i="11"/>
  <c r="Y52" i="12"/>
  <c r="W69" i="16"/>
  <c r="U61" i="16"/>
  <c r="V59" i="16"/>
  <c r="V61" i="16"/>
  <c r="Y554" i="8"/>
  <c r="Y545" i="8"/>
  <c r="Y557" i="8"/>
  <c r="V365" i="7"/>
  <c r="V362" i="7"/>
  <c r="V383" i="7"/>
  <c r="S506" i="22"/>
  <c r="S668" i="22" s="1"/>
  <c r="S628" i="22"/>
  <c r="N124" i="26"/>
  <c r="O153" i="26"/>
  <c r="U275" i="7"/>
  <c r="T285" i="7"/>
  <c r="U285" i="7" s="1"/>
  <c r="X86" i="7"/>
  <c r="X86" i="8"/>
  <c r="X208" i="11"/>
  <c r="Y208" i="11" s="1"/>
  <c r="Y168" i="11"/>
  <c r="V122" i="8"/>
  <c r="V462" i="8"/>
  <c r="P196" i="26"/>
  <c r="X147" i="12"/>
  <c r="X454" i="11"/>
  <c r="R221" i="26"/>
  <c r="X456" i="11"/>
  <c r="Y456" i="11" s="1"/>
  <c r="Y452" i="11"/>
  <c r="V71" i="8"/>
  <c r="V100" i="8"/>
  <c r="V73" i="8"/>
  <c r="U16" i="17"/>
  <c r="U10" i="17"/>
  <c r="V16" i="17"/>
  <c r="U176" i="13"/>
  <c r="W143" i="13"/>
  <c r="R1377" i="24"/>
  <c r="R1379" i="24"/>
  <c r="Q76" i="22"/>
  <c r="V153" i="13"/>
  <c r="Q79" i="22"/>
  <c r="V120" i="14"/>
  <c r="V213" i="13"/>
  <c r="V57" i="14"/>
  <c r="S1151" i="24"/>
  <c r="S1157" i="24"/>
  <c r="S1144" i="24"/>
  <c r="S901" i="22"/>
  <c r="S8" i="21" s="1"/>
  <c r="S903" i="22"/>
  <c r="T205" i="22"/>
  <c r="T198" i="22"/>
  <c r="D23" i="3"/>
  <c r="E13" i="15"/>
  <c r="T338" i="22"/>
  <c r="T313" i="22"/>
  <c r="T316" i="22"/>
  <c r="X334" i="7"/>
  <c r="Y17" i="6"/>
  <c r="R108" i="22"/>
  <c r="R111" i="22"/>
  <c r="R129" i="22"/>
  <c r="S272" i="22"/>
  <c r="S275" i="22"/>
  <c r="S293" i="22"/>
  <c r="U161" i="13"/>
  <c r="U157" i="13"/>
  <c r="S19" i="3"/>
  <c r="S47" i="13"/>
  <c r="S10" i="13"/>
  <c r="N117" i="26"/>
  <c r="X298" i="10"/>
  <c r="Y298" i="10"/>
  <c r="S753" i="24"/>
  <c r="S765" i="24"/>
  <c r="S762" i="24"/>
  <c r="T276" i="11"/>
  <c r="U256" i="11"/>
  <c r="T287" i="11"/>
  <c r="U287" i="11" s="1"/>
  <c r="W210" i="12"/>
  <c r="W203" i="12"/>
  <c r="Q381" i="22"/>
  <c r="Q384" i="22"/>
  <c r="D1465" i="24"/>
  <c r="D1462" i="24"/>
  <c r="Y378" i="8"/>
  <c r="X418" i="8"/>
  <c r="Y418" i="8" s="1"/>
  <c r="Y74" i="11"/>
  <c r="Y77" i="11"/>
  <c r="X90" i="11"/>
  <c r="X87" i="11"/>
  <c r="X78" i="11"/>
  <c r="Y14" i="11"/>
  <c r="W24" i="14"/>
  <c r="R1222" i="24"/>
  <c r="P217" i="26"/>
  <c r="Y306" i="7"/>
  <c r="Y303" i="7"/>
  <c r="V490" i="8"/>
  <c r="P190" i="26"/>
  <c r="X10" i="10"/>
  <c r="X48" i="10"/>
  <c r="F8" i="26"/>
  <c r="X83" i="10"/>
  <c r="Y79" i="10"/>
  <c r="T29" i="22"/>
  <c r="T42" i="22" s="1"/>
  <c r="T34" i="22"/>
  <c r="T22" i="22"/>
  <c r="S411" i="22"/>
  <c r="S424" i="22" s="1"/>
  <c r="S404" i="22"/>
  <c r="S416" i="22"/>
  <c r="Q367" i="22"/>
  <c r="Q370" i="22"/>
  <c r="Y50" i="8"/>
  <c r="T256" i="22"/>
  <c r="T231" i="22"/>
  <c r="T234" i="22"/>
  <c r="T21" i="5"/>
  <c r="T175" i="13" s="1"/>
  <c r="V66" i="16"/>
  <c r="X407" i="8"/>
  <c r="X368" i="8"/>
  <c r="X380" i="8"/>
  <c r="X377" i="8"/>
  <c r="X404" i="8"/>
  <c r="Y367" i="8"/>
  <c r="Y364" i="8"/>
  <c r="T510" i="8"/>
  <c r="U510" i="8" s="1"/>
  <c r="U448" i="8"/>
  <c r="U273" i="11"/>
  <c r="T304" i="11"/>
  <c r="U304" i="11" s="1"/>
  <c r="X214" i="12"/>
  <c r="R126" i="26"/>
  <c r="Y390" i="11"/>
  <c r="Y234" i="8"/>
  <c r="W23" i="14"/>
  <c r="R1215" i="24"/>
  <c r="R1221" i="24"/>
  <c r="W360" i="7"/>
  <c r="W373" i="7"/>
  <c r="R66" i="22"/>
  <c r="R74" i="22"/>
  <c r="T147" i="22"/>
  <c r="T270" i="22"/>
  <c r="W42" i="14"/>
  <c r="R1242" i="24" s="1"/>
  <c r="W56" i="14" s="1"/>
  <c r="W86" i="14"/>
  <c r="S106" i="22"/>
  <c r="S132" i="22" s="1"/>
  <c r="S119" i="22"/>
  <c r="T160" i="22"/>
  <c r="T283" i="22"/>
  <c r="R365" i="22"/>
  <c r="R351" i="22"/>
  <c r="R70" i="22"/>
  <c r="R379" i="22"/>
  <c r="Q86" i="26"/>
  <c r="Y243" i="7"/>
  <c r="X256" i="7"/>
  <c r="Y256" i="7" s="1"/>
  <c r="W256" i="8"/>
  <c r="W223" i="12"/>
  <c r="W216" i="12"/>
  <c r="V112" i="7"/>
  <c r="V262" i="7"/>
  <c r="V239" i="11"/>
  <c r="V225" i="11"/>
  <c r="P141" i="26"/>
  <c r="X10" i="7"/>
  <c r="X54" i="7"/>
  <c r="X273" i="7"/>
  <c r="X498" i="8"/>
  <c r="X257" i="11"/>
  <c r="R98" i="26"/>
  <c r="F91" i="23"/>
  <c r="X187" i="7"/>
  <c r="Y183" i="7"/>
  <c r="Y257" i="11"/>
  <c r="Y273" i="7"/>
  <c r="Y498" i="8"/>
  <c r="S486" i="22"/>
  <c r="S608" i="22"/>
  <c r="S454" i="22"/>
  <c r="S459" i="22"/>
  <c r="S447" i="22"/>
  <c r="X144" i="10"/>
  <c r="Y144" i="10" s="1"/>
  <c r="Y131" i="10"/>
  <c r="X199" i="8"/>
  <c r="X53" i="8"/>
  <c r="R184" i="26"/>
  <c r="X201" i="8"/>
  <c r="X210" i="8"/>
  <c r="Y210" i="8" s="1"/>
  <c r="Y197" i="8"/>
  <c r="V389" i="7"/>
  <c r="V150" i="13"/>
  <c r="Q92" i="22"/>
  <c r="V67" i="14"/>
  <c r="S149" i="22"/>
  <c r="S152" i="22"/>
  <c r="S170" i="22"/>
  <c r="R180" i="26"/>
  <c r="Y9" i="8"/>
  <c r="R7" i="21"/>
  <c r="R9" i="21" s="1"/>
  <c r="R902" i="22"/>
  <c r="R905" i="22"/>
  <c r="X412" i="8"/>
  <c r="Y412" i="8" s="1"/>
  <c r="Y372" i="8"/>
  <c r="S504" i="22"/>
  <c r="S666" i="22" s="1"/>
  <c r="S626" i="22"/>
  <c r="S563" i="22"/>
  <c r="S560" i="22"/>
  <c r="W168" i="13"/>
  <c r="R550" i="22"/>
  <c r="R586" i="22"/>
  <c r="R577" i="22"/>
  <c r="R589" i="22"/>
  <c r="P145" i="26"/>
  <c r="Y153" i="8"/>
  <c r="Y156" i="8"/>
  <c r="S12" i="21"/>
  <c r="S14" i="21" s="1"/>
  <c r="Y359" i="11"/>
  <c r="Y357" i="11"/>
  <c r="X361" i="11"/>
  <c r="X358" i="11"/>
  <c r="V105" i="14"/>
  <c r="V102" i="14"/>
  <c r="Q1302" i="24"/>
  <c r="Q1301" i="24"/>
  <c r="Q1305" i="24"/>
  <c r="Q1303" i="24"/>
  <c r="P88" i="26"/>
  <c r="Q1304" i="24"/>
  <c r="S162" i="22"/>
  <c r="S165" i="22"/>
  <c r="Y190" i="8"/>
  <c r="Y187" i="8"/>
  <c r="V89" i="7"/>
  <c r="V82" i="7"/>
  <c r="V95" i="7"/>
  <c r="W20" i="12"/>
  <c r="W17" i="12"/>
  <c r="R1204" i="24"/>
  <c r="R1201" i="24"/>
  <c r="X138" i="13"/>
  <c r="Y138" i="13" s="1"/>
  <c r="Y106" i="13"/>
  <c r="X111" i="13"/>
  <c r="Y19" i="12"/>
  <c r="X19" i="12"/>
  <c r="X12" i="12"/>
  <c r="Y12" i="12"/>
  <c r="V87" i="8"/>
  <c r="V89" i="8"/>
  <c r="W30" i="12"/>
  <c r="W32" i="12"/>
  <c r="W142" i="13"/>
  <c r="T334" i="9"/>
  <c r="T331" i="9"/>
  <c r="T322" i="9"/>
  <c r="X198" i="7"/>
  <c r="Y198" i="7" s="1"/>
  <c r="X32" i="11"/>
  <c r="Y32" i="11" s="1"/>
  <c r="Y30" i="11"/>
  <c r="Y285" i="8"/>
  <c r="Y282" i="8"/>
  <c r="X298" i="8"/>
  <c r="X286" i="8"/>
  <c r="X295" i="8"/>
  <c r="V60" i="14"/>
  <c r="V210" i="13"/>
  <c r="T507" i="8"/>
  <c r="U507" i="8" s="1"/>
  <c r="U445" i="8"/>
  <c r="T503" i="8"/>
  <c r="U503" i="8" s="1"/>
  <c r="U441" i="8"/>
  <c r="T451" i="8"/>
  <c r="U93" i="7"/>
  <c r="U104" i="7"/>
  <c r="U108" i="7"/>
  <c r="U270" i="11"/>
  <c r="T301" i="11"/>
  <c r="U301" i="11" s="1"/>
  <c r="Y188" i="12"/>
  <c r="Q213" i="26"/>
  <c r="W19" i="5"/>
  <c r="X9" i="4"/>
  <c r="R158" i="26" s="1"/>
  <c r="W10" i="15"/>
  <c r="S803" i="24"/>
  <c r="S794" i="24"/>
  <c r="S806" i="24"/>
  <c r="V148" i="13"/>
  <c r="Q62" i="22"/>
  <c r="Q84" i="22"/>
  <c r="Q59" i="22"/>
  <c r="Q1244" i="24"/>
  <c r="Q1247" i="24"/>
  <c r="W25" i="6"/>
  <c r="R21" i="21"/>
  <c r="R1286" i="24"/>
  <c r="R1182" i="24"/>
  <c r="R1285" i="24"/>
  <c r="R1185" i="24"/>
  <c r="R1287" i="24"/>
  <c r="Q74" i="26"/>
  <c r="R1288" i="24"/>
  <c r="R1284" i="24"/>
  <c r="S217" i="22"/>
  <c r="T326" i="22"/>
  <c r="T329" i="22"/>
  <c r="W44" i="12"/>
  <c r="W46" i="12"/>
  <c r="W225" i="8"/>
  <c r="W238" i="8"/>
  <c r="W27" i="11"/>
  <c r="W26" i="11"/>
  <c r="W394" i="11"/>
  <c r="W161" i="12"/>
  <c r="W381" i="11"/>
  <c r="W344" i="7"/>
  <c r="R66" i="9"/>
  <c r="R62" i="9"/>
  <c r="U125" i="7"/>
  <c r="T135" i="7"/>
  <c r="U135" i="7" s="1"/>
  <c r="X247" i="8"/>
  <c r="Y247" i="8" s="1"/>
  <c r="Y221" i="8"/>
  <c r="W53" i="13"/>
  <c r="W59" i="13"/>
  <c r="V112" i="8"/>
  <c r="V431" i="8"/>
  <c r="V487" i="8"/>
  <c r="P189" i="26"/>
  <c r="X477" i="8"/>
  <c r="X285" i="11"/>
  <c r="F83" i="23"/>
  <c r="F6" i="26"/>
  <c r="Y136" i="10"/>
  <c r="Y285" i="11"/>
  <c r="Y477" i="8"/>
  <c r="S567" i="22"/>
  <c r="S535" i="22"/>
  <c r="S540" i="22"/>
  <c r="S580" i="22" s="1"/>
  <c r="S528" i="22"/>
  <c r="F26" i="26"/>
  <c r="X51" i="10"/>
  <c r="X81" i="10"/>
  <c r="Y47" i="10"/>
  <c r="T137" i="14"/>
  <c r="T141" i="14"/>
  <c r="U131" i="14"/>
  <c r="S479" i="22"/>
  <c r="S601" i="22"/>
  <c r="S482" i="22"/>
  <c r="S604" i="22"/>
  <c r="V254" i="8"/>
  <c r="V245" i="8"/>
  <c r="V257" i="8"/>
  <c r="X288" i="10"/>
  <c r="X285" i="10"/>
  <c r="Y285" i="10"/>
  <c r="Y288" i="10"/>
  <c r="Y25" i="10"/>
  <c r="X242" i="7"/>
  <c r="X245" i="7"/>
  <c r="X250" i="7"/>
  <c r="Y250" i="7" s="1"/>
  <c r="Y237" i="7"/>
  <c r="Y126" i="12"/>
  <c r="Y123" i="12"/>
  <c r="X139" i="12"/>
  <c r="X136" i="12"/>
  <c r="X127" i="12"/>
  <c r="W45" i="11"/>
  <c r="W23" i="11"/>
  <c r="W20" i="11"/>
  <c r="W165" i="13"/>
  <c r="R496" i="22"/>
  <c r="R508" i="22"/>
  <c r="R618" i="22"/>
  <c r="R630" i="22"/>
  <c r="R469" i="22"/>
  <c r="R505" i="22"/>
  <c r="R627" i="22"/>
  <c r="P197" i="26"/>
  <c r="X483" i="11"/>
  <c r="S1074" i="24"/>
  <c r="S1076" i="24"/>
  <c r="X567" i="8"/>
  <c r="R207" i="26"/>
  <c r="X569" i="8"/>
  <c r="Y569" i="8" s="1"/>
  <c r="Y565" i="8"/>
  <c r="Y75" i="7"/>
  <c r="Y153" i="7"/>
  <c r="Y156" i="7"/>
  <c r="S203" i="22"/>
  <c r="S206" i="22"/>
  <c r="W525" i="11"/>
  <c r="B1064" i="24"/>
  <c r="R70" i="26"/>
  <c r="S1177" i="24"/>
  <c r="S1372" i="24"/>
  <c r="X522" i="11" s="1"/>
  <c r="S1203" i="24"/>
  <c r="S1196" i="24"/>
  <c r="X137" i="13"/>
  <c r="Y137" i="13" s="1"/>
  <c r="Y105" i="13"/>
  <c r="X110" i="13"/>
  <c r="X365" i="11"/>
  <c r="X39" i="12"/>
  <c r="X463" i="11"/>
  <c r="X320" i="11"/>
  <c r="X71" i="12" s="1"/>
  <c r="X516" i="11"/>
  <c r="R105" i="26"/>
  <c r="Y508" i="11"/>
  <c r="Y320" i="11"/>
  <c r="X509" i="11"/>
  <c r="S1184" i="24"/>
  <c r="D1063" i="24"/>
  <c r="U91" i="16"/>
  <c r="V89" i="16"/>
  <c r="V87" i="7"/>
  <c r="V100" i="7"/>
  <c r="W503" i="11"/>
  <c r="W500" i="11"/>
  <c r="W196" i="13"/>
  <c r="R1162" i="24"/>
  <c r="R1163" i="24" s="1"/>
  <c r="R1164" i="24"/>
  <c r="X219" i="12"/>
  <c r="Y219" i="12" s="1"/>
  <c r="R130" i="26"/>
  <c r="Y395" i="11"/>
  <c r="Y213" i="7"/>
  <c r="X217" i="7"/>
  <c r="X214" i="7"/>
  <c r="T135" i="8"/>
  <c r="U135" i="8" s="1"/>
  <c r="O194" i="26"/>
  <c r="U115" i="8"/>
  <c r="T118" i="8"/>
  <c r="T19" i="8"/>
  <c r="W68" i="7"/>
  <c r="W79" i="8"/>
  <c r="R121" i="22"/>
  <c r="W65" i="16" s="1"/>
  <c r="R124" i="22"/>
  <c r="Y75" i="8"/>
  <c r="W124" i="13"/>
  <c r="W128" i="13"/>
  <c r="W134" i="13"/>
  <c r="X300" i="10"/>
  <c r="Y300" i="10"/>
  <c r="V123" i="14"/>
  <c r="T22" i="7"/>
  <c r="T128" i="7"/>
  <c r="O150" i="26"/>
  <c r="U272" i="7"/>
  <c r="T282" i="7"/>
  <c r="U282" i="7" s="1"/>
  <c r="U472" i="8"/>
  <c r="T482" i="8"/>
  <c r="U482" i="8" s="1"/>
  <c r="Y192" i="13"/>
  <c r="Y170" i="11"/>
  <c r="X210" i="11"/>
  <c r="Y210" i="11" s="1"/>
  <c r="T216" i="13"/>
  <c r="V47" i="14"/>
  <c r="V44" i="14"/>
  <c r="S285" i="22"/>
  <c r="S288" i="22"/>
  <c r="S215" i="22"/>
  <c r="S190" i="22"/>
  <c r="S193" i="22"/>
  <c r="Y244" i="7"/>
  <c r="X257" i="7"/>
  <c r="Y257" i="7" s="1"/>
  <c r="W468" i="11"/>
  <c r="W325" i="11"/>
  <c r="Q109" i="26"/>
  <c r="W517" i="11"/>
  <c r="W514" i="11"/>
  <c r="T296" i="22" l="1"/>
  <c r="T173" i="22"/>
  <c r="W214" i="13"/>
  <c r="W60" i="16"/>
  <c r="R658" i="22"/>
  <c r="R670" i="22"/>
  <c r="R590" i="22"/>
  <c r="R631" i="22"/>
  <c r="R667" i="22"/>
  <c r="F27" i="26"/>
  <c r="Y51" i="10"/>
  <c r="S216" i="22"/>
  <c r="S219" i="22"/>
  <c r="S207" i="22"/>
  <c r="U128" i="7"/>
  <c r="T138" i="7"/>
  <c r="U138" i="7" s="1"/>
  <c r="T25" i="8"/>
  <c r="O195" i="26"/>
  <c r="U19" i="8"/>
  <c r="V469" i="8"/>
  <c r="V263" i="11"/>
  <c r="V466" i="8"/>
  <c r="V253" i="11"/>
  <c r="V103" i="7"/>
  <c r="X222" i="8"/>
  <c r="X235" i="8"/>
  <c r="X18" i="11"/>
  <c r="X17" i="11"/>
  <c r="X378" i="11"/>
  <c r="X391" i="11"/>
  <c r="X158" i="12"/>
  <c r="Y158" i="12" s="1"/>
  <c r="X341" i="7"/>
  <c r="S67" i="9"/>
  <c r="S1474" i="24" s="1"/>
  <c r="S63" i="9"/>
  <c r="Y463" i="11"/>
  <c r="S1380" i="24"/>
  <c r="S1373" i="24"/>
  <c r="S1075" i="24"/>
  <c r="S1078" i="24"/>
  <c r="W166" i="13"/>
  <c r="W171" i="13"/>
  <c r="V493" i="8"/>
  <c r="W383" i="11"/>
  <c r="W205" i="12"/>
  <c r="Q214" i="26"/>
  <c r="W385" i="11"/>
  <c r="W35" i="11"/>
  <c r="W40" i="11"/>
  <c r="Q80" i="22"/>
  <c r="Q96" i="22"/>
  <c r="Q93" i="22"/>
  <c r="V10" i="3"/>
  <c r="V105" i="7"/>
  <c r="Y361" i="11"/>
  <c r="Y358" i="11"/>
  <c r="R186" i="26"/>
  <c r="X57" i="8"/>
  <c r="Y57" i="8" s="1"/>
  <c r="X10" i="8"/>
  <c r="X54" i="8"/>
  <c r="Y53" i="8"/>
  <c r="S487" i="22"/>
  <c r="S609" i="22"/>
  <c r="S452" i="22"/>
  <c r="S455" i="22"/>
  <c r="S460" i="22"/>
  <c r="S648" i="22"/>
  <c r="X9" i="6"/>
  <c r="X18" i="6"/>
  <c r="X23" i="7"/>
  <c r="X129" i="7"/>
  <c r="X279" i="7"/>
  <c r="X136" i="8"/>
  <c r="X504" i="8"/>
  <c r="X277" i="11"/>
  <c r="R102" i="26"/>
  <c r="F139" i="23"/>
  <c r="Y129" i="7"/>
  <c r="Y277" i="11"/>
  <c r="Y136" i="8"/>
  <c r="Y23" i="7"/>
  <c r="Y10" i="7"/>
  <c r="Y279" i="7"/>
  <c r="Y9" i="6"/>
  <c r="Y504" i="8"/>
  <c r="X11" i="7"/>
  <c r="X6" i="3"/>
  <c r="V245" i="11"/>
  <c r="W355" i="7"/>
  <c r="W368" i="7"/>
  <c r="W37" i="14"/>
  <c r="R1237" i="24" s="1"/>
  <c r="W81" i="14"/>
  <c r="R52" i="22"/>
  <c r="S114" i="22"/>
  <c r="W25" i="14"/>
  <c r="S101" i="22"/>
  <c r="W8" i="14"/>
  <c r="W31" i="14"/>
  <c r="W103" i="14" s="1"/>
  <c r="R56" i="22"/>
  <c r="R346" i="22"/>
  <c r="R48" i="22"/>
  <c r="R374" i="22"/>
  <c r="T142" i="22"/>
  <c r="T155" i="22"/>
  <c r="T265" i="22"/>
  <c r="T278" i="22"/>
  <c r="R360" i="22"/>
  <c r="Q82" i="26"/>
  <c r="Y407" i="8"/>
  <c r="Y404" i="8"/>
  <c r="T257" i="22"/>
  <c r="T248" i="22"/>
  <c r="T260" i="22"/>
  <c r="R1166" i="24"/>
  <c r="F20" i="26"/>
  <c r="Y10" i="10"/>
  <c r="X11" i="10"/>
  <c r="Y87" i="11"/>
  <c r="Y78" i="11"/>
  <c r="Y90" i="11"/>
  <c r="R1378" i="24"/>
  <c r="R1381" i="24"/>
  <c r="W71" i="16"/>
  <c r="Q138" i="26"/>
  <c r="W374" i="11"/>
  <c r="W371" i="11"/>
  <c r="V217" i="13"/>
  <c r="V211" i="13"/>
  <c r="Y183" i="11"/>
  <c r="Y186" i="11"/>
  <c r="Y172" i="11"/>
  <c r="Y169" i="11"/>
  <c r="Y160" i="11"/>
  <c r="X209" i="11"/>
  <c r="X200" i="11"/>
  <c r="X212" i="11"/>
  <c r="X173" i="11"/>
  <c r="O202" i="26"/>
  <c r="U22" i="8"/>
  <c r="T218" i="22"/>
  <c r="V81" i="13"/>
  <c r="T695" i="22"/>
  <c r="T698" i="22"/>
  <c r="T703" i="22"/>
  <c r="P146" i="26"/>
  <c r="V85" i="16"/>
  <c r="U80" i="16"/>
  <c r="A165" i="23"/>
  <c r="B165" i="23"/>
  <c r="X47" i="12"/>
  <c r="Y71" i="12"/>
  <c r="Y39" i="12"/>
  <c r="X40" i="12"/>
  <c r="W527" i="11"/>
  <c r="W56" i="12"/>
  <c r="W529" i="11"/>
  <c r="Y111" i="13"/>
  <c r="V130" i="14"/>
  <c r="V160" i="13"/>
  <c r="X203" i="8"/>
  <c r="X212" i="8"/>
  <c r="Y212" i="8" s="1"/>
  <c r="X200" i="8"/>
  <c r="Y199" i="8"/>
  <c r="S499" i="22"/>
  <c r="S661" i="22" s="1"/>
  <c r="S621" i="22"/>
  <c r="X283" i="7"/>
  <c r="X508" i="8"/>
  <c r="X288" i="11"/>
  <c r="F95" i="23"/>
  <c r="A97" i="23" s="1" a="1"/>
  <c r="Y508" i="8"/>
  <c r="Y187" i="7"/>
  <c r="Y283" i="7"/>
  <c r="Y288" i="11"/>
  <c r="W386" i="7"/>
  <c r="T27" i="22"/>
  <c r="T30" i="22"/>
  <c r="T35" i="22"/>
  <c r="F9" i="26"/>
  <c r="Y83" i="10"/>
  <c r="N125" i="26"/>
  <c r="S20" i="3"/>
  <c r="X193" i="13"/>
  <c r="S1165" i="24"/>
  <c r="D1170" i="24" s="1"/>
  <c r="S1158" i="24"/>
  <c r="V215" i="13"/>
  <c r="V156" i="13"/>
  <c r="V133" i="14"/>
  <c r="V105" i="8"/>
  <c r="R223" i="26"/>
  <c r="Y454" i="11"/>
  <c r="X458" i="11"/>
  <c r="X455" i="11"/>
  <c r="X91" i="8"/>
  <c r="X102" i="8"/>
  <c r="Y102" i="8" s="1"/>
  <c r="Y86" i="8"/>
  <c r="U278" i="7"/>
  <c r="T288" i="7"/>
  <c r="U288" i="7" s="1"/>
  <c r="X33" i="12"/>
  <c r="Y33" i="12" s="1"/>
  <c r="Y25" i="12"/>
  <c r="X26" i="12"/>
  <c r="X139" i="13"/>
  <c r="Y139" i="13" s="1"/>
  <c r="Y107" i="13"/>
  <c r="X112" i="13"/>
  <c r="X108" i="13"/>
  <c r="V159" i="13"/>
  <c r="V129" i="14"/>
  <c r="U86" i="16"/>
  <c r="V86" i="16" s="1"/>
  <c r="V84" i="16"/>
  <c r="W66" i="8"/>
  <c r="W95" i="8"/>
  <c r="Y90" i="7"/>
  <c r="X11" i="3"/>
  <c r="Y11" i="3" s="1"/>
  <c r="X106" i="7"/>
  <c r="Y106" i="7" s="1"/>
  <c r="Y129" i="10"/>
  <c r="Y132" i="10"/>
  <c r="X145" i="10"/>
  <c r="X142" i="10"/>
  <c r="X133" i="10"/>
  <c r="W359" i="7"/>
  <c r="W372" i="7"/>
  <c r="W9" i="14"/>
  <c r="W41" i="14"/>
  <c r="W85" i="14"/>
  <c r="S105" i="22"/>
  <c r="T146" i="22"/>
  <c r="T269" i="22"/>
  <c r="W29" i="14"/>
  <c r="R65" i="22"/>
  <c r="R73" i="22"/>
  <c r="R75" i="22" s="1"/>
  <c r="W155" i="13" s="1"/>
  <c r="R69" i="22"/>
  <c r="R71" i="22" s="1"/>
  <c r="W154" i="13" s="1"/>
  <c r="S118" i="22"/>
  <c r="S120" i="22" s="1"/>
  <c r="T159" i="22"/>
  <c r="T161" i="22" s="1"/>
  <c r="T282" i="22"/>
  <c r="T284" i="22" s="1"/>
  <c r="R378" i="22"/>
  <c r="R380" i="22" s="1"/>
  <c r="R364" i="22"/>
  <c r="R366" i="22" s="1"/>
  <c r="R350" i="22"/>
  <c r="R352" i="22" s="1"/>
  <c r="Q85" i="26"/>
  <c r="R1241" i="24"/>
  <c r="Y15" i="11"/>
  <c r="O154" i="26"/>
  <c r="U22" i="7"/>
  <c r="T16" i="3"/>
  <c r="T25" i="7"/>
  <c r="U25" i="7" s="1"/>
  <c r="T138" i="8"/>
  <c r="U138" i="8" s="1"/>
  <c r="U118" i="8"/>
  <c r="Y217" i="7"/>
  <c r="Y214" i="7"/>
  <c r="X530" i="11"/>
  <c r="Y530" i="11" s="1"/>
  <c r="X53" i="12"/>
  <c r="Y522" i="11"/>
  <c r="X523" i="11"/>
  <c r="Y483" i="11"/>
  <c r="X497" i="11"/>
  <c r="X485" i="11"/>
  <c r="X511" i="11"/>
  <c r="X14" i="12"/>
  <c r="Y485" i="11"/>
  <c r="Y14" i="12"/>
  <c r="X115" i="13"/>
  <c r="T200" i="22"/>
  <c r="X116" i="13"/>
  <c r="X117" i="13"/>
  <c r="T187" i="22"/>
  <c r="S896" i="22"/>
  <c r="S1198" i="24"/>
  <c r="R71" i="26"/>
  <c r="Y487" i="11"/>
  <c r="X487" i="11"/>
  <c r="Y245" i="7"/>
  <c r="Y242" i="7"/>
  <c r="X255" i="7"/>
  <c r="X246" i="7"/>
  <c r="X258" i="7"/>
  <c r="S533" i="22"/>
  <c r="S536" i="22"/>
  <c r="S568" i="22"/>
  <c r="S541" i="22"/>
  <c r="S581" i="22" s="1"/>
  <c r="V132" i="8"/>
  <c r="P191" i="26"/>
  <c r="W61" i="13"/>
  <c r="W58" i="13"/>
  <c r="R64" i="9"/>
  <c r="R70" i="9"/>
  <c r="R17" i="9"/>
  <c r="R1469" i="24"/>
  <c r="W240" i="8"/>
  <c r="W242" i="8"/>
  <c r="W165" i="12"/>
  <c r="W78" i="12"/>
  <c r="W31" i="12"/>
  <c r="W34" i="12"/>
  <c r="W326" i="11"/>
  <c r="W472" i="11"/>
  <c r="W329" i="11"/>
  <c r="W469" i="11"/>
  <c r="Q110" i="26"/>
  <c r="U219" i="13"/>
  <c r="T185" i="13"/>
  <c r="U185" i="13" s="1"/>
  <c r="U216" i="13"/>
  <c r="W140" i="13"/>
  <c r="W144" i="13"/>
  <c r="W129" i="13"/>
  <c r="W82" i="8"/>
  <c r="X321" i="11"/>
  <c r="X464" i="11"/>
  <c r="Y464" i="11" s="1"/>
  <c r="R106" i="26"/>
  <c r="Y509" i="11"/>
  <c r="Y321" i="11"/>
  <c r="X471" i="11"/>
  <c r="Y471" i="11" s="1"/>
  <c r="X328" i="11"/>
  <c r="Y516" i="11"/>
  <c r="Y328" i="11"/>
  <c r="X373" i="11"/>
  <c r="Y373" i="11" s="1"/>
  <c r="X189" i="12"/>
  <c r="R134" i="26"/>
  <c r="Y365" i="11"/>
  <c r="X366" i="11"/>
  <c r="B1171" i="24"/>
  <c r="R209" i="26"/>
  <c r="Y567" i="8"/>
  <c r="X571" i="8"/>
  <c r="X568" i="8"/>
  <c r="Y139" i="12"/>
  <c r="Y136" i="12"/>
  <c r="Y127" i="12"/>
  <c r="S641" i="22"/>
  <c r="S644" i="22"/>
  <c r="U137" i="14"/>
  <c r="U141" i="14"/>
  <c r="Y81" i="10"/>
  <c r="X85" i="10"/>
  <c r="X82" i="10"/>
  <c r="R18" i="9"/>
  <c r="R68" i="9"/>
  <c r="R1473" i="24"/>
  <c r="W396" i="11"/>
  <c r="W218" i="12"/>
  <c r="Q129" i="26"/>
  <c r="W398" i="11"/>
  <c r="W227" i="8"/>
  <c r="W251" i="8"/>
  <c r="W229" i="8"/>
  <c r="W76" i="12"/>
  <c r="W163" i="12"/>
  <c r="W48" i="12"/>
  <c r="W45" i="12"/>
  <c r="T513" i="8"/>
  <c r="U513" i="8" s="1"/>
  <c r="U451" i="8"/>
  <c r="W169" i="13"/>
  <c r="S175" i="22"/>
  <c r="S178" i="22"/>
  <c r="S166" i="22"/>
  <c r="X214" i="8"/>
  <c r="Y214" i="8" s="1"/>
  <c r="Y201" i="8"/>
  <c r="S494" i="22"/>
  <c r="S616" i="22"/>
  <c r="S467" i="22"/>
  <c r="V118" i="7"/>
  <c r="V19" i="7"/>
  <c r="P143" i="26"/>
  <c r="W119" i="14"/>
  <c r="Y214" i="12"/>
  <c r="U21" i="16"/>
  <c r="V21" i="16" s="1"/>
  <c r="T24" i="5"/>
  <c r="U24" i="5" s="1"/>
  <c r="U21" i="5"/>
  <c r="X299" i="10"/>
  <c r="X302" i="10"/>
  <c r="Y299" i="10"/>
  <c r="Y302" i="10"/>
  <c r="R125" i="22"/>
  <c r="W64" i="16"/>
  <c r="R134" i="22"/>
  <c r="R137" i="22"/>
  <c r="T330" i="22"/>
  <c r="T339" i="22"/>
  <c r="T342" i="22"/>
  <c r="D1137" i="24"/>
  <c r="X149" i="12"/>
  <c r="X151" i="12"/>
  <c r="Y151" i="12" s="1"/>
  <c r="Y147" i="12"/>
  <c r="X102" i="7"/>
  <c r="Y102" i="7" s="1"/>
  <c r="X91" i="7"/>
  <c r="Y86" i="7"/>
  <c r="Y495" i="11"/>
  <c r="Y109" i="13"/>
  <c r="T211" i="22"/>
  <c r="D33" i="4"/>
  <c r="C26" i="6"/>
  <c r="C34" i="6"/>
  <c r="C162" i="26"/>
  <c r="U71" i="13"/>
  <c r="T26" i="13"/>
  <c r="T18" i="13"/>
  <c r="T20" i="13"/>
  <c r="T28" i="13"/>
  <c r="T22" i="13"/>
  <c r="T19" i="13"/>
  <c r="T23" i="13"/>
  <c r="T30" i="13"/>
  <c r="T27" i="13"/>
  <c r="T31" i="13"/>
  <c r="Y181" i="12"/>
  <c r="X185" i="12"/>
  <c r="X182" i="12"/>
  <c r="W66" i="7"/>
  <c r="W73" i="7"/>
  <c r="Y193" i="7"/>
  <c r="X136" i="7"/>
  <c r="X23" i="8"/>
  <c r="X129" i="8"/>
  <c r="X483" i="8"/>
  <c r="X305" i="11"/>
  <c r="F167" i="23"/>
  <c r="A169" i="23" s="1" a="1"/>
  <c r="Y23" i="8"/>
  <c r="Y305" i="11"/>
  <c r="Y129" i="8"/>
  <c r="Y483" i="8"/>
  <c r="Y136" i="7"/>
  <c r="Y57" i="7"/>
  <c r="U79" i="16"/>
  <c r="W71" i="7"/>
  <c r="W198" i="13"/>
  <c r="W199" i="13" s="1"/>
  <c r="W200" i="13"/>
  <c r="V91" i="16"/>
  <c r="T24" i="3"/>
  <c r="Y110" i="13"/>
  <c r="S575" i="22"/>
  <c r="S548" i="22"/>
  <c r="S588" i="22" s="1"/>
  <c r="W346" i="7"/>
  <c r="W348" i="7"/>
  <c r="W197" i="7"/>
  <c r="W28" i="11"/>
  <c r="W34" i="11"/>
  <c r="W39" i="11"/>
  <c r="V158" i="13"/>
  <c r="V151" i="13"/>
  <c r="V128" i="14"/>
  <c r="V218" i="13"/>
  <c r="Y295" i="8"/>
  <c r="Y298" i="8"/>
  <c r="Y286" i="8"/>
  <c r="V15" i="8"/>
  <c r="V88" i="8"/>
  <c r="V92" i="8"/>
  <c r="V15" i="7"/>
  <c r="V88" i="7"/>
  <c r="V92" i="7"/>
  <c r="V435" i="8"/>
  <c r="V250" i="11"/>
  <c r="V438" i="8"/>
  <c r="V260" i="11"/>
  <c r="V98" i="7"/>
  <c r="V69" i="14"/>
  <c r="V13" i="14"/>
  <c r="V75" i="14"/>
  <c r="Y54" i="7"/>
  <c r="X55" i="7"/>
  <c r="X58" i="7"/>
  <c r="V268" i="7"/>
  <c r="R78" i="22"/>
  <c r="R1223" i="24"/>
  <c r="R1220" i="24"/>
  <c r="Y368" i="8"/>
  <c r="Y380" i="8"/>
  <c r="Y377" i="8"/>
  <c r="X408" i="8"/>
  <c r="X420" i="8"/>
  <c r="X381" i="8"/>
  <c r="X417" i="8"/>
  <c r="S412" i="22"/>
  <c r="S409" i="22"/>
  <c r="S417" i="22"/>
  <c r="Y48" i="10"/>
  <c r="X49" i="10"/>
  <c r="X52" i="10"/>
  <c r="W356" i="7"/>
  <c r="W369" i="7"/>
  <c r="W32" i="14"/>
  <c r="W104" i="14" s="1"/>
  <c r="S102" i="22"/>
  <c r="W38" i="14"/>
  <c r="W82" i="14"/>
  <c r="R49" i="22"/>
  <c r="R57" i="22"/>
  <c r="R91" i="22" s="1"/>
  <c r="R53" i="22"/>
  <c r="R87" i="22" s="1"/>
  <c r="S115" i="22"/>
  <c r="S123" i="22" s="1"/>
  <c r="R375" i="22"/>
  <c r="R383" i="22" s="1"/>
  <c r="R361" i="22"/>
  <c r="R369" i="22" s="1"/>
  <c r="T143" i="22"/>
  <c r="T156" i="22"/>
  <c r="T164" i="22" s="1"/>
  <c r="T266" i="22"/>
  <c r="T279" i="22"/>
  <c r="T287" i="22" s="1"/>
  <c r="R347" i="22"/>
  <c r="R355" i="22" s="1"/>
  <c r="Q83" i="26"/>
  <c r="R1238" i="24"/>
  <c r="U276" i="11"/>
  <c r="T307" i="11"/>
  <c r="U307" i="11" s="1"/>
  <c r="U15" i="17"/>
  <c r="U9" i="17"/>
  <c r="V15" i="17"/>
  <c r="U175" i="13"/>
  <c r="S298" i="22"/>
  <c r="S301" i="22"/>
  <c r="S289" i="22"/>
  <c r="Y334" i="7"/>
  <c r="D8" i="15"/>
  <c r="E23" i="3"/>
  <c r="V10" i="17"/>
  <c r="Q715" i="22"/>
  <c r="V103" i="8"/>
  <c r="V14" i="8"/>
  <c r="V72" i="8"/>
  <c r="V76" i="8"/>
  <c r="P198" i="26"/>
  <c r="V388" i="7"/>
  <c r="V379" i="7"/>
  <c r="V391" i="7"/>
  <c r="V329" i="7"/>
  <c r="W194" i="12"/>
  <c r="W196" i="12"/>
  <c r="V61" i="14"/>
  <c r="V58" i="14"/>
  <c r="V330" i="7"/>
  <c r="Y90" i="8"/>
  <c r="X106" i="8"/>
  <c r="Y106" i="8" s="1"/>
  <c r="Y444" i="11"/>
  <c r="Y441" i="11"/>
  <c r="Y432" i="11"/>
  <c r="V121" i="14"/>
  <c r="V124" i="14"/>
  <c r="Y185" i="7"/>
  <c r="X186" i="7"/>
  <c r="X189" i="7"/>
  <c r="Y201" i="12"/>
  <c r="Y186" i="7" l="1"/>
  <c r="Y189" i="7"/>
  <c r="R1246" i="24"/>
  <c r="W52" i="14"/>
  <c r="T274" i="22"/>
  <c r="T300" i="22" s="1"/>
  <c r="T292" i="22"/>
  <c r="R61" i="22"/>
  <c r="R95" i="22" s="1"/>
  <c r="R83" i="22"/>
  <c r="Y49" i="10"/>
  <c r="Y52" i="10"/>
  <c r="Y55" i="7"/>
  <c r="Y58" i="7"/>
  <c r="V15" i="14"/>
  <c r="V275" i="7"/>
  <c r="V266" i="11"/>
  <c r="P151" i="26"/>
  <c r="V291" i="11"/>
  <c r="W36" i="11"/>
  <c r="W33" i="11"/>
  <c r="W41" i="11"/>
  <c r="W350" i="7"/>
  <c r="W347" i="7"/>
  <c r="W232" i="11"/>
  <c r="W459" i="8"/>
  <c r="W456" i="8"/>
  <c r="W222" i="11"/>
  <c r="O123" i="26"/>
  <c r="U31" i="13"/>
  <c r="T35" i="13"/>
  <c r="U35" i="13" s="1"/>
  <c r="O112" i="26"/>
  <c r="U19" i="13"/>
  <c r="T34" i="13"/>
  <c r="U34" i="13" s="1"/>
  <c r="T8" i="13"/>
  <c r="T24" i="13"/>
  <c r="O111" i="26"/>
  <c r="U18" i="13"/>
  <c r="W255" i="8"/>
  <c r="R35" i="9"/>
  <c r="R1475" i="24"/>
  <c r="R135" i="26"/>
  <c r="Y366" i="11"/>
  <c r="R19" i="9"/>
  <c r="S1183" i="24"/>
  <c r="D1062" i="24"/>
  <c r="S1375" i="24"/>
  <c r="X525" i="11" s="1"/>
  <c r="S1200" i="24"/>
  <c r="S1202" i="24"/>
  <c r="X126" i="13"/>
  <c r="X132" i="13"/>
  <c r="Y132" i="13" s="1"/>
  <c r="Y116" i="13"/>
  <c r="X499" i="11"/>
  <c r="X28" i="12"/>
  <c r="X501" i="11"/>
  <c r="Y501" i="11" s="1"/>
  <c r="Y497" i="11"/>
  <c r="X61" i="12"/>
  <c r="Y61" i="12" s="1"/>
  <c r="Y53" i="12"/>
  <c r="X54" i="12"/>
  <c r="R1243" i="24"/>
  <c r="W55" i="14"/>
  <c r="W134" i="14"/>
  <c r="T271" i="22"/>
  <c r="T297" i="22" s="1"/>
  <c r="T295" i="22"/>
  <c r="W43" i="14"/>
  <c r="Y145" i="10"/>
  <c r="Y142" i="10"/>
  <c r="Y133" i="10"/>
  <c r="R224" i="26"/>
  <c r="Y458" i="11"/>
  <c r="Y455" i="11"/>
  <c r="A97" i="23"/>
  <c r="B97" i="23"/>
  <c r="V140" i="14"/>
  <c r="W58" i="12"/>
  <c r="W60" i="12"/>
  <c r="R1239" i="24"/>
  <c r="R1245" i="24"/>
  <c r="W51" i="14"/>
  <c r="T273" i="22"/>
  <c r="T291" i="22"/>
  <c r="T267" i="22"/>
  <c r="R50" i="22"/>
  <c r="R82" i="22"/>
  <c r="R60" i="22"/>
  <c r="W10" i="14"/>
  <c r="W97" i="14"/>
  <c r="Q84" i="26"/>
  <c r="R86" i="22"/>
  <c r="R54" i="22"/>
  <c r="W363" i="7"/>
  <c r="W357" i="7"/>
  <c r="W381" i="7"/>
  <c r="S492" i="22"/>
  <c r="S614" i="22"/>
  <c r="S495" i="22"/>
  <c r="S617" i="22"/>
  <c r="S465" i="22"/>
  <c r="S456" i="22"/>
  <c r="S468" i="22"/>
  <c r="Y54" i="8"/>
  <c r="X55" i="8"/>
  <c r="X58" i="8"/>
  <c r="X44" i="11"/>
  <c r="Y44" i="11" s="1"/>
  <c r="Y18" i="11"/>
  <c r="X22" i="11"/>
  <c r="V125" i="7"/>
  <c r="V273" i="11"/>
  <c r="P149" i="26"/>
  <c r="V284" i="11"/>
  <c r="W377" i="7"/>
  <c r="V138" i="14"/>
  <c r="V131" i="14"/>
  <c r="W199" i="7"/>
  <c r="W201" i="7"/>
  <c r="T12" i="5"/>
  <c r="U12" i="5" s="1"/>
  <c r="U22" i="16"/>
  <c r="V22" i="16" s="1"/>
  <c r="U24" i="3"/>
  <c r="W89" i="16"/>
  <c r="U81" i="16"/>
  <c r="U20" i="16" s="1"/>
  <c r="V79" i="16"/>
  <c r="V81" i="16"/>
  <c r="W14" i="7"/>
  <c r="W72" i="7"/>
  <c r="W76" i="7"/>
  <c r="W425" i="8"/>
  <c r="W219" i="11"/>
  <c r="W229" i="11"/>
  <c r="W428" i="8"/>
  <c r="Y185" i="12"/>
  <c r="Y182" i="12"/>
  <c r="O119" i="26"/>
  <c r="U27" i="13"/>
  <c r="T38" i="13"/>
  <c r="U38" i="13" s="1"/>
  <c r="O115" i="26"/>
  <c r="U22" i="13"/>
  <c r="T9" i="13"/>
  <c r="T32" i="13"/>
  <c r="U32" i="13" s="1"/>
  <c r="O118" i="26"/>
  <c r="U26" i="13"/>
  <c r="S507" i="22"/>
  <c r="S669" i="22" s="1"/>
  <c r="S629" i="22"/>
  <c r="W80" i="12"/>
  <c r="W77" i="12"/>
  <c r="W164" i="12"/>
  <c r="W167" i="12"/>
  <c r="R210" i="26"/>
  <c r="Y571" i="8"/>
  <c r="Y568" i="8"/>
  <c r="S904" i="22"/>
  <c r="S897" i="22"/>
  <c r="T202" i="22"/>
  <c r="T204" i="22"/>
  <c r="X16" i="12"/>
  <c r="Y16" i="12"/>
  <c r="X18" i="12"/>
  <c r="Y18" i="12"/>
  <c r="W135" i="14"/>
  <c r="T148" i="22"/>
  <c r="T174" i="22" s="1"/>
  <c r="T172" i="22"/>
  <c r="W101" i="14"/>
  <c r="Q87" i="26"/>
  <c r="W98" i="8"/>
  <c r="Y108" i="13"/>
  <c r="Y112" i="13"/>
  <c r="Y26" i="12"/>
  <c r="W528" i="11"/>
  <c r="W531" i="11"/>
  <c r="X79" i="12"/>
  <c r="X166" i="12"/>
  <c r="Y166" i="12" s="1"/>
  <c r="Y79" i="12"/>
  <c r="Y47" i="12"/>
  <c r="T711" i="22"/>
  <c r="T699" i="22"/>
  <c r="Y12" i="16" s="1"/>
  <c r="T708" i="22"/>
  <c r="Y212" i="11"/>
  <c r="Y173" i="11"/>
  <c r="Y209" i="11"/>
  <c r="Y200" i="11"/>
  <c r="B1138" i="24"/>
  <c r="T163" i="22"/>
  <c r="T157" i="22"/>
  <c r="R348" i="22"/>
  <c r="R354" i="22"/>
  <c r="S103" i="22"/>
  <c r="S109" i="22"/>
  <c r="S127" i="22"/>
  <c r="W89" i="14"/>
  <c r="W83" i="14"/>
  <c r="W114" i="14"/>
  <c r="W67" i="14" s="1"/>
  <c r="X17" i="3"/>
  <c r="X21" i="3"/>
  <c r="X11" i="6" s="1"/>
  <c r="X27" i="3"/>
  <c r="X12" i="6" s="1"/>
  <c r="X20" i="6"/>
  <c r="Y20" i="6" s="1"/>
  <c r="X10" i="6"/>
  <c r="X14" i="6"/>
  <c r="Y14" i="6" s="1"/>
  <c r="X15" i="6"/>
  <c r="Y15" i="6" s="1"/>
  <c r="X26" i="8"/>
  <c r="X139" i="8"/>
  <c r="X514" i="8"/>
  <c r="X308" i="11"/>
  <c r="F143" i="23"/>
  <c r="R103" i="26"/>
  <c r="X55" i="13"/>
  <c r="S1213" i="24"/>
  <c r="S1217" i="24"/>
  <c r="X52" i="13"/>
  <c r="X56" i="13"/>
  <c r="Y56" i="13" s="1"/>
  <c r="S1214" i="24"/>
  <c r="S1218" i="24"/>
  <c r="X28" i="14" s="1"/>
  <c r="X51" i="13"/>
  <c r="X31" i="6"/>
  <c r="Y31" i="6" s="1"/>
  <c r="Y17" i="3"/>
  <c r="Y10" i="6"/>
  <c r="Y308" i="11"/>
  <c r="Y139" i="8"/>
  <c r="Y27" i="3"/>
  <c r="Y21" i="3"/>
  <c r="Y6" i="3"/>
  <c r="Y12" i="6"/>
  <c r="Y26" i="8"/>
  <c r="Y11" i="6"/>
  <c r="Y514" i="8"/>
  <c r="R187" i="26"/>
  <c r="Y10" i="8"/>
  <c r="X11" i="8"/>
  <c r="S71" i="9"/>
  <c r="S1470" i="24"/>
  <c r="S1478" i="24" s="1"/>
  <c r="X215" i="12"/>
  <c r="X399" i="11"/>
  <c r="Y399" i="11" s="1"/>
  <c r="R127" i="26"/>
  <c r="Y391" i="11"/>
  <c r="X392" i="11"/>
  <c r="X243" i="8"/>
  <c r="Y243" i="8" s="1"/>
  <c r="Y235" i="8"/>
  <c r="X236" i="8"/>
  <c r="V125" i="8"/>
  <c r="V472" i="8"/>
  <c r="P199" i="26"/>
  <c r="V476" i="8"/>
  <c r="O203" i="26"/>
  <c r="U25" i="8"/>
  <c r="W198" i="12"/>
  <c r="W195" i="12"/>
  <c r="W90" i="14"/>
  <c r="W115" i="14"/>
  <c r="V500" i="8"/>
  <c r="P193" i="26"/>
  <c r="V448" i="8"/>
  <c r="V70" i="13"/>
  <c r="V104" i="8"/>
  <c r="V108" i="8"/>
  <c r="V93" i="8"/>
  <c r="D22" i="15"/>
  <c r="E8" i="15"/>
  <c r="V9" i="17"/>
  <c r="Q714" i="22"/>
  <c r="T151" i="22"/>
  <c r="T177" i="22" s="1"/>
  <c r="T169" i="22"/>
  <c r="W46" i="14"/>
  <c r="W364" i="7"/>
  <c r="W382" i="7"/>
  <c r="Y408" i="8"/>
  <c r="Y420" i="8"/>
  <c r="Y381" i="8"/>
  <c r="Y417" i="8"/>
  <c r="V77" i="14"/>
  <c r="V74" i="14"/>
  <c r="V122" i="7"/>
  <c r="V272" i="7"/>
  <c r="V256" i="11"/>
  <c r="V270" i="11"/>
  <c r="P148" i="26"/>
  <c r="V281" i="11"/>
  <c r="V93" i="7"/>
  <c r="V104" i="7"/>
  <c r="V108" i="7"/>
  <c r="V157" i="13"/>
  <c r="V161" i="13"/>
  <c r="B169" i="23"/>
  <c r="A169" i="23"/>
  <c r="W202" i="13"/>
  <c r="O122" i="26"/>
  <c r="U30" i="13"/>
  <c r="O120" i="26"/>
  <c r="U28" i="13"/>
  <c r="Y91" i="7"/>
  <c r="X12" i="3"/>
  <c r="Y12" i="3" s="1"/>
  <c r="X107" i="7"/>
  <c r="Y107" i="7" s="1"/>
  <c r="Y149" i="12"/>
  <c r="X150" i="12"/>
  <c r="X153" i="12"/>
  <c r="W72" i="14"/>
  <c r="P147" i="26"/>
  <c r="W253" i="8"/>
  <c r="W231" i="8"/>
  <c r="W228" i="8"/>
  <c r="W220" i="12"/>
  <c r="W222" i="12"/>
  <c r="W241" i="8"/>
  <c r="W244" i="8"/>
  <c r="R69" i="9"/>
  <c r="R72" i="9"/>
  <c r="S573" i="22"/>
  <c r="S576" i="22"/>
  <c r="S546" i="22"/>
  <c r="S537" i="22"/>
  <c r="S549" i="22"/>
  <c r="S1146" i="24"/>
  <c r="T189" i="22"/>
  <c r="T213" i="22"/>
  <c r="T191" i="22"/>
  <c r="T217" i="22" s="1"/>
  <c r="X125" i="13"/>
  <c r="X118" i="13"/>
  <c r="X131" i="13"/>
  <c r="Y131" i="13" s="1"/>
  <c r="Y115" i="13"/>
  <c r="X513" i="11"/>
  <c r="X42" i="12"/>
  <c r="X466" i="11"/>
  <c r="X323" i="11"/>
  <c r="X74" i="12" s="1"/>
  <c r="X368" i="11"/>
  <c r="R107" i="26"/>
  <c r="X515" i="11"/>
  <c r="Y323" i="11"/>
  <c r="Y511" i="11"/>
  <c r="Y523" i="11"/>
  <c r="W80" i="13"/>
  <c r="R77" i="22"/>
  <c r="R67" i="22"/>
  <c r="S131" i="22"/>
  <c r="S107" i="22"/>
  <c r="S133" i="22" s="1"/>
  <c r="W374" i="7"/>
  <c r="V139" i="14"/>
  <c r="X201" i="13"/>
  <c r="Y201" i="13" s="1"/>
  <c r="Y193" i="13"/>
  <c r="X194" i="13"/>
  <c r="X159" i="12"/>
  <c r="Y159" i="12" s="1"/>
  <c r="X72" i="12"/>
  <c r="Y40" i="12"/>
  <c r="Y72" i="12"/>
  <c r="V80" i="16"/>
  <c r="W90" i="16"/>
  <c r="V216" i="13"/>
  <c r="V219" i="13"/>
  <c r="Q139" i="26"/>
  <c r="R362" i="22"/>
  <c r="R368" i="22"/>
  <c r="T150" i="22"/>
  <c r="T176" i="22" s="1"/>
  <c r="T168" i="22"/>
  <c r="T144" i="22"/>
  <c r="R58" i="22"/>
  <c r="R90" i="22"/>
  <c r="W33" i="14"/>
  <c r="W30" i="14"/>
  <c r="W45" i="14"/>
  <c r="W39" i="14"/>
  <c r="X26" i="7"/>
  <c r="X139" i="7"/>
  <c r="X289" i="7"/>
  <c r="Y139" i="7"/>
  <c r="Y11" i="7"/>
  <c r="Y26" i="7"/>
  <c r="Y289" i="7"/>
  <c r="S500" i="22"/>
  <c r="S662" i="22" s="1"/>
  <c r="S622" i="22"/>
  <c r="S649" i="22"/>
  <c r="V16" i="7"/>
  <c r="W84" i="7"/>
  <c r="W84" i="8"/>
  <c r="W48" i="11"/>
  <c r="W207" i="12"/>
  <c r="W209" i="12"/>
  <c r="X386" i="11"/>
  <c r="Y386" i="11" s="1"/>
  <c r="X202" i="12"/>
  <c r="R212" i="26"/>
  <c r="Y378" i="11"/>
  <c r="X379" i="11"/>
  <c r="X248" i="8"/>
  <c r="Y248" i="8" s="1"/>
  <c r="X230" i="8"/>
  <c r="Y222" i="8"/>
  <c r="X223" i="8"/>
  <c r="P152" i="26"/>
  <c r="V294" i="11"/>
  <c r="X70" i="16"/>
  <c r="V331" i="7"/>
  <c r="V69" i="13"/>
  <c r="V16" i="8"/>
  <c r="S110" i="22"/>
  <c r="S136" i="22" s="1"/>
  <c r="S128" i="22"/>
  <c r="S422" i="22"/>
  <c r="S413" i="22"/>
  <c r="S1384" i="24" s="1"/>
  <c r="S425" i="22"/>
  <c r="V115" i="8"/>
  <c r="V441" i="8"/>
  <c r="V497" i="8"/>
  <c r="P192" i="26"/>
  <c r="V445" i="8"/>
  <c r="V13" i="3"/>
  <c r="W79" i="7"/>
  <c r="W68" i="8"/>
  <c r="W47" i="11"/>
  <c r="T39" i="13"/>
  <c r="U39" i="13" s="1"/>
  <c r="O116" i="26"/>
  <c r="U23" i="13"/>
  <c r="T36" i="13"/>
  <c r="U36" i="13" s="1"/>
  <c r="O113" i="26"/>
  <c r="U20" i="13"/>
  <c r="W66" i="16"/>
  <c r="W59" i="16"/>
  <c r="S656" i="22"/>
  <c r="Q131" i="26"/>
  <c r="W14" i="3"/>
  <c r="W400" i="11"/>
  <c r="W397" i="11"/>
  <c r="Y85" i="10"/>
  <c r="Y82" i="10"/>
  <c r="X197" i="12"/>
  <c r="Y197" i="12" s="1"/>
  <c r="Y189" i="12"/>
  <c r="X190" i="12"/>
  <c r="R32" i="9"/>
  <c r="R38" i="9" s="1"/>
  <c r="R1471" i="24"/>
  <c r="R1477" i="24"/>
  <c r="Y246" i="7"/>
  <c r="Y258" i="7"/>
  <c r="Y255" i="7"/>
  <c r="X127" i="13"/>
  <c r="X133" i="13"/>
  <c r="Y133" i="13" s="1"/>
  <c r="Y117" i="13"/>
  <c r="C1064" i="24"/>
  <c r="S1181" i="24"/>
  <c r="R73" i="26"/>
  <c r="X489" i="11"/>
  <c r="X486" i="11"/>
  <c r="Y489" i="11"/>
  <c r="Y486" i="11"/>
  <c r="O155" i="26"/>
  <c r="U16" i="3"/>
  <c r="W87" i="14"/>
  <c r="W118" i="14"/>
  <c r="W71" i="14"/>
  <c r="W361" i="7"/>
  <c r="W385" i="7"/>
  <c r="Y91" i="8"/>
  <c r="X107" i="8"/>
  <c r="Y107" i="8" s="1"/>
  <c r="V136" i="14"/>
  <c r="N140" i="26"/>
  <c r="T40" i="22"/>
  <c r="T43" i="22"/>
  <c r="T31" i="22"/>
  <c r="Y200" i="8"/>
  <c r="Y203" i="8"/>
  <c r="X213" i="8"/>
  <c r="X204" i="8"/>
  <c r="X216" i="8"/>
  <c r="F21" i="26"/>
  <c r="Y11" i="10"/>
  <c r="T286" i="22"/>
  <c r="T280" i="22"/>
  <c r="R376" i="22"/>
  <c r="R382" i="22"/>
  <c r="S116" i="22"/>
  <c r="S122" i="22"/>
  <c r="W376" i="7"/>
  <c r="W370" i="7"/>
  <c r="X335" i="7"/>
  <c r="Y18" i="6"/>
  <c r="X19" i="6"/>
  <c r="Y19" i="6" s="1"/>
  <c r="Q216" i="26"/>
  <c r="W387" i="11"/>
  <c r="W384" i="11"/>
  <c r="W170" i="13"/>
  <c r="W172" i="13"/>
  <c r="X349" i="7"/>
  <c r="Y349" i="7" s="1"/>
  <c r="Y341" i="7"/>
  <c r="X342" i="7"/>
  <c r="X194" i="7"/>
  <c r="X19" i="11"/>
  <c r="X43" i="11"/>
  <c r="Y43" i="11" s="1"/>
  <c r="Y17" i="11"/>
  <c r="X21" i="11"/>
  <c r="P200" i="26"/>
  <c r="V479" i="8"/>
  <c r="X527" i="11" l="1"/>
  <c r="X56" i="12"/>
  <c r="X529" i="11"/>
  <c r="Y529" i="11" s="1"/>
  <c r="Y525" i="11"/>
  <c r="X202" i="7"/>
  <c r="Y202" i="7" s="1"/>
  <c r="Y194" i="7"/>
  <c r="X195" i="7"/>
  <c r="S121" i="22"/>
  <c r="X65" i="16" s="1"/>
  <c r="S124" i="22"/>
  <c r="R1476" i="24"/>
  <c r="R1479" i="24"/>
  <c r="W87" i="7"/>
  <c r="W100" i="7"/>
  <c r="V185" i="13"/>
  <c r="Y342" i="7"/>
  <c r="W375" i="7"/>
  <c r="W378" i="7"/>
  <c r="Y127" i="13"/>
  <c r="X143" i="13"/>
  <c r="Y143" i="13" s="1"/>
  <c r="W71" i="8"/>
  <c r="W100" i="8"/>
  <c r="W73" i="8"/>
  <c r="V22" i="5"/>
  <c r="V71" i="13"/>
  <c r="W84" i="16"/>
  <c r="Q66" i="26"/>
  <c r="X249" i="8"/>
  <c r="Y249" i="8" s="1"/>
  <c r="Y223" i="8"/>
  <c r="R213" i="26"/>
  <c r="Y379" i="11"/>
  <c r="R92" i="22"/>
  <c r="W150" i="13"/>
  <c r="X44" i="12"/>
  <c r="X46" i="12"/>
  <c r="Y42" i="12"/>
  <c r="Y74" i="12"/>
  <c r="X124" i="13"/>
  <c r="X128" i="13"/>
  <c r="X134" i="13"/>
  <c r="Y134" i="13" s="1"/>
  <c r="Y118" i="13"/>
  <c r="T215" i="22"/>
  <c r="T190" i="22"/>
  <c r="T193" i="22"/>
  <c r="W224" i="12"/>
  <c r="W221" i="12"/>
  <c r="V301" i="11"/>
  <c r="V278" i="7"/>
  <c r="V132" i="7"/>
  <c r="V510" i="8"/>
  <c r="P201" i="26"/>
  <c r="V22" i="8"/>
  <c r="V128" i="8"/>
  <c r="R128" i="26"/>
  <c r="Y392" i="11"/>
  <c r="X223" i="12"/>
  <c r="Y223" i="12" s="1"/>
  <c r="Y215" i="12"/>
  <c r="X216" i="12"/>
  <c r="R188" i="26"/>
  <c r="Y11" i="8"/>
  <c r="X360" i="7"/>
  <c r="X373" i="7"/>
  <c r="Y373" i="7" s="1"/>
  <c r="Y100" i="14"/>
  <c r="T106" i="22"/>
  <c r="S66" i="22"/>
  <c r="S74" i="22"/>
  <c r="Y28" i="14"/>
  <c r="X42" i="14"/>
  <c r="Y42" i="14" s="1"/>
  <c r="X86" i="14"/>
  <c r="S70" i="22"/>
  <c r="T119" i="22"/>
  <c r="S379" i="22"/>
  <c r="S365" i="22"/>
  <c r="S351" i="22"/>
  <c r="R86" i="26"/>
  <c r="S1242" i="24"/>
  <c r="X56" i="14" s="1"/>
  <c r="X27" i="14"/>
  <c r="S1219" i="24"/>
  <c r="W490" i="8"/>
  <c r="Q190" i="26"/>
  <c r="X68" i="7"/>
  <c r="X79" i="8"/>
  <c r="Y22" i="11"/>
  <c r="X165" i="13"/>
  <c r="S469" i="22"/>
  <c r="S505" i="22"/>
  <c r="S627" i="22"/>
  <c r="S496" i="22"/>
  <c r="S508" i="22"/>
  <c r="S618" i="22"/>
  <c r="S630" i="22"/>
  <c r="W383" i="7"/>
  <c r="W365" i="7"/>
  <c r="W362" i="7"/>
  <c r="T299" i="22"/>
  <c r="X30" i="12"/>
  <c r="X32" i="12"/>
  <c r="Y32" i="12" s="1"/>
  <c r="Y28" i="12"/>
  <c r="Y126" i="13"/>
  <c r="X142" i="13"/>
  <c r="Y142" i="13" s="1"/>
  <c r="T19" i="3"/>
  <c r="T47" i="13"/>
  <c r="U47" i="13" s="1"/>
  <c r="T10" i="13"/>
  <c r="U10" i="13" s="1"/>
  <c r="O117" i="26"/>
  <c r="U8" i="13"/>
  <c r="W115" i="7"/>
  <c r="W242" i="11"/>
  <c r="Q142" i="26"/>
  <c r="W46" i="11"/>
  <c r="W37" i="11"/>
  <c r="W49" i="11"/>
  <c r="Q132" i="26"/>
  <c r="V507" i="8"/>
  <c r="S1148" i="24"/>
  <c r="S1160" i="24"/>
  <c r="S1150" i="24"/>
  <c r="W245" i="8"/>
  <c r="W257" i="8"/>
  <c r="W254" i="8"/>
  <c r="Y150" i="12"/>
  <c r="Y153" i="12"/>
  <c r="D25" i="3"/>
  <c r="E22" i="15"/>
  <c r="W123" i="14"/>
  <c r="Y236" i="8"/>
  <c r="X24" i="14"/>
  <c r="S1222" i="24"/>
  <c r="X23" i="14"/>
  <c r="S1215" i="24"/>
  <c r="S1221" i="24"/>
  <c r="W75" i="14"/>
  <c r="W79" i="13"/>
  <c r="R356" i="22"/>
  <c r="R353" i="22"/>
  <c r="T203" i="22"/>
  <c r="T206" i="22"/>
  <c r="W265" i="7"/>
  <c r="W235" i="11"/>
  <c r="Q144" i="26"/>
  <c r="V304" i="11"/>
  <c r="Y58" i="8"/>
  <c r="Y55" i="8"/>
  <c r="S654" i="22"/>
  <c r="S657" i="22"/>
  <c r="W389" i="7"/>
  <c r="R62" i="22"/>
  <c r="R84" i="22"/>
  <c r="W148" i="13"/>
  <c r="R59" i="22"/>
  <c r="W59" i="14"/>
  <c r="W209" i="13"/>
  <c r="W53" i="14"/>
  <c r="W213" i="13"/>
  <c r="W57" i="14"/>
  <c r="Y499" i="11"/>
  <c r="X500" i="11"/>
  <c r="X503" i="11"/>
  <c r="W122" i="8"/>
  <c r="W462" i="8"/>
  <c r="Q196" i="26"/>
  <c r="V297" i="11"/>
  <c r="X63" i="7"/>
  <c r="X63" i="8"/>
  <c r="Y21" i="11"/>
  <c r="W14" i="14"/>
  <c r="W73" i="14"/>
  <c r="X25" i="6"/>
  <c r="Y25" i="6"/>
  <c r="S21" i="21"/>
  <c r="S1287" i="24"/>
  <c r="R74" i="26"/>
  <c r="S1286" i="24"/>
  <c r="D1064" i="24"/>
  <c r="S1182" i="24"/>
  <c r="S1185" i="24"/>
  <c r="S1284" i="24"/>
  <c r="S1288" i="24"/>
  <c r="S1285" i="24"/>
  <c r="X69" i="16"/>
  <c r="W61" i="16"/>
  <c r="W82" i="7"/>
  <c r="W89" i="7"/>
  <c r="W95" i="7"/>
  <c r="V503" i="8"/>
  <c r="V451" i="8"/>
  <c r="T149" i="22"/>
  <c r="T152" i="22"/>
  <c r="T170" i="22"/>
  <c r="R367" i="22"/>
  <c r="R370" i="22"/>
  <c r="Y194" i="13"/>
  <c r="X370" i="11"/>
  <c r="X192" i="12"/>
  <c r="R136" i="26"/>
  <c r="X372" i="11"/>
  <c r="Y372" i="11" s="1"/>
  <c r="Y368" i="11"/>
  <c r="X325" i="11"/>
  <c r="X468" i="11"/>
  <c r="Y468" i="11" s="1"/>
  <c r="R109" i="26"/>
  <c r="Y325" i="11"/>
  <c r="Y513" i="11"/>
  <c r="X517" i="11"/>
  <c r="X514" i="11"/>
  <c r="Y125" i="13"/>
  <c r="X141" i="13"/>
  <c r="Y141" i="13" s="1"/>
  <c r="X45" i="11"/>
  <c r="Y45" i="11" s="1"/>
  <c r="Y19" i="11"/>
  <c r="X23" i="11"/>
  <c r="X20" i="11"/>
  <c r="Y335" i="7"/>
  <c r="X336" i="7"/>
  <c r="Y336" i="7" s="1"/>
  <c r="R381" i="22"/>
  <c r="R384" i="22"/>
  <c r="Y204" i="8"/>
  <c r="Y216" i="8"/>
  <c r="Y213" i="8"/>
  <c r="W120" i="14"/>
  <c r="Y190" i="12"/>
  <c r="V21" i="5"/>
  <c r="V135" i="8"/>
  <c r="P194" i="26"/>
  <c r="V19" i="8"/>
  <c r="V118" i="8"/>
  <c r="X256" i="8"/>
  <c r="Y256" i="8" s="1"/>
  <c r="Y230" i="8"/>
  <c r="W87" i="8"/>
  <c r="W89" i="8"/>
  <c r="V276" i="11"/>
  <c r="V287" i="11"/>
  <c r="W390" i="7"/>
  <c r="X57" i="13"/>
  <c r="Y57" i="13" s="1"/>
  <c r="Y55" i="13"/>
  <c r="W116" i="14"/>
  <c r="W122" i="14"/>
  <c r="S135" i="22"/>
  <c r="T162" i="22"/>
  <c r="T165" i="22"/>
  <c r="S7" i="21"/>
  <c r="S9" i="21" s="1"/>
  <c r="S902" i="22"/>
  <c r="S905" i="22"/>
  <c r="W112" i="7"/>
  <c r="W262" i="7"/>
  <c r="W239" i="11"/>
  <c r="W225" i="11"/>
  <c r="Q141" i="26"/>
  <c r="U12" i="4"/>
  <c r="V20" i="16"/>
  <c r="W203" i="7"/>
  <c r="W200" i="7"/>
  <c r="W149" i="13"/>
  <c r="R88" i="22"/>
  <c r="W102" i="14"/>
  <c r="W105" i="14"/>
  <c r="R1303" i="24"/>
  <c r="R1302" i="24"/>
  <c r="R1304" i="24"/>
  <c r="R1305" i="24"/>
  <c r="R1301" i="24"/>
  <c r="Q88" i="26"/>
  <c r="T272" i="22"/>
  <c r="T275" i="22"/>
  <c r="T293" i="22"/>
  <c r="W59" i="12"/>
  <c r="W62" i="12"/>
  <c r="S1201" i="24"/>
  <c r="S1204" i="24"/>
  <c r="Q197" i="26"/>
  <c r="V176" i="13"/>
  <c r="W60" i="14"/>
  <c r="W210" i="13"/>
  <c r="Q217" i="26"/>
  <c r="T285" i="22"/>
  <c r="T288" i="22"/>
  <c r="W387" i="7"/>
  <c r="X210" i="12"/>
  <c r="Y210" i="12" s="1"/>
  <c r="Y202" i="12"/>
  <c r="X203" i="12"/>
  <c r="W208" i="12"/>
  <c r="W211" i="12"/>
  <c r="W47" i="14"/>
  <c r="W44" i="14"/>
  <c r="W153" i="13"/>
  <c r="R79" i="22"/>
  <c r="R76" i="22"/>
  <c r="X470" i="11"/>
  <c r="Y470" i="11" s="1"/>
  <c r="X327" i="11"/>
  <c r="Y515" i="11"/>
  <c r="Y327" i="11"/>
  <c r="X225" i="8"/>
  <c r="X238" i="8"/>
  <c r="X26" i="11"/>
  <c r="X27" i="11"/>
  <c r="X381" i="11"/>
  <c r="X394" i="11"/>
  <c r="X161" i="12"/>
  <c r="Y161" i="12" s="1"/>
  <c r="X344" i="7"/>
  <c r="S62" i="9"/>
  <c r="S66" i="9"/>
  <c r="Y466" i="11"/>
  <c r="X168" i="13"/>
  <c r="S577" i="22"/>
  <c r="S589" i="22"/>
  <c r="S550" i="22"/>
  <c r="S586" i="22"/>
  <c r="V128" i="7"/>
  <c r="V22" i="7"/>
  <c r="P150" i="26"/>
  <c r="V282" i="7"/>
  <c r="D25" i="15"/>
  <c r="W85" i="16"/>
  <c r="Q67" i="26"/>
  <c r="W68" i="14"/>
  <c r="V482" i="8"/>
  <c r="X59" i="13"/>
  <c r="Y59" i="13" s="1"/>
  <c r="X53" i="13"/>
  <c r="Y51" i="13"/>
  <c r="X60" i="13"/>
  <c r="Y60" i="13" s="1"/>
  <c r="Y52" i="13"/>
  <c r="W91" i="14"/>
  <c r="W88" i="14"/>
  <c r="S108" i="22"/>
  <c r="S111" i="22"/>
  <c r="S129" i="22"/>
  <c r="Y9" i="4"/>
  <c r="X19" i="5"/>
  <c r="Z12" i="16"/>
  <c r="X10" i="15"/>
  <c r="X20" i="12"/>
  <c r="X17" i="12"/>
  <c r="Y20" i="12"/>
  <c r="Y17" i="12"/>
  <c r="O124" i="26"/>
  <c r="U9" i="13"/>
  <c r="W112" i="8"/>
  <c r="W431" i="8"/>
  <c r="W487" i="8"/>
  <c r="Q189" i="26"/>
  <c r="W91" i="16"/>
  <c r="V137" i="14"/>
  <c r="V141" i="14"/>
  <c r="V135" i="7"/>
  <c r="R94" i="22"/>
  <c r="R1247" i="24"/>
  <c r="R1244" i="24"/>
  <c r="Y54" i="12"/>
  <c r="S1377" i="24"/>
  <c r="S1379" i="24"/>
  <c r="T40" i="13"/>
  <c r="T33" i="13"/>
  <c r="U24" i="13"/>
  <c r="Q145" i="26"/>
  <c r="P153" i="26"/>
  <c r="V285" i="7"/>
  <c r="S78" i="22" l="1"/>
  <c r="V24" i="3"/>
  <c r="W493" i="8"/>
  <c r="Y10" i="15"/>
  <c r="W80" i="16"/>
  <c r="S1378" i="24"/>
  <c r="S1381" i="24"/>
  <c r="W132" i="8"/>
  <c r="Q191" i="26"/>
  <c r="X61" i="13"/>
  <c r="X58" i="13"/>
  <c r="Y53" i="13"/>
  <c r="W76" i="14"/>
  <c r="S64" i="9"/>
  <c r="S70" i="9"/>
  <c r="S17" i="9"/>
  <c r="S1469" i="24"/>
  <c r="X383" i="11"/>
  <c r="X205" i="12"/>
  <c r="R214" i="26"/>
  <c r="X385" i="11"/>
  <c r="Y385" i="11" s="1"/>
  <c r="Y381" i="11"/>
  <c r="X227" i="8"/>
  <c r="X251" i="8"/>
  <c r="Y251" i="8" s="1"/>
  <c r="X229" i="8"/>
  <c r="Y225" i="8"/>
  <c r="W16" i="17"/>
  <c r="W10" i="17"/>
  <c r="R715" i="22" s="1"/>
  <c r="T289" i="22"/>
  <c r="T298" i="22"/>
  <c r="T301" i="22"/>
  <c r="W21" i="16"/>
  <c r="V24" i="5"/>
  <c r="R138" i="26"/>
  <c r="Y370" i="11"/>
  <c r="X374" i="11"/>
  <c r="X371" i="11"/>
  <c r="X66" i="8"/>
  <c r="X95" i="8"/>
  <c r="Y95" i="8" s="1"/>
  <c r="Y63" i="8"/>
  <c r="Q198" i="26"/>
  <c r="R96" i="22"/>
  <c r="R93" i="22"/>
  <c r="R80" i="22"/>
  <c r="Q146" i="26"/>
  <c r="W13" i="14"/>
  <c r="X355" i="7"/>
  <c r="X368" i="7"/>
  <c r="X8" i="14"/>
  <c r="X31" i="14"/>
  <c r="Y8" i="14"/>
  <c r="Y23" i="14"/>
  <c r="Y31" i="14"/>
  <c r="X37" i="14"/>
  <c r="X81" i="14"/>
  <c r="S52" i="22"/>
  <c r="T114" i="22"/>
  <c r="X25" i="14"/>
  <c r="Y25" i="14"/>
  <c r="Y95" i="14"/>
  <c r="S48" i="22"/>
  <c r="S56" i="22"/>
  <c r="S360" i="22"/>
  <c r="S346" i="22"/>
  <c r="T101" i="22"/>
  <c r="S374" i="22"/>
  <c r="R82" i="26"/>
  <c r="S1237" i="24"/>
  <c r="X214" i="13"/>
  <c r="Y214" i="13" s="1"/>
  <c r="Y56" i="14"/>
  <c r="T132" i="22"/>
  <c r="Y128" i="13"/>
  <c r="Y124" i="13"/>
  <c r="X144" i="13"/>
  <c r="X129" i="13"/>
  <c r="X140" i="13"/>
  <c r="X76" i="12"/>
  <c r="X163" i="12"/>
  <c r="Y163" i="12" s="1"/>
  <c r="Y76" i="12"/>
  <c r="Y44" i="12"/>
  <c r="X48" i="12"/>
  <c r="X45" i="12"/>
  <c r="W86" i="16"/>
  <c r="W103" i="8"/>
  <c r="W72" i="8"/>
  <c r="W76" i="8"/>
  <c r="W14" i="8"/>
  <c r="W263" i="11"/>
  <c r="W469" i="8"/>
  <c r="W253" i="11"/>
  <c r="W466" i="8"/>
  <c r="W103" i="7"/>
  <c r="X58" i="12"/>
  <c r="X60" i="12"/>
  <c r="Y60" i="12" s="1"/>
  <c r="Y56" i="12"/>
  <c r="W124" i="14"/>
  <c r="W121" i="14"/>
  <c r="V307" i="11"/>
  <c r="W92" i="8"/>
  <c r="W15" i="8"/>
  <c r="W88" i="8"/>
  <c r="V138" i="8"/>
  <c r="X329" i="11"/>
  <c r="X469" i="11"/>
  <c r="X326" i="11"/>
  <c r="X472" i="11"/>
  <c r="R110" i="26"/>
  <c r="Y329" i="11"/>
  <c r="Y517" i="11"/>
  <c r="Y514" i="11"/>
  <c r="Y326" i="11"/>
  <c r="V513" i="8"/>
  <c r="X71" i="16"/>
  <c r="X73" i="7"/>
  <c r="X66" i="7"/>
  <c r="Y63" i="7"/>
  <c r="W58" i="14"/>
  <c r="W61" i="14"/>
  <c r="W158" i="13"/>
  <c r="W151" i="13"/>
  <c r="W128" i="14"/>
  <c r="W81" i="13"/>
  <c r="W69" i="14"/>
  <c r="X196" i="13"/>
  <c r="S1162" i="24"/>
  <c r="S1164" i="24"/>
  <c r="D1169" i="24" s="1"/>
  <c r="W379" i="7"/>
  <c r="W391" i="7"/>
  <c r="W388" i="7"/>
  <c r="W329" i="7"/>
  <c r="W105" i="8"/>
  <c r="X528" i="11"/>
  <c r="Y527" i="11"/>
  <c r="X531" i="11"/>
  <c r="U40" i="13"/>
  <c r="U33" i="13"/>
  <c r="Y19" i="5"/>
  <c r="S134" i="22"/>
  <c r="S137" i="22"/>
  <c r="X64" i="16"/>
  <c r="X59" i="16" s="1"/>
  <c r="S125" i="22"/>
  <c r="E25" i="15"/>
  <c r="E1427" i="24"/>
  <c r="X169" i="13"/>
  <c r="Y168" i="13"/>
  <c r="X346" i="7"/>
  <c r="X348" i="7"/>
  <c r="Y348" i="7" s="1"/>
  <c r="Y344" i="7"/>
  <c r="X35" i="11"/>
  <c r="X40" i="11"/>
  <c r="Y40" i="11" s="1"/>
  <c r="Y27" i="11"/>
  <c r="W19" i="7"/>
  <c r="W118" i="7"/>
  <c r="Q143" i="26"/>
  <c r="Z9" i="4"/>
  <c r="S158" i="26"/>
  <c r="P154" i="26"/>
  <c r="V16" i="3"/>
  <c r="V25" i="7"/>
  <c r="X197" i="7"/>
  <c r="X34" i="11"/>
  <c r="X28" i="11"/>
  <c r="X39" i="11"/>
  <c r="Y39" i="11" s="1"/>
  <c r="Y26" i="11"/>
  <c r="Y203" i="12"/>
  <c r="W218" i="13"/>
  <c r="W129" i="14"/>
  <c r="W159" i="13"/>
  <c r="W268" i="7"/>
  <c r="V25" i="8"/>
  <c r="P195" i="26"/>
  <c r="T166" i="22"/>
  <c r="T178" i="22"/>
  <c r="T175" i="22"/>
  <c r="W105" i="7"/>
  <c r="W10" i="3"/>
  <c r="Y503" i="11"/>
  <c r="Y500" i="11"/>
  <c r="W215" i="13"/>
  <c r="W211" i="13"/>
  <c r="W217" i="13"/>
  <c r="X356" i="7"/>
  <c r="X369" i="7"/>
  <c r="Y96" i="14"/>
  <c r="S53" i="22"/>
  <c r="S87" i="22" s="1"/>
  <c r="T115" i="22"/>
  <c r="T123" i="22" s="1"/>
  <c r="X32" i="14"/>
  <c r="T102" i="22"/>
  <c r="Y24" i="14"/>
  <c r="Y32" i="14"/>
  <c r="X38" i="14"/>
  <c r="X82" i="14"/>
  <c r="S347" i="22"/>
  <c r="S355" i="22" s="1"/>
  <c r="S57" i="22"/>
  <c r="S91" i="22" s="1"/>
  <c r="S375" i="22"/>
  <c r="S383" i="22" s="1"/>
  <c r="S49" i="22"/>
  <c r="S361" i="22"/>
  <c r="S369" i="22" s="1"/>
  <c r="R83" i="26"/>
  <c r="S1238" i="24"/>
  <c r="C1138" i="24"/>
  <c r="S1149" i="24"/>
  <c r="S1152" i="24"/>
  <c r="O125" i="26"/>
  <c r="U19" i="3"/>
  <c r="T20" i="3"/>
  <c r="S631" i="22"/>
  <c r="S667" i="22"/>
  <c r="S658" i="22"/>
  <c r="S670" i="22"/>
  <c r="S590" i="22"/>
  <c r="X82" i="8"/>
  <c r="Y79" i="8"/>
  <c r="Y216" i="12"/>
  <c r="V26" i="13"/>
  <c r="V27" i="13"/>
  <c r="V20" i="13"/>
  <c r="V31" i="13"/>
  <c r="V23" i="13"/>
  <c r="V22" i="13"/>
  <c r="V28" i="13"/>
  <c r="V30" i="13"/>
  <c r="V19" i="13"/>
  <c r="V18" i="13"/>
  <c r="W330" i="7"/>
  <c r="W79" i="16"/>
  <c r="V138" i="7"/>
  <c r="S18" i="9"/>
  <c r="S68" i="9"/>
  <c r="S1473" i="24"/>
  <c r="X396" i="11"/>
  <c r="X218" i="12"/>
  <c r="R129" i="26"/>
  <c r="X398" i="11"/>
  <c r="Y398" i="11" s="1"/>
  <c r="Y394" i="11"/>
  <c r="X240" i="8"/>
  <c r="X242" i="8"/>
  <c r="Y242" i="8" s="1"/>
  <c r="Y238" i="8"/>
  <c r="W133" i="14"/>
  <c r="W156" i="13"/>
  <c r="V12" i="4"/>
  <c r="P161" i="26"/>
  <c r="W245" i="11"/>
  <c r="Y23" i="11"/>
  <c r="Y20" i="11"/>
  <c r="X194" i="12"/>
  <c r="X196" i="12"/>
  <c r="Y196" i="12" s="1"/>
  <c r="Y192" i="12"/>
  <c r="W15" i="7"/>
  <c r="W88" i="7"/>
  <c r="W92" i="7"/>
  <c r="W250" i="11"/>
  <c r="W438" i="8"/>
  <c r="W260" i="11"/>
  <c r="W435" i="8"/>
  <c r="W98" i="7"/>
  <c r="S1220" i="24"/>
  <c r="S1223" i="24"/>
  <c r="D23" i="15"/>
  <c r="E23" i="15" s="1"/>
  <c r="D177" i="13"/>
  <c r="E25" i="3"/>
  <c r="D26" i="3"/>
  <c r="Y30" i="12"/>
  <c r="X34" i="12"/>
  <c r="X31" i="12"/>
  <c r="X166" i="13"/>
  <c r="X171" i="13"/>
  <c r="Y171" i="13" s="1"/>
  <c r="Y165" i="13"/>
  <c r="X71" i="7"/>
  <c r="Y68" i="7"/>
  <c r="X359" i="7"/>
  <c r="X372" i="7"/>
  <c r="S69" i="22"/>
  <c r="S71" i="22" s="1"/>
  <c r="X154" i="13" s="1"/>
  <c r="T118" i="22"/>
  <c r="T120" i="22" s="1"/>
  <c r="X9" i="14"/>
  <c r="Y27" i="14"/>
  <c r="X41" i="14"/>
  <c r="X85" i="14"/>
  <c r="T105" i="22"/>
  <c r="Y9" i="14"/>
  <c r="X29" i="14"/>
  <c r="Y29" i="14"/>
  <c r="Y99" i="14"/>
  <c r="S73" i="22"/>
  <c r="S75" i="22" s="1"/>
  <c r="X155" i="13" s="1"/>
  <c r="S65" i="22"/>
  <c r="S378" i="22"/>
  <c r="S380" i="22" s="1"/>
  <c r="S364" i="22"/>
  <c r="S366" i="22" s="1"/>
  <c r="S350" i="22"/>
  <c r="S352" i="22" s="1"/>
  <c r="R85" i="26"/>
  <c r="S1241" i="24"/>
  <c r="X119" i="14"/>
  <c r="Y119" i="14" s="1"/>
  <c r="Y86" i="14"/>
  <c r="X386" i="7"/>
  <c r="Y386" i="7" s="1"/>
  <c r="Y360" i="7"/>
  <c r="P202" i="26"/>
  <c r="V288" i="7"/>
  <c r="V175" i="13"/>
  <c r="T207" i="22"/>
  <c r="T219" i="22"/>
  <c r="T216" i="22"/>
  <c r="X78" i="12"/>
  <c r="X165" i="12"/>
  <c r="Y165" i="12" s="1"/>
  <c r="Y46" i="12"/>
  <c r="Y78" i="12"/>
  <c r="W130" i="14"/>
  <c r="W160" i="13"/>
  <c r="Y195" i="7"/>
  <c r="X60" i="16"/>
  <c r="T107" i="22" l="1"/>
  <c r="T133" i="22" s="1"/>
  <c r="T131" i="22"/>
  <c r="X361" i="7"/>
  <c r="X385" i="7"/>
  <c r="Y385" i="7" s="1"/>
  <c r="Y359" i="7"/>
  <c r="W275" i="7"/>
  <c r="W266" i="11"/>
  <c r="Q151" i="26"/>
  <c r="W291" i="11"/>
  <c r="W93" i="7"/>
  <c r="W104" i="7"/>
  <c r="W108" i="7"/>
  <c r="W70" i="13"/>
  <c r="V35" i="13"/>
  <c r="P112" i="26"/>
  <c r="V39" i="13"/>
  <c r="P116" i="26"/>
  <c r="V9" i="13"/>
  <c r="V32" i="13"/>
  <c r="P118" i="26"/>
  <c r="Y82" i="8"/>
  <c r="S61" i="22"/>
  <c r="S95" i="22" s="1"/>
  <c r="S83" i="22"/>
  <c r="X115" i="14"/>
  <c r="X68" i="14" s="1"/>
  <c r="X90" i="14"/>
  <c r="Y90" i="14" s="1"/>
  <c r="Y82" i="14"/>
  <c r="T110" i="22"/>
  <c r="T136" i="22" s="1"/>
  <c r="T128" i="22"/>
  <c r="X61" i="16"/>
  <c r="Y69" i="16"/>
  <c r="X33" i="11"/>
  <c r="X36" i="11"/>
  <c r="X41" i="11"/>
  <c r="Y41" i="11" s="1"/>
  <c r="Y28" i="11"/>
  <c r="P155" i="26"/>
  <c r="X66" i="16"/>
  <c r="S1163" i="24"/>
  <c r="D1171" i="24" s="1"/>
  <c r="S1166" i="24"/>
  <c r="C1171" i="24"/>
  <c r="W138" i="14"/>
  <c r="W131" i="14"/>
  <c r="Y472" i="11"/>
  <c r="Y469" i="11"/>
  <c r="W125" i="8"/>
  <c r="W472" i="8"/>
  <c r="Q199" i="26"/>
  <c r="W476" i="8"/>
  <c r="W16" i="8"/>
  <c r="S1239" i="24"/>
  <c r="S1245" i="24"/>
  <c r="D1231" i="24" s="1"/>
  <c r="X51" i="14"/>
  <c r="S348" i="22"/>
  <c r="S354" i="22"/>
  <c r="S86" i="22"/>
  <c r="S54" i="22"/>
  <c r="X370" i="7"/>
  <c r="X376" i="7"/>
  <c r="Y376" i="7" s="1"/>
  <c r="Y368" i="7"/>
  <c r="R139" i="26"/>
  <c r="Y374" i="11"/>
  <c r="Y371" i="11"/>
  <c r="S19" i="9"/>
  <c r="S1243" i="24"/>
  <c r="C1233" i="24" s="1"/>
  <c r="X55" i="14"/>
  <c r="X220" i="12"/>
  <c r="X222" i="12"/>
  <c r="Y222" i="12" s="1"/>
  <c r="Y218" i="12"/>
  <c r="W81" i="16"/>
  <c r="W20" i="16" s="1"/>
  <c r="W12" i="4" s="1"/>
  <c r="Q161" i="26" s="1"/>
  <c r="X89" i="16"/>
  <c r="P122" i="26"/>
  <c r="P123" i="26"/>
  <c r="S1246" i="24"/>
  <c r="D1232" i="24" s="1"/>
  <c r="X52" i="14"/>
  <c r="X46" i="14"/>
  <c r="Y46" i="14" s="1"/>
  <c r="Y38" i="14"/>
  <c r="Y104" i="14"/>
  <c r="X104" i="14"/>
  <c r="D1208" i="24"/>
  <c r="X377" i="7"/>
  <c r="Y377" i="7" s="1"/>
  <c r="Y369" i="7"/>
  <c r="P203" i="26"/>
  <c r="X79" i="7"/>
  <c r="X68" i="8"/>
  <c r="Y34" i="11"/>
  <c r="X47" i="11"/>
  <c r="Y47" i="11" s="1"/>
  <c r="Y346" i="7"/>
  <c r="X350" i="7"/>
  <c r="X347" i="7"/>
  <c r="W331" i="7"/>
  <c r="W69" i="13"/>
  <c r="X198" i="13"/>
  <c r="X200" i="13"/>
  <c r="Y200" i="13" s="1"/>
  <c r="Y196" i="13"/>
  <c r="W157" i="13"/>
  <c r="W161" i="13"/>
  <c r="X14" i="7"/>
  <c r="X72" i="7"/>
  <c r="X76" i="7"/>
  <c r="X219" i="11"/>
  <c r="X425" i="8"/>
  <c r="X428" i="8"/>
  <c r="X229" i="11"/>
  <c r="Y66" i="7"/>
  <c r="X62" i="12"/>
  <c r="Y58" i="12"/>
  <c r="X59" i="12"/>
  <c r="W125" i="7"/>
  <c r="W273" i="11"/>
  <c r="Q149" i="26"/>
  <c r="W284" i="11"/>
  <c r="S362" i="22"/>
  <c r="S368" i="22"/>
  <c r="X89" i="14"/>
  <c r="Y89" i="14" s="1"/>
  <c r="X83" i="14"/>
  <c r="X114" i="14"/>
  <c r="X67" i="14" s="1"/>
  <c r="Y81" i="14"/>
  <c r="X363" i="7"/>
  <c r="X357" i="7"/>
  <c r="X381" i="7"/>
  <c r="Y381" i="7" s="1"/>
  <c r="Y355" i="7"/>
  <c r="X253" i="8"/>
  <c r="Y253" i="8" s="1"/>
  <c r="Y227" i="8"/>
  <c r="X228" i="8"/>
  <c r="X231" i="8"/>
  <c r="X207" i="12"/>
  <c r="X209" i="12"/>
  <c r="Y209" i="12" s="1"/>
  <c r="Y205" i="12"/>
  <c r="X90" i="16"/>
  <c r="W140" i="14"/>
  <c r="X101" i="14"/>
  <c r="Y101" i="14"/>
  <c r="C1209" i="24"/>
  <c r="R87" i="26"/>
  <c r="X456" i="8"/>
  <c r="X222" i="11"/>
  <c r="X459" i="8"/>
  <c r="X232" i="11"/>
  <c r="Y71" i="7"/>
  <c r="X87" i="14"/>
  <c r="Y87" i="14" s="1"/>
  <c r="X118" i="14"/>
  <c r="Y85" i="14"/>
  <c r="Y34" i="12"/>
  <c r="Y31" i="12"/>
  <c r="E17" i="17"/>
  <c r="E11" i="17"/>
  <c r="D178" i="13"/>
  <c r="F17" i="17"/>
  <c r="E177" i="13"/>
  <c r="W500" i="8"/>
  <c r="Q193" i="26"/>
  <c r="W448" i="8"/>
  <c r="W13" i="3"/>
  <c r="Y194" i="12"/>
  <c r="X195" i="12"/>
  <c r="X198" i="12"/>
  <c r="Y240" i="8"/>
  <c r="X244" i="8"/>
  <c r="X241" i="8"/>
  <c r="W15" i="17"/>
  <c r="W9" i="17"/>
  <c r="S67" i="22"/>
  <c r="S77" i="22"/>
  <c r="X43" i="14"/>
  <c r="Y43" i="14" s="1"/>
  <c r="Y41" i="14"/>
  <c r="X134" i="14"/>
  <c r="Y134" i="14" s="1"/>
  <c r="Y154" i="13"/>
  <c r="W122" i="7"/>
  <c r="W272" i="7"/>
  <c r="W270" i="11"/>
  <c r="W256" i="11"/>
  <c r="Q148" i="26"/>
  <c r="W281" i="11"/>
  <c r="W136" i="14"/>
  <c r="R131" i="26"/>
  <c r="Y396" i="11"/>
  <c r="X400" i="11"/>
  <c r="X14" i="3"/>
  <c r="X397" i="11"/>
  <c r="P120" i="26"/>
  <c r="V36" i="13"/>
  <c r="P113" i="26"/>
  <c r="X382" i="7"/>
  <c r="Y382" i="7" s="1"/>
  <c r="X364" i="7"/>
  <c r="Y356" i="7"/>
  <c r="W219" i="13"/>
  <c r="W216" i="13"/>
  <c r="W16" i="7"/>
  <c r="X199" i="7"/>
  <c r="X201" i="7"/>
  <c r="Y201" i="7" s="1"/>
  <c r="Y197" i="7"/>
  <c r="X84" i="7"/>
  <c r="X84" i="8"/>
  <c r="Y35" i="11"/>
  <c r="X48" i="11"/>
  <c r="Y48" i="11" s="1"/>
  <c r="Y73" i="7"/>
  <c r="Q200" i="26"/>
  <c r="W479" i="8"/>
  <c r="W104" i="8"/>
  <c r="W108" i="8"/>
  <c r="W93" i="8"/>
  <c r="Y129" i="13"/>
  <c r="Y140" i="13"/>
  <c r="Y144" i="13"/>
  <c r="S376" i="22"/>
  <c r="S382" i="22"/>
  <c r="S58" i="22"/>
  <c r="S90" i="22"/>
  <c r="Y30" i="14"/>
  <c r="X33" i="14"/>
  <c r="X30" i="14"/>
  <c r="Y33" i="14"/>
  <c r="X45" i="14"/>
  <c r="Y45" i="14" s="1"/>
  <c r="X39" i="14"/>
  <c r="Y37" i="14"/>
  <c r="X103" i="14"/>
  <c r="Y103" i="14"/>
  <c r="D1207" i="24"/>
  <c r="W15" i="14"/>
  <c r="R216" i="26"/>
  <c r="Y383" i="11"/>
  <c r="X387" i="11"/>
  <c r="X384" i="11"/>
  <c r="S69" i="9"/>
  <c r="S72" i="9"/>
  <c r="Y58" i="13"/>
  <c r="Y61" i="13"/>
  <c r="V12" i="5"/>
  <c r="W22" i="16"/>
  <c r="Y70" i="16"/>
  <c r="Z70" i="16" s="1"/>
  <c r="X72" i="14"/>
  <c r="Y72" i="14" s="1"/>
  <c r="X80" i="13"/>
  <c r="X135" i="14"/>
  <c r="Y135" i="14" s="1"/>
  <c r="Y155" i="13"/>
  <c r="X374" i="7"/>
  <c r="Y374" i="7" s="1"/>
  <c r="Y372" i="7"/>
  <c r="X170" i="13"/>
  <c r="X172" i="13"/>
  <c r="Y166" i="13"/>
  <c r="D9" i="5"/>
  <c r="C156" i="26"/>
  <c r="D27" i="3"/>
  <c r="D12" i="6" s="1"/>
  <c r="E26" i="3"/>
  <c r="E27" i="3"/>
  <c r="E12" i="6"/>
  <c r="E1435" i="24"/>
  <c r="W115" i="8"/>
  <c r="W441" i="8"/>
  <c r="W497" i="8"/>
  <c r="Q192" i="26"/>
  <c r="W445" i="8"/>
  <c r="S35" i="9"/>
  <c r="S1475" i="24"/>
  <c r="V24" i="13"/>
  <c r="V34" i="13"/>
  <c r="V8" i="13"/>
  <c r="P111" i="26"/>
  <c r="V38" i="13"/>
  <c r="P115" i="26"/>
  <c r="P119" i="26"/>
  <c r="O140" i="26"/>
  <c r="U20" i="3"/>
  <c r="D1138" i="24"/>
  <c r="W139" i="14"/>
  <c r="Q147" i="26"/>
  <c r="Y169" i="13"/>
  <c r="Y528" i="11"/>
  <c r="Y531" i="11"/>
  <c r="W77" i="14"/>
  <c r="W74" i="14"/>
  <c r="Q152" i="26"/>
  <c r="W294" i="11"/>
  <c r="X164" i="12"/>
  <c r="X77" i="12"/>
  <c r="X80" i="12"/>
  <c r="X167" i="12"/>
  <c r="Y48" i="12"/>
  <c r="Y77" i="12"/>
  <c r="Y80" i="12"/>
  <c r="Y45" i="12"/>
  <c r="D1136" i="24"/>
  <c r="T109" i="22"/>
  <c r="T127" i="22"/>
  <c r="T103" i="22"/>
  <c r="S50" i="22"/>
  <c r="S60" i="22"/>
  <c r="S94" i="22" s="1"/>
  <c r="S82" i="22"/>
  <c r="T116" i="22"/>
  <c r="T122" i="22"/>
  <c r="X97" i="14"/>
  <c r="Y97" i="14"/>
  <c r="X10" i="14"/>
  <c r="Y10" i="14"/>
  <c r="B1209" i="24"/>
  <c r="R84" i="26"/>
  <c r="X98" i="8"/>
  <c r="Y98" i="8" s="1"/>
  <c r="Y66" i="8"/>
  <c r="X255" i="8"/>
  <c r="Y255" i="8" s="1"/>
  <c r="Y229" i="8"/>
  <c r="S32" i="9"/>
  <c r="S38" i="9" s="1"/>
  <c r="S1471" i="24"/>
  <c r="S1477" i="24"/>
  <c r="X13" i="14" l="1"/>
  <c r="X69" i="14"/>
  <c r="Y67" i="14"/>
  <c r="T135" i="22"/>
  <c r="V40" i="13"/>
  <c r="V33" i="13"/>
  <c r="W135" i="8"/>
  <c r="Q194" i="26"/>
  <c r="W118" i="8"/>
  <c r="W19" i="8"/>
  <c r="R217" i="26"/>
  <c r="Y384" i="11"/>
  <c r="Y387" i="11"/>
  <c r="S381" i="22"/>
  <c r="S384" i="22"/>
  <c r="X87" i="8"/>
  <c r="Y84" i="8"/>
  <c r="X89" i="8"/>
  <c r="Y89" i="8" s="1"/>
  <c r="W276" i="11"/>
  <c r="W287" i="11"/>
  <c r="F11" i="17"/>
  <c r="E716" i="22"/>
  <c r="E717" i="22" s="1"/>
  <c r="F12" i="17"/>
  <c r="E12" i="17"/>
  <c r="X122" i="8"/>
  <c r="X462" i="8"/>
  <c r="R196" i="26"/>
  <c r="Y456" i="8"/>
  <c r="Y207" i="12"/>
  <c r="X211" i="12"/>
  <c r="X208" i="12"/>
  <c r="X362" i="7"/>
  <c r="X383" i="7"/>
  <c r="Y383" i="7" s="1"/>
  <c r="X365" i="7"/>
  <c r="Y357" i="7"/>
  <c r="X88" i="14"/>
  <c r="X91" i="14"/>
  <c r="Y83" i="14"/>
  <c r="S370" i="22"/>
  <c r="S367" i="22"/>
  <c r="X265" i="7"/>
  <c r="X235" i="11"/>
  <c r="R144" i="26"/>
  <c r="Y229" i="11"/>
  <c r="W22" i="5"/>
  <c r="X84" i="16"/>
  <c r="W71" i="13"/>
  <c r="R66" i="26"/>
  <c r="X378" i="7"/>
  <c r="X375" i="7"/>
  <c r="Y370" i="7"/>
  <c r="X79" i="13"/>
  <c r="S353" i="22"/>
  <c r="S356" i="22"/>
  <c r="W137" i="14"/>
  <c r="W141" i="14"/>
  <c r="Y36" i="11"/>
  <c r="Y33" i="11"/>
  <c r="X46" i="11"/>
  <c r="X37" i="11"/>
  <c r="X49" i="11"/>
  <c r="P124" i="26"/>
  <c r="X85" i="16"/>
  <c r="R67" i="26"/>
  <c r="V19" i="3"/>
  <c r="V10" i="13"/>
  <c r="V47" i="13"/>
  <c r="P117" i="26"/>
  <c r="X87" i="7"/>
  <c r="Y84" i="7"/>
  <c r="X100" i="7"/>
  <c r="Y100" i="7" s="1"/>
  <c r="W301" i="11"/>
  <c r="S79" i="22"/>
  <c r="X153" i="13"/>
  <c r="S76" i="22"/>
  <c r="Y198" i="12"/>
  <c r="Y195" i="12"/>
  <c r="W510" i="8"/>
  <c r="X120" i="14"/>
  <c r="Y120" i="14" s="1"/>
  <c r="Y118" i="14"/>
  <c r="R145" i="26"/>
  <c r="Y232" i="11"/>
  <c r="X389" i="7"/>
  <c r="Y389" i="7" s="1"/>
  <c r="Y363" i="7"/>
  <c r="W304" i="11"/>
  <c r="X490" i="8"/>
  <c r="Y490" i="8" s="1"/>
  <c r="R190" i="26"/>
  <c r="Y428" i="8"/>
  <c r="X71" i="8"/>
  <c r="X100" i="8"/>
  <c r="Y100" i="8" s="1"/>
  <c r="Y68" i="8"/>
  <c r="X73" i="8"/>
  <c r="X91" i="16"/>
  <c r="X57" i="14"/>
  <c r="Y57" i="14" s="1"/>
  <c r="X213" i="13"/>
  <c r="Y55" i="14"/>
  <c r="X149" i="13"/>
  <c r="S88" i="22"/>
  <c r="X53" i="14"/>
  <c r="X59" i="14"/>
  <c r="Y59" i="14" s="1"/>
  <c r="X209" i="13"/>
  <c r="Y51" i="14"/>
  <c r="W21" i="5"/>
  <c r="Y71" i="16"/>
  <c r="Z69" i="16"/>
  <c r="X76" i="14"/>
  <c r="Y76" i="14" s="1"/>
  <c r="Y68" i="14"/>
  <c r="W297" i="11"/>
  <c r="X387" i="7"/>
  <c r="Y387" i="7" s="1"/>
  <c r="Y361" i="7"/>
  <c r="Y172" i="13"/>
  <c r="Y170" i="13"/>
  <c r="X105" i="14"/>
  <c r="X102" i="14"/>
  <c r="Y105" i="14"/>
  <c r="Y102" i="14"/>
  <c r="S1304" i="24"/>
  <c r="R88" i="26"/>
  <c r="S1303" i="24"/>
  <c r="D1209" i="24"/>
  <c r="S1301" i="24"/>
  <c r="S1305" i="24"/>
  <c r="S1302" i="24"/>
  <c r="E9" i="5"/>
  <c r="W176" i="13"/>
  <c r="S92" i="22"/>
  <c r="X150" i="13"/>
  <c r="Y199" i="7"/>
  <c r="X200" i="7"/>
  <c r="X203" i="7"/>
  <c r="X390" i="7"/>
  <c r="Y390" i="7" s="1"/>
  <c r="Y364" i="7"/>
  <c r="Y400" i="11"/>
  <c r="Y397" i="11"/>
  <c r="W128" i="7"/>
  <c r="W22" i="7"/>
  <c r="Q150" i="26"/>
  <c r="W282" i="7"/>
  <c r="R714" i="22"/>
  <c r="R197" i="26"/>
  <c r="Y459" i="8"/>
  <c r="X254" i="8"/>
  <c r="X245" i="8"/>
  <c r="X257" i="8"/>
  <c r="Y231" i="8"/>
  <c r="Y228" i="8"/>
  <c r="W135" i="7"/>
  <c r="X112" i="8"/>
  <c r="X431" i="8"/>
  <c r="X487" i="8"/>
  <c r="Y487" i="8" s="1"/>
  <c r="R189" i="26"/>
  <c r="Y425" i="8"/>
  <c r="Y76" i="7"/>
  <c r="Y72" i="7"/>
  <c r="W175" i="13"/>
  <c r="Y198" i="13"/>
  <c r="X202" i="13"/>
  <c r="X199" i="13"/>
  <c r="X89" i="7"/>
  <c r="X82" i="7"/>
  <c r="Y79" i="7"/>
  <c r="X95" i="7"/>
  <c r="Y95" i="7" s="1"/>
  <c r="X79" i="16"/>
  <c r="Y220" i="12"/>
  <c r="X221" i="12"/>
  <c r="X224" i="12"/>
  <c r="W482" i="8"/>
  <c r="X123" i="14"/>
  <c r="Y123" i="14" s="1"/>
  <c r="Y115" i="14"/>
  <c r="Q153" i="26"/>
  <c r="W285" i="7"/>
  <c r="X148" i="13"/>
  <c r="S59" i="22"/>
  <c r="S62" i="22"/>
  <c r="S84" i="22"/>
  <c r="Y167" i="12"/>
  <c r="Y164" i="12"/>
  <c r="E28" i="4"/>
  <c r="S1479" i="24"/>
  <c r="S1476" i="24"/>
  <c r="T121" i="22"/>
  <c r="Y65" i="16" s="1"/>
  <c r="T124" i="22"/>
  <c r="T108" i="22"/>
  <c r="T111" i="22"/>
  <c r="T129" i="22"/>
  <c r="W507" i="8"/>
  <c r="W503" i="8"/>
  <c r="W451" i="8"/>
  <c r="Y80" i="13"/>
  <c r="X44" i="14"/>
  <c r="X47" i="14"/>
  <c r="Y39" i="14"/>
  <c r="W185" i="13"/>
  <c r="R132" i="26"/>
  <c r="Y14" i="3"/>
  <c r="W278" i="7"/>
  <c r="W132" i="7"/>
  <c r="Y244" i="8"/>
  <c r="Y241" i="8"/>
  <c r="E18" i="17"/>
  <c r="E178" i="13"/>
  <c r="F18" i="17"/>
  <c r="X71" i="14"/>
  <c r="X115" i="7"/>
  <c r="X242" i="11"/>
  <c r="R142" i="26"/>
  <c r="Y222" i="11"/>
  <c r="X116" i="14"/>
  <c r="X122" i="14"/>
  <c r="Y122" i="14" s="1"/>
  <c r="Y114" i="14"/>
  <c r="Y62" i="12"/>
  <c r="Y59" i="12"/>
  <c r="X112" i="7"/>
  <c r="X262" i="7"/>
  <c r="X225" i="11"/>
  <c r="X239" i="11"/>
  <c r="R141" i="26"/>
  <c r="Y219" i="11"/>
  <c r="Y14" i="7"/>
  <c r="Y350" i="7"/>
  <c r="Y347" i="7"/>
  <c r="X210" i="13"/>
  <c r="X60" i="14"/>
  <c r="Y60" i="14" s="1"/>
  <c r="Y52" i="14"/>
  <c r="S1247" i="24"/>
  <c r="S1244" i="24"/>
  <c r="D1233" i="24" s="1"/>
  <c r="B1233" i="24"/>
  <c r="Q201" i="26"/>
  <c r="W128" i="8"/>
  <c r="W22" i="8"/>
  <c r="D1251" i="24" l="1"/>
  <c r="Y242" i="11"/>
  <c r="F28" i="4"/>
  <c r="F8" i="18"/>
  <c r="E8" i="18"/>
  <c r="D171" i="26"/>
  <c r="F29" i="4"/>
  <c r="E29" i="4"/>
  <c r="X88" i="7"/>
  <c r="X92" i="7"/>
  <c r="X15" i="7"/>
  <c r="X250" i="11"/>
  <c r="X438" i="8"/>
  <c r="X260" i="11"/>
  <c r="X435" i="8"/>
  <c r="Y82" i="7"/>
  <c r="X98" i="7"/>
  <c r="Y98" i="7" s="1"/>
  <c r="X493" i="8"/>
  <c r="Y493" i="8" s="1"/>
  <c r="Y431" i="8"/>
  <c r="W138" i="7"/>
  <c r="Z71" i="16"/>
  <c r="C1252" i="24"/>
  <c r="D1250" i="24"/>
  <c r="X80" i="16"/>
  <c r="Y46" i="11"/>
  <c r="Y37" i="11"/>
  <c r="Y49" i="11"/>
  <c r="X86" i="16"/>
  <c r="Y208" i="12"/>
  <c r="Y211" i="12"/>
  <c r="R198" i="26"/>
  <c r="Y122" i="8"/>
  <c r="W307" i="11"/>
  <c r="Y87" i="8"/>
  <c r="X88" i="8"/>
  <c r="X92" i="8"/>
  <c r="X15" i="8"/>
  <c r="Y15" i="8" s="1"/>
  <c r="X245" i="11"/>
  <c r="Y225" i="11"/>
  <c r="Y64" i="16"/>
  <c r="T125" i="22"/>
  <c r="T134" i="22"/>
  <c r="T137" i="22"/>
  <c r="S93" i="22"/>
  <c r="S96" i="22"/>
  <c r="S80" i="22"/>
  <c r="X81" i="16"/>
  <c r="X20" i="16" s="1"/>
  <c r="X12" i="4" s="1"/>
  <c r="R161" i="26" s="1"/>
  <c r="Y89" i="16"/>
  <c r="Y89" i="7"/>
  <c r="X10" i="3"/>
  <c r="Y10" i="3" s="1"/>
  <c r="X105" i="7"/>
  <c r="Y254" i="8"/>
  <c r="Y245" i="8"/>
  <c r="Y257" i="8"/>
  <c r="X16" i="17"/>
  <c r="X10" i="17"/>
  <c r="S715" i="22" s="1"/>
  <c r="X211" i="13"/>
  <c r="X217" i="13"/>
  <c r="Y217" i="13" s="1"/>
  <c r="Y209" i="13"/>
  <c r="X129" i="14"/>
  <c r="X159" i="13"/>
  <c r="Y159" i="13" s="1"/>
  <c r="Y149" i="13"/>
  <c r="P125" i="26"/>
  <c r="V20" i="3"/>
  <c r="X81" i="13"/>
  <c r="Y81" i="13" s="1"/>
  <c r="Y79" i="13"/>
  <c r="Y235" i="11"/>
  <c r="E17" i="4"/>
  <c r="D10" i="5"/>
  <c r="Y69" i="14"/>
  <c r="Q202" i="26"/>
  <c r="X19" i="7"/>
  <c r="X118" i="7"/>
  <c r="R143" i="26"/>
  <c r="Y262" i="7"/>
  <c r="Y115" i="7"/>
  <c r="X218" i="13"/>
  <c r="Y218" i="13" s="1"/>
  <c r="Y210" i="13"/>
  <c r="Y239" i="11"/>
  <c r="X268" i="7"/>
  <c r="Y112" i="7"/>
  <c r="X14" i="14"/>
  <c r="X73" i="14"/>
  <c r="Y73" i="14" s="1"/>
  <c r="Y71" i="14"/>
  <c r="Y47" i="14"/>
  <c r="Y44" i="14"/>
  <c r="W513" i="8"/>
  <c r="X128" i="14"/>
  <c r="X158" i="13"/>
  <c r="Y158" i="13" s="1"/>
  <c r="X151" i="13"/>
  <c r="Y148" i="13"/>
  <c r="Y202" i="13"/>
  <c r="Y199" i="13"/>
  <c r="X132" i="8"/>
  <c r="Y132" i="8" s="1"/>
  <c r="R191" i="26"/>
  <c r="Y112" i="8"/>
  <c r="X160" i="13"/>
  <c r="Y160" i="13" s="1"/>
  <c r="X130" i="14"/>
  <c r="Y150" i="13"/>
  <c r="X21" i="16"/>
  <c r="W24" i="5"/>
  <c r="W24" i="3"/>
  <c r="X103" i="8"/>
  <c r="Y103" i="8" s="1"/>
  <c r="Y71" i="8"/>
  <c r="X72" i="8"/>
  <c r="X14" i="8"/>
  <c r="X76" i="8"/>
  <c r="R146" i="26"/>
  <c r="Y265" i="7"/>
  <c r="W25" i="8"/>
  <c r="Q195" i="26"/>
  <c r="X75" i="14"/>
  <c r="Y75" i="14" s="1"/>
  <c r="X124" i="14"/>
  <c r="X121" i="14"/>
  <c r="Y116" i="14"/>
  <c r="W288" i="7"/>
  <c r="Z65" i="16"/>
  <c r="Y60" i="16"/>
  <c r="Z60" i="16" s="1"/>
  <c r="Y221" i="12"/>
  <c r="Y224" i="12"/>
  <c r="X15" i="17"/>
  <c r="X9" i="17"/>
  <c r="Q154" i="26"/>
  <c r="W25" i="7"/>
  <c r="W16" i="3"/>
  <c r="Y203" i="7"/>
  <c r="Y200" i="7"/>
  <c r="X61" i="14"/>
  <c r="X58" i="14"/>
  <c r="Y53" i="14"/>
  <c r="X215" i="13"/>
  <c r="Y215" i="13" s="1"/>
  <c r="Y213" i="13"/>
  <c r="X105" i="8"/>
  <c r="Y105" i="8" s="1"/>
  <c r="Y73" i="8"/>
  <c r="X156" i="13"/>
  <c r="X133" i="14"/>
  <c r="Y153" i="13"/>
  <c r="X469" i="8"/>
  <c r="X263" i="11"/>
  <c r="X466" i="8"/>
  <c r="X253" i="11"/>
  <c r="Y87" i="7"/>
  <c r="X103" i="7"/>
  <c r="Y103" i="7" s="1"/>
  <c r="Y378" i="7"/>
  <c r="Y375" i="7"/>
  <c r="X330" i="7"/>
  <c r="W22" i="13"/>
  <c r="W26" i="13"/>
  <c r="W27" i="13"/>
  <c r="W30" i="13"/>
  <c r="W19" i="13"/>
  <c r="W28" i="13"/>
  <c r="W23" i="13"/>
  <c r="W31" i="13"/>
  <c r="W18" i="13"/>
  <c r="W20" i="13"/>
  <c r="Y88" i="14"/>
  <c r="Y91" i="14"/>
  <c r="X379" i="7"/>
  <c r="X391" i="7"/>
  <c r="X388" i="7"/>
  <c r="X329" i="7"/>
  <c r="Y365" i="7"/>
  <c r="Y362" i="7"/>
  <c r="Y462" i="8"/>
  <c r="W138" i="8"/>
  <c r="B1252" i="24"/>
  <c r="X15" i="14"/>
  <c r="Y13" i="14"/>
  <c r="X331" i="7" l="1"/>
  <c r="Y331" i="7" s="1"/>
  <c r="X69" i="13"/>
  <c r="Y329" i="7"/>
  <c r="W38" i="13"/>
  <c r="Q115" i="26"/>
  <c r="Q119" i="26"/>
  <c r="X70" i="13"/>
  <c r="Y330" i="7"/>
  <c r="R200" i="26"/>
  <c r="Y469" i="8"/>
  <c r="X479" i="8"/>
  <c r="Y479" i="8" s="1"/>
  <c r="X16" i="8"/>
  <c r="Y16" i="8" s="1"/>
  <c r="Y14" i="8"/>
  <c r="W12" i="5"/>
  <c r="X22" i="16"/>
  <c r="W36" i="13"/>
  <c r="Q113" i="26"/>
  <c r="Q120" i="26"/>
  <c r="W9" i="13"/>
  <c r="W32" i="13"/>
  <c r="Q118" i="26"/>
  <c r="X125" i="7"/>
  <c r="X273" i="11"/>
  <c r="R149" i="26"/>
  <c r="Y253" i="11"/>
  <c r="X284" i="11"/>
  <c r="Y284" i="11" s="1"/>
  <c r="S714" i="22"/>
  <c r="Y124" i="14"/>
  <c r="Y121" i="14"/>
  <c r="X93" i="8"/>
  <c r="X104" i="8"/>
  <c r="X108" i="8"/>
  <c r="Y72" i="8"/>
  <c r="Y76" i="8"/>
  <c r="X138" i="14"/>
  <c r="Y138" i="14" s="1"/>
  <c r="X131" i="14"/>
  <c r="Y128" i="14"/>
  <c r="Y14" i="14"/>
  <c r="X77" i="14"/>
  <c r="X275" i="7"/>
  <c r="X266" i="11"/>
  <c r="R151" i="26"/>
  <c r="Y260" i="11"/>
  <c r="X291" i="11"/>
  <c r="Y291" i="11" s="1"/>
  <c r="X176" i="13"/>
  <c r="Y15" i="14"/>
  <c r="Y379" i="7"/>
  <c r="Y388" i="7"/>
  <c r="Y391" i="7"/>
  <c r="W8" i="13"/>
  <c r="W24" i="13"/>
  <c r="W34" i="13"/>
  <c r="Q111" i="26"/>
  <c r="W35" i="13"/>
  <c r="Q112" i="26"/>
  <c r="X125" i="8"/>
  <c r="X472" i="8"/>
  <c r="R199" i="26"/>
  <c r="Y466" i="8"/>
  <c r="X476" i="8"/>
  <c r="Y476" i="8" s="1"/>
  <c r="X136" i="14"/>
  <c r="Y136" i="14" s="1"/>
  <c r="Y133" i="14"/>
  <c r="Y61" i="14"/>
  <c r="Y58" i="14"/>
  <c r="Q155" i="26"/>
  <c r="E10" i="5"/>
  <c r="E1367" i="24"/>
  <c r="P140" i="26"/>
  <c r="Z89" i="16"/>
  <c r="X500" i="8"/>
  <c r="Y500" i="8" s="1"/>
  <c r="R193" i="26"/>
  <c r="Y438" i="8"/>
  <c r="X448" i="8"/>
  <c r="Y88" i="7"/>
  <c r="Y92" i="7"/>
  <c r="X104" i="7"/>
  <c r="X108" i="7"/>
  <c r="X93" i="7"/>
  <c r="F9" i="18"/>
  <c r="E9" i="18"/>
  <c r="Q123" i="26"/>
  <c r="Y156" i="13"/>
  <c r="Q203" i="26"/>
  <c r="X140" i="14"/>
  <c r="Y140" i="14" s="1"/>
  <c r="Y130" i="14"/>
  <c r="X157" i="13"/>
  <c r="X161" i="13"/>
  <c r="Y151" i="13"/>
  <c r="Y268" i="7"/>
  <c r="Y118" i="7"/>
  <c r="F17" i="4"/>
  <c r="D163" i="26"/>
  <c r="X219" i="13"/>
  <c r="X216" i="13"/>
  <c r="Y211" i="13"/>
  <c r="X16" i="7"/>
  <c r="Y16" i="7" s="1"/>
  <c r="Y105" i="7"/>
  <c r="Y66" i="16"/>
  <c r="Z64" i="16"/>
  <c r="Y59" i="16"/>
  <c r="Y245" i="11"/>
  <c r="Y90" i="16"/>
  <c r="Z90" i="16" s="1"/>
  <c r="D1252" i="24"/>
  <c r="X122" i="7"/>
  <c r="X272" i="7"/>
  <c r="X270" i="11"/>
  <c r="X256" i="11"/>
  <c r="R148" i="26"/>
  <c r="Y250" i="11"/>
  <c r="X281" i="11"/>
  <c r="Y281" i="11" s="1"/>
  <c r="D172" i="26"/>
  <c r="Q122" i="26"/>
  <c r="R152" i="26"/>
  <c r="Y263" i="11"/>
  <c r="X294" i="11"/>
  <c r="Y294" i="11" s="1"/>
  <c r="W39" i="13"/>
  <c r="Q116" i="26"/>
  <c r="R147" i="26"/>
  <c r="Y19" i="7"/>
  <c r="X74" i="14"/>
  <c r="X139" i="14"/>
  <c r="Y139" i="14" s="1"/>
  <c r="Y129" i="14"/>
  <c r="Y88" i="8"/>
  <c r="Y92" i="8"/>
  <c r="X115" i="8"/>
  <c r="X441" i="8"/>
  <c r="X497" i="8"/>
  <c r="Y497" i="8" s="1"/>
  <c r="R192" i="26"/>
  <c r="Y435" i="8"/>
  <c r="X445" i="8"/>
  <c r="Y15" i="7"/>
  <c r="X13" i="3"/>
  <c r="Y13" i="3" s="1"/>
  <c r="X507" i="8" l="1"/>
  <c r="Y507" i="8" s="1"/>
  <c r="Y445" i="8"/>
  <c r="X22" i="7"/>
  <c r="X128" i="7"/>
  <c r="R150" i="26"/>
  <c r="Y272" i="7"/>
  <c r="X282" i="7"/>
  <c r="Y282" i="7" s="1"/>
  <c r="Y61" i="16"/>
  <c r="Z59" i="16"/>
  <c r="Z61" i="16"/>
  <c r="Y74" i="14"/>
  <c r="Y77" i="14"/>
  <c r="X278" i="7"/>
  <c r="Y122" i="7"/>
  <c r="X132" i="7"/>
  <c r="Y132" i="7" s="1"/>
  <c r="Y157" i="13"/>
  <c r="Y161" i="13"/>
  <c r="Y91" i="16"/>
  <c r="R201" i="26"/>
  <c r="Y125" i="8"/>
  <c r="X22" i="8"/>
  <c r="X128" i="8"/>
  <c r="Y128" i="8" s="1"/>
  <c r="W19" i="3"/>
  <c r="W47" i="13"/>
  <c r="W10" i="13"/>
  <c r="Q117" i="26"/>
  <c r="X137" i="14"/>
  <c r="X141" i="14"/>
  <c r="Y131" i="14"/>
  <c r="X503" i="8"/>
  <c r="Y503" i="8" s="1"/>
  <c r="Y441" i="8"/>
  <c r="X451" i="8"/>
  <c r="X276" i="11"/>
  <c r="Y256" i="11"/>
  <c r="X287" i="11"/>
  <c r="Y287" i="11" s="1"/>
  <c r="X21" i="5"/>
  <c r="Z66" i="16"/>
  <c r="Y108" i="7"/>
  <c r="Y93" i="7"/>
  <c r="Y104" i="7"/>
  <c r="X22" i="5"/>
  <c r="Y22" i="5" s="1"/>
  <c r="X71" i="13"/>
  <c r="Y84" i="16"/>
  <c r="S66" i="26"/>
  <c r="Y69" i="13"/>
  <c r="X135" i="8"/>
  <c r="Y135" i="8" s="1"/>
  <c r="R194" i="26"/>
  <c r="Y115" i="8"/>
  <c r="X118" i="8"/>
  <c r="X19" i="8"/>
  <c r="Y270" i="11"/>
  <c r="X301" i="11"/>
  <c r="Y301" i="11" s="1"/>
  <c r="Y219" i="13"/>
  <c r="Y216" i="13"/>
  <c r="X185" i="13"/>
  <c r="Y185" i="13" s="1"/>
  <c r="X510" i="8"/>
  <c r="Y510" i="8" s="1"/>
  <c r="Y448" i="8"/>
  <c r="I414" i="2"/>
  <c r="Y16" i="17"/>
  <c r="Y10" i="17"/>
  <c r="Z10" i="17" s="1"/>
  <c r="Y176" i="13"/>
  <c r="Z16" i="17"/>
  <c r="Y266" i="11"/>
  <c r="X297" i="11"/>
  <c r="Y297" i="11" s="1"/>
  <c r="Y104" i="8"/>
  <c r="Y108" i="8"/>
  <c r="Y93" i="8"/>
  <c r="Y273" i="11"/>
  <c r="X304" i="11"/>
  <c r="Y304" i="11" s="1"/>
  <c r="Y85" i="16"/>
  <c r="Z85" i="16" s="1"/>
  <c r="S67" i="26"/>
  <c r="Y70" i="13"/>
  <c r="Y472" i="8"/>
  <c r="X482" i="8"/>
  <c r="Y482" i="8" s="1"/>
  <c r="W40" i="13"/>
  <c r="W33" i="13"/>
  <c r="R153" i="26"/>
  <c r="Y275" i="7"/>
  <c r="X285" i="7"/>
  <c r="Y285" i="7" s="1"/>
  <c r="Y125" i="7"/>
  <c r="X135" i="7"/>
  <c r="Y135" i="7" s="1"/>
  <c r="Q124" i="26"/>
  <c r="D11" i="5" l="1"/>
  <c r="E18" i="4"/>
  <c r="E20" i="17"/>
  <c r="F20" i="17"/>
  <c r="R126" i="27"/>
  <c r="Y86" i="16"/>
  <c r="Z86" i="16" s="1"/>
  <c r="Z84" i="16"/>
  <c r="Y79" i="16"/>
  <c r="Y21" i="16"/>
  <c r="Z21" i="16" s="1"/>
  <c r="X24" i="5"/>
  <c r="Y24" i="5" s="1"/>
  <c r="Y21" i="5"/>
  <c r="Q125" i="26"/>
  <c r="W20" i="3"/>
  <c r="X175" i="13"/>
  <c r="Y128" i="7"/>
  <c r="X138" i="7"/>
  <c r="Y138" i="7" s="1"/>
  <c r="D26" i="5"/>
  <c r="X25" i="8"/>
  <c r="R195" i="26"/>
  <c r="Y19" i="8"/>
  <c r="Y71" i="13"/>
  <c r="X18" i="13"/>
  <c r="X22" i="13"/>
  <c r="X28" i="13"/>
  <c r="X26" i="13"/>
  <c r="X20" i="13"/>
  <c r="X31" i="13"/>
  <c r="X19" i="13"/>
  <c r="X27" i="13"/>
  <c r="X30" i="13"/>
  <c r="X23" i="13"/>
  <c r="X513" i="8"/>
  <c r="Y513" i="8" s="1"/>
  <c r="Y451" i="8"/>
  <c r="X24" i="3"/>
  <c r="Z91" i="16"/>
  <c r="R154" i="26"/>
  <c r="Y22" i="7"/>
  <c r="X16" i="3"/>
  <c r="X25" i="7"/>
  <c r="Y25" i="7" s="1"/>
  <c r="Y80" i="16"/>
  <c r="Z80" i="16" s="1"/>
  <c r="X138" i="8"/>
  <c r="Y138" i="8" s="1"/>
  <c r="Y118" i="8"/>
  <c r="R202" i="26"/>
  <c r="Y22" i="8"/>
  <c r="Y276" i="11"/>
  <c r="X307" i="11"/>
  <c r="Y307" i="11" s="1"/>
  <c r="Y141" i="14"/>
  <c r="Y137" i="14"/>
  <c r="Y278" i="7"/>
  <c r="X288" i="7"/>
  <c r="Y288" i="7" s="1"/>
  <c r="R119" i="26" l="1"/>
  <c r="Y27" i="13"/>
  <c r="X9" i="13"/>
  <c r="X32" i="13"/>
  <c r="Y32" i="13" s="1"/>
  <c r="R118" i="26"/>
  <c r="Y26" i="13"/>
  <c r="E8" i="4"/>
  <c r="E26" i="5"/>
  <c r="D28" i="5"/>
  <c r="F6" i="5"/>
  <c r="E9" i="16"/>
  <c r="F9" i="16"/>
  <c r="Y15" i="17"/>
  <c r="Y9" i="17"/>
  <c r="Z15" i="17"/>
  <c r="Y175" i="13"/>
  <c r="X35" i="13"/>
  <c r="Y35" i="13" s="1"/>
  <c r="R112" i="26"/>
  <c r="Y19" i="13"/>
  <c r="R120" i="26"/>
  <c r="Y28" i="13"/>
  <c r="Q140" i="26"/>
  <c r="X39" i="13"/>
  <c r="Y39" i="13" s="1"/>
  <c r="R116" i="26"/>
  <c r="Y23" i="13"/>
  <c r="R123" i="26"/>
  <c r="Y31" i="13"/>
  <c r="X38" i="13"/>
  <c r="Y38" i="13" s="1"/>
  <c r="R115" i="26"/>
  <c r="Y22" i="13"/>
  <c r="F18" i="4"/>
  <c r="D164" i="26"/>
  <c r="E19" i="4"/>
  <c r="F19" i="4"/>
  <c r="R155" i="26"/>
  <c r="Y16" i="3"/>
  <c r="X12" i="5"/>
  <c r="Y12" i="5" s="1"/>
  <c r="Y22" i="16"/>
  <c r="Z22" i="16" s="1"/>
  <c r="Y24" i="3"/>
  <c r="R122" i="26"/>
  <c r="Y30" i="13"/>
  <c r="X36" i="13"/>
  <c r="Y36" i="13" s="1"/>
  <c r="R113" i="26"/>
  <c r="Y20" i="13"/>
  <c r="X34" i="13"/>
  <c r="Y34" i="13" s="1"/>
  <c r="X8" i="13"/>
  <c r="X24" i="13"/>
  <c r="R111" i="26"/>
  <c r="Y18" i="13"/>
  <c r="R203" i="26"/>
  <c r="Y25" i="8"/>
  <c r="Y81" i="16"/>
  <c r="Y20" i="16" s="1"/>
  <c r="Z79" i="16"/>
  <c r="Z81" i="16"/>
  <c r="E11" i="5"/>
  <c r="D16" i="5"/>
  <c r="Z9" i="17" l="1"/>
  <c r="X19" i="3"/>
  <c r="X47" i="13"/>
  <c r="Y47" i="13" s="1"/>
  <c r="X10" i="13"/>
  <c r="Y10" i="13" s="1"/>
  <c r="R117" i="26"/>
  <c r="Y8" i="13"/>
  <c r="F8" i="4"/>
  <c r="E11" i="4"/>
  <c r="F11" i="4"/>
  <c r="D157" i="26"/>
  <c r="R124" i="26"/>
  <c r="Y9" i="13"/>
  <c r="E24" i="4"/>
  <c r="D169" i="26" s="1"/>
  <c r="E23" i="6"/>
  <c r="F24" i="4"/>
  <c r="D22" i="6"/>
  <c r="D23" i="6"/>
  <c r="E22" i="6"/>
  <c r="D165" i="26"/>
  <c r="I6" i="5"/>
  <c r="J8" i="16"/>
  <c r="G8" i="16"/>
  <c r="F13" i="15"/>
  <c r="D33" i="5"/>
  <c r="E33" i="5" s="1"/>
  <c r="E16" i="5"/>
  <c r="Y12" i="4"/>
  <c r="Z20" i="16"/>
  <c r="X40" i="13"/>
  <c r="X33" i="13"/>
  <c r="Y24" i="13"/>
  <c r="D29" i="5"/>
  <c r="D8" i="19"/>
  <c r="E28" i="5"/>
  <c r="Y40" i="13" l="1"/>
  <c r="Y33" i="13"/>
  <c r="R125" i="26"/>
  <c r="Y19" i="3"/>
  <c r="X20" i="3"/>
  <c r="E1465" i="24"/>
  <c r="E1462" i="24"/>
  <c r="E29" i="5"/>
  <c r="D1450" i="24"/>
  <c r="E8" i="19"/>
  <c r="F23" i="3"/>
  <c r="E13" i="4"/>
  <c r="F13" i="4"/>
  <c r="D160" i="26"/>
  <c r="Z12" i="4"/>
  <c r="S161" i="26"/>
  <c r="F8" i="15" l="1"/>
  <c r="E33" i="4"/>
  <c r="F33" i="4" s="1"/>
  <c r="D26" i="6"/>
  <c r="D34" i="6"/>
  <c r="E34" i="6" s="1"/>
  <c r="E26" i="6"/>
  <c r="D162" i="26"/>
  <c r="R140" i="26"/>
  <c r="Y20" i="3"/>
  <c r="F22" i="15" l="1"/>
  <c r="F25" i="15" s="1"/>
  <c r="F25" i="3" l="1"/>
  <c r="F1427" i="24"/>
  <c r="F23" i="15" l="1"/>
  <c r="F177" i="13"/>
  <c r="F26" i="3"/>
  <c r="F9" i="5" l="1"/>
  <c r="D156" i="26"/>
  <c r="F27" i="3"/>
  <c r="F12" i="6" s="1"/>
  <c r="F1435" i="24"/>
  <c r="G17" i="17"/>
  <c r="G11" i="17"/>
  <c r="F178" i="13"/>
  <c r="G28" i="4" l="1"/>
  <c r="F716" i="22"/>
  <c r="F717" i="22" s="1"/>
  <c r="G12" i="17"/>
  <c r="G18" i="17"/>
  <c r="G17" i="4" l="1"/>
  <c r="F10" i="5"/>
  <c r="G8" i="18"/>
  <c r="G9" i="18" s="1"/>
  <c r="E171" i="26"/>
  <c r="G29" i="4"/>
  <c r="F1367" i="24" l="1"/>
  <c r="E172" i="26"/>
  <c r="E163" i="26"/>
  <c r="J414" i="2" l="1"/>
  <c r="G18" i="4" l="1"/>
  <c r="F11" i="5"/>
  <c r="G20" i="17"/>
  <c r="T126" i="27"/>
  <c r="F26" i="5"/>
  <c r="F16" i="5" l="1"/>
  <c r="G8" i="4"/>
  <c r="G6" i="5"/>
  <c r="F28" i="5"/>
  <c r="G9" i="16"/>
  <c r="E164" i="26"/>
  <c r="G19" i="4"/>
  <c r="H8" i="16" l="1"/>
  <c r="G13" i="15"/>
  <c r="G11" i="4"/>
  <c r="E157" i="26"/>
  <c r="F33" i="5"/>
  <c r="F22" i="6"/>
  <c r="G24" i="4"/>
  <c r="E169" i="26" s="1"/>
  <c r="E165" i="26"/>
  <c r="F29" i="5"/>
  <c r="F8" i="19"/>
  <c r="F1462" i="24" l="1"/>
  <c r="F1465" i="24"/>
  <c r="G13" i="4"/>
  <c r="E160" i="26"/>
  <c r="G23" i="3"/>
  <c r="E1450" i="24"/>
  <c r="F23" i="6"/>
  <c r="F26" i="6" l="1"/>
  <c r="F34" i="6"/>
  <c r="G33" i="4"/>
  <c r="E162" i="26"/>
  <c r="G8" i="15"/>
  <c r="G22" i="15" l="1"/>
  <c r="G25" i="15" s="1"/>
  <c r="G1427" i="24" l="1"/>
  <c r="G25" i="3"/>
  <c r="G23" i="15" l="1"/>
  <c r="G177" i="13"/>
  <c r="G26" i="3"/>
  <c r="H17" i="17" l="1"/>
  <c r="H11" i="17"/>
  <c r="G178" i="13"/>
  <c r="G9" i="5"/>
  <c r="E156" i="26"/>
  <c r="G1435" i="24"/>
  <c r="H28" i="4" l="1"/>
  <c r="H18" i="17"/>
  <c r="G716" i="22"/>
  <c r="G717" i="22" s="1"/>
  <c r="H12" i="17"/>
  <c r="G10" i="5" l="1"/>
  <c r="H17" i="4"/>
  <c r="H8" i="18"/>
  <c r="H9" i="18" s="1"/>
  <c r="F171" i="26"/>
  <c r="H29" i="4"/>
  <c r="F172" i="26" l="1"/>
  <c r="F163" i="26"/>
  <c r="G1367" i="24"/>
  <c r="K414" i="2" l="1"/>
  <c r="G11" i="5" l="1"/>
  <c r="H18" i="4"/>
  <c r="H20" i="17"/>
  <c r="V126" i="27"/>
  <c r="G26" i="5"/>
  <c r="F164" i="26" l="1"/>
  <c r="H19" i="4"/>
  <c r="H8" i="4"/>
  <c r="H6" i="5"/>
  <c r="G28" i="5"/>
  <c r="H9" i="16"/>
  <c r="G16" i="5"/>
  <c r="I8" i="16" l="1"/>
  <c r="H13" i="15"/>
  <c r="H11" i="4"/>
  <c r="F157" i="26"/>
  <c r="H24" i="4"/>
  <c r="F169" i="26" s="1"/>
  <c r="G22" i="6"/>
  <c r="G23" i="6"/>
  <c r="F165" i="26"/>
  <c r="G33" i="5"/>
  <c r="G29" i="5"/>
  <c r="G8" i="19"/>
  <c r="H13" i="4" l="1"/>
  <c r="F160" i="26"/>
  <c r="H23" i="3"/>
  <c r="I13" i="15"/>
  <c r="G1462" i="24"/>
  <c r="G1465" i="24"/>
  <c r="F1450" i="24"/>
  <c r="H8" i="15" l="1"/>
  <c r="I23" i="3"/>
  <c r="G26" i="6"/>
  <c r="G34" i="6"/>
  <c r="H33" i="4"/>
  <c r="F162" i="26"/>
  <c r="H22" i="15" l="1"/>
  <c r="H25" i="15" s="1"/>
  <c r="I8" i="15"/>
  <c r="I25" i="15" l="1"/>
  <c r="H1427" i="24"/>
  <c r="H25" i="3"/>
  <c r="I22" i="15"/>
  <c r="H23" i="15" l="1"/>
  <c r="I23" i="15" s="1"/>
  <c r="H177" i="13"/>
  <c r="I25" i="3"/>
  <c r="H26" i="3"/>
  <c r="I17" i="17" l="1"/>
  <c r="I11" i="17"/>
  <c r="H178" i="13"/>
  <c r="J17" i="17"/>
  <c r="I177" i="13"/>
  <c r="H9" i="5"/>
  <c r="F156" i="26"/>
  <c r="H27" i="3"/>
  <c r="H12" i="6" s="1"/>
  <c r="I27" i="3"/>
  <c r="I12" i="6"/>
  <c r="I26" i="3"/>
  <c r="H1435" i="24"/>
  <c r="I9" i="5" l="1"/>
  <c r="I18" i="17"/>
  <c r="J18" i="17"/>
  <c r="I178" i="13"/>
  <c r="J11" i="17"/>
  <c r="H716" i="22"/>
  <c r="H717" i="22" s="1"/>
  <c r="J12" i="17"/>
  <c r="I12" i="17"/>
  <c r="I28" i="4"/>
  <c r="J28" i="4" l="1"/>
  <c r="J8" i="18"/>
  <c r="I8" i="18"/>
  <c r="G171" i="26"/>
  <c r="I29" i="4"/>
  <c r="J29" i="4"/>
  <c r="I17" i="4"/>
  <c r="H10" i="5"/>
  <c r="I10" i="5" l="1"/>
  <c r="H1367" i="24"/>
  <c r="I9" i="18"/>
  <c r="J9" i="18"/>
  <c r="J17" i="4"/>
  <c r="G163" i="26"/>
  <c r="G172" i="26"/>
  <c r="L414" i="2" l="1"/>
  <c r="H26" i="5" s="1"/>
  <c r="H11" i="5" l="1"/>
  <c r="I18" i="4"/>
  <c r="I20" i="17"/>
  <c r="J20" i="17"/>
  <c r="X126" i="27"/>
  <c r="I8" i="4"/>
  <c r="J6" i="5"/>
  <c r="J13" i="15" s="1"/>
  <c r="I26" i="5"/>
  <c r="H28" i="5"/>
  <c r="I9" i="16"/>
  <c r="J9" i="16"/>
  <c r="J23" i="3" l="1"/>
  <c r="J8" i="4"/>
  <c r="I11" i="4"/>
  <c r="J11" i="4"/>
  <c r="G157" i="26"/>
  <c r="H29" i="5"/>
  <c r="H8" i="19"/>
  <c r="I28" i="5"/>
  <c r="J18" i="4"/>
  <c r="G164" i="26"/>
  <c r="I19" i="4"/>
  <c r="J19" i="4"/>
  <c r="M6" i="5"/>
  <c r="N8" i="16"/>
  <c r="K8" i="16"/>
  <c r="I11" i="5"/>
  <c r="H16" i="5"/>
  <c r="I13" i="4" l="1"/>
  <c r="J13" i="4"/>
  <c r="G160" i="26"/>
  <c r="H1465" i="24"/>
  <c r="H1462" i="24"/>
  <c r="I29" i="5"/>
  <c r="G1450" i="24"/>
  <c r="I8" i="19"/>
  <c r="J8" i="15"/>
  <c r="I24" i="4"/>
  <c r="G169" i="26" s="1"/>
  <c r="I23" i="6"/>
  <c r="H22" i="6"/>
  <c r="I22" i="6"/>
  <c r="J24" i="4"/>
  <c r="H23" i="6"/>
  <c r="G165" i="26"/>
  <c r="H33" i="5"/>
  <c r="I33" i="5" s="1"/>
  <c r="I16" i="5"/>
  <c r="I33" i="4" l="1"/>
  <c r="J33" i="4" s="1"/>
  <c r="H26" i="6"/>
  <c r="H34" i="6"/>
  <c r="I34" i="6" s="1"/>
  <c r="I26" i="6"/>
  <c r="G162" i="26"/>
  <c r="J22" i="15"/>
  <c r="J25" i="3" l="1"/>
  <c r="J25" i="15"/>
  <c r="J23" i="15" l="1"/>
  <c r="J177" i="13"/>
  <c r="J26" i="3"/>
  <c r="I1427" i="24"/>
  <c r="J9" i="5" l="1"/>
  <c r="G156" i="26"/>
  <c r="J27" i="3"/>
  <c r="J12" i="6" s="1"/>
  <c r="I1435" i="24"/>
  <c r="K17" i="17"/>
  <c r="K11" i="17"/>
  <c r="J178" i="13"/>
  <c r="I716" i="22" l="1"/>
  <c r="I717" i="22" s="1"/>
  <c r="K12" i="17"/>
  <c r="K28" i="4"/>
  <c r="K18" i="17"/>
  <c r="K17" i="4" l="1"/>
  <c r="J10" i="5"/>
  <c r="K8" i="18"/>
  <c r="K9" i="18" s="1"/>
  <c r="H171" i="26"/>
  <c r="K29" i="4"/>
  <c r="I1367" i="24" l="1"/>
  <c r="H172" i="26"/>
  <c r="H163" i="26"/>
  <c r="M414" i="2" l="1"/>
  <c r="K18" i="4" l="1"/>
  <c r="J11" i="5"/>
  <c r="K20" i="17"/>
  <c r="Z126" i="27"/>
  <c r="J26" i="5"/>
  <c r="J16" i="5" l="1"/>
  <c r="K8" i="4"/>
  <c r="K6" i="5"/>
  <c r="J28" i="5"/>
  <c r="K9" i="16"/>
  <c r="H164" i="26"/>
  <c r="K19" i="4"/>
  <c r="L8" i="16" l="1"/>
  <c r="K13" i="15"/>
  <c r="K11" i="4"/>
  <c r="H157" i="26"/>
  <c r="J33" i="5"/>
  <c r="K24" i="4"/>
  <c r="H169" i="26" s="1"/>
  <c r="J22" i="6"/>
  <c r="J23" i="6"/>
  <c r="H165" i="26"/>
  <c r="J29" i="5"/>
  <c r="J8" i="19"/>
  <c r="K13" i="4" l="1"/>
  <c r="H160" i="26"/>
  <c r="K23" i="3"/>
  <c r="I1465" i="24"/>
  <c r="I1462" i="24"/>
  <c r="H1450" i="24"/>
  <c r="K8" i="15" l="1"/>
  <c r="K33" i="4"/>
  <c r="J26" i="6"/>
  <c r="J34" i="6"/>
  <c r="H162" i="26"/>
  <c r="K22" i="15" l="1"/>
  <c r="K25" i="3" l="1"/>
  <c r="K25" i="15"/>
  <c r="J1427" i="24" l="1"/>
  <c r="K23" i="15"/>
  <c r="K177" i="13"/>
  <c r="K26" i="3"/>
  <c r="L17" i="17" l="1"/>
  <c r="L11" i="17"/>
  <c r="K178" i="13"/>
  <c r="K9" i="5"/>
  <c r="H156" i="26"/>
  <c r="K27" i="3"/>
  <c r="K12" i="6" s="1"/>
  <c r="J1435" i="24"/>
  <c r="L18" i="17" l="1"/>
  <c r="J716" i="22"/>
  <c r="J717" i="22" s="1"/>
  <c r="L12" i="17"/>
  <c r="L28" i="4"/>
  <c r="L8" i="18" l="1"/>
  <c r="L9" i="18" s="1"/>
  <c r="I171" i="26"/>
  <c r="L29" i="4"/>
  <c r="L17" i="4"/>
  <c r="K10" i="5"/>
  <c r="I163" i="26" l="1"/>
  <c r="I172" i="26"/>
  <c r="J1367" i="24"/>
  <c r="N414" i="2" l="1"/>
  <c r="K11" i="5" l="1"/>
  <c r="L18" i="4"/>
  <c r="L20" i="17"/>
  <c r="AB126" i="27"/>
  <c r="K26" i="5"/>
  <c r="L8" i="4" l="1"/>
  <c r="L6" i="5"/>
  <c r="K28" i="5"/>
  <c r="L9" i="16"/>
  <c r="I164" i="26"/>
  <c r="L19" i="4"/>
  <c r="K16" i="5"/>
  <c r="K29" i="5" l="1"/>
  <c r="K8" i="19"/>
  <c r="L24" i="4"/>
  <c r="I169" i="26" s="1"/>
  <c r="K22" i="6"/>
  <c r="K23" i="6"/>
  <c r="I165" i="26"/>
  <c r="M8" i="16"/>
  <c r="L13" i="15"/>
  <c r="K33" i="5"/>
  <c r="L11" i="4"/>
  <c r="I157" i="26"/>
  <c r="L23" i="3" l="1"/>
  <c r="M13" i="15"/>
  <c r="I1450" i="24"/>
  <c r="L13" i="4"/>
  <c r="I160" i="26"/>
  <c r="J1462" i="24"/>
  <c r="J1465" i="24"/>
  <c r="L33" i="4" l="1"/>
  <c r="K26" i="6"/>
  <c r="K34" i="6"/>
  <c r="I162" i="26"/>
  <c r="L8" i="15"/>
  <c r="M23" i="3"/>
  <c r="L22" i="15" l="1"/>
  <c r="L25" i="15" s="1"/>
  <c r="M8" i="15"/>
  <c r="M25" i="15" l="1"/>
  <c r="K1427" i="24"/>
  <c r="L25" i="3"/>
  <c r="M22" i="15"/>
  <c r="L23" i="15" l="1"/>
  <c r="M23" i="15" s="1"/>
  <c r="L177" i="13"/>
  <c r="M25" i="3"/>
  <c r="L26" i="3"/>
  <c r="L9" i="5" l="1"/>
  <c r="I156" i="26"/>
  <c r="M27" i="3"/>
  <c r="M12" i="6"/>
  <c r="M26" i="3"/>
  <c r="K1435" i="24"/>
  <c r="M17" i="17"/>
  <c r="M11" i="17"/>
  <c r="L178" i="13"/>
  <c r="M177" i="13"/>
  <c r="N17" i="17"/>
  <c r="M18" i="17" l="1"/>
  <c r="M178" i="13"/>
  <c r="N18" i="17"/>
  <c r="N11" i="17"/>
  <c r="K716" i="22"/>
  <c r="K717" i="22" s="1"/>
  <c r="M12" i="17"/>
  <c r="N12" i="17"/>
  <c r="M28" i="4"/>
  <c r="M9" i="5"/>
  <c r="N28" i="4" l="1"/>
  <c r="N8" i="18"/>
  <c r="M8" i="18"/>
  <c r="J171" i="26"/>
  <c r="M29" i="4"/>
  <c r="N29" i="4"/>
  <c r="M17" i="4"/>
  <c r="L10" i="5"/>
  <c r="N17" i="4" l="1"/>
  <c r="J163" i="26"/>
  <c r="M10" i="5"/>
  <c r="K1367" i="24"/>
  <c r="M9" i="18"/>
  <c r="N9" i="18"/>
  <c r="J172" i="26"/>
  <c r="O414" i="2" l="1"/>
  <c r="L11" i="5" l="1"/>
  <c r="M18" i="4"/>
  <c r="M20" i="17"/>
  <c r="N20" i="17"/>
  <c r="AD126" i="27"/>
  <c r="L26" i="5"/>
  <c r="M8" i="4" l="1"/>
  <c r="M26" i="5"/>
  <c r="L28" i="5"/>
  <c r="N6" i="5"/>
  <c r="M9" i="16"/>
  <c r="N9" i="16"/>
  <c r="N18" i="4"/>
  <c r="J164" i="26"/>
  <c r="M19" i="4"/>
  <c r="N19" i="4"/>
  <c r="M11" i="5"/>
  <c r="L16" i="5"/>
  <c r="Q6" i="5" l="1"/>
  <c r="R8" i="16"/>
  <c r="O8" i="16"/>
  <c r="N13" i="15"/>
  <c r="L29" i="5"/>
  <c r="L8" i="19"/>
  <c r="M28" i="5"/>
  <c r="M24" i="4"/>
  <c r="J169" i="26" s="1"/>
  <c r="M23" i="6"/>
  <c r="N24" i="4"/>
  <c r="L22" i="6"/>
  <c r="L23" i="6"/>
  <c r="M22" i="6"/>
  <c r="J165" i="26"/>
  <c r="L33" i="5"/>
  <c r="M33" i="5" s="1"/>
  <c r="M16" i="5"/>
  <c r="N8" i="4"/>
  <c r="M11" i="4"/>
  <c r="N11" i="4"/>
  <c r="J157" i="26"/>
  <c r="M13" i="4" l="1"/>
  <c r="N13" i="4"/>
  <c r="J160" i="26"/>
  <c r="J1450" i="24"/>
  <c r="M8" i="19"/>
  <c r="K1462" i="24"/>
  <c r="K1465" i="24"/>
  <c r="M29" i="5"/>
  <c r="N23" i="3"/>
  <c r="N8" i="15" l="1"/>
  <c r="M33" i="4"/>
  <c r="N33" i="4" s="1"/>
  <c r="L26" i="6"/>
  <c r="L34" i="6"/>
  <c r="M34" i="6" s="1"/>
  <c r="M26" i="6"/>
  <c r="J162" i="26"/>
  <c r="N22" i="15" l="1"/>
  <c r="N25" i="15" s="1"/>
  <c r="L1427" i="24" l="1"/>
  <c r="N25" i="3"/>
  <c r="N23" i="15" l="1"/>
  <c r="N177" i="13"/>
  <c r="N26" i="3"/>
  <c r="N9" i="5" l="1"/>
  <c r="J156" i="26"/>
  <c r="L1435" i="24"/>
  <c r="O17" i="17"/>
  <c r="O11" i="17"/>
  <c r="N178" i="13"/>
  <c r="O18" i="17" l="1"/>
  <c r="O28" i="4"/>
  <c r="L716" i="22"/>
  <c r="L717" i="22" s="1"/>
  <c r="O12" i="17"/>
  <c r="O8" i="18" l="1"/>
  <c r="O9" i="18" s="1"/>
  <c r="K171" i="26"/>
  <c r="O29" i="4"/>
  <c r="O17" i="4"/>
  <c r="N10" i="5"/>
  <c r="K172" i="26" l="1"/>
  <c r="K163" i="26"/>
  <c r="L1367" i="24"/>
  <c r="P414" i="2" l="1"/>
  <c r="O18" i="4" l="1"/>
  <c r="N11" i="5"/>
  <c r="O20" i="17"/>
  <c r="AF126" i="27"/>
  <c r="N26" i="5"/>
  <c r="N16" i="5" l="1"/>
  <c r="O8" i="4"/>
  <c r="O6" i="5"/>
  <c r="N28" i="5"/>
  <c r="O9" i="16"/>
  <c r="K164" i="26"/>
  <c r="O19" i="4"/>
  <c r="P8" i="16" l="1"/>
  <c r="O13" i="15"/>
  <c r="O11" i="4"/>
  <c r="K157" i="26"/>
  <c r="N33" i="5"/>
  <c r="N22" i="6"/>
  <c r="N23" i="6"/>
  <c r="O24" i="4"/>
  <c r="K169" i="26" s="1"/>
  <c r="K165" i="26"/>
  <c r="N29" i="5"/>
  <c r="N8" i="19"/>
  <c r="L1465" i="24" l="1"/>
  <c r="L1462" i="24"/>
  <c r="O13" i="4"/>
  <c r="K160" i="26"/>
  <c r="O23" i="3"/>
  <c r="K1450" i="24"/>
  <c r="N26" i="6" l="1"/>
  <c r="N34" i="6"/>
  <c r="O33" i="4"/>
  <c r="K162" i="26"/>
  <c r="O8" i="15"/>
  <c r="O22" i="15" l="1"/>
  <c r="O25" i="15" s="1"/>
  <c r="M1427" i="24" l="1"/>
  <c r="O25" i="3"/>
  <c r="O23" i="15" l="1"/>
  <c r="O177" i="13"/>
  <c r="O26" i="3"/>
  <c r="O9" i="5" l="1"/>
  <c r="K156" i="26"/>
  <c r="M1435" i="24"/>
  <c r="P17" i="17"/>
  <c r="P11" i="17"/>
  <c r="O178" i="13"/>
  <c r="P28" i="4" l="1"/>
  <c r="P18" i="17"/>
  <c r="M716" i="22"/>
  <c r="M717" i="22" s="1"/>
  <c r="P12" i="17"/>
  <c r="P17" i="4" l="1"/>
  <c r="O10" i="5"/>
  <c r="P8" i="18"/>
  <c r="P9" i="18" s="1"/>
  <c r="L171" i="26"/>
  <c r="P29" i="4"/>
  <c r="M1367" i="24" l="1"/>
  <c r="L172" i="26"/>
  <c r="L163" i="26"/>
  <c r="Q414" i="2" l="1"/>
  <c r="O11" i="5" l="1"/>
  <c r="P18" i="4"/>
  <c r="P20" i="17"/>
  <c r="AH126" i="27"/>
  <c r="O26" i="5"/>
  <c r="P8" i="4" l="1"/>
  <c r="P6" i="5"/>
  <c r="O28" i="5"/>
  <c r="P9" i="16"/>
  <c r="L164" i="26"/>
  <c r="P19" i="4"/>
  <c r="O16" i="5"/>
  <c r="O29" i="5" l="1"/>
  <c r="O8" i="19"/>
  <c r="P24" i="4"/>
  <c r="L169" i="26" s="1"/>
  <c r="O22" i="6"/>
  <c r="O23" i="6"/>
  <c r="L165" i="26"/>
  <c r="Q8" i="16"/>
  <c r="P13" i="15"/>
  <c r="O33" i="5"/>
  <c r="P11" i="4"/>
  <c r="L157" i="26"/>
  <c r="P23" i="3" l="1"/>
  <c r="Q13" i="15"/>
  <c r="L1450" i="24"/>
  <c r="P13" i="4"/>
  <c r="L160" i="26"/>
  <c r="M1465" i="24"/>
  <c r="M1462" i="24"/>
  <c r="O26" i="6" l="1"/>
  <c r="O34" i="6"/>
  <c r="P33" i="4"/>
  <c r="L162" i="26"/>
  <c r="P8" i="15"/>
  <c r="Q23" i="3"/>
  <c r="P22" i="15" l="1"/>
  <c r="P25" i="15" s="1"/>
  <c r="Q8" i="15"/>
  <c r="Q25" i="15" l="1"/>
  <c r="N1427" i="24"/>
  <c r="P25" i="3"/>
  <c r="Q22" i="15"/>
  <c r="P23" i="15" l="1"/>
  <c r="Q23" i="15" s="1"/>
  <c r="P177" i="13"/>
  <c r="Q25" i="3"/>
  <c r="P26" i="3"/>
  <c r="P9" i="5" l="1"/>
  <c r="L156" i="26"/>
  <c r="Q26" i="3"/>
  <c r="N1435" i="24"/>
  <c r="Q17" i="17"/>
  <c r="Q11" i="17"/>
  <c r="P178" i="13"/>
  <c r="Q177" i="13"/>
  <c r="R17" i="17"/>
  <c r="Q28" i="4" l="1"/>
  <c r="Q18" i="17"/>
  <c r="R18" i="17"/>
  <c r="Q178" i="13"/>
  <c r="R11" i="17"/>
  <c r="N716" i="22"/>
  <c r="N717" i="22" s="1"/>
  <c r="Q12" i="17"/>
  <c r="R12" i="17"/>
  <c r="Q9" i="5"/>
  <c r="Q17" i="4" l="1"/>
  <c r="P10" i="5"/>
  <c r="R28" i="4"/>
  <c r="R8" i="18"/>
  <c r="Q8" i="18"/>
  <c r="M171" i="26"/>
  <c r="Q29" i="4"/>
  <c r="R29" i="4"/>
  <c r="Q10" i="5" l="1"/>
  <c r="N1367" i="24"/>
  <c r="P29" i="6"/>
  <c r="Q29" i="6" s="1"/>
  <c r="M172" i="26"/>
  <c r="Q9" i="18"/>
  <c r="R9" i="18"/>
  <c r="R17" i="4"/>
  <c r="M163" i="26"/>
  <c r="R414" i="2" l="1"/>
  <c r="P11" i="5" l="1"/>
  <c r="Q18" i="4"/>
  <c r="Q20" i="17"/>
  <c r="R20" i="17"/>
  <c r="AJ126" i="27"/>
  <c r="P26" i="5"/>
  <c r="R6" i="5" l="1"/>
  <c r="Q26" i="5"/>
  <c r="P28" i="5"/>
  <c r="Q8" i="4"/>
  <c r="Q9" i="16"/>
  <c r="R9" i="16"/>
  <c r="R18" i="4"/>
  <c r="M164" i="26"/>
  <c r="Q19" i="4"/>
  <c r="R19" i="4"/>
  <c r="Q11" i="5"/>
  <c r="P16" i="5"/>
  <c r="R8" i="4" l="1"/>
  <c r="Q11" i="4"/>
  <c r="R11" i="4"/>
  <c r="M157" i="26"/>
  <c r="P29" i="5"/>
  <c r="P8" i="19"/>
  <c r="Q28" i="5"/>
  <c r="Q24" i="4"/>
  <c r="M169" i="26" s="1"/>
  <c r="Q23" i="6"/>
  <c r="P22" i="6"/>
  <c r="R24" i="4"/>
  <c r="P23" i="6"/>
  <c r="Q22" i="6"/>
  <c r="M165" i="26"/>
  <c r="Q16" i="5"/>
  <c r="P33" i="5"/>
  <c r="Q33" i="5" s="1"/>
  <c r="U6" i="5"/>
  <c r="V8" i="16"/>
  <c r="S8" i="16"/>
  <c r="R13" i="15"/>
  <c r="M1450" i="24" l="1"/>
  <c r="Q8" i="19"/>
  <c r="Q13" i="4"/>
  <c r="R13" i="4"/>
  <c r="M160" i="26"/>
  <c r="R23" i="3"/>
  <c r="N1462" i="24"/>
  <c r="N1465" i="24"/>
  <c r="Q29" i="5"/>
  <c r="Q33" i="4" l="1"/>
  <c r="R33" i="4" s="1"/>
  <c r="P28" i="6"/>
  <c r="Q28" i="6" s="1"/>
  <c r="P26" i="6"/>
  <c r="P34" i="6"/>
  <c r="Q34" i="6" s="1"/>
  <c r="Q26" i="6"/>
  <c r="M162" i="26"/>
  <c r="R8" i="15"/>
  <c r="R22" i="15" l="1"/>
  <c r="R25" i="15" s="1"/>
  <c r="O1427" i="24" l="1"/>
  <c r="R25" i="3"/>
  <c r="R23" i="15" l="1"/>
  <c r="R177" i="13"/>
  <c r="R26" i="3"/>
  <c r="R9" i="5" l="1"/>
  <c r="M156" i="26"/>
  <c r="O1435" i="24"/>
  <c r="S17" i="17"/>
  <c r="S11" i="17"/>
  <c r="R178" i="13"/>
  <c r="O716" i="22" l="1"/>
  <c r="O717" i="22" s="1"/>
  <c r="S12" i="17"/>
  <c r="S18" i="17"/>
  <c r="S28" i="4"/>
  <c r="S8" i="18" l="1"/>
  <c r="S9" i="18" s="1"/>
  <c r="N171" i="26"/>
  <c r="S29" i="4"/>
  <c r="S17" i="4"/>
  <c r="R10" i="5"/>
  <c r="R29" i="6" l="1"/>
  <c r="N172" i="26"/>
  <c r="N163" i="26"/>
  <c r="O1367" i="24"/>
  <c r="S414" i="2" l="1"/>
  <c r="S18" i="4" l="1"/>
  <c r="R11" i="5"/>
  <c r="S20" i="17"/>
  <c r="AL126" i="27"/>
  <c r="R26" i="5"/>
  <c r="S8" i="4" l="1"/>
  <c r="S6" i="5"/>
  <c r="R28" i="5"/>
  <c r="S9" i="16"/>
  <c r="R16" i="5"/>
  <c r="N164" i="26"/>
  <c r="S19" i="4"/>
  <c r="R29" i="5" l="1"/>
  <c r="R8" i="19"/>
  <c r="R33" i="5"/>
  <c r="T8" i="16"/>
  <c r="S13" i="15"/>
  <c r="S24" i="4"/>
  <c r="N169" i="26" s="1"/>
  <c r="R22" i="6"/>
  <c r="R23" i="6"/>
  <c r="N165" i="26"/>
  <c r="S11" i="4"/>
  <c r="N157" i="26"/>
  <c r="N1450" i="24" l="1"/>
  <c r="S23" i="3"/>
  <c r="S13" i="4"/>
  <c r="N160" i="26"/>
  <c r="O1462" i="24"/>
  <c r="O1465" i="24"/>
  <c r="S8" i="15" l="1"/>
  <c r="S33" i="4"/>
  <c r="R26" i="6"/>
  <c r="R34" i="6"/>
  <c r="R28" i="6"/>
  <c r="N162" i="26"/>
  <c r="S22" i="15" l="1"/>
  <c r="S25" i="15" s="1"/>
  <c r="S25" i="3" l="1"/>
  <c r="P1427" i="24"/>
  <c r="S23" i="15" l="1"/>
  <c r="S177" i="13"/>
  <c r="S26" i="3"/>
  <c r="T17" i="17" l="1"/>
  <c r="T11" i="17"/>
  <c r="S178" i="13"/>
  <c r="S9" i="5"/>
  <c r="N156" i="26"/>
  <c r="P1435" i="24"/>
  <c r="T18" i="17" l="1"/>
  <c r="P716" i="22"/>
  <c r="P717" i="22" s="1"/>
  <c r="T12" i="17"/>
  <c r="T28" i="4"/>
  <c r="T17" i="4" l="1"/>
  <c r="S10" i="5"/>
  <c r="T8" i="18"/>
  <c r="T9" i="18" s="1"/>
  <c r="O171" i="26"/>
  <c r="T29" i="4"/>
  <c r="P1367" i="24" l="1"/>
  <c r="S29" i="6"/>
  <c r="O172" i="26"/>
  <c r="O163" i="26"/>
  <c r="T414" i="2" l="1"/>
  <c r="S11" i="5" l="1"/>
  <c r="T18" i="4"/>
  <c r="T20" i="17"/>
  <c r="AN126" i="27"/>
  <c r="S26" i="5"/>
  <c r="T8" i="4" l="1"/>
  <c r="T6" i="5"/>
  <c r="S28" i="5"/>
  <c r="T9" i="16"/>
  <c r="O164" i="26"/>
  <c r="T19" i="4"/>
  <c r="S16" i="5"/>
  <c r="T24" i="4" l="1"/>
  <c r="O169" i="26" s="1"/>
  <c r="S22" i="6"/>
  <c r="S23" i="6"/>
  <c r="O165" i="26"/>
  <c r="S29" i="5"/>
  <c r="S8" i="19"/>
  <c r="U8" i="16"/>
  <c r="T13" i="15"/>
  <c r="S33" i="5"/>
  <c r="T11" i="4"/>
  <c r="O157" i="26"/>
  <c r="T23" i="3" l="1"/>
  <c r="U13" i="15"/>
  <c r="O1450" i="24"/>
  <c r="T13" i="4"/>
  <c r="O160" i="26"/>
  <c r="P1465" i="24"/>
  <c r="P1462" i="24"/>
  <c r="T33" i="4" l="1"/>
  <c r="S26" i="6"/>
  <c r="S34" i="6"/>
  <c r="S28" i="6"/>
  <c r="O162" i="26"/>
  <c r="T8" i="15"/>
  <c r="U23" i="3"/>
  <c r="T22" i="15" l="1"/>
  <c r="T25" i="15" s="1"/>
  <c r="U8" i="15"/>
  <c r="U25" i="15" l="1"/>
  <c r="Q1427" i="24"/>
  <c r="T25" i="3"/>
  <c r="U22" i="15"/>
  <c r="T23" i="15" l="1"/>
  <c r="U23" i="15" s="1"/>
  <c r="T177" i="13"/>
  <c r="U25" i="3"/>
  <c r="T26" i="3"/>
  <c r="T9" i="5" l="1"/>
  <c r="O156" i="26"/>
  <c r="U26" i="3"/>
  <c r="Q1435" i="24"/>
  <c r="U17" i="17"/>
  <c r="U11" i="17"/>
  <c r="T178" i="13"/>
  <c r="U177" i="13"/>
  <c r="V17" i="17"/>
  <c r="U28" i="4" l="1"/>
  <c r="V11" i="17"/>
  <c r="Q716" i="22"/>
  <c r="Q717" i="22" s="1"/>
  <c r="U12" i="17"/>
  <c r="V12" i="17"/>
  <c r="U18" i="17"/>
  <c r="U178" i="13"/>
  <c r="V18" i="17"/>
  <c r="U9" i="5"/>
  <c r="U17" i="4" l="1"/>
  <c r="T10" i="5"/>
  <c r="V28" i="4"/>
  <c r="V8" i="18"/>
  <c r="U8" i="18"/>
  <c r="P171" i="26"/>
  <c r="V29" i="4"/>
  <c r="U29" i="4"/>
  <c r="T29" i="6" l="1"/>
  <c r="U29" i="6" s="1"/>
  <c r="P172" i="26"/>
  <c r="U10" i="5"/>
  <c r="Q1367" i="24"/>
  <c r="U9" i="18"/>
  <c r="V9" i="18"/>
  <c r="V17" i="4"/>
  <c r="P163" i="26"/>
  <c r="U414" i="2" l="1"/>
  <c r="T11" i="5" l="1"/>
  <c r="U18" i="4"/>
  <c r="U20" i="17"/>
  <c r="V20" i="17"/>
  <c r="AP126" i="27"/>
  <c r="T26" i="5"/>
  <c r="U8" i="4" l="1"/>
  <c r="U26" i="5"/>
  <c r="T28" i="5"/>
  <c r="V6" i="5"/>
  <c r="U9" i="16"/>
  <c r="V9" i="16"/>
  <c r="V18" i="4"/>
  <c r="P164" i="26"/>
  <c r="U19" i="4"/>
  <c r="V19" i="4"/>
  <c r="U11" i="5"/>
  <c r="T16" i="5"/>
  <c r="Y6" i="5" l="1"/>
  <c r="Z8" i="16"/>
  <c r="W8" i="16"/>
  <c r="V13" i="15"/>
  <c r="T29" i="5"/>
  <c r="T8" i="19"/>
  <c r="U28" i="5"/>
  <c r="U24" i="4"/>
  <c r="P169" i="26" s="1"/>
  <c r="U23" i="6"/>
  <c r="V24" i="4"/>
  <c r="T22" i="6"/>
  <c r="T23" i="6"/>
  <c r="U22" i="6"/>
  <c r="P165" i="26"/>
  <c r="T33" i="5"/>
  <c r="U33" i="5" s="1"/>
  <c r="U16" i="5"/>
  <c r="V8" i="4"/>
  <c r="U11" i="4"/>
  <c r="V11" i="4"/>
  <c r="P157" i="26"/>
  <c r="P1450" i="24" l="1"/>
  <c r="U8" i="19"/>
  <c r="U13" i="4"/>
  <c r="V13" i="4"/>
  <c r="P160" i="26"/>
  <c r="Q1465" i="24"/>
  <c r="Q1462" i="24"/>
  <c r="U29" i="5"/>
  <c r="V23" i="3"/>
  <c r="U33" i="4" l="1"/>
  <c r="V33" i="4" s="1"/>
  <c r="T28" i="6"/>
  <c r="U28" i="6" s="1"/>
  <c r="T26" i="6"/>
  <c r="T34" i="6"/>
  <c r="U34" i="6" s="1"/>
  <c r="U26" i="6"/>
  <c r="P162" i="26"/>
  <c r="V8" i="15"/>
  <c r="V22" i="15" l="1"/>
  <c r="V25" i="3" l="1"/>
  <c r="V25" i="15"/>
  <c r="V23" i="15" l="1"/>
  <c r="V177" i="13"/>
  <c r="V26" i="3"/>
  <c r="R1427" i="24"/>
  <c r="W17" i="17" l="1"/>
  <c r="W11" i="17"/>
  <c r="V178" i="13"/>
  <c r="V9" i="5"/>
  <c r="P156" i="26"/>
  <c r="R1435" i="24"/>
  <c r="R716" i="22" l="1"/>
  <c r="R717" i="22" s="1"/>
  <c r="W12" i="17"/>
  <c r="W28" i="4"/>
  <c r="W18" i="17"/>
  <c r="W17" i="4" l="1"/>
  <c r="V10" i="5"/>
  <c r="W8" i="18"/>
  <c r="W9" i="18" s="1"/>
  <c r="Q171" i="26"/>
  <c r="W29" i="4"/>
  <c r="R1367" i="24" l="1"/>
  <c r="V29" i="6"/>
  <c r="Q172" i="26"/>
  <c r="Q163" i="26"/>
  <c r="V414" i="2" l="1"/>
  <c r="W18" i="4" l="1"/>
  <c r="V11" i="5"/>
  <c r="W20" i="17"/>
  <c r="AR126" i="27"/>
  <c r="V26" i="5"/>
  <c r="V16" i="5" l="1"/>
  <c r="W8" i="4"/>
  <c r="W6" i="5"/>
  <c r="V28" i="5"/>
  <c r="W9" i="16"/>
  <c r="Q164" i="26"/>
  <c r="W19" i="4"/>
  <c r="X8" i="16" l="1"/>
  <c r="W13" i="15"/>
  <c r="W11" i="4"/>
  <c r="Q157" i="26"/>
  <c r="V33" i="5"/>
  <c r="V22" i="6"/>
  <c r="V23" i="6"/>
  <c r="W24" i="4"/>
  <c r="Q169" i="26" s="1"/>
  <c r="Q165" i="26"/>
  <c r="V29" i="5"/>
  <c r="V8" i="19"/>
  <c r="W13" i="4" l="1"/>
  <c r="Q160" i="26"/>
  <c r="W23" i="3"/>
  <c r="R1462" i="24"/>
  <c r="R1465" i="24"/>
  <c r="Q1450" i="24"/>
  <c r="W8" i="15" l="1"/>
  <c r="V26" i="6"/>
  <c r="V34" i="6"/>
  <c r="W33" i="4"/>
  <c r="V28" i="6"/>
  <c r="Q162" i="26"/>
  <c r="W22" i="15" l="1"/>
  <c r="W25" i="15" s="1"/>
  <c r="W25" i="3" l="1"/>
  <c r="S1427" i="24"/>
  <c r="W23" i="15" l="1"/>
  <c r="W177" i="13"/>
  <c r="W26" i="3"/>
  <c r="X17" i="17" l="1"/>
  <c r="X11" i="17"/>
  <c r="W178" i="13"/>
  <c r="W9" i="5"/>
  <c r="Q156" i="26"/>
  <c r="S1435" i="24"/>
  <c r="X18" i="17" l="1"/>
  <c r="S716" i="22"/>
  <c r="S717" i="22" s="1"/>
  <c r="X12" i="17"/>
  <c r="X28" i="4"/>
  <c r="X8" i="18" l="1"/>
  <c r="X9" i="18" s="1"/>
  <c r="R171" i="26"/>
  <c r="X29" i="4"/>
  <c r="X17" i="4"/>
  <c r="W10" i="5"/>
  <c r="W29" i="6" l="1"/>
  <c r="R172" i="26"/>
  <c r="R163" i="26"/>
  <c r="S1367" i="24"/>
  <c r="W414" i="2" l="1"/>
  <c r="W26" i="5" s="1"/>
  <c r="W11" i="5" l="1"/>
  <c r="X18" i="4"/>
  <c r="X20" i="17"/>
  <c r="AT126" i="27"/>
  <c r="X8" i="4"/>
  <c r="X6" i="5"/>
  <c r="X13" i="15" s="1"/>
  <c r="W28" i="5"/>
  <c r="X9" i="16"/>
  <c r="X23" i="3" l="1"/>
  <c r="Y13" i="15"/>
  <c r="X11" i="4"/>
  <c r="R157" i="26"/>
  <c r="R164" i="26"/>
  <c r="X19" i="4"/>
  <c r="W29" i="5"/>
  <c r="W8" i="19"/>
  <c r="Y8" i="16"/>
  <c r="W16" i="5"/>
  <c r="R1450" i="24" l="1"/>
  <c r="W33" i="5"/>
  <c r="S1462" i="24"/>
  <c r="S1465" i="24"/>
  <c r="X13" i="4"/>
  <c r="R160" i="26"/>
  <c r="X24" i="4"/>
  <c r="R169" i="26" s="1"/>
  <c r="W22" i="6"/>
  <c r="W23" i="6"/>
  <c r="R165" i="26"/>
  <c r="X8" i="15"/>
  <c r="Y23" i="3"/>
  <c r="W26" i="6" l="1"/>
  <c r="W34" i="6"/>
  <c r="W28" i="6"/>
  <c r="X33" i="4"/>
  <c r="R162" i="26"/>
  <c r="X22" i="15"/>
  <c r="Y8" i="15"/>
  <c r="X25" i="3" l="1"/>
  <c r="Y22" i="15"/>
  <c r="X25" i="15"/>
  <c r="X23" i="15" l="1"/>
  <c r="Y23" i="15" s="1"/>
  <c r="X177" i="13"/>
  <c r="Y25" i="3"/>
  <c r="X26" i="3"/>
  <c r="Y25" i="15"/>
  <c r="T1427" i="24"/>
  <c r="X9" i="5" l="1"/>
  <c r="R156" i="26"/>
  <c r="X30" i="6"/>
  <c r="Y30" i="6" s="1"/>
  <c r="Y26" i="3"/>
  <c r="T1435" i="24"/>
  <c r="Y28" i="4" s="1"/>
  <c r="Y17" i="17"/>
  <c r="Y11" i="17"/>
  <c r="X178" i="13"/>
  <c r="Z17" i="17"/>
  <c r="Y177" i="13"/>
  <c r="Z11" i="17" l="1"/>
  <c r="Y12" i="17"/>
  <c r="Z12" i="17"/>
  <c r="Y18" i="17"/>
  <c r="Z18" i="17"/>
  <c r="Y178" i="13"/>
  <c r="Z28" i="4"/>
  <c r="Z8" i="18"/>
  <c r="Y8" i="18"/>
  <c r="S171" i="26"/>
  <c r="Z29" i="4"/>
  <c r="Y29" i="4"/>
  <c r="Y9" i="5"/>
  <c r="X32" i="6" l="1"/>
  <c r="X29" i="6"/>
  <c r="Y29" i="6" s="1"/>
  <c r="Y32" i="6"/>
  <c r="S172" i="26"/>
  <c r="Y17" i="4"/>
  <c r="X10" i="5"/>
  <c r="Y9" i="18"/>
  <c r="Z9" i="18"/>
  <c r="Y10" i="5" l="1"/>
  <c r="T1367" i="24"/>
  <c r="Z17" i="4"/>
  <c r="S163" i="26"/>
  <c r="X414" i="2" l="1"/>
  <c r="X11" i="5" l="1"/>
  <c r="Y18" i="4"/>
  <c r="Y20" i="17"/>
  <c r="Z20" i="17"/>
  <c r="AV126" i="27"/>
  <c r="X26" i="5"/>
  <c r="Y8" i="4" l="1"/>
  <c r="Y26" i="5"/>
  <c r="X28" i="5"/>
  <c r="Y9" i="16"/>
  <c r="Z9" i="16"/>
  <c r="Z18" i="4"/>
  <c r="S164" i="26"/>
  <c r="Z19" i="4"/>
  <c r="Y19" i="4"/>
  <c r="Y11" i="5"/>
  <c r="X16" i="5"/>
  <c r="X29" i="5" l="1"/>
  <c r="X8" i="19"/>
  <c r="Y28" i="5"/>
  <c r="X33" i="5"/>
  <c r="Y33" i="5" s="1"/>
  <c r="Y16" i="5"/>
  <c r="Y24" i="4"/>
  <c r="S169" i="26" s="1"/>
  <c r="Y23" i="6"/>
  <c r="X22" i="6"/>
  <c r="Y22" i="6"/>
  <c r="Z24" i="4"/>
  <c r="X23" i="6"/>
  <c r="S165" i="26"/>
  <c r="Z8" i="4"/>
  <c r="Y11" i="4"/>
  <c r="Z11" i="4"/>
  <c r="S157" i="26"/>
  <c r="S1450" i="24" l="1"/>
  <c r="W6" i="19" s="1"/>
  <c r="Y8" i="19"/>
  <c r="Y13" i="4"/>
  <c r="Z13" i="4"/>
  <c r="S160" i="26"/>
  <c r="T1465" i="24"/>
  <c r="B36" i="6" s="1"/>
  <c r="B17" i="18" s="1"/>
  <c r="T1462" i="24"/>
  <c r="B35" i="6" s="1"/>
  <c r="B16" i="18" s="1"/>
  <c r="Y29" i="5"/>
  <c r="Y33" i="4" l="1"/>
  <c r="Z33" i="4" s="1"/>
  <c r="X28" i="6"/>
  <c r="Y28" i="6" s="1"/>
  <c r="X26" i="6"/>
  <c r="X34" i="6"/>
  <c r="Y34" i="6" s="1"/>
  <c r="Y26" i="6"/>
  <c r="S162" i="26"/>
  <c r="W33" i="6"/>
  <c r="X14" i="18" s="1"/>
  <c r="S1447" i="24"/>
  <c r="R173" i="26"/>
  <c r="W31" i="6"/>
  <c r="W30" i="6"/>
  <c r="W32" i="6"/>
  <c r="V6" i="19"/>
  <c r="V33" i="6" l="1"/>
  <c r="W14" i="18" s="1"/>
  <c r="Q173" i="26"/>
  <c r="R1447" i="24"/>
  <c r="V31" i="6"/>
  <c r="V30" i="6"/>
  <c r="V32" i="6"/>
  <c r="T6" i="19"/>
  <c r="T33" i="6" l="1"/>
  <c r="U14" i="18" s="1"/>
  <c r="U33" i="6"/>
  <c r="V14" i="18"/>
  <c r="U6" i="19"/>
  <c r="P173" i="26"/>
  <c r="Q1447" i="24"/>
  <c r="T31" i="6"/>
  <c r="U31" i="6" s="1"/>
  <c r="T30" i="6"/>
  <c r="U30" i="6" s="1"/>
  <c r="T32" i="6"/>
  <c r="U32" i="6"/>
  <c r="S6" i="19"/>
  <c r="S33" i="6" l="1"/>
  <c r="T14" i="18" s="1"/>
  <c r="P1447" i="24"/>
  <c r="O173" i="26"/>
  <c r="S31" i="6"/>
  <c r="S30" i="6"/>
  <c r="S32" i="6"/>
  <c r="R6" i="19"/>
  <c r="R33" i="6" l="1"/>
  <c r="S14" i="18" s="1"/>
  <c r="O1447" i="24"/>
  <c r="N173" i="26"/>
  <c r="R31" i="6"/>
  <c r="R30" i="6"/>
  <c r="R32" i="6"/>
  <c r="P6" i="19"/>
  <c r="P33" i="6" l="1"/>
  <c r="Q14" i="18" s="1"/>
  <c r="Q33" i="6"/>
  <c r="R14" i="18"/>
  <c r="Q6" i="19"/>
  <c r="M173" i="26"/>
  <c r="N1447" i="24"/>
  <c r="P31" i="6"/>
  <c r="Q31" i="6" s="1"/>
  <c r="P30" i="6"/>
  <c r="Q30" i="6" s="1"/>
  <c r="Q32" i="6"/>
  <c r="P32" i="6"/>
  <c r="O6" i="19"/>
  <c r="L173" i="26" l="1"/>
  <c r="M1447" i="24"/>
  <c r="O32" i="6"/>
  <c r="N6" i="19"/>
  <c r="L1447" i="24" l="1"/>
  <c r="K173" i="26"/>
  <c r="N32" i="6"/>
  <c r="L6" i="19"/>
  <c r="M6" i="19" l="1"/>
  <c r="K1447" i="24"/>
  <c r="J173" i="26"/>
  <c r="L32" i="6"/>
  <c r="M32" i="6"/>
  <c r="K6" i="19"/>
  <c r="J1447" i="24" l="1"/>
  <c r="I173" i="26"/>
  <c r="K32" i="6"/>
  <c r="J6" i="19"/>
  <c r="H173" i="26" l="1"/>
  <c r="I1447" i="24"/>
  <c r="J32" i="6"/>
  <c r="H6" i="19"/>
  <c r="I6" i="19" l="1"/>
  <c r="H1447" i="24"/>
  <c r="G173" i="26"/>
  <c r="H32" i="6"/>
  <c r="I32" i="6"/>
  <c r="G6" i="19"/>
  <c r="G1447" i="24" l="1"/>
  <c r="F173" i="26"/>
  <c r="G32" i="6"/>
  <c r="F6" i="19"/>
  <c r="F1447" i="24" l="1"/>
  <c r="E173" i="26"/>
  <c r="F32" i="6"/>
  <c r="D6" i="19"/>
  <c r="E6" i="19" l="1"/>
  <c r="D173" i="26"/>
  <c r="E1447" i="24"/>
  <c r="D32" i="6"/>
  <c r="E32" i="6"/>
  <c r="C6" i="19"/>
  <c r="D1447" i="24" l="1"/>
  <c r="C173" i="26"/>
  <c r="B6" i="19"/>
  <c r="C1447" i="24" l="1"/>
  <c r="B1447" i="24" s="1"/>
  <c r="A173" i="26" s="1"/>
  <c r="B173" i="26"/>
</calcChain>
</file>

<file path=xl/comments1.xml><?xml version="1.0" encoding="utf-8"?>
<comments xmlns="http://schemas.openxmlformats.org/spreadsheetml/2006/main">
  <authors>
    <author>LOCAL SERVICE</author>
  </authors>
  <commentList>
    <comment ref="A7" authorId="0" shapeId="0">
      <text>
        <r>
          <rPr>
            <b/>
            <sz val="8"/>
            <rFont val="Arial"/>
            <family val="2"/>
          </rPr>
          <t>The name of the organization for which the
financial plan is made. The name is stored in a
variable so that there is a single channel where
the name can be change in ModelSheet and in
exported workbooks.
(variable Company_Name)</t>
        </r>
      </text>
    </comment>
    <comment ref="F12" authorId="0" shapeId="0">
      <text>
        <r>
          <rPr>
            <b/>
            <sz val="8"/>
            <rFont val="Arial"/>
            <family val="2"/>
          </rPr>
          <t>The Practice Area for each major Engagement that
is tracked separately.
(variable Practice_Area)</t>
        </r>
      </text>
    </comment>
    <comment ref="G12" authorId="0" shapeId="0">
      <text>
        <r>
          <rPr>
            <b/>
            <sz val="8"/>
            <rFont val="Arial"/>
            <family val="2"/>
          </rPr>
          <t>The sales channel or segment of the engagement
(variable Engage_Channel)</t>
        </r>
      </text>
    </comment>
    <comment ref="H12" authorId="0" shapeId="0">
      <text>
        <r>
          <rPr>
            <b/>
            <sz val="8"/>
            <rFont val="Arial"/>
            <family val="2"/>
          </rPr>
          <t>Starting time period of each engagement, relative
to the start of model time, expressed as an
integral number of time periods
(variable Engage_Start_Time)</t>
        </r>
      </text>
    </comment>
    <comment ref="F19" authorId="0" shapeId="0">
      <text>
        <r>
          <rPr>
            <b/>
            <sz val="8"/>
            <rFont val="Arial"/>
            <family val="2"/>
          </rPr>
          <t>Size of each major Engagement expressed in billed
hours summed over Professional Staff Types
(variable Engage_Size_Hrs)</t>
        </r>
      </text>
    </comment>
    <comment ref="G19" authorId="0" shapeId="0">
      <text>
        <r>
          <rPr>
            <b/>
            <sz val="8"/>
            <rFont val="Arial"/>
            <family val="2"/>
          </rPr>
          <t>Duration of each major Engagement that is tracked
separately, expressed in number of time periods.
Values cannot exceed the number of time periods in
Dimension 'Engage_Time'. To increase this limit,
change the length of dimension 'Engage Time' when
you customize a new temlate, or in ModelSheet
Authoring.
(variable Engage_Duration)</t>
        </r>
      </text>
    </comment>
    <comment ref="F23" authorId="0" shapeId="0">
      <text>
        <r>
          <rPr>
            <b/>
            <sz val="8"/>
            <rFont val="Arial"/>
            <family val="2"/>
          </rPr>
          <t>Percent of professional staff hours for each
professional staff type, for each engagement.
(variable Engage_Labor_pct)</t>
        </r>
      </text>
    </comment>
    <comment ref="G23" authorId="0" shapeId="0">
      <text>
        <r>
          <rPr>
            <b/>
            <sz val="8"/>
            <rFont val="Arial"/>
            <family val="2"/>
          </rPr>
          <t>Early and late labor intensity of each engagement,
segmented by Professional Staff Type. The value
should be between -1 and 1.
* 0 means labor hours are constant over the
duration of the engagement.
* 1 means labor increases linearly over the
duration of the engagement.
* -1 nmeans labor declines linearly over the
duration of the engagement.
(variable Engage_Labor_Slope)</t>
        </r>
      </text>
    </comment>
    <comment ref="A32" authorId="0" shapeId="0">
      <text>
        <r>
          <rPr>
            <b/>
            <sz val="8"/>
            <rFont val="Arial"/>
            <family val="2"/>
          </rPr>
          <t>Professional staff hours that are applied on major
Engagements (regardless of whether they are all
billed to  clients), segmented by major Engagment,
by Professional STaff Type, and by engagement time
period. The values start as defaults determined by
input variables Engage_Type_Labor_Pct and
Engage_Type_Labor_Slope. You can override the
default values as you wish.
(variable Engage_Hrs_Applied_ET)</t>
        </r>
      </text>
    </comment>
    <comment ref="A41" authorId="0" shapeId="0">
      <text>
        <r>
          <rPr>
            <b/>
            <sz val="8"/>
            <rFont val="Arial"/>
            <family val="2"/>
          </rPr>
          <t>Percentage of billable hours applied to major
Engagements that are actually billed to client.
Segmented by major Engagement, by Professional
Staff Type, and by time period. Setting this rate
below 100% enables the model to record time
applied but not billed to the client.
(variable Engage_Hrs_pct_Billed_ET)</t>
        </r>
      </text>
    </comment>
    <comment ref="A46" authorId="0" shapeId="0">
      <text>
        <r>
          <rPr>
            <b/>
            <sz val="8"/>
            <rFont val="Arial"/>
            <family val="2"/>
          </rPr>
          <t>If you want to round billable hours to whole
numbers, set to TRUE, else FALSE. Applies to major
and minor engagements.
(variable Prof_Staff_Hrs_Billed_RoundQ)</t>
        </r>
      </text>
    </comment>
    <comment ref="I55" authorId="0" shapeId="0">
      <text>
        <r>
          <rPr>
            <b/>
            <sz val="8"/>
            <rFont val="Arial"/>
            <family val="2"/>
          </rPr>
          <t>Order backlog at the start of model time,
expressed in billable hours, segmented by Practice
Area and Professional Staff Type.
(variable Order_Backlog_Hrs_Init)</t>
        </r>
      </text>
    </comment>
    <comment ref="A56" authorId="0" shapeId="0">
      <text>
        <r>
          <rPr>
            <b/>
            <sz val="8"/>
            <rFont val="Arial"/>
            <family val="2"/>
          </rPr>
          <t>The number of qualified sales leads, expressed in
billable hours, at the start of the first time
period, segmented by lead quality and by product.
The least qualified lead categories are listed
first, and the most qualified categories are at
the end of the list.
(variable Sales_Lead_Hrs_Init)</t>
        </r>
      </text>
    </comment>
    <comment ref="A68" authorId="0" shapeId="0">
      <text>
        <r>
          <rPr>
            <b/>
            <sz val="8"/>
            <rFont val="Arial"/>
            <family val="2"/>
          </rPr>
          <t>New qualified sales leads, expressed in billable
hours, segmented by lead quality, Practice Area,
and Professional Staff Type, for each time period.
Sales leads apply to products only, not support.
The least qualified lead categories are listed
first, and the most qualified categories are at
the end of the list.
(variable Sales_Lead_Hrs_New)</t>
        </r>
      </text>
    </comment>
    <comment ref="A88" authorId="0" shapeId="0">
      <text>
        <r>
          <rPr>
            <b/>
            <sz val="8"/>
            <rFont val="Arial"/>
            <family val="2"/>
          </rPr>
          <t>Annualized rate at which qualified sales leads
convert to the next-most qualified lead class or
to sales orders, segmented by lead quality and by
product, for each time period. Sales leads apply
to products only, not support.
The least qualified lead categories are listed
first, and the most qualified categories are at
the end of the list.
(variable Sales_Lead_Hrs_Conv_pct_Yr)</t>
        </r>
      </text>
    </comment>
    <comment ref="A105" authorId="0" shapeId="0">
      <text>
        <r>
          <rPr>
            <b/>
            <sz val="8"/>
            <rFont val="Arial"/>
            <family val="2"/>
          </rPr>
          <t>Annualized rate at which qualified sales leads
expire, segmented by lead quality and by product,
for each time period. Sales leads apply to
products only, not support.
(variable Sales_Lead_Hrs_Expire_pct_Yr)</t>
        </r>
      </text>
    </comment>
    <comment ref="A122" authorId="0" shapeId="0">
      <text>
        <r>
          <rPr>
            <b/>
            <sz val="8"/>
            <rFont val="Arial"/>
            <family val="2"/>
          </rPr>
          <t>Percentage of order backlog that is fulfilled, in
each time period, expressed in billable hours,
segmented by product. Backlog applies to products
only, not support.
(variable Orders_Filled_Hrs_pct)</t>
        </r>
      </text>
    </comment>
    <comment ref="A138" authorId="0" shapeId="0">
      <text>
        <r>
          <rPr>
            <b/>
            <sz val="8"/>
            <rFont val="Arial"/>
            <family val="2"/>
          </rPr>
          <t>Nominal (listed) hourly professional billing
rates, by Practice Area, Prof Staff Type, and time
period. You should enter billing rate data for the
first time period, and for any time period and
product for which the professional billing rate
changes.
(variable Prof_Fees_per_Hr_Nominal)</t>
        </r>
      </text>
    </comment>
    <comment ref="A143" authorId="0" shapeId="0">
      <text>
        <r>
          <rPr>
            <b/>
            <sz val="8"/>
            <rFont val="Arial"/>
            <family val="2"/>
          </rPr>
          <t>The percentage by which average professional
billing rates are reduced from list billing rates,
segmented by job type, by time period. Does not
include discounts for major Engagements.
(variable Prof_Fee_Discount_pct)</t>
        </r>
      </text>
    </comment>
    <comment ref="A148" authorId="0" shapeId="0">
      <text>
        <r>
          <rPr>
            <b/>
            <sz val="8"/>
            <rFont val="Arial"/>
            <family val="2"/>
          </rPr>
          <t>The percentage by which average professional
billing rates are reduced from listed billing
rates, on each major engagement. This rate is
combined with discount rates for the Practice Area
and Professional Staff Type.
(variable Engage_Discount_pct)</t>
        </r>
      </text>
    </comment>
    <comment ref="A153" authorId="0" shapeId="0">
      <text>
        <r>
          <rPr>
            <b/>
            <sz val="8"/>
            <rFont val="Arial"/>
            <family val="2"/>
          </rPr>
          <t>Cost of travel and entertainment per hour of
client services, segmented by Practice Area,
Professional Staff Type, and time period
(variable Cost_Services_TandE_Hr)</t>
        </r>
      </text>
    </comment>
    <comment ref="A161" authorId="0" shapeId="0">
      <text>
        <r>
          <rPr>
            <b/>
            <sz val="8"/>
            <rFont val="Arial"/>
            <family val="2"/>
          </rPr>
          <t>Cost of direct supplies per hour of client
services, segmented by Practice Area, Professional
Staff Type, and time period
(variable Cost_Services_Supplies_Hr)</t>
        </r>
      </text>
    </comment>
    <comment ref="Y183" authorId="0" shapeId="0">
      <text>
        <r>
          <rPr>
            <b/>
            <sz val="8"/>
            <rFont val="Arial"/>
            <family val="2"/>
          </rPr>
          <t>Number of early time periods in which explicit
input data for Professional Staff Headcount (in
variable Prof_Staff_Count_Early) are used, before
the utilization-based formula takes over. 
If the cutoff time is 0, then the the formula
determines Professional Staff Headcount for all
time periods. If the cutoff time is past the end
of model time, then you can specify Professional
Staff Headcount for all time periods.
(variable Prof_Staff_Count_Cutover)</t>
        </r>
      </text>
    </comment>
    <comment ref="A184" authorId="0" shapeId="0">
      <text>
        <r>
          <rPr>
            <b/>
            <sz val="8"/>
            <rFont val="Arial"/>
            <family val="2"/>
          </rPr>
          <t>Professional Staff Headcount for the early part of
the model, given explicitly. Segmented by Practice
Area, by Profesisonal Staff Type, and by time
period. 
After a cutoff time that you specify,
Professional Staff Headcount is determined from
the planned number of billable hours and the
target utilization percent for professional staff.
All headcount by Practice Area and by
Professional Staff Type are later rounded to
half-integers.
(variable Prof_Staff_Count_Early)</t>
        </r>
      </text>
    </comment>
    <comment ref="A189" authorId="0" shapeId="0">
      <text>
        <r>
          <rPr>
            <b/>
            <sz val="8"/>
            <rFont val="Arial"/>
            <family val="2"/>
          </rPr>
          <t>Target utilization percent of professional staff
hours in client engagements and practice
development, segmented by Practice Area, by
Professional Staff Type, and by time period. This
information is used in the model only if billed
professional staff hours are used to project
professional headcount.
If you choose to have the model compute staff
requirements, then this variable and Professional
staff target hours per head are used for this
purpose.
(variable Prof_Staff_Targ_Util_pct)</t>
        </r>
      </text>
    </comment>
    <comment ref="A197" authorId="0" shapeId="0">
      <text>
        <r>
          <rPr>
            <b/>
            <sz val="8"/>
            <rFont val="Arial"/>
            <family val="2"/>
          </rPr>
          <t>Support staff headcount for the first few time
periods, given explicitly as numerical input.
Later headcount is computed from formula count =
K0 + K1 *(revenue/1000)^K2. The cutover from
explicit input data to the revenue-driven formula
is controlled by the variable 'Sup Staff Count
Early Cutover'. Excludes profesional staff. 
All headcount by department and job level is
later rounded to half-integers.
(variable Sup_Staff_Count_Early)</t>
        </r>
      </text>
    </comment>
    <comment ref="Y197" authorId="0" shapeId="0">
      <text>
        <r>
          <rPr>
            <b/>
            <sz val="8"/>
            <rFont val="Arial"/>
            <family val="2"/>
          </rPr>
          <t>Constants K0, K1 and K2 used in the computation of
support staff headcount (by department and job
level) as count = K0 + K1 *(annualized
revenue/1000000)^K2
(variable Sup_Staff_Count_K)</t>
        </r>
      </text>
    </comment>
    <comment ref="Y202" authorId="0" shapeId="0">
      <text>
        <r>
          <rPr>
            <b/>
            <sz val="8"/>
            <rFont val="Arial"/>
            <family val="2"/>
          </rPr>
          <t>Number of early time periods in which explicit
input data for early support staff count (in
variable Sup Staff Count Early) are used, before
the revenue-based formula takes over. Default
cutover is one year.
(variable Sup_Staff_Count_Cutover)</t>
        </r>
      </text>
    </comment>
    <comment ref="A208" authorId="0" shapeId="0">
      <text>
        <r>
          <rPr>
            <b/>
            <sz val="8"/>
            <rFont val="Arial"/>
            <family val="2"/>
          </rPr>
          <t>The average annual salary paid to each
professional staff in the initial time period,
segmented by Practice Area and by Professional
Staff Type. Excludes benefits, bonuses and payroll
taxes. (If the entire model is in $K, then this
should be in $K/year.)
(variable Prof_Staff_Salary_Avg_Initial_Yr)</t>
        </r>
      </text>
    </comment>
    <comment ref="A212" authorId="0" shapeId="0">
      <text>
        <r>
          <rPr>
            <b/>
            <sz val="8"/>
            <rFont val="Arial"/>
            <family val="2"/>
          </rPr>
          <t>The rate of increase of professional salaries. The
variable 'Wage Increase Annual?' determines
whether this rate of increase is interpreted as an
annual rate spread over all time periods, or as
the actual rate that is applied in each time
period.
(variable Prof_Staff_Salary_incr_pct)</t>
        </r>
      </text>
    </comment>
    <comment ref="A215" authorId="0" shapeId="0">
      <text>
        <r>
          <rPr>
            <b/>
            <sz val="8"/>
            <rFont val="Arial"/>
            <family val="2"/>
          </rPr>
          <t>The size of the bonus pool for professional staff
as a percentage of wages, segmented by Practice
Area, by Professional Staff Type, and by time
period
(variable Prof_Staff_Bonus_pct)</t>
        </r>
      </text>
    </comment>
    <comment ref="A220" authorId="0" shapeId="0">
      <text>
        <r>
          <rPr>
            <b/>
            <sz val="8"/>
            <rFont val="Arial"/>
            <family val="2"/>
          </rPr>
          <t>Professional staff benefits expense, as a
percentage of salary, excluding bonuses; segmented
by job type, by time period
(variable Prof_Staff_Benefits_pct)</t>
        </r>
      </text>
    </comment>
    <comment ref="A226" authorId="0" shapeId="0">
      <text>
        <r>
          <rPr>
            <b/>
            <sz val="8"/>
            <rFont val="Arial"/>
            <family val="2"/>
          </rPr>
          <t>The average annual wage per support staff,
segmented by department and job level, in the
initial time period
(variable Sup_Staff_Wage_Avg_Initial_Yr)</t>
        </r>
      </text>
    </comment>
    <comment ref="A230" authorId="0" shapeId="0">
      <text>
        <r>
          <rPr>
            <b/>
            <sz val="8"/>
            <rFont val="Arial"/>
            <family val="2"/>
          </rPr>
          <t>The rate of increase of wage rates for support
staff. The variable 'Wage Increase Annual?'
determines whether this rate of increase is
interpreted as an annual rate spread over all time
periods, or as the actual rate that is applied in
each time period.
(variable Sup_Staff_Wage_incr_pct)</t>
        </r>
      </text>
    </comment>
    <comment ref="A233" authorId="0" shapeId="0">
      <text>
        <r>
          <rPr>
            <b/>
            <sz val="8"/>
            <rFont val="Arial"/>
            <family val="2"/>
          </rPr>
          <t>Bonus pool for support staff as a percentage of
wages, by department and job level, by time period
(variable Sup_Staff_Bonus_pct)</t>
        </r>
      </text>
    </comment>
    <comment ref="A238" authorId="0" shapeId="0">
      <text>
        <r>
          <rPr>
            <b/>
            <sz val="8"/>
            <rFont val="Arial"/>
            <family val="2"/>
          </rPr>
          <t>Support staff benefits expense, as a percentage of
wages, excluding bonuses and commissions
(variable Sup_Staff_Benefits_pct)</t>
        </r>
      </text>
    </comment>
    <comment ref="A241" authorId="0" shapeId="0">
      <text>
        <r>
          <rPr>
            <b/>
            <sz val="8"/>
            <rFont val="Arial"/>
            <family val="2"/>
          </rPr>
          <t>Determines whether the rate of increase in wages
is interpreted as an annual rate or as the rate of
increase that is applied in each time period
(variable Wage_Incr_AnnualQ)</t>
        </r>
      </text>
    </comment>
    <comment ref="A244" authorId="0" shapeId="0">
      <text>
        <r>
          <rPr>
            <b/>
            <sz val="8"/>
            <rFont val="Arial"/>
            <family val="2"/>
          </rPr>
          <t>Payroll tax rate as a percentage of payroll. Wages
and salaries, bonuses and commissions are taxed,
benefits are not taxed.
(variable Wage_Tax_pct)</t>
        </r>
      </text>
    </comment>
    <comment ref="A246" authorId="0" shapeId="0">
      <text>
        <r>
          <rPr>
            <b/>
            <sz val="8"/>
            <rFont val="Arial"/>
            <family val="2"/>
          </rPr>
          <t>The percentage of revenue paid as sales
commissions on those orders that are
commissionable, by time period
(variable Sales_Commis_Rate)</t>
        </r>
      </text>
    </comment>
    <comment ref="A247" authorId="0" shapeId="0">
      <text>
        <r>
          <rPr>
            <b/>
            <sz val="8"/>
            <rFont val="Arial"/>
            <family val="2"/>
          </rPr>
          <t>The fraction of revenue on which commission is
paid, per time period.
(variable Sales_Commis_Rev_Share)</t>
        </r>
      </text>
    </comment>
    <comment ref="F256" authorId="0" shapeId="0">
      <text>
        <r>
          <rPr>
            <b/>
            <sz val="8"/>
            <rFont val="Arial"/>
            <family val="2"/>
          </rPr>
          <t>Percentage of professional staff that turn over
each year, segmented by Practice Area, and by
Professional Staff Type. Used in the computation
of recruiting expense.
Because this variable does not depend on time,
the rollup values are given for the last period of
model time.
(variable Prof_Staff_Turnover_pct_Yr)</t>
        </r>
      </text>
    </comment>
    <comment ref="G256" authorId="0" shapeId="0">
      <text>
        <r>
          <rPr>
            <b/>
            <sz val="8"/>
            <rFont val="Arial"/>
            <family val="2"/>
          </rPr>
          <t>Percentage of employees in the first time period
that incur the normal rate of recruiting activity.
For startups, this is near 100%; for ongoing
businesses, this is zero.
(variable Recruit_pct_Pos_Prof_Init)</t>
        </r>
      </text>
    </comment>
    <comment ref="H256" authorId="0" shapeId="0">
      <text>
        <r>
          <rPr>
            <b/>
            <sz val="8"/>
            <rFont val="Arial"/>
            <family val="2"/>
          </rPr>
          <t>Percentage of open positions that incur recruiting
expense, by department and job level. Does not
apply to the first time period (see
Recruit_pct_Pos_Prof_Init).
(variable Recruit_pct_Positions_Prof)</t>
        </r>
      </text>
    </comment>
    <comment ref="I256" authorId="0" shapeId="0">
      <text>
        <r>
          <rPr>
            <b/>
            <sz val="8"/>
            <rFont val="Arial"/>
            <family val="2"/>
          </rPr>
          <t>Recruiting expense as a percentage of annual
salary, for those professional staff positions
that incur recruiting expense, segmented by job
level and by department.
(variable Recruit_Exp_pct_Comp_Prof)</t>
        </r>
      </text>
    </comment>
    <comment ref="F264" authorId="0" shapeId="0">
      <text>
        <r>
          <rPr>
            <b/>
            <sz val="8"/>
            <rFont val="Arial"/>
            <family val="2"/>
          </rPr>
          <t>Percentage of support staff that turn over each
year, segmented by department and job level, by
time period. Because this variable does not depend
on time, the rollup values are given for the last
period of model time.
(variable Sup_Staff_Turnover_pct_Yr)</t>
        </r>
      </text>
    </comment>
    <comment ref="G264" authorId="0" shapeId="0">
      <text>
        <r>
          <rPr>
            <b/>
            <sz val="8"/>
            <rFont val="Arial"/>
            <family val="2"/>
          </rPr>
          <t>Percentage of employees in the first time period
that incur the normal rate of recruiting activity.
For startups, this is near 100%; for ongoing
businesses, this is zero.
(variable Recruit_pct_Pos_Sup_Init)</t>
        </r>
      </text>
    </comment>
    <comment ref="H264" authorId="0" shapeId="0">
      <text>
        <r>
          <rPr>
            <b/>
            <sz val="8"/>
            <rFont val="Arial"/>
            <family val="2"/>
          </rPr>
          <t>Percentage of open positions that incur recruiting
expense, by department and job level. Does not
apply to the first time period (see
Recruit_pct_Pos_Sup_Init).
(variable Recruit_pct_Positions_Sup)</t>
        </r>
      </text>
    </comment>
    <comment ref="I264" authorId="0" shapeId="0">
      <text>
        <r>
          <rPr>
            <b/>
            <sz val="8"/>
            <rFont val="Arial"/>
            <family val="2"/>
          </rPr>
          <t>Recruiting expense as a percentage of annual
salary or wage, for those support staff positions
that incur recruiting expense, by job level and by
department.
(variable Recruit_Exp_pct_Comp_Sup)</t>
        </r>
      </text>
    </comment>
    <comment ref="A276" authorId="0" shapeId="0">
      <text>
        <r>
          <rPr>
            <b/>
            <sz val="8"/>
            <rFont val="Arial"/>
            <family val="2"/>
          </rPr>
          <t>Marketing department program expenses for early
time periods, segmented by program, by time
period. The variable 'Mktg Pgms Exp Early Cutover'
specifies the last time period in which the data
in this variable is used, after which a
revenue-driven formula is used to compute
marketing program expenses.
(variable Mktg_Pgms_Exp_Early)</t>
        </r>
      </text>
    </comment>
    <comment ref="Y276" authorId="0" shapeId="0">
      <text>
        <r>
          <rPr>
            <b/>
            <sz val="8"/>
            <rFont val="Arial"/>
            <family val="2"/>
          </rPr>
          <t>Constants K0, K1 and K2 used to compute annualized
marketing department program expenses as K0 + K1
*(annualized revenue/1000)^K2. This formula is
used to compute marketing program expenses after
the time specified in variable 'Mktg Pgms Early
Cutover'.
(variable Mktg_Pgms_K)</t>
        </r>
      </text>
    </comment>
    <comment ref="Y281" authorId="0" shapeId="0">
      <text>
        <r>
          <rPr>
            <b/>
            <sz val="8"/>
            <rFont val="Arial"/>
            <family val="2"/>
          </rPr>
          <t>Number of early time periods in which explicit
inputs for early marketing program spending
(variable Mktg_Pgms_Exp_Early) are used in the
model, before the revenue-based formula takes
over. Default cutover is one year.
(variable Mktg_Pgms_Early_Cutover)</t>
        </r>
      </text>
    </comment>
    <comment ref="A286" authorId="0" shapeId="0">
      <text>
        <r>
          <rPr>
            <b/>
            <sz val="8"/>
            <rFont val="Arial"/>
            <family val="2"/>
          </rPr>
          <t>Professional staff heacount devoted to practice
are, segmented by practice area, by job type, by
time period
(variable Practice_Dev_Prof_Staff_Count)</t>
        </r>
      </text>
    </comment>
    <comment ref="A291" authorId="0" shapeId="0">
      <text>
        <r>
          <rPr>
            <b/>
            <sz val="8"/>
            <rFont val="Arial"/>
            <family val="2"/>
          </rPr>
          <t>Support staff heacount devoted to practice are,
segmented by practice area, by department, by job
level, by time period
(variable Practice_Dev_Sup_Staff_Count)</t>
        </r>
      </text>
    </comment>
    <comment ref="A304" authorId="0" shapeId="0">
      <text>
        <r>
          <rPr>
            <b/>
            <sz val="8"/>
            <rFont val="Arial"/>
            <family val="2"/>
          </rPr>
          <t>Average office space (K sqft / person). Applies
only to space that is allocated by employee count,
not to space that is independent of employee
count.
(variable Office_Space_per_Person)</t>
        </r>
      </text>
    </comment>
    <comment ref="A305" authorId="0" shapeId="0">
      <text>
        <r>
          <rPr>
            <b/>
            <sz val="8"/>
            <rFont val="Arial"/>
            <family val="2"/>
          </rPr>
          <t>Office rental expense ($/sqft/Yr), by time period.
Applies only to space that is allocated by
employee count, not to space that is independent
of employee count.
(variable Office_Rent_Rate_Yr)</t>
        </r>
      </text>
    </comment>
    <comment ref="A306" authorId="0" shapeId="0">
      <text>
        <r>
          <rPr>
            <b/>
            <sz val="8"/>
            <rFont val="Arial"/>
            <family val="2"/>
          </rPr>
          <t>Office utilities expense ($/sqft/Yr), by time
period
(variable Office_Utilities_Rate_Yr)</t>
        </r>
      </text>
    </comment>
    <comment ref="A307" authorId="0" shapeId="0">
      <text>
        <r>
          <rPr>
            <b/>
            <sz val="8"/>
            <rFont val="Arial"/>
            <family val="2"/>
          </rPr>
          <t>Office maintenance expense ($/sqft/Yr), by time
period. Applies only to space that is allocated by
employee count, not to space that is independent
of employee count.
(variable Office_Maint_Rate_Yr)</t>
        </r>
      </text>
    </comment>
    <comment ref="A308" authorId="0" shapeId="0">
      <text>
        <r>
          <rPr>
            <b/>
            <sz val="8"/>
            <rFont val="Arial"/>
            <family val="2"/>
          </rPr>
          <t>Annual facilities expense that is no proportional
to employee count
(variable Facil_Other_Exp_Yr)</t>
        </r>
      </text>
    </comment>
    <comment ref="A313" authorId="0" shapeId="0">
      <text>
        <r>
          <rPr>
            <b/>
            <sz val="8"/>
            <rFont val="Arial"/>
            <family val="2"/>
          </rPr>
          <t>Constants K0, K1 and K2 that determine annualized
G &amp; A expense (by department) as K0 + K1
*(annualized revenue/1000)^K2. If recruiting
expense is included in the model, it uses a more
detailed cost analysis, and does not use the K
constants.
(variable G_A_Exp_K)</t>
        </r>
      </text>
    </comment>
    <comment ref="A319" authorId="0" shapeId="0">
      <text>
        <r>
          <rPr>
            <b/>
            <sz val="8"/>
            <rFont val="Arial"/>
            <family val="2"/>
          </rPr>
          <t>Annualized employee-related expense per
professional staff, segmented by professional
staff type, expense type, and by time period
(variable Per_Prof_Staff_Exp_Yr)</t>
        </r>
      </text>
    </comment>
    <comment ref="A326" authorId="0" shapeId="0">
      <text>
        <r>
          <rPr>
            <b/>
            <sz val="8"/>
            <rFont val="Arial"/>
            <family val="2"/>
          </rPr>
          <t>Annualized employee-related expense per support
staff, segmented by department, by expense type,
by time period
(variable Per_Sup_Staff_Exp_Yr)</t>
        </r>
      </text>
    </comment>
    <comment ref="A339" authorId="0" shapeId="0">
      <text>
        <r>
          <rPr>
            <b/>
            <sz val="8"/>
            <rFont val="Arial"/>
            <family val="2"/>
          </rPr>
          <t>Annual interest rate on short-term debt, quoted
for each time period. The model expresses all
input interest rates in annual terms.
(variable Interest_Rate_Short_Yr)</t>
        </r>
      </text>
    </comment>
    <comment ref="A340" authorId="0" shapeId="0">
      <text>
        <r>
          <rPr>
            <b/>
            <sz val="8"/>
            <rFont val="Arial"/>
            <family val="2"/>
          </rPr>
          <t>Annual interest rate on long-term debt, quoted for
each time period. The model expresses all input
interest rates in annual terms.
(variable Interest_Rate_Long_Yr)</t>
        </r>
      </text>
    </comment>
    <comment ref="A341" authorId="0" shapeId="0">
      <text>
        <r>
          <rPr>
            <b/>
            <sz val="8"/>
            <rFont val="Arial"/>
            <family val="2"/>
          </rPr>
          <t>Interest rate earned on average cash balance
during each time period
(variable Interest_Rate_Earned_Cash_Yr)</t>
        </r>
      </text>
    </comment>
    <comment ref="A342" authorId="0" shapeId="0">
      <text>
        <r>
          <rPr>
            <b/>
            <sz val="8"/>
            <rFont val="Arial"/>
            <family val="2"/>
          </rPr>
          <t>Bad debt expense expressed as a percent of
accounts receivable, for each time period
(variable Bad_Debt_pct)</t>
        </r>
      </text>
    </comment>
    <comment ref="A345" authorId="0" shapeId="0">
      <text>
        <r>
          <rPr>
            <b/>
            <sz val="8"/>
            <rFont val="Arial"/>
            <family val="2"/>
          </rPr>
          <t>Income tax rate
(variable Income_Tax_Rate)</t>
        </r>
      </text>
    </comment>
    <comment ref="A348" authorId="0" shapeId="0">
      <text>
        <r>
          <rPr>
            <b/>
            <sz val="8"/>
            <rFont val="Arial"/>
            <family val="2"/>
          </rPr>
          <t>The discount rate to be used, if the
Discount_Method = "direct". Annual rate is quoted
for each time period. The model expresses all
input discount rates in annual terms.
(variable Discount_Rate_Direct_Yr)</t>
        </r>
      </text>
    </comment>
    <comment ref="A357" authorId="0" shapeId="0">
      <text>
        <r>
          <rPr>
            <b/>
            <sz val="8"/>
            <rFont val="Arial"/>
            <family val="2"/>
          </rPr>
          <t>Iniital cash balance at the start of model time
(variable Cash_Initial)</t>
        </r>
      </text>
    </comment>
    <comment ref="A360" authorId="0" shapeId="0">
      <text>
        <r>
          <rPr>
            <b/>
            <sz val="8"/>
            <rFont val="Arial"/>
            <family val="2"/>
          </rPr>
          <t>The target for cash balance at the end of each
accounting period, expressed as a number of days
of revenue. This is the key parameter in the
policy for determining the level of short-term
debt to be carried a the end of each accounting
period.
(variable Cash_Targ_Days)</t>
        </r>
      </text>
    </comment>
    <comment ref="A364" authorId="0" shapeId="0">
      <text>
        <r>
          <rPr>
            <b/>
            <sz val="8"/>
            <rFont val="Arial"/>
            <family val="2"/>
          </rPr>
          <t>Initial value of accounts receivable at the
beginning of model time
(variable Accts_Receivable_Initial)</t>
        </r>
      </text>
    </comment>
    <comment ref="A366" authorId="0" shapeId="0">
      <text>
        <r>
          <rPr>
            <b/>
            <sz val="8"/>
            <rFont val="Arial"/>
            <family val="2"/>
          </rPr>
          <t>The estimated amount of accounts receivable at the
end of a time period, expressed as a number of
days of revenue. Used to compute accounts
receivable.
(variable Accts_Rec_Days)</t>
        </r>
      </text>
    </comment>
    <comment ref="F372" authorId="0" shapeId="0">
      <text>
        <r>
          <rPr>
            <b/>
            <sz val="8"/>
            <rFont val="Arial"/>
            <family val="2"/>
          </rPr>
          <t>The name of each tagged asset
(variable Tagged_Asset_Name)</t>
        </r>
      </text>
    </comment>
    <comment ref="G372" authorId="0" shapeId="0">
      <text>
        <r>
          <rPr>
            <b/>
            <sz val="8"/>
            <rFont val="Arial"/>
            <family val="2"/>
          </rPr>
          <t>Date on which each tagged asset was purchased
(variable Tagged_Asset_Purch_Date)</t>
        </r>
      </text>
    </comment>
    <comment ref="H372" authorId="0" shapeId="0">
      <text>
        <r>
          <rPr>
            <b/>
            <sz val="8"/>
            <rFont val="Arial"/>
            <family val="2"/>
          </rPr>
          <t>Initial asset value of each tagged asset
(variable Tagged_Asset_Init_Value)</t>
        </r>
      </text>
    </comment>
    <comment ref="I372" authorId="0" shapeId="0">
      <text>
        <r>
          <rPr>
            <b/>
            <sz val="8"/>
            <rFont val="Arial"/>
            <family val="2"/>
          </rPr>
          <t>Depreciation method for each tagged asset. Choose
one of SLN, SYD, DDB, or None.
(variable Tagged_Asset_Deprec_Method)</t>
        </r>
      </text>
    </comment>
    <comment ref="J372" authorId="0" shapeId="0">
      <text>
        <r>
          <rPr>
            <b/>
            <sz val="8"/>
            <rFont val="Arial"/>
            <family val="2"/>
          </rPr>
          <t>Depreciation life of each tagged asset
(variable Tagged_Asset_Life_Depr_Yr)</t>
        </r>
      </text>
    </comment>
    <comment ref="K372" authorId="0" shapeId="0">
      <text>
        <r>
          <rPr>
            <b/>
            <sz val="8"/>
            <rFont val="Arial"/>
            <family val="2"/>
          </rPr>
          <t>Physical, useful life of each tagged asset
expressed in years
(variable Tagged_Asset_Life_Phys_Yr)</t>
        </r>
      </text>
    </comment>
    <comment ref="L372" authorId="0" shapeId="0">
      <text>
        <r>
          <rPr>
            <b/>
            <sz val="8"/>
            <rFont val="Arial"/>
            <family val="2"/>
          </rPr>
          <t>Salvage value of each tagged asset
(variable Tagged_Asset_Salvage_Value)</t>
        </r>
      </text>
    </comment>
    <comment ref="F378" authorId="0" shapeId="0">
      <text>
        <r>
          <rPr>
            <b/>
            <sz val="8"/>
            <rFont val="Arial"/>
            <family val="2"/>
          </rPr>
          <t>The name of each tagged asset type
(variable Untagged_Asset_Name)</t>
        </r>
      </text>
    </comment>
    <comment ref="G378" authorId="0" shapeId="0">
      <text>
        <r>
          <rPr>
            <b/>
            <sz val="8"/>
            <rFont val="Arial"/>
            <family val="2"/>
          </rPr>
          <t>The asset life that determines the rate of
depreciation of untagged assets, by type of
untagged asset. In the current implementation,
life must be an integral number of years &lt;= 9.
(variable Untagged_Asset_Life_Yrs)</t>
        </r>
      </text>
    </comment>
    <comment ref="A383" authorId="0" shapeId="0">
      <text>
        <r>
          <rPr>
            <b/>
            <sz val="8"/>
            <rFont val="Arial"/>
            <family val="2"/>
          </rPr>
          <t>Purchases of untagged assets 
1) before the start of model time
2) per new employee
3) ANNUAL purchases per existing employee,
all segmented by long asset type
(variable Untagged_Asset_Purch_Params)</t>
        </r>
      </text>
    </comment>
    <comment ref="A391" authorId="0" shapeId="0">
      <text>
        <r>
          <rPr>
            <b/>
            <sz val="8"/>
            <rFont val="Arial"/>
            <family val="2"/>
          </rPr>
          <t>Initial value of capitalized development at the
start of model time
(variable Dev_Capd_Init)</t>
        </r>
      </text>
    </comment>
    <comment ref="H391" authorId="0" shapeId="0">
      <text>
        <r>
          <rPr>
            <b/>
            <sz val="8"/>
            <rFont val="Arial"/>
            <family val="2"/>
          </rPr>
          <t>The asset life that determines the rate of
depreciation of capitalized development. In the
current implementation, life must be an integral
number of years &lt;= 9.
(variable Dev_Capd_Life_Yrs)</t>
        </r>
      </text>
    </comment>
    <comment ref="A395" authorId="0" shapeId="0">
      <text>
        <r>
          <rPr>
            <b/>
            <sz val="8"/>
            <rFont val="Arial"/>
            <family val="2"/>
          </rPr>
          <t>(variable Practice_Dev_pct_Capd)</t>
        </r>
      </text>
    </comment>
    <comment ref="A406" authorId="0" shapeId="0">
      <text>
        <r>
          <rPr>
            <b/>
            <sz val="8"/>
            <rFont val="Arial"/>
            <family val="2"/>
          </rPr>
          <t>Value of accounts payable at the start of model
time, segmented by payables type
(variable Accts_Payable_Initial)</t>
        </r>
      </text>
    </comment>
    <comment ref="A410" authorId="0" shapeId="0">
      <text>
        <r>
          <rPr>
            <b/>
            <sz val="8"/>
            <rFont val="Arial"/>
            <family val="2"/>
          </rPr>
          <t>The amount of accounts payables at the end of a
time period expressed as a target  number of days
of revenue. Used to compute payables.
(variable Accts_Pay_Targ_Days)</t>
        </r>
      </text>
    </comment>
    <comment ref="A414" authorId="0" shapeId="0">
      <text>
        <r>
          <rPr>
            <b/>
            <sz val="8"/>
            <rFont val="Arial"/>
            <family val="2"/>
          </rPr>
          <t>The amount of short-term debt outstanding at the
end of each time period.
This variable contains a formula that expresses a
policy: the company takes enough short-term loans
to keep cash balances equal to a target number of
days of revenue.
(variable Short_Debt)</t>
        </r>
      </text>
    </comment>
    <comment ref="A421" authorId="0" shapeId="0">
      <text>
        <r>
          <rPr>
            <b/>
            <sz val="8"/>
            <rFont val="Arial"/>
            <family val="2"/>
          </rPr>
          <t>Principal amount of long-term loans (excluding
bonds), by time period
(variable Long_Loans)</t>
        </r>
      </text>
    </comment>
    <comment ref="A430" authorId="0" shapeId="0">
      <text>
        <r>
          <rPr>
            <b/>
            <sz val="8"/>
            <rFont val="Arial"/>
            <family val="2"/>
          </rPr>
          <t>Book value of stock issued less buy-backs, by time
period.
This variable includes a formula that implements
a policy for the sale of stock based on cash
balances and recent rates of change of cash
balances.
(variable Net_Stock_Issue)</t>
        </r>
      </text>
    </comment>
    <comment ref="A432" authorId="0" shapeId="0">
      <text>
        <r>
          <rPr>
            <b/>
            <sz val="8"/>
            <rFont val="Arial"/>
            <family val="2"/>
          </rPr>
          <t>The cash dividend payment in each accounting
period.
The formula in this variable expresses a dividend
policy, based on the relationship between cash
balances and revenue, and previous dividends.</t>
        </r>
      </text>
    </comment>
    <comment ref="A439" authorId="0" shapeId="0">
      <text>
        <r>
          <rPr>
            <b/>
            <sz val="8"/>
            <rFont val="Arial"/>
            <family val="2"/>
          </rPr>
          <t>The ratio (expected cash flow for the next
year)/(plan cash flow for the next year), in each
time period. The probability model assumes that
the annual factors act cumulatively, so that a
reduction in cash flow in the next year affects
all future time periods in the same proportion.
This crude model of compounding of probabilities
captures the essential fact that past variances
from plan are reasonable predictors of future
variances for a long time. 
Time periods that involve the highest risk to
future success have the lowest expectation
factors. For a startup, the early time periods are
more complex, because investment and expense cash
flows are more certain than early revenue flows.
The factor for the last time period applies to
the entire tail cash flow after the end of model
time.
(variable Cash_Flow_Expect_Factor)</t>
        </r>
      </text>
    </comment>
    <comment ref="A440" authorId="0" shapeId="0">
      <text>
        <r>
          <rPr>
            <b/>
            <sz val="8"/>
            <rFont val="Arial"/>
            <family val="2"/>
          </rPr>
          <t>The annual growth rate assumed for the cash flow
occurring after the end of model time. 
The default formula is that the tail growth rate
is half the billable hours growth rate for the
final period of model time.
The model expresses all input growth rates in
annual terms.
(variable Tail_Growth_Rate_Yr)</t>
        </r>
      </text>
    </comment>
    <comment ref="A441" authorId="0" shapeId="0">
      <text>
        <r>
          <rPr>
            <b/>
            <sz val="8"/>
            <rFont val="Arial"/>
            <family val="2"/>
          </rPr>
          <t>The annual discount rate used for the cash flow
occurring after the end of model time. The model
tries to express all input discount rates in
annual terms.
(variable Tail_Discount_Rate_Yr)</t>
        </r>
      </text>
    </comment>
    <comment ref="A443" authorId="0" shapeId="0">
      <text>
        <r>
          <rPr>
            <b/>
            <sz val="8"/>
            <rFont val="Arial"/>
            <family val="2"/>
          </rPr>
          <t>Initial guess for annualized internal rate of
return during model time. (IRR is computed by an
iterative method that requires an initial guess.)
(variable IRR_Guess_no_Tail_Yr)</t>
        </r>
      </text>
    </comment>
    <comment ref="A444" authorId="0" shapeId="0">
      <text>
        <r>
          <rPr>
            <b/>
            <sz val="8"/>
            <rFont val="Arial"/>
            <family val="2"/>
          </rPr>
          <t>Initial guess for annualized internal rate of
return, including estimate of cash flows beyond
the end of model time. (IRR is computed by an
iterative method that requires an initial guess.)
(variable IRR_Guess_w_Tail_Yr)</t>
        </r>
      </text>
    </comment>
  </commentList>
</comments>
</file>

<file path=xl/comments10.xml><?xml version="1.0" encoding="utf-8"?>
<comments xmlns="http://schemas.openxmlformats.org/spreadsheetml/2006/main">
  <authors>
    <author>LOCAL SERVICE</author>
  </authors>
  <commentList>
    <comment ref="A10" authorId="0" shapeId="0">
      <text>
        <r>
          <rPr>
            <b/>
            <sz val="8"/>
            <rFont val="Arial"/>
            <family val="2"/>
          </rPr>
          <t>Professional staff cost applied to client
engagements (including small engagements from the
sales funnel), segmented by Practice Area,
Professional Staff Type, and time period. Includes
cost of professional time applied to engagements
but not billed.
(variable Cost_Services_Staff)</t>
        </r>
      </text>
    </comment>
    <comment ref="A51" authorId="0" shapeId="0">
      <text>
        <r>
          <rPr>
            <b/>
            <sz val="8"/>
            <rFont val="Arial"/>
            <family val="2"/>
          </rPr>
          <t>Cost of travel and entertainment incurred in
client engagements (including small engagements
from the sales funnel). Segmented by Practice
Area, Professional Staff Type, Channel, and time
period.
(variable Cost_Services_TandE)</t>
        </r>
      </text>
    </comment>
    <comment ref="A92" authorId="0" shapeId="0">
      <text>
        <r>
          <rPr>
            <b/>
            <sz val="8"/>
            <rFont val="Arial"/>
            <family val="2"/>
          </rPr>
          <t>Cost of direct supplies incurred in client
engagements (including small engagements from the
sales funnel). Segmented by Practice Area,
Professional Staff Type, Channel, and time period.
(variable Cost_Services_Supplies)</t>
        </r>
      </text>
    </comment>
    <comment ref="A317" authorId="0" shapeId="0">
      <text>
        <r>
          <rPr>
            <b/>
            <sz val="8"/>
            <rFont val="Arial"/>
            <family val="2"/>
          </rPr>
          <t>Percent of theoretical professional staff hours
used in client engagements and practice
development, segmented by Practice Area,
Professional Staff Type, and time period
(variable Prof_Staff_Util_pct)</t>
        </r>
      </text>
    </comment>
    <comment ref="A331" authorId="0" shapeId="0">
      <text>
        <r>
          <rPr>
            <b/>
            <sz val="8"/>
            <rFont val="Arial"/>
            <family val="2"/>
          </rPr>
          <t>Target utilization percent of professional staff
hours in client engagements and practice
development, segmented by Practice Area, by
Professional Staff Type, and by time period. This
information is used in the model only if billed
professional staff hours are used to project
professional headcount.
If you choose to have the model compute staff
requirements, then this variable and Professional
staff target hours per head are used for this
purpose.
(variable Prof_Staff_Targ_Util_pct)</t>
        </r>
      </text>
    </comment>
    <comment ref="A349" authorId="0" shapeId="0">
      <text>
        <r>
          <rPr>
            <b/>
            <sz val="8"/>
            <rFont val="Arial"/>
            <family val="2"/>
          </rPr>
          <t>Professional staff hours applied to client
engagements (including small engagements from the
sales funnel) or practice development. Segmented
by Practice Area, Professional Staff Type, and
time period.
(variable Prof_Staff_Hrs_Applied)</t>
        </r>
      </text>
    </comment>
    <comment ref="A362" authorId="0" shapeId="0">
      <text>
        <r>
          <rPr>
            <b/>
            <sz val="8"/>
            <rFont val="Arial"/>
            <family val="2"/>
          </rPr>
          <t>Professional staff hours not applied to client
engagements (including those from the sales
funnel) or practice development. Segmented by
Practice Area, Professional Staff Type, and time
period.
(variable Prof_Staff_Hrs_Unapplied)</t>
        </r>
      </text>
    </comment>
    <comment ref="A375" authorId="0" shapeId="0">
      <text>
        <r>
          <rPr>
            <b/>
            <sz val="8"/>
            <rFont val="Arial"/>
            <family val="2"/>
          </rPr>
          <t>Cost of professional staff time applied to client
engagements (including small engagements from the
sales funnel), or practice development. Segmented
by Practice Area, Professional Staff Type, and
time period.
(variable Prof_Staff_Cost_Applied)</t>
        </r>
      </text>
    </comment>
    <comment ref="A388" authorId="0" shapeId="0">
      <text>
        <r>
          <rPr>
            <b/>
            <sz val="8"/>
            <rFont val="Arial"/>
            <family val="2"/>
          </rPr>
          <t>Cost of professional staff time not applied to
client Engagements (including small engagements
from the sales funnel) or practice development.
Segmented by Practice Area, Professional Staff
Type, and time period.
(variable Prof_Staff_Cost_Unapplied)</t>
        </r>
      </text>
    </comment>
    <comment ref="A405" authorId="0" shapeId="0">
      <text>
        <r>
          <rPr>
            <b/>
            <sz val="8"/>
            <rFont val="Arial"/>
            <family val="2"/>
          </rPr>
          <t>Hours of professsional staff time billed to client
engagements (includings small engagements from the
sales funnel). Segmented by Practice Area,
Professional Staff Type, Channel, and time period.
(variable Prof_Staff_Hrs_Billed)</t>
        </r>
      </text>
    </comment>
    <comment ref="A446" authorId="0" shapeId="0">
      <text>
        <r>
          <rPr>
            <b/>
            <sz val="8"/>
            <rFont val="Arial"/>
            <family val="2"/>
          </rPr>
          <t>Professional staff hours applied to client
engagements (including small engagements from the
sales funnel) but not billed. Segmented by
Practice Area, Professional Staff Type, and time
period.
(variable Prof_Staff_Hrs_Unbilled)</t>
        </r>
      </text>
    </comment>
    <comment ref="A460" authorId="0" shapeId="0">
      <text>
        <r>
          <rPr>
            <b/>
            <sz val="8"/>
            <rFont val="Arial"/>
            <family val="2"/>
          </rPr>
          <t>Professional staff cost/hour at capacity.
Segmented by Practice Area, Professional Staff
Type, and time period. Includes benefits, payroll
taxes, and general rates of pay increase. 
(variable Prof_Staff_Cost_per_Hr)</t>
        </r>
      </text>
    </comment>
    <comment ref="A477" authorId="0" shapeId="0">
      <text>
        <r>
          <rPr>
            <b/>
            <sz val="8"/>
            <rFont val="Arial"/>
            <family val="2"/>
          </rPr>
          <t>Professional Staff Headcount, segmented by
Practice Area, by Profesisonal Staff Type, and by
time period. The headcount is rounded to
half-integers.
You can set the professional staff headcount
explicitly for time periods before a cutoff time
that you specify. After the cutoff time, headcount
is determined by planned billed staff hours and
professional staff target utilzation. 
If the cutoff time is 0, then the the formula
determines Professional Staff Headcount for all
time periods. If the cutoff time is past the end
of model time, then you can specify Professional
Staff Headcount for all time periods.
(variable Prof_Staff_Count)</t>
        </r>
      </text>
    </comment>
    <comment ref="A491" authorId="0" shapeId="0">
      <text>
        <r>
          <rPr>
            <b/>
            <sz val="8"/>
            <rFont val="Arial"/>
            <family val="2"/>
          </rPr>
          <t>Number of professional staff that turn over each
year and must be replaced. Segmented by Practice
Area, by Professional Staff Type, and by time
period.
This information is used in the computation of
recruiting expense.
(variable Prof_Staff_Turnover)</t>
        </r>
      </text>
    </comment>
    <comment ref="A505" authorId="0" shapeId="0">
      <text>
        <r>
          <rPr>
            <b/>
            <sz val="8"/>
            <rFont val="Arial"/>
            <family val="2"/>
          </rPr>
          <t>Professional staff billable hours capacity,
segmented by Practice Area, by Professional Staff
Type, and by time period
(variable Prof_Staff_Hrs_Capacity)</t>
        </r>
      </text>
    </comment>
    <comment ref="A519" authorId="0" shapeId="0">
      <text>
        <r>
          <rPr>
            <b/>
            <sz val="8"/>
            <rFont val="Arial"/>
            <family val="2"/>
          </rPr>
          <t>Professional staff cost, segmented by Practice
Area, Professional Staff Type, and time period.
Includes salary, benefits, payroll taxes, bonuses.
Also includes the cost of unapplied hours.
(variable Prof_Staff_Cost)</t>
        </r>
      </text>
    </comment>
  </commentList>
</comments>
</file>

<file path=xl/comments11.xml><?xml version="1.0" encoding="utf-8"?>
<comments xmlns="http://schemas.openxmlformats.org/spreadsheetml/2006/main">
  <authors>
    <author>LOCAL SERVICE</author>
  </authors>
  <commentList>
    <comment ref="A8" authorId="0" shapeId="0">
      <text>
        <r>
          <rPr>
            <b/>
            <sz val="8"/>
            <rFont val="Arial"/>
            <family val="2"/>
          </rPr>
          <t>Professional Staff Headcount, segmented by
Practice Area, by Profesisonal Staff Type, and by
time period. The headcount is rounded to
half-integers.
You can set the professional staff headcount
explicitly for time periods before a cutoff time
that you specify. After the cutoff time, headcount
is determined by planned billed staff hours and
professional staff target utilzation. 
If the cutoff time is 0, then the the formula
determines Professional Staff Headcount for all
time periods. If the cutoff time is past the end
of model time, then you can specify Professional
Staff Headcount for all time periods.
(variable Prof_Staff_Count)</t>
        </r>
      </text>
    </comment>
    <comment ref="A22" authorId="0" shapeId="0">
      <text>
        <r>
          <rPr>
            <b/>
            <sz val="8"/>
            <rFont val="Arial"/>
            <family val="2"/>
          </rPr>
          <t>Number of professional staff that turn over each
year and must be replaced. Segmented by Practice
Area, by Professional Staff Type, and by time
period.
This information is used in the computation of
recruiting expense.
(variable Prof_Staff_Turnover)</t>
        </r>
      </text>
    </comment>
    <comment ref="A36" authorId="0" shapeId="0">
      <text>
        <r>
          <rPr>
            <b/>
            <sz val="8"/>
            <rFont val="Arial"/>
            <family val="2"/>
          </rPr>
          <t>Professional staff billable hours capacity,
segmented by Practice Area, by Professional Staff
Type, and by time period
(variable Prof_Staff_Hrs_Capacity)</t>
        </r>
      </text>
    </comment>
    <comment ref="A50" authorId="0" shapeId="0">
      <text>
        <r>
          <rPr>
            <b/>
            <sz val="8"/>
            <rFont val="Arial"/>
            <family val="2"/>
          </rPr>
          <t>Professional staff cost, segmented by Practice
Area, Professional Staff Type, and time period.
Includes salary, benefits, payroll taxes, bonuses.
Also includes the cost of unapplied hours.
(variable Prof_Staff_Cost)</t>
        </r>
      </text>
    </comment>
    <comment ref="A68" authorId="0" shapeId="0">
      <text>
        <r>
          <rPr>
            <b/>
            <sz val="8"/>
            <rFont val="Arial"/>
            <family val="2"/>
          </rPr>
          <t>Percent of theoretical professional staff hours
used in client engagements and practice
development, segmented by Practice Area,
Professional Staff Type, and time period
(variable Prof_Staff_Util_pct)</t>
        </r>
      </text>
    </comment>
    <comment ref="A82" authorId="0" shapeId="0">
      <text>
        <r>
          <rPr>
            <b/>
            <sz val="8"/>
            <rFont val="Arial"/>
            <family val="2"/>
          </rPr>
          <t>Target utilization percent of professional staff
hours in client engagements and practice
development, segmented by Practice Area, by
Professional Staff Type, and by time period. This
information is used in the model only if billed
professional staff hours are used to project
professional headcount.
If you choose to have the model compute staff
requirements, then this variable and Professional
staff target hours per head are used for this
purpose.
(variable Prof_Staff_Targ_Util_pct)</t>
        </r>
      </text>
    </comment>
    <comment ref="A100" authorId="0" shapeId="0">
      <text>
        <r>
          <rPr>
            <b/>
            <sz val="8"/>
            <rFont val="Arial"/>
            <family val="2"/>
          </rPr>
          <t>Hours of professsional staff time billed to client
engagements (includings small engagements from the
sales funnel). Segmented by Practice Area,
Professional Staff Type, Channel, and time period.
(variable Prof_Staff_Hrs_Billed)</t>
        </r>
      </text>
    </comment>
    <comment ref="A141" authorId="0" shapeId="0">
      <text>
        <r>
          <rPr>
            <b/>
            <sz val="8"/>
            <rFont val="Arial"/>
            <family val="2"/>
          </rPr>
          <t>Professional staff hours applied to client
engagements (including small engagements from the
sales funnel) but not billed. Segmented by
Practice Area, Professional Staff Type, and time
period.
(variable Prof_Staff_Hrs_Unbilled)</t>
        </r>
      </text>
    </comment>
    <comment ref="A155" authorId="0" shapeId="0">
      <text>
        <r>
          <rPr>
            <b/>
            <sz val="8"/>
            <rFont val="Arial"/>
            <family val="2"/>
          </rPr>
          <t>Professional staff cost/hour at capacity.
Segmented by Practice Area, Professional Staff
Type, and time period. Includes benefits, payroll
taxes, and general rates of pay increase. 
(variable Prof_Staff_Cost_per_Hr)</t>
        </r>
      </text>
    </comment>
    <comment ref="A173" authorId="0" shapeId="0">
      <text>
        <r>
          <rPr>
            <b/>
            <sz val="8"/>
            <rFont val="Arial"/>
            <family val="2"/>
          </rPr>
          <t>Professional staff hours applied to client
engagements (including small engagements from the
sales funnel) or practice development. Segmented
by Practice Area, Professional Staff Type, and
time period.
(variable Prof_Staff_Hrs_Applied)</t>
        </r>
      </text>
    </comment>
    <comment ref="A186" authorId="0" shapeId="0">
      <text>
        <r>
          <rPr>
            <b/>
            <sz val="8"/>
            <rFont val="Arial"/>
            <family val="2"/>
          </rPr>
          <t>Professional staff hours not applied to client
engagements (including those from the sales
funnel) or practice development. Segmented by
Practice Area, Professional Staff Type, and time
period.
(variable Prof_Staff_Hrs_Unapplied)</t>
        </r>
      </text>
    </comment>
    <comment ref="A199" authorId="0" shapeId="0">
      <text>
        <r>
          <rPr>
            <b/>
            <sz val="8"/>
            <rFont val="Arial"/>
            <family val="2"/>
          </rPr>
          <t>Cost of professional staff time applied to client
engagements (including small engagements from the
sales funnel), or practice development. Segmented
by Practice Area, Professional Staff Type, and
time period.
(variable Prof_Staff_Cost_Applied)</t>
        </r>
      </text>
    </comment>
    <comment ref="A212" authorId="0" shapeId="0">
      <text>
        <r>
          <rPr>
            <b/>
            <sz val="8"/>
            <rFont val="Arial"/>
            <family val="2"/>
          </rPr>
          <t>Cost of professional staff time not applied to
client Engagements (including small engagements
from the sales funnel) or practice development.
Segmented by Practice Area, Professional Staff
Type, and time period.
(variable Prof_Staff_Cost_Unapplied)</t>
        </r>
      </text>
    </comment>
  </commentList>
</comments>
</file>

<file path=xl/comments12.xml><?xml version="1.0" encoding="utf-8"?>
<comments xmlns="http://schemas.openxmlformats.org/spreadsheetml/2006/main">
  <authors>
    <author>LOCAL SERVICE</author>
  </authors>
  <commentList>
    <comment ref="A7" authorId="0" shapeId="0">
      <text>
        <r>
          <rPr>
            <b/>
            <sz val="8"/>
            <rFont val="Arial"/>
            <family val="2"/>
          </rPr>
          <t>Operating expense, segmented by department and
expense type, by time period
(variable Operating_Exp)</t>
        </r>
      </text>
    </comment>
    <comment ref="A16" authorId="0" shapeId="0">
      <text>
        <r>
          <rPr>
            <b/>
            <sz val="8"/>
            <rFont val="Arial"/>
            <family val="2"/>
          </rPr>
          <t>Operating expense, segmented by department and
expense type, by time period
(variable Operating_Exp)</t>
        </r>
      </text>
    </comment>
    <comment ref="A47" authorId="0" shapeId="0">
      <text>
        <r>
          <rPr>
            <b/>
            <sz val="8"/>
            <rFont val="Arial"/>
            <family val="2"/>
          </rPr>
          <t>Marketing department expense, by time period. In
early time periods, specified as explicit numbers;
in later time periods, computed using Cobb-Douglas
function of revenue
(variable Mktg_Expense)</t>
        </r>
      </text>
    </comment>
    <comment ref="A49" authorId="0" shapeId="0">
      <text>
        <r>
          <rPr>
            <b/>
            <sz val="8"/>
            <rFont val="Arial"/>
            <family val="2"/>
          </rPr>
          <t>Marketing department program expenses, by
marketing program, by time period
(variable Mktg_Pgms_Exp)</t>
        </r>
      </text>
    </comment>
    <comment ref="A68" authorId="0" shapeId="0">
      <text>
        <r>
          <rPr>
            <b/>
            <sz val="8"/>
            <rFont val="Arial"/>
            <family val="2"/>
          </rPr>
          <t>Amount of development spending that is capitalized
in each time period. This includes a fixed amount
(per year, allocated to each time period) plus a
percentage of remaining development spending.
(variable Dev_Capd_per_Period)</t>
        </r>
      </text>
    </comment>
    <comment ref="A78" authorId="0" shapeId="0">
      <text>
        <r>
          <rPr>
            <b/>
            <sz val="8"/>
            <rFont val="Arial"/>
            <family val="2"/>
          </rPr>
          <t>Facilities and utilities expense per time period,
segmented by department
(variable Facil_Util_Exp)</t>
        </r>
      </text>
    </comment>
    <comment ref="A83" authorId="0" shapeId="0">
      <text>
        <r>
          <rPr>
            <b/>
            <sz val="8"/>
            <rFont val="Arial"/>
            <family val="2"/>
          </rPr>
          <t>Average office space (K sqft / person). Applies
only to space that is allocated by employee count,
not to space that is independent of employee
count.
(variable Office_Space_per_Person)</t>
        </r>
      </text>
    </comment>
    <comment ref="A85" authorId="0" shapeId="0">
      <text>
        <r>
          <rPr>
            <b/>
            <sz val="8"/>
            <rFont val="Arial"/>
            <family val="2"/>
          </rPr>
          <t>Office rental expense ($/sqft/Yr), by time period.
Applies only to space that is allocated by
employee count, not to space that is independent
of employee count.
(variable Office_Rent_Rate_Yr)</t>
        </r>
      </text>
    </comment>
    <comment ref="A87" authorId="0" shapeId="0">
      <text>
        <r>
          <rPr>
            <b/>
            <sz val="8"/>
            <rFont val="Arial"/>
            <family val="2"/>
          </rPr>
          <t>Office utilities expense ($/sqft/Yr), by time
period
(variable Office_Utilities_Rate_Yr)</t>
        </r>
      </text>
    </comment>
    <comment ref="A89" authorId="0" shapeId="0">
      <text>
        <r>
          <rPr>
            <b/>
            <sz val="8"/>
            <rFont val="Arial"/>
            <family val="2"/>
          </rPr>
          <t>Office maintenance expense ($/sqft/Yr), by time
period. Applies only to space that is allocated by
employee count, not to space that is independent
of employee count.
(variable Office_Maint_Rate_Yr)</t>
        </r>
      </text>
    </comment>
    <comment ref="A96" authorId="0" shapeId="0">
      <text>
        <r>
          <rPr>
            <b/>
            <sz val="8"/>
            <rFont val="Arial"/>
            <family val="2"/>
          </rPr>
          <t>Professional staff-related expenses, segmented by
Practice Area, by Professional Staff Type, expense
type, and by time period
(variable Prof_Staff_Rel_Exp)</t>
        </r>
      </text>
    </comment>
    <comment ref="A146" authorId="0" shapeId="0">
      <text>
        <r>
          <rPr>
            <b/>
            <sz val="8"/>
            <rFont val="Arial"/>
            <family val="2"/>
          </rPr>
          <t>Support staff-related expenses, segmented by
department and expense type
(variable Sup_Staff_Rel_Exp)</t>
        </r>
      </text>
    </comment>
    <comment ref="A163" authorId="0" shapeId="0">
      <text>
        <r>
          <rPr>
            <b/>
            <sz val="8"/>
            <rFont val="Arial"/>
            <family val="2"/>
          </rPr>
          <t>General &amp; administrative expense
(variable Gen_Admin_Exp)</t>
        </r>
      </text>
    </comment>
    <comment ref="A174" authorId="0" shapeId="0">
      <text>
        <r>
          <rPr>
            <b/>
            <sz val="8"/>
            <rFont val="Arial"/>
            <family val="2"/>
          </rPr>
          <t>Amount of purchases, split out by goods and
services, payroll, and income taxes, per period.
Used to compute accounts payable.
(variable Purchases_Short_Term)</t>
        </r>
      </text>
    </comment>
    <comment ref="A185" authorId="0" shapeId="0">
      <text>
        <r>
          <rPr>
            <b/>
            <sz val="8"/>
            <rFont val="Arial"/>
            <family val="2"/>
          </rPr>
          <t>Total recruiting expense for professional and
support staffs. Recruiting expense for support
staff is treated as a G&amp;A operating expense in the
respective departments. Recruiting expense for
professional staff is treated as a G&amp;A operating
expense in the Admin department.
(variable Recruit_Expense)</t>
        </r>
      </text>
    </comment>
    <comment ref="A190" authorId="0" shapeId="0">
      <text>
        <r>
          <rPr>
            <b/>
            <sz val="8"/>
            <rFont val="Arial"/>
            <family val="2"/>
          </rPr>
          <t>Recruiting expense for professional staff,
segmented by department, job level, and time
period. This expense is included in G&amp;A expense in
the account 'Recruiting', in the 'Admin'
department.
(variable Recruit_Exp_Prof)</t>
        </r>
      </text>
    </comment>
    <comment ref="A207" authorId="0" shapeId="0">
      <text>
        <r>
          <rPr>
            <b/>
            <sz val="8"/>
            <rFont val="Arial"/>
            <family val="2"/>
          </rPr>
          <t>Recruiting expense for support staff, segmented by
department, job level, and time period. This
expense is included in G&amp;A expense in the account
'Recruiting', segmented by department.
(variable Recruit_Exp_Sup)</t>
        </r>
      </text>
    </comment>
  </commentList>
</comments>
</file>

<file path=xl/comments13.xml><?xml version="1.0" encoding="utf-8"?>
<comments xmlns="http://schemas.openxmlformats.org/spreadsheetml/2006/main">
  <authors>
    <author>LOCAL SERVICE</author>
  </authors>
  <commentList>
    <comment ref="A7" authorId="0" shapeId="0">
      <text>
        <r>
          <rPr>
            <b/>
            <sz val="8"/>
            <rFont val="Arial"/>
            <family val="2"/>
          </rPr>
          <t>Support staff headcount, segmented by department
and job level, by time period. The support staff
count is rounded to half-integers.
Headcount is determined by explicit input data,
and may be determined by a revenue-driven formula
for later time periods.
(variable Sup_Staff_Count)</t>
        </r>
      </text>
    </comment>
    <comment ref="A12" authorId="0" shapeId="0">
      <text>
        <r>
          <rPr>
            <b/>
            <sz val="8"/>
            <rFont val="Arial"/>
            <family val="2"/>
          </rPr>
          <t>Support staff expense, segmented by job level, by
department, for each time period.
Sales commissions go to the Sales department,
allocated to employees proportional to wage and
salary compensation.
(variable Sup_Staff_Expense)</t>
        </r>
      </text>
    </comment>
    <comment ref="A21" authorId="0" shapeId="0">
      <text>
        <r>
          <rPr>
            <b/>
            <sz val="8"/>
            <rFont val="Arial"/>
            <family val="2"/>
          </rPr>
          <t>Support staff headcount, segmented by department
and job level, by time period. The support staff
count is rounded to half-integers.
Headcount is determined by explicit input data,
and may be determined by a revenue-driven formula
for later time periods.
(variable Sup_Staff_Count)</t>
        </r>
      </text>
    </comment>
    <comment ref="A35" authorId="0" shapeId="0">
      <text>
        <r>
          <rPr>
            <b/>
            <sz val="8"/>
            <rFont val="Arial"/>
            <family val="2"/>
          </rPr>
          <t>Number of support staff that turn over each year,
segmented by department and job level, by time
period
(variable Sup_Staff_Turnover)</t>
        </r>
      </text>
    </comment>
    <comment ref="A49" authorId="0" shapeId="0">
      <text>
        <r>
          <rPr>
            <b/>
            <sz val="8"/>
            <rFont val="Arial"/>
            <family val="2"/>
          </rPr>
          <t>Number of support staff that are recruited,
segmented by department, job level, and by time
period
(variable Sup_Staff_Recruited)</t>
        </r>
      </text>
    </comment>
    <comment ref="A65" authorId="0" shapeId="0">
      <text>
        <r>
          <rPr>
            <b/>
            <sz val="8"/>
            <rFont val="Arial"/>
            <family val="2"/>
          </rPr>
          <t>Support staff expense, segmented by job level, by
department, for each time period.
Sales commissions go to the Sales department,
allocated to employees proportional to wage and
salary compensation.
(variable Sup_Staff_Expense)</t>
        </r>
      </text>
    </comment>
    <comment ref="A79" authorId="0" shapeId="0">
      <text>
        <r>
          <rPr>
            <b/>
            <sz val="8"/>
            <rFont val="Arial"/>
            <family val="2"/>
          </rPr>
          <t>Support staff wage expense per time period,
segmented by department, by job level. Excludes
benefits, payroll taxes, bonuses and commissions.
(variable Sup_Staff_Wage_Expense)</t>
        </r>
      </text>
    </comment>
    <comment ref="A93" authorId="0" shapeId="0">
      <text>
        <r>
          <rPr>
            <b/>
            <sz val="8"/>
            <rFont val="Arial"/>
            <family val="2"/>
          </rPr>
          <t>The average wage per support staff per time
period, segmented by department and job level
(variable Sup_Staff_Wage_Avg)</t>
        </r>
      </text>
    </comment>
    <comment ref="A107" authorId="0" shapeId="0">
      <text>
        <r>
          <rPr>
            <b/>
            <sz val="8"/>
            <rFont val="Arial"/>
            <family val="2"/>
          </rPr>
          <t>The rate of increase of professional salaries. The
variable 'Wage Increase Annual?' determines
whether this rate of increase is interpreted as an
annual rate spread over all time periods, or as
the actual rate that is applied in each time
period.
(variable Prof_Staff_Salary_incr_pct)</t>
        </r>
      </text>
    </comment>
    <comment ref="A112" authorId="0" shapeId="0">
      <text>
        <r>
          <rPr>
            <b/>
            <sz val="8"/>
            <rFont val="Arial"/>
            <family val="2"/>
          </rPr>
          <t>The bonus pool for support staff, segmented by
department, by job level, by time period
(variable Sup_Staff_Bonus)</t>
        </r>
      </text>
    </comment>
    <comment ref="A126" authorId="0" shapeId="0">
      <text>
        <r>
          <rPr>
            <b/>
            <sz val="8"/>
            <rFont val="Arial"/>
            <family val="2"/>
          </rPr>
          <t>Support staff-related expenses, segmented by
department and expense type
(variable Sup_Staff_Rel_Exp)</t>
        </r>
      </text>
    </comment>
  </commentList>
</comments>
</file>

<file path=xl/comments14.xml><?xml version="1.0" encoding="utf-8"?>
<comments xmlns="http://schemas.openxmlformats.org/spreadsheetml/2006/main">
  <authors>
    <author>LOCAL SERVICE</author>
  </authors>
  <commentList>
    <comment ref="A8" authorId="0" shapeId="0">
      <text>
        <r>
          <rPr>
            <b/>
            <sz val="8"/>
            <rFont val="Arial"/>
            <family val="2"/>
          </rPr>
          <t>Financial expense = bad debt expense + interest
expense
(variable Financial_Exp)</t>
        </r>
      </text>
    </comment>
    <comment ref="A10" authorId="0" shapeId="0">
      <text>
        <r>
          <rPr>
            <b/>
            <sz val="8"/>
            <rFont val="Arial"/>
            <family val="2"/>
          </rPr>
          <t>The amount of bad debt expense in each accounting
period.
(variable Bad_Debt_Exp)</t>
        </r>
      </text>
    </comment>
    <comment ref="A11" authorId="0" shapeId="0">
      <text>
        <r>
          <rPr>
            <b/>
            <sz val="8"/>
            <rFont val="Arial"/>
            <family val="2"/>
          </rPr>
          <t>Bad debt expense expressed as a percent of
accounts receivable, for each time period
(variable Bad_Debt_pct)</t>
        </r>
      </text>
    </comment>
    <comment ref="A13" authorId="0" shapeId="0">
      <text>
        <r>
          <rPr>
            <b/>
            <sz val="8"/>
            <rFont val="Arial"/>
            <family val="2"/>
          </rPr>
          <t>Interest expense on short-term debt, long-term
loans, and bonds (including bond initiation fees),
net of interest earned on starting cash balance,
for each time period.
Use of starting cash balance is a simplification
that bypasses interdependence of interest earned
and cash balances.
(variable Interest_Exp_Net)</t>
        </r>
      </text>
    </comment>
    <comment ref="A14" authorId="0" shapeId="0">
      <text>
        <r>
          <rPr>
            <b/>
            <sz val="8"/>
            <rFont val="Arial"/>
            <family val="2"/>
          </rPr>
          <t>Annual interest rate on short-term debt, quoted
for each time period. The model expresses all
input interest rates in annual terms.
(variable Interest_Rate_Short_Yr)</t>
        </r>
      </text>
    </comment>
    <comment ref="A15" authorId="0" shapeId="0">
      <text>
        <r>
          <rPr>
            <b/>
            <sz val="8"/>
            <rFont val="Arial"/>
            <family val="2"/>
          </rPr>
          <t>Annual interest rate on long-term debt, quoted for
each time period. The model expresses all input
interest rates in annual terms.
(variable Interest_Rate_Long_Yr)</t>
        </r>
      </text>
    </comment>
    <comment ref="A16" authorId="0" shapeId="0">
      <text>
        <r>
          <rPr>
            <b/>
            <sz val="8"/>
            <rFont val="Arial"/>
            <family val="2"/>
          </rPr>
          <t>Interest rate earned on average cash balance
during each time period
(variable Interest_Rate_Earned_Cash_Yr)</t>
        </r>
      </text>
    </comment>
    <comment ref="A22" authorId="0" shapeId="0">
      <text>
        <r>
          <rPr>
            <b/>
            <sz val="8"/>
            <rFont val="Arial"/>
            <family val="2"/>
          </rPr>
          <t>Income subject to income tax. Applicable losses
carried forward from previous time periods are
already subtracted.
(variable Taxable_Income)</t>
        </r>
      </text>
    </comment>
    <comment ref="A23" authorId="0" shapeId="0">
      <text>
        <r>
          <rPr>
            <b/>
            <sz val="8"/>
            <rFont val="Arial"/>
            <family val="2"/>
          </rPr>
          <t>Income tax expense for each time period
(variable Income_Tax)</t>
        </r>
      </text>
    </comment>
    <comment ref="A24" authorId="0" shapeId="0">
      <text>
        <r>
          <rPr>
            <b/>
            <sz val="8"/>
            <rFont val="Arial"/>
            <family val="2"/>
          </rPr>
          <t>Income tax rate
(variable Income_Tax_Rate)</t>
        </r>
      </text>
    </comment>
    <comment ref="A25" authorId="0" shapeId="0">
      <text>
        <r>
          <rPr>
            <b/>
            <sz val="8"/>
            <rFont val="Arial"/>
            <family val="2"/>
          </rPr>
          <t>Losses carried forward from preivous time periods,
for use in computation of income tax expense
(variable Loss_Forward)</t>
        </r>
      </text>
    </comment>
  </commentList>
</comments>
</file>

<file path=xl/comments15.xml><?xml version="1.0" encoding="utf-8"?>
<comments xmlns="http://schemas.openxmlformats.org/spreadsheetml/2006/main">
  <authors>
    <author>LOCAL SERVICE</author>
  </authors>
  <commentList>
    <comment ref="A8" authorId="0" shapeId="0">
      <text>
        <r>
          <rPr>
            <b/>
            <sz val="8"/>
            <rFont val="Arial"/>
            <family val="2"/>
          </rPr>
          <t>The amount of cash on hand a the start of each
time period
(variable Cash_Starting)</t>
        </r>
      </text>
    </comment>
    <comment ref="A9" authorId="0" shapeId="0">
      <text>
        <r>
          <rPr>
            <b/>
            <sz val="8"/>
            <rFont val="Arial"/>
            <family val="2"/>
          </rPr>
          <t>Cash balance at the end of each accounting period
(variable Cash)</t>
        </r>
      </text>
    </comment>
    <comment ref="A10" authorId="0" shapeId="0">
      <text>
        <r>
          <rPr>
            <b/>
            <sz val="8"/>
            <rFont val="Arial"/>
            <family val="2"/>
          </rPr>
          <t>The target for cash balance at the end of each
accounting period, expressed as a number of days
of revenue. This is the key parameter in the
policy for determining the level of short-term
debt to be carried a the end of each accounting
period.
(variable Cash_Targ_Days)</t>
        </r>
      </text>
    </comment>
    <comment ref="A12" authorId="0" shapeId="0">
      <text>
        <r>
          <rPr>
            <b/>
            <sz val="8"/>
            <rFont val="Arial"/>
            <family val="2"/>
          </rPr>
          <t>The estimated amount of accounts receivable at the
end of a time period
(variable Accts_Receivable)</t>
        </r>
      </text>
    </comment>
    <comment ref="A13" authorId="0" shapeId="0">
      <text>
        <r>
          <rPr>
            <b/>
            <sz val="8"/>
            <rFont val="Arial"/>
            <family val="2"/>
          </rPr>
          <t>The estimated amount of accounts receivable at the
end of a time period, expressed as a number of
days of revenue. Used to compute accounts
receivable.
(variable Accts_Rec_Days)</t>
        </r>
      </text>
    </comment>
    <comment ref="A20" authorId="0" shapeId="0">
      <text>
        <r>
          <rPr>
            <b/>
            <sz val="8"/>
            <rFont val="Arial"/>
            <family val="2"/>
          </rPr>
          <t>Value of long term assets, including tagged and
untagged long-term assets, by time period, 
(variable Long_Assets)</t>
        </r>
      </text>
    </comment>
    <comment ref="A21" authorId="0" shapeId="0">
      <text>
        <r>
          <rPr>
            <b/>
            <sz val="8"/>
            <rFont val="Arial"/>
            <family val="2"/>
          </rPr>
          <t>Value of purchases of long term assets, including
tagged and untagged long-term assets, by time
period
(variable Long_Asset_Purch)</t>
        </r>
      </text>
    </comment>
    <comment ref="A22" authorId="0" shapeId="0">
      <text>
        <r>
          <rPr>
            <b/>
            <sz val="8"/>
            <rFont val="Arial"/>
            <family val="2"/>
          </rPr>
          <t>Depreciation expense during each accounting
period, segmented by type of asset (hardware,
software, equipment &amp; furniture)</t>
        </r>
      </text>
    </comment>
    <comment ref="B25" authorId="0" shapeId="0">
      <text>
        <r>
          <rPr>
            <b/>
            <sz val="8"/>
            <rFont val="Arial"/>
            <family val="2"/>
          </rPr>
          <t>The name of each tagged asset
(variable Tagged_Asset_Name)</t>
        </r>
      </text>
    </comment>
    <comment ref="C25" authorId="0" shapeId="0">
      <text>
        <r>
          <rPr>
            <b/>
            <sz val="8"/>
            <rFont val="Arial"/>
            <family val="2"/>
          </rPr>
          <t>Date on which each tagged asset was purchased
(variable Tagged_Asset_Purch_Date)</t>
        </r>
      </text>
    </comment>
    <comment ref="D25" authorId="0" shapeId="0">
      <text>
        <r>
          <rPr>
            <b/>
            <sz val="8"/>
            <rFont val="Arial"/>
            <family val="2"/>
          </rPr>
          <t>Initial asset value of each tagged asset
(variable Tagged_Asset_Init_Value)</t>
        </r>
      </text>
    </comment>
    <comment ref="E25" authorId="0" shapeId="0">
      <text>
        <r>
          <rPr>
            <b/>
            <sz val="8"/>
            <rFont val="Arial"/>
            <family val="2"/>
          </rPr>
          <t>Depreciation method for each tagged asset. Choose
one of SLN, SYD, DDB, or None.
(variable Tagged_Asset_Deprec_Method)</t>
        </r>
      </text>
    </comment>
    <comment ref="F25" authorId="0" shapeId="0">
      <text>
        <r>
          <rPr>
            <b/>
            <sz val="8"/>
            <rFont val="Arial"/>
            <family val="2"/>
          </rPr>
          <t>Depreciation life of each tagged asset
(variable Tagged_Asset_Life_Depr_Yr)</t>
        </r>
      </text>
    </comment>
    <comment ref="G25" authorId="0" shapeId="0">
      <text>
        <r>
          <rPr>
            <b/>
            <sz val="8"/>
            <rFont val="Arial"/>
            <family val="2"/>
          </rPr>
          <t>Physical, useful life of each tagged asset
expressed in years
(variable Tagged_Asset_Life_Phys_Yr)</t>
        </r>
      </text>
    </comment>
    <comment ref="H25" authorId="0" shapeId="0">
      <text>
        <r>
          <rPr>
            <b/>
            <sz val="8"/>
            <rFont val="Arial"/>
            <family val="2"/>
          </rPr>
          <t>Salvage value of each tagged asset
(variable Tagged_Asset_Salvage_Value)</t>
        </r>
      </text>
    </comment>
    <comment ref="A30" authorId="0" shapeId="0">
      <text>
        <r>
          <rPr>
            <b/>
            <sz val="8"/>
            <rFont val="Arial"/>
            <family val="2"/>
          </rPr>
          <t>The book value of each tagged asset, by time
period
(variable Tagged_Assets)</t>
        </r>
      </text>
    </comment>
    <comment ref="A35" authorId="0" shapeId="0">
      <text>
        <r>
          <rPr>
            <b/>
            <sz val="8"/>
            <rFont val="Arial"/>
            <family val="2"/>
          </rPr>
          <t>The purchase amount of each tagged asset, assigned
to the time period that includes the purchase
date. This variable is needed to express the
purchase value in a time-dependent table needed
for depreciation computations.
(variable Tagged_Asset_Purch)</t>
        </r>
      </text>
    </comment>
    <comment ref="A40" authorId="0" shapeId="0">
      <text>
        <r>
          <rPr>
            <b/>
            <sz val="8"/>
            <rFont val="Arial"/>
            <family val="2"/>
          </rPr>
          <t>Depreciation expense for each tagged asset, by
time period. Possible values are "SLN" (linear),
"SYD" (sum of digits), and "DDB" (double declining
balance); the default method is "SLN".
(variable Tagged_Asset_Deprec)</t>
        </r>
      </text>
    </comment>
    <comment ref="A45" authorId="0" shapeId="0">
      <text>
        <r>
          <rPr>
            <b/>
            <sz val="8"/>
            <rFont val="Arial"/>
            <family val="2"/>
          </rPr>
          <t>The salvage value of each tagged asset, assigned
to the time period that includes the end of life.
This variable is needed to express the salvage
value in a time-dependent table needed for cash
flow computations.
(variable Tagged_Asset_Salvage_CF)</t>
        </r>
      </text>
    </comment>
    <comment ref="B53" authorId="0" shapeId="0">
      <text>
        <r>
          <rPr>
            <b/>
            <sz val="8"/>
            <rFont val="Arial"/>
            <family val="2"/>
          </rPr>
          <t>The name of each tagged asset type
(variable Untagged_Asset_Name)</t>
        </r>
      </text>
    </comment>
    <comment ref="C53" authorId="0" shapeId="0">
      <text>
        <r>
          <rPr>
            <b/>
            <sz val="8"/>
            <rFont val="Arial"/>
            <family val="2"/>
          </rPr>
          <t>The asset life that determines the rate of
depreciation of untagged assets, by type of
untagged asset. In the current implementation,
life must be an integral number of years &lt;= 9.
(variable Untagged_Asset_Life_Yrs)</t>
        </r>
      </text>
    </comment>
    <comment ref="A58" authorId="0" shapeId="0">
      <text>
        <r>
          <rPr>
            <b/>
            <sz val="8"/>
            <rFont val="Arial"/>
            <family val="2"/>
          </rPr>
          <t>The book value of each type of untagged asset, by
time period
(variable Untagged_Assets)</t>
        </r>
      </text>
    </comment>
    <comment ref="A63" authorId="0" shapeId="0">
      <text>
        <r>
          <rPr>
            <b/>
            <sz val="8"/>
            <rFont val="Arial"/>
            <family val="2"/>
          </rPr>
          <t>Purchases of untagged assets, segmented by type of
untagged assets, by time period. The model
computes initial purchases, purchases per new
headcount, and per existing headcount.
(variable Untagged_Asset_Purch)</t>
        </r>
      </text>
    </comment>
    <comment ref="A68" authorId="0" shapeId="0">
      <text>
        <r>
          <rPr>
            <b/>
            <sz val="8"/>
            <rFont val="Arial"/>
            <family val="2"/>
          </rPr>
          <t>Depreciation expense for each type of untagged
asset, with individual untagged assets combined,
by time period purchased. 
Untagged assets are those not worth the effort to
track separately (e.g. desks, PCs). Depreciation
method is declining balance, with remaining book
value depreciated in the final year of life.
(variable Untagged_Asset_Deprec)</t>
        </r>
      </text>
    </comment>
    <comment ref="A78" authorId="0" shapeId="0">
      <text>
        <r>
          <rPr>
            <b/>
            <sz val="8"/>
            <rFont val="Arial"/>
            <family val="2"/>
          </rPr>
          <t>Book value of capitalized development, by time
period
(variable Dev_Capd_Asset)</t>
        </r>
      </text>
    </comment>
    <comment ref="A83" authorId="0" shapeId="0">
      <text>
        <r>
          <rPr>
            <b/>
            <sz val="8"/>
            <rFont val="Arial"/>
            <family val="2"/>
          </rPr>
          <t>Amount of development spending that is capitalized
in each time period. This includes a fixed amount
(per year, allocated to each time period) plus a
percentage of remaining development spending.
(variable Dev_Capd_per_Period)</t>
        </r>
      </text>
    </comment>
    <comment ref="A88" authorId="0" shapeId="0">
      <text>
        <r>
          <rPr>
            <b/>
            <sz val="8"/>
            <rFont val="Arial"/>
            <family val="2"/>
          </rPr>
          <t>Depreciation expense for capitalized development
by time period
(variable Dev_Capd_Deprec)</t>
        </r>
      </text>
    </comment>
  </commentList>
</comments>
</file>

<file path=xl/comments16.xml><?xml version="1.0" encoding="utf-8"?>
<comments xmlns="http://schemas.openxmlformats.org/spreadsheetml/2006/main">
  <authors>
    <author>LOCAL SERVICE</author>
  </authors>
  <commentList>
    <comment ref="A8" authorId="0" shapeId="0">
      <text>
        <r>
          <rPr>
            <b/>
            <sz val="8"/>
            <rFont val="Arial"/>
            <family val="2"/>
          </rPr>
          <t>The amount of accounts payable balance at the end
of a time period. Purchases of supplies inventory
are assumed purchased on a cash basis.
(variable Accts_Payable)</t>
        </r>
      </text>
    </comment>
    <comment ref="A14" authorId="0" shapeId="0">
      <text>
        <r>
          <rPr>
            <b/>
            <sz val="8"/>
            <rFont val="Arial"/>
            <family val="2"/>
          </rPr>
          <t>The amount of accounts payables at the end of a
time period measured as a number of days of
revenue
(variable Accts_Pay_Days)</t>
        </r>
      </text>
    </comment>
    <comment ref="A20" authorId="0" shapeId="0">
      <text>
        <r>
          <rPr>
            <b/>
            <sz val="8"/>
            <rFont val="Arial"/>
            <family val="2"/>
          </rPr>
          <t>The amount of short-term debt outstanding at the
end of each time period.
This variable contains a formula that expresses a
policy: the company takes enough short-term loans
to keep cash balances equal to a target number of
days of revenue.
(variable Short_Debt)</t>
        </r>
      </text>
    </comment>
    <comment ref="A26" authorId="0" shapeId="0">
      <text>
        <r>
          <rPr>
            <b/>
            <sz val="8"/>
            <rFont val="Arial"/>
            <family val="2"/>
          </rPr>
          <t>Principal amount of long-term loans (excluding
bonds), by time period
(variable Long_Loans)</t>
        </r>
      </text>
    </comment>
  </commentList>
</comments>
</file>

<file path=xl/comments17.xml><?xml version="1.0" encoding="utf-8"?>
<comments xmlns="http://schemas.openxmlformats.org/spreadsheetml/2006/main">
  <authors>
    <author>LOCAL SERVICE</author>
  </authors>
  <commentList>
    <comment ref="A6" authorId="0" shapeId="0">
      <text>
        <r>
          <rPr>
            <b/>
            <sz val="8"/>
            <rFont val="Arial"/>
            <family val="2"/>
          </rPr>
          <t>Book value of equity, segmented by paid-in capital
and retained earnings</t>
        </r>
      </text>
    </comment>
    <comment ref="A11" authorId="0" shapeId="0">
      <text>
        <r>
          <rPr>
            <b/>
            <sz val="8"/>
            <rFont val="Arial"/>
            <family val="2"/>
          </rPr>
          <t>Book value of stock issued less buy-backs, by time
period.
This variable includes a formula that implements
a policy for the sale of stock based on cash
balances and recent rates of change of cash
balances.
(variable Net_Stock_Issue)</t>
        </r>
      </text>
    </comment>
    <comment ref="A13" authorId="0" shapeId="0">
      <text>
        <r>
          <rPr>
            <b/>
            <sz val="8"/>
            <rFont val="Arial"/>
            <family val="2"/>
          </rPr>
          <t>The cash dividend payment in each accounting
period.
The formula in this variable expresses a dividend
policy, based on the relationship between cash
balances and revenue, and previous dividends.</t>
        </r>
      </text>
    </comment>
    <comment ref="A14" authorId="0" shapeId="0">
      <text>
        <r>
          <rPr>
            <b/>
            <sz val="8"/>
            <rFont val="Arial"/>
            <family val="2"/>
          </rPr>
          <t>The cash dividend payment in each accounting
period expressed as a percentage of equity
valuation
(variable Dividend_Yield)</t>
        </r>
      </text>
    </comment>
    <comment ref="A16" authorId="0" shapeId="0">
      <text>
        <r>
          <rPr>
            <b/>
            <sz val="8"/>
            <rFont val="Arial"/>
            <family val="2"/>
          </rPr>
          <t>Annualized internal rate of return for model time,
excluding cash flows in tail after model time
(variable IRR_no_Tail_Yr)</t>
        </r>
      </text>
    </comment>
    <comment ref="A17" authorId="0" shapeId="0">
      <text>
        <r>
          <rPr>
            <b/>
            <sz val="8"/>
            <rFont val="Arial"/>
            <family val="2"/>
          </rPr>
          <t>Annualized internal rate of return for cash flow
in model time periods and in tail after model time
(variable IRR_w_Tail_Yr)</t>
        </r>
      </text>
    </comment>
  </commentList>
</comments>
</file>

<file path=xl/comments18.xml><?xml version="1.0" encoding="utf-8"?>
<comments xmlns="http://schemas.openxmlformats.org/spreadsheetml/2006/main">
  <authors>
    <author>LOCAL SERVICE</author>
  </authors>
  <commentList>
    <comment ref="A6" authorId="0" shapeId="0">
      <text>
        <r>
          <rPr>
            <b/>
            <sz val="8"/>
            <rFont val="Arial"/>
            <family val="2"/>
          </rPr>
          <t>Valuation of the equity of the company at each
point in time, assuming that the company has met
plan in all past time periods, using cash flows
(including tail cash flows occurring after the end
of model time), expectation factors for cash flow,
and specified discount rates during model time and
after the end of model time. 
(variable Valuation_Equity)</t>
        </r>
      </text>
    </comment>
    <comment ref="A8" authorId="0" shapeId="0">
      <text>
        <r>
          <rPr>
            <b/>
            <sz val="8"/>
            <rFont val="Arial"/>
            <family val="2"/>
          </rPr>
          <t>Equity cash flow at the end of each accounting
period adjusted to cancel out non-equity
transactions (such as changes in short and long
term debt and bonds)
(variable Cash_Flow_Equity)</t>
        </r>
      </text>
    </comment>
    <comment ref="A11" authorId="0" shapeId="0">
      <text>
        <r>
          <rPr>
            <b/>
            <sz val="8"/>
            <rFont val="Arial"/>
            <family val="2"/>
          </rPr>
          <t>The value of cash flows assumed to occur after the
end of model time, discounted to the present value
at the end of model time. An asset value for this
future cash flow is included in the valuation of
the equity of the company.
(variable Tail_Future_Value)</t>
        </r>
      </text>
    </comment>
    <comment ref="A12" authorId="0" shapeId="0">
      <text>
        <r>
          <rPr>
            <b/>
            <sz val="8"/>
            <rFont val="Arial"/>
            <family val="2"/>
          </rPr>
          <t>The annual growth rate assumed for the cash flow
occurring after the end of model time. 
The default formula is that the tail growth rate
is half the billable hours growth rate for the
final period of model time.
The model expresses all input growth rates in
annual terms.
(variable Tail_Growth_Rate_Yr)</t>
        </r>
      </text>
    </comment>
    <comment ref="A13" authorId="0" shapeId="0">
      <text>
        <r>
          <rPr>
            <b/>
            <sz val="8"/>
            <rFont val="Arial"/>
            <family val="2"/>
          </rPr>
          <t>The annual discount rate used for the cash flow
occurring after the end of model time. The model
tries to express all input discount rates in
annual terms.
(variable Tail_Discount_Rate_Yr)</t>
        </r>
      </text>
    </comment>
    <comment ref="A17" authorId="0" shapeId="0">
      <text>
        <r>
          <rPr>
            <b/>
            <sz val="8"/>
            <rFont val="Arial"/>
            <family val="2"/>
          </rPr>
          <t>The discount rate per time period for computing
present values
(variable Discount_Rate)</t>
        </r>
      </text>
    </comment>
    <comment ref="A18" authorId="0" shapeId="0">
      <text>
        <r>
          <rPr>
            <b/>
            <sz val="8"/>
            <rFont val="Arial"/>
            <family val="2"/>
          </rPr>
          <t>The factor applied to cash flow in each time
period to compute its contribution to present
value
(variable Discount_Factor)</t>
        </r>
      </text>
    </comment>
  </commentList>
</comments>
</file>

<file path=xl/comments19.xml><?xml version="1.0" encoding="utf-8"?>
<comments xmlns="http://schemas.openxmlformats.org/spreadsheetml/2006/main">
  <authors>
    <author>LOCAL SERVICE</author>
  </authors>
  <commentList>
    <comment ref="B6" authorId="0" shapeId="0">
      <text>
        <r>
          <rPr>
            <b/>
            <sz val="8"/>
            <rFont val="Arial"/>
            <family val="2"/>
          </rPr>
          <t>The amount of accounts payables at the end of a
time period measured as a number of days of
revenue
(variable Accts_Pay_Days)</t>
        </r>
      </text>
    </comment>
    <comment ref="B8" authorId="0" shapeId="0">
      <text>
        <r>
          <rPr>
            <b/>
            <sz val="8"/>
            <rFont val="Arial"/>
            <family val="2"/>
          </rPr>
          <t>The amount of accounts payables at the end of a
time period expressed as a target  number of days
of revenue. Used to compute payables.
(variable Accts_Pay_Targ_Days)</t>
        </r>
      </text>
    </comment>
    <comment ref="B10" authorId="0" shapeId="0">
      <text>
        <r>
          <rPr>
            <b/>
            <sz val="8"/>
            <rFont val="Arial"/>
            <family val="2"/>
          </rPr>
          <t>The amount of accounts payable balance at the end
of a time period. Purchases of supplies inventory
are assumed purchased on a cash basis.
(variable Accts_Payable)</t>
        </r>
      </text>
    </comment>
    <comment ref="B12" authorId="0" shapeId="0">
      <text>
        <r>
          <rPr>
            <b/>
            <sz val="8"/>
            <rFont val="Arial"/>
            <family val="2"/>
          </rPr>
          <t>Value of accounts payable at the start of model
time, segmented by payables type
(variable Accts_Payable_Initial)</t>
        </r>
      </text>
    </comment>
    <comment ref="B14" authorId="0" shapeId="0">
      <text>
        <r>
          <rPr>
            <b/>
            <sz val="8"/>
            <rFont val="Arial"/>
            <family val="2"/>
          </rPr>
          <t>The estimated amount of accounts receivable at the
end of a time period, expressed as a number of
days of revenue. Used to compute accounts
receivable.
(variable Accts_Rec_Days)</t>
        </r>
      </text>
    </comment>
    <comment ref="B16" authorId="0" shapeId="0">
      <text>
        <r>
          <rPr>
            <b/>
            <sz val="8"/>
            <rFont val="Arial"/>
            <family val="2"/>
          </rPr>
          <t>The estimated amount of accounts receivable at the
end of a time period
(variable Accts_Receivable)</t>
        </r>
      </text>
    </comment>
    <comment ref="B18" authorId="0" shapeId="0">
      <text>
        <r>
          <rPr>
            <b/>
            <sz val="8"/>
            <rFont val="Arial"/>
            <family val="2"/>
          </rPr>
          <t>Initial value of accounts receivable at the
beginning of model time
(variable Accts_Receivable_Initial)</t>
        </r>
      </text>
    </comment>
    <comment ref="B20" authorId="0" shapeId="0">
      <text>
        <r>
          <rPr>
            <b/>
            <sz val="8"/>
            <rFont val="Arial"/>
            <family val="2"/>
          </rPr>
          <t>The ratio (revenue for each time period)/ (assets
at the end of each time period)
(variable Asset_Turnover)</t>
        </r>
      </text>
    </comment>
    <comment ref="B22" authorId="0" shapeId="0">
      <text>
        <r>
          <rPr>
            <b/>
            <sz val="8"/>
            <rFont val="Arial"/>
            <family val="2"/>
          </rPr>
          <t>The total assets of the company at the end of each
time period</t>
        </r>
      </text>
    </comment>
    <comment ref="B27" authorId="0" shapeId="0">
      <text>
        <r>
          <rPr>
            <b/>
            <sz val="8"/>
            <rFont val="Arial"/>
            <family val="2"/>
          </rPr>
          <t>The amount of bad debt expense in each accounting
period.
(variable Bad_Debt_Exp)</t>
        </r>
      </text>
    </comment>
    <comment ref="B29" authorId="0" shapeId="0">
      <text>
        <r>
          <rPr>
            <b/>
            <sz val="8"/>
            <rFont val="Arial"/>
            <family val="2"/>
          </rPr>
          <t>Bad debt expense expressed as a percent of
accounts receivable, for each time period
(variable Bad_Debt_pct)</t>
        </r>
      </text>
    </comment>
    <comment ref="B31" authorId="0" shapeId="0">
      <text>
        <r>
          <rPr>
            <b/>
            <sz val="8"/>
            <rFont val="Arial"/>
            <family val="2"/>
          </rPr>
          <t>A checksum. Equals Assets - Liabilities - Equity,
which must be zero if assets, liabilities and
equity are accounted for correctly
(variable Balance_Check)</t>
        </r>
      </text>
    </comment>
    <comment ref="B33" authorId="0" shapeId="0">
      <text>
        <r>
          <rPr>
            <b/>
            <sz val="8"/>
            <rFont val="Arial"/>
            <family val="2"/>
          </rPr>
          <t>Cash balance at the end of each accounting period
(variable Cash)</t>
        </r>
      </text>
    </comment>
    <comment ref="B35" authorId="0" shapeId="0">
      <text>
        <r>
          <rPr>
            <b/>
            <sz val="8"/>
            <rFont val="Arial"/>
            <family val="2"/>
          </rPr>
          <t>Change in cash balance by time period
(variable Cash_Flow)</t>
        </r>
      </text>
    </comment>
    <comment ref="B37" authorId="0" shapeId="0">
      <text>
        <r>
          <rPr>
            <b/>
            <sz val="8"/>
            <rFont val="Arial"/>
            <family val="2"/>
          </rPr>
          <t>A checksum for cash flow. Equals starting cash
balance + sources of cash - uses of cash - ending
cash balance, which must be zero if cash flows are
accounted for correctly.
(variable Cash_Flow_Check)</t>
        </r>
      </text>
    </comment>
    <comment ref="B39" authorId="0" shapeId="0">
      <text>
        <r>
          <rPr>
            <b/>
            <sz val="8"/>
            <rFont val="Arial"/>
            <family val="2"/>
          </rPr>
          <t>Equity cash flow at the end of each accounting
period adjusted to cancel out capital
transactions, and scaled by the cash flow
expectation factor that reflects risk in plan cash
flows
(variable Cash_Flow_Eq_Expected)</t>
        </r>
      </text>
    </comment>
    <comment ref="B41" authorId="0" shapeId="0">
      <text>
        <r>
          <rPr>
            <b/>
            <sz val="8"/>
            <rFont val="Arial"/>
            <family val="2"/>
          </rPr>
          <t>Equity cash flow at the end of each accounting
period adjusted to cancel out non-equity
transactions (such as changes in short and long
term debt and bonds)
(variable Cash_Flow_Equity)</t>
        </r>
      </text>
    </comment>
    <comment ref="B43" authorId="0" shapeId="0">
      <text>
        <r>
          <rPr>
            <b/>
            <sz val="8"/>
            <rFont val="Arial"/>
            <family val="2"/>
          </rPr>
          <t>The ratio (expected cash flow for the next
year)/(plan cash flow for the next year), in each
time period. The probability model assumes that
the annual factors act cumulatively, so that a
reduction in cash flow in the next year affects
all future time periods in the same proportion.
This crude model of compounding of probabilities
captures the essential fact that past variances
from plan are reasonable predictors of future
variances for a long time. 
Time periods that involve the highest risk to
future success have the lowest expectation
factors. For a startup, the early time periods are
more complex, because investment and expense cash
flows are more certain than early revenue flows.
The factor for the last time period applies to
the entire tail cash flow after the end of model
time.
(variable Cash_Flow_Expect_Factor)</t>
        </r>
      </text>
    </comment>
    <comment ref="B45" authorId="0" shapeId="0">
      <text>
        <r>
          <rPr>
            <b/>
            <sz val="8"/>
            <rFont val="Arial"/>
            <family val="2"/>
          </rPr>
          <t>The future cumulative product of the annualized
cash flow expectation factor (expected cash
flow)/(plan cash flow), for each time period. The
factor for the last time period applies to the
entire tail cash flow after the end of model time.
(variable Cash_Flow_Expect_Fut)</t>
        </r>
      </text>
    </comment>
    <comment ref="B47" authorId="0" shapeId="0">
      <text>
        <r>
          <rPr>
            <b/>
            <sz val="8"/>
            <rFont val="Arial"/>
            <family val="2"/>
          </rPr>
          <t>Operating cash flow by time period; that is, cash
flow adjusted to cancel out capital transactions
(dividends, sale of stock, changes in debt)
(variable Cash_Flow_Oper)</t>
        </r>
      </text>
    </comment>
    <comment ref="B49" authorId="0" shapeId="0">
      <text>
        <r>
          <rPr>
            <b/>
            <sz val="8"/>
            <rFont val="Arial"/>
            <family val="2"/>
          </rPr>
          <t>Cash flow at the end of each accounting period
adjusted to cancel out capital transactions
(dividends, sale of stock, changes in debt), and
scaled by the cash flow expectation factor that
reflects risk in plan cash flows
(variable Cash_Flow_Oper_Expected)</t>
        </r>
      </text>
    </comment>
    <comment ref="B51" authorId="0" shapeId="0">
      <text>
        <r>
          <rPr>
            <b/>
            <sz val="8"/>
            <rFont val="Arial"/>
            <family val="2"/>
          </rPr>
          <t>Iniital cash balance at the start of model time
(variable Cash_Initial)</t>
        </r>
      </text>
    </comment>
    <comment ref="B53" authorId="0" shapeId="0">
      <text>
        <r>
          <rPr>
            <b/>
            <sz val="8"/>
            <rFont val="Arial"/>
            <family val="2"/>
          </rPr>
          <t>Cash balance that would be at the end of each
accounting period if the company ends the period
with no short term debt. This amount is computed,
then the policy for determining the amount of
short term debt is applied, then the period-ending
cash balance can be computed.
(variable Cash_No_Short_Debt)</t>
        </r>
      </text>
    </comment>
    <comment ref="B55" authorId="0" shapeId="0">
      <text>
        <r>
          <rPr>
            <b/>
            <sz val="8"/>
            <rFont val="Arial"/>
            <family val="2"/>
          </rPr>
          <t>Total sources of cash, by time period
(variable Cash_Sources)</t>
        </r>
      </text>
    </comment>
    <comment ref="B57" authorId="0" shapeId="0">
      <text>
        <r>
          <rPr>
            <b/>
            <sz val="8"/>
            <rFont val="Arial"/>
            <family val="2"/>
          </rPr>
          <t>The amount of cash on hand a the start of each
time period
(variable Cash_Starting)</t>
        </r>
      </text>
    </comment>
    <comment ref="B59" authorId="0" shapeId="0">
      <text>
        <r>
          <rPr>
            <b/>
            <sz val="8"/>
            <rFont val="Arial"/>
            <family val="2"/>
          </rPr>
          <t>The target for cash balance at the end of each
accounting period, expressed as a number of days
of revenue. This is the key parameter in the
policy for determining the level of short-term
debt to be carried a the end of each accounting
period.
(variable Cash_Targ_Days)</t>
        </r>
      </text>
    </comment>
    <comment ref="B61" authorId="0" shapeId="0">
      <text>
        <r>
          <rPr>
            <b/>
            <sz val="8"/>
            <rFont val="Arial"/>
            <family val="2"/>
          </rPr>
          <t>Total uses of cash, by time period
(variable Cash_Uses)</t>
        </r>
      </text>
    </comment>
    <comment ref="B63" authorId="0" shapeId="0">
      <text>
        <r>
          <rPr>
            <b/>
            <sz val="8"/>
            <rFont val="Arial"/>
            <family val="2"/>
          </rPr>
          <t>Converts the dimension Channels into an analysis
variable for use in lookups. This variable is a
technical device with no conceptual significance
in the model.</t>
        </r>
      </text>
    </comment>
    <comment ref="B65" authorId="0" shapeId="0">
      <text>
        <r>
          <rPr>
            <b/>
            <sz val="8"/>
            <rFont val="Arial"/>
            <family val="2"/>
          </rPr>
          <t>Change in accounts payable from the previous
period. The model has a variable for this because
(a) this amount will be displayed in the cash flow
statement worksheet, and (b) this amount is used
in several formulas so it is convenient to store
it in a variable.
(variable Chg_Accts_Pay)</t>
        </r>
      </text>
    </comment>
    <comment ref="B67" authorId="0" shapeId="0">
      <text>
        <r>
          <rPr>
            <b/>
            <sz val="8"/>
            <rFont val="Arial"/>
            <family val="2"/>
          </rPr>
          <t>Change in accounts receivable from the previous
period. The model has a variable for this because
(a) this amount will be displayed in the cash flow
statement worksheet, and (b) this amount is used
in several formulas so it is convenient to store
it in a variable.
(variable Chg_Accts_Rec)</t>
        </r>
      </text>
    </comment>
    <comment ref="B69" authorId="0" shapeId="0">
      <text>
        <r>
          <rPr>
            <b/>
            <sz val="8"/>
            <rFont val="Arial"/>
            <family val="2"/>
          </rPr>
          <t>Change in Bond principal from the previous period.
The model has a variable for this because (a) this
amount will be displayed in the cash flow
statement worksheet, and (b) this amount is used
in several formulas so it is convenient to store
it in a variable.
(variable Chg_Bond_Principal)</t>
        </r>
      </text>
    </comment>
    <comment ref="B71" authorId="0" shapeId="0">
      <text>
        <r>
          <rPr>
            <b/>
            <sz val="8"/>
            <rFont val="Arial"/>
            <family val="2"/>
          </rPr>
          <t>Change in Bond principal from the previous period.
The model has a variable for this because (a) this
amount will be displayed in the cash flow
statement worksheet, and (b) this amount is used
in several formulas so it is convenient to store
it in a variable. This version of the variable
omits times before model start date, and is used
for display.
(variable Chg_Bond_Principal_short)</t>
        </r>
      </text>
    </comment>
    <comment ref="B73" authorId="0" shapeId="0">
      <text>
        <r>
          <rPr>
            <b/>
            <sz val="8"/>
            <rFont val="Arial"/>
            <family val="2"/>
          </rPr>
          <t>Change in inventory from the previous period. The
model has a variable for this because (a) this
amount will be displayed in the cash flow
statement worksheet, and (b) this amount is used
in several formulas so it is convenient to store
it in a variable.
(variable Chg_Inventory_Supplies)</t>
        </r>
      </text>
    </comment>
    <comment ref="B75" authorId="0" shapeId="0">
      <text>
        <r>
          <rPr>
            <b/>
            <sz val="8"/>
            <rFont val="Arial"/>
            <family val="2"/>
          </rPr>
          <t>Change in long-term debt from the previous period,
including loans and bonds. The model has a
variable for this because (a) this amount will be
displayed in the cash flow statement worksheet,
and (b) this amount is used in several formulas so
it is convenient to store it in a variable.
(variable Chg_Long_Debt)</t>
        </r>
      </text>
    </comment>
    <comment ref="B77" authorId="0" shapeId="0">
      <text>
        <r>
          <rPr>
            <b/>
            <sz val="8"/>
            <rFont val="Arial"/>
            <family val="2"/>
          </rPr>
          <t>Change in short-term debt from the previous
period. The model has a variable for this because
(a) this amount will be displayed in the cash flow
statement worksheet, and (b) this amount is used
in several formulas so it is convenient to store
it in a variable.
(variable Chg_Short_Debt)</t>
        </r>
      </text>
    </comment>
    <comment ref="B79" authorId="0" shapeId="0">
      <text>
        <r>
          <rPr>
            <b/>
            <sz val="8"/>
            <rFont val="Arial"/>
            <family val="2"/>
          </rPr>
          <t>The name of the organization for which the
financial plan is made. The name is stored in a
variable so that there is a single channel where
the name can be change in ModelSheet and in
exported workbooks.
(variable Company_Name)</t>
        </r>
      </text>
    </comment>
    <comment ref="B81" authorId="0" shapeId="0">
      <text>
        <r>
          <rPr>
            <b/>
            <sz val="8"/>
            <rFont val="Arial"/>
            <family val="2"/>
          </rPr>
          <t>Cost of providing services in client engagements
(including small engagements from the sales
funnel), segmented by staff cost and supplies
cost, and by time period
(variable Cost_Services)</t>
        </r>
      </text>
    </comment>
    <comment ref="B85" authorId="0" shapeId="0">
      <text>
        <r>
          <rPr>
            <b/>
            <sz val="8"/>
            <rFont val="Arial"/>
            <family val="2"/>
          </rPr>
          <t>Cost of providing services in client engagements
(including small engagements from the sales
funnel), segmented by staff cost and supplies
cost, and by time period. This variable is for
display only. It segments by Channel first, while
variable 'Cost of Services' segments by Practice
Area first. 
(variable Cost_Services_Channel)</t>
        </r>
      </text>
    </comment>
    <comment ref="B89" authorId="0" shapeId="0">
      <text>
        <r>
          <rPr>
            <b/>
            <sz val="8"/>
            <rFont val="Arial"/>
            <family val="2"/>
          </rPr>
          <t>Professional staff cost applied to client
engagements (including small engagements from the
sales funnel), segmented by Practice Area,
Professional Staff Type, and time period. Includes
cost of professional time applied to engagements
but not billed.
(variable Cost_Services_Staff)</t>
        </r>
      </text>
    </comment>
    <comment ref="B91" authorId="0" shapeId="0">
      <text>
        <r>
          <rPr>
            <b/>
            <sz val="8"/>
            <rFont val="Arial"/>
            <family val="2"/>
          </rPr>
          <t>Professional staff cost applied to client
engagements (including small engagements from the
sales funnel), segmented by Practice Area,
Professional Staff Type, Channel, and time period.
Includes cost of professional time applied to
engagements but not billed. This variable is for
display only. It segments by Channel first, while
variable 'Cost of Services - Staff' segments by
Practice Area first. 
(variable Cost_Services_Staff_Channel)</t>
        </r>
      </text>
    </comment>
    <comment ref="B93" authorId="0" shapeId="0">
      <text>
        <r>
          <rPr>
            <b/>
            <sz val="8"/>
            <rFont val="Arial"/>
            <family val="2"/>
          </rPr>
          <t>Cost of direct supplies incurred in client
engagements (including small engagements from the
sales funnel). Segmented by Practice Area,
Professional Staff Type, Channel, and time period.
(variable Cost_Services_Supplies)</t>
        </r>
      </text>
    </comment>
    <comment ref="B95" authorId="0" shapeId="0">
      <text>
        <r>
          <rPr>
            <b/>
            <sz val="8"/>
            <rFont val="Arial"/>
            <family val="2"/>
          </rPr>
          <t>Cost of direct supplies incurred in client
engagements (including small engagements from the
sales funnel). Segmented by Practice Area,
Professional Staff Type, Channel, and time period.
This variable is for display only. It segments by
Channel first, while variable 'Cost of Services -
Supplies' segments by Practice Area first. 
(variable Cost_Services_Supplies_Channel)</t>
        </r>
      </text>
    </comment>
    <comment ref="B97" authorId="0" shapeId="0">
      <text>
        <r>
          <rPr>
            <b/>
            <sz val="8"/>
            <rFont val="Arial"/>
            <family val="2"/>
          </rPr>
          <t>Cost of direct supplies per hour of client
services, segmented by Practice Area, Professional
Staff Type, and time period
(variable Cost_Services_Supplies_Hr)</t>
        </r>
      </text>
    </comment>
    <comment ref="B99" authorId="0" shapeId="0">
      <text>
        <r>
          <rPr>
            <b/>
            <sz val="8"/>
            <rFont val="Arial"/>
            <family val="2"/>
          </rPr>
          <t>Cost of travel and entertainment incurred in
client engagements (including small engagements
from the sales funnel). Segmented by Practice
Area, Professional Staff Type, Channel, and time
period.
(variable Cost_Services_TandE)</t>
        </r>
      </text>
    </comment>
    <comment ref="B101" authorId="0" shapeId="0">
      <text>
        <r>
          <rPr>
            <b/>
            <sz val="8"/>
            <rFont val="Arial"/>
            <family val="2"/>
          </rPr>
          <t>Cost of travel and entertainment incurred in
client engagements (including small engagements
from the sales funnel). Segmented by Practice
Area, Professional Staff Type, Channel, and time
period. This variable is for display only. It
segments by Channel first, while variable 'Cost of
Services - Supplies' segments by Practice Area
first. 
(variable Cost_Services_TandE_Channel)</t>
        </r>
      </text>
    </comment>
    <comment ref="B103" authorId="0" shapeId="0">
      <text>
        <r>
          <rPr>
            <b/>
            <sz val="8"/>
            <rFont val="Arial"/>
            <family val="2"/>
          </rPr>
          <t>Cost of travel and entertainment per hour of
client services, segmented by Practice Area,
Professional Staff Type, and time period
(variable Cost_Services_TandE_Hr)</t>
        </r>
      </text>
    </comment>
    <comment ref="B105" authorId="0" shapeId="0">
      <text>
        <r>
          <rPr>
            <b/>
            <sz val="8"/>
            <rFont val="Arial"/>
            <family val="2"/>
          </rPr>
          <t>The accounting current ratio, equal to current
assets / current liabilities
(variable Current_Ratio)</t>
        </r>
      </text>
    </comment>
    <comment ref="B107" authorId="0" shapeId="0">
      <text>
        <r>
          <rPr>
            <b/>
            <sz val="8"/>
            <rFont val="Arial"/>
            <family val="2"/>
          </rPr>
          <t>The accounting debt ratio, equal to the total long
and short term debt divided by the total assets
(variable Debt_Ratio)</t>
        </r>
      </text>
    </comment>
    <comment ref="B109" authorId="0" shapeId="0">
      <text>
        <r>
          <rPr>
            <b/>
            <sz val="8"/>
            <rFont val="Arial"/>
            <family val="2"/>
          </rPr>
          <t>Depreciation expense during each accounting
period, segmented by type of asset (hardware,
software, equipment &amp; furniture)</t>
        </r>
      </text>
    </comment>
    <comment ref="B111" authorId="0" shapeId="0">
      <text>
        <r>
          <rPr>
            <b/>
            <sz val="8"/>
            <rFont val="Arial"/>
            <family val="2"/>
          </rPr>
          <t>Book value of capitalized development, by time
period
(variable Dev_Capd_Asset)</t>
        </r>
      </text>
    </comment>
    <comment ref="B113" authorId="0" shapeId="0">
      <text>
        <r>
          <rPr>
            <b/>
            <sz val="8"/>
            <rFont val="Arial"/>
            <family val="2"/>
          </rPr>
          <t>Depreciation expense for capitalized development
by time period
(variable Dev_Capd_Deprec)</t>
        </r>
      </text>
    </comment>
    <comment ref="B115" authorId="0" shapeId="0">
      <text>
        <r>
          <rPr>
            <b/>
            <sz val="8"/>
            <rFont val="Arial"/>
            <family val="2"/>
          </rPr>
          <t>Initial value of capitalized development at the
start of model time
(variable Dev_Capd_Init)</t>
        </r>
      </text>
    </comment>
    <comment ref="B117" authorId="0" shapeId="0">
      <text>
        <r>
          <rPr>
            <b/>
            <sz val="8"/>
            <rFont val="Arial"/>
            <family val="2"/>
          </rPr>
          <t>The asset life that determines the rate of
depreciation of capitalized development. In the
current implementation, life must be an integral
number of years &lt;= 9.
(variable Dev_Capd_Life_Yrs)</t>
        </r>
      </text>
    </comment>
    <comment ref="B119" authorId="0" shapeId="0">
      <text>
        <r>
          <rPr>
            <b/>
            <sz val="8"/>
            <rFont val="Arial"/>
            <family val="2"/>
          </rPr>
          <t>Amount of development spending that is capitalized
in each time period. This includes a fixed amount
(per year, allocated to each time period) plus a
percentage of remaining development spending.
(variable Dev_Capd_per_Period)</t>
        </r>
      </text>
    </comment>
    <comment ref="B121" authorId="0" shapeId="0">
      <text>
        <r>
          <rPr>
            <b/>
            <sz val="8"/>
            <rFont val="Arial"/>
            <family val="2"/>
          </rPr>
          <t>The value of past capitalized development
expenditure that reaches end of life in the
current time period
(variable Dev_Capd_Period_Lagged)</t>
        </r>
      </text>
    </comment>
    <comment ref="B123" authorId="0" shapeId="0">
      <text>
        <r>
          <rPr>
            <b/>
            <sz val="8"/>
            <rFont val="Arial"/>
            <family val="2"/>
          </rPr>
          <t>The factor applied to cash flow in each time
period to compute its contribution to present
value
(variable Discount_Factor)</t>
        </r>
      </text>
    </comment>
    <comment ref="B125" authorId="0" shapeId="0">
      <text>
        <r>
          <rPr>
            <b/>
            <sz val="8"/>
            <rFont val="Arial"/>
            <family val="2"/>
          </rPr>
          <t>The discount rate per time period for computing
present values
(variable Discount_Rate)</t>
        </r>
      </text>
    </comment>
    <comment ref="B127" authorId="0" shapeId="0">
      <text>
        <r>
          <rPr>
            <b/>
            <sz val="8"/>
            <rFont val="Arial"/>
            <family val="2"/>
          </rPr>
          <t>The discount rate to be used, if the
Discount_Method = "direct". Annual rate is quoted
for each time period. The model expresses all
input discount rates in annual terms.
(variable Discount_Rate_Direct_Yr)</t>
        </r>
      </text>
    </comment>
    <comment ref="B129" authorId="0" shapeId="0">
      <text>
        <r>
          <rPr>
            <b/>
            <sz val="8"/>
            <rFont val="Arial"/>
            <family val="2"/>
          </rPr>
          <t>The cash dividend payment in each accounting
period.
The formula in this variable expresses a dividend
policy, based on the relationship between cash
balances and revenue, and previous dividends.</t>
        </r>
      </text>
    </comment>
    <comment ref="B131" authorId="0" shapeId="0">
      <text>
        <r>
          <rPr>
            <b/>
            <sz val="8"/>
            <rFont val="Arial"/>
            <family val="2"/>
          </rPr>
          <t>The cash dividend payment in each accounting
period expressed as a percentage of equity
valuation
(variable Dividend_Yield)</t>
        </r>
      </text>
    </comment>
    <comment ref="B133" authorId="0" shapeId="0">
      <text>
        <r>
          <rPr>
            <b/>
            <sz val="8"/>
            <rFont val="Arial"/>
            <family val="2"/>
          </rPr>
          <t>Billings for staff time for each major Engagement,
segmented by Professional Staff Type, in each time
period. Net of all fee discounts. Excludes
billings for small engagemenets from the sales
funnel.
(variable Engage_Billings)</t>
        </r>
      </text>
    </comment>
    <comment ref="B135" authorId="0" shapeId="0">
      <text>
        <r>
          <rPr>
            <b/>
            <sz val="8"/>
            <rFont val="Arial"/>
            <family val="2"/>
          </rPr>
          <t>Billings for staff hours each major Engagement,
segmented by Professional Staff Type and by
engagement time period. These amounts are net of
all fee discount rates. (Time=0 at start time of
the engagement.)
(variable Engage_Billings_ET)</t>
        </r>
      </text>
    </comment>
    <comment ref="B137" authorId="0" shapeId="0">
      <text>
        <r>
          <rPr>
            <b/>
            <sz val="8"/>
            <rFont val="Arial"/>
            <family val="2"/>
          </rPr>
          <t>The sales channel or segment of the engagement
(variable Engage_Channel)</t>
        </r>
      </text>
    </comment>
    <comment ref="B139" authorId="0" shapeId="0">
      <text>
        <r>
          <rPr>
            <b/>
            <sz val="8"/>
            <rFont val="Arial"/>
            <family val="2"/>
          </rPr>
          <t>Cost of billable hours applied on major
Engagements. Segmented by Engagement, Professional
Staff Type, and time period.
(variable Engage_Cost_Staff)</t>
        </r>
      </text>
    </comment>
    <comment ref="B141" authorId="0" shapeId="0">
      <text>
        <r>
          <rPr>
            <b/>
            <sz val="8"/>
            <rFont val="Arial"/>
            <family val="2"/>
          </rPr>
          <t>Cost of direct supplies incurred on major
Engagements. Segmented by Engagement, Supply
Types, and time period.
(variable Engage_Cost_Supplies)</t>
        </r>
      </text>
    </comment>
    <comment ref="B143" authorId="0" shapeId="0">
      <text>
        <r>
          <rPr>
            <b/>
            <sz val="8"/>
            <rFont val="Arial"/>
            <family val="2"/>
          </rPr>
          <t>Cost of travel &amp; entertainment incurred on major
Engagements. Segmented by Engagement and time
period.
(variable Engage_Cost_TandE)</t>
        </r>
      </text>
    </comment>
    <comment ref="B145" authorId="0" shapeId="0">
      <text>
        <r>
          <rPr>
            <b/>
            <sz val="8"/>
            <rFont val="Arial"/>
            <family val="2"/>
          </rPr>
          <t>The percentage by which average professional
billing rates are reduced from listed billing
rates, on each major engagement. This rate is
combined with discount rates for the Practice Area
and Professional Staff Type.
(variable Engage_Discount_pct)</t>
        </r>
      </text>
    </comment>
    <comment ref="B148" authorId="0" shapeId="0">
      <text>
        <r>
          <rPr>
            <b/>
            <sz val="8"/>
            <rFont val="Arial"/>
            <family val="2"/>
          </rPr>
          <t>Duration of each major Engagement that is tracked
separately, expressed in number of time periods.
Values cannot exceed the number of time periods in
Dimension 'Engage_Time'. To increase this limit,
change the length of dimension 'Engage Time' when
you customize a new temlate, or in ModelSheet
Authoring.
(variable Engage_Duration)</t>
        </r>
      </text>
    </comment>
    <comment ref="B150" authorId="0" shapeId="0">
      <text>
        <r>
          <rPr>
            <b/>
            <sz val="8"/>
            <rFont val="Arial"/>
            <family val="2"/>
          </rPr>
          <t>Gross margin for each major Engagement. Segmented
by Engagement, Professional Staff Type, and time
period. Does not include billings for small
engagemenets from the sales funnel.
(variable Engage_Gross_Margin)</t>
        </r>
      </text>
    </comment>
    <comment ref="B152" authorId="0" shapeId="0">
      <text>
        <r>
          <rPr>
            <b/>
            <sz val="8"/>
            <rFont val="Arial"/>
            <family val="2"/>
          </rPr>
          <t>Gross margin % for major Engagements. Segmented by
Engagement, Professional Staff Type, and time
period. Does not include billings for small
engagemenets from the sales funnel.
(variable Engage_Gross_Margin_pct)</t>
        </r>
      </text>
    </comment>
    <comment ref="B154" authorId="0" shapeId="0">
      <text>
        <r>
          <rPr>
            <b/>
            <sz val="8"/>
            <rFont val="Arial"/>
            <family val="2"/>
          </rPr>
          <t>Billable hours applied on major Engagements, for
each Professional Staff Type, in each time period.
(variable Engage_Hrs_Applied)</t>
        </r>
      </text>
    </comment>
    <comment ref="B156" authorId="0" shapeId="0">
      <text>
        <r>
          <rPr>
            <b/>
            <sz val="8"/>
            <rFont val="Arial"/>
            <family val="2"/>
          </rPr>
          <t>Professional staff hours that are applied on major
Engagements (regardless of whether they are all
billed to  clients), segmented by major Engagment,
by Professional STaff Type, and by engagement time
period. The values start as defaults determined by
input variables Engage_Type_Labor_Pct and
Engage_Type_Labor_Slope. You can override the
default values as you wish.
(variable Engage_Hrs_Applied_ET)</t>
        </r>
      </text>
    </comment>
    <comment ref="B158" authorId="0" shapeId="0">
      <text>
        <r>
          <rPr>
            <b/>
            <sz val="8"/>
            <rFont val="Arial"/>
            <family val="2"/>
          </rPr>
          <t>Billable hours applied on major Engagements, for
each Professional Staff Type, in each time period.
This variable is used for plotting only.
(variable Engage_Hrs_Applied_Plot)</t>
        </r>
      </text>
    </comment>
    <comment ref="B160" authorId="0" shapeId="0">
      <text>
        <r>
          <rPr>
            <b/>
            <sz val="8"/>
            <rFont val="Arial"/>
            <family val="2"/>
          </rPr>
          <t>Billable professional staff hours that are
actually billed, for each major Engagement, for
each Professional Staff Type, in each time period
(variable Engage_Hrs_Billed)</t>
        </r>
      </text>
    </comment>
    <comment ref="B162" authorId="0" shapeId="0">
      <text>
        <r>
          <rPr>
            <b/>
            <sz val="8"/>
            <rFont val="Arial"/>
            <family val="2"/>
          </rPr>
          <t>The professional staff hours actually billed for
major Engagments, segmented by Engagement, by
Professional Staff Type, and by engagement time
period
(variable Engage_Hrs_Billed_ET)</t>
        </r>
      </text>
    </comment>
    <comment ref="B164" authorId="0" shapeId="0">
      <text>
        <r>
          <rPr>
            <b/>
            <sz val="8"/>
            <rFont val="Arial"/>
            <family val="2"/>
          </rPr>
          <t>The professional staff hours actually billed for
major Engagments, segmented by Engagement, by
Professional Staff Type, and by engagement time
period. This variable does not include optional
rounding.
(variable Engage_Hrs_Billed_ET1)</t>
        </r>
      </text>
    </comment>
    <comment ref="B166" authorId="0" shapeId="0">
      <text>
        <r>
          <rPr>
            <b/>
            <sz val="8"/>
            <rFont val="Arial"/>
            <family val="2"/>
          </rPr>
          <t>Percentage of billable hours applied to major
Engagements that are actually billed to client.
Segmented by major Engagement, by Professional
Staff Type, and by time period. Setting this rate
below 100% enables the model to record time
applied but not billed to the client.
(variable Engage_Hrs_pct_Billed_ET)</t>
        </r>
      </text>
    </comment>
    <comment ref="B168" authorId="0" shapeId="0">
      <text>
        <r>
          <rPr>
            <b/>
            <sz val="8"/>
            <rFont val="Arial"/>
            <family val="2"/>
          </rPr>
          <t>Professional staff hours applied on major
Engagements but not billed to clients, segmented
by major Engagement, by Professional Staff Type,
and by time period.
(variable Engage_Hrs_Unbilled)</t>
        </r>
      </text>
    </comment>
    <comment ref="B170" authorId="0" shapeId="0">
      <text>
        <r>
          <rPr>
            <b/>
            <sz val="8"/>
            <rFont val="Arial"/>
            <family val="2"/>
          </rPr>
          <t>Percent of professional staff hours for each
professional staff type, for each engagement.
(variable Engage_Labor_pct)</t>
        </r>
      </text>
    </comment>
    <comment ref="B172" authorId="0" shapeId="0">
      <text>
        <r>
          <rPr>
            <b/>
            <sz val="8"/>
            <rFont val="Arial"/>
            <family val="2"/>
          </rPr>
          <t>Early and late labor intensity of each engagement,
segmented by Professional Staff Type. The value
should be between -1 and 1.
* 0 means labor hours are constant over the
duration of the engagement.
* 1 means labor increases linearly over the
duration of the engagement.
* -1 nmeans labor declines linearly over the
duration of the engagement.
(variable Engage_Labor_Slope)</t>
        </r>
      </text>
    </comment>
    <comment ref="B174" authorId="0" shapeId="0">
      <text>
        <r>
          <rPr>
            <b/>
            <sz val="8"/>
            <rFont val="Arial"/>
            <family val="2"/>
          </rPr>
          <t>Billings for each major Engagement, segmented by
Professional Staff Type, in each time period. Fee
discount rates by Practice Area and Prof Staff
Level are applied, but not Engagement discount
rates. Excludes billings for small engagemenets
from the sales funnel.
(variable Engage_Rev_Nominal_Fees)</t>
        </r>
      </text>
    </comment>
    <comment ref="B176" authorId="0" shapeId="0">
      <text>
        <r>
          <rPr>
            <b/>
            <sz val="8"/>
            <rFont val="Arial"/>
            <family val="2"/>
          </rPr>
          <t>Size of each major Engagement expressed in billed
hours summed over Professional Staff Types
(variable Engage_Size_Hrs)</t>
        </r>
      </text>
    </comment>
    <comment ref="B178" authorId="0" shapeId="0">
      <text>
        <r>
          <rPr>
            <b/>
            <sz val="8"/>
            <rFont val="Arial"/>
            <family val="2"/>
          </rPr>
          <t>Starting time period of each engagement, relative
to the start of model time, expressed as an
integral number of time periods
(variable Engage_Start_Time)</t>
        </r>
      </text>
    </comment>
    <comment ref="B180" authorId="0" shapeId="0">
      <text>
        <r>
          <rPr>
            <b/>
            <sz val="8"/>
            <rFont val="Arial"/>
            <family val="2"/>
          </rPr>
          <t>The local time in a major Engagement, starting
from the start date of the Engagement and counting
time periods. To increase this limit, change the
maximum duration of an Engagement when you
customize a template, or change the number of
items in Dimension 'Engage Time' in ModelSheet
Authoring.
(variable Engage_Time)</t>
        </r>
      </text>
    </comment>
    <comment ref="B182" authorId="0" shapeId="0">
      <text>
        <r>
          <rPr>
            <b/>
            <sz val="8"/>
            <rFont val="Arial"/>
            <family val="2"/>
          </rPr>
          <t>Converts the dimension Engage_Types into an
analysis variable for use in lookups. This
variable is a technical device with no conceptual
significance in the model.
(variable Engage_Types_Dim)</t>
        </r>
      </text>
    </comment>
    <comment ref="B184" authorId="0" shapeId="0">
      <text>
        <r>
          <rPr>
            <b/>
            <sz val="8"/>
            <rFont val="Arial"/>
            <family val="2"/>
          </rPr>
          <t>Book value of equity, segmented by paid-in capital
and retained earnings</t>
        </r>
      </text>
    </comment>
    <comment ref="B187" authorId="0" shapeId="0">
      <text>
        <r>
          <rPr>
            <b/>
            <sz val="8"/>
            <rFont val="Arial"/>
            <family val="2"/>
          </rPr>
          <t>Annual facilities expense that is no proportional
to employee count
(variable Facil_Other_Exp_Yr)</t>
        </r>
      </text>
    </comment>
    <comment ref="B189" authorId="0" shapeId="0">
      <text>
        <r>
          <rPr>
            <b/>
            <sz val="8"/>
            <rFont val="Arial"/>
            <family val="2"/>
          </rPr>
          <t>Facilities and utilities expense per time period,
segmented by department
(variable Facil_Util_Exp)</t>
        </r>
      </text>
    </comment>
    <comment ref="B191" authorId="0" shapeId="0">
      <text>
        <r>
          <rPr>
            <b/>
            <sz val="8"/>
            <rFont val="Arial"/>
            <family val="2"/>
          </rPr>
          <t>Financial expense = bad debt expense + interest
expense
(variable Financial_Exp)</t>
        </r>
      </text>
    </comment>
    <comment ref="B193" authorId="0" shapeId="0">
      <text>
        <r>
          <rPr>
            <b/>
            <sz val="8"/>
            <rFont val="Arial"/>
            <family val="2"/>
          </rPr>
          <t>Constants K0, K1 and K2 that determine annualized
G &amp; A expense (by department) as K0 + K1
*(annualized revenue/1000)^K2. If recruiting
expense is included in the model, it uses a more
detailed cost analysis, and does not use the K
constants.
(variable G_A_Exp_K)</t>
        </r>
      </text>
    </comment>
    <comment ref="B195" authorId="0" shapeId="0">
      <text>
        <r>
          <rPr>
            <b/>
            <sz val="8"/>
            <rFont val="Arial"/>
            <family val="2"/>
          </rPr>
          <t>The ratio (operating expense for the Admin
department) / revenue, by time period
(variable G_A_Exp_Ratio)</t>
        </r>
      </text>
    </comment>
    <comment ref="B197" authorId="0" shapeId="0">
      <text>
        <r>
          <rPr>
            <b/>
            <sz val="8"/>
            <rFont val="Arial"/>
            <family val="2"/>
          </rPr>
          <t>General &amp; administrative expense
(variable Gen_Admin_Exp)</t>
        </r>
      </text>
    </comment>
    <comment ref="B199" authorId="0" shapeId="0">
      <text>
        <r>
          <rPr>
            <b/>
            <sz val="8"/>
            <rFont val="Arial"/>
            <family val="2"/>
          </rPr>
          <t>Gross margin amount, segmented by Practice Area,
Professional Staff Type, Channel, and time period.
Unapplied professional staff time is deducted in
the computation.
(variable Gross_Margin)</t>
        </r>
      </text>
    </comment>
    <comment ref="B201" authorId="0" shapeId="0">
      <text>
        <r>
          <rPr>
            <b/>
            <sz val="8"/>
            <rFont val="Arial"/>
            <family val="2"/>
          </rPr>
          <t>Gross margin amount, segmented by Practice Area,
Professional Staff Type, Channel, and time period.
Unapplied professional staff time is deducted
along with billed hours. This variable is for
display only. It segments by Channel first, while
variable 'Gross margin' segments by Practice Area
first. 
(variable Gross_Margin_Channel)</t>
        </r>
      </text>
    </comment>
    <comment ref="B203" authorId="0" shapeId="0">
      <text>
        <r>
          <rPr>
            <b/>
            <sz val="8"/>
            <rFont val="Arial"/>
            <family val="2"/>
          </rPr>
          <t>Gross margin percent (gross margin / revenue),
segmented by Practice Area, Professional Staff
Type, Channel, and time period
(variable Gross_Margin_pct)</t>
        </r>
      </text>
    </comment>
    <comment ref="B205" authorId="0" shapeId="0">
      <text>
        <r>
          <rPr>
            <b/>
            <sz val="8"/>
            <rFont val="Arial"/>
            <family val="2"/>
          </rPr>
          <t>Gross margin percent (gross margin / revenue),
segmented by Practice Area, Professional Staff
Type, Channel, and time period. This variable is
for display only. It segments by Channel first,
while variable 'Gross margin %' segments by
Practice Area first. 
(variable Gross_Margin_pct_Channel)</t>
        </r>
      </text>
    </comment>
    <comment ref="B207" authorId="0" shapeId="0">
      <text>
        <r>
          <rPr>
            <b/>
            <sz val="8"/>
            <rFont val="Arial"/>
            <family val="2"/>
          </rPr>
          <t>A utility for mapping Engagements to Sales
Channels
(variable Ident_Engage_Channel)</t>
        </r>
      </text>
    </comment>
    <comment ref="B209" authorId="0" shapeId="0">
      <text>
        <r>
          <rPr>
            <b/>
            <sz val="8"/>
            <rFont val="Arial"/>
            <family val="2"/>
          </rPr>
          <t>A utility for identifying Engagements and Practice
Areas
(variable Ident_Engage_Practice)</t>
        </r>
      </text>
    </comment>
    <comment ref="B211" authorId="0" shapeId="0">
      <text>
        <r>
          <rPr>
            <b/>
            <sz val="8"/>
            <rFont val="Arial"/>
            <family val="2"/>
          </rPr>
          <t>Income tax expense for each time period
(variable Income_Tax)</t>
        </r>
      </text>
    </comment>
    <comment ref="B213" authorId="0" shapeId="0">
      <text>
        <r>
          <rPr>
            <b/>
            <sz val="8"/>
            <rFont val="Arial"/>
            <family val="2"/>
          </rPr>
          <t>Income tax rate
(variable Income_Tax_Rate)</t>
        </r>
      </text>
    </comment>
    <comment ref="B215" authorId="0" shapeId="0">
      <text>
        <r>
          <rPr>
            <b/>
            <sz val="8"/>
            <rFont val="Arial"/>
            <family val="2"/>
          </rPr>
          <t>Interest expense on short-term debt, long-term
loans, and bonds (including bond initiation fees),
net of interest earned on starting cash balance,
for each time period.
Use of starting cash balance is a simplification
that bypasses interdependence of interest earned
and cash balances.
(variable Interest_Exp_Net)</t>
        </r>
      </text>
    </comment>
    <comment ref="B217" authorId="0" shapeId="0">
      <text>
        <r>
          <rPr>
            <b/>
            <sz val="8"/>
            <rFont val="Arial"/>
            <family val="2"/>
          </rPr>
          <t>Interest rate earned on average cash balance
during each time period
(variable Interest_Rate_Earned_Cash_Yr)</t>
        </r>
      </text>
    </comment>
    <comment ref="B219" authorId="0" shapeId="0">
      <text>
        <r>
          <rPr>
            <b/>
            <sz val="8"/>
            <rFont val="Arial"/>
            <family val="2"/>
          </rPr>
          <t>Annual interest rate on long-term debt, quoted for
each time period. The model expresses all input
interest rates in annual terms.
(variable Interest_Rate_Long_Yr)</t>
        </r>
      </text>
    </comment>
    <comment ref="B221" authorId="0" shapeId="0">
      <text>
        <r>
          <rPr>
            <b/>
            <sz val="8"/>
            <rFont val="Arial"/>
            <family val="2"/>
          </rPr>
          <t>Annual interest rate on short-term debt, quoted
for each time period. The model expresses all
input interest rates in annual terms.
(variable Interest_Rate_Short_Yr)</t>
        </r>
      </text>
    </comment>
    <comment ref="B223" authorId="0" shapeId="0">
      <text>
        <r>
          <rPr>
            <b/>
            <sz val="8"/>
            <rFont val="Arial"/>
            <family val="2"/>
          </rPr>
          <t>Cash flow for computing IRR, including model time
periods, excluding value of cash flows in tail
after model time
(variable IRR_CF_no_Tail)</t>
        </r>
      </text>
    </comment>
    <comment ref="B225" authorId="0" shapeId="0">
      <text>
        <r>
          <rPr>
            <b/>
            <sz val="8"/>
            <rFont val="Arial"/>
            <family val="2"/>
          </rPr>
          <t>Cash flow for computing IRR, including model time
periods and value of cash flows in tail after
model time
(variable IRR_CF_w_Tail)</t>
        </r>
      </text>
    </comment>
    <comment ref="B227" authorId="0" shapeId="0">
      <text>
        <r>
          <rPr>
            <b/>
            <sz val="8"/>
            <rFont val="Arial"/>
            <family val="2"/>
          </rPr>
          <t>Initial guess for annualized internal rate of
return during model time. (IRR is computed by an
iterative method that requires an initial guess.)
(variable IRR_Guess_no_Tail_Yr)</t>
        </r>
      </text>
    </comment>
    <comment ref="B229" authorId="0" shapeId="0">
      <text>
        <r>
          <rPr>
            <b/>
            <sz val="8"/>
            <rFont val="Arial"/>
            <family val="2"/>
          </rPr>
          <t>Initial guess for annualized internal rate of
return, including estimate of cash flows beyond
the end of model time. (IRR is computed by an
iterative method that requires an initial guess.)
(variable IRR_Guess_w_Tail_Yr)</t>
        </r>
      </text>
    </comment>
    <comment ref="B231" authorId="0" shapeId="0">
      <text>
        <r>
          <rPr>
            <b/>
            <sz val="8"/>
            <rFont val="Arial"/>
            <family val="2"/>
          </rPr>
          <t>Annualized internal rate of return for model time,
excluding cash flows in tail after model time
(variable IRR_no_Tail_Yr)</t>
        </r>
      </text>
    </comment>
    <comment ref="B233" authorId="0" shapeId="0">
      <text>
        <r>
          <rPr>
            <b/>
            <sz val="8"/>
            <rFont val="Arial"/>
            <family val="2"/>
          </rPr>
          <t>Annualized internal rate of return for cash flow
in model time periods and in tail after model time
(variable IRR_w_Tail_Yr)</t>
        </r>
      </text>
    </comment>
    <comment ref="B235" authorId="0" shapeId="0">
      <text>
        <r>
          <rPr>
            <b/>
            <sz val="8"/>
            <rFont val="Arial"/>
            <family val="2"/>
          </rPr>
          <t>Liabilities, segmented by payables, long and short
term debt</t>
        </r>
      </text>
    </comment>
    <comment ref="B240" authorId="0" shapeId="0">
      <text>
        <r>
          <rPr>
            <b/>
            <sz val="8"/>
            <rFont val="Arial"/>
            <family val="2"/>
          </rPr>
          <t>Value of purchases of long term assets, including
tagged and untagged long-term assets, by time
period
(variable Long_Asset_Purch)</t>
        </r>
      </text>
    </comment>
    <comment ref="B242" authorId="0" shapeId="0">
      <text>
        <r>
          <rPr>
            <b/>
            <sz val="8"/>
            <rFont val="Arial"/>
            <family val="2"/>
          </rPr>
          <t>Value of long term assets, including tagged and
untagged long-term assets, by time period, 
(variable Long_Assets)</t>
        </r>
      </text>
    </comment>
    <comment ref="B244" authorId="0" shapeId="0">
      <text>
        <r>
          <rPr>
            <b/>
            <sz val="8"/>
            <rFont val="Arial"/>
            <family val="2"/>
          </rPr>
          <t>Principal amount of long-term loans (excluding
bonds), by time period
(variable Long_Loans)</t>
        </r>
      </text>
    </comment>
    <comment ref="B246" authorId="0" shapeId="0">
      <text>
        <r>
          <rPr>
            <b/>
            <sz val="8"/>
            <rFont val="Arial"/>
            <family val="2"/>
          </rPr>
          <t>Losses carried forward from preivous time periods,
for use in computation of income tax expense
(variable Loss_Forward)</t>
        </r>
      </text>
    </comment>
    <comment ref="B248" authorId="0" shapeId="0">
      <text>
        <r>
          <rPr>
            <b/>
            <sz val="8"/>
            <rFont val="Arial"/>
            <family val="2"/>
          </rPr>
          <t>The ratio marketing department expense / revenue,
by time period
(variable Mktg_Exp_Ratio)</t>
        </r>
      </text>
    </comment>
    <comment ref="B250" authorId="0" shapeId="0">
      <text>
        <r>
          <rPr>
            <b/>
            <sz val="8"/>
            <rFont val="Arial"/>
            <family val="2"/>
          </rPr>
          <t>Marketing department expense, by time period. In
early time periods, specified as explicit numbers;
in later time periods, computed using Cobb-Douglas
function of revenue
(variable Mktg_Expense)</t>
        </r>
      </text>
    </comment>
    <comment ref="B252" authorId="0" shapeId="0">
      <text>
        <r>
          <rPr>
            <b/>
            <sz val="8"/>
            <rFont val="Arial"/>
            <family val="2"/>
          </rPr>
          <t>Number of early time periods in which explicit
inputs for early marketing program spending
(variable Mktg_Pgms_Exp_Early) are used in the
model, before the revenue-based formula takes
over. Default cutover is one year.
(variable Mktg_Pgms_Early_Cutover)</t>
        </r>
      </text>
    </comment>
    <comment ref="B254" authorId="0" shapeId="0">
      <text>
        <r>
          <rPr>
            <b/>
            <sz val="8"/>
            <rFont val="Arial"/>
            <family val="2"/>
          </rPr>
          <t>Marketing department program expenses, by
marketing program, by time period
(variable Mktg_Pgms_Exp)</t>
        </r>
      </text>
    </comment>
    <comment ref="B256" authorId="0" shapeId="0">
      <text>
        <r>
          <rPr>
            <b/>
            <sz val="8"/>
            <rFont val="Arial"/>
            <family val="2"/>
          </rPr>
          <t>Marketing department program expenses for early
time periods, segmented by program, by time
period. The variable 'Mktg Pgms Exp Early Cutover'
specifies the last time period in which the data
in this variable is used, after which a
revenue-driven formula is used to compute
marketing program expenses.
(variable Mktg_Pgms_Exp_Early)</t>
        </r>
      </text>
    </comment>
    <comment ref="B258" authorId="0" shapeId="0">
      <text>
        <r>
          <rPr>
            <b/>
            <sz val="8"/>
            <rFont val="Arial"/>
            <family val="2"/>
          </rPr>
          <t>Constants K0, K1 and K2 used to compute annualized
marketing department program expenses as K0 + K1
*(annualized revenue/1000)^K2. This formula is
used to compute marketing program expenses after
the time specified in variable 'Mktg Pgms Early
Cutover'.
(variable Mktg_Pgms_K)</t>
        </r>
      </text>
    </comment>
    <comment ref="B260" authorId="0" shapeId="0">
      <text>
        <r>
          <rPr>
            <b/>
            <sz val="8"/>
            <rFont val="Arial"/>
            <family val="2"/>
          </rPr>
          <t>Net income
(variable Net_Income)</t>
        </r>
      </text>
    </comment>
    <comment ref="B262" authorId="0" shapeId="0">
      <text>
        <r>
          <rPr>
            <b/>
            <sz val="8"/>
            <rFont val="Arial"/>
            <family val="2"/>
          </rPr>
          <t>Book value of stock issued less buy-backs, by time
period.
This variable includes a formula that implements
a policy for the sale of stock based on cash
balances and recent rates of change of cash
balances.
(variable Net_Stock_Issue)</t>
        </r>
      </text>
    </comment>
    <comment ref="B264" authorId="0" shapeId="0">
      <text>
        <r>
          <rPr>
            <b/>
            <sz val="8"/>
            <rFont val="Arial"/>
            <family val="2"/>
          </rPr>
          <t>Book value of stock issued less buy-backs, by time
period.
This variable includes a formula that implements
a policy for the sale of stock based on cash
balances and recent rates of change of cash
balances. This version omits times before the
start of model time, and it is used only for
display.
(variable Net_Stock_Issue_short)</t>
        </r>
      </text>
    </comment>
    <comment ref="B266" authorId="0" shapeId="0">
      <text>
        <r>
          <rPr>
            <b/>
            <sz val="8"/>
            <rFont val="Arial"/>
            <family val="2"/>
          </rPr>
          <t>Office maintenance expense ($/sqft/Yr), by time
period. Applies only to space that is allocated by
employee count, not to space that is independent
of employee count.
(variable Office_Maint_Rate_Yr)</t>
        </r>
      </text>
    </comment>
    <comment ref="B268" authorId="0" shapeId="0">
      <text>
        <r>
          <rPr>
            <b/>
            <sz val="8"/>
            <rFont val="Arial"/>
            <family val="2"/>
          </rPr>
          <t>Office rental expense ($/sqft/Yr), by time period.
Applies only to space that is allocated by
employee count, not to space that is independent
of employee count.
(variable Office_Rent_Rate_Yr)</t>
        </r>
      </text>
    </comment>
    <comment ref="B270" authorId="0" shapeId="0">
      <text>
        <r>
          <rPr>
            <b/>
            <sz val="8"/>
            <rFont val="Arial"/>
            <family val="2"/>
          </rPr>
          <t>Average office space (K sqft / person). Applies
only to space that is allocated by employee count,
not to space that is independent of employee
count.
(variable Office_Space_per_Person)</t>
        </r>
      </text>
    </comment>
    <comment ref="B272" authorId="0" shapeId="0">
      <text>
        <r>
          <rPr>
            <b/>
            <sz val="8"/>
            <rFont val="Arial"/>
            <family val="2"/>
          </rPr>
          <t>Office utilities expense ($/sqft/Yr), by time
period
(variable Office_Utilities_Rate_Yr)</t>
        </r>
      </text>
    </comment>
    <comment ref="B274" authorId="0" shapeId="0">
      <text>
        <r>
          <rPr>
            <b/>
            <sz val="8"/>
            <rFont val="Arial"/>
            <family val="2"/>
          </rPr>
          <t>The ratio operating expense / revenue, by time
period
(variable Oper_Exp_Ratio)</t>
        </r>
      </text>
    </comment>
    <comment ref="B276" authorId="0" shapeId="0">
      <text>
        <r>
          <rPr>
            <b/>
            <sz val="8"/>
            <rFont val="Arial"/>
            <family val="2"/>
          </rPr>
          <t>Operating expense, segmented by department and
expense type, by time period
(variable Operating_Exp)</t>
        </r>
      </text>
    </comment>
    <comment ref="B283" authorId="0" shapeId="0">
      <text>
        <r>
          <rPr>
            <b/>
            <sz val="8"/>
            <rFont val="Arial"/>
            <family val="2"/>
          </rPr>
          <t>Operating margin amount, per time period
(variable Operating_Margin)</t>
        </r>
      </text>
    </comment>
    <comment ref="B285" authorId="0" shapeId="0">
      <text>
        <r>
          <rPr>
            <b/>
            <sz val="8"/>
            <rFont val="Arial"/>
            <family val="2"/>
          </rPr>
          <t>The ratio operating margin / revenue, by time
period
(variable Operating_Margin_pct)</t>
        </r>
      </text>
    </comment>
    <comment ref="B287" authorId="0" shapeId="0">
      <text>
        <r>
          <rPr>
            <b/>
            <sz val="8"/>
            <rFont val="Arial"/>
            <family val="2"/>
          </rPr>
          <t>Order backlog at the end of each time period,
expressed in currency, segmented by product. Note
that the initial value at the start of model time
uses average hourly fees in the first time period.
(variable Order_Backlog)</t>
        </r>
      </text>
    </comment>
    <comment ref="B289" authorId="0" shapeId="0">
      <text>
        <r>
          <rPr>
            <b/>
            <sz val="8"/>
            <rFont val="Arial"/>
            <family val="2"/>
          </rPr>
          <t>Order backlog at the end of each time period,
expressed in billable hours, segmented by product.
(variable Order_Backlog_Hrs)</t>
        </r>
      </text>
    </comment>
    <comment ref="B291" authorId="0" shapeId="0">
      <text>
        <r>
          <rPr>
            <b/>
            <sz val="8"/>
            <rFont val="Arial"/>
            <family val="2"/>
          </rPr>
          <t>Order backlog at the start of model time,
expressed in billable hours, segmented by Practice
Area and Professional Staff Type.
(variable Order_Backlog_Hrs_Init)</t>
        </r>
      </text>
    </comment>
    <comment ref="B293" authorId="0" shapeId="0">
      <text>
        <r>
          <rPr>
            <b/>
            <sz val="8"/>
            <rFont val="Arial"/>
            <family val="2"/>
          </rPr>
          <t>Amount of order backlog that is fulfilled in each
time period, expressed in currency, segmented by
product. Backlog applies to products only, not
support.
(variable Orders_Filled)</t>
        </r>
      </text>
    </comment>
    <comment ref="B295" authorId="0" shapeId="0">
      <text>
        <r>
          <rPr>
            <b/>
            <sz val="8"/>
            <rFont val="Arial"/>
            <family val="2"/>
          </rPr>
          <t>Staff hours from order backlog (from small
engagements in the the sales funnel) that are
fulfilled and billed in each time period,
segmented by Practice Area and Professional Staff
Type
(variable Orders_Filled_Hrs)</t>
        </r>
      </text>
    </comment>
    <comment ref="B297" authorId="0" shapeId="0">
      <text>
        <r>
          <rPr>
            <b/>
            <sz val="8"/>
            <rFont val="Arial"/>
            <family val="2"/>
          </rPr>
          <t>Percentage of order backlog that is fulfilled, in
each time period, expressed in billable hours,
segmented by product. Backlog applies to products
only, not support.
(variable Orders_Filled_Hrs_pct)</t>
        </r>
      </text>
    </comment>
    <comment ref="B299" authorId="0" shapeId="0">
      <text>
        <r>
          <rPr>
            <b/>
            <sz val="8"/>
            <rFont val="Arial"/>
            <family val="2"/>
          </rPr>
          <t>Staff hours from order backlog (from small
engagements in the the sales funnel) that are
fulfilled and billed in each time period,
segmented by Practice Area and Professional Staff
Type. This variable is used for plotting only.
(variable Orders_Filled_Hrs_Plot)</t>
        </r>
      </text>
    </comment>
    <comment ref="B301" authorId="0" shapeId="0">
      <text>
        <r>
          <rPr>
            <b/>
            <sz val="8"/>
            <rFont val="Arial"/>
            <family val="2"/>
          </rPr>
          <t>Amount of order backlog that is fulfilled in each
time period, expressed in bilable hours, segmented
by product. This variable does not include
optional rounding.
(variable Orders_Filled_Hrs1)</t>
        </r>
      </text>
    </comment>
    <comment ref="B303" authorId="0" shapeId="0">
      <text>
        <r>
          <rPr>
            <b/>
            <sz val="8"/>
            <rFont val="Arial"/>
            <family val="2"/>
          </rPr>
          <t>The stock of paid in capital at the end of each
time period
(variable Paid_In_Capital)</t>
        </r>
      </text>
    </comment>
    <comment ref="B305" authorId="0" shapeId="0">
      <text>
        <r>
          <rPr>
            <b/>
            <sz val="8"/>
            <rFont val="Arial"/>
            <family val="2"/>
          </rPr>
          <t>Annualized employee-related expense per
professional staff, segmented by professional
staff type, expense type, and by time period
(variable Per_Prof_Staff_Exp_Yr)</t>
        </r>
      </text>
    </comment>
    <comment ref="B308" authorId="0" shapeId="0">
      <text>
        <r>
          <rPr>
            <b/>
            <sz val="8"/>
            <rFont val="Arial"/>
            <family val="2"/>
          </rPr>
          <t>Annualized employee-related expense per support
staff, segmented by department, by expense type,
by time period
(variable Per_Sup_Staff_Exp_Yr)</t>
        </r>
      </text>
    </comment>
    <comment ref="B311" authorId="0" shapeId="0">
      <text>
        <r>
          <rPr>
            <b/>
            <sz val="8"/>
            <rFont val="Arial"/>
            <family val="2"/>
          </rPr>
          <t>The Practice Area for each major Engagement that
is tracked separately.
(variable Practice_Area)</t>
        </r>
      </text>
    </comment>
    <comment ref="B313" authorId="0" shapeId="0">
      <text>
        <r>
          <rPr>
            <b/>
            <sz val="8"/>
            <rFont val="Arial"/>
            <family val="2"/>
          </rPr>
          <t>(variable Practice_Dev_pct_Capd)</t>
        </r>
      </text>
    </comment>
    <comment ref="B315" authorId="0" shapeId="0">
      <text>
        <r>
          <rPr>
            <b/>
            <sz val="8"/>
            <rFont val="Arial"/>
            <family val="2"/>
          </rPr>
          <t>The ratio of practice development spending to
revenue in each accounting period. 
(variable Practice_Dev_pct_Rev)</t>
        </r>
      </text>
    </comment>
    <comment ref="B317" authorId="0" shapeId="0">
      <text>
        <r>
          <rPr>
            <b/>
            <sz val="8"/>
            <rFont val="Arial"/>
            <family val="2"/>
          </rPr>
          <t>Professional staff heacount devoted to practice
are, segmented by practice area, by job type, by
time period
(variable Practice_Dev_Prof_Spend)</t>
        </r>
      </text>
    </comment>
    <comment ref="B319" authorId="0" shapeId="0">
      <text>
        <r>
          <rPr>
            <b/>
            <sz val="8"/>
            <rFont val="Arial"/>
            <family val="2"/>
          </rPr>
          <t>Professional staff heacount devoted to practice
are, segmented by practice area, by job type, by
time period
(variable Practice_Dev_Prof_Staff_Count)</t>
        </r>
      </text>
    </comment>
    <comment ref="B321" authorId="0" shapeId="0">
      <text>
        <r>
          <rPr>
            <b/>
            <sz val="8"/>
            <rFont val="Arial"/>
            <family val="2"/>
          </rPr>
          <t>Professional staff hours applied to practice
development. Segmented by practice area,
Professional Staff Type, and time period.
(variable Practice_Dev_Prof_Staff_Hrs)</t>
        </r>
      </text>
    </comment>
    <comment ref="B323" authorId="0" shapeId="0">
      <text>
        <r>
          <rPr>
            <b/>
            <sz val="8"/>
            <rFont val="Arial"/>
            <family val="2"/>
          </rPr>
          <t>Spending on developing assets for practice areas
(variable Practice_Dev_Spend)</t>
        </r>
      </text>
    </comment>
    <comment ref="B325" authorId="0" shapeId="0">
      <text>
        <r>
          <rPr>
            <b/>
            <sz val="8"/>
            <rFont val="Arial"/>
            <family val="2"/>
          </rPr>
          <t>Support staff spending devoted to practice
development, segmented by practice area, by
department, by job level, by time period
(variable Practice_Dev_Sup_Spend)</t>
        </r>
      </text>
    </comment>
    <comment ref="B327" authorId="0" shapeId="0">
      <text>
        <r>
          <rPr>
            <b/>
            <sz val="8"/>
            <rFont val="Arial"/>
            <family val="2"/>
          </rPr>
          <t>Support staff heacount devoted to practice are,
segmented by practice area, by department, by job
level, by time period
(variable Practice_Dev_Sup_Staff_Count)</t>
        </r>
      </text>
    </comment>
    <comment ref="B329" authorId="0" shapeId="0">
      <text>
        <r>
          <rPr>
            <b/>
            <sz val="8"/>
            <rFont val="Arial"/>
            <family val="2"/>
          </rPr>
          <t>The ratio (valuation of equity) / (book value of
equity), by time period
(variable Price_Book_Multiple)</t>
        </r>
      </text>
    </comment>
    <comment ref="B331" authorId="0" shapeId="0">
      <text>
        <r>
          <rPr>
            <b/>
            <sz val="8"/>
            <rFont val="Arial"/>
            <family val="2"/>
          </rPr>
          <t>The ratio (value of equity) / (trailing annual net
income), by time period
(variable Price_Earnings_Ratio)</t>
        </r>
      </text>
    </comment>
    <comment ref="B333" authorId="0" shapeId="0">
      <text>
        <r>
          <rPr>
            <b/>
            <sz val="8"/>
            <rFont val="Arial"/>
            <family val="2"/>
          </rPr>
          <t>The ratio (valuation of equity) / (trailing annual
revenue), by time period
(variable Price_Sales_Ratio)</t>
        </r>
      </text>
    </comment>
    <comment ref="B335" authorId="0" shapeId="0">
      <text>
        <r>
          <rPr>
            <b/>
            <sz val="8"/>
            <rFont val="Arial"/>
            <family val="2"/>
          </rPr>
          <t>The percentage by which average professional
billing rates are reduced from list billing rates,
segmented by job type, by time period. Does not
include discounts for major Engagements.
(variable Prof_Fee_Discount_pct)</t>
        </r>
      </text>
    </comment>
    <comment ref="B339" authorId="0" shapeId="0">
      <text>
        <r>
          <rPr>
            <b/>
            <sz val="8"/>
            <rFont val="Arial"/>
            <family val="2"/>
          </rPr>
          <t>Average actual professional billing rates
including discounts below list billing rates,
segmented by job type, by time period
(variable Prof_Fees_per_Hr_Avg)</t>
        </r>
      </text>
    </comment>
    <comment ref="B342" authorId="0" shapeId="0">
      <text>
        <r>
          <rPr>
            <b/>
            <sz val="8"/>
            <rFont val="Arial"/>
            <family val="2"/>
          </rPr>
          <t>Nominal (listed) hourly professional billing
rates, by Practice Area, Prof Staff Type, and time
period. You should enter billing rate data for the
first time period, and for any time period and
product for which the professional billing rate
changes.
(variable Prof_Fees_per_Hr_Nominal)</t>
        </r>
      </text>
    </comment>
    <comment ref="B345" authorId="0" shapeId="0">
      <text>
        <r>
          <rPr>
            <b/>
            <sz val="8"/>
            <rFont val="Arial"/>
            <family val="2"/>
          </rPr>
          <t>Professional staff benefits expense, as a
percentage of salary, excluding bonuses; segmented
by job type, by time period
(variable Prof_Staff_Benefits_pct)</t>
        </r>
      </text>
    </comment>
    <comment ref="B347" authorId="0" shapeId="0">
      <text>
        <r>
          <rPr>
            <b/>
            <sz val="8"/>
            <rFont val="Arial"/>
            <family val="2"/>
          </rPr>
          <t>Revenue from billed hours, segmented by Practice
Area, Professional Staff Type, Channel, and time
period. Includes small engagments from the sales
funnel and T&amp;E billed at cost.
(variable Prof_Staff_Billings)</t>
        </r>
      </text>
    </comment>
    <comment ref="B349" authorId="0" shapeId="0">
      <text>
        <r>
          <rPr>
            <b/>
            <sz val="8"/>
            <rFont val="Arial"/>
            <family val="2"/>
          </rPr>
          <t>Theoretical staff billings, if billed at nominal
fees, segmented by Practice Area, Professional
Staff Type, Channel, and time period. Fee
discounts for Practice Area and Prof Staff Type
are applied, but not discounts for each major
Engagement. Used to compute fee discount % and
nominal fees averaged over types of billed hours.
(variable Prof_Staff_Billings_Nom_Fees)</t>
        </r>
      </text>
    </comment>
    <comment ref="B351" authorId="0" shapeId="0">
      <text>
        <r>
          <rPr>
            <b/>
            <sz val="8"/>
            <rFont val="Arial"/>
            <family val="2"/>
          </rPr>
          <t>Bonus pool for professional staff, segmented by
Practice Area, by Professional Staff Type, and by
time period
(variable Prof_Staff_Bonus)</t>
        </r>
      </text>
    </comment>
    <comment ref="B353" authorId="0" shapeId="0">
      <text>
        <r>
          <rPr>
            <b/>
            <sz val="8"/>
            <rFont val="Arial"/>
            <family val="2"/>
          </rPr>
          <t>The size of the bonus pool for professional staff
as a percentage of wages, segmented by Practice
Area, by Professional Staff Type, and by time
period
(variable Prof_Staff_Bonus_pct)</t>
        </r>
      </text>
    </comment>
    <comment ref="B355" authorId="0" shapeId="0">
      <text>
        <r>
          <rPr>
            <b/>
            <sz val="8"/>
            <rFont val="Arial"/>
            <family val="2"/>
          </rPr>
          <t>Professional staff cost, segmented by Practice
Area, Professional Staff Type, and time period.
Includes salary, benefits, payroll taxes, bonuses.
Also includes the cost of unapplied hours.
(variable Prof_Staff_Cost)</t>
        </r>
      </text>
    </comment>
    <comment ref="B357" authorId="0" shapeId="0">
      <text>
        <r>
          <rPr>
            <b/>
            <sz val="8"/>
            <rFont val="Arial"/>
            <family val="2"/>
          </rPr>
          <t>Cost of professional staff time applied to client
engagements (including small engagements from the
sales funnel), or practice development. Segmented
by Practice Area, Professional Staff Type, and
time period.
(variable Prof_Staff_Cost_Applied)</t>
        </r>
      </text>
    </comment>
    <comment ref="B359" authorId="0" shapeId="0">
      <text>
        <r>
          <rPr>
            <b/>
            <sz val="8"/>
            <rFont val="Arial"/>
            <family val="2"/>
          </rPr>
          <t>Cost of professional staff time applied to client
Engagements (including those from the sales
funnel). Segmented by Practice Area, Professional
Staff Type, Channels, and time period.
(variable Prof_Staff_Cost_Engage)</t>
        </r>
      </text>
    </comment>
    <comment ref="B361" authorId="0" shapeId="0">
      <text>
        <r>
          <rPr>
            <b/>
            <sz val="8"/>
            <rFont val="Arial"/>
            <family val="2"/>
          </rPr>
          <t>Professional staff cost/hour at capacity.
Segmented by Practice Area, Professional Staff
Type, and time period. Includes benefits, payroll
taxes, and general rates of pay increase. 
(variable Prof_Staff_Cost_per_Hr)</t>
        </r>
      </text>
    </comment>
    <comment ref="B363" authorId="0" shapeId="0">
      <text>
        <r>
          <rPr>
            <b/>
            <sz val="8"/>
            <rFont val="Arial"/>
            <family val="2"/>
          </rPr>
          <t>Cost of professional staff time not applied to
client Engagements (including small engagements
from the sales funnel) or practice development.
Segmented by Practice Area, Professional Staff
Type, and time period.
(variable Prof_Staff_Cost_Unapplied)</t>
        </r>
      </text>
    </comment>
    <comment ref="B365" authorId="0" shapeId="0">
      <text>
        <r>
          <rPr>
            <b/>
            <sz val="8"/>
            <rFont val="Arial"/>
            <family val="2"/>
          </rPr>
          <t>Cost of professional staff time applied to client
engagements (including small engagements from the
sales funnel) but not billed. Segmented by
Practice Area, Professional Staff Type, and time
period.
(variable Prof_Staff_Cost_Unbilled)</t>
        </r>
      </text>
    </comment>
    <comment ref="B367" authorId="0" shapeId="0">
      <text>
        <r>
          <rPr>
            <b/>
            <sz val="8"/>
            <rFont val="Arial"/>
            <family val="2"/>
          </rPr>
          <t>Professional Staff Headcount, segmented by
Practice Area, by Profesisonal Staff Type, and by
time period. The headcount is rounded to
half-integers.
You can set the professional staff headcount
explicitly for time periods before a cutoff time
that you specify. After the cutoff time, headcount
is determined by planned billed staff hours and
professional staff target utilzation. 
If the cutoff time is 0, then the the formula
determines Professional Staff Headcount for all
time periods. If the cutoff time is past the end
of model time, then you can specify Professional
Staff Headcount for all time periods.
(variable Prof_Staff_Count)</t>
        </r>
      </text>
    </comment>
    <comment ref="B369" authorId="0" shapeId="0">
      <text>
        <r>
          <rPr>
            <b/>
            <sz val="8"/>
            <rFont val="Arial"/>
            <family val="2"/>
          </rPr>
          <t>Number of early time periods in which explicit
input data for Professional Staff Headcount (in
variable Prof_Staff_Count_Early) are used, before
the utilization-based formula takes over. 
If the cutoff time is 0, then the the formula
determines Professional Staff Headcount for all
time periods. If the cutoff time is past the end
of model time, then you can specify Professional
Staff Headcount for all time periods.
(variable Prof_Staff_Count_Cutover)</t>
        </r>
      </text>
    </comment>
    <comment ref="B371" authorId="0" shapeId="0">
      <text>
        <r>
          <rPr>
            <b/>
            <sz val="8"/>
            <rFont val="Arial"/>
            <family val="2"/>
          </rPr>
          <t>Professional Staff Headcount for the early part of
the model, given explicitly. Segmented by Practice
Area, by Profesisonal Staff Type, and by time
period. 
After a cutoff time that you specify,
Professional Staff Headcount is determined from
the planned number of billable hours and the
target utilization percent for professional staff.
All headcount by Practice Area and by
Professional Staff Type are later rounded to
half-integers.
(variable Prof_Staff_Count_Early)</t>
        </r>
      </text>
    </comment>
    <comment ref="B373" authorId="0" shapeId="0">
      <text>
        <r>
          <rPr>
            <b/>
            <sz val="8"/>
            <rFont val="Arial"/>
            <family val="2"/>
          </rPr>
          <t>Professional Staff Headcount, segmented by
Practice Area, by Profesisonal Staff Type, and by
time period. The headcount is rounded to
half-integers.
You can set the professional staff headcount
explicitly for time periods before a cutoff time
that you specify. After the cutoff time, headcount
is determined by planned billed staff hours and
professional staff target utilzation. 
If the cutoff time is 0, then the the formula
determines Professional Staff Headcount for all
time periods. If the cutoff time is past the end
of model time, then you can specify Professional
Staff Headcount for all time periods.
(variable Prof_Staff_Count_plt)</t>
        </r>
      </text>
    </comment>
    <comment ref="B375" authorId="0" shapeId="0">
      <text>
        <r>
          <rPr>
            <b/>
            <sz val="8"/>
            <rFont val="Arial"/>
            <family val="2"/>
          </rPr>
          <t>Professional Staff Headcount, segmented by
Practice Area, by Professional Staff Type, and by
time period. Later in the computations, the
Professoinal Staff Headcount is rounded to
half-integers.
If you choose to have the model compute staff
requirements, then Professional staff target hours
per head and Professional staff target utilization
% are used for this purpose. 
See comment for Professional Staff Count for more
information.
(variable Prof_Staff_Count1)</t>
        </r>
      </text>
    </comment>
    <comment ref="B377" authorId="0" shapeId="0">
      <text>
        <r>
          <rPr>
            <b/>
            <sz val="8"/>
            <rFont val="Arial"/>
            <family val="2"/>
          </rPr>
          <t>Professional staff hours applied to client
engagements (including small engagements from the
sales funnel) or practice development. Segmented
by Practice Area, Professional Staff Type, and
time period.
(variable Prof_Staff_Hrs_Applied)</t>
        </r>
      </text>
    </comment>
    <comment ref="B379" authorId="0" shapeId="0">
      <text>
        <r>
          <rPr>
            <b/>
            <sz val="8"/>
            <rFont val="Arial"/>
            <family val="2"/>
          </rPr>
          <t>Professional staff hours not applied to client
engagements, practice development, or other
activities, segmented by practice area, by job
type, by time period. This variable is used for
plotting only.
(variable Prof_Staff_Hrs_Applied_Plot)</t>
        </r>
      </text>
    </comment>
    <comment ref="B381" authorId="0" shapeId="0">
      <text>
        <r>
          <rPr>
            <b/>
            <sz val="8"/>
            <rFont val="Arial"/>
            <family val="2"/>
          </rPr>
          <t>Hours of professsional staff time billed to client
engagements (includings small engagements from the
sales funnel). Segmented by Practice Area,
Professional Staff Type, Channel, and time period.
(variable Prof_Staff_Hrs_Billed)</t>
        </r>
      </text>
    </comment>
    <comment ref="B383" authorId="0" shapeId="0">
      <text>
        <r>
          <rPr>
            <b/>
            <sz val="8"/>
            <rFont val="Arial"/>
            <family val="2"/>
          </rPr>
          <t>Hours of professsional staff time billed to client
engagements (includings small engagements from the
sales funnel). Segmented by Practice Area,
Professional Staff Type, Channel, and time period.
This variable is for display only. It segments by
Channel first, while variable 'Prof Staff Hrs
Billed' segments by Practice Area first. 
(variable Prof_Staff_Hrs_Billed_Channel)</t>
        </r>
      </text>
    </comment>
    <comment ref="B385" authorId="0" shapeId="0">
      <text>
        <r>
          <rPr>
            <b/>
            <sz val="8"/>
            <rFont val="Arial"/>
            <family val="2"/>
          </rPr>
          <t>Measured growth rate of billed staff hours per
time period (not annualized)
(variable Prof_Staff_Hrs_Billed_Growth)</t>
        </r>
      </text>
    </comment>
    <comment ref="B387" authorId="0" shapeId="0">
      <text>
        <r>
          <rPr>
            <b/>
            <sz val="8"/>
            <rFont val="Arial"/>
            <family val="2"/>
          </rPr>
          <t>Measured growth rate of billed staff hours per
time period (not annualized). It segments by
Channel first, while variable 'Prof Staff Hrs
Billed Growth' segments by Practice Area first. 
(variable Prof_Staff_Hrs_Billed_Growth_Channel)</t>
        </r>
      </text>
    </comment>
    <comment ref="B389" authorId="0" shapeId="0">
      <text>
        <r>
          <rPr>
            <b/>
            <sz val="8"/>
            <rFont val="Arial"/>
            <family val="2"/>
          </rPr>
          <t>Measured growth rate of billed staff hours per
time period (not annualized). It segments by
Channel first, while variable 'Prof Staff Hrs
Billed Growth' segments by Practice Area first.
This version of the variable uses blanks where the
growth rate is not defined. Used for display.
(variable
Prof_Staff_Hrs_Billed_Growth_Channel_display)</t>
        </r>
      </text>
    </comment>
    <comment ref="B391" authorId="0" shapeId="0">
      <text>
        <r>
          <rPr>
            <b/>
            <sz val="8"/>
            <rFont val="Arial"/>
            <family val="2"/>
          </rPr>
          <t>Measured growth rate of billed staff hours per
time period (not annualized). This version of the
variable includes blanks where growth rate is not
defined. Used in display.
(variable Prof_Staff_Hrs_Billed_Growth_display)</t>
        </r>
      </text>
    </comment>
    <comment ref="B393" authorId="0" shapeId="0">
      <text>
        <r>
          <rPr>
            <b/>
            <sz val="8"/>
            <rFont val="Arial"/>
            <family val="2"/>
          </rPr>
          <t>Hours of professsional staff time billed to client
engagements (includings small engagements from the
sales funnel). Segmented by Practice Area,
Professional Staff Type, Channel, and time period.
This variable is used for plotting only.
(variable Prof_Staff_Hrs_Billed_Plot)</t>
        </r>
      </text>
    </comment>
    <comment ref="B395" authorId="0" shapeId="0">
      <text>
        <r>
          <rPr>
            <b/>
            <sz val="8"/>
            <rFont val="Arial"/>
            <family val="2"/>
          </rPr>
          <t>If you want to round billable hours to whole
numbers, set to TRUE, else FALSE. Applies to major
and minor engagements.
(variable Prof_Staff_Hrs_Billed_RoundQ)</t>
        </r>
      </text>
    </comment>
    <comment ref="B397" authorId="0" shapeId="0">
      <text>
        <r>
          <rPr>
            <b/>
            <sz val="8"/>
            <rFont val="Arial"/>
            <family val="2"/>
          </rPr>
          <t>Professional staff billable hours capacity,
segmented by Practice Area, by Professional Staff
Type, and by time period
(variable Prof_Staff_Hrs_Capacity)</t>
        </r>
      </text>
    </comment>
    <comment ref="B399" authorId="0" shapeId="0">
      <text>
        <r>
          <rPr>
            <b/>
            <sz val="8"/>
            <rFont val="Arial"/>
            <family val="2"/>
          </rPr>
          <t>Professional staff billable hours capacity,
segmented by Professional Staff Type and by time
period. This variable is used for plotting only.
(variable Prof_Staff_Hrs_Capacity_Plot)</t>
        </r>
      </text>
    </comment>
    <comment ref="B401" authorId="0" shapeId="0">
      <text>
        <r>
          <rPr>
            <b/>
            <sz val="8"/>
            <rFont val="Arial"/>
            <family val="2"/>
          </rPr>
          <t>Professional staff hours applied to client
engagements (including small engagements from the
sales funnel). Segmented by Practice Area, Prof
Staff Type, Channel (if included in the model),
and time period.
(variable Prof_Staff_Hrs_Engage)</t>
        </r>
      </text>
    </comment>
    <comment ref="B403" authorId="0" shapeId="0">
      <text>
        <r>
          <rPr>
            <b/>
            <sz val="8"/>
            <rFont val="Arial"/>
            <family val="2"/>
          </rPr>
          <t>Professional staff hours not applied to client
engagements (including those from the sales
funnel) or practice development. Segmented by
Practice Area, Professional Staff Type, and time
period.
(variable Prof_Staff_Hrs_Unapplied)</t>
        </r>
      </text>
    </comment>
    <comment ref="B405" authorId="0" shapeId="0">
      <text>
        <r>
          <rPr>
            <b/>
            <sz val="8"/>
            <rFont val="Arial"/>
            <family val="2"/>
          </rPr>
          <t>Professional staff hours applied to client
engagements (including small engagements from the
sales funnel) but not billed. Segmented by
Practice Area, Professional Staff Type, and time
period.
(variable Prof_Staff_Hrs_Unbilled)</t>
        </r>
      </text>
    </comment>
    <comment ref="B407" authorId="0" shapeId="0">
      <text>
        <r>
          <rPr>
            <b/>
            <sz val="8"/>
            <rFont val="Arial"/>
            <family val="2"/>
          </rPr>
          <t>Professional staff hours applied to client
engagements (including small engagements from the
sales funnel) but not billed. Segmented by
Practice Area, Professional Staff Type, and time
period. It segments by Channel first, while
variable 'Prof Staff Hrs Unbilled' segments by
Practice Area first. 
(variable Prof_Staff_Hrs_Unbilled_Channel)</t>
        </r>
      </text>
    </comment>
    <comment ref="B409" authorId="0" shapeId="0">
      <text>
        <r>
          <rPr>
            <b/>
            <sz val="8"/>
            <rFont val="Arial"/>
            <family val="2"/>
          </rPr>
          <t>Number of professional staff openings, segmented
by Practice Area, by Profesisonal Staff Type, and
by time period
(variable Prof_Staff_Openings)</t>
        </r>
      </text>
    </comment>
    <comment ref="B411" authorId="0" shapeId="0">
      <text>
        <r>
          <rPr>
            <b/>
            <sz val="8"/>
            <rFont val="Arial"/>
            <family val="2"/>
          </rPr>
          <t>The ratio (prof staff count at end of time
period)/ (revenue 000 for time period), segmented
by Practice Area, by Professional Staff Type, and
by time period
(variable Prof_Staff_per_RevM)</t>
        </r>
      </text>
    </comment>
    <comment ref="B413" authorId="0" shapeId="0">
      <text>
        <r>
          <rPr>
            <b/>
            <sz val="8"/>
            <rFont val="Arial"/>
            <family val="2"/>
          </rPr>
          <t>Number of professional staff that are obtained
through the paid recruitment process, segmented by
Practice Area, by Profesisonal Staff Type, and by
time period
(variable Prof_Staff_Recruited)</t>
        </r>
      </text>
    </comment>
    <comment ref="B415" authorId="0" shapeId="0">
      <text>
        <r>
          <rPr>
            <b/>
            <sz val="8"/>
            <rFont val="Arial"/>
            <family val="2"/>
          </rPr>
          <t>Professional staff-related expenses, segmented by
Practice Area, by Professional Staff Type, expense
type, and by time period
(variable Prof_Staff_Rel_Exp)</t>
        </r>
      </text>
    </comment>
    <comment ref="B417" authorId="0" shapeId="0">
      <text>
        <r>
          <rPr>
            <b/>
            <sz val="8"/>
            <rFont val="Arial"/>
            <family val="2"/>
          </rPr>
          <t>The average annual salary paid to each
professional staff in the initial time period,
segmented by Practice Area and by Professional
Staff Type. Excludes benefits, bonuses and payroll
taxes. (If the entire model is in $K, then this
should be in $K/year.)
(variable Prof_Staff_Salary_Avg_Initial_Yr)</t>
        </r>
      </text>
    </comment>
    <comment ref="B419" authorId="0" shapeId="0">
      <text>
        <r>
          <rPr>
            <b/>
            <sz val="8"/>
            <rFont val="Arial"/>
            <family val="2"/>
          </rPr>
          <t>Average annual salary per professional staff,
segmented by Practice Area, by Professional Staff
Type, and by time period. Excludes benefits,
bonuses, and payroll taxes.
(variable Prof_Staff_Salary_Avg_Yr)</t>
        </r>
      </text>
    </comment>
    <comment ref="B422" authorId="0" shapeId="0">
      <text>
        <r>
          <rPr>
            <b/>
            <sz val="8"/>
            <rFont val="Arial"/>
            <family val="2"/>
          </rPr>
          <t>Professional staff salary cost, segmented by
Practice Area, by Profesisonal Staff Type, and by
time period. Excludes benefits, payroll taxes,
bonuses.
(variable Prof_Staff_Salary_Cost)</t>
        </r>
      </text>
    </comment>
    <comment ref="B424" authorId="0" shapeId="0">
      <text>
        <r>
          <rPr>
            <b/>
            <sz val="8"/>
            <rFont val="Arial"/>
            <family val="2"/>
          </rPr>
          <t>The rate of increase of professional salaries. The
variable 'Wage Increase Annual?' determines
whether this rate of increase is interpreted as an
annual rate spread over all time periods, or as
the actual rate that is applied in each time
period.
(variable Prof_Staff_Salary_incr_pct)</t>
        </r>
      </text>
    </comment>
    <comment ref="B426" authorId="0" shapeId="0">
      <text>
        <r>
          <rPr>
            <b/>
            <sz val="8"/>
            <rFont val="Arial"/>
            <family val="2"/>
          </rPr>
          <t>The rate of increase of wage rates, by time period
(variable Prof_Staff_Salary_incr_period_pct)</t>
        </r>
      </text>
    </comment>
    <comment ref="B428" authorId="0" shapeId="0">
      <text>
        <r>
          <rPr>
            <b/>
            <sz val="8"/>
            <rFont val="Arial"/>
            <family val="2"/>
          </rPr>
          <t>Theoretical maximum annual billable hours per
professional staff person, from which utilization
% is computed; segmented by Practice Area and by
Professional Staff Type.
If you choose to have the model compute staff
requirements, then this variable and Professional
staff target utilization % are used for this
purpose.
(variable Prof_Staff_Targ_Hrs_per_HC_Yr)</t>
        </r>
      </text>
    </comment>
    <comment ref="B430" authorId="0" shapeId="0">
      <text>
        <r>
          <rPr>
            <b/>
            <sz val="8"/>
            <rFont val="Arial"/>
            <family val="2"/>
          </rPr>
          <t>Target utilization percent of professional staff
hours in client engagements and practice
development, segmented by Practice Area, by
Professional Staff Type, and by time period. This
information is used in the model only if billed
professional staff hours are used to project
professional headcount.
If you choose to have the model compute staff
requirements, then this variable and Professional
staff target hours per head are used for this
purpose.
(variable Prof_Staff_Targ_Util_pct)</t>
        </r>
      </text>
    </comment>
    <comment ref="B432" authorId="0" shapeId="0">
      <text>
        <r>
          <rPr>
            <b/>
            <sz val="8"/>
            <rFont val="Arial"/>
            <family val="2"/>
          </rPr>
          <t>Number of professional staff that turn over each
year and must be replaced. Segmented by Practice
Area, by Professional Staff Type, and by time
period.
This information is used in the computation of
recruiting expense.
(variable Prof_Staff_Turnover)</t>
        </r>
      </text>
    </comment>
    <comment ref="B434" authorId="0" shapeId="0">
      <text>
        <r>
          <rPr>
            <b/>
            <sz val="8"/>
            <rFont val="Arial"/>
            <family val="2"/>
          </rPr>
          <t>Percentage of professional staff that turn over
each year, segmented by Practice Area, and by
Professional Staff Type. Used in the computation
of recruiting expense.
Because this variable does not depend on time,
the rollup values are given for the last period of
model time.
(variable Prof_Staff_Turnover_pct_Yr)</t>
        </r>
      </text>
    </comment>
    <comment ref="B436" authorId="0" shapeId="0">
      <text>
        <r>
          <rPr>
            <b/>
            <sz val="8"/>
            <rFont val="Arial"/>
            <family val="2"/>
          </rPr>
          <t>Percent of theoretical professional staff hours
used in client engagements and practice
development, segmented by Practice Area,
Professional Staff Type, and time period
(variable Prof_Staff_Util_pct)</t>
        </r>
      </text>
    </comment>
    <comment ref="B438" authorId="0" shapeId="0">
      <text>
        <r>
          <rPr>
            <b/>
            <sz val="8"/>
            <rFont val="Arial"/>
            <family val="2"/>
          </rPr>
          <t>Amount of purchases, split out by goods and
services, payroll, and income taxes, per period.
Used to compute accounts payable.
(variable Purchases_Short_Term)</t>
        </r>
      </text>
    </comment>
    <comment ref="B442" authorId="0" shapeId="0">
      <text>
        <r>
          <rPr>
            <b/>
            <sz val="8"/>
            <rFont val="Arial"/>
            <family val="2"/>
          </rPr>
          <t>Purchases of direct supplies, by time period
(variable Purchases_Supplies)</t>
        </r>
      </text>
    </comment>
    <comment ref="B444" authorId="0" shapeId="0">
      <text>
        <r>
          <rPr>
            <b/>
            <sz val="8"/>
            <rFont val="Arial"/>
            <family val="2"/>
          </rPr>
          <t>The ratio (short-term assets less inventory) /
short-term liabilities, by time period
(variable Quick_Ratio)</t>
        </r>
      </text>
    </comment>
    <comment ref="B446" authorId="0" shapeId="0">
      <text>
        <r>
          <rPr>
            <b/>
            <sz val="8"/>
            <rFont val="Arial"/>
            <family val="2"/>
          </rPr>
          <t>Recruiting expense as a percentage of annual
salary, for those professional staff positions
that incur recruiting expense, segmented by job
level and by department.
(variable Recruit_Exp_pct_Comp_Prof)</t>
        </r>
      </text>
    </comment>
    <comment ref="B449" authorId="0" shapeId="0">
      <text>
        <r>
          <rPr>
            <b/>
            <sz val="8"/>
            <rFont val="Arial"/>
            <family val="2"/>
          </rPr>
          <t>Recruiting expense as a percentage of annual
salary or wage, for those support staff positions
that incur recruiting expense, by job level and by
department.
(variable Recruit_Exp_pct_Comp_Sup)</t>
        </r>
      </text>
    </comment>
    <comment ref="B452" authorId="0" shapeId="0">
      <text>
        <r>
          <rPr>
            <b/>
            <sz val="8"/>
            <rFont val="Arial"/>
            <family val="2"/>
          </rPr>
          <t>Recruiting expense for professional staff,
segmented by department, job level, and time
period. This expense is included in G&amp;A expense in
the account 'Recruiting', in the 'Admin'
department.
(variable Recruit_Exp_Prof)</t>
        </r>
      </text>
    </comment>
    <comment ref="B454" authorId="0" shapeId="0">
      <text>
        <r>
          <rPr>
            <b/>
            <sz val="8"/>
            <rFont val="Arial"/>
            <family val="2"/>
          </rPr>
          <t>Recruiting expense for support staff, segmented by
department, job level, and time period. This
expense is included in G&amp;A expense in the account
'Recruiting', segmented by department.
(variable Recruit_Exp_Sup)</t>
        </r>
      </text>
    </comment>
    <comment ref="B456" authorId="0" shapeId="0">
      <text>
        <r>
          <rPr>
            <b/>
            <sz val="8"/>
            <rFont val="Arial"/>
            <family val="2"/>
          </rPr>
          <t>Total recruiting expense for professional and
support staffs. Recruiting expense for support
staff is treated as a G&amp;A operating expense in the
respective departments. Recruiting expense for
professional staff is treated as a G&amp;A operating
expense in the Admin department.
(variable Recruit_Expense)</t>
        </r>
      </text>
    </comment>
    <comment ref="B458" authorId="0" shapeId="0">
      <text>
        <r>
          <rPr>
            <b/>
            <sz val="8"/>
            <rFont val="Arial"/>
            <family val="2"/>
          </rPr>
          <t>Percentage of employees in the first time period
that incur the normal rate of recruiting activity.
For startups, this is near 100%; for ongoing
businesses, this is zero.
(variable Recruit_pct_Pos_Prof_Init)</t>
        </r>
      </text>
    </comment>
    <comment ref="B460" authorId="0" shapeId="0">
      <text>
        <r>
          <rPr>
            <b/>
            <sz val="8"/>
            <rFont val="Arial"/>
            <family val="2"/>
          </rPr>
          <t>Percentage of employees in the first time period
that incur the normal rate of recruiting activity.
For startups, this is near 100%; for ongoing
businesses, this is zero.
(variable Recruit_pct_Pos_Sup_Init)</t>
        </r>
      </text>
    </comment>
    <comment ref="B462" authorId="0" shapeId="0">
      <text>
        <r>
          <rPr>
            <b/>
            <sz val="8"/>
            <rFont val="Arial"/>
            <family val="2"/>
          </rPr>
          <t>Percentage of open positions that incur recruiting
expense, by department and job level. Does not
apply to the first time period (see
Recruit_pct_Pos_Prof_Init).
(variable Recruit_pct_Positions_Prof)</t>
        </r>
      </text>
    </comment>
    <comment ref="B465" authorId="0" shapeId="0">
      <text>
        <r>
          <rPr>
            <b/>
            <sz val="8"/>
            <rFont val="Arial"/>
            <family val="2"/>
          </rPr>
          <t>Percentage of open positions that incur recruiting
expense, by department and job level. Does not
apply to the first time period (see
Recruit_pct_Pos_Sup_Init).
(variable Recruit_pct_Positions_Sup)</t>
        </r>
      </text>
    </comment>
    <comment ref="B468" authorId="0" shapeId="0">
      <text>
        <r>
          <rPr>
            <b/>
            <sz val="8"/>
            <rFont val="Arial"/>
            <family val="2"/>
          </rPr>
          <t>The stock of retained earnings at the end of each
time period. The value at the start of model time
is determined by the accounting identity Retained
Earnings = Assets - Liabilities - Paid_In_Capital.
(variable Retained_Earnings)</t>
        </r>
      </text>
    </comment>
    <comment ref="B470" authorId="0" shapeId="0">
      <text>
        <r>
          <rPr>
            <b/>
            <sz val="8"/>
            <rFont val="Arial"/>
            <family val="2"/>
          </rPr>
          <t>The ratio (trailing annual net income) / assets,
by time period
(variable Return_on_Assets)</t>
        </r>
      </text>
    </comment>
    <comment ref="B472" authorId="0" shapeId="0">
      <text>
        <r>
          <rPr>
            <b/>
            <sz val="8"/>
            <rFont val="Arial"/>
            <family val="2"/>
          </rPr>
          <t>The ratio (trailing annual net income) / (book
value of equity), by time period
(variable Return_on_Equity)</t>
        </r>
      </text>
    </comment>
    <comment ref="B474" authorId="0" shapeId="0">
      <text>
        <r>
          <rPr>
            <b/>
            <sz val="8"/>
            <rFont val="Arial"/>
            <family val="2"/>
          </rPr>
          <t>The ratio net income / revenue, by time period
(variable Return_on_Sales_pct)</t>
        </r>
      </text>
    </comment>
    <comment ref="B476" authorId="0" shapeId="0">
      <text>
        <r>
          <rPr>
            <b/>
            <sz val="8"/>
            <rFont val="Arial"/>
            <family val="2"/>
          </rPr>
          <t>Revenue from billed hours, segmented by Practice
Area, Professional Staff Type, Channel, and time
period. Includes small engagments from the sales
funnel and T&amp;E billed at cost.</t>
        </r>
      </text>
    </comment>
    <comment ref="B478" authorId="0" shapeId="0">
      <text>
        <r>
          <rPr>
            <b/>
            <sz val="8"/>
            <rFont val="Arial"/>
            <family val="2"/>
          </rPr>
          <t>Cumulative average growth rate of revenue over
model time, excluding year 1, using a least
squares fit to historical revenue, segmented by
product. This method gives a more stable estimate
of CAGR than using just the first and last period
revenues.
(variable Revenue_CAGR)</t>
        </r>
      </text>
    </comment>
    <comment ref="B480" authorId="0" shapeId="0">
      <text>
        <r>
          <rPr>
            <b/>
            <sz val="8"/>
            <rFont val="Arial"/>
            <family val="2"/>
          </rPr>
          <t>Revenue from billed hours, segmented by Channel,
Practice Area, Professional Staff Type, and time
period. Includes small engagments from the sales
funnel. This variable is for display only. It
segments by Channels first, while variable
'Revenue' segments by Practice Area first. 
(variable Revenue_Channel)</t>
        </r>
      </text>
    </comment>
    <comment ref="B482" authorId="0" shapeId="0">
      <text>
        <r>
          <rPr>
            <b/>
            <sz val="8"/>
            <rFont val="Arial"/>
            <family val="2"/>
          </rPr>
          <t>Growth rate of revenue compared to the previous
time period, segmented by product, by time period
(variable Revenue_Growth)</t>
        </r>
      </text>
    </comment>
    <comment ref="B484" authorId="0" shapeId="0">
      <text>
        <r>
          <rPr>
            <b/>
            <sz val="8"/>
            <rFont val="Arial"/>
            <family val="2"/>
          </rPr>
          <t>Growth rate of revenue compared to the previous
time period, segmented by product, by time period
(variable Revenue_Growth_display)</t>
        </r>
      </text>
    </comment>
    <comment ref="B486" authorId="0" shapeId="0">
      <text>
        <r>
          <rPr>
            <b/>
            <sz val="8"/>
            <rFont val="Arial"/>
            <family val="2"/>
          </rPr>
          <t>The ratio (revenue for each time period) /
(professional staff count at end of each time
period)
(variable Revenue_per_Prof_Staff)</t>
        </r>
      </text>
    </comment>
    <comment ref="B488" authorId="0" shapeId="0">
      <text>
        <r>
          <rPr>
            <b/>
            <sz val="8"/>
            <rFont val="Arial"/>
            <family val="2"/>
          </rPr>
          <t>The percentage of revenue paid as sales
commissions on those orders that are
commissionable, by time period
(variable Sales_Commis_Rate)</t>
        </r>
      </text>
    </comment>
    <comment ref="B490" authorId="0" shapeId="0">
      <text>
        <r>
          <rPr>
            <b/>
            <sz val="8"/>
            <rFont val="Arial"/>
            <family val="2"/>
          </rPr>
          <t>The fraction of revenue on which commission is
paid, per time period.
(variable Sales_Commis_Rev_Share)</t>
        </r>
      </text>
    </comment>
    <comment ref="B492" authorId="0" shapeId="0">
      <text>
        <r>
          <rPr>
            <b/>
            <sz val="8"/>
            <rFont val="Arial"/>
            <family val="2"/>
          </rPr>
          <t>Sales commission expense paid only on
commissionable sales, without employee benefits or
wage taxes, by time period.
If no department has the name "Sales", then sales
commissions may not be included in operating
expenses.
(variable Sales_Commission)</t>
        </r>
      </text>
    </comment>
    <comment ref="B494" authorId="0" shapeId="0">
      <text>
        <r>
          <rPr>
            <b/>
            <sz val="8"/>
            <rFont val="Arial"/>
            <family val="2"/>
          </rPr>
          <t>Rate at which qualified sales leads convert to
next-most qualified lead class or to sales orders,
segmented by lead quality and by product, for each
time period. Sales leads apply to products only,
not support. The least qualified lead categories
are listed first, and the most qualified
categories are at the end of the list.
A conversion rate of exactly 100%/year is treated
as a special case, so that all leads are promoted
in the first time period, even if that is a month
(or a day).
(variable Sales_Lead_Hrs_Conv_pct)</t>
        </r>
      </text>
    </comment>
    <comment ref="B496" authorId="0" shapeId="0">
      <text>
        <r>
          <rPr>
            <b/>
            <sz val="8"/>
            <rFont val="Arial"/>
            <family val="2"/>
          </rPr>
          <t>Annualized rate at which qualified sales leads
convert to the next-most qualified lead class or
to sales orders, segmented by lead quality and by
product, for each time period. Sales leads apply
to products only, not support.
The least qualified lead categories are listed
first, and the most qualified categories are at
the end of the list.
(variable Sales_Lead_Hrs_Conv_pct_Yr)</t>
        </r>
      </text>
    </comment>
    <comment ref="B498" authorId="0" shapeId="0">
      <text>
        <r>
          <rPr>
            <b/>
            <sz val="8"/>
            <rFont val="Arial"/>
            <family val="2"/>
          </rPr>
          <t>Rate at which qualified sales leads expire,
segmented by lead quality and by product, for each
time period. Sales leads apply to products only,
not support.
(variable Sales_Lead_Hrs_Expire_pct)</t>
        </r>
      </text>
    </comment>
    <comment ref="B500" authorId="0" shapeId="0">
      <text>
        <r>
          <rPr>
            <b/>
            <sz val="8"/>
            <rFont val="Arial"/>
            <family val="2"/>
          </rPr>
          <t>Annualized rate at which qualified sales leads
expire, segmented by lead quality and by product,
for each time period. Sales leads apply to
products only, not support.
(variable Sales_Lead_Hrs_Expire_pct_Yr)</t>
        </r>
      </text>
    </comment>
    <comment ref="B502" authorId="0" shapeId="0">
      <text>
        <r>
          <rPr>
            <b/>
            <sz val="8"/>
            <rFont val="Arial"/>
            <family val="2"/>
          </rPr>
          <t>The number of qualified sales leads, expressed in
billable hours, at the start of the first time
period, segmented by lead quality and by product.
The least qualified lead categories are listed
first, and the most qualified categories are at
the end of the list.
(variable Sales_Lead_Hrs_Init)</t>
        </r>
      </text>
    </comment>
    <comment ref="B504" authorId="0" shapeId="0">
      <text>
        <r>
          <rPr>
            <b/>
            <sz val="8"/>
            <rFont val="Arial"/>
            <family val="2"/>
          </rPr>
          <t>New qualified sales leads, expressed in billable
hours, segmented by lead quality, Practice Area,
and Professional Staff Type, for each time period.
Sales leads apply to products only, not support.
The least qualified lead categories are listed
first, and the most qualified categories are at
the end of the list.
(variable Sales_Lead_Hrs_New)</t>
        </r>
      </text>
    </comment>
    <comment ref="B506" authorId="0" shapeId="0">
      <text>
        <r>
          <rPr>
            <b/>
            <sz val="8"/>
            <rFont val="Arial"/>
            <family val="2"/>
          </rPr>
          <t>The amount of qualified sales leads, expressed in
currency, at the end of each time period,
segmented by lead quality and by product. Sales
leads apply to products only, not support.
The least qualified lead categories are listed
first, and the most qualified categories are at
the end of the list.
(variable Sales_Leads)</t>
        </r>
      </text>
    </comment>
    <comment ref="B508" authorId="0" shapeId="0">
      <text>
        <r>
          <rPr>
            <b/>
            <sz val="8"/>
            <rFont val="Arial"/>
            <family val="2"/>
          </rPr>
          <t>The number of qualified sales leads, expressed in
billable hours, at the end of each time period,
segmented by lead quality, Practice Area, and
Professional Staff Type.
The least qualified lead categories are listed
first, and the most qualified categories are at
the end of the list.
(variable Sales_Leads_Hrs)</t>
        </r>
      </text>
    </comment>
    <comment ref="B510" authorId="0" shapeId="0">
      <text>
        <r>
          <rPr>
            <b/>
            <sz val="8"/>
            <rFont val="Arial"/>
            <family val="2"/>
          </rPr>
          <t>New qualified sales leads, expressed in currency,
in each time period, segmented by lead quality and
by product. Sales leads apply to products only,
not support.
The least qualified lead categories are listed
first, and the most qualified categories are at
the end of the list.
(variable Sales_Leads_New)</t>
        </r>
      </text>
    </comment>
    <comment ref="B512" authorId="0" shapeId="0">
      <text>
        <r>
          <rPr>
            <b/>
            <sz val="8"/>
            <rFont val="Arial"/>
            <family val="2"/>
          </rPr>
          <t>The ratio (sales department expense) / revenue, by
time period
(variable Selling_Exp_Ratio)</t>
        </r>
      </text>
    </comment>
    <comment ref="B514" authorId="0" shapeId="0">
      <text>
        <r>
          <rPr>
            <b/>
            <sz val="8"/>
            <rFont val="Arial"/>
            <family val="2"/>
          </rPr>
          <t>The amount of short-term debt outstanding at the
end of each time period.
This variable contains a formula that expresses a
policy: the company takes enough short-term loans
to keep cash balances equal to a target number of
days of revenue.
(variable Short_Debt)</t>
        </r>
      </text>
    </comment>
    <comment ref="B516" authorId="0" shapeId="0">
      <text>
        <r>
          <rPr>
            <b/>
            <sz val="8"/>
            <rFont val="Arial"/>
            <family val="2"/>
          </rPr>
          <t>Support staff benefits expense, as a percentage of
wages, excluding bonuses and commissions
(variable Sup_Staff_Benefits_pct)</t>
        </r>
      </text>
    </comment>
    <comment ref="B518" authorId="0" shapeId="0">
      <text>
        <r>
          <rPr>
            <b/>
            <sz val="8"/>
            <rFont val="Arial"/>
            <family val="2"/>
          </rPr>
          <t>The bonus pool for support staff, segmented by
department, by job level, by time period
(variable Sup_Staff_Bonus)</t>
        </r>
      </text>
    </comment>
    <comment ref="B520" authorId="0" shapeId="0">
      <text>
        <r>
          <rPr>
            <b/>
            <sz val="8"/>
            <rFont val="Arial"/>
            <family val="2"/>
          </rPr>
          <t>Bonus pool for support staff as a percentage of
wages, by department and job level, by time period
(variable Sup_Staff_Bonus_pct)</t>
        </r>
      </text>
    </comment>
    <comment ref="B522" authorId="0" shapeId="0">
      <text>
        <r>
          <rPr>
            <b/>
            <sz val="8"/>
            <rFont val="Arial"/>
            <family val="2"/>
          </rPr>
          <t>Support staff headcount, segmented by department
and job level, by time period. The support staff
count is rounded to half-integers.
Headcount is determined by explicit input data,
and may be determined by a revenue-driven formula
for later time periods.
(variable Sup_Staff_Count)</t>
        </r>
      </text>
    </comment>
    <comment ref="B524" authorId="0" shapeId="0">
      <text>
        <r>
          <rPr>
            <b/>
            <sz val="8"/>
            <rFont val="Arial"/>
            <family val="2"/>
          </rPr>
          <t>Number of early time periods in which explicit
input data for early support staff count (in
variable Sup Staff Count Early) are used, before
the revenue-based formula takes over. Default
cutover is one year.
(variable Sup_Staff_Count_Cutover)</t>
        </r>
      </text>
    </comment>
    <comment ref="B526" authorId="0" shapeId="0">
      <text>
        <r>
          <rPr>
            <b/>
            <sz val="8"/>
            <rFont val="Arial"/>
            <family val="2"/>
          </rPr>
          <t>Support staff headcount for the first few time
periods, given explicitly as numerical input.
Later headcount is computed from formula count =
K0 + K1 *(revenue/1000)^K2. The cutover from
explicit input data to the revenue-driven formula
is controlled by the variable 'Sup Staff Count
Early Cutover'. Excludes profesional staff. 
All headcount by department and job level is
later rounded to half-integers.
(variable Sup_Staff_Count_Early)</t>
        </r>
      </text>
    </comment>
    <comment ref="B528" authorId="0" shapeId="0">
      <text>
        <r>
          <rPr>
            <b/>
            <sz val="8"/>
            <rFont val="Arial"/>
            <family val="2"/>
          </rPr>
          <t>Constants K0, K1 and K2 used in the computation of
support staff headcount (by department and job
level) as count = K0 + K1 *(annualized
revenue/1000000)^K2
(variable Sup_Staff_Count_K)</t>
        </r>
      </text>
    </comment>
    <comment ref="B530" authorId="0" shapeId="0">
      <text>
        <r>
          <rPr>
            <b/>
            <sz val="8"/>
            <rFont val="Arial"/>
            <family val="2"/>
          </rPr>
          <t>Support staff headcount, segmented by department
and job level, by time period. The formula allows
nonlinear growth of headcount with revenue. Each
headcount number is later rounded to
half-integers.
(variable Sup_Staff_Count1_K_on)</t>
        </r>
      </text>
    </comment>
    <comment ref="B532" authorId="0" shapeId="0">
      <text>
        <r>
          <rPr>
            <b/>
            <sz val="8"/>
            <rFont val="Arial"/>
            <family val="2"/>
          </rPr>
          <t>Support staff expense, segmented by job level, by
department, for each time period.
Sales commissions go to the Sales department,
allocated to employees proportional to wage and
salary compensation.
(variable Sup_Staff_Expense)</t>
        </r>
      </text>
    </comment>
    <comment ref="B534" authorId="0" shapeId="0">
      <text>
        <r>
          <rPr>
            <b/>
            <sz val="8"/>
            <rFont val="Arial"/>
            <family val="2"/>
          </rPr>
          <t>Number of support staff open positions, segmented
by department, job level, and by time period
(variable Sup_Staff_Openings)</t>
        </r>
      </text>
    </comment>
    <comment ref="B536" authorId="0" shapeId="0">
      <text>
        <r>
          <rPr>
            <b/>
            <sz val="8"/>
            <rFont val="Arial"/>
            <family val="2"/>
          </rPr>
          <t>The ratio (support staff count at end of time
period)/ (revenue 000 for time period)
(variable Sup_Staff_per_RevM)</t>
        </r>
      </text>
    </comment>
    <comment ref="B538" authorId="0" shapeId="0">
      <text>
        <r>
          <rPr>
            <b/>
            <sz val="8"/>
            <rFont val="Arial"/>
            <family val="2"/>
          </rPr>
          <t>Number of support staff that are recruited,
segmented by department, job level, and by time
period
(variable Sup_Staff_Recruited)</t>
        </r>
      </text>
    </comment>
    <comment ref="B540" authorId="0" shapeId="0">
      <text>
        <r>
          <rPr>
            <b/>
            <sz val="8"/>
            <rFont val="Arial"/>
            <family val="2"/>
          </rPr>
          <t>Support staff-related expenses, segmented by
department and expense type
(variable Sup_Staff_Rel_Exp)</t>
        </r>
      </text>
    </comment>
    <comment ref="B542" authorId="0" shapeId="0">
      <text>
        <r>
          <rPr>
            <b/>
            <sz val="8"/>
            <rFont val="Arial"/>
            <family val="2"/>
          </rPr>
          <t>Number of support staff that turn over each year,
segmented by department and job level, by time
period
(variable Sup_Staff_Turnover)</t>
        </r>
      </text>
    </comment>
    <comment ref="B544" authorId="0" shapeId="0">
      <text>
        <r>
          <rPr>
            <b/>
            <sz val="8"/>
            <rFont val="Arial"/>
            <family val="2"/>
          </rPr>
          <t>Percentage of support staff that turn over each
year, segmented by department and job level, by
time period. Because this variable does not depend
on time, the rollup values are given for the last
period of model time.
(variable Sup_Staff_Turnover_pct_Yr)</t>
        </r>
      </text>
    </comment>
    <comment ref="B547" authorId="0" shapeId="0">
      <text>
        <r>
          <rPr>
            <b/>
            <sz val="8"/>
            <rFont val="Arial"/>
            <family val="2"/>
          </rPr>
          <t>The average wage per support staff per time
period, segmented by department and job level
(variable Sup_Staff_Wage_Avg)</t>
        </r>
      </text>
    </comment>
    <comment ref="B550" authorId="0" shapeId="0">
      <text>
        <r>
          <rPr>
            <b/>
            <sz val="8"/>
            <rFont val="Arial"/>
            <family val="2"/>
          </rPr>
          <t>The average annual wage per support staff,
segmented by department and job level, in the
initial time period
(variable Sup_Staff_Wage_Avg_Initial_Yr)</t>
        </r>
      </text>
    </comment>
    <comment ref="B552" authorId="0" shapeId="0">
      <text>
        <r>
          <rPr>
            <b/>
            <sz val="8"/>
            <rFont val="Arial"/>
            <family val="2"/>
          </rPr>
          <t>Support staff wage expense per time period,
segmented by department, by job level. Excludes
benefits, payroll taxes, bonuses and commissions.
(variable Sup_Staff_Wage_Expense)</t>
        </r>
      </text>
    </comment>
    <comment ref="B554" authorId="0" shapeId="0">
      <text>
        <r>
          <rPr>
            <b/>
            <sz val="8"/>
            <rFont val="Arial"/>
            <family val="2"/>
          </rPr>
          <t>The rate of increase of wage rates for support
staff. The variable 'Wage Increase Annual?'
determines whether this rate of increase is
interpreted as an annual rate spread over all time
periods, or as the actual rate that is applied in
each time period.
(variable Sup_Staff_Wage_incr_pct)</t>
        </r>
      </text>
    </comment>
    <comment ref="B556" authorId="0" shapeId="0">
      <text>
        <r>
          <rPr>
            <b/>
            <sz val="8"/>
            <rFont val="Arial"/>
            <family val="2"/>
          </rPr>
          <t>The rate of increase of wage rates, by time period
(variable Sup_Staff_Wage_incr_period_pct)</t>
        </r>
      </text>
    </comment>
    <comment ref="B558" authorId="0" shapeId="0">
      <text>
        <r>
          <rPr>
            <b/>
            <sz val="8"/>
            <rFont val="Arial"/>
            <family val="2"/>
          </rPr>
          <t>Depreciation expense for each tagged asset, by
time period. Possible values are "SLN" (linear),
"SYD" (sum of digits), and "DDB" (double declining
balance); the default method is "SLN".
(variable Tagged_Asset_Deprec)</t>
        </r>
      </text>
    </comment>
    <comment ref="B560" authorId="0" shapeId="0">
      <text>
        <r>
          <rPr>
            <b/>
            <sz val="8"/>
            <rFont val="Arial"/>
            <family val="2"/>
          </rPr>
          <t>Depreciation method for each tagged asset. Choose
one of SLN, SYD, DDB, or None.
(variable Tagged_Asset_Deprec_Method)</t>
        </r>
      </text>
    </comment>
    <comment ref="B562" authorId="0" shapeId="0">
      <text>
        <r>
          <rPr>
            <b/>
            <sz val="8"/>
            <rFont val="Arial"/>
            <family val="2"/>
          </rPr>
          <t>Variable that counts how many time periods have
passed during the life of each tagged asset, for
each time period. Negative before period
purchased. Zero during period purchased. Constant
after end of life. Used as input to depreciation
functions that require the number of the time
period for which depreciation is computed.
(variable Tagged_Asset_Deprec_Period)</t>
        </r>
      </text>
    </comment>
    <comment ref="B564" authorId="0" shapeId="0">
      <text>
        <r>
          <rPr>
            <b/>
            <sz val="8"/>
            <rFont val="Arial"/>
            <family val="2"/>
          </rPr>
          <t>Initial asset value of each tagged asset
(variable Tagged_Asset_Init_Value)</t>
        </r>
      </text>
    </comment>
    <comment ref="B566" authorId="0" shapeId="0">
      <text>
        <r>
          <rPr>
            <b/>
            <sz val="8"/>
            <rFont val="Arial"/>
            <family val="2"/>
          </rPr>
          <t>Depreciation life of each tagged asset expressed
in periods of model time
(variable Tagged_Asset_Life_Depr_Period)</t>
        </r>
      </text>
    </comment>
    <comment ref="B568" authorId="0" shapeId="0">
      <text>
        <r>
          <rPr>
            <b/>
            <sz val="8"/>
            <rFont val="Arial"/>
            <family val="2"/>
          </rPr>
          <t>Depreciation life of each tagged asset
(variable Tagged_Asset_Life_Depr_Yr)</t>
        </r>
      </text>
    </comment>
    <comment ref="B570" authorId="0" shapeId="0">
      <text>
        <r>
          <rPr>
            <b/>
            <sz val="8"/>
            <rFont val="Arial"/>
            <family val="2"/>
          </rPr>
          <t>Depreciation life of each tagged asset expressed
in periods of model time
(variable Tagged_Asset_Life_Phys_Period)</t>
        </r>
      </text>
    </comment>
    <comment ref="B572" authorId="0" shapeId="0">
      <text>
        <r>
          <rPr>
            <b/>
            <sz val="8"/>
            <rFont val="Arial"/>
            <family val="2"/>
          </rPr>
          <t>Physical, useful life of each tagged asset
expressed in years
(variable Tagged_Asset_Life_Phys_Yr)</t>
        </r>
      </text>
    </comment>
    <comment ref="B574" authorId="0" shapeId="0">
      <text>
        <r>
          <rPr>
            <b/>
            <sz val="8"/>
            <rFont val="Arial"/>
            <family val="2"/>
          </rPr>
          <t>The name of each tagged asset
(variable Tagged_Asset_Name)</t>
        </r>
      </text>
    </comment>
    <comment ref="B576" authorId="0" shapeId="0">
      <text>
        <r>
          <rPr>
            <b/>
            <sz val="8"/>
            <rFont val="Arial"/>
            <family val="2"/>
          </rPr>
          <t>The purchase amount of each tagged asset, assigned
to the time period that includes the purchase
date. This variable is needed to express the
purchase value in a time-dependent table needed
for depreciation computations.
(variable Tagged_Asset_Purch)</t>
        </r>
      </text>
    </comment>
    <comment ref="B578" authorId="0" shapeId="0">
      <text>
        <r>
          <rPr>
            <b/>
            <sz val="8"/>
            <rFont val="Arial"/>
            <family val="2"/>
          </rPr>
          <t>Date on which each tagged asset was purchased
(variable Tagged_Asset_Purch_Date)</t>
        </r>
      </text>
    </comment>
    <comment ref="B580" authorId="0" shapeId="0">
      <text>
        <r>
          <rPr>
            <b/>
            <sz val="8"/>
            <rFont val="Arial"/>
            <family val="2"/>
          </rPr>
          <t>The salvage value of each tagged asset, assigned
to the time period that includes the end of life.
This variable is needed to express the salvage
value in a time-dependent table needed for cash
flow computations.
(variable Tagged_Asset_Salvage_CF)</t>
        </r>
      </text>
    </comment>
    <comment ref="B582" authorId="0" shapeId="0">
      <text>
        <r>
          <rPr>
            <b/>
            <sz val="8"/>
            <rFont val="Arial"/>
            <family val="2"/>
          </rPr>
          <t>Salvage value of each tagged asset
(variable Tagged_Asset_Salvage_Value)</t>
        </r>
      </text>
    </comment>
    <comment ref="B584" authorId="0" shapeId="0">
      <text>
        <r>
          <rPr>
            <b/>
            <sz val="8"/>
            <rFont val="Arial"/>
            <family val="2"/>
          </rPr>
          <t>The book value of each tagged asset, by time
period
(variable Tagged_Assets)</t>
        </r>
      </text>
    </comment>
    <comment ref="B586" authorId="0" shapeId="0">
      <text>
        <r>
          <rPr>
            <b/>
            <sz val="8"/>
            <rFont val="Arial"/>
            <family val="2"/>
          </rPr>
          <t>The discount rate per time period used for the
cash flow occurring after the end of model time
(variable Tail_Discount_Rate)</t>
        </r>
      </text>
    </comment>
    <comment ref="B588" authorId="0" shapeId="0">
      <text>
        <r>
          <rPr>
            <b/>
            <sz val="8"/>
            <rFont val="Arial"/>
            <family val="2"/>
          </rPr>
          <t>The annual discount rate used for the cash flow
occurring after the end of model time. The model
tries to express all input discount rates in
annual terms.
(variable Tail_Discount_Rate_Yr)</t>
        </r>
      </text>
    </comment>
    <comment ref="B590" authorId="0" shapeId="0">
      <text>
        <r>
          <rPr>
            <b/>
            <sz val="8"/>
            <rFont val="Arial"/>
            <family val="2"/>
          </rPr>
          <t>The value of cash flows assumed to occur after the
end of model time, discounted to the present value
at the end of model time. An asset value for this
future cash flow is included in the valuation of
the equity of the company.
(variable Tail_Future_Value)</t>
        </r>
      </text>
    </comment>
    <comment ref="B592" authorId="0" shapeId="0">
      <text>
        <r>
          <rPr>
            <b/>
            <sz val="8"/>
            <rFont val="Arial"/>
            <family val="2"/>
          </rPr>
          <t>The growth rate per time period assumed for the
cash flow occurring after the end of model time. 
(variable Tail_Growth_Rate)</t>
        </r>
      </text>
    </comment>
    <comment ref="B594" authorId="0" shapeId="0">
      <text>
        <r>
          <rPr>
            <b/>
            <sz val="8"/>
            <rFont val="Arial"/>
            <family val="2"/>
          </rPr>
          <t>The annual growth rate assumed for the cash flow
occurring after the end of model time. 
The default formula is that the tail growth rate
is half the billable hours growth rate for the
final period of model time.
The model expresses all input growth rates in
annual terms.
(variable Tail_Growth_Rate_Yr)</t>
        </r>
      </text>
    </comment>
    <comment ref="B596" authorId="0" shapeId="0">
      <text>
        <r>
          <rPr>
            <b/>
            <sz val="8"/>
            <rFont val="Arial"/>
            <family val="2"/>
          </rPr>
          <t>Income subject to income tax. Applicable losses
carried forward from previous time periods are
already subtracted.
(variable Taxable_Income)</t>
        </r>
      </text>
    </comment>
    <comment ref="B598" authorId="0" shapeId="0">
      <text>
        <r>
          <rPr>
            <b/>
            <sz val="8"/>
            <rFont val="Arial"/>
            <family val="2"/>
          </rPr>
          <t>This variable counts time in years, starting from
the beginning of model time. For example, it
increases in value by 0.25 each quarter.</t>
        </r>
      </text>
    </comment>
    <comment ref="B600" authorId="0" shapeId="0">
      <text>
        <r>
          <rPr>
            <b/>
            <sz val="8"/>
            <rFont val="Arial"/>
            <family val="2"/>
          </rPr>
          <t>Counts time in periods of model time, starting
from the beginning of model time
(variable Time_Periods)</t>
        </r>
      </text>
    </comment>
    <comment ref="B602" authorId="0" shapeId="0">
      <text>
        <r>
          <rPr>
            <b/>
            <sz val="8"/>
            <rFont val="Arial"/>
            <family val="2"/>
          </rPr>
          <t>Depreciation expense for each type of untagged
asset, with individual untagged assets combined,
by time period purchased. 
Untagged assets are those not worth the effort to
track separately (e.g. desks, PCs). Depreciation
method is declining balance, with remaining book
value depreciated in the final year of life.
(variable Untagged_Asset_Deprec)</t>
        </r>
      </text>
    </comment>
    <comment ref="B604" authorId="0" shapeId="0">
      <text>
        <r>
          <rPr>
            <b/>
            <sz val="8"/>
            <rFont val="Arial"/>
            <family val="2"/>
          </rPr>
          <t>The asset life that determines the rate of
depreciation of untagged assets, by type of
untagged asset. In the current implementation,
life must be an integral number of years &lt;= 9.
(variable Untagged_Asset_Life_Yrs)</t>
        </r>
      </text>
    </comment>
    <comment ref="B606" authorId="0" shapeId="0">
      <text>
        <r>
          <rPr>
            <b/>
            <sz val="8"/>
            <rFont val="Arial"/>
            <family val="2"/>
          </rPr>
          <t>The name of each tagged asset type
(variable Untagged_Asset_Name)</t>
        </r>
      </text>
    </comment>
    <comment ref="B608" authorId="0" shapeId="0">
      <text>
        <r>
          <rPr>
            <b/>
            <sz val="8"/>
            <rFont val="Arial"/>
            <family val="2"/>
          </rPr>
          <t>Purchases of untagged assets, segmented by type of
untagged assets, by time period. The model
computes initial purchases, purchases per new
headcount, and per existing headcount.
(variable Untagged_Asset_Purch)</t>
        </r>
      </text>
    </comment>
    <comment ref="B610" authorId="0" shapeId="0">
      <text>
        <r>
          <rPr>
            <b/>
            <sz val="8"/>
            <rFont val="Arial"/>
            <family val="2"/>
          </rPr>
          <t>The value of past untagged asset purchases that
reach end of life in the current time period
(variable Untagged_Asset_Purch_Lagged)</t>
        </r>
      </text>
    </comment>
    <comment ref="B612" authorId="0" shapeId="0">
      <text>
        <r>
          <rPr>
            <b/>
            <sz val="8"/>
            <rFont val="Arial"/>
            <family val="2"/>
          </rPr>
          <t>Purchases of untagged assets 
1) before the start of model time
2) per new employee
3) ANNUAL purchases per existing employee,
all segmented by long asset type
(variable Untagged_Asset_Purch_Params)</t>
        </r>
      </text>
    </comment>
    <comment ref="B614" authorId="0" shapeId="0">
      <text>
        <r>
          <rPr>
            <b/>
            <sz val="8"/>
            <rFont val="Arial"/>
            <family val="2"/>
          </rPr>
          <t>The book value of each type of untagged asset, by
time period
(variable Untagged_Assets)</t>
        </r>
      </text>
    </comment>
    <comment ref="B616" authorId="0" shapeId="0">
      <text>
        <r>
          <rPr>
            <b/>
            <sz val="8"/>
            <rFont val="Arial"/>
            <family val="2"/>
          </rPr>
          <t>Valuation of the equity of the company at each
point in time, assuming that the company has met
plan in all past time periods, using cash flows
(including tail cash flows occurring after the end
of model time), expectation factors for cash flow,
and specified discount rates during model time and
after the end of model time. 
(variable Valuation_Equity)</t>
        </r>
      </text>
    </comment>
    <comment ref="B618" authorId="0" shapeId="0">
      <text>
        <r>
          <rPr>
            <b/>
            <sz val="8"/>
            <rFont val="Arial"/>
            <family val="2"/>
          </rPr>
          <t>Determines whether the rate of increase in wages
is interpreted as an annual rate or as the rate of
increase that is applied in each time period
(variable Wage_Incr_AnnualQ)</t>
        </r>
      </text>
    </comment>
    <comment ref="B620" authorId="0" shapeId="0">
      <text>
        <r>
          <rPr>
            <b/>
            <sz val="8"/>
            <rFont val="Arial"/>
            <family val="2"/>
          </rPr>
          <t>Payroll tax rate as a percentage of payroll. Wages
and salaries, bonuses and commissions are taxed,
benefits are not taxed.
(variable Wage_Tax_pct)</t>
        </r>
      </text>
    </comment>
  </commentList>
</comments>
</file>

<file path=xl/comments2.xml><?xml version="1.0" encoding="utf-8"?>
<comments xmlns="http://schemas.openxmlformats.org/spreadsheetml/2006/main">
  <authors>
    <author>LOCAL SERVICE</author>
  </authors>
  <commentList>
    <comment ref="A6" authorId="0" shapeId="0">
      <text>
        <r>
          <rPr>
            <b/>
            <sz val="8"/>
            <rFont val="Arial"/>
            <family val="2"/>
          </rPr>
          <t>Revenue from billed hours, segmented by Practice
Area, Professional Staff Type, Channel, and time
period. Includes small engagments from the sales
funnel and T&amp;E billed at cost.</t>
        </r>
      </text>
    </comment>
    <comment ref="A7" authorId="0" shapeId="0">
      <text>
        <r>
          <rPr>
            <b/>
            <sz val="8"/>
            <rFont val="Arial"/>
            <family val="2"/>
          </rPr>
          <t>Growth rate of revenue compared to the previous
time period, segmented by product, by time period
(variable Revenue_Growth)</t>
        </r>
      </text>
    </comment>
    <comment ref="A9" authorId="0" shapeId="0">
      <text>
        <r>
          <rPr>
            <b/>
            <sz val="8"/>
            <rFont val="Arial"/>
            <family val="2"/>
          </rPr>
          <t>Cost of providing services in client engagements
(including small engagements from the sales
funnel), segmented by staff cost and supplies
cost, and by time period
(variable Cost_Services)</t>
        </r>
      </text>
    </comment>
    <comment ref="A14" authorId="0" shapeId="0">
      <text>
        <r>
          <rPr>
            <b/>
            <sz val="8"/>
            <rFont val="Arial"/>
            <family val="2"/>
          </rPr>
          <t>Cost of professional staff time not applied to
client Engagements (including small engagements
from the sales funnel) or practice development.
Segmented by Practice Area, Professional Staff
Type, and time period.
(variable Prof_Staff_Cost_Unapplied)</t>
        </r>
      </text>
    </comment>
    <comment ref="A16" authorId="0" shapeId="0">
      <text>
        <r>
          <rPr>
            <b/>
            <sz val="8"/>
            <rFont val="Arial"/>
            <family val="2"/>
          </rPr>
          <t>Gross margin amount, segmented by Practice Area,
Professional Staff Type, Channel, and time period.
Unapplied professional staff time is deducted in
the computation.
(variable Gross_Margin)</t>
        </r>
      </text>
    </comment>
    <comment ref="A17" authorId="0" shapeId="0">
      <text>
        <r>
          <rPr>
            <b/>
            <sz val="8"/>
            <rFont val="Arial"/>
            <family val="2"/>
          </rPr>
          <t>Gross margin percent (gross margin / revenue),
segmented by Practice Area, Professional Staff
Type, Channel, and time period
(variable Gross_Margin_pct)</t>
        </r>
      </text>
    </comment>
    <comment ref="A19" authorId="0" shapeId="0">
      <text>
        <r>
          <rPr>
            <b/>
            <sz val="8"/>
            <rFont val="Arial"/>
            <family val="2"/>
          </rPr>
          <t>Operating expense, segmented by department and
expense type, by time period
(variable Operating_Exp)</t>
        </r>
      </text>
    </comment>
    <comment ref="A20" authorId="0" shapeId="0">
      <text>
        <r>
          <rPr>
            <b/>
            <sz val="8"/>
            <rFont val="Arial"/>
            <family val="2"/>
          </rPr>
          <t>Operating margin amount, per time period
(variable Operating_Margin)</t>
        </r>
      </text>
    </comment>
    <comment ref="A21" authorId="0" shapeId="0">
      <text>
        <r>
          <rPr>
            <b/>
            <sz val="8"/>
            <rFont val="Arial"/>
            <family val="2"/>
          </rPr>
          <t>The ratio operating margin / revenue, by time
period
(variable Operating_Margin_pct)</t>
        </r>
      </text>
    </comment>
    <comment ref="A23" authorId="0" shapeId="0">
      <text>
        <r>
          <rPr>
            <b/>
            <sz val="8"/>
            <rFont val="Arial"/>
            <family val="2"/>
          </rPr>
          <t>Financial expense = bad debt expense + interest
expense
(variable Financial_Exp)</t>
        </r>
      </text>
    </comment>
    <comment ref="A24" authorId="0" shapeId="0">
      <text>
        <r>
          <rPr>
            <b/>
            <sz val="8"/>
            <rFont val="Arial"/>
            <family val="2"/>
          </rPr>
          <t>Depreciation expense during each accounting
period, segmented by type of asset (hardware,
software, equipment &amp; furniture)</t>
        </r>
      </text>
    </comment>
    <comment ref="A25" authorId="0" shapeId="0">
      <text>
        <r>
          <rPr>
            <b/>
            <sz val="8"/>
            <rFont val="Arial"/>
            <family val="2"/>
          </rPr>
          <t>Income tax expense for each time period
(variable Income_Tax)</t>
        </r>
      </text>
    </comment>
    <comment ref="A26" authorId="0" shapeId="0">
      <text>
        <r>
          <rPr>
            <b/>
            <sz val="8"/>
            <rFont val="Arial"/>
            <family val="2"/>
          </rPr>
          <t>Net income
(variable Net_Income)</t>
        </r>
      </text>
    </comment>
    <comment ref="A27" authorId="0" shapeId="0">
      <text>
        <r>
          <rPr>
            <b/>
            <sz val="8"/>
            <rFont val="Arial"/>
            <family val="2"/>
          </rPr>
          <t>The ratio net income / revenue, by time period
(variable Return_on_Sales_pct)</t>
        </r>
      </text>
    </comment>
    <comment ref="A29" authorId="0" shapeId="0">
      <text>
        <r>
          <rPr>
            <b/>
            <sz val="8"/>
            <rFont val="Arial"/>
            <family val="2"/>
          </rPr>
          <t>The cash dividend payment in each accounting
period.
The formula in this variable expresses a dividend
policy, based on the relationship between cash
balances and revenue, and previous dividends.</t>
        </r>
      </text>
    </comment>
  </commentList>
</comments>
</file>

<file path=xl/comments20.xml><?xml version="1.0" encoding="utf-8"?>
<comments xmlns="http://schemas.openxmlformats.org/spreadsheetml/2006/main">
  <authors>
    <author>LOCAL SERVICE</author>
  </authors>
  <commentList>
    <comment ref="A6" authorId="0" shapeId="0">
      <text>
        <r>
          <rPr>
            <b/>
            <sz val="8"/>
            <rFont val="Arial"/>
            <family val="2"/>
          </rPr>
          <t>Professional staff billable hours capacity,
segmented by Professional Staff Type and by time
period. This variable is used for plotting only.
(variable Prof_Staff_Hrs_Capacity_Plot)</t>
        </r>
      </text>
    </comment>
    <comment ref="A11" authorId="0" shapeId="0">
      <text>
        <r>
          <rPr>
            <b/>
            <sz val="8"/>
            <rFont val="Arial"/>
            <family val="2"/>
          </rPr>
          <t>Professional staff hours not applied to client
engagements, practice development, or other
activities, segmented by practice area, by job
type, by time period. This variable is used for
plotting only.
(variable Prof_Staff_Hrs_Applied_Plot)</t>
        </r>
      </text>
    </comment>
    <comment ref="A16" authorId="0" shapeId="0">
      <text>
        <r>
          <rPr>
            <b/>
            <sz val="8"/>
            <rFont val="Arial"/>
            <family val="2"/>
          </rPr>
          <t>Hours of professsional staff time billed to client
engagements (includings small engagements from the
sales funnel). Segmented by Practice Area,
Professional Staff Type, Channel, and time period.
This variable is used for plotting only.
(variable Prof_Staff_Hrs_Billed_Plot)</t>
        </r>
      </text>
    </comment>
    <comment ref="A21" authorId="0" shapeId="0">
      <text>
        <r>
          <rPr>
            <b/>
            <sz val="8"/>
            <rFont val="Arial"/>
            <family val="2"/>
          </rPr>
          <t>Professional Staff Headcount, segmented by
Practice Area, by Profesisonal Staff Type, and by
time period. The headcount is rounded to
half-integers.
You can set the professional staff headcount
explicitly for time periods before a cutoff time
that you specify. After the cutoff time, headcount
is determined by planned billed staff hours and
professional staff target utilzation. 
If the cutoff time is 0, then the the formula
determines Professional Staff Headcount for all
time periods. If the cutoff time is past the end
of model time, then you can specify Professional
Staff Headcount for all time periods.
(variable Prof_Staff_Count_plt)</t>
        </r>
      </text>
    </comment>
    <comment ref="A23" authorId="0" shapeId="0">
      <text>
        <r>
          <rPr>
            <b/>
            <sz val="8"/>
            <rFont val="Arial"/>
            <family val="2"/>
          </rPr>
          <t>Billable hours applied on major Engagements, for
each Professional Staff Type, in each time period.
This variable is used for plotting only.
(variable Engage_Hrs_Applied_Plot)</t>
        </r>
      </text>
    </comment>
    <comment ref="A28" authorId="0" shapeId="0">
      <text>
        <r>
          <rPr>
            <b/>
            <sz val="8"/>
            <rFont val="Arial"/>
            <family val="2"/>
          </rPr>
          <t>Staff hours from order backlog (from small
engagements in the the sales funnel) that are
fulfilled and billed in each time period,
segmented by Practice Area and Professional Staff
Type. This variable is used for plotting only.
(variable Orders_Filled_Hrs_Plot)</t>
        </r>
      </text>
    </comment>
  </commentList>
</comments>
</file>

<file path=xl/comments21.xml><?xml version="1.0" encoding="utf-8"?>
<comments xmlns="http://schemas.openxmlformats.org/spreadsheetml/2006/main">
  <authors>
    <author>LOCAL SERVICE</author>
  </authors>
  <commentList>
    <comment ref="A3" authorId="0" shapeId="0">
      <text>
        <r>
          <rPr>
            <b/>
            <sz val="8"/>
            <rFont val="Arial"/>
            <family val="2"/>
          </rPr>
          <t>Converts the dimension Channels into an analysis
variable for use in lookups. This variable is a
technical device with no conceptual significance
in the model.</t>
        </r>
      </text>
    </comment>
    <comment ref="A7" authorId="0" shapeId="0">
      <text>
        <r>
          <rPr>
            <b/>
            <sz val="8"/>
            <rFont val="Arial"/>
            <family val="2"/>
          </rPr>
          <t>Counts time in periods of model time, starting
from the beginning of model time
(variable Time_Periods)</t>
        </r>
      </text>
    </comment>
    <comment ref="A10" authorId="0" shapeId="0">
      <text>
        <r>
          <rPr>
            <b/>
            <sz val="8"/>
            <rFont val="Arial"/>
            <family val="2"/>
          </rPr>
          <t>This variable counts time in years, starting from
the beginning of model time. For example, it
increases in value by 0.25 each quarter.</t>
        </r>
      </text>
    </comment>
    <comment ref="A13" authorId="0" shapeId="0">
      <text>
        <r>
          <rPr>
            <b/>
            <sz val="8"/>
            <rFont val="Arial"/>
            <family val="2"/>
          </rPr>
          <t>Size of each major Engagement expressed in billed
hours summed over Professional Staff Types
(variable Engage_Size_Hrs)</t>
        </r>
      </text>
    </comment>
    <comment ref="A18" authorId="0" shapeId="0">
      <text>
        <r>
          <rPr>
            <b/>
            <sz val="8"/>
            <rFont val="Arial"/>
            <family val="2"/>
          </rPr>
          <t>Converts the dimension Engage_Types into an
analysis variable for use in lookups. This
variable is a technical device with no conceptual
significance in the model.
(variable Engage_Types_Dim)</t>
        </r>
      </text>
    </comment>
    <comment ref="A22" authorId="0" shapeId="0">
      <text>
        <r>
          <rPr>
            <b/>
            <sz val="8"/>
            <rFont val="Arial"/>
            <family val="2"/>
          </rPr>
          <t>Percent of professional staff hours for each
professional staff type, for each engagement.
(variable Engage_Labor_pct)</t>
        </r>
      </text>
    </comment>
    <comment ref="A26" authorId="0" shapeId="0">
      <text>
        <r>
          <rPr>
            <b/>
            <sz val="8"/>
            <rFont val="Arial"/>
            <family val="2"/>
          </rPr>
          <t>Professional staff hours that are applied on major
Engagements (regardless of whether they are all
billed to  clients), segmented by major Engagment,
by Professional STaff Type, and by engagement time
period. The values start as defaults determined by
input variables Engage_Type_Labor_Pct and
Engage_Type_Labor_Slope. You can override the
default values as you wish.
(variable Engage_Hrs_Applied_ET)</t>
        </r>
      </text>
    </comment>
    <comment ref="A40" authorId="0" shapeId="0">
      <text>
        <r>
          <rPr>
            <b/>
            <sz val="8"/>
            <rFont val="Arial"/>
            <family val="2"/>
          </rPr>
          <t>The local time in a major Engagement, starting
from the start date of the Engagement and counting
time periods. To increase this limit, change the
maximum duration of an Engagement when you
customize a template, or change the number of
items in Dimension 'Engage Time' in ModelSheet
Authoring.
(variable Engage_Time)</t>
        </r>
      </text>
    </comment>
    <comment ref="A46" authorId="0" shapeId="0">
      <text>
        <r>
          <rPr>
            <b/>
            <sz val="8"/>
            <rFont val="Arial"/>
            <family val="2"/>
          </rPr>
          <t>Percentage of billable hours applied to major
Engagements that are actually billed to client.
Segmented by major Engagement, by Professional
Staff Type, and by time period. Setting this rate
below 100% enables the model to record time
applied but not billed to the client.
(variable Engage_Hrs_pct_Billed_ET)</t>
        </r>
      </text>
    </comment>
    <comment ref="A60" authorId="0" shapeId="0">
      <text>
        <r>
          <rPr>
            <b/>
            <sz val="8"/>
            <rFont val="Arial"/>
            <family val="2"/>
          </rPr>
          <t>The number of qualified sales leads, expressed in
billable hours, at the start of the first time
period, segmented by lead quality and by product.
The least qualified lead categories are listed
first, and the most qualified categories are at
the end of the list.
(variable Sales_Lead_Hrs_Init)</t>
        </r>
      </text>
    </comment>
    <comment ref="A101" authorId="0" shapeId="0">
      <text>
        <r>
          <rPr>
            <b/>
            <sz val="8"/>
            <rFont val="Arial"/>
            <family val="2"/>
          </rPr>
          <t>Order backlog at the start of model time,
expressed in billable hours, segmented by Practice
Area and Professional Staff Type.
(variable Order_Backlog_Hrs_Init)</t>
        </r>
      </text>
    </comment>
    <comment ref="A115" authorId="0" shapeId="0">
      <text>
        <r>
          <rPr>
            <b/>
            <sz val="8"/>
            <rFont val="Arial"/>
            <family val="2"/>
          </rPr>
          <t>Annualized rate at which qualified sales leads
convert to the next-most qualified lead class or
to sales orders, segmented by lead quality and by
product, for each time period. Sales leads apply
to products only, not support.
The least qualified lead categories are listed
first, and the most qualified categories are at
the end of the list.
(variable Sales_Lead_Hrs_Conv_pct_Yr)</t>
        </r>
      </text>
    </comment>
    <comment ref="A237" authorId="0" shapeId="0">
      <text>
        <r>
          <rPr>
            <b/>
            <sz val="8"/>
            <rFont val="Arial"/>
            <family val="2"/>
          </rPr>
          <t>Annualized rate at which qualified sales leads
expire, segmented by lead quality and by product,
for each time period. Sales leads apply to
products only, not support.
(variable Sales_Lead_Hrs_Expire_pct_Yr)</t>
        </r>
      </text>
    </comment>
    <comment ref="A359" authorId="0" shapeId="0">
      <text>
        <r>
          <rPr>
            <b/>
            <sz val="8"/>
            <rFont val="Arial"/>
            <family val="2"/>
          </rPr>
          <t>Percentage of order backlog that is fulfilled, in
each time period, expressed in billable hours,
segmented by product. Backlog applies to products
only, not support.
(variable Orders_Filled_Hrs_pct)</t>
        </r>
      </text>
    </comment>
    <comment ref="A400" authorId="0" shapeId="0">
      <text>
        <r>
          <rPr>
            <b/>
            <sz val="8"/>
            <rFont val="Arial"/>
            <family val="2"/>
          </rPr>
          <t>Nominal (listed) hourly professional billing
rates, by Practice Area, Prof Staff Type, and time
period. You should enter billing rate data for the
first time period, and for any time period and
product for which the professional billing rate
changes.
(variable Prof_Fees_per_Hr_Nominal)</t>
        </r>
      </text>
    </comment>
    <comment ref="A408" authorId="0" shapeId="0">
      <text>
        <r>
          <rPr>
            <b/>
            <sz val="8"/>
            <rFont val="Arial"/>
            <family val="2"/>
          </rPr>
          <t>A utility for identifying Engagements and Practice
Areas
(variable Ident_Engage_Practice)</t>
        </r>
      </text>
    </comment>
    <comment ref="A412" authorId="0" shapeId="0">
      <text>
        <r>
          <rPr>
            <b/>
            <sz val="8"/>
            <rFont val="Arial"/>
            <family val="2"/>
          </rPr>
          <t>The professional staff hours actually billed for
major Engagments, segmented by Engagement, by
Professional Staff Type, and by engagement time
period
(variable Engage_Hrs_Billed_ET)</t>
        </r>
      </text>
    </comment>
    <comment ref="A426" authorId="0" shapeId="0">
      <text>
        <r>
          <rPr>
            <b/>
            <sz val="8"/>
            <rFont val="Arial"/>
            <family val="2"/>
          </rPr>
          <t>The professional staff hours actually billed for
major Engagments, segmented by Engagement, by
Professional Staff Type, and by engagement time
period. This variable does not include optional
rounding.
(variable Engage_Hrs_Billed_ET1)</t>
        </r>
      </text>
    </comment>
    <comment ref="A440" authorId="0" shapeId="0">
      <text>
        <r>
          <rPr>
            <b/>
            <sz val="8"/>
            <rFont val="Arial"/>
            <family val="2"/>
          </rPr>
          <t>Amount of order backlog that is fulfilled in each
time period, expressed in bilable hours, segmented
by product. This variable does not include
optional rounding.
(variable Orders_Filled_Hrs1)</t>
        </r>
      </text>
    </comment>
    <comment ref="A481" authorId="0" shapeId="0">
      <text>
        <r>
          <rPr>
            <b/>
            <sz val="8"/>
            <rFont val="Arial"/>
            <family val="2"/>
          </rPr>
          <t>Rate at which qualified sales leads convert to
next-most qualified lead class or to sales orders,
segmented by lead quality and by product, for each
time period. Sales leads apply to products only,
not support. The least qualified lead categories
are listed first, and the most qualified
categories are at the end of the list.
A conversion rate of exactly 100%/year is treated
as a special case, so that all leads are promoted
in the first time period, even if that is a month
(or a day).
(variable Sales_Lead_Hrs_Conv_pct)</t>
        </r>
      </text>
    </comment>
    <comment ref="A603" authorId="0" shapeId="0">
      <text>
        <r>
          <rPr>
            <b/>
            <sz val="8"/>
            <rFont val="Arial"/>
            <family val="2"/>
          </rPr>
          <t>Rate at which qualified sales leads expire,
segmented by lead quality and by product, for each
time period. Sales leads apply to products only,
not support.
(variable Sales_Lead_Hrs_Expire_pct)</t>
        </r>
      </text>
    </comment>
    <comment ref="A725" authorId="0" shapeId="0">
      <text>
        <r>
          <rPr>
            <b/>
            <sz val="8"/>
            <rFont val="Arial"/>
            <family val="2"/>
          </rPr>
          <t>Theoretical staff billings, if billed at nominal
fees, segmented by Practice Area, Professional
Staff Type, Channel, and time period. Fee
discounts for Practice Area and Prof Staff Type
are applied, but not discounts for each major
Engagement. Used to compute fee discount % and
nominal fees averaged over types of billed hours.
(variable Prof_Staff_Billings_Nom_Fees)</t>
        </r>
      </text>
    </comment>
    <comment ref="A766" authorId="0" shapeId="0">
      <text>
        <r>
          <rPr>
            <b/>
            <sz val="8"/>
            <rFont val="Arial"/>
            <family val="2"/>
          </rPr>
          <t>Revenue from billed hours, segmented by Practice
Area, Professional Staff Type, Channel, and time
period. Includes small engagments from the sales
funnel and T&amp;E billed at cost.
(variable Prof_Staff_Billings)</t>
        </r>
      </text>
    </comment>
    <comment ref="A807" authorId="0" shapeId="0">
      <text>
        <r>
          <rPr>
            <b/>
            <sz val="8"/>
            <rFont val="Arial"/>
            <family val="2"/>
          </rPr>
          <t>Billings for each major Engagement, segmented by
Professional Staff Type, in each time period. Fee
discount rates by Practice Area and Prof Staff
Level are applied, but not Engagement discount
rates. Excludes billings for small engagemenets
from the sales funnel.
(variable Engage_Rev_Nominal_Fees)</t>
        </r>
      </text>
    </comment>
    <comment ref="A821" authorId="0" shapeId="0">
      <text>
        <r>
          <rPr>
            <b/>
            <sz val="8"/>
            <rFont val="Arial"/>
            <family val="2"/>
          </rPr>
          <t>Cost of travel and entertainment per hour of
client services, segmented by Practice Area,
Professional Staff Type, and time period
(variable Cost_Services_TandE_Hr)</t>
        </r>
      </text>
    </comment>
    <comment ref="A862" authorId="0" shapeId="0">
      <text>
        <r>
          <rPr>
            <b/>
            <sz val="8"/>
            <rFont val="Arial"/>
            <family val="2"/>
          </rPr>
          <t>Cost of direct supplies per hour of client
services, segmented by Practice Area, Professional
Staff Type, and time period
(variable Cost_Services_Supplies_Hr)</t>
        </r>
      </text>
    </comment>
    <comment ref="A984" authorId="0" shapeId="0">
      <text>
        <r>
          <rPr>
            <b/>
            <sz val="8"/>
            <rFont val="Arial"/>
            <family val="2"/>
          </rPr>
          <t>Professional Staff Headcount for the early part of
the model, given explicitly. Segmented by Practice
Area, by Profesisonal Staff Type, and by time
period. 
After a cutoff time that you specify,
Professional Staff Headcount is determined from
the planned number of billable hours and the
target utilization percent for professional staff.
All headcount by Practice Area and by
Professional Staff Type are later rounded to
half-integers.
(variable Prof_Staff_Count_Early)</t>
        </r>
      </text>
    </comment>
    <comment ref="A998" authorId="0" shapeId="0">
      <text>
        <r>
          <rPr>
            <b/>
            <sz val="8"/>
            <rFont val="Arial"/>
            <family val="2"/>
          </rPr>
          <t>Support staff headcount for the first few time
periods, given explicitly as numerical input.
Later headcount is computed from formula count =
K0 + K1 *(revenue/1000)^K2. The cutover from
explicit input data to the revenue-driven formula
is controlled by the variable 'Sup Staff Count
Early Cutover'. Excludes profesional staff. 
All headcount by department and job level is
later rounded to half-integers.
(variable Sup_Staff_Count_Early)</t>
        </r>
      </text>
    </comment>
    <comment ref="A1012" authorId="0" shapeId="0">
      <text>
        <r>
          <rPr>
            <b/>
            <sz val="8"/>
            <rFont val="Arial"/>
            <family val="2"/>
          </rPr>
          <t>The average annual salary paid to each
professional staff in the initial time period,
segmented by Practice Area and by Professional
Staff Type. Excludes benefits, bonuses and payroll
taxes. (If the entire model is in $K, then this
should be in $K/year.)
(variable Prof_Staff_Salary_Avg_Initial_Yr)</t>
        </r>
      </text>
    </comment>
    <comment ref="A1017" authorId="0" shapeId="0">
      <text>
        <r>
          <rPr>
            <b/>
            <sz val="8"/>
            <rFont val="Arial"/>
            <family val="2"/>
          </rPr>
          <t>The size of the bonus pool for professional staff
as a percentage of wages, segmented by Practice
Area, by Professional Staff Type, and by time
period
(variable Prof_Staff_Bonus_pct)</t>
        </r>
      </text>
    </comment>
    <comment ref="A1031" authorId="0" shapeId="0">
      <text>
        <r>
          <rPr>
            <b/>
            <sz val="8"/>
            <rFont val="Arial"/>
            <family val="2"/>
          </rPr>
          <t>Professional staff benefits expense, as a
percentage of salary, excluding bonuses; segmented
by job type, by time period
(variable Prof_Staff_Benefits_pct)</t>
        </r>
      </text>
    </comment>
    <comment ref="A1036" authorId="0" shapeId="0">
      <text>
        <r>
          <rPr>
            <b/>
            <sz val="8"/>
            <rFont val="Arial"/>
            <family val="2"/>
          </rPr>
          <t>The average annual wage per support staff,
segmented by department and job level, in the
initial time period
(variable Sup_Staff_Wage_Avg_Initial_Yr)</t>
        </r>
      </text>
    </comment>
    <comment ref="A1041" authorId="0" shapeId="0">
      <text>
        <r>
          <rPr>
            <b/>
            <sz val="8"/>
            <rFont val="Arial"/>
            <family val="2"/>
          </rPr>
          <t>The rate of increase of wage rates for support
staff. The variable 'Wage Increase Annual?'
determines whether this rate of increase is
interpreted as an annual rate spread over all time
periods, or as the actual rate that is applied in
each time period.
(variable Sup_Staff_Wage_incr_pct)</t>
        </r>
      </text>
    </comment>
    <comment ref="A1046" authorId="0" shapeId="0">
      <text>
        <r>
          <rPr>
            <b/>
            <sz val="8"/>
            <rFont val="Arial"/>
            <family val="2"/>
          </rPr>
          <t>Bonus pool for support staff as a percentage of
wages, by department and job level, by time period
(variable Sup_Staff_Bonus_pct)</t>
        </r>
      </text>
    </comment>
    <comment ref="A1060" authorId="0" shapeId="0">
      <text>
        <r>
          <rPr>
            <b/>
            <sz val="8"/>
            <rFont val="Arial"/>
            <family val="2"/>
          </rPr>
          <t>Percentage of professional staff that turn over
each year, segmented by Practice Area, and by
Professional Staff Type. Used in the computation
of recruiting expense.
Because this variable does not depend on time,
the rollup values are given for the last period of
model time.
(variable Prof_Staff_Turnover_pct_Yr)</t>
        </r>
      </text>
    </comment>
    <comment ref="A1065" authorId="0" shapeId="0">
      <text>
        <r>
          <rPr>
            <b/>
            <sz val="8"/>
            <rFont val="Arial"/>
            <family val="2"/>
          </rPr>
          <t>Professional Staff Headcount, segmented by
Practice Area, by Professional Staff Type, and by
time period. Later in the computations, the
Professoinal Staff Headcount is rounded to
half-integers.
If you choose to have the model compute staff
requirements, then Professional staff target hours
per head and Professional staff target utilization
% are used for this purpose. 
See comment for Professional Staff Count for more
information.
(variable Prof_Staff_Count1)</t>
        </r>
      </text>
    </comment>
    <comment ref="A1079" authorId="0" shapeId="0">
      <text>
        <r>
          <rPr>
            <b/>
            <sz val="8"/>
            <rFont val="Arial"/>
            <family val="2"/>
          </rPr>
          <t>Professional staff hours applied to client
engagements (including small engagements from the
sales funnel). Segmented by Practice Area, Prof
Staff Type, Channel (if included in the model),
and time period.
(variable Prof_Staff_Hrs_Engage)</t>
        </r>
      </text>
    </comment>
    <comment ref="A1120" authorId="0" shapeId="0">
      <text>
        <r>
          <rPr>
            <b/>
            <sz val="8"/>
            <rFont val="Arial"/>
            <family val="2"/>
          </rPr>
          <t>A utility for mapping Engagements to Sales
Channels
(variable Ident_Engage_Channel)</t>
        </r>
      </text>
    </comment>
    <comment ref="A1124" authorId="0" shapeId="0">
      <text>
        <r>
          <rPr>
            <b/>
            <sz val="8"/>
            <rFont val="Arial"/>
            <family val="2"/>
          </rPr>
          <t>Theoretical maximum annual billable hours per
professional staff person, from which utilization
% is computed; segmented by Practice Area and by
Professional Staff Type.
If you choose to have the model compute staff
requirements, then this variable and Professional
staff target utilization % are used for this
purpose.
(variable Prof_Staff_Targ_Hrs_per_HC_Yr)</t>
        </r>
      </text>
    </comment>
    <comment ref="A1129" authorId="0" shapeId="0">
      <text>
        <r>
          <rPr>
            <b/>
            <sz val="8"/>
            <rFont val="Arial"/>
            <family val="2"/>
          </rPr>
          <t>Percentage of employees in the first time period
that incur the normal rate of recruiting activity.
For startups, this is near 100%; for ongoing
businesses, this is zero.
(variable Recruit_pct_Pos_Prof_Init)</t>
        </r>
      </text>
    </comment>
    <comment ref="A1134" authorId="0" shapeId="0">
      <text>
        <r>
          <rPr>
            <b/>
            <sz val="8"/>
            <rFont val="Arial"/>
            <family val="2"/>
          </rPr>
          <t>Percentage of open positions that incur recruiting
expense, by department and job level. Does not
apply to the first time period (see
Recruit_pct_Pos_Prof_Init).
(variable Recruit_pct_Positions_Prof)</t>
        </r>
      </text>
    </comment>
    <comment ref="A1139" authorId="0" shapeId="0">
      <text>
        <r>
          <rPr>
            <b/>
            <sz val="8"/>
            <rFont val="Arial"/>
            <family val="2"/>
          </rPr>
          <t>Number of professional staff openings, segmented
by Practice Area, by Profesisonal Staff Type, and
by time period
(variable Prof_Staff_Openings)</t>
        </r>
      </text>
    </comment>
    <comment ref="A1153" authorId="0" shapeId="0">
      <text>
        <r>
          <rPr>
            <b/>
            <sz val="8"/>
            <rFont val="Arial"/>
            <family val="2"/>
          </rPr>
          <t>Number of professional staff that are obtained
through the paid recruitment process, segmented by
Practice Area, by Profesisonal Staff Type, and by
time period
(variable Prof_Staff_Recruited)</t>
        </r>
      </text>
    </comment>
    <comment ref="A1167" authorId="0" shapeId="0">
      <text>
        <r>
          <rPr>
            <b/>
            <sz val="8"/>
            <rFont val="Arial"/>
            <family val="2"/>
          </rPr>
          <t>Recruiting expense as a percentage of annual
salary, for those professional staff positions
that incur recruiting expense, segmented by job
level and by department.
(variable Recruit_Exp_pct_Comp_Prof)</t>
        </r>
      </text>
    </comment>
    <comment ref="A1172" authorId="0" shapeId="0">
      <text>
        <r>
          <rPr>
            <b/>
            <sz val="8"/>
            <rFont val="Arial"/>
            <family val="2"/>
          </rPr>
          <t>Average annual salary per professional staff,
segmented by Practice Area, by Professional Staff
Type, and by time period. Excludes benefits,
bonuses, and payroll taxes.
(variable Prof_Staff_Salary_Avg_Yr)</t>
        </r>
      </text>
    </comment>
    <comment ref="A1186" authorId="0" shapeId="0">
      <text>
        <r>
          <rPr>
            <b/>
            <sz val="8"/>
            <rFont val="Arial"/>
            <family val="2"/>
          </rPr>
          <t>The rate of increase of wage rates, by time period
(variable Prof_Staff_Salary_incr_period_pct)</t>
        </r>
      </text>
    </comment>
    <comment ref="A1191" authorId="0" shapeId="0">
      <text>
        <r>
          <rPr>
            <b/>
            <sz val="8"/>
            <rFont val="Arial"/>
            <family val="2"/>
          </rPr>
          <t>Professional staff salary cost, segmented by
Practice Area, by Profesisonal Staff Type, and by
time period. Excludes benefits, payroll taxes,
bonuses.
(variable Prof_Staff_Salary_Cost)</t>
        </r>
      </text>
    </comment>
    <comment ref="A1205" authorId="0" shapeId="0">
      <text>
        <r>
          <rPr>
            <b/>
            <sz val="8"/>
            <rFont val="Arial"/>
            <family val="2"/>
          </rPr>
          <t>Percentage of support staff that turn over each
year, segmented by department and job level, by
time period. Because this variable does not depend
on time, the rollup values are given for the last
period of model time.
(variable Sup_Staff_Turnover_pct_Yr)</t>
        </r>
      </text>
    </comment>
    <comment ref="A1210" authorId="0" shapeId="0">
      <text>
        <r>
          <rPr>
            <b/>
            <sz val="8"/>
            <rFont val="Arial"/>
            <family val="2"/>
          </rPr>
          <t>Support staff headcount, segmented by department
and job level, by time period. The formula allows
nonlinear growth of headcount with revenue. Each
headcount number is later rounded to
half-integers.
(variable Sup_Staff_Count1_K_on)</t>
        </r>
      </text>
    </comment>
    <comment ref="A1224" authorId="0" shapeId="0">
      <text>
        <r>
          <rPr>
            <b/>
            <sz val="8"/>
            <rFont val="Arial"/>
            <family val="2"/>
          </rPr>
          <t>Percentage of employees in the first time period
that incur the normal rate of recruiting activity.
For startups, this is near 100%; for ongoing
businesses, this is zero.
(variable Recruit_pct_Pos_Sup_Init)</t>
        </r>
      </text>
    </comment>
    <comment ref="A1229" authorId="0" shapeId="0">
      <text>
        <r>
          <rPr>
            <b/>
            <sz val="8"/>
            <rFont val="Arial"/>
            <family val="2"/>
          </rPr>
          <t>Percentage of open positions that incur recruiting
expense, by department and job level. Does not
apply to the first time period (see
Recruit_pct_Pos_Sup_Init).
(variable Recruit_pct_Positions_Sup)</t>
        </r>
      </text>
    </comment>
    <comment ref="A1234" authorId="0" shapeId="0">
      <text>
        <r>
          <rPr>
            <b/>
            <sz val="8"/>
            <rFont val="Arial"/>
            <family val="2"/>
          </rPr>
          <t>Number of support staff open positions, segmented
by department, job level, and by time period
(variable Sup_Staff_Openings)</t>
        </r>
      </text>
    </comment>
    <comment ref="A1248" authorId="0" shapeId="0">
      <text>
        <r>
          <rPr>
            <b/>
            <sz val="8"/>
            <rFont val="Arial"/>
            <family val="2"/>
          </rPr>
          <t>Recruiting expense as a percentage of annual
salary or wage, for those support staff positions
that incur recruiting expense, by job level and by
department.
(variable Recruit_Exp_pct_Comp_Sup)</t>
        </r>
      </text>
    </comment>
    <comment ref="A1253" authorId="0" shapeId="0">
      <text>
        <r>
          <rPr>
            <b/>
            <sz val="8"/>
            <rFont val="Arial"/>
            <family val="2"/>
          </rPr>
          <t>The rate of increase of wage rates, by time period
(variable Sup_Staff_Wage_incr_period_pct)</t>
        </r>
      </text>
    </comment>
    <comment ref="A1258" authorId="0" shapeId="0">
      <text>
        <r>
          <rPr>
            <b/>
            <sz val="8"/>
            <rFont val="Arial"/>
            <family val="2"/>
          </rPr>
          <t>Marketing department program expenses for early
time periods, segmented by program, by time
period. The variable 'Mktg Pgms Exp Early Cutover'
specifies the last time period in which the data
in this variable is used, after which a
revenue-driven formula is used to compute
marketing program expenses.
(variable Mktg_Pgms_Exp_Early)</t>
        </r>
      </text>
    </comment>
    <comment ref="A1272" authorId="0" shapeId="0">
      <text>
        <r>
          <rPr>
            <b/>
            <sz val="8"/>
            <rFont val="Arial"/>
            <family val="2"/>
          </rPr>
          <t>Annualized employee-related expense per
professional staff, segmented by professional
staff type, expense type, and by time period
(variable Per_Prof_Staff_Exp_Yr)</t>
        </r>
      </text>
    </comment>
    <comment ref="A1289" authorId="0" shapeId="0">
      <text>
        <r>
          <rPr>
            <b/>
            <sz val="8"/>
            <rFont val="Arial"/>
            <family val="2"/>
          </rPr>
          <t>Annualized employee-related expense per support
staff, segmented by department, by expense type,
by time period
(variable Per_Sup_Staff_Exp_Yr)</t>
        </r>
      </text>
    </comment>
    <comment ref="A1306" authorId="0" shapeId="0">
      <text>
        <r>
          <rPr>
            <b/>
            <sz val="8"/>
            <rFont val="Arial"/>
            <family val="2"/>
          </rPr>
          <t>Initial asset value of each tagged asset
(variable Tagged_Asset_Init_Value)</t>
        </r>
      </text>
    </comment>
    <comment ref="A1311" authorId="0" shapeId="0">
      <text>
        <r>
          <rPr>
            <b/>
            <sz val="8"/>
            <rFont val="Arial"/>
            <family val="2"/>
          </rPr>
          <t>Depreciation life of each tagged asset
(variable Tagged_Asset_Life_Depr_Yr)</t>
        </r>
      </text>
    </comment>
    <comment ref="A1316" authorId="0" shapeId="0">
      <text>
        <r>
          <rPr>
            <b/>
            <sz val="8"/>
            <rFont val="Arial"/>
            <family val="2"/>
          </rPr>
          <t>Physical, useful life of each tagged asset
expressed in years
(variable Tagged_Asset_Life_Phys_Yr)</t>
        </r>
      </text>
    </comment>
    <comment ref="A1321" authorId="0" shapeId="0">
      <text>
        <r>
          <rPr>
            <b/>
            <sz val="8"/>
            <rFont val="Arial"/>
            <family val="2"/>
          </rPr>
          <t>Salvage value of each tagged asset
(variable Tagged_Asset_Salvage_Value)</t>
        </r>
      </text>
    </comment>
    <comment ref="A1326" authorId="0" shapeId="0">
      <text>
        <r>
          <rPr>
            <b/>
            <sz val="8"/>
            <rFont val="Arial"/>
            <family val="2"/>
          </rPr>
          <t>The asset life that determines the rate of
depreciation of untagged assets, by type of
untagged asset. In the current implementation,
life must be an integral number of years &lt;= 9.
(variable Untagged_Asset_Life_Yrs)</t>
        </r>
      </text>
    </comment>
    <comment ref="A1331" authorId="0" shapeId="0">
      <text>
        <r>
          <rPr>
            <b/>
            <sz val="8"/>
            <rFont val="Arial"/>
            <family val="2"/>
          </rPr>
          <t>Purchases of untagged assets 
1) before the start of model time
2) per new employee
3) ANNUAL purchases per existing employee,
all segmented by long asset type
(variable Untagged_Asset_Purch_Params)</t>
        </r>
      </text>
    </comment>
    <comment ref="A1338" authorId="0" shapeId="0">
      <text>
        <r>
          <rPr>
            <b/>
            <sz val="8"/>
            <rFont val="Arial"/>
            <family val="2"/>
          </rPr>
          <t>Initial value of capitalized development at the
start of model time
(variable Dev_Capd_Init)</t>
        </r>
      </text>
    </comment>
    <comment ref="A1343" authorId="0" shapeId="0">
      <text>
        <r>
          <rPr>
            <b/>
            <sz val="8"/>
            <rFont val="Arial"/>
            <family val="2"/>
          </rPr>
          <t>The asset life that determines the rate of
depreciation of capitalized development. In the
current implementation, life must be an integral
number of years &lt;= 9.
(variable Dev_Capd_Life_Yrs)</t>
        </r>
      </text>
    </comment>
    <comment ref="A1348" authorId="0" shapeId="0">
      <text>
        <r>
          <rPr>
            <b/>
            <sz val="8"/>
            <rFont val="Arial"/>
            <family val="2"/>
          </rPr>
          <t>(variable Practice_Dev_pct_Capd)</t>
        </r>
      </text>
    </comment>
    <comment ref="A1353" authorId="0" shapeId="0">
      <text>
        <r>
          <rPr>
            <b/>
            <sz val="8"/>
            <rFont val="Arial"/>
            <family val="2"/>
          </rPr>
          <t>Value of accounts payable at the start of model
time, segmented by payables type
(variable Accts_Payable_Initial)</t>
        </r>
      </text>
    </comment>
    <comment ref="A1359" authorId="0" shapeId="0">
      <text>
        <r>
          <rPr>
            <b/>
            <sz val="8"/>
            <rFont val="Arial"/>
            <family val="2"/>
          </rPr>
          <t>The amount of accounts payables at the end of a
time period expressed as a target  number of days
of revenue. Used to compute payables.
(variable Accts_Pay_Targ_Days)</t>
        </r>
      </text>
    </comment>
    <comment ref="A1365" authorId="0" shapeId="0">
      <text>
        <r>
          <rPr>
            <b/>
            <sz val="8"/>
            <rFont val="Arial"/>
            <family val="2"/>
          </rPr>
          <t>Cash balance that would be at the end of each
accounting period if the company ends the period
with no short term debt. This amount is computed,
then the policy for determining the amount of
short term debt is applied, then the period-ending
cash balance can be computed.
(variable Cash_No_Short_Debt)</t>
        </r>
      </text>
    </comment>
    <comment ref="A1368" authorId="0" shapeId="0">
      <text>
        <r>
          <rPr>
            <b/>
            <sz val="8"/>
            <rFont val="Arial"/>
            <family val="2"/>
          </rPr>
          <t>Bonus pool for professional staff, segmented by
Practice Area, by Professional Staff Type, and by
time period
(variable Prof_Staff_Bonus)</t>
        </r>
      </text>
    </comment>
    <comment ref="A1382" authorId="0" shapeId="0">
      <text>
        <r>
          <rPr>
            <b/>
            <sz val="8"/>
            <rFont val="Arial"/>
            <family val="2"/>
          </rPr>
          <t>Sales commission expense paid only on
commissionable sales, without employee benefits or
wage taxes, by time period.
If no department has the name "Sales", then sales
commissions may not be included in operating
expenses.
(variable Sales_Commission)</t>
        </r>
      </text>
    </comment>
    <comment ref="A1385" authorId="0" shapeId="0">
      <text>
        <r>
          <rPr>
            <b/>
            <sz val="8"/>
            <rFont val="Arial"/>
            <family val="2"/>
          </rPr>
          <t>The value of past untagged asset purchases that
reach end of life in the current time period
(variable Untagged_Asset_Purch_Lagged)</t>
        </r>
      </text>
    </comment>
    <comment ref="A1390" authorId="0" shapeId="0">
      <text>
        <r>
          <rPr>
            <b/>
            <sz val="8"/>
            <rFont val="Arial"/>
            <family val="2"/>
          </rPr>
          <t>Depreciation expense for each tagged asset, by
time period. Possible values are "SLN" (linear),
"SYD" (sum of digits), and "DDB" (double declining
balance); the default method is "SLN".
(variable Tagged_Asset_Deprec)</t>
        </r>
      </text>
    </comment>
    <comment ref="A1395" authorId="0" shapeId="0">
      <text>
        <r>
          <rPr>
            <b/>
            <sz val="8"/>
            <rFont val="Arial"/>
            <family val="2"/>
          </rPr>
          <t>Variable that counts how many time periods have
passed during the life of each tagged asset, for
each time period. Negative before period
purchased. Zero during period purchased. Constant
after end of life. Used as input to depreciation
functions that require the number of the time
period for which depreciation is computed.
(variable Tagged_Asset_Deprec_Period)</t>
        </r>
      </text>
    </comment>
    <comment ref="A1400" authorId="0" shapeId="0">
      <text>
        <r>
          <rPr>
            <b/>
            <sz val="8"/>
            <rFont val="Arial"/>
            <family val="2"/>
          </rPr>
          <t>Depreciation life of each tagged asset expressed
in periods of model time
(variable Tagged_Asset_Life_Depr_Period)</t>
        </r>
      </text>
    </comment>
    <comment ref="A1405" authorId="0" shapeId="0">
      <text>
        <r>
          <rPr>
            <b/>
            <sz val="8"/>
            <rFont val="Arial"/>
            <family val="2"/>
          </rPr>
          <t>The book value of each tagged asset, by time
period
(variable Tagged_Assets)</t>
        </r>
      </text>
    </comment>
    <comment ref="A1410" authorId="0" shapeId="0">
      <text>
        <r>
          <rPr>
            <b/>
            <sz val="8"/>
            <rFont val="Arial"/>
            <family val="2"/>
          </rPr>
          <t>The salvage value of each tagged asset, assigned
to the time period that includes the end of life.
This variable is needed to express the salvage
value in a time-dependent table needed for cash
flow computations.
(variable Tagged_Asset_Salvage_CF)</t>
        </r>
      </text>
    </comment>
    <comment ref="A1415" authorId="0" shapeId="0">
      <text>
        <r>
          <rPr>
            <b/>
            <sz val="8"/>
            <rFont val="Arial"/>
            <family val="2"/>
          </rPr>
          <t>Depreciation life of each tagged asset expressed
in periods of model time
(variable Tagged_Asset_Life_Phys_Period)</t>
        </r>
      </text>
    </comment>
    <comment ref="A1420" authorId="0" shapeId="0">
      <text>
        <r>
          <rPr>
            <b/>
            <sz val="8"/>
            <rFont val="Arial"/>
            <family val="2"/>
          </rPr>
          <t>The value of past capitalized development
expenditure that reaches end of life in the
current time period
(variable Dev_Capd_Period_Lagged)</t>
        </r>
      </text>
    </comment>
    <comment ref="A1425" authorId="0" shapeId="0">
      <text>
        <r>
          <rPr>
            <b/>
            <sz val="8"/>
            <rFont val="Arial"/>
            <family val="2"/>
          </rPr>
          <t>Losses carried forward from preivous time periods,
for use in computation of income tax expense
(variable Loss_Forward)</t>
        </r>
      </text>
    </comment>
    <comment ref="A1428" authorId="0" shapeId="0">
      <text>
        <r>
          <rPr>
            <b/>
            <sz val="8"/>
            <rFont val="Arial"/>
            <family val="2"/>
          </rPr>
          <t>The purchase amount of each tagged asset, assigned
to the time period that includes the purchase
date. This variable is needed to express the
purchase value in a time-dependent table needed
for depreciation computations.
(variable Tagged_Asset_Purch)</t>
        </r>
      </text>
    </comment>
    <comment ref="A1433" authorId="0" shapeId="0">
      <text>
        <r>
          <rPr>
            <b/>
            <sz val="8"/>
            <rFont val="Arial"/>
            <family val="2"/>
          </rPr>
          <t>The stock of retained earnings at the end of each
time period. The value at the start of model time
is determined by the accounting identity Retained
Earnings = Assets - Liabilities - Paid_In_Capital.
(variable Retained_Earnings)</t>
        </r>
      </text>
    </comment>
    <comment ref="A1436" authorId="0" shapeId="0">
      <text>
        <r>
          <rPr>
            <b/>
            <sz val="8"/>
            <rFont val="Arial"/>
            <family val="2"/>
          </rPr>
          <t>The stock of paid in capital at the end of each
time period
(variable Paid_In_Capital)</t>
        </r>
      </text>
    </comment>
    <comment ref="A1439" authorId="0" shapeId="0">
      <text>
        <r>
          <rPr>
            <b/>
            <sz val="8"/>
            <rFont val="Arial"/>
            <family val="2"/>
          </rPr>
          <t>Change in Bond principal from the previous period.
The model has a variable for this because (a) this
amount will be displayed in the cash flow
statement worksheet, and (b) this amount is used
in several formulas so it is convenient to store
it in a variable.
(variable Chg_Bond_Principal)</t>
        </r>
      </text>
    </comment>
    <comment ref="A1442" authorId="0" shapeId="0">
      <text>
        <r>
          <rPr>
            <b/>
            <sz val="8"/>
            <rFont val="Arial"/>
            <family val="2"/>
          </rPr>
          <t>Book value of stock issued less buy-backs, by time
period.
This variable includes a formula that implements
a policy for the sale of stock based on cash
balances and recent rates of change of cash
balances. This version omits times before the
start of model time, and it is used only for
display.
(variable Net_Stock_Issue_short)</t>
        </r>
      </text>
    </comment>
    <comment ref="A1445" authorId="0" shapeId="0">
      <text>
        <r>
          <rPr>
            <b/>
            <sz val="8"/>
            <rFont val="Arial"/>
            <family val="2"/>
          </rPr>
          <t>Valuation of the equity of the company at each
point in time, assuming that the company has met
plan in all past time periods, using cash flows
(including tail cash flows occurring after the end
of model time), expectation factors for cash flow,
and specified discount rates during model time and
after the end of model time. 
(variable Valuation_Equity)</t>
        </r>
      </text>
    </comment>
    <comment ref="A1448" authorId="0" shapeId="0">
      <text>
        <r>
          <rPr>
            <b/>
            <sz val="8"/>
            <rFont val="Arial"/>
            <family val="2"/>
          </rPr>
          <t>Equity cash flow at the end of each accounting
period adjusted to cancel out capital
transactions, and scaled by the cash flow
expectation factor that reflects risk in plan cash
flows
(variable Cash_Flow_Eq_Expected)</t>
        </r>
      </text>
    </comment>
    <comment ref="A1451" authorId="0" shapeId="0">
      <text>
        <r>
          <rPr>
            <b/>
            <sz val="8"/>
            <rFont val="Arial"/>
            <family val="2"/>
          </rPr>
          <t>The future cumulative product of the annualized
cash flow expectation factor (expected cash
flow)/(plan cash flow), for each time period. The
factor for the last time period applies to the
entire tail cash flow after the end of model time.
(variable Cash_Flow_Expect_Fut)</t>
        </r>
      </text>
    </comment>
    <comment ref="A1454" authorId="0" shapeId="0">
      <text>
        <r>
          <rPr>
            <b/>
            <sz val="8"/>
            <rFont val="Arial"/>
            <family val="2"/>
          </rPr>
          <t>The discount rate per time period used for the
cash flow occurring after the end of model time
(variable Tail_Discount_Rate)</t>
        </r>
      </text>
    </comment>
    <comment ref="A1457" authorId="0" shapeId="0">
      <text>
        <r>
          <rPr>
            <b/>
            <sz val="8"/>
            <rFont val="Arial"/>
            <family val="2"/>
          </rPr>
          <t>The growth rate per time period assumed for the
cash flow occurring after the end of model time. 
(variable Tail_Growth_Rate)</t>
        </r>
      </text>
    </comment>
    <comment ref="A1460" authorId="0" shapeId="0">
      <text>
        <r>
          <rPr>
            <b/>
            <sz val="8"/>
            <rFont val="Arial"/>
            <family val="2"/>
          </rPr>
          <t>Cash flow for computing IRR, including model time
periods, excluding value of cash flows in tail
after model time
(variable IRR_CF_no_Tail)</t>
        </r>
      </text>
    </comment>
    <comment ref="A1463" authorId="0" shapeId="0">
      <text>
        <r>
          <rPr>
            <b/>
            <sz val="8"/>
            <rFont val="Arial"/>
            <family val="2"/>
          </rPr>
          <t>Cash flow for computing IRR, including model time
periods and value of cash flows in tail after
model time
(variable IRR_CF_w_Tail)</t>
        </r>
      </text>
    </comment>
    <comment ref="A1466" authorId="0" shapeId="0">
      <text>
        <r>
          <rPr>
            <b/>
            <sz val="8"/>
            <rFont val="Arial"/>
            <family val="2"/>
          </rPr>
          <t>Gross margin for each major Engagement. Segmented
by Engagement, Professional Staff Type, and time
period. Does not include billings for small
engagemenets from the sales funnel.
(variable Engage_Gross_Margin)</t>
        </r>
      </text>
    </comment>
    <comment ref="A1480" authorId="0" shapeId="0">
      <text>
        <r>
          <rPr>
            <b/>
            <sz val="8"/>
            <rFont val="Arial"/>
            <family val="2"/>
          </rPr>
          <t>Gross margin % for major Engagements. Segmented by
Engagement, Professional Staff Type, and time
period. Does not include billings for small
engagemenets from the sales funnel.
(variable Engage_Gross_Margin_pct)</t>
        </r>
      </text>
    </comment>
    <comment ref="A1494" authorId="0" shapeId="0">
      <text>
        <r>
          <rPr>
            <b/>
            <sz val="8"/>
            <rFont val="Arial"/>
            <family val="2"/>
          </rPr>
          <t>The factor applied to cash flow in each time
period to compute its contribution to present
value
(variable Discount_Factor)</t>
        </r>
      </text>
    </comment>
  </commentList>
</comments>
</file>

<file path=xl/comments3.xml><?xml version="1.0" encoding="utf-8"?>
<comments xmlns="http://schemas.openxmlformats.org/spreadsheetml/2006/main">
  <authors>
    <author>LOCAL SERVICE</author>
  </authors>
  <commentList>
    <comment ref="A6" authorId="0" shapeId="0">
      <text>
        <r>
          <rPr>
            <b/>
            <sz val="8"/>
            <rFont val="Arial"/>
            <family val="2"/>
          </rPr>
          <t>The total assets of the company at the end of each
time period</t>
        </r>
      </text>
    </comment>
    <comment ref="A15" authorId="0" shapeId="0">
      <text>
        <r>
          <rPr>
            <b/>
            <sz val="8"/>
            <rFont val="Arial"/>
            <family val="2"/>
          </rPr>
          <t>Liabilities, segmented by payables, long and short
term debt</t>
        </r>
      </text>
    </comment>
    <comment ref="A26" authorId="0" shapeId="0">
      <text>
        <r>
          <rPr>
            <b/>
            <sz val="8"/>
            <rFont val="Arial"/>
            <family val="2"/>
          </rPr>
          <t>Book value of equity, segmented by paid-in capital
and retained earnings</t>
        </r>
      </text>
    </comment>
    <comment ref="A33" authorId="0" shapeId="0">
      <text>
        <r>
          <rPr>
            <b/>
            <sz val="8"/>
            <rFont val="Arial"/>
            <family val="2"/>
          </rPr>
          <t>A checksum. Equals Assets - Liabilities - Equity,
which must be zero if assets, liabilities and
equity are accounted for correctly
(variable Balance_Check)</t>
        </r>
      </text>
    </comment>
  </commentList>
</comments>
</file>

<file path=xl/comments4.xml><?xml version="1.0" encoding="utf-8"?>
<comments xmlns="http://schemas.openxmlformats.org/spreadsheetml/2006/main">
  <authors>
    <author>LOCAL SERVICE</author>
  </authors>
  <commentList>
    <comment ref="A6" authorId="0" shapeId="0">
      <text>
        <r>
          <rPr>
            <b/>
            <sz val="8"/>
            <rFont val="Arial"/>
            <family val="2"/>
          </rPr>
          <t>The amount of cash on hand a the start of each
time period
(variable Cash_Starting)</t>
        </r>
      </text>
    </comment>
    <comment ref="A9" authorId="0" shapeId="0">
      <text>
        <r>
          <rPr>
            <b/>
            <sz val="8"/>
            <rFont val="Arial"/>
            <family val="2"/>
          </rPr>
          <t>Net income
(variable Net_Income)</t>
        </r>
      </text>
    </comment>
    <comment ref="A10" authorId="0" shapeId="0">
      <text>
        <r>
          <rPr>
            <b/>
            <sz val="8"/>
            <rFont val="Arial"/>
            <family val="2"/>
          </rPr>
          <t>Change in accounts payable from the previous
period. The model has a variable for this because
(a) this amount will be displayed in the cash flow
statement worksheet, and (b) this amount is used
in several formulas so it is convenient to store
it in a variable.
(variable Chg_Accts_Pay)</t>
        </r>
      </text>
    </comment>
    <comment ref="A11" authorId="0" shapeId="0">
      <text>
        <r>
          <rPr>
            <b/>
            <sz val="8"/>
            <rFont val="Arial"/>
            <family val="2"/>
          </rPr>
          <t>Change in short-term debt from the previous
period. The model has a variable for this because
(a) this amount will be displayed in the cash flow
statement worksheet, and (b) this amount is used
in several formulas so it is convenient to store
it in a variable.
(variable Chg_Short_Debt)</t>
        </r>
      </text>
    </comment>
    <comment ref="A12" authorId="0" shapeId="0">
      <text>
        <r>
          <rPr>
            <b/>
            <sz val="8"/>
            <rFont val="Arial"/>
            <family val="2"/>
          </rPr>
          <t>Depreciation expense during each accounting
period, segmented by type of asset (hardware,
software, equipment &amp; furniture)</t>
        </r>
      </text>
    </comment>
    <comment ref="A13" authorId="0" shapeId="0">
      <text>
        <r>
          <rPr>
            <b/>
            <sz val="8"/>
            <rFont val="Arial"/>
            <family val="2"/>
          </rPr>
          <t>Change in long-term debt from the previous period,
including loans and bonds. The model has a
variable for this because (a) this amount will be
displayed in the cash flow statement worksheet,
and (b) this amount is used in several formulas so
it is convenient to store it in a variable.
(variable Chg_Long_Debt)</t>
        </r>
      </text>
    </comment>
    <comment ref="A14" authorId="0" shapeId="0">
      <text>
        <r>
          <rPr>
            <b/>
            <sz val="8"/>
            <rFont val="Arial"/>
            <family val="2"/>
          </rPr>
          <t>Change in Bond principal from the previous period.
The model has a variable for this because (a) this
amount will be displayed in the cash flow
statement worksheet, and (b) this amount is used
in several formulas so it is convenient to store
it in a variable. This version of the variable
omits times before model start date, and is used
for display.
(variable Chg_Bond_Principal_short)</t>
        </r>
      </text>
    </comment>
    <comment ref="A15" authorId="0" shapeId="0">
      <text>
        <r>
          <rPr>
            <b/>
            <sz val="8"/>
            <rFont val="Arial"/>
            <family val="2"/>
          </rPr>
          <t>Book value of stock issued less buy-backs, by time
period.
This variable includes a formula that implements
a policy for the sale of stock based on cash
balances and recent rates of change of cash
balances. This version omits times before the
start of model time, and it is used only for
display.
(variable Net_Stock_Issue_short)</t>
        </r>
      </text>
    </comment>
    <comment ref="A16" authorId="0" shapeId="0">
      <text>
        <r>
          <rPr>
            <b/>
            <sz val="8"/>
            <rFont val="Arial"/>
            <family val="2"/>
          </rPr>
          <t>Total sources of cash, by time period
(variable Cash_Sources)</t>
        </r>
      </text>
    </comment>
    <comment ref="A19" authorId="0" shapeId="0">
      <text>
        <r>
          <rPr>
            <b/>
            <sz val="8"/>
            <rFont val="Arial"/>
            <family val="2"/>
          </rPr>
          <t>Change in accounts receivable from the previous
period. The model has a variable for this because
(a) this amount will be displayed in the cash flow
statement worksheet, and (b) this amount is used
in several formulas so it is convenient to store
it in a variable.
(variable Chg_Accts_Rec)</t>
        </r>
      </text>
    </comment>
    <comment ref="A20" authorId="0" shapeId="0">
      <text>
        <r>
          <rPr>
            <b/>
            <sz val="8"/>
            <rFont val="Arial"/>
            <family val="2"/>
          </rPr>
          <t>Change in inventory from the previous period. The
model has a variable for this because (a) this
amount will be displayed in the cash flow
statement worksheet, and (b) this amount is used
in several formulas so it is convenient to store
it in a variable.
(variable Chg_Inventory_Supplies)</t>
        </r>
      </text>
    </comment>
    <comment ref="A21" authorId="0" shapeId="0">
      <text>
        <r>
          <rPr>
            <b/>
            <sz val="8"/>
            <rFont val="Arial"/>
            <family val="2"/>
          </rPr>
          <t>Value of purchases of long term assets, including
tagged and untagged long-term assets, by time
period
(variable Long_Asset_Purch)</t>
        </r>
      </text>
    </comment>
    <comment ref="A22" authorId="0" shapeId="0">
      <text>
        <r>
          <rPr>
            <b/>
            <sz val="8"/>
            <rFont val="Arial"/>
            <family val="2"/>
          </rPr>
          <t>Amount of development spending that is capitalized
in each time period. This includes a fixed amount
(per year, allocated to each time period) plus a
percentage of remaining development spending.
(variable Dev_Capd_per_Period)</t>
        </r>
      </text>
    </comment>
    <comment ref="A23" authorId="0" shapeId="0">
      <text>
        <r>
          <rPr>
            <b/>
            <sz val="8"/>
            <rFont val="Arial"/>
            <family val="2"/>
          </rPr>
          <t>The cash dividend payment in each accounting
period.
The formula in this variable expresses a dividend
policy, based on the relationship between cash
balances and revenue, and previous dividends.</t>
        </r>
      </text>
    </comment>
    <comment ref="A24" authorId="0" shapeId="0">
      <text>
        <r>
          <rPr>
            <b/>
            <sz val="8"/>
            <rFont val="Arial"/>
            <family val="2"/>
          </rPr>
          <t>Total uses of cash, by time period
(variable Cash_Uses)</t>
        </r>
      </text>
    </comment>
    <comment ref="A26" authorId="0" shapeId="0">
      <text>
        <r>
          <rPr>
            <b/>
            <sz val="8"/>
            <rFont val="Arial"/>
            <family val="2"/>
          </rPr>
          <t>Cash balance at the end of each accounting period
(variable Cash)</t>
        </r>
      </text>
    </comment>
    <comment ref="A28" authorId="0" shapeId="0">
      <text>
        <r>
          <rPr>
            <b/>
            <sz val="8"/>
            <rFont val="Arial"/>
            <family val="2"/>
          </rPr>
          <t>Change in cash balance by time period
(variable Cash_Flow)</t>
        </r>
      </text>
    </comment>
    <comment ref="A29" authorId="0" shapeId="0">
      <text>
        <r>
          <rPr>
            <b/>
            <sz val="8"/>
            <rFont val="Arial"/>
            <family val="2"/>
          </rPr>
          <t>Operating cash flow by time period; that is, cash
flow adjusted to cancel out capital transactions
(dividends, sale of stock, changes in debt)
(variable Cash_Flow_Oper)</t>
        </r>
      </text>
    </comment>
    <comment ref="A33" authorId="0" shapeId="0">
      <text>
        <r>
          <rPr>
            <b/>
            <sz val="8"/>
            <rFont val="Arial"/>
            <family val="2"/>
          </rPr>
          <t>A checksum for cash flow. Equals starting cash
balance + sources of cash - uses of cash - ending
cash balance, which must be zero if cash flows are
accounted for correctly.
(variable Cash_Flow_Check)</t>
        </r>
      </text>
    </comment>
  </commentList>
</comments>
</file>

<file path=xl/comments5.xml><?xml version="1.0" encoding="utf-8"?>
<comments xmlns="http://schemas.openxmlformats.org/spreadsheetml/2006/main">
  <authors>
    <author>LOCAL SERVICE</author>
  </authors>
  <commentList>
    <comment ref="A7" authorId="0" shapeId="0">
      <text>
        <r>
          <rPr>
            <b/>
            <sz val="8"/>
            <rFont val="Arial"/>
            <family val="2"/>
          </rPr>
          <t>Gross margin percent (gross margin / revenue),
segmented by Practice Area, Professional Staff
Type, Channel, and time period
(variable Gross_Margin_pct)</t>
        </r>
      </text>
    </comment>
    <comment ref="A11" authorId="0" shapeId="0">
      <text>
        <r>
          <rPr>
            <b/>
            <sz val="8"/>
            <rFont val="Arial"/>
            <family val="2"/>
          </rPr>
          <t>The ratio operating margin / revenue, by time
period
(variable Operating_Margin_pct)</t>
        </r>
      </text>
    </comment>
    <comment ref="A12" authorId="0" shapeId="0">
      <text>
        <r>
          <rPr>
            <b/>
            <sz val="8"/>
            <rFont val="Arial"/>
            <family val="2"/>
          </rPr>
          <t>The ratio net income / revenue, by time period
(variable Return_on_Sales_pct)</t>
        </r>
      </text>
    </comment>
    <comment ref="A14" authorId="0" shapeId="0">
      <text>
        <r>
          <rPr>
            <b/>
            <sz val="8"/>
            <rFont val="Arial"/>
            <family val="2"/>
          </rPr>
          <t>The ratio marketing department expense / revenue,
by time period
(variable Mktg_Exp_Ratio)</t>
        </r>
      </text>
    </comment>
    <comment ref="A15" authorId="0" shapeId="0">
      <text>
        <r>
          <rPr>
            <b/>
            <sz val="8"/>
            <rFont val="Arial"/>
            <family val="2"/>
          </rPr>
          <t>The ratio (sales department expense) / revenue, by
time period
(variable Selling_Exp_Ratio)</t>
        </r>
      </text>
    </comment>
    <comment ref="A16" authorId="0" shapeId="0">
      <text>
        <r>
          <rPr>
            <b/>
            <sz val="8"/>
            <rFont val="Arial"/>
            <family val="2"/>
          </rPr>
          <t>The ratio of practice development spending to
revenue in each accounting period. 
(variable Practice_Dev_pct_Rev)</t>
        </r>
      </text>
    </comment>
    <comment ref="A20" authorId="0" shapeId="0">
      <text>
        <r>
          <rPr>
            <b/>
            <sz val="8"/>
            <rFont val="Arial"/>
            <family val="2"/>
          </rPr>
          <t>The ratio (operating expense for the Admin
department) / revenue, by time period
(variable G_A_Exp_Ratio)</t>
        </r>
      </text>
    </comment>
    <comment ref="A22" authorId="0" shapeId="0">
      <text>
        <r>
          <rPr>
            <b/>
            <sz val="8"/>
            <rFont val="Arial"/>
            <family val="2"/>
          </rPr>
          <t>The accounting current ratio, equal to current
assets / current liabilities
(variable Current_Ratio)</t>
        </r>
      </text>
    </comment>
    <comment ref="A23" authorId="0" shapeId="0">
      <text>
        <r>
          <rPr>
            <b/>
            <sz val="8"/>
            <rFont val="Arial"/>
            <family val="2"/>
          </rPr>
          <t>The ratio (short-term assets less inventory) /
short-term liabilities, by time period
(variable Quick_Ratio)</t>
        </r>
      </text>
    </comment>
    <comment ref="A25" authorId="0" shapeId="0">
      <text>
        <r>
          <rPr>
            <b/>
            <sz val="8"/>
            <rFont val="Arial"/>
            <family val="2"/>
          </rPr>
          <t>The ratio (revenue for each time period) /
(professional staff count at end of each time
period)
(variable Revenue_per_Prof_Staff)</t>
        </r>
      </text>
    </comment>
    <comment ref="A26" authorId="0" shapeId="0">
      <text>
        <r>
          <rPr>
            <b/>
            <sz val="8"/>
            <rFont val="Arial"/>
            <family val="2"/>
          </rPr>
          <t>The ratio (revenue for each time period)/ (assets
at the end of each time period)
(variable Asset_Turnover)</t>
        </r>
      </text>
    </comment>
    <comment ref="A28" authorId="0" shapeId="0">
      <text>
        <r>
          <rPr>
            <b/>
            <sz val="8"/>
            <rFont val="Arial"/>
            <family val="2"/>
          </rPr>
          <t>The ratio (trailing annual net income) / assets,
by time period
(variable Return_on_Assets)</t>
        </r>
      </text>
    </comment>
    <comment ref="A29" authorId="0" shapeId="0">
      <text>
        <r>
          <rPr>
            <b/>
            <sz val="8"/>
            <rFont val="Arial"/>
            <family val="2"/>
          </rPr>
          <t>The ratio (trailing annual net income) / (book
value of equity), by time period
(variable Return_on_Equity)</t>
        </r>
      </text>
    </comment>
    <comment ref="A30" authorId="0" shapeId="0">
      <text>
        <r>
          <rPr>
            <b/>
            <sz val="8"/>
            <rFont val="Arial"/>
            <family val="2"/>
          </rPr>
          <t>The ratio (value of equity) / (trailing annual net
income), by time period
(variable Price_Earnings_Ratio)</t>
        </r>
      </text>
    </comment>
    <comment ref="A31" authorId="0" shapeId="0">
      <text>
        <r>
          <rPr>
            <b/>
            <sz val="8"/>
            <rFont val="Arial"/>
            <family val="2"/>
          </rPr>
          <t>The ratio (valuation of equity) / (trailing annual
revenue), by time period
(variable Price_Sales_Ratio)</t>
        </r>
      </text>
    </comment>
    <comment ref="A32" authorId="0" shapeId="0">
      <text>
        <r>
          <rPr>
            <b/>
            <sz val="8"/>
            <rFont val="Arial"/>
            <family val="2"/>
          </rPr>
          <t>The ratio (valuation of equity) / (book value of
equity), by time period
(variable Price_Book_Multiple)</t>
        </r>
      </text>
    </comment>
    <comment ref="A33" authorId="0" shapeId="0">
      <text>
        <r>
          <rPr>
            <b/>
            <sz val="8"/>
            <rFont val="Arial"/>
            <family val="2"/>
          </rPr>
          <t>The cash dividend payment in each accounting
period expressed as a percentage of equity
valuation
(variable Dividend_Yield)</t>
        </r>
      </text>
    </comment>
    <comment ref="A34" authorId="0" shapeId="0">
      <text>
        <r>
          <rPr>
            <b/>
            <sz val="8"/>
            <rFont val="Arial"/>
            <family val="2"/>
          </rPr>
          <t>The accounting debt ratio, equal to the total long
and short term debt divided by the total assets
(variable Debt_Ratio)</t>
        </r>
      </text>
    </comment>
    <comment ref="A35" authorId="0" shapeId="0">
      <text>
        <r>
          <rPr>
            <b/>
            <sz val="8"/>
            <rFont val="Arial"/>
            <family val="2"/>
          </rPr>
          <t>Annualized internal rate of return for model time,
excluding cash flows in tail after model time
(variable IRR_no_Tail_Yr)</t>
        </r>
      </text>
    </comment>
    <comment ref="A36" authorId="0" shapeId="0">
      <text>
        <r>
          <rPr>
            <b/>
            <sz val="8"/>
            <rFont val="Arial"/>
            <family val="2"/>
          </rPr>
          <t>Annualized internal rate of return for cash flow
in model time periods and in tail after model time
(variable IRR_w_Tail_Yr)</t>
        </r>
      </text>
    </comment>
  </commentList>
</comments>
</file>

<file path=xl/comments6.xml><?xml version="1.0" encoding="utf-8"?>
<comments xmlns="http://schemas.openxmlformats.org/spreadsheetml/2006/main">
  <authors>
    <author>LOCAL SERVICE</author>
  </authors>
  <commentList>
    <comment ref="A8" authorId="0" shapeId="0">
      <text>
        <r>
          <rPr>
            <b/>
            <sz val="8"/>
            <rFont val="Arial"/>
            <family val="2"/>
          </rPr>
          <t>Revenue from billed hours, segmented by Practice
Area, Professional Staff Type, Channel, and time
period. Includes small engagments from the sales
funnel and T&amp;E billed at cost.</t>
        </r>
      </text>
    </comment>
    <comment ref="A13" authorId="0" shapeId="0">
      <text>
        <r>
          <rPr>
            <b/>
            <sz val="8"/>
            <rFont val="Arial"/>
            <family val="2"/>
          </rPr>
          <t>Cost of providing services in client engagements
(including small engagements from the sales
funnel), segmented by staff cost and supplies
cost, and by time period
(variable Cost_Services)</t>
        </r>
      </text>
    </comment>
    <comment ref="A31" authorId="0" shapeId="0">
      <text>
        <r>
          <rPr>
            <b/>
            <sz val="8"/>
            <rFont val="Arial"/>
            <family val="2"/>
          </rPr>
          <t>Hours of professsional staff time billed to client
engagements (includings small engagements from the
sales funnel). Segmented by Practice Area,
Professional Staff Type, Channel, and time period.
(variable Prof_Staff_Hrs_Billed)</t>
        </r>
      </text>
    </comment>
    <comment ref="A36" authorId="0" shapeId="0">
      <text>
        <r>
          <rPr>
            <b/>
            <sz val="8"/>
            <rFont val="Arial"/>
            <family val="2"/>
          </rPr>
          <t>Measured growth rate of billed staff hours per
time period (not annualized). This version of the
variable includes blanks where growth rate is not
defined. Used in display.
(variable Prof_Staff_Hrs_Billed_Growth_display)</t>
        </r>
      </text>
    </comment>
    <comment ref="A46" authorId="0" shapeId="0">
      <text>
        <r>
          <rPr>
            <b/>
            <sz val="8"/>
            <rFont val="Arial"/>
            <family val="2"/>
          </rPr>
          <t>Revenue from billed hours, segmented by Practice
Area, Professional Staff Type, Channel, and time
period. Includes small engagments from the sales
funnel and T&amp;E billed at cost.</t>
        </r>
      </text>
    </comment>
    <comment ref="A60" authorId="0" shapeId="0">
      <text>
        <r>
          <rPr>
            <b/>
            <sz val="8"/>
            <rFont val="Arial"/>
            <family val="2"/>
          </rPr>
          <t>Cost of providing services in client engagements
(including small engagements from the sales
funnel), segmented by staff cost and supplies
cost, and by time period
(variable Cost_Services)</t>
        </r>
      </text>
    </comment>
    <comment ref="A144" authorId="0" shapeId="0">
      <text>
        <r>
          <rPr>
            <b/>
            <sz val="8"/>
            <rFont val="Arial"/>
            <family val="2"/>
          </rPr>
          <t>Hours of professsional staff time billed to client
engagements (includings small engagements from the
sales funnel). Segmented by Practice Area,
Professional Staff Type, Channel, and time period.
(variable Prof_Staff_Hrs_Billed)</t>
        </r>
      </text>
    </comment>
    <comment ref="A158" authorId="0" shapeId="0">
      <text>
        <r>
          <rPr>
            <b/>
            <sz val="8"/>
            <rFont val="Arial"/>
            <family val="2"/>
          </rPr>
          <t>Measured growth rate of billed staff hours per
time period (not annualized). This version of the
variable includes blanks where growth rate is not
defined. Used in display.
(variable Prof_Staff_Hrs_Billed_Growth_display)</t>
        </r>
      </text>
    </comment>
    <comment ref="A177" authorId="0" shapeId="0">
      <text>
        <r>
          <rPr>
            <b/>
            <sz val="8"/>
            <rFont val="Arial"/>
            <family val="2"/>
          </rPr>
          <t>Revenue from billed hours, segmented by Practice
Area, Professional Staff Type, Channel, and time
period. Includes small engagments from the sales
funnel and T&amp;E billed at cost.</t>
        </r>
      </text>
    </comment>
    <comment ref="A191" authorId="0" shapeId="0">
      <text>
        <r>
          <rPr>
            <b/>
            <sz val="8"/>
            <rFont val="Arial"/>
            <family val="2"/>
          </rPr>
          <t>Professional staff cost applied to client
engagements (including small engagements from the
sales funnel), segmented by Practice Area,
Professional Staff Type, and time period. Includes
cost of professional time applied to engagements
but not billed.
(variable Cost_Services_Staff)</t>
        </r>
      </text>
    </comment>
    <comment ref="A205" authorId="0" shapeId="0">
      <text>
        <r>
          <rPr>
            <b/>
            <sz val="8"/>
            <rFont val="Arial"/>
            <family val="2"/>
          </rPr>
          <t>Cost of travel and entertainment incurred in
client engagements (including small engagements
from the sales funnel). Segmented by Practice
Area, Professional Staff Type, Channel, and time
period.
(variable Cost_Services_TandE)</t>
        </r>
      </text>
    </comment>
    <comment ref="A219" authorId="0" shapeId="0">
      <text>
        <r>
          <rPr>
            <b/>
            <sz val="8"/>
            <rFont val="Arial"/>
            <family val="2"/>
          </rPr>
          <t>Cost of direct supplies incurred in client
engagements (including small engagements from the
sales funnel). Segmented by Practice Area,
Professional Staff Type, Channel, and time period.
(variable Cost_Services_Supplies)</t>
        </r>
      </text>
    </comment>
    <comment ref="A294" authorId="0" shapeId="0">
      <text>
        <r>
          <rPr>
            <b/>
            <sz val="8"/>
            <rFont val="Arial"/>
            <family val="2"/>
          </rPr>
          <t>Hours of professsional staff time billed to client
engagements (includings small engagements from the
sales funnel). Segmented by Practice Area,
Professional Staff Type, Channel, and time period.
(variable Prof_Staff_Hrs_Billed)</t>
        </r>
      </text>
    </comment>
    <comment ref="A308" authorId="0" shapeId="0">
      <text>
        <r>
          <rPr>
            <b/>
            <sz val="8"/>
            <rFont val="Arial"/>
            <family val="2"/>
          </rPr>
          <t>Measured growth rate of billed staff hours per
time period (not annualized). This version of the
variable includes blanks where growth rate is not
defined. Used in display.
(variable Prof_Staff_Hrs_Billed_Growth_display)</t>
        </r>
      </text>
    </comment>
    <comment ref="A328" authorId="0" shapeId="0">
      <text>
        <r>
          <rPr>
            <b/>
            <sz val="8"/>
            <rFont val="Arial"/>
            <family val="2"/>
          </rPr>
          <t>Spending on developing assets for practice areas
(variable Practice_Dev_Spend)</t>
        </r>
      </text>
    </comment>
    <comment ref="A333" authorId="0" shapeId="0">
      <text>
        <r>
          <rPr>
            <b/>
            <sz val="8"/>
            <rFont val="Arial"/>
            <family val="2"/>
          </rPr>
          <t>The ratio of practice development spending to
revenue in each accounting period. 
(variable Practice_Dev_pct_Rev)</t>
        </r>
      </text>
    </comment>
    <comment ref="A338" authorId="0" shapeId="0">
      <text>
        <r>
          <rPr>
            <b/>
            <sz val="8"/>
            <rFont val="Arial"/>
            <family val="2"/>
          </rPr>
          <t>Professional staff heacount devoted to practice
are, segmented by practice area, by job type, by
time period
(variable Practice_Dev_Prof_Spend)</t>
        </r>
      </text>
    </comment>
    <comment ref="A352" authorId="0" shapeId="0">
      <text>
        <r>
          <rPr>
            <b/>
            <sz val="8"/>
            <rFont val="Arial"/>
            <family val="2"/>
          </rPr>
          <t>Support staff spending devoted to practice
development, segmented by practice area, by
department, by job level, by time period
(variable Practice_Dev_Sup_Spend)</t>
        </r>
      </text>
    </comment>
    <comment ref="A395" authorId="0" shapeId="0">
      <text>
        <r>
          <rPr>
            <b/>
            <sz val="8"/>
            <rFont val="Arial"/>
            <family val="2"/>
          </rPr>
          <t>Professional staff hours applied to practice
development. Segmented by practice area,
Professional Staff Type, and time period.
(variable Practice_Dev_Prof_Staff_Hrs)</t>
        </r>
      </text>
    </comment>
    <comment ref="A409" authorId="0" shapeId="0">
      <text>
        <r>
          <rPr>
            <b/>
            <sz val="8"/>
            <rFont val="Arial"/>
            <family val="2"/>
          </rPr>
          <t>Professional staff heacount devoted to practice
are, segmented by practice area, by job type, by
time period
(variable Practice_Dev_Prof_Staff_Count)</t>
        </r>
      </text>
    </comment>
    <comment ref="A423" authorId="0" shapeId="0">
      <text>
        <r>
          <rPr>
            <b/>
            <sz val="8"/>
            <rFont val="Arial"/>
            <family val="2"/>
          </rPr>
          <t>Support staff heacount devoted to practice are,
segmented by practice area, by department, by job
level, by time period
(variable Practice_Dev_Sup_Staff_Count)</t>
        </r>
      </text>
    </comment>
  </commentList>
</comments>
</file>

<file path=xl/comments7.xml><?xml version="1.0" encoding="utf-8"?>
<comments xmlns="http://schemas.openxmlformats.org/spreadsheetml/2006/main">
  <authors>
    <author>LOCAL SERVICE</author>
  </authors>
  <commentList>
    <comment ref="A8" authorId="0" shapeId="0">
      <text>
        <r>
          <rPr>
            <b/>
            <sz val="8"/>
            <rFont val="Arial"/>
            <family val="2"/>
          </rPr>
          <t>Revenue from billed hours, segmented by Channel,
Practice Area, Professional Staff Type, and time
period. Includes small engagments from the sales
funnel. This variable is for display only. It
segments by Channels first, while variable
'Revenue' segments by Practice Area first. 
(variable Revenue_Channel)</t>
        </r>
      </text>
    </comment>
    <comment ref="A13" authorId="0" shapeId="0">
      <text>
        <r>
          <rPr>
            <b/>
            <sz val="8"/>
            <rFont val="Arial"/>
            <family val="2"/>
          </rPr>
          <t>Cost of providing services in client engagements
(including small engagements from the sales
funnel), segmented by staff cost and supplies
cost, and by time period. This variable is for
display only. It segments by Channel first, while
variable 'Cost of Services' segments by Practice
Area first. 
(variable Cost_Services_Channel)</t>
        </r>
      </text>
    </comment>
    <comment ref="A31" authorId="0" shapeId="0">
      <text>
        <r>
          <rPr>
            <b/>
            <sz val="8"/>
            <rFont val="Arial"/>
            <family val="2"/>
          </rPr>
          <t>Hours of professsional staff time billed to client
engagements (includings small engagements from the
sales funnel). Segmented by Practice Area,
Professional Staff Type, Channel, and time period.
This variable is for display only. It segments by
Channel first, while variable 'Prof Staff Hrs
Billed' segments by Practice Area first. 
(variable Prof_Staff_Hrs_Billed_Channel)</t>
        </r>
      </text>
    </comment>
    <comment ref="A36" authorId="0" shapeId="0">
      <text>
        <r>
          <rPr>
            <b/>
            <sz val="8"/>
            <rFont val="Arial"/>
            <family val="2"/>
          </rPr>
          <t>Measured growth rate of billed staff hours per
time period (not annualized). It segments by
Channel first, while variable 'Prof Staff Hrs
Billed Growth' segments by Practice Area first.
This version of the variable uses blanks where the
growth rate is not defined. Used for display.
(variable
Prof_Staff_Hrs_Billed_Growth_Channel_display)</t>
        </r>
      </text>
    </comment>
    <comment ref="A46" authorId="0" shapeId="0">
      <text>
        <r>
          <rPr>
            <b/>
            <sz val="8"/>
            <rFont val="Arial"/>
            <family val="2"/>
          </rPr>
          <t>Revenue from billed hours, segmented by Channel,
Practice Area, Professional Staff Type, and time
period. Includes small engagments from the sales
funnel. This variable is for display only. It
segments by Channels first, while variable
'Revenue' segments by Practice Area first. 
(variable Revenue_Channel)</t>
        </r>
      </text>
    </comment>
    <comment ref="A60" authorId="0" shapeId="0">
      <text>
        <r>
          <rPr>
            <b/>
            <sz val="8"/>
            <rFont val="Arial"/>
            <family val="2"/>
          </rPr>
          <t>Cost of providing services in client engagements
(including small engagements from the sales
funnel), segmented by staff cost and supplies
cost, and by time period. This variable is for
display only. It segments by Channel first, while
variable 'Cost of Services' segments by Practice
Area first. 
(variable Cost_Services_Channel)</t>
        </r>
      </text>
    </comment>
    <comment ref="A144" authorId="0" shapeId="0">
      <text>
        <r>
          <rPr>
            <b/>
            <sz val="8"/>
            <rFont val="Arial"/>
            <family val="2"/>
          </rPr>
          <t>Hours of professsional staff time billed to client
engagements (includings small engagements from the
sales funnel). Segmented by Practice Area,
Professional Staff Type, Channel, and time period.
This variable is for display only. It segments by
Channel first, while variable 'Prof Staff Hrs
Billed' segments by Practice Area first. 
(variable Prof_Staff_Hrs_Billed_Channel)</t>
        </r>
      </text>
    </comment>
    <comment ref="A158" authorId="0" shapeId="0">
      <text>
        <r>
          <rPr>
            <b/>
            <sz val="8"/>
            <rFont val="Arial"/>
            <family val="2"/>
          </rPr>
          <t>Measured growth rate of billed staff hours per
time period (not annualized). It segments by
Channel first, while variable 'Prof Staff Hrs
Billed Growth' segments by Practice Area first.
This version of the variable uses blanks where the
growth rate is not defined. Used for display.
(variable
Prof_Staff_Hrs_Billed_Growth_Channel_display)</t>
        </r>
      </text>
    </comment>
    <comment ref="A177" authorId="0" shapeId="0">
      <text>
        <r>
          <rPr>
            <b/>
            <sz val="8"/>
            <rFont val="Arial"/>
            <family val="2"/>
          </rPr>
          <t>Revenue from billed hours, segmented by Channel,
Practice Area, Professional Staff Type, and time
period. Includes small engagments from the sales
funnel. This variable is for display only. It
segments by Channels first, while variable
'Revenue' segments by Practice Area first. 
(variable Revenue_Channel)</t>
        </r>
      </text>
    </comment>
    <comment ref="A218" authorId="0" shapeId="0">
      <text>
        <r>
          <rPr>
            <b/>
            <sz val="8"/>
            <rFont val="Arial"/>
            <family val="2"/>
          </rPr>
          <t>Professional staff cost applied to client
engagements (including small engagements from the
sales funnel), segmented by Practice Area,
Professional Staff Type, Channel, and time period.
Includes cost of professional time applied to
engagements but not billed. This variable is for
display only. It segments by Channel first, while
variable 'Cost of Services - Staff' segments by
Practice Area first. 
(variable Cost_Services_Staff_Channel)</t>
        </r>
      </text>
    </comment>
    <comment ref="A259" authorId="0" shapeId="0">
      <text>
        <r>
          <rPr>
            <b/>
            <sz val="8"/>
            <rFont val="Arial"/>
            <family val="2"/>
          </rPr>
          <t>Cost of travel and entertainment incurred in
client engagements (including small engagements
from the sales funnel). Segmented by Practice
Area, Professional Staff Type, Channel, and time
period. This variable is for display only. It
segments by Channel first, while variable 'Cost of
Services - Supplies' segments by Practice Area
first. 
(variable Cost_Services_TandE_Channel)</t>
        </r>
      </text>
    </comment>
    <comment ref="A300" authorId="0" shapeId="0">
      <text>
        <r>
          <rPr>
            <b/>
            <sz val="8"/>
            <rFont val="Arial"/>
            <family val="2"/>
          </rPr>
          <t>Cost of direct supplies incurred in client
engagements (including small engagements from the
sales funnel). Segmented by Practice Area,
Professional Staff Type, Channel, and time period.
This variable is for display only. It segments by
Channel first, while variable 'Cost of Services -
Supplies' segments by Practice Area first. 
(variable Cost_Services_Supplies_Channel)</t>
        </r>
      </text>
    </comment>
    <comment ref="A518" authorId="0" shapeId="0">
      <text>
        <r>
          <rPr>
            <b/>
            <sz val="8"/>
            <rFont val="Arial"/>
            <family val="2"/>
          </rPr>
          <t>Hours of professsional staff time billed to client
engagements (includings small engagements from the
sales funnel). Segmented by Practice Area,
Professional Staff Type, Channel, and time period.
This variable is for display only. It segments by
Channel first, while variable 'Prof Staff Hrs
Billed' segments by Practice Area first. 
(variable Prof_Staff_Hrs_Billed_Channel)</t>
        </r>
      </text>
    </comment>
    <comment ref="A559" authorId="0" shapeId="0">
      <text>
        <r>
          <rPr>
            <b/>
            <sz val="8"/>
            <rFont val="Arial"/>
            <family val="2"/>
          </rPr>
          <t>Professional staff hours applied to client
engagements (including small engagements from the
sales funnel) but not billed. Segmented by
Practice Area, Professional Staff Type, and time
period. It segments by Channel first, while
variable 'Prof Staff Hrs Unbilled' segments by
Practice Area first. 
(variable Prof_Staff_Hrs_Unbilled_Channel)</t>
        </r>
      </text>
    </comment>
    <comment ref="A573" authorId="0" shapeId="0">
      <text>
        <r>
          <rPr>
            <b/>
            <sz val="8"/>
            <rFont val="Arial"/>
            <family val="2"/>
          </rPr>
          <t>Measured growth rate of billed staff hours per
time period (not annualized). It segments by
Channel first, while variable 'Prof Staff Hrs
Billed Growth' segments by Practice Area first.
This version of the variable uses blanks where the
growth rate is not defined. Used for display.
(variable
Prof_Staff_Hrs_Billed_Growth_Channel_display)</t>
        </r>
      </text>
    </comment>
  </commentList>
</comments>
</file>

<file path=xl/comments8.xml><?xml version="1.0" encoding="utf-8"?>
<comments xmlns="http://schemas.openxmlformats.org/spreadsheetml/2006/main">
  <authors>
    <author>LOCAL SERVICE</author>
  </authors>
  <commentList>
    <comment ref="A11" authorId="0" shapeId="0">
      <text>
        <r>
          <rPr>
            <b/>
            <sz val="8"/>
            <rFont val="Arial"/>
            <family val="2"/>
          </rPr>
          <t>Billings for staff time for each major Engagement,
segmented by Professional Staff Type, in each time
period. Net of all fee discounts. Excludes
billings for small engagemenets from the sales
funnel.
(variable Engage_Billings)</t>
        </r>
      </text>
    </comment>
    <comment ref="A16" authorId="0" shapeId="0">
      <text>
        <r>
          <rPr>
            <b/>
            <sz val="8"/>
            <rFont val="Arial"/>
            <family val="2"/>
          </rPr>
          <t>Cost of billable hours applied on major
Engagements. Segmented by Engagement, Professional
Staff Type, and time period.
(variable Engage_Cost_Staff)</t>
        </r>
      </text>
    </comment>
    <comment ref="A21" authorId="0" shapeId="0">
      <text>
        <r>
          <rPr>
            <b/>
            <sz val="8"/>
            <rFont val="Arial"/>
            <family val="2"/>
          </rPr>
          <t>Cost of travel &amp; entertainment incurred on major
Engagements. Segmented by Engagement and time
period.
(variable Engage_Cost_TandE)</t>
        </r>
      </text>
    </comment>
    <comment ref="A26" authorId="0" shapeId="0">
      <text>
        <r>
          <rPr>
            <b/>
            <sz val="8"/>
            <rFont val="Arial"/>
            <family val="2"/>
          </rPr>
          <t>Cost of direct supplies incurred on major
Engagements. Segmented by Engagement, Supply
Types, and time period.
(variable Engage_Cost_Supplies)</t>
        </r>
      </text>
    </comment>
    <comment ref="A46" authorId="0" shapeId="0">
      <text>
        <r>
          <rPr>
            <b/>
            <sz val="8"/>
            <rFont val="Arial"/>
            <family val="2"/>
          </rPr>
          <t>Billings for staff time for each major Engagement,
segmented by Professional Staff Type, in each time
period. Net of all fee discounts. Excludes
billings for small engagemenets from the sales
funnel.
(variable Engage_Billings)</t>
        </r>
      </text>
    </comment>
    <comment ref="A60" authorId="0" shapeId="0">
      <text>
        <r>
          <rPr>
            <b/>
            <sz val="8"/>
            <rFont val="Arial"/>
            <family val="2"/>
          </rPr>
          <t>Cost of billable hours applied on major
Engagements. Segmented by Engagement, Professional
Staff Type, and time period.
(variable Engage_Cost_Staff)</t>
        </r>
      </text>
    </comment>
    <comment ref="A74" authorId="0" shapeId="0">
      <text>
        <r>
          <rPr>
            <b/>
            <sz val="8"/>
            <rFont val="Arial"/>
            <family val="2"/>
          </rPr>
          <t>Cost of travel &amp; entertainment incurred on major
Engagements. Segmented by Engagement and time
period.
(variable Engage_Cost_TandE)</t>
        </r>
      </text>
    </comment>
    <comment ref="A115" authorId="0" shapeId="0">
      <text>
        <r>
          <rPr>
            <b/>
            <sz val="8"/>
            <rFont val="Arial"/>
            <family val="2"/>
          </rPr>
          <t>Cost of direct supplies incurred on major
Engagements. Segmented by Engagement, Supply
Types, and time period.
(variable Engage_Cost_Supplies)</t>
        </r>
      </text>
    </comment>
    <comment ref="A161" authorId="0" shapeId="0">
      <text>
        <r>
          <rPr>
            <b/>
            <sz val="8"/>
            <rFont val="Arial"/>
            <family val="2"/>
          </rPr>
          <t>Billable hours applied on major Engagements, for
each Professional Staff Type, in each time period.
(variable Engage_Hrs_Applied)</t>
        </r>
      </text>
    </comment>
    <comment ref="A175" authorId="0" shapeId="0">
      <text>
        <r>
          <rPr>
            <b/>
            <sz val="8"/>
            <rFont val="Arial"/>
            <family val="2"/>
          </rPr>
          <t>Billable professional staff hours that are
actually billed, for each major Engagement, for
each Professional Staff Type, in each time period
(variable Engage_Hrs_Billed)</t>
        </r>
      </text>
    </comment>
    <comment ref="A189" authorId="0" shapeId="0">
      <text>
        <r>
          <rPr>
            <b/>
            <sz val="8"/>
            <rFont val="Arial"/>
            <family val="2"/>
          </rPr>
          <t>Professional staff hours applied on major
Engagements but not billed to clients, segmented
by major Engagement, by Professional Staff Type,
and by time period.
(variable Engage_Hrs_Unbilled)</t>
        </r>
      </text>
    </comment>
    <comment ref="A210" authorId="0" shapeId="0">
      <text>
        <r>
          <rPr>
            <b/>
            <sz val="8"/>
            <rFont val="Arial"/>
            <family val="2"/>
          </rPr>
          <t>Amount of order backlog that is fulfilled in each
time period, expressed in currency, segmented by
product. Backlog applies to products only, not
support.
(variable Orders_Filled)</t>
        </r>
      </text>
    </comment>
    <comment ref="A251" authorId="0" shapeId="0">
      <text>
        <r>
          <rPr>
            <b/>
            <sz val="8"/>
            <rFont val="Arial"/>
            <family val="2"/>
          </rPr>
          <t>Staff hours from order backlog (from small
engagements in the the sales funnel) that are
fulfilled and billed in each time period,
segmented by Practice Area and Professional Staff
Type
(variable Orders_Filled_Hrs)</t>
        </r>
      </text>
    </comment>
    <comment ref="A295" authorId="0" shapeId="0">
      <text>
        <r>
          <rPr>
            <b/>
            <sz val="8"/>
            <rFont val="Arial"/>
            <family val="2"/>
          </rPr>
          <t>Order backlog at the end of each time period,
expressed in currency, segmented by product. Note
that the initial value at the start of model time
uses average hourly fees in the first time period.
(variable Order_Backlog)</t>
        </r>
      </text>
    </comment>
    <comment ref="A336" authorId="0" shapeId="0">
      <text>
        <r>
          <rPr>
            <b/>
            <sz val="8"/>
            <rFont val="Arial"/>
            <family val="2"/>
          </rPr>
          <t>Order backlog at the end of each time period,
expressed in billable hours, segmented by product.
(variable Order_Backlog_Hrs)</t>
        </r>
      </text>
    </comment>
    <comment ref="A380" authorId="0" shapeId="0">
      <text>
        <r>
          <rPr>
            <b/>
            <sz val="8"/>
            <rFont val="Arial"/>
            <family val="2"/>
          </rPr>
          <t>The amount of qualified sales leads, expressed in
currency, at the end of each time period,
segmented by lead quality and by product. Sales
leads apply to products only, not support.
The least qualified lead categories are listed
first, and the most qualified categories are at
the end of the list.
(variable Sales_Leads)</t>
        </r>
      </text>
    </comment>
    <comment ref="A502" authorId="0" shapeId="0">
      <text>
        <r>
          <rPr>
            <b/>
            <sz val="8"/>
            <rFont val="Arial"/>
            <family val="2"/>
          </rPr>
          <t>The number of qualified sales leads, expressed in
billable hours, at the end of each time period,
segmented by lead quality, Practice Area, and
Professional Staff Type.
The least qualified lead categories are listed
first, and the most qualified categories are at
the end of the list.
(variable Sales_Leads_Hrs)</t>
        </r>
      </text>
    </comment>
    <comment ref="A624" authorId="0" shapeId="0">
      <text>
        <r>
          <rPr>
            <b/>
            <sz val="8"/>
            <rFont val="Arial"/>
            <family val="2"/>
          </rPr>
          <t>New qualified sales leads, expressed in currency,
in each time period, segmented by lead quality and
by product. Sales leads apply to products only,
not support.
The least qualified lead categories are listed
first, and the most qualified categories are at
the end of the list.
(variable Sales_Leads_New)</t>
        </r>
      </text>
    </comment>
    <comment ref="A746" authorId="0" shapeId="0">
      <text>
        <r>
          <rPr>
            <b/>
            <sz val="8"/>
            <rFont val="Arial"/>
            <family val="2"/>
          </rPr>
          <t>New qualified sales leads, expressed in billable
hours, segmented by lead quality, Practice Area,
and Professional Staff Type, for each time period.
Sales leads apply to products only, not support.
The least qualified lead categories are listed
first, and the most qualified categories are at
the end of the list.
(variable Sales_Lead_Hrs_New)</t>
        </r>
      </text>
    </comment>
  </commentList>
</comments>
</file>

<file path=xl/comments9.xml><?xml version="1.0" encoding="utf-8"?>
<comments xmlns="http://schemas.openxmlformats.org/spreadsheetml/2006/main">
  <authors>
    <author>LOCAL SERVICE</author>
  </authors>
  <commentList>
    <comment ref="A8" authorId="0" shapeId="0">
      <text>
        <r>
          <rPr>
            <b/>
            <sz val="8"/>
            <rFont val="Arial"/>
            <family val="2"/>
          </rPr>
          <t>Revenue from billed hours, segmented by Practice
Area, Professional Staff Type, Channel, and time
period. Includes small engagments from the sales
funnel and T&amp;E billed at cost.</t>
        </r>
      </text>
    </comment>
    <comment ref="A16" authorId="0" shapeId="0">
      <text>
        <r>
          <rPr>
            <b/>
            <sz val="8"/>
            <rFont val="Arial"/>
            <family val="2"/>
          </rPr>
          <t>Growth rate of revenue compared to the previous
time period, segmented by product, by time period
(variable Revenue_Growth)</t>
        </r>
      </text>
    </comment>
    <comment ref="A22" authorId="0" shapeId="0">
      <text>
        <r>
          <rPr>
            <b/>
            <sz val="8"/>
            <rFont val="Arial"/>
            <family val="2"/>
          </rPr>
          <t>Hours of professsional staff time billed to client
engagements (includings small engagements from the
sales funnel). Segmented by Practice Area,
Professional Staff Type, Channel, and time period.
(variable Prof_Staff_Hrs_Billed)</t>
        </r>
      </text>
    </comment>
    <comment ref="A30" authorId="0" shapeId="0">
      <text>
        <r>
          <rPr>
            <b/>
            <sz val="8"/>
            <rFont val="Arial"/>
            <family val="2"/>
          </rPr>
          <t>Measured growth rate of billed staff hours per
time period (not annualized)
(variable Prof_Staff_Hrs_Billed_Growth)</t>
        </r>
      </text>
    </comment>
    <comment ref="A40" authorId="0" shapeId="0">
      <text>
        <r>
          <rPr>
            <b/>
            <sz val="8"/>
            <rFont val="Arial"/>
            <family val="2"/>
          </rPr>
          <t>Revenue from billed hours, segmented by Practice
Area, Professional Staff Type, Channel, and time
period. Includes small engagments from the sales
funnel and T&amp;E billed at cost.</t>
        </r>
      </text>
    </comment>
    <comment ref="A54" authorId="0" shapeId="0">
      <text>
        <r>
          <rPr>
            <b/>
            <sz val="8"/>
            <rFont val="Arial"/>
            <family val="2"/>
          </rPr>
          <t>Hours of professsional staff time billed to client
engagements (includings small engagements from the
sales funnel). Segmented by Practice Area,
Professional Staff Type, Channel, and time period.
(variable Prof_Staff_Hrs_Billed)</t>
        </r>
      </text>
    </comment>
    <comment ref="A73" authorId="0" shapeId="0">
      <text>
        <r>
          <rPr>
            <b/>
            <sz val="8"/>
            <rFont val="Arial"/>
            <family val="2"/>
          </rPr>
          <t>Revenue from billed hours, segmented by Practice
Area, Professional Staff Type, Channel, and time
period. Includes small engagments from the sales
funnel and T&amp;E billed at cost.</t>
        </r>
      </text>
    </comment>
    <comment ref="A87" authorId="0" shapeId="0">
      <text>
        <r>
          <rPr>
            <b/>
            <sz val="8"/>
            <rFont val="Arial"/>
            <family val="2"/>
          </rPr>
          <t>Hours of professsional staff time billed to client
engagements (includings small engagements from the
sales funnel). Segmented by Practice Area,
Professional Staff Type, Channel, and time period.
(variable Prof_Staff_Hrs_Billed)</t>
        </r>
      </text>
    </comment>
    <comment ref="A106" authorId="0" shapeId="0">
      <text>
        <r>
          <rPr>
            <b/>
            <sz val="8"/>
            <rFont val="Arial"/>
            <family val="2"/>
          </rPr>
          <t>Revenue from billed hours, segmented by Practice
Area, Professional Staff Type, Channel, and time
period. Includes small engagments from the sales
funnel and T&amp;E billed at cost.</t>
        </r>
      </text>
    </comment>
    <comment ref="A147" authorId="0" shapeId="0">
      <text>
        <r>
          <rPr>
            <b/>
            <sz val="8"/>
            <rFont val="Arial"/>
            <family val="2"/>
          </rPr>
          <t>Growth rate of revenue compared to the previous
time period, segmented by product, by time period
(variable Revenue_Growth)</t>
        </r>
      </text>
    </comment>
    <comment ref="A162" authorId="0" shapeId="0">
      <text>
        <r>
          <rPr>
            <b/>
            <sz val="8"/>
            <rFont val="Arial"/>
            <family val="2"/>
          </rPr>
          <t>Cumulative average growth rate of revenue over
model time, excluding year 1, using a least
squares fit to historical revenue, segmented by
product. This method gives a more stable estimate
of CAGR than using just the first and last period
revenues.
(variable Revenue_CAGR)</t>
        </r>
      </text>
    </comment>
    <comment ref="A181" authorId="0" shapeId="0">
      <text>
        <r>
          <rPr>
            <b/>
            <sz val="8"/>
            <rFont val="Arial"/>
            <family val="2"/>
          </rPr>
          <t>Hours of professsional staff time billed to client
engagements (includings small engagements from the
sales funnel). Segmented by Practice Area,
Professional Staff Type, Channel, and time period.
(variable Prof_Staff_Hrs_Billed)</t>
        </r>
      </text>
    </comment>
    <comment ref="A222" authorId="0" shapeId="0">
      <text>
        <r>
          <rPr>
            <b/>
            <sz val="8"/>
            <rFont val="Arial"/>
            <family val="2"/>
          </rPr>
          <t>Measured growth rate of billed staff hours per
time period (not annualized)
(variable Prof_Staff_Hrs_Billed_Growth)</t>
        </r>
      </text>
    </comment>
    <comment ref="A268" authorId="0" shapeId="0">
      <text>
        <r>
          <rPr>
            <b/>
            <sz val="8"/>
            <rFont val="Arial"/>
            <family val="2"/>
          </rPr>
          <t>Nominal (listed) hourly professional billing
rates, by Practice Area, Prof Staff Type, and time
period. You should enter billing rate data for the
first time period, and for any time period and
product for which the professional billing rate
changes.
(variable Prof_Fees_per_Hr_Nominal)</t>
        </r>
      </text>
    </comment>
    <comment ref="A276" authorId="0" shapeId="0">
      <text>
        <r>
          <rPr>
            <b/>
            <sz val="8"/>
            <rFont val="Arial"/>
            <family val="2"/>
          </rPr>
          <t>Average actual professional billing rates
including discounts below list billing rates,
segmented by job type, by time period
(variable Prof_Fees_per_Hr_Avg)</t>
        </r>
      </text>
    </comment>
    <comment ref="A290" authorId="0" shapeId="0">
      <text>
        <r>
          <rPr>
            <b/>
            <sz val="8"/>
            <rFont val="Arial"/>
            <family val="2"/>
          </rPr>
          <t>The percentage by which average professional
billing rates are reduced from list billing rates,
segmented by job type, by time period. Does not
include discounts for major Engagements.
(variable Prof_Fee_Discount_pct)</t>
        </r>
      </text>
    </comment>
  </commentList>
</comments>
</file>

<file path=xl/sharedStrings.xml><?xml version="1.0" encoding="utf-8"?>
<sst xmlns="http://schemas.openxmlformats.org/spreadsheetml/2006/main" count="7567" uniqueCount="5988">
  <si>
    <t>ifm(Time&lt;=0.001, Cash_Initial-first(Short_Debt), prev(Cash)-prev(Short_Debt)+Revenue-Cost_Services-Operating_Exp-Prof_Staff_Cost_Unapplied-Financial_Exp-Income_Tax+Chg_Accts_Pay+Tagged_Asset_Salvage_CF+Chg_Long_Debt+0-prev(0)-Chg_Accts_Rec-Chg_Inventory_Supplies-Dividend+Net_Stock_Issue-Long_Asset_Purch-Dev_Capd_per_Period)</t>
  </si>
  <si>
    <t>Practice_Dev_Sup_Staff_Count["Practice_Areas.Practice_2", "Depts.Sales", "Sup_Staff_Levels.Manager", DATE(2010,2,1)]|=F297</t>
  </si>
  <si>
    <t>Engage_Labor_Slope["Engagements.Engage_1", "Prof_Staff_Types.Prof_Level_2"]|=0</t>
  </si>
  <si>
    <t>Cost_Services_TandE_Hr["Practice_Areas.Practice_2", "Prof_Staff_Types.Prof_Level_2", "Channels.Channels_1", DATE(2011,4,1)]|=T159</t>
  </si>
  <si>
    <t>Income_Tax_Rate[DATE(2010,11,1)]|=O345</t>
  </si>
  <si>
    <t xml:space="preserve">Revenue from billed hours, segmented by Channel, Practice Area, Professional Staff Type, and time period. Includes small engagments from the sales funnel. This variable is for display only. It segments by Channels first, while variable 'Revenue' segments by Practice Area first. </t>
  </si>
  <si>
    <t>Prof_Staff_Count_Early["Practice_Areas.Practice_2", "Prof_Staff_Types.Prof_Level_2", DATE(2010,10,1)]|=N187</t>
  </si>
  <si>
    <t>(Tables)'!Engage_Hrs_Applied_ET_Engage_Time</t>
  </si>
  <si>
    <t>Manager</t>
  </si>
  <si>
    <t>Sales_Lead_Hrs_Expire_pct_Yr["Sales_Lead_Quality.Lead_Qual_1", "Practice_Areas.Practice_1", "Prof_Staff_Types.Prof_Level_1", "Channels.Channels_2", DATE(2011,6,1)]|=V106</t>
  </si>
  <si>
    <t>Mktg_Pgms_Exp_Early["Mktg_Pgms.Publications", "Practice_Areas.Practice_1", DATE(2010,11,1)]|=O278</t>
  </si>
  <si>
    <t>Orders_Filled_Hrs_pct["Practice_Areas.Practice_1", "Prof_Staff_Types.Prof_Level_1", "Channels.Channels_1", DATE(2011,6,1)]|=V122</t>
  </si>
  <si>
    <t>Prof_Staff_Benefits_pct["Prof_Staff_Types.Prof_Level_2", DATE(2010,8,1)]|=L221</t>
  </si>
  <si>
    <t>Sales_Lead_Hrs_New["Sales_Lead_Quality.Lead_Qual_2", "Practice_Areas.Practice_1", "Prof_Staff_Types.Prof_Level_2", "Channels.Channels_1", DATE(2010,6,1)]|=2*J78-I78</t>
  </si>
  <si>
    <t>Sales_Commis_Rate[DATE(2010,6,1)]|=J246</t>
  </si>
  <si>
    <t>Sales_Lead_Hrs_Conv_pct_Yr["Sales_Lead_Quality.Lead_Qual_1", "Practice_Areas.Practice_2", "Prof_Staff_Types.Prof_Level_2", "Channels.Channels_2", DATE(2010,5,1)]|=I95</t>
  </si>
  <si>
    <t>Sales_Lead_Hrs_New["Sales_Lead_Quality.Lead_Qual_2", "Practice_Areas.Practice_1", "Prof_Staff_Types.Prof_Level_2", "Channels.Channels_1", DATE(2010,5,1)]|=2*I78-H78</t>
  </si>
  <si>
    <t>Sales_Lead_Hrs_New["Sales_Lead_Quality.Lead_Qual_2", "Practice_Areas.Practice_2", "Prof_Staff_Types.Prof_Level_2", "Channels.Channels_1", DATE(2011,5,1)]|=2*U82-T82</t>
  </si>
  <si>
    <t>Practice_Dev_Sup_Staff_Count["Practice_Areas.Practice_2", "Depts.Sales", "Sup_Staff_Levels.Manager", DATE(2011,4,1)]|=T297</t>
  </si>
  <si>
    <t>Engagements</t>
  </si>
  <si>
    <t>(Ranges)'!Gross_Margin_Practice_Areas_Practice_2_Prof_Staff_Types_Prof_Level_2_Channels</t>
  </si>
  <si>
    <t>Cost_Services_TandE_Hr["Practice_Areas.Practice_1", "Prof_Staff_Types.Prof_Level_2", "Channels.Channels_1", DATE(2010,3,1)]|=G155</t>
  </si>
  <si>
    <t>var(0)</t>
  </si>
  <si>
    <t>Cash_Flow_Expect_Factor[DATE(2010,9,1)]|=M439</t>
  </si>
  <si>
    <t>Roll-up:</t>
  </si>
  <si>
    <t>Cost_Services_Supplies_Hr["Practice_Areas.Practice_2", "Prof_Staff_Types.Prof_Level_1", "Supply_Types.Supply_Type_2", "Channels.Channels_1", DATE(2011,2,1)]|=R171</t>
  </si>
  <si>
    <t>Practice_Dev_Sup_Staff_Count["Practice_Areas.Practice_1", "Depts.Marketing", "Sup_Staff_Levels.Manager", DATE(2010,1,1)]|=0</t>
  </si>
  <si>
    <t>Mktg_Pgms_Exp_Early["Mktg_Pgms.Publications", "Practice_Areas.Practice_1", DATE(2011,6,1)]|=V278</t>
  </si>
  <si>
    <t>Cost_Services_TandE_Hr["Practice_Areas.Practice_1", "Prof_Staff_Types.Prof_Level_2", "Channels.Channels_2", DATE(2011,1,1)]|=Q156</t>
  </si>
  <si>
    <t>Prof_Fee_Discount_pct["Practice_Areas.Practice_1", "Prof_Staff_Types.Prof_Level_2", DATE(2010,4,1)]|=H144</t>
  </si>
  <si>
    <t>Cash_Flow_Expect_Factor[DATE(2010,4,1)]|=H439</t>
  </si>
  <si>
    <t>round(periods_Per("year")/2, 0)</t>
  </si>
  <si>
    <t>(Compute)'!Engage_Rev_Nominal_Fees_Time_Period</t>
  </si>
  <si>
    <t>:A:0:Chg_Accts_Pay</t>
  </si>
  <si>
    <t>Orders_Filled_Hrs_pct["Practice_Areas.Practice_2", "Prof_Staff_Types.Prof_Level_2", "Channels.Channels_1", DATE(2010,2,1)]|=F128</t>
  </si>
  <si>
    <t>Practice_Dev_Sup_Staff_Count["Practice_Areas.Practice_1", "Depts.Marketing", "Sup_Staff_Levels.Contributor", DATE(2011,5,1)]|=U292</t>
  </si>
  <si>
    <t>Cost_Services_Supplies_Hr["Practice_Areas.Practice_1", "Prof_Staff_Types.Prof_Level_2", "Supply_Types.Supply_Type_2", "Channels.Channels_2", DATE(2010,1,1)]|=0</t>
  </si>
  <si>
    <t>Prof_Staff_Targ_Util_pct["Practice_Areas.Practice_2", "Prof_Staff_Types.Prof_Level_1", DATE(2010,7,1)]|=K191</t>
  </si>
  <si>
    <t>Per_Prof_Staff_Exp_Yr["Prof_Staff_Types.Prof_Level_2", "Empl_Rel_Exp_Type.Travel_Entertain", DATE(2010,10,1)]|=N323</t>
  </si>
  <si>
    <t>Prof_Staff_Targ_Util_pct["Practice_Areas.Practice_1", "Prof_Staff_Types.Prof_Level_1", DATE(2010,4,1)]|=H189</t>
  </si>
  <si>
    <t>Sales_Lead_Hrs_Conv_pct_Yr["Sales_Lead_Quality.Lead_Qual_1", "Practice_Areas.Practice_2", "Prof_Staff_Types.Prof_Level_2", "Channels.Channels_1", DATE(2011,2,1)]|=R94</t>
  </si>
  <si>
    <t>Prof_Staff_Targ_Util_pct["Practice_Areas.Practice_1", "Prof_Staff_Types.Prof_Level_2", DATE(2011,2,1)]|=R190</t>
  </si>
  <si>
    <t>@Jan 2010:</t>
  </si>
  <si>
    <t>Sup_Staff_Count_Early["Depts.Marketing", "Sup_Staff_Levels.Manager", DATE(2010,4,1)]|=H197</t>
  </si>
  <si>
    <t>Office_Maint_Rate_Yr[DATE(2010,9,1)]|=M307</t>
  </si>
  <si>
    <t>Sup_Staff_Count_Early["Depts.Sales", "Sup_Staff_Levels.Manager", DATE(2011,2,1)]|=R199</t>
  </si>
  <si>
    <t>(Ranges)'!Revenue_Practice_Areas_Practice_1_Prof_Staff_Types_Prof_Level_2</t>
  </si>
  <si>
    <t>Total</t>
  </si>
  <si>
    <t>Cash_Flow_Expect_Factor[DATE(2011,6,1)]|=V439</t>
  </si>
  <si>
    <t>Net Income</t>
  </si>
  <si>
    <t>Practice_Dev_Sup_Staff_Count["Practice_Areas.Practice_1", "Depts.Sales", "Sup_Staff_Levels.Contributor", DATE(2011,6,1)]|=V294</t>
  </si>
  <si>
    <t>Sales_Lead_Hrs_New["Sales_Lead_Quality.Lead_Qual_2", "Practice_Areas.Practice_2", "Prof_Staff_Types.Prof_Level_1", "Channels.Channels_2", DATE(2010,11,1)]|=2*O81-N81</t>
  </si>
  <si>
    <t>Initial guess for annualized internal rate of return during model time. (IRR is computed by an iterative method that requires an initial guess.)</t>
  </si>
  <si>
    <t>prev(Cash)</t>
  </si>
  <si>
    <t>Prof Staff Cost Unapplied</t>
  </si>
  <si>
    <t>Income_Tax_Rate[DATE(2010,12,1)]|=P345</t>
  </si>
  <si>
    <t>Equity Cash Flow</t>
  </si>
  <si>
    <t>Sales_Lead_Hrs_Expire_pct_Yr["Sales_Lead_Quality.Lead_Qual_1", "Practice_Areas.Practice_2", "Prof_Staff_Types.Prof_Level_2", "Channels.Channels_2", DATE(2011,2,1)]|=R112</t>
  </si>
  <si>
    <t>Interest_Rate_Long_Yr[DATE(2010,7,1)]|=K340</t>
  </si>
  <si>
    <t>Sales_Lead_Hrs_Conv_pct_Yr["Sales_Lead_Quality.Lead_Qual_2", "Practice_Areas.Practice_2", "Prof_Staff_Types.Prof_Level_1", "Channels.Channels_2", DATE(2011,3,1)]|=S101</t>
  </si>
  <si>
    <t>Sales_Lead_Hrs_New["Sales_Lead_Quality.Lead_Qual_2", "Practice_Areas.Practice_2", "Prof_Staff_Types.Prof_Level_1", "Channels.Channels_2", DATE(2010,7,1)]|=2*K81-J81</t>
  </si>
  <si>
    <t>Engage!Engage_Cost_Supplies_Engagements_Engage_2_Prof_Staff_Types_Prof_Level_1</t>
  </si>
  <si>
    <t>Sales_Lead_Hrs_Expire_pct_Yr["Sales_Lead_Quality.Lead_Qual_2", "Practice_Areas.Practice_1", "Prof_Staff_Types.Prof_Level_2", "Channels.Channels_1", DATE(2010,10,1)]|=N115</t>
  </si>
  <si>
    <t>The value of past capitalized development expenditure that reaches end of life in the current time period</t>
  </si>
  <si>
    <t>:A:0:Quick_Ratio</t>
  </si>
  <si>
    <t>:A:-1:Retained_Earnings</t>
  </si>
  <si>
    <t>:A:0:Office_Space_per_Person</t>
  </si>
  <si>
    <t>Sup_Staff_Bonus_pct["Depts.Marketing", "Sup_Staff_Levels.Manager", DATE(2011,2,1)]|=R233</t>
  </si>
  <si>
    <t>Cost_Services_TandE_Hr["Practice_Areas.Practice_1", "Prof_Staff_Types.Prof_Level_1", "Channels.Channels_2", DATE(2010,5,1)]|=I154</t>
  </si>
  <si>
    <t>:A:-1:Prof_Staff_Hrs_Billed_Growth</t>
  </si>
  <si>
    <t>Sales_Lead_Hrs_New["Sales_Lead_Quality.Lead_Qual_1", "Practice_Areas.Practice_1", "Prof_Staff_Types.Prof_Level_2", "Channels.Channels_1", DATE(2011,3,1)]|=2*S70-R70</t>
  </si>
  <si>
    <t>Interest_Rate_Long_Yr</t>
  </si>
  <si>
    <t>The ratio (operating expense for the Admin department) / revenue, by time period</t>
  </si>
  <si>
    <t>The book value of each tagged asset, by time period</t>
  </si>
  <si>
    <t>Practice_Dev_Sup_Staff_Count["Practice_Areas.Practice_1", "Depts.Sales", "Sup_Staff_Levels.Manager", DATE(2011,1,1)]|=Q293</t>
  </si>
  <si>
    <t>Engage_Hrs_pct_Billed_ET["Engagements.Engage_2", "Prof_Staff_Types.Prof_Level_1", "Engage_Time.Period_3"]|=1</t>
  </si>
  <si>
    <t>Tagged_Asset_Deprec_Method</t>
  </si>
  <si>
    <t>var(index(ranget(Engage_Billings), min(Engage_Start_Time+Engage_Time-1, last(Time_Periods))))</t>
  </si>
  <si>
    <t>Sales_Lead_Hrs_New["Sales_Lead_Quality.Lead_Qual_2", "Practice_Areas.Practice_1", "Prof_Staff_Types.Prof_Level_1", "Channels.Channels_1", DATE(2010,5,1)]|=2*I76-H76</t>
  </si>
  <si>
    <t>Global</t>
  </si>
  <si>
    <t>Office_Space_per_Person[DATE(2011,6,1)]|=V304</t>
  </si>
  <si>
    <t>firstd("Channels", Channels_Dim)</t>
  </si>
  <si>
    <t>Sales_Lead_Hrs_New["Sales_Lead_Quality.Lead_Qual_1", "Practice_Areas.Practice_1", "Prof_Staff_Types.Prof_Level_2", "Channels.Channels_1", DATE(2010,4,1)]|=2*H70-G70</t>
  </si>
  <si>
    <t>Sup_Staff_Count_Early["Depts.Marketing", "Sup_Staff_Levels.Contributor", DATE(2011,5,1)]|=U198</t>
  </si>
  <si>
    <t>(Ranges)'!Operating_Exp_Depts_Marketing_OpExpType_Employee_Rel_Exp</t>
  </si>
  <si>
    <t>if(Revenue=0, 0, Operating_Margin/Revenue)</t>
  </si>
  <si>
    <t>Cost_Services_TandE_Hr["Practice_Areas.Practice_2", "Prof_Staff_Types.Prof_Level_2", "Channels.Channels_2", DATE(2011,4,1)]|=T160</t>
  </si>
  <si>
    <t>Per_Sup_Staff_Exp_Yr["Depts.Marketing", "Empl_Rel_Exp_Type.Travel_Entertain", DATE(2010,6,1)]|=J327</t>
  </si>
  <si>
    <t>Number of early time periods in which explicit inputs for early marketing program spending (variable Mktg_Pgms_Exp_Early) are used in the model, before the revenue-based formula takes over. Default cutover is one year.</t>
  </si>
  <si>
    <t>:A:0:Sup_Staff_Wage_incr_pct</t>
  </si>
  <si>
    <t xml:space="preserve">Support Staff/Rev Million </t>
  </si>
  <si>
    <t>Mktg_Pgms_Exp_Early["Mktg_Pgms.Publications", "Practice_Areas.Practice_1", DATE(2010,10,1)]|=N278</t>
  </si>
  <si>
    <t>Cash_Targ_Days[DATE(2010,7,1)]|=K360</t>
  </si>
  <si>
    <t>Bad Debt %</t>
  </si>
  <si>
    <t>Prof_Staff_Bonus_pct["Practice_Areas.Practice_2", "Prof_Staff_Types.Prof_Level_1", DATE(2011,5,1)]|=U217</t>
  </si>
  <si>
    <t>Sales_Lead_Hrs_Expire_pct_Yr["Sales_Lead_Quality.Lead_Qual_2", "Practice_Areas.Practice_1", "Prof_Staff_Types.Prof_Level_2", "Channels.Channels_2", DATE(2010,8,1)]|=L116</t>
  </si>
  <si>
    <t>Sales_Lead_Hrs_New["Sales_Lead_Quality.Lead_Qual_1", "Practice_Areas.Practice_2", "Prof_Staff_Types.Prof_Level_2", "Channels.Channels_2", DATE(2010,12,1)]|=2*P75-O75</t>
  </si>
  <si>
    <t>Per_Sup_Staff_Exp_Yr["Depts.Marketing", "Empl_Rel_Exp_Type.Travel_Entertain", DATE(2010,9,1)]|=M327</t>
  </si>
  <si>
    <t>Sales_Lead_Hrs_New["Sales_Lead_Quality.Lead_Qual_1", "Practice_Areas.Practice_2", "Prof_Staff_Types.Prof_Level_1", "Channels.Channels_1", DATE(2010,5,1)]|=2*I72-H72</t>
  </si>
  <si>
    <t>:A:0:Prof_Staff_Hrs_Billed_RoundQ</t>
  </si>
  <si>
    <t>:A:-1:Operating_Exp</t>
  </si>
  <si>
    <t>(Tables)'!Prof_Staff_Billings_Practice_Areas_Practice_1_Prof_Staff_Types_Prof_Level_2_Channels_Channels_1</t>
  </si>
  <si>
    <t>:A:0:Cost_Services_TandE_Channel</t>
  </si>
  <si>
    <t>Per_Sup_Staff_Exp_Yr["Depts.Sales", "Empl_Rel_Exp_Type.Travel_Entertain", DATE(2011,6,1)]|=V330</t>
  </si>
  <si>
    <t>Accts_Pay_Targ_Days["Accts_Pay_Type.Vendor_Pay", DATE(2010,10,1)]|=O410</t>
  </si>
  <si>
    <t>Practice_Dev_Sup_Staff_Count["Practice_Areas.Practice_2", "Depts.Sales", "Sup_Staff_Levels.Contributor", DATE(2011,2,1)]|=R298</t>
  </si>
  <si>
    <t>Cost_Services_Staff</t>
  </si>
  <si>
    <t>Per_Sup_Staff_Exp_Yr["Depts.Sales", "Empl_Rel_Exp_Type.Other", DATE(2011,3,1)]|=S331</t>
  </si>
  <si>
    <t>Sup_Staff_Bonus_pct["Depts.Marketing", "Sup_Staff_Levels.Manager", DATE(2010,12,1)]|=P233</t>
  </si>
  <si>
    <t>Bad_Debt_pct[DATE(2010,4,1)]|=H342</t>
  </si>
  <si>
    <t>Recruit_pct_Pos_Prof_Init["Practice_Areas.Practice_2", "Prof_Staff_Types.Prof_Level_2"]|=0.15</t>
  </si>
  <si>
    <t>Office_Maint_Rate_Yr</t>
  </si>
  <si>
    <t>Inputs!Engage_Hrs_pct_Billed_ET_Engage_Time_Period_2_Engagements_Engage_1_Prof_Staff_Types_Prof_Level_2</t>
  </si>
  <si>
    <t>Income_Tax_Rate[DATE(2011,6,1)]|=V345</t>
  </si>
  <si>
    <t>(Compute)'!Operating_Margin_Date</t>
  </si>
  <si>
    <t>Orders_Filled_Hrs_pct["Practice_Areas.Practice_1", "Prof_Staff_Types.Prof_Level_1", "Channels.Channels_1", DATE(2010,9,1)]|=M122</t>
  </si>
  <si>
    <t>Sup_Staff_Count_Early["Depts.Sales", "Sup_Staff_Levels.Contributor", DATE(2010,7,1)]|=K200</t>
  </si>
  <si>
    <t>Engage_Discount_pct["Engagements.Engage_2", DATE(2010,3,1)]|=G149</t>
  </si>
  <si>
    <t>Orders_Filled_Hrs_pct["Practice_Areas.Practice_1", "Prof_Staff_Types.Prof_Level_1", "Channels.Channels_2", DATE(2011,3,1)]|=S123</t>
  </si>
  <si>
    <t>Sup_Staff_Bonus_pct["Depts.Marketing", "Sup_Staff_Levels.Manager", DATE(2010,11,1)]|=O233</t>
  </si>
  <si>
    <t>(Tables)'!Prof_Staff_Hrs_Engage_Practice_Areas_Practice_2_Prof_Staff_Types_Prof_Level_1_Channels_Channels_1</t>
  </si>
  <si>
    <t>Engage_Duration</t>
  </si>
  <si>
    <t>Untagged_Asset_Purch_Params["Untagged_Asset_Purch_Params.Per_New_Sup_Staff", "Untagged_Asset_Type.Furniture"]|=0/2/5</t>
  </si>
  <si>
    <t>Accts_Pay_Targ_Days["Accts_Pay_Type.Tax_Pay", DATE(2011,5,1)]|=V412</t>
  </si>
  <si>
    <t>(Compute)'!Sup_Staff_Count_Date</t>
  </si>
  <si>
    <t>Professional Staff Headcount, segmented by Practice Area, by Professional Staff Type, and by time period. Later in the computations, the Professoinal Staff Headcount is rounded to half-integers.
If you choose to have the model compute staff requirements, then Professional staff target hours per head and Professional staff target utilization % are used for this purpose. 
See comment for Professional Staff Count for more information.</t>
  </si>
  <si>
    <t>Sales_Lead_Hrs_New["Sales_Lead_Quality.Lead_Qual_1", "Practice_Areas.Practice_2", "Prof_Staff_Types.Prof_Level_1", "Channels.Channels_2", DATE(2010,5,1)]|=2*I73-H73</t>
  </si>
  <si>
    <t>Orders_Filled_Hrs_pct["Practice_Areas.Practice_1", "Prof_Staff_Types.Prof_Level_2", "Channels.Channels_1", DATE(2010,6,1)]|=J124</t>
  </si>
  <si>
    <t>Sales_Lead_Hrs_Expire_pct_Yr["Sales_Lead_Quality.Lead_Qual_1", "Practice_Areas.Practice_2", "Prof_Staff_Types.Prof_Level_2", "Channels.Channels_1", DATE(2010,3,1)]|=G111</t>
  </si>
  <si>
    <t>Long_Loans[DATE(2010,10,1)]|=O421</t>
  </si>
  <si>
    <t>(Ranges)'!Operating_Exp_Depts_Marketing_OpExpType_Indir_Labor_Exp</t>
  </si>
  <si>
    <t>Bad_Debt_pct[DATE(2010,9,1)]|=M342</t>
  </si>
  <si>
    <t>Sales_Lead_Hrs_Expire_pct_Yr["Sales_Lead_Quality.Lead_Qual_2", "Practice_Areas.Practice_1", "Prof_Staff_Types.Prof_Level_1", "Channels.Channels_2", DATE(2010,9,1)]|=M114</t>
  </si>
  <si>
    <t>Sales_Lead_Hrs_Expire_pct_Yr["Sales_Lead_Quality.Lead_Qual_2", "Practice_Areas.Practice_1", "Prof_Staff_Types.Prof_Level_2", "Channels.Channels_2", DATE(2010,2,1)]|=F116</t>
  </si>
  <si>
    <t>Sales_Lead_Hrs_Conv_pct_Yr["Sales_Lead_Quality.Lead_Qual_2", "Practice_Areas.Practice_1", "Prof_Staff_Types.Prof_Level_2", "Channels.Channels_1", DATE(2010,7,1)]|=K98</t>
  </si>
  <si>
    <t>Current Ratio</t>
  </si>
  <si>
    <t>(Ranges)'!Practice_Dev_Prof_Staff_Hrs_Practice_Areas_Practice_2_Prof_Staff_Types</t>
  </si>
  <si>
    <t>ifm(isleafd("Prof_Staff_Types"), sum(rangedru("Empl_Rel_Exp_Type")), if(Prof_Staff_Count=0, average(rangedru("Prof_Staff_Types")), Prof_Staff_Rel_Exp*periods_per("year")/Prof_Staff_Count))</t>
  </si>
  <si>
    <t>Per_Sup_Staff_Exp_Yr["Depts.Sales", "Empl_Rel_Exp_Type.Supplies", DATE(2010,9,1)]|=M329</t>
  </si>
  <si>
    <t>Sales_Lead_Hrs_New["Sales_Lead_Quality.Lead_Qual_2", "Practice_Areas.Practice_2", "Prof_Staff_Types.Prof_Level_2", "Channels.Channels_2", DATE(2010,10,1)]|=2*N83-M83</t>
  </si>
  <si>
    <t>Discount Rate</t>
  </si>
  <si>
    <t>Accts_Pay_Targ_Days["Accts_Pay_Type.Payroll_Pay", DATE(2010,12,1)]|=Q411</t>
  </si>
  <si>
    <t>Prof_Staff_Bonus_pct["Practice_Areas.Practice_1", "Prof_Staff_Types.Prof_Level_2", DATE(2010,11,1)]|=O216</t>
  </si>
  <si>
    <t>Per_Sup_Staff_Exp_Yr["Depts.Marketing", "Empl_Rel_Exp_Type.Other", DATE(2010,6,1)]|=J328</t>
  </si>
  <si>
    <t>(Ranges)'!Sup_Staff_Count_Depts_Sales_Sup_Staff_Levels</t>
  </si>
  <si>
    <t>Short Term Debt</t>
  </si>
  <si>
    <t>Sales_Lead_Hrs_Expire_pct_Yr["Sales_Lead_Quality.Lead_Qual_1", "Practice_Areas.Practice_1", "Prof_Staff_Types.Prof_Level_2", "Channels.Channels_1", DATE(2010,9,1)]|=M107</t>
  </si>
  <si>
    <t>Dev_Capd_Init["Practice_Areas.Practice_1"]|=0/2</t>
  </si>
  <si>
    <t>:A:-1:Prof_Staff_Count_Early</t>
  </si>
  <si>
    <t>Sales channels or segments that segment revenue, sales leads, hours applied to engagements.</t>
  </si>
  <si>
    <t>Cost_Services_Supplies_Hr["Practice_Areas.Practice_2", "Prof_Staff_Types.Prof_Level_2", "Supply_Types.Supply_Type_1", "Channels.Channels_2", DATE(2010,5,1)]|=I174</t>
  </si>
  <si>
    <t>Discount_Rate_Direct_Yr[DATE(2010,6,1)]|=J348</t>
  </si>
  <si>
    <t>Sales_Lead_Hrs_Expire_pct_Yr["Sales_Lead_Quality.Lead_Qual_2", "Practice_Areas.Practice_1", "Prof_Staff_Types.Prof_Level_2", "Channels.Channels_1", DATE(2011,6,1)]|=V115</t>
  </si>
  <si>
    <t>Sales_Lead_Hrs_Conv_pct_Yr["Sales_Lead_Quality.Lead_Qual_1", "Practice_Areas.Practice_1", "Prof_Staff_Types.Prof_Level_1", "Channels.Channels_2", DATE(2010,7,1)]|=K89</t>
  </si>
  <si>
    <t>Sales_Lead_Hrs_Expire_pct_Yr["Sales_Lead_Quality.Lead_Qual_1", "Practice_Areas.Practice_2", "Prof_Staff_Types.Prof_Level_2", "Channels.Channels_1", DATE(2011,5,1)]|=U111</t>
  </si>
  <si>
    <t>(Ranges)'!Gross_Margin_Channel_Channels_Channels_1_Practice_Areas_Practice_2</t>
  </si>
  <si>
    <t xml:space="preserve">  Per_New_Prof_Staff</t>
  </si>
  <si>
    <t>Prof_Staff_Count_Early["Practice_Areas.Practice_1", "Prof_Staff_Types.Prof_Level_2", DATE(2011,5,1)]|=U185</t>
  </si>
  <si>
    <t>:A:0:Net_Stock_Issue</t>
  </si>
  <si>
    <t>Sales_Lead_Hrs_New["Sales_Lead_Quality.Lead_Qual_2", "Practice_Areas.Practice_1", "Prof_Staff_Types.Prof_Level_1", "Channels.Channels_2", DATE(2011,6,1)]|=2*V77-U77</t>
  </si>
  <si>
    <t>:D:0:Liabilities</t>
  </si>
  <si>
    <t>Dividend[DATE(2010,3,1)]|=0</t>
  </si>
  <si>
    <t xml:space="preserve">  Other</t>
  </si>
  <si>
    <t>:A:-1:Prof_Staff_Hrs_Billed_RoundQ</t>
  </si>
  <si>
    <t>:A:-1:Channels_Dim</t>
  </si>
  <si>
    <t>Sup_Staff_Wage_incr_pct["Sup_Staff_Levels.Contributor", DATE(2010,9,1)]|=M231</t>
  </si>
  <si>
    <t>Prof_Fees_per_Hr_Nominal["Practice_Areas.Practice_2", "Prof_Staff_Types.Prof_Level_1", DATE(2011,6,1)]|=V140</t>
  </si>
  <si>
    <t>Mktg_Pgms_Exp_Early["Mktg_Pgms.Publications", "Practice_Areas.Practice_1", DATE(2010,1,1)]|=0</t>
  </si>
  <si>
    <t>Percent of theoretical professional staff hours used in client engagements and practice development, segmented by Practice Area, Professional Staff Type, and time period</t>
  </si>
  <si>
    <t>Cost_Services_Supplies_Hr["Practice_Areas.Practice_1", "Prof_Staff_Types.Prof_Level_2", "Supply_Types.Supply_Type_1", "Channels.Channels_1", DATE(2010,7,1)]|=K165</t>
  </si>
  <si>
    <t>Prof_Staff_Targ_Util_pct["Practice_Areas.Practice_2", "Prof_Staff_Types.Prof_Level_2", DATE(2011,6,1)]|=V192</t>
  </si>
  <si>
    <t>Cost_Services_Supplies_Hr["Practice_Areas.Practice_2", "Prof_Staff_Types.Prof_Level_1", "Supply_Types.Supply_Type_2", "Channels.Channels_2", DATE(2010,12,1)]|=P172</t>
  </si>
  <si>
    <t>Sales_Commission</t>
  </si>
  <si>
    <t>(Compute)'!Prof_Staff_Count_plt_Date</t>
  </si>
  <si>
    <t>Engage!Engage_Cost_TandE_Engagements_Engage_1_Prof_Staff_Types</t>
  </si>
  <si>
    <t>Prof_Fee_Discount_pct["Practice_Areas.Practice_2", "Prof_Staff_Types.Prof_Level_2", DATE(2010,10,1)]|=N146</t>
  </si>
  <si>
    <t>Sup_Staff_Wage_incr_pct["Sup_Staff_Levels.Contributor", DATE(2010,6,1)]|=J231</t>
  </si>
  <si>
    <t>Travel &amp; Entertainment</t>
  </si>
  <si>
    <t>Prof_Fee_Discount_pct["Practice_Areas.Practice_2", "Prof_Staff_Types.Prof_Level_1", DATE(2010,2,1)]|=F145</t>
  </si>
  <si>
    <t>Tagged_Asset_Life_Phys_Yr["Asset_Tags.Building_B"]|=J374</t>
  </si>
  <si>
    <t>Sales_Lead_Hrs_New["Sales_Lead_Quality.Lead_Qual_2", "Practice_Areas.Practice_1", "Prof_Staff_Types.Prof_Level_1", "Channels.Channels_1", DATE(2011,4,1)]|=2*T76-S76</t>
  </si>
  <si>
    <t>Cost_Services_TandE_Hr["Practice_Areas.Practice_2", "Prof_Staff_Types.Prof_Level_1", "Channels.Channels_1", DATE(2010,5,1)]|=I157</t>
  </si>
  <si>
    <t>:A:0:Purchases_Supplies</t>
  </si>
  <si>
    <t>Engage_Discount_pct["Engagements.Engage_1", DATE(2011,3,1)]|=S148</t>
  </si>
  <si>
    <t>Sales_Lead_Hrs_Conv_pct_Yr["Sales_Lead_Quality.Lead_Qual_2", "Practice_Areas.Practice_1", "Prof_Staff_Types.Prof_Level_2", "Channels.Channels_2", DATE(2011,5,1)]|=U99</t>
  </si>
  <si>
    <t>Per Old Sup Staff</t>
  </si>
  <si>
    <t xml:space="preserve">  K0</t>
  </si>
  <si>
    <t>Mktg Exp Ratio</t>
  </si>
  <si>
    <t>Cost_Services_Supplies_Hr["Practice_Areas.Practice_2", "Prof_Staff_Types.Prof_Level_1", "Supply_Types.Supply_Type_1", "Channels.Channels_2", DATE(2010,3,1)]|=G170</t>
  </si>
  <si>
    <t>Engage_Cost_Supplies</t>
  </si>
  <si>
    <t>Engage!Orders_Filled_Practice_Areas_Practice_2_Prof_Staff_Types_Prof_Level_2_Channels_Channels_2</t>
  </si>
  <si>
    <t>Cost_Services_Supplies_Hr["Practice_Areas.Practice_2", "Prof_Staff_Types.Prof_Level_2", "Supply_Types.Supply_Type_1", "Channels.Channels_2", DATE(2010,6,1)]|=J174</t>
  </si>
  <si>
    <t>(Ranges)'!Prof_Staff_Cost_Applied_Practice_Areas_Practice_1</t>
  </si>
  <si>
    <t>Prof_Staff_Bonus_pct["Practice_Areas.Practice_1", "Prof_Staff_Types.Prof_Level_1", DATE(2011,3,1)]|=S215</t>
  </si>
  <si>
    <t>Practice_Dev_Prof_Staff_Count["Practice_Areas.Practice_1", "Prof_Staff_Types.Prof_Level_2", DATE(2010,11,1)]|=O287</t>
  </si>
  <si>
    <t>Sales_Lead_Hrs_Expire_pct_Yr["Sales_Lead_Quality.Lead_Qual_1", "Practice_Areas.Practice_2", "Prof_Staff_Types.Prof_Level_1", "Channels.Channels_2", DATE(2010,2,1)]|=F110</t>
  </si>
  <si>
    <t>Cost_Services_Supplies_Hr["Practice_Areas.Practice_2", "Prof_Staff_Types.Prof_Level_1", "Supply_Types.Supply_Type_2", "Channels.Channels_2", DATE(2010,11,1)]|=O172</t>
  </si>
  <si>
    <t>:A:-1:Short_Debt</t>
  </si>
  <si>
    <t>Sales_Commis_Rate[DATE(2010,8,1)]|=L246</t>
  </si>
  <si>
    <t>:D:1:Liabilities</t>
  </si>
  <si>
    <t>Sup_Staff_Count_Early["Depts.Marketing", "Sup_Staff_Levels.Manager", DATE(2010,11,1)]|=O197</t>
  </si>
  <si>
    <t>if(Sup_Staff_Count=0, 0, Sup_Staff_Expense*Practice_Dev_Sup_Staff_Count/Sup_Staff_Count)</t>
  </si>
  <si>
    <t>Hours Billed</t>
  </si>
  <si>
    <t>:A:0:Revenue_Growth</t>
  </si>
  <si>
    <t>Prof_Staff_Bonus_pct["Practice_Areas.Practice_2", "Prof_Staff_Types.Prof_Level_1", DATE(2011,4,1)]|=T217</t>
  </si>
  <si>
    <t>(Ranges)'!Gross_Margin_Channel_Channels_Channels_1_Practice_Areas_Practice_2_Prof_Staff_Types</t>
  </si>
  <si>
    <t>Sales_Lead_Hrs_Expire_pct_Yr["Sales_Lead_Quality.Lead_Qual_1", "Practice_Areas.Practice_1", "Prof_Staff_Types.Prof_Level_2", "Channels.Channels_1", DATE(2010,11,1)]|=O107</t>
  </si>
  <si>
    <t>Per_Prof_Staff_Exp_Yr["Prof_Staff_Types.Prof_Level_1", "Empl_Rel_Exp_Type.Supplies", DATE(2010,10,1)]|=N319</t>
  </si>
  <si>
    <t>Travel &amp; Entertainment / Hr</t>
  </si>
  <si>
    <t>Sales_Commis_Rate[DATE(2010,7,1)]|=K246</t>
  </si>
  <si>
    <t>Sales_Lead_Hrs_Expire_pct_Yr["Sales_Lead_Quality.Lead_Qual_1", "Practice_Areas.Practice_1", "Prof_Staff_Types.Prof_Level_2", "Channels.Channels_1", DATE(2011,3,1)]|=S107</t>
  </si>
  <si>
    <t>Prof_Staff_Count_Early["Practice_Areas.Practice_1", "Prof_Staff_Types.Prof_Level_1", DATE(2010,8,1)]|=L184</t>
  </si>
  <si>
    <t>Per_Sup_Staff_Exp_Yr["Depts.Sales", "Empl_Rel_Exp_Type.Other", DATE(2011,1,1)]|=Q331</t>
  </si>
  <si>
    <t>:A:-1:Recruit_pct_Positions_Sup</t>
  </si>
  <si>
    <t>Office_Space_per_Person[DATE(2011,2,1)]|=R304</t>
  </si>
  <si>
    <t>Cost_Services_Supplies_Hr["Practice_Areas.Practice_1", "Prof_Staff_Types.Prof_Level_1", "Supply_Types.Supply_Type_2", "Channels.Channels_1", DATE(2010,10,1)]|=N163</t>
  </si>
  <si>
    <t>Engage_Discount_pct["Engagements.Engage_1", DATE(2010,4,1)]|=H148</t>
  </si>
  <si>
    <t>Sup_Staff_Bonus</t>
  </si>
  <si>
    <t>Amount of purchases, split out by goods and services, payroll, and income taxes, per period. Used to compute accounts payable.</t>
  </si>
  <si>
    <t>:A:-1:Engage_Gross_Margin_pct</t>
  </si>
  <si>
    <t>Cost_Services_Supplies_Hr["Practice_Areas.Practice_2", "Prof_Staff_Types.Prof_Level_2", "Supply_Types.Supply_Type_2", "Channels.Channels_2", DATE(2010,8,1)]|=L176</t>
  </si>
  <si>
    <t>Sup_Staff_Benefits_pct[DATE(2010,1,1)]|=0.15</t>
  </si>
  <si>
    <t>:A:0:Sup_Staff_Recruited</t>
  </si>
  <si>
    <t>Sup_Staff_Wage_incr_pct["Sup_Staff_Levels.Manager", DATE(2010,11,1)]|=O230</t>
  </si>
  <si>
    <t>Sales_Lead_Hrs_Expire_pct_Yr["Sales_Lead_Quality.Lead_Qual_1", "Practice_Areas.Practice_1", "Prof_Staff_Types.Prof_Level_1", "Channels.Channels_2", DATE(2010,9,1)]|=M106</t>
  </si>
  <si>
    <t>Sup_Staff_Bonus_pct["Depts.Sales", "Sup_Staff_Levels.Manager", DATE(2011,3,1)]|=S235</t>
  </si>
  <si>
    <t>Prof_Staff_Benefits_pct["Prof_Staff_Types.Prof_Level_2", DATE(2010,5,1)]|=I221</t>
  </si>
  <si>
    <t>(Tables)'!Prof_Staff_Hrs_Engage_Practice_Areas_Practice_1_Prof_Staff_Types_Prof_Level_1_Channels_Channels_2</t>
  </si>
  <si>
    <t>Sales_Lead_Hrs_Conv_pct_Yr["Sales_Lead_Quality.Lead_Qual_1", "Practice_Areas.Practice_1", "Prof_Staff_Types.Prof_Level_2", "Channels.Channels_1", DATE(2010,10,1)]|=N90</t>
  </si>
  <si>
    <t>Long_Asset_Purch</t>
  </si>
  <si>
    <t>Office_Rent_Rate_Yr[DATE(2010,12,1)]|=P305</t>
  </si>
  <si>
    <t>Sup_Staff_Wage_incr_pct["Sup_Staff_Levels.Contributor", DATE(2010,1,1)]|=0.03</t>
  </si>
  <si>
    <t>Cost_Services_Supplies_Hr["Practice_Areas.Practice_1", "Prof_Staff_Types.Prof_Level_1", "Supply_Types.Supply_Type_2", "Channels.Channels_1", DATE(2010,4,1)]|=H163</t>
  </si>
  <si>
    <t>Office_Rent_Rate_Yr[DATE(2010,2,1)]|=F305</t>
  </si>
  <si>
    <t>Untagged Asset 1</t>
  </si>
  <si>
    <t>Sup_Staff_Bonus_pct</t>
  </si>
  <si>
    <t>Sales_Lead_Hrs_Expire_pct_Yr["Sales_Lead_Quality.Lead_Qual_1", "Practice_Areas.Practice_2", "Prof_Staff_Types.Prof_Level_2", "Channels.Channels_1", DATE(2010,10,1)]|=N111</t>
  </si>
  <si>
    <t>Sales_Lead_Hrs_Expire_pct_Yr["Sales_Lead_Quality.Lead_Qual_2", "Practice_Areas.Practice_2", "Prof_Staff_Types.Prof_Level_1", "Channels.Channels_2", DATE(2010,5,1)]|=I118</t>
  </si>
  <si>
    <t>IRR Guess w Tail (Yr)</t>
  </si>
  <si>
    <t>Revenue_CAGR</t>
  </si>
  <si>
    <t>Prof_Fees_per_Hr_Nominal["Practice_Areas.Practice_1", "Prof_Staff_Types.Prof_Level_2", DATE(2011,5,1)]|=U139</t>
  </si>
  <si>
    <t>0-prev(0)</t>
  </si>
  <si>
    <t>Sup_Staff_Count</t>
  </si>
  <si>
    <t>Prof_Staff_Targ_Util_pct["Practice_Areas.Practice_2", "Prof_Staff_Types.Prof_Level_2", DATE(2010,2,1)]|=F192</t>
  </si>
  <si>
    <t>Cost_Services_Supplies_Hr["Practice_Areas.Practice_1", "Prof_Staff_Types.Prof_Level_1", "Supply_Types.Supply_Type_2", "Channels.Channels_2", DATE(2011,3,1)]|=S164</t>
  </si>
  <si>
    <t>:D:2:Liabilities.Short</t>
  </si>
  <si>
    <t>Sales_Lead_Hrs_New["Sales_Lead_Quality.Lead_Qual_1", "Practice_Areas.Practice_2", "Prof_Staff_Types.Prof_Level_2", "Channels.Channels_2", DATE(2011,3,1)]|=2*S75-R75</t>
  </si>
  <si>
    <t>Sales_Lead_Hrs_New["Sales_Lead_Quality.Lead_Qual_2", "Practice_Areas.Practice_1", "Prof_Staff_Types.Prof_Level_1", "Channels.Channels_1", DATE(2010,6,1)]|=2*J76-I76</t>
  </si>
  <si>
    <t>Engage!Engage_Billings_Engagements_Engage_1_Prof_Staff_Types</t>
  </si>
  <si>
    <t>Sales_Lead_Hrs_Conv_pct_Yr["Sales_Lead_Quality.Lead_Qual_1", "Practice_Areas.Practice_1", "Prof_Staff_Types.Prof_Level_1", "Channels.Channels_2", DATE(2010,4,1)]|=H89</t>
  </si>
  <si>
    <t>Prof_Staff_Targ_Util_pct["Practice_Areas.Practice_1", "Prof_Staff_Types.Prof_Level_1", DATE(2010,3,1)]|=G189</t>
  </si>
  <si>
    <t>if(Revenue=0, 0, Gen_Admin_Exp/Revenue)</t>
  </si>
  <si>
    <t>Mktg_Pgms_K["Mktg_Pgms.Seminars", "Practice_Areas.Practice_2", "Konst.K0"]|=0</t>
  </si>
  <si>
    <t>Accts_Payable</t>
  </si>
  <si>
    <t>Interest_Rate_Long_Yr[DATE(2010,10,1)]|=N340</t>
  </si>
  <si>
    <t>:A:0:Prof_Staff_Count_Early</t>
  </si>
  <si>
    <t>Practice_Dev_Sup_Staff_Count["Practice_Areas.Practice_2", "Depts.Marketing", "Sup_Staff_Levels.Contributor", DATE(2011,5,1)]|=U296</t>
  </si>
  <si>
    <t>Tagged_Asset_Life_Depr_Yr["Asset_Tags.Building_B"]|=10</t>
  </si>
  <si>
    <t>Prof_Staff_Count_Early["Practice_Areas.Practice_1", "Prof_Staff_Types.Prof_Level_1", DATE(2011,5,1)]|=U184</t>
  </si>
  <si>
    <t>Cost_Services_Supplies_Hr["Practice_Areas.Practice_2", "Prof_Staff_Types.Prof_Level_1", "Supply_Types.Supply_Type_1", "Channels.Channels_2", DATE(2010,5,1)]|=I170</t>
  </si>
  <si>
    <t>Office_Space_per_Person[DATE(2010,3,1)]|=G304</t>
  </si>
  <si>
    <t>Sup_Staff_Wage_incr_pct["Sup_Staff_Levels.Manager", DATE(2010,9,1)]|=M230</t>
  </si>
  <si>
    <t>Empl_Rel_Exp_Type</t>
  </si>
  <si>
    <t>(Tables)'!Prof_Staff_Billings_Practice_Areas_Practice_2_Prof_Staff_Types_Prof_Level_1</t>
  </si>
  <si>
    <t>Prof_Fee_Discount_pct["Practice_Areas.Practice_2", "Prof_Staff_Types.Prof_Level_1", DATE(2011,3,1)]|=S145</t>
  </si>
  <si>
    <t>The book value of each type of untagged asset, by time period</t>
  </si>
  <si>
    <t>Sales_Lead_Hrs_Expire_pct_Yr["Sales_Lead_Quality.Lead_Qual_2", "Practice_Areas.Practice_2", "Prof_Staff_Types.Prof_Level_1", "Channels.Channels_1", DATE(2010,12,1)]|=P117</t>
  </si>
  <si>
    <t>Cost of professional staff time not applied to client Engagements (including small engagements from the sales funnel) or practice development. Segmented by Practice Area, Professional Staff Type, and time period.</t>
  </si>
  <si>
    <t>(Tables)'!Prof_Staff_Hrs_Engage_Practice_Areas_Practice_2_Prof_Staff_Types_Prof_Level_2_Channels_Channels_1</t>
  </si>
  <si>
    <t>Cost_Services_Supplies_Hr["Practice_Areas.Practice_1", "Prof_Staff_Types.Prof_Level_2", "Supply_Types.Supply_Type_2", "Channels.Channels_1", DATE(2010,2,1)]|=F167</t>
  </si>
  <si>
    <t>Net_Income+Chg_Accts_Pay+Chg_Short_Debt+Depreciation+Tagged_Asset_Salvage_CF+Chg_Long_Debt+Chg_Bond_Principal+Net_Stock_Issue</t>
  </si>
  <si>
    <t xml:space="preserve">  Engage_1</t>
  </si>
  <si>
    <t>Short_Debt[DATE(2010,4,1)]|=max(0, '(Compute)'!F31-'(Tables)'!F1367)</t>
  </si>
  <si>
    <t>(Tables)'!Engage_Hrs_Applied_ET_Engage_Time_Period_2_Engagements_Engage_1</t>
  </si>
  <si>
    <t>(Tables)'!Engage_Hrs_Applied_ET_Engage_Time_Period_2_Engagements_Engage_2</t>
  </si>
  <si>
    <t>Long_Loans[DATE(2010,6,1)]|=K421</t>
  </si>
  <si>
    <t>Sales_Lead_Hrs_Conv_pct_Yr["Sales_Lead_Quality.Lead_Qual_1", "Practice_Areas.Practice_2", "Prof_Staff_Types.Prof_Level_2", "Channels.Channels_2", DATE(2010,4,1)]|=H95</t>
  </si>
  <si>
    <t>Chg Short Debt</t>
  </si>
  <si>
    <t>Sales_Lead_Hrs_New["Sales_Lead_Quality.Lead_Qual_2", "Practice_Areas.Practice_1", "Prof_Staff_Types.Prof_Level_2", "Channels.Channels_1", DATE(2010,11,1)]|=2*O78-N78</t>
  </si>
  <si>
    <t>Cost_Services_Supplies["Dir_Cost_Types.Direct_Labor"]+Sup_Staff_Expense</t>
  </si>
  <si>
    <t>Sales_Lead_Hrs_New["Sales_Lead_Quality.Lead_Qual_1", "Practice_Areas.Practice_1", "Prof_Staff_Types.Prof_Level_2", "Channels.Channels_2", DATE(2010,7,1)]|=2*K71-J71</t>
  </si>
  <si>
    <t>:D:-1:Dir_Cost_Types</t>
  </si>
  <si>
    <t>Sales_Lead_Hrs_Conv_pct_Yr["Sales_Lead_Quality.Lead_Qual_1", "Practice_Areas.Practice_1", "Prof_Staff_Types.Prof_Level_2", "Channels.Channels_1", DATE(2010,11,1)]|=O90</t>
  </si>
  <si>
    <t>Prof_Fee_Discount_pct["Practice_Areas.Practice_1", "Prof_Staff_Types.Prof_Level_2", DATE(2010,9,1)]|=M144</t>
  </si>
  <si>
    <t>Tagged_Asset_Init_Value["Asset_Tags.Building_B"]|=0/2</t>
  </si>
  <si>
    <t>Recruit_pct_Positions_Sup["Depts.Sales", "Sup_Staff_Levels.Manager"]|=H265</t>
  </si>
  <si>
    <t>Order_Backlog_Hrs_Init["Practice_Areas.Practice_1", "Prof_Staff_Types.Prof_Level_1", "Channels.Channels_1"]|=0</t>
  </si>
  <si>
    <t>Sales_Lead_Hrs_Expire_pct_Yr["Sales_Lead_Quality.Lead_Qual_2", "Practice_Areas.Practice_1", "Prof_Staff_Types.Prof_Level_1", "Channels.Channels_2", DATE(2010,12,1)]|=P114</t>
  </si>
  <si>
    <t>Sales_Lead_Hrs_New["Sales_Lead_Quality.Lead_Qual_1", "Practice_Areas.Practice_1", "Prof_Staff_Types.Prof_Level_1", "Channels.Channels_1", DATE(2010,8,1)]|=2*L68-K68</t>
  </si>
  <si>
    <t>Support Staff Count Early</t>
  </si>
  <si>
    <t>Engage!Engage_Hrs_Unbilled_Engagements_Engage_2</t>
  </si>
  <si>
    <t>Sales_Commis_Rev_Share[DATE(2010,3,1)]|=G247</t>
  </si>
  <si>
    <t>(Compute)'!Prof_Staff_Hrs_Unbilled_Channel_Time_Period</t>
  </si>
  <si>
    <t>Engage!Engage_Cost_Staff_Engagements_Engage_1_Prof_Staff_Types_Prof_Level_1</t>
  </si>
  <si>
    <t>Cost_Services_TandE_Hr["Practice_Areas.Practice_1", "Prof_Staff_Types.Prof_Level_2", "Channels.Channels_1", DATE(2010,11,1)]|=O155</t>
  </si>
  <si>
    <t>Interest_Rate_Short_Yr[DATE(2010,2,1)]|=F339</t>
  </si>
  <si>
    <t>Sales_Lead_Hrs_Conv_pct_Yr["Sales_Lead_Quality.Lead_Qual_2", "Practice_Areas.Practice_2", "Prof_Staff_Types.Prof_Level_2", "Channels.Channels_1", DATE(2010,4,1)]|=H102</t>
  </si>
  <si>
    <t>Sales_Lead_Hrs_Init["Practice_Areas.Practice_1", "Prof_Staff_Types.Prof_Level_1", "Channels.Channels_2", "Sales_Lead_Quality.Lead_Qual_2"]|=G56</t>
  </si>
  <si>
    <t>Practice_Dev_Prof_Staff_Count*Prof_Staff_Targ_Hrs_per_HC_Yr/periods_per("year")</t>
  </si>
  <si>
    <t>Cost_Services_Supplies_Hr["Practice_Areas.Practice_1", "Prof_Staff_Types.Prof_Level_2", "Supply_Types.Supply_Type_1", "Channels.Channels_2", DATE(2011,1,1)]|=Q166</t>
  </si>
  <si>
    <t>Per_Sup_Staff_Exp_Yr["Depts.Marketing", "Empl_Rel_Exp_Type.Other", DATE(2011,6,1)]|=V328</t>
  </si>
  <si>
    <t>(Ranges)'!Prof_Staff_Hrs_Unapplied_Practice_Areas_Practice_1</t>
  </si>
  <si>
    <t>Per_Sup_Staff_Exp_Yr["Depts.Sales", "Empl_Rel_Exp_Type.Travel_Entertain", DATE(2010,10,1)]|=N330</t>
  </si>
  <si>
    <t>Sales_Lead_Hrs_Conv_pct_Yr["Sales_Lead_Quality.Lead_Qual_1", "Practice_Areas.Practice_1", "Prof_Staff_Types.Prof_Level_2", "Channels.Channels_1", DATE(2010,6,1)]|=J90</t>
  </si>
  <si>
    <t>Wage Tax %</t>
  </si>
  <si>
    <t>A list of the types of operating expenses that are tracked separately in the plan</t>
  </si>
  <si>
    <t>Prof_Staff_Targ_Util_pct["Practice_Areas.Practice_2", "Prof_Staff_Types.Prof_Level_1", DATE(2010,4,1)]|=H191</t>
  </si>
  <si>
    <t>Sales_Lead_Hrs_Expire_pct_Yr["Sales_Lead_Quality.Lead_Qual_2", "Practice_Areas.Practice_1", "Prof_Staff_Types.Prof_Level_1", "Channels.Channels_1", DATE(2011,4,1)]|=T113</t>
  </si>
  <si>
    <t>(Ranges)'!Operating_Margin</t>
  </si>
  <si>
    <t>Tagged_Asset_Init_Value</t>
  </si>
  <si>
    <t>Untagged_Asset_Purch_Params["Untagged_Asset_Purch_Params.Per_Old_Sup_Staff", "Untagged_Asset_Type.Furniture"]|=0/2/5</t>
  </si>
  <si>
    <t>Sup_Staff_Bonus_pct["Depts.Marketing", "Sup_Staff_Levels.Manager", DATE(2010,6,1)]|=J233</t>
  </si>
  <si>
    <t>Sales_Lead_Hrs_Conv_pct_Yr["Sales_Lead_Quality.Lead_Qual_2", "Practice_Areas.Practice_1", "Prof_Staff_Types.Prof_Level_2", "Channels.Channels_1", DATE(2011,4,1)]|=T98</t>
  </si>
  <si>
    <t>Sup_Staff_Bonus_pct["Depts.Sales", "Sup_Staff_Levels.Contributor", DATE(2010,6,1)]|=J236</t>
  </si>
  <si>
    <t>Prof_Fees_per_Hr_Nominal["Practice_Areas.Practice_1", "Prof_Staff_Types.Prof_Level_2", DATE(2011,6,1)]|=V139</t>
  </si>
  <si>
    <t>Prof_Staff_Hrs_Applied</t>
  </si>
  <si>
    <t>Cash_Flow_Check</t>
  </si>
  <si>
    <t>:A:-1:Cash_Initial</t>
  </si>
  <si>
    <t>:A:0:IRR_Guess_w_Tail_Yr</t>
  </si>
  <si>
    <t>Cost_Services_TandE_Hr["Practice_Areas.Practice_1", "Prof_Staff_Types.Prof_Level_2", "Channels.Channels_1", DATE(2011,6,1)]|=V155</t>
  </si>
  <si>
    <t>Expense % Comp</t>
  </si>
  <si>
    <t>Practice_Dev_Prof_Staff_Count["Practice_Areas.Practice_2", "Prof_Staff_Types.Prof_Level_2", DATE(2010,5,1)]|=I289</t>
  </si>
  <si>
    <t>Prof_Staff_Count_Early["Practice_Areas.Practice_2", "Prof_Staff_Types.Prof_Level_2", DATE(2010,12,1)]|=P187</t>
  </si>
  <si>
    <t>Sales_Lead_Hrs_Conv_pct_Yr["Sales_Lead_Quality.Lead_Qual_2", "Practice_Areas.Practice_1", "Prof_Staff_Types.Prof_Level_1", "Channels.Channels_1", DATE(2011,6,1)]|=V96</t>
  </si>
  <si>
    <t>Prof_Staff_Bonus_pct["Practice_Areas.Practice_2", "Prof_Staff_Types.Prof_Level_2", DATE(2011,5,1)]|=U218</t>
  </si>
  <si>
    <t>(Compute)'!Engage_Cost_Staff_Time_Period</t>
  </si>
  <si>
    <t>Chg Accts Rec</t>
  </si>
  <si>
    <t>Cost_Services_TandE_Hr["Practice_Areas.Practice_1", "Prof_Staff_Types.Prof_Level_1", "Channels.Channels_2", DATE(2010,11,1)]|=O154</t>
  </si>
  <si>
    <t>Interest_Rate_Earned_Cash_Yr[DATE(2010,7,1)]|=K341</t>
  </si>
  <si>
    <t>(Ranges)'!Operating_Exp_Depts_Marketing_OpExpType_Programs</t>
  </si>
  <si>
    <t>Organization</t>
  </si>
  <si>
    <t>Sup_Staff_Wage_incr_pct["Sup_Staff_Levels.Contributor", DATE(2010,3,1)]|=G231</t>
  </si>
  <si>
    <t>Sales_Lead_Hrs_New["Sales_Lead_Quality.Lead_Qual_1", "Practice_Areas.Practice_1", "Prof_Staff_Types.Prof_Level_1", "Channels.Channels_2", DATE(2011,2,1)]|=2*R69-Q69</t>
  </si>
  <si>
    <t>Sales_Lead_Hrs_New["Sales_Lead_Quality.Lead_Qual_1", "Practice_Areas.Practice_2", "Prof_Staff_Types.Prof_Level_2", "Channels.Channels_2", DATE(2010,8,1)]|=2*L75-K75</t>
  </si>
  <si>
    <t>Sales_Lead_Hrs_Expire_pct_Yr["Sales_Lead_Quality.Lead_Qual_1", "Practice_Areas.Practice_1", "Prof_Staff_Types.Prof_Level_2", "Channels.Channels_1", DATE(2010,12,1)]|=P107</t>
  </si>
  <si>
    <t>Prof_Staff_Bonus_pct["Practice_Areas.Practice_2", "Prof_Staff_Types.Prof_Level_2", DATE(2010,4,1)]|=H218</t>
  </si>
  <si>
    <t>Supply Type 2</t>
  </si>
  <si>
    <t>Supply Type 1</t>
  </si>
  <si>
    <t>Cost_Services_Supplies_Hr["Practice_Areas.Practice_1", "Prof_Staff_Types.Prof_Level_2", "Supply_Types.Supply_Type_2", "Channels.Channels_2", DATE(2011,3,1)]|=S168</t>
  </si>
  <si>
    <t>Engage_Channel</t>
  </si>
  <si>
    <t>Facil_Other_Exp_Yr[DATE(2010,2,1)]|=F308</t>
  </si>
  <si>
    <t>Short_Debt[DATE(2010,9,1)]|=max(0, '(Compute)'!K31-'(Tables)'!K1367)</t>
  </si>
  <si>
    <t>:D:1:Equity</t>
  </si>
  <si>
    <t>Prof_Staff_Benefits_pct["Prof_Staff_Types.Prof_Level_1", DATE(2010,5,1)]|=I220</t>
  </si>
  <si>
    <t>Sales_Lead_Hrs_Expire_pct_Yr["Sales_Lead_Quality.Lead_Qual_1", "Practice_Areas.Practice_1", "Prof_Staff_Types.Prof_Level_2", "Channels.Channels_1", DATE(2010,7,1)]|=K107</t>
  </si>
  <si>
    <t>:D:2:Accts_Pay_Type</t>
  </si>
  <si>
    <t>:A:-1:Assets</t>
  </si>
  <si>
    <t>Untagged_Asset_Purch_Params["Untagged_Asset_Purch_Params.Initial_Purchase", "Untagged_Asset_Type.Office_Equip"]|=0/2/5</t>
  </si>
  <si>
    <t>Sales_Lead_Hrs_Expire_pct_Yr["Sales_Lead_Quality.Lead_Qual_1", "Practice_Areas.Practice_2", "Prof_Staff_Types.Prof_Level_1", "Channels.Channels_1", DATE(2010,8,1)]|=L109</t>
  </si>
  <si>
    <t>:SD:0:1/1/2010</t>
  </si>
  <si>
    <t>Prof_Staff_Count_Early["Practice_Areas.Practice_1", "Prof_Staff_Types.Prof_Level_2", DATE(2010,8,1)]|=L185</t>
  </si>
  <si>
    <t>Selling Exp Ratio</t>
  </si>
  <si>
    <t>Gen Admin</t>
  </si>
  <si>
    <t>Sales_Lead_Hrs_Conv_pct_Yr["Sales_Lead_Quality.Lead_Qual_2", "Practice_Areas.Practice_1", "Prof_Staff_Types.Prof_Level_1", "Channels.Channels_2", DATE(2010,7,1)]|=K97</t>
  </si>
  <si>
    <t>The size of the bonus pool for professional staff as a percentage of wages, segmented by Practice Area, by Professional Staff Type, and by time period</t>
  </si>
  <si>
    <t>Sup_Staff_Count_Early["Depts.Sales", "Sup_Staff_Levels.Contributor", DATE(2010,5,1)]|=I200</t>
  </si>
  <si>
    <t>Practice_Dev_pct_Capd["Practice_Areas.Practice_2", DATE(2011,6,1)]|=V396</t>
  </si>
  <si>
    <t>(Compute)'!Prof_Staff_Hrs_Unapplied_Date</t>
  </si>
  <si>
    <t>Practice_Dev_Sup_Staff_Count["Practice_Areas.Practice_1", "Depts.Sales", "Sup_Staff_Levels.Contributor", DATE(2010,11,1)]|=O294</t>
  </si>
  <si>
    <t>:A:0:Cost_Services_Channel</t>
  </si>
  <si>
    <t>(Ranges)'!Revenue_Channel_Channels</t>
  </si>
  <si>
    <t>Cost_Services_Supplies_Hr["Practice_Areas.Practice_1", "Prof_Staff_Types.Prof_Level_2", "Supply_Types.Supply_Type_1", "Channels.Channels_2", DATE(2011,6,1)]|=V166</t>
  </si>
  <si>
    <t>Sales_Lead_Hrs_New["Sales_Lead_Quality.Lead_Qual_2", "Practice_Areas.Practice_1", "Prof_Staff_Types.Prof_Level_1", "Channels.Channels_2", DATE(2010,7,1)]|=2*K77-J77</t>
  </si>
  <si>
    <t>:A:-1:Accts_Receivable_Initial</t>
  </si>
  <si>
    <t>Chg_Accts_Pay</t>
  </si>
  <si>
    <t>Sales_Lead_Hrs_Expire_pct_Yr["Sales_Lead_Quality.Lead_Qual_2", "Practice_Areas.Practice_1", "Prof_Staff_Types.Prof_Level_2", "Channels.Channels_1", DATE(2010,11,1)]|=O115</t>
  </si>
  <si>
    <t>Sales_Lead_Hrs_Expire_pct_Yr["Sales_Lead_Quality.Lead_Qual_2", "Practice_Areas.Practice_1", "Prof_Staff_Types.Prof_Level_1", "Channels.Channels_2", DATE(2010,7,1)]|=K114</t>
  </si>
  <si>
    <t>Engage!Engage_Cost_Supplies_Engagements_Engage_2_Prof_Staff_Types_Prof_Level_2_Supply_Types_Supply_Type_1</t>
  </si>
  <si>
    <t>:D:0:Engage_Types</t>
  </si>
  <si>
    <t>Sales_Lead_Hrs_Conv_pct_Yr["Sales_Lead_Quality.Lead_Qual_1", "Practice_Areas.Practice_1", "Prof_Staff_Types.Prof_Level_2", "Channels.Channels_2", DATE(2011,3,1)]|=S91</t>
  </si>
  <si>
    <t>Sales_Lead_Hrs_Expire_pct_Yr["Sales_Lead_Quality.Lead_Qual_2", "Practice_Areas.Practice_1", "Prof_Staff_Types.Prof_Level_1", "Channels.Channels_1", DATE(2010,10,1)]|=N113</t>
  </si>
  <si>
    <t>Cost_Services_TandE_Hr["Practice_Areas.Practice_1", "Prof_Staff_Types.Prof_Level_2", "Channels.Channels_1", DATE(2010,5,1)]|=I155</t>
  </si>
  <si>
    <t>Sales_Lead_Hrs_New["Sales_Lead_Quality.Lead_Qual_2", "Practice_Areas.Practice_2", "Prof_Staff_Types.Prof_Level_2", "Channels.Channels_1", DATE(2011,1,1)]|=2*Q82-P82</t>
  </si>
  <si>
    <t>(Ranges)'!Revenue_Channel_Channels_Channels_2_Practice_Areas_Practice_1_Prof_Staff_Types_Prof_Level_1</t>
  </si>
  <si>
    <t>Prof Staff Hours Unbilled</t>
  </si>
  <si>
    <t>Sup_Staff_Count_Early["Depts.Sales", "Sup_Staff_Levels.Contributor", DATE(2010,10,1)]|=N200</t>
  </si>
  <si>
    <t>Sup_Staff_Bonus_pct["Depts.Sales", "Sup_Staff_Levels.Manager", DATE(2011,1,1)]|=Q235</t>
  </si>
  <si>
    <t>Orders_Filled_Hrs_pct["Practice_Areas.Practice_2", "Prof_Staff_Types.Prof_Level_2", "Channels.Channels_2", DATE(2010,4,1)]|=H129</t>
  </si>
  <si>
    <t>Mktg_Pgms_Exp_Early["Mktg_Pgms.Seminars", "Practice_Areas.Practice_2", DATE(2011,6,1)]|=V277</t>
  </si>
  <si>
    <t>Sales_Lead_Hrs_Conv_pct_Yr["Sales_Lead_Quality.Lead_Qual_1", "Practice_Areas.Practice_1", "Prof_Staff_Types.Prof_Level_2", "Channels.Channels_2", DATE(2010,10,1)]|=N91</t>
  </si>
  <si>
    <t>Sup_Staff_Bonus_pct["Depts.Sales", "Sup_Staff_Levels.Contributor", DATE(2010,5,1)]|=I236</t>
  </si>
  <si>
    <t>Average actual professional billing rates including discounts below list billing rates, segmented by job type, by time period</t>
  </si>
  <si>
    <t>IRR Guess Model Time (Yr)</t>
  </si>
  <si>
    <t>Cash_Targ_Days[DATE(2010,4,1)]|=H360</t>
  </si>
  <si>
    <t>Engage_Hrs_Applied*matmult(Ident_Engage_Practice, Cost_Services_TandE_Hr, "Practice_Areas", "Practice_Areas")</t>
  </si>
  <si>
    <t>(Tables)'!Prof_Staff_Billings_Practice_Areas_Practice_1_Prof_Staff_Types_Prof_Level_2_Channels_Channels_2</t>
  </si>
  <si>
    <t>Office_Space_per_Person[DATE(2011,1,1)]|=Q304</t>
  </si>
  <si>
    <t>(Tables)'!Engage_Gross_Margin_pct_Engagements_Engage_2_Prof_Staff_Types_Prof_Level_1</t>
  </si>
  <si>
    <t>Cost_Services_Staff_Channel</t>
  </si>
  <si>
    <t>Prof_Staff_Count_Early["Practice_Areas.Practice_1", "Prof_Staff_Types.Prof_Level_2", DATE(2010,9,1)]|=M185</t>
  </si>
  <si>
    <t>Sales_Lead_Hrs_Init["Practice_Areas.Practice_1", "Prof_Staff_Types.Prof_Level_1", "Channels.Channels_1", "Sales_Lead_Quality.Lead_Qual_1"]|=0</t>
  </si>
  <si>
    <t>Sales_Lead_Hrs_Conv_pct_Yr["Sales_Lead_Quality.Lead_Qual_1", "Practice_Areas.Practice_1", "Prof_Staff_Types.Prof_Level_2", "Channels.Channels_2", DATE(2010,2,1)]|=F91</t>
  </si>
  <si>
    <t>Sup_Staff_Bonus_pct["Depts.Sales", "Sup_Staff_Levels.Manager", DATE(2010,5,1)]|=I235</t>
  </si>
  <si>
    <t>Prof_Staff_Bonus_pct["Practice_Areas.Practice_2", "Prof_Staff_Types.Prof_Level_2", DATE(2010,5,1)]|=I218</t>
  </si>
  <si>
    <t>Practice_Dev_Sup_Staff_Count["Practice_Areas.Practice_1", "Depts.Marketing", "Sup_Staff_Levels.Manager", DATE(2011,2,1)]|=R291</t>
  </si>
  <si>
    <t>Cost - Staff</t>
  </si>
  <si>
    <t>Accts_Pay_Targ_Days["Accts_Pay_Type.Vendor_Pay", DATE(2010,3,1)]|=H410</t>
  </si>
  <si>
    <t>Dimension Index</t>
  </si>
  <si>
    <t>:A:0:Recruit_Expense</t>
  </si>
  <si>
    <t>Sales_Lead_Hrs_Conv_pct_Yr["Sales_Lead_Quality.Lead_Qual_2", "Practice_Areas.Practice_1", "Prof_Staff_Types.Prof_Level_2", "Channels.Channels_1", DATE(2010,8,1)]|=L98</t>
  </si>
  <si>
    <t>Gen_Admin_Exp</t>
  </si>
  <si>
    <t>Short_Debt[DATE(2010,5,1)]|=max(0, '(Compute)'!G31-'(Tables)'!G1367)</t>
  </si>
  <si>
    <t>Prof_Staff_Types, Practice_Areas</t>
  </si>
  <si>
    <t>Sup_Staff_Count_Early["Depts.Sales", "Sup_Staff_Levels.Contributor", DATE(2010,6,1)]|=J200</t>
  </si>
  <si>
    <t>(Ranges)'!Liabilities_Liabilities_Long_Long_Term_Loans</t>
  </si>
  <si>
    <t>Cash_Targ_Days[DATE(2011,5,1)]|=U360</t>
  </si>
  <si>
    <t>Practice_Dev_Sup_Staff_Count["Practice_Areas.Practice_1", "Depts.Marketing", "Sup_Staff_Levels.Contributor", DATE(2011,6,1)]|=V292</t>
  </si>
  <si>
    <t>Cost of direct supplies per hour of client services, segmented by Practice Area, Professional Staff Type, and time period</t>
  </si>
  <si>
    <t>(Ranges)'!Gross_Margin_Practice_Areas_Practice_1_Prof_Staff_Types_Prof_Level_2_Channels_Channels_2</t>
  </si>
  <si>
    <t>Mktg_Pgms_K["Mktg_Pgms.Publications", "Practice_Areas.Practice_2", "Konst.K1"]|=0</t>
  </si>
  <si>
    <t>Prof_Fees_per_Hr_Nominal["Practice_Areas.Practice_2", "Prof_Staff_Types.Prof_Level_2", DATE(2011,1,1)]|=Q141</t>
  </si>
  <si>
    <t>(Ranges)'!Gross_Margin_Practice_Areas_Practice_2_Prof_Staff_Types_Prof_Level_2</t>
  </si>
  <si>
    <t>"Tagged Asset "&amp;dimitemnum("Asset_Tags")</t>
  </si>
  <si>
    <t>Cost_Services_Supplies_Hr["Practice_Areas.Practice_1", "Prof_Staff_Types.Prof_Level_1", "Supply_Types.Supply_Type_2", "Channels.Channels_2", DATE(2010,5,1)]|=I164</t>
  </si>
  <si>
    <t>Practice_Dev_Prof_Staff_Count["Practice_Areas.Practice_2", "Prof_Staff_Types.Prof_Level_2", DATE(2010,10,1)]|=N289</t>
  </si>
  <si>
    <t>Channels</t>
  </si>
  <si>
    <t>Salvage Value</t>
  </si>
  <si>
    <t>Sales_Lead_Hrs_Expire_pct_Yr["Sales_Lead_Quality.Lead_Qual_1", "Practice_Areas.Practice_2", "Prof_Staff_Types.Prof_Level_1", "Channels.Channels_2", DATE(2010,7,1)]|=K110</t>
  </si>
  <si>
    <t>Income_Tax_Rate[DATE(2010,1,1)]|=0</t>
  </si>
  <si>
    <t>Prof_Fees_per_Hr_Nominal["Practice_Areas.Practice_2", "Prof_Staff_Types.Prof_Level_1", DATE(2010,8,1)]|=L140</t>
  </si>
  <si>
    <t>Practice_Dev_Sup_Staff_Count["Practice_Areas.Practice_2", "Depts.Sales", "Sup_Staff_Levels.Contributor", DATE(2010,1,1)]|=0</t>
  </si>
  <si>
    <t>Cost_Services_Supplies_Hr["Practice_Areas.Practice_2", "Prof_Staff_Types.Prof_Level_1", "Supply_Types.Supply_Type_2", "Channels.Channels_2", DATE(2010,5,1)]|=I172</t>
  </si>
  <si>
    <t>Ident_Engage_Practice</t>
  </si>
  <si>
    <t>:A:-1:Cash_Uses</t>
  </si>
  <si>
    <t>(Ranges)'!Assets_Assets_Short_Cash</t>
  </si>
  <si>
    <t>:A:0:Engage_Cost_Supplies</t>
  </si>
  <si>
    <t>Sales_Lead_Hrs_Expire_pct_Yr["Sales_Lead_Quality.Lead_Qual_2", "Practice_Areas.Practice_1", "Prof_Staff_Types.Prof_Level_1", "Channels.Channels_2", DATE(2011,4,1)]|=T114</t>
  </si>
  <si>
    <t>Prof_Staff_Targ_Util_pct["Practice_Areas.Practice_1", "Prof_Staff_Types.Prof_Level_1", DATE(2010,9,1)]|=M189</t>
  </si>
  <si>
    <t>Interest_Rate_Short_Yr[DATE(2011,4,1)]|=T339</t>
  </si>
  <si>
    <t>Per_Sup_Staff_Exp_Yr["Depts.Sales", "Empl_Rel_Exp_Type.Other", DATE(2011,6,1)]|=V331</t>
  </si>
  <si>
    <t>Sup_Staff_Count_K["Depts.Sales", "Sup_Staff_Levels.Contributor", "Konst.K0"]|=0</t>
  </si>
  <si>
    <t>(Ranges)'!Gross_Margin_Practice_Areas_Practice_1_Prof_Staff_Types_Prof_Level_1_Channels_Channels_2</t>
  </si>
  <si>
    <t>matmult(Ident_Engage_Channel*Ident_Engage_Practice, Engage_Hrs_Applied, "Engagements", "Engagements")+Orders_Filled_Hrs</t>
  </si>
  <si>
    <t>Prof_Staff_Bonus_pct["Practice_Areas.Practice_2", "Prof_Staff_Types.Prof_Level_2", DATE(2011,4,1)]|=T218</t>
  </si>
  <si>
    <t>Practice_Dev_pct_Capd["Practice_Areas.Practice_2", DATE(2011,5,1)]|=U396</t>
  </si>
  <si>
    <t>Office_Rent_Rate_Yr[DATE(2011,5,1)]|=U305</t>
  </si>
  <si>
    <t>Sales_Lead_Hrs_Conv_pct_Yr["Sales_Lead_Quality.Lead_Qual_1", "Practice_Areas.Practice_1", "Prof_Staff_Types.Prof_Level_2", "Channels.Channels_2", DATE(2010,11,1)]|=O91</t>
  </si>
  <si>
    <t>Net Interest Expense</t>
  </si>
  <si>
    <t>Prof_Staff_Salary_incr_pct["Prof_Staff_Types.Prof_Level_1", DATE(2011,2,1)]|=R212</t>
  </si>
  <si>
    <t>:A:0:Prof_Staff_Billings_Nom_Fees</t>
  </si>
  <si>
    <t>Prof_Staff_Count_Early["Practice_Areas.Practice_1", "Prof_Staff_Types.Prof_Level_2", DATE(2010,12,1)]|=P185</t>
  </si>
  <si>
    <t>Engage_Types_Dim</t>
  </si>
  <si>
    <t>Constants K0, K1 and K2 that determine annualized G &amp; A expense (by department) as K0 + K1 *(annualized revenue/1000)^K2. If recruiting expense is included in the model, it uses a more detailed cost analysis, and does not use the K constants.</t>
  </si>
  <si>
    <t>Cost_Services_TandE_Hr["Practice_Areas.Practice_1", "Prof_Staff_Types.Prof_Level_2", "Channels.Channels_2", DATE(2011,3,1)]|=S156</t>
  </si>
  <si>
    <t>Long Liabilities</t>
  </si>
  <si>
    <t>Practice_Dev_Sup_Staff_Count["Practice_Areas.Practice_2", "Depts.Marketing", "Sup_Staff_Levels.Contributor", DATE(2010,7,1)]|=K296</t>
  </si>
  <si>
    <t>Per_Sup_Staff_Exp_Yr["Depts.Sales", "Empl_Rel_Exp_Type.Supplies", DATE(2010,7,1)]|=K329</t>
  </si>
  <si>
    <t>Orders_Filled_Hrs_pct["Practice_Areas.Practice_2", "Prof_Staff_Types.Prof_Level_2", "Channels.Channels_2", DATE(2010,12,1)]|=P129</t>
  </si>
  <si>
    <t>max(0, Operating_Margin-Depreciation-Financial_Exp-prev(Loss_Forward))</t>
  </si>
  <si>
    <t>Practice_Dev_Sup_Staff_Count["Practice_Areas.Practice_1", "Depts.Sales", "Sup_Staff_Levels.Manager", DATE(2010,9,1)]|=M293</t>
  </si>
  <si>
    <t>Per_Prof_Staff_Exp_Yr["Prof_Staff_Types.Prof_Level_1", "Empl_Rel_Exp_Type.Supplies", DATE(2010,9,1)]|=M319</t>
  </si>
  <si>
    <t>Dividend</t>
  </si>
  <si>
    <t>Recruit_Exp_pct_Comp_Sup["Depts.Sales", "Sup_Staff_Levels.Manager"]|=I265</t>
  </si>
  <si>
    <t>Practice_Dev_Sup_Staff_Count["Practice_Areas.Practice_2", "Depts.Marketing", "Sup_Staff_Levels.Contributor", DATE(2010,1,1)]|=0</t>
  </si>
  <si>
    <t>(Ranges)'!Gross_Margin_Channel_Channels_Channels_1_Practice_Areas_Practice_1_Prof_Staff_Types_Prof_Level_1</t>
  </si>
  <si>
    <t>Sales_Lead_Hrs_New["Sales_Lead_Quality.Lead_Qual_2", "Practice_Areas.Practice_2", "Prof_Staff_Types.Prof_Level_2", "Channels.Channels_1", DATE(2010,2,1)]|=2*F82-F82</t>
  </si>
  <si>
    <t>Cost_Services_TandE_Hr["Practice_Areas.Practice_2", "Prof_Staff_Types.Prof_Level_1", "Channels.Channels_2", DATE(2010,10,1)]|=N158</t>
  </si>
  <si>
    <t>:A:0:Prof_Staff_Cost_Unapplied</t>
  </si>
  <si>
    <t>Labor Ramp</t>
  </si>
  <si>
    <t>Sales_Lead_Hrs_Conv_pct_Yr["Sales_Lead_Quality.Lead_Qual_1", "Practice_Areas.Practice_2", "Prof_Staff_Types.Prof_Level_1", "Channels.Channels_1", DATE(2010,4,1)]|=H92</t>
  </si>
  <si>
    <t>Initial Accts Payable</t>
  </si>
  <si>
    <t>(Compute)'!Prof_Staff_Count_Time_Period</t>
  </si>
  <si>
    <t>Sales_Lead_Hrs_Expire_pct_Yr["Sales_Lead_Quality.Lead_Qual_2", "Practice_Areas.Practice_2", "Prof_Staff_Types.Prof_Level_2", "Channels.Channels_2", DATE(2011,2,1)]|=R120</t>
  </si>
  <si>
    <t>Cost_Services_Supplies_Hr["Practice_Areas.Practice_1", "Prof_Staff_Types.Prof_Level_2", "Supply_Types.Supply_Type_1", "Channels.Channels_2", DATE(2010,7,1)]|=K166</t>
  </si>
  <si>
    <t>Practice_Dev_Prof_Staff_Count["Practice_Areas.Practice_2", "Prof_Staff_Types.Prof_Level_2", DATE(2010,7,1)]|=K289</t>
  </si>
  <si>
    <t>Income_Tax_Rate[DATE(2011,4,1)]|=T345</t>
  </si>
  <si>
    <t>Engage_Time</t>
  </si>
  <si>
    <t>Sales_Lead_Hrs_Expire_pct_Yr["Sales_Lead_Quality.Lead_Qual_1", "Practice_Areas.Practice_2", "Prof_Staff_Types.Prof_Level_1", "Channels.Channels_1", DATE(2010,2,1)]|=F109</t>
  </si>
  <si>
    <t>Mktg_Pgms_Exp_Early["Mktg_Pgms.Publications", "Practice_Areas.Practice_1", DATE(2011,2,1)]|=R278</t>
  </si>
  <si>
    <t>Short_Debt[DATE(2010,3,1)]|=max(0, '(Compute)'!E31-'(Tables)'!E1367)</t>
  </si>
  <si>
    <t>Interest_Rate_Short_Yr[DATE(2011,6,1)]|=V339</t>
  </si>
  <si>
    <t>:A:-1:Prof_Staff_per_RevM</t>
  </si>
  <si>
    <t>Office_Space_per_Person[DATE(2010,10,1)]|=N304</t>
  </si>
  <si>
    <t>Prof_Staff_Hrs_Billed_Channel</t>
  </si>
  <si>
    <t>(Tables)'!Engage_Gross_Margin_pct_Engagements_Engage_1_Prof_Staff_Types_Prof_Level_2</t>
  </si>
  <si>
    <t>Orders_Filled_Hrs1</t>
  </si>
  <si>
    <t>Engage_Discount_pct["Engagements.Engage_2", DATE(2010,8,1)]|=L149</t>
  </si>
  <si>
    <t>Practice_Dev_Prof_Staff_Count["Practice_Areas.Practice_2", "Prof_Staff_Types.Prof_Level_1", DATE(2011,1,1)]|=Q288</t>
  </si>
  <si>
    <t>Discount Factor</t>
  </si>
  <si>
    <t>:D:0:Dir_Cost_Types.Direct_Supplies</t>
  </si>
  <si>
    <t>Engage_Hrs_pct_Billed_ET["Engagements.Engage_2", "Prof_Staff_Types.Prof_Level_1", "Engage_Time.Period_2"]|=1</t>
  </si>
  <si>
    <t>:A:0:Orders_Filled_Hrs_pct</t>
  </si>
  <si>
    <t>Prof_Staff_Targ_Util_pct["Practice_Areas.Practice_2", "Prof_Staff_Types.Prof_Level_1", DATE(2010,3,1)]|=G191</t>
  </si>
  <si>
    <t>Sales_Lead_Hrs_Expire_pct_Yr["Sales_Lead_Quality.Lead_Qual_2", "Practice_Areas.Practice_2", "Prof_Staff_Types.Prof_Level_2", "Channels.Channels_1", DATE(2010,1,1)]|=0.30</t>
  </si>
  <si>
    <t>(Ranges)'!Prof_Staff_Cost_Applied_Practice_Areas_Practice_1_Prof_Staff_Types_Prof_Level_2</t>
  </si>
  <si>
    <t>:A:-1:Order_Backlog</t>
  </si>
  <si>
    <t>Depr Method</t>
  </si>
  <si>
    <t>Average office space (K sqft / person). Applies only to space that is allocated by employee count, not to space that is independent of employee count.</t>
  </si>
  <si>
    <t>:A:0:Prof_Staff_Salary_incr_period_pct</t>
  </si>
  <si>
    <t>if(Wage_Incr_AnnualQ, (1+Prof_Staff_Salary_incr_pct)^(1/periods_per("year"))-1, Prof_Staff_Salary_incr_pct)</t>
  </si>
  <si>
    <t>:A:0:Untagged_Asset_Purch_Lagged</t>
  </si>
  <si>
    <t>Cash Flow Expect Factor Future</t>
  </si>
  <si>
    <t>Sup_Staff_Count_Early["Depts.Marketing", "Sup_Staff_Levels.Contributor", DATE(2011,6,1)]|=V198</t>
  </si>
  <si>
    <t>Prof_Fee_Discount_pct["Practice_Areas.Practice_1", "Prof_Staff_Types.Prof_Level_1", DATE(2010,9,1)]|=M143</t>
  </si>
  <si>
    <t>(Ranges)'!Revenue_Channel_Channels_Channels_1_Practice_Areas_Practice_2_Prof_Staff_Types_Prof_Level_2</t>
  </si>
  <si>
    <t>Orders_Filled_Hrs_pct["Practice_Areas.Practice_2", "Prof_Staff_Types.Prof_Level_2", "Channels.Channels_2", DATE(2010,1,1)]|=0.5</t>
  </si>
  <si>
    <t>Return_on_Equity</t>
  </si>
  <si>
    <t>Cost_Services_TandE_Hr["Practice_Areas.Practice_2", "Prof_Staff_Types.Prof_Level_2", "Channels.Channels_1", DATE(2010,11,1)]|=O159</t>
  </si>
  <si>
    <t>Practice_Dev_Prof_Staff_Count["Practice_Areas.Practice_2", "Prof_Staff_Types.Prof_Level_1", DATE(2011,4,1)]|=T288</t>
  </si>
  <si>
    <t>Engage_Hrs_pct_Billed_ET["Engagements.Engage_1", "Prof_Staff_Types.Prof_Level_2", "Engage_Time.Period_1"]|=1</t>
  </si>
  <si>
    <t>:A:0:Operating_Margin</t>
  </si>
  <si>
    <t>Sales_Lead_Hrs_New["Sales_Lead_Quality.Lead_Qual_2", "Practice_Areas.Practice_1", "Prof_Staff_Types.Prof_Level_2", "Channels.Channels_2", DATE(2011,4,1)]|=2*T79-S79</t>
  </si>
  <si>
    <t>Sales_Lead_Hrs_Expire_pct_Yr["Sales_Lead_Quality.Lead_Qual_1", "Practice_Areas.Practice_1", "Prof_Staff_Types.Prof_Level_1", "Channels.Channels_2", DATE(2010,5,1)]|=I106</t>
  </si>
  <si>
    <t>Accts_Pay_Targ_Days["Accts_Pay_Type.Tax_Pay", DATE(2010,4,1)]|=I412</t>
  </si>
  <si>
    <t>Sup_Staff_Wage_Avg_Initial_Yr</t>
  </si>
  <si>
    <t xml:space="preserve">    AcctsRec</t>
  </si>
  <si>
    <t>Sup_Staff_Bonus_pct["Depts.Marketing", "Sup_Staff_Levels.Manager", DATE(2011,3,1)]|=S233</t>
  </si>
  <si>
    <t>Accts Pay Targ Days</t>
  </si>
  <si>
    <t>Prof Salary increase period %</t>
  </si>
  <si>
    <t>:D:1:Sup_Staff_Levels</t>
  </si>
  <si>
    <t>Sales_Lead_Hrs_Conv_pct_Yr["Sales_Lead_Quality.Lead_Qual_2", "Practice_Areas.Practice_1", "Prof_Staff_Types.Prof_Level_2", "Channels.Channels_2", DATE(2010,7,1)]|=K99</t>
  </si>
  <si>
    <t>:D:0:Assets.Short</t>
  </si>
  <si>
    <t>Discount_Rate_Direct_Yr[DATE(2011,6,1)]|=V348</t>
  </si>
  <si>
    <t xml:space="preserve">Hours of professsional staff time billed to client engagements (includings small engagements from the sales funnel). Segmented by Practice Area, Professional Staff Type, Channel, and time period. This variable is for display only. It segments by Channel first, while variable 'Prof Staff Hrs Billed' segments by Practice Area first. </t>
  </si>
  <si>
    <t>Sales_Lead_Hrs_Expire_pct_Yr["Sales_Lead_Quality.Lead_Qual_1", "Practice_Areas.Practice_1", "Prof_Staff_Types.Prof_Level_1", "Channels.Channels_1", DATE(2010,3,1)]|=G105</t>
  </si>
  <si>
    <t>Prof_Fees_per_Hr_Nominal*Prof_Staff_Hrs_Billed</t>
  </si>
  <si>
    <t>:A:-1:Tail_Future_Value</t>
  </si>
  <si>
    <t>The amount of accounts payables at the end of a time period expressed as a target  number of days of revenue. Used to compute payables.</t>
  </si>
  <si>
    <t xml:space="preserve">  Period_1</t>
  </si>
  <si>
    <t>Prof_Staff_Count_Early["Practice_Areas.Practice_2", "Prof_Staff_Types.Prof_Level_2", DATE(2010,3,1)]|=G187</t>
  </si>
  <si>
    <t>(Compute)'!Assets_Time_Period</t>
  </si>
  <si>
    <t>:A:0:Cost_Services_Supplies_Hr</t>
  </si>
  <si>
    <t>Cost_Services_Supplies_Hr["Practice_Areas.Practice_2", "Prof_Staff_Types.Prof_Level_2", "Supply_Types.Supply_Type_2", "Channels.Channels_2", DATE(2011,1,1)]|=Q176</t>
  </si>
  <si>
    <t>Practice_Dev_Sup_Staff_Count["Practice_Areas.Practice_2", "Depts.Marketing", "Sup_Staff_Levels.Contributor", DATE(2010,12,1)]|=P296</t>
  </si>
  <si>
    <t>:D:-1:Konst</t>
  </si>
  <si>
    <t>Liabilities.Short.AcctsPay</t>
  </si>
  <si>
    <t>Cost_Services_TandE_Hr["Practice_Areas.Practice_2", "Prof_Staff_Types.Prof_Level_1", "Channels.Channels_2", DATE(2011,4,1)]|=T158</t>
  </si>
  <si>
    <t>Orders_Filled_Hrs_pct["Practice_Areas.Practice_2", "Prof_Staff_Types.Prof_Level_2", "Channels.Channels_2", DATE(2011,2,1)]|=R129</t>
  </si>
  <si>
    <t>Cost_Services_Supplies_Hr["Practice_Areas.Practice_1", "Prof_Staff_Types.Prof_Level_1", "Supply_Types.Supply_Type_2", "Channels.Channels_2", DATE(2011,2,1)]|=R164</t>
  </si>
  <si>
    <t>Cost_Services_Supplies_Hr["Practice_Areas.Practice_2", "Prof_Staff_Types.Prof_Level_2", "Supply_Types.Supply_Type_2", "Channels.Channels_2", DATE(2010,11,1)]|=O176</t>
  </si>
  <si>
    <t>Prof_Staff_Count_Early["Practice_Areas.Practice_1", "Prof_Staff_Types.Prof_Level_2", DATE(2011,4,1)]|=T185</t>
  </si>
  <si>
    <t>Accts_Rec_Days[DATE(2010,12,1)]|=P366</t>
  </si>
  <si>
    <t>Prof_Staff_Count_Early["Practice_Areas.Practice_2", "Prof_Staff_Types.Prof_Level_1", DATE(2010,10,1)]|=N186</t>
  </si>
  <si>
    <t>Cost_Services_TandE_Hr["Practice_Areas.Practice_2", "Prof_Staff_Types.Prof_Level_2", "Channels.Channels_2", DATE(2010,10,1)]|=N160</t>
  </si>
  <si>
    <t>Engagements, Supply_Types, Prof_Staff_Types</t>
  </si>
  <si>
    <t>Interest_Rate_Short_Yr[DATE(2010,11,1)]|=O339</t>
  </si>
  <si>
    <t>(Tables)'!Engage_Rev_Nominal_Fees_Engagements</t>
  </si>
  <si>
    <t>Wage_Tax_pct[DATE(2010,10,1)]|=N244</t>
  </si>
  <si>
    <t>Practice_Dev_Sup_Staff_Count["Practice_Areas.Practice_1", "Depts.Marketing", "Sup_Staff_Levels.Contributor", DATE(2010,10,1)]|=N292</t>
  </si>
  <si>
    <t>Cost_Services_Supplies_Hr["Practice_Areas.Practice_1", "Prof_Staff_Types.Prof_Level_1", "Supply_Types.Supply_Type_1", "Channels.Channels_2", DATE(2010,12,1)]|=P162</t>
  </si>
  <si>
    <t>Office_Utilities_Rate_Yr[DATE(2010,6,1)]|=J306</t>
  </si>
  <si>
    <t>Office_Space_per_Person[DATE(2010,7,1)]|=K304</t>
  </si>
  <si>
    <t>Bad_Debt_pct[DATE(2010,11,1)]|=O342</t>
  </si>
  <si>
    <t>Prof_Staff_Bonus_pct["Practice_Areas.Practice_2", "Prof_Staff_Types.Prof_Level_2", DATE(2010,7,1)]|=K218</t>
  </si>
  <si>
    <t>Sup_Staff_Benefits_pct[DATE(2010,10,1)]|=N238</t>
  </si>
  <si>
    <t>Gross Margin %</t>
  </si>
  <si>
    <t>:D:1:Mktg_Pgms</t>
  </si>
  <si>
    <t>(Tables)'!Prof_Staff_Billings_Practice_Areas_Practice_1_Prof_Staff_Types</t>
  </si>
  <si>
    <t>:A:-1:Tagged_Asset_Deprec_Method</t>
  </si>
  <si>
    <t>:A:0:G_A_Exp_K</t>
  </si>
  <si>
    <t>Accts_Rec_Days[DATE(2010,8,1)]|=L366</t>
  </si>
  <si>
    <t>Per_Prof_Staff_Exp_Yr["Prof_Staff_Types.Prof_Level_2", "Empl_Rel_Exp_Type.Other", DATE(2010,4,1)]|=H324</t>
  </si>
  <si>
    <t>Prof_Staff_Bonus_pct["Practice_Areas.Practice_1", "Prof_Staff_Types.Prof_Level_2", DATE(2011,1,1)]|=Q216</t>
  </si>
  <si>
    <t>Per_Sup_Staff_Exp_Yr["Depts.Marketing", "Empl_Rel_Exp_Type.Other", DATE(2011,3,1)]|=S328</t>
  </si>
  <si>
    <t>Mktg_Pgms_Exp_Early["Mktg_Pgms.Publications", "Practice_Areas.Practice_2", DATE(2010,8,1)]|=L279</t>
  </si>
  <si>
    <t>Per_Sup_Staff_Exp_Yr["Depts.Sales", "Empl_Rel_Exp_Type.Supplies", DATE(2010,8,1)]|=L329</t>
  </si>
  <si>
    <t>Recruit_pct_Pos_Sup_Init["Depts.Sales", "Sup_Staff_Levels.Manager"]|=0.15</t>
  </si>
  <si>
    <t>Orders_Filled_Hrs_pct["Practice_Areas.Practice_2", "Prof_Staff_Types.Prof_Level_1", "Channels.Channels_2", DATE(2011,1,1)]|=Q127</t>
  </si>
  <si>
    <t>Per_Prof_Staff_Exp_Yr["Prof_Staff_Types.Prof_Level_1", "Empl_Rel_Exp_Type.Travel_Entertain", DATE(2010,5,1)]|=I320</t>
  </si>
  <si>
    <t>Mktg Programs Exp</t>
  </si>
  <si>
    <t>Cost_Services_Supplies_Hr["Practice_Areas.Practice_2", "Prof_Staff_Types.Prof_Level_1", "Supply_Types.Supply_Type_1", "Channels.Channels_1", DATE(2010,10,1)]|=N169</t>
  </si>
  <si>
    <t>Wage_Tax_pct[DATE(2010,3,1)]|=G244</t>
  </si>
  <si>
    <t>Change in Bond principal from the previous period. The model has a variable for this because (a) this amount will be displayed in the cash flow statement worksheet, and (b) this amount is used in several formulas so it is convenient to store it in a variable.</t>
  </si>
  <si>
    <t>if(Tail_Discount_Rate-Tail_Growth_Rate=0, 0, average(ranget(Cash_Flow_Equity, model_date(2, -periods_per("year")), model_date(2)-1))*(1+Tail_Growth_Rate_Yr)/(Tail_Discount_Rate-Tail_Growth_Rate))</t>
  </si>
  <si>
    <t>:A:-1:Chg_Bond_Principal_short</t>
  </si>
  <si>
    <t>:A:0:Gross_Margin_pct</t>
  </si>
  <si>
    <t>Sales_Lead_Hrs_Expire_pct_Yr["Sales_Lead_Quality.Lead_Qual_2", "Practice_Areas.Practice_1", "Prof_Staff_Types.Prof_Level_1", "Channels.Channels_1", DATE(2011,2,1)]|=R113</t>
  </si>
  <si>
    <t>Mktg_Pgms_Exp_Early["Mktg_Pgms.Publications", "Practice_Areas.Practice_2", DATE(2010,6,1)]|=J279</t>
  </si>
  <si>
    <t>(Ranges)'!Prof_Staff_Cost_Applied_Practice_Areas</t>
  </si>
  <si>
    <t>A list of the marketing programs that are tracked separately in the plan</t>
  </si>
  <si>
    <t>round(Prof_Staff_Count1, 0.5)</t>
  </si>
  <si>
    <t>Engage!Engage_Hrs_Billed_Engagements_Engage_1_Prof_Staff_Types_Prof_Level_2</t>
  </si>
  <si>
    <t>Per_Prof_Staff_Exp_Yr["Prof_Staff_Types.Prof_Level_2", "Empl_Rel_Exp_Type.Travel_Entertain", DATE(2010,3,1)]|=G323</t>
  </si>
  <si>
    <t>Recruiting Expense</t>
  </si>
  <si>
    <t>:D:0:Engage_Time.Period_3</t>
  </si>
  <si>
    <t>:A:0:Prof_Staff_Cost_Unbilled</t>
  </si>
  <si>
    <t>Sales_Lead_Hrs_New["Sales_Lead_Quality.Lead_Qual_1", "Practice_Areas.Practice_1", "Prof_Staff_Types.Prof_Level_1", "Channels.Channels_1", DATE(2011,4,1)]|=2*T68-S68</t>
  </si>
  <si>
    <t>Sales_Lead_Hrs_New["Sales_Lead_Quality.Lead_Qual_2", "Practice_Areas.Practice_1", "Prof_Staff_Types.Prof_Level_1", "Channels.Channels_1", DATE(2010,3,1)]|=2*G76-F76</t>
  </si>
  <si>
    <t>Programs</t>
  </si>
  <si>
    <t>Prof_Staff_Count_Early["Practice_Areas.Practice_2", "Prof_Staff_Types.Prof_Level_2", DATE(2011,1,1)]|=Q187</t>
  </si>
  <si>
    <t>(Ranges)'!Revenue_Practice_Areas_Practice_1_Prof_Staff_Types_Prof_Level_1_Channels_Channels_1</t>
  </si>
  <si>
    <t>Cost_Services_TandE_Hr["Practice_Areas.Practice_1", "Prof_Staff_Types.Prof_Level_2", "Channels.Channels_1", DATE(2010,12,1)]|=P155</t>
  </si>
  <si>
    <t>Sup_Staff_Bonus_pct["Depts.Marketing", "Sup_Staff_Levels.Manager", DATE(2011,4,1)]|=T233</t>
  </si>
  <si>
    <t>:A:-1:Prof_Staff_Benefits_pct</t>
  </si>
  <si>
    <t>(Compute)'!Practice_Dev_Prof_Staff_Hrs_Time_Period</t>
  </si>
  <si>
    <t>(Ranges)'!Gross_Margin_Channel_Channels_Channels_2_Practice_Areas_Practice_2_Prof_Staff_Types</t>
  </si>
  <si>
    <t>Orders_Filled_Hrs_pct["Practice_Areas.Practice_2", "Prof_Staff_Types.Prof_Level_1", "Channels.Channels_2", DATE(2010,12,1)]|=P127</t>
  </si>
  <si>
    <t>Sup_Staff_Count_Early["Depts.Marketing", "Sup_Staff_Levels.Manager", DATE(2011,1,1)]|=Q197</t>
  </si>
  <si>
    <t>Practice 2</t>
  </si>
  <si>
    <t>Sales_Lead_Hrs_Expire_pct_Yr["Sales_Lead_Quality.Lead_Qual_1", "Practice_Areas.Practice_2", "Prof_Staff_Types.Prof_Level_2", "Channels.Channels_2", DATE(2011,3,1)]|=S112</t>
  </si>
  <si>
    <t>Prof_Staff_Targ_Util_pct["Practice_Areas.Practice_1", "Prof_Staff_Types.Prof_Level_1", DATE(2010,11,1)]|=O189</t>
  </si>
  <si>
    <t>Sup_Staff_Wage_incr_pct["Sup_Staff_Levels.Contributor", DATE(2010,2,1)]|=F231</t>
  </si>
  <si>
    <t>:A:-1:Prof_Staff_Cost_Engage</t>
  </si>
  <si>
    <t>Inputs!Engage_Hrs_Applied_ET_Engage_Time_Period_2_Engagements_Engage_1_Prof_Staff_Types_Prof_Level_1</t>
  </si>
  <si>
    <t>Bad_Debt_pct*Accts_Receivable</t>
  </si>
  <si>
    <t>Sales_Lead_Hrs_New["Sales_Lead_Quality.Lead_Qual_1", "Practice_Areas.Practice_2", "Prof_Staff_Types.Prof_Level_1", "Channels.Channels_2", DATE(2010,10,1)]|=2*N73-M73</t>
  </si>
  <si>
    <t>Cost_Services_TandE_Hr["Practice_Areas.Practice_2", "Prof_Staff_Types.Prof_Level_1", "Channels.Channels_1", DATE(2011,3,1)]|=S157</t>
  </si>
  <si>
    <t>Sup_Staff_Count_Early["Depts.Sales", "Sup_Staff_Levels.Contributor", DATE(2010,2,1)]|=F200</t>
  </si>
  <si>
    <t>Sales_Commis_Rev_Share[DATE(2011,1,1)]|=Q247</t>
  </si>
  <si>
    <t>Sup_Staff_Wage_incr_pct["Sup_Staff_Levels.Contributor", DATE(2010,8,1)]|=L231</t>
  </si>
  <si>
    <t>Sales</t>
  </si>
  <si>
    <t>Sales_Lead_Hrs_New["Sales_Lead_Quality.Lead_Qual_2", "Practice_Areas.Practice_1", "Prof_Staff_Types.Prof_Level_1", "Channels.Channels_1", DATE(2010,1,1)]|=2*0-0</t>
  </si>
  <si>
    <t>Cost of professional staff time applied to client engagements (including small engagements from the sales funnel), or practice development. Segmented by Practice Area, Professional Staff Type, and time period.</t>
  </si>
  <si>
    <t>Sales_Lead_Hrs_Conv_pct_Yr["Sales_Lead_Quality.Lead_Qual_2", "Practice_Areas.Practice_1", "Prof_Staff_Types.Prof_Level_2", "Channels.Channels_2", DATE(2011,6,1)]|=V99</t>
  </si>
  <si>
    <t>Sales_Lead_Hrs_Expire_pct_Yr["Sales_Lead_Quality.Lead_Qual_1", "Practice_Areas.Practice_1", "Prof_Staff_Types.Prof_Level_1", "Channels.Channels_2", DATE(2010,10,1)]|=N106</t>
  </si>
  <si>
    <t>Sales_Lead_Hrs_Conv_pct_Yr["Sales_Lead_Quality.Lead_Qual_2", "Practice_Areas.Practice_2", "Prof_Staff_Types.Prof_Level_1", "Channels.Channels_1", DATE(2011,4,1)]|=T100</t>
  </si>
  <si>
    <t>Interest_Rate_Earned_Cash_Yr[DATE(2011,2,1)]|=R341</t>
  </si>
  <si>
    <t>Engage!Engage_Cost_Staff_Engagements_Engage_2</t>
  </si>
  <si>
    <t>(Tables)'!Engage_Hrs_pct_Billed_ET_Engage_Time_Period_3_Engagements</t>
  </si>
  <si>
    <t>Sales_Lead_Hrs_Conv_pct_Yr["Sales_Lead_Quality.Lead_Qual_2", "Practice_Areas.Practice_2", "Prof_Staff_Types.Prof_Level_2", "Channels.Channels_1", DATE(2010,2,1)]|=F102</t>
  </si>
  <si>
    <t>Mktg_Pgms_Early_Cutover</t>
  </si>
  <si>
    <t>Sales_Lead_Hrs_Conv_pct_Yr["Sales_Lead_Quality.Lead_Qual_2", "Practice_Areas.Practice_2", "Prof_Staff_Types.Prof_Level_2", "Channels.Channels_2", DATE(2010,2,1)]|=F103</t>
  </si>
  <si>
    <t>Billings for staff hours each major Engagement, segmented by Professional Staff Type and by engagement time period. These amounts are net of all fee discount rates. (Time=0 at start time of the engagement.)</t>
  </si>
  <si>
    <t>:A:-1:Prof_Staff_Bonus_pct</t>
  </si>
  <si>
    <t>Per_Sup_Staff_Exp_Yr["Depts.Marketing", "Empl_Rel_Exp_Type.Other", DATE(2010,2,1)]|=F328</t>
  </si>
  <si>
    <t>Sales_Lead_Hrs_Expire_pct_Yr["Sales_Lead_Quality.Lead_Qual_2", "Practice_Areas.Practice_1", "Prof_Staff_Types.Prof_Level_2", "Channels.Channels_1", DATE(2011,3,1)]|=S115</t>
  </si>
  <si>
    <t>Display As</t>
  </si>
  <si>
    <t>Practice Dev Prof Spending</t>
  </si>
  <si>
    <t>Mktg_Pgms_K["Mktg_Pgms.Seminars", "Practice_Areas.Practice_1", "Konst.K0"]|=0</t>
  </si>
  <si>
    <t>Prof_Staff_Count_Early["Practice_Areas.Practice_2", "Prof_Staff_Types.Prof_Level_2", DATE(2011,3,1)]|=S187</t>
  </si>
  <si>
    <t>Per_Prof_Staff_Exp_Yr["Prof_Staff_Types.Prof_Level_2", "Empl_Rel_Exp_Type.Travel_Entertain", DATE(2011,4,1)]|=T323</t>
  </si>
  <si>
    <t>Sales_Lead_Hrs_Expire_pct_Yr["Sales_Lead_Quality.Lead_Qual_1", "Practice_Areas.Practice_1", "Prof_Staff_Types.Prof_Level_1", "Channels.Channels_1", DATE(2011,6,1)]|=V105</t>
  </si>
  <si>
    <t>Prof_Staff_Bonus_pct["Practice_Areas.Practice_1", "Prof_Staff_Types.Prof_Level_2", DATE(2011,3,1)]|=S216</t>
  </si>
  <si>
    <t>(Tables)'!Engage_Hrs_pct_Billed_ET_Engage_Time_Period_4</t>
  </si>
  <si>
    <t>Per_Prof_Staff_Exp_Yr["Prof_Staff_Types.Prof_Level_1", "Empl_Rel_Exp_Type.Travel_Entertain", DATE(2010,1,1)]|=0</t>
  </si>
  <si>
    <t>Support Staff Count</t>
  </si>
  <si>
    <t>Per Sup Staff Exp (Yr)</t>
  </si>
  <si>
    <t>Mktg_Pgms_Exp_Early["Mktg_Pgms.Seminars", "Practice_Areas.Practice_2", DATE(2010,1,1)]|=0</t>
  </si>
  <si>
    <t>Per_Prof_Staff_Exp_Yr["Prof_Staff_Types.Prof_Level_1", "Empl_Rel_Exp_Type.Other", DATE(2010,2,1)]|=F321</t>
  </si>
  <si>
    <t>Cost_Services_Supplies_Hr["Practice_Areas.Practice_2", "Prof_Staff_Types.Prof_Level_2", "Supply_Types.Supply_Type_1", "Channels.Channels_1", DATE(2010,2,1)]|=F173</t>
  </si>
  <si>
    <t>Per_Prof_Staff_Exp_Yr["Prof_Staff_Types.Prof_Level_2", "Empl_Rel_Exp_Type.Travel_Entertain", DATE(2011,5,1)]|=U323</t>
  </si>
  <si>
    <t>Practice_Dev_Sup_Staff_Count["Practice_Areas.Practice_2", "Depts.Sales", "Sup_Staff_Levels.Manager", DATE(2010,3,1)]|=G297</t>
  </si>
  <si>
    <t>The annual growth rate assumed for the cash flow occurring after the end of model time. 
The default formula is that the tail growth rate is half the billable hours growth rate for the final period of model time.
The model expresses all input growth rates in annual terms.</t>
  </si>
  <si>
    <t>Recruit_pct_Positions_Sup["Depts.Marketing", "Sup_Staff_Levels.Manager"]|=0</t>
  </si>
  <si>
    <t>Cash_Targ_Days[DATE(2010,8,1)]|=L360</t>
  </si>
  <si>
    <t>Cost_Services_Supplies_Hr["Practice_Areas.Practice_1", "Prof_Staff_Types.Prof_Level_1", "Supply_Types.Supply_Type_1", "Channels.Channels_2", DATE(2010,3,1)]|=G162</t>
  </si>
  <si>
    <t>Short_Debt[DATE(2010,8,1)]|=max(0, '(Compute)'!J31-'(Tables)'!J1367)</t>
  </si>
  <si>
    <t xml:space="preserve">  Practice_1</t>
  </si>
  <si>
    <t>Bad_Debt_pct[DATE(2010,7,1)]|=K342</t>
  </si>
  <si>
    <t>Cost_Services_TandE_Hr</t>
  </si>
  <si>
    <t>(Tables)'!Prof_Staff_Hrs_Engage_Practice_Areas_Practice_1_Prof_Staff_Types_Prof_Level_2_Channels</t>
  </si>
  <si>
    <t>Sales_Lead_Hrs_Expire_pct_Yr["Sales_Lead_Quality.Lead_Qual_1", "Practice_Areas.Practice_2", "Prof_Staff_Types.Prof_Level_2", "Channels.Channels_2", DATE(2010,9,1)]|=M112</t>
  </si>
  <si>
    <t>Sales_Lead_Hrs_Expire_pct_Yr["Sales_Lead_Quality.Lead_Qual_2", "Practice_Areas.Practice_1", "Prof_Staff_Types.Prof_Level_1", "Channels.Channels_2", DATE(2011,2,1)]|=R114</t>
  </si>
  <si>
    <t>Cost_Services_TandE_Hr["Practice_Areas.Practice_2", "Prof_Staff_Types.Prof_Level_1", "Channels.Channels_1", DATE(2010,3,1)]|=G157</t>
  </si>
  <si>
    <t>Orders_Filled_Hrs_pct["Practice_Areas.Practice_1", "Prof_Staff_Types.Prof_Level_1", "Channels.Channels_1", DATE(2010,10,1)]|=N122</t>
  </si>
  <si>
    <t>Prof_Fee_Discount_pct["Practice_Areas.Practice_2", "Prof_Staff_Types.Prof_Level_2", DATE(2010,3,1)]|=G146</t>
  </si>
  <si>
    <t>Sup_Staff_Bonus_pct["Depts.Marketing", "Sup_Staff_Levels.Manager", DATE(2010,10,1)]|=N233</t>
  </si>
  <si>
    <t>Bad_Debt_pct[DATE(2010,8,1)]|=L342</t>
  </si>
  <si>
    <t>Sup_Staff_Count_Early["Depts.Marketing", "Sup_Staff_Levels.Manager", DATE(2010,12,1)]|=P197</t>
  </si>
  <si>
    <t>Office_Space_per_Person[DATE(2011,3,1)]|=S304</t>
  </si>
  <si>
    <t>:A:0:Engage_Labor_pct</t>
  </si>
  <si>
    <t>:A:-1:Engage_Types_Dim</t>
  </si>
  <si>
    <t>Cost_Services_TandE_Hr["Practice_Areas.Practice_1", "Prof_Staff_Types.Prof_Level_1", "Channels.Channels_2", DATE(2010,12,1)]|=P154</t>
  </si>
  <si>
    <t>Types of direct supplies used</t>
  </si>
  <si>
    <t>Sales_Commis_Rev_Share[DATE(2011,5,1)]|=U247</t>
  </si>
  <si>
    <t>Professional staff hours applied to client engagements (including small engagements from the sales funnel) or practice development. Segmented by Practice Area, Professional Staff Type, and time period.</t>
  </si>
  <si>
    <t>Billings at Nominal Fees</t>
  </si>
  <si>
    <t>Cost_Services_Supplies_Hr["Practice_Areas.Practice_1", "Prof_Staff_Types.Prof_Level_1", "Supply_Types.Supply_Type_2", "Channels.Channels_2", DATE(2010,1,1)]|=0</t>
  </si>
  <si>
    <t>Per_Sup_Staff_Exp_Yr["Depts.Marketing", "Empl_Rel_Exp_Type.Supplies", DATE(2011,6,1)]|=V326</t>
  </si>
  <si>
    <t>(Ranges)'!Operating_Exp_Depts_Sales_OpExpType_Dept_Exp_Accts</t>
  </si>
  <si>
    <t>Professional staff-related expenses, segmented by Practice Area, by Professional Staff Type, expense type, and by time period</t>
  </si>
  <si>
    <t>Practice_Dev_Prof_Staff_Count["Practice_Areas.Practice_1", "Prof_Staff_Types.Prof_Level_1", DATE(2010,5,1)]|=I286</t>
  </si>
  <si>
    <t xml:space="preserve">Cost of direct supplies incurred in client engagements (including small engagements from the sales funnel). Segmented by Practice Area, Professional Staff Type, Channel, and time period. This variable is for display only. It segments by Channel first, while variable 'Cost of Services - Supplies' segments by Practice Area first. </t>
  </si>
  <si>
    <t>Sales_Lead_Hrs_Expire_pct_Yr["Sales_Lead_Quality.Lead_Qual_1", "Practice_Areas.Practice_1", "Prof_Staff_Types.Prof_Level_2", "Channels.Channels_1", DATE(2011,4,1)]|=T107</t>
  </si>
  <si>
    <t>Untagged_Asset_Purch_Lagged</t>
  </si>
  <si>
    <t>The ratio (revenue for each time period) / (professional staff count at end of each time period)</t>
  </si>
  <si>
    <t>Engage!Orders_Filled_Practice_Areas_Practice_2_Prof_Staff_Types_Prof_Level_1_Channels</t>
  </si>
  <si>
    <t>Cost_Services_TandE_Hr["Practice_Areas.Practice_1", "Prof_Staff_Types.Prof_Level_2", "Channels.Channels_2", DATE(2010,10,1)]|=N156</t>
  </si>
  <si>
    <t>Prof_Staff_Count_Early["Practice_Areas.Practice_2", "Prof_Staff_Types.Prof_Level_1", DATE(2010,2,1)]|=F186</t>
  </si>
  <si>
    <t>Office_Space_per_Person[DATE(2010,11,1)]|=O304</t>
  </si>
  <si>
    <t>:A:0:Prof_Staff_Cost_per_Hr</t>
  </si>
  <si>
    <t>Cost of billable hours applied on major Engagements. Segmented by Engagement, Professional Staff Type, and time period.</t>
  </si>
  <si>
    <t>Income_Tax_Rate[DATE(2010,5,1)]|=I345</t>
  </si>
  <si>
    <t>:A:0:Cost_Services</t>
  </si>
  <si>
    <t>Prof Salary increase %</t>
  </si>
  <si>
    <t>Principal amount of long-term loans (excluding bonds), by time period</t>
  </si>
  <si>
    <t>:A:0:Long_Assets</t>
  </si>
  <si>
    <t>(Ranges)'!Prof_Staff_Cost_Applied_Practice_Areas_Practice_2</t>
  </si>
  <si>
    <t>Inputs!Engage_Hrs_Applied_ET_Engage_Time_Period_1_Engagements_Engage_2_Prof_Staff_Types_Prof_Level_2</t>
  </si>
  <si>
    <t>Sales_Lead_Hrs_Expire_pct_Yr["Sales_Lead_Quality.Lead_Qual_2", "Practice_Areas.Practice_1", "Prof_Staff_Types.Prof_Level_1", "Channels.Channels_1", DATE(2010,11,1)]|=O113</t>
  </si>
  <si>
    <t>Prof_Staff_Salary_Avg_Initial_Yr</t>
  </si>
  <si>
    <t xml:space="preserve">  Period_3</t>
  </si>
  <si>
    <t>:A:-1:Engage_Hrs_Billed_ET</t>
  </si>
  <si>
    <t>:D:-1:Equity</t>
  </si>
  <si>
    <t>Debt Ratio</t>
  </si>
  <si>
    <t>Sales_Lead_Hrs_Conv_pct_Yr["Sales_Lead_Quality.Lead_Qual_1", "Practice_Areas.Practice_2", "Prof_Staff_Types.Prof_Level_1", "Channels.Channels_2", DATE(2010,6,1)]|=J93</t>
  </si>
  <si>
    <t>Cash_Flow_Expect_Factor[DATE(2010,3,1)]|=G439</t>
  </si>
  <si>
    <t>:A:-1:Orders_Filled_Hrs_Plot</t>
  </si>
  <si>
    <t>Depreciation expense for each tagged asset, by time period. Possible values are "SLN" (linear), "SYD" (sum of digits), and "DDB" (double declining balance); the default method is "SLN".</t>
  </si>
  <si>
    <t>:A:-1:Sales_Lead_Hrs_Expire_pct_Yr</t>
  </si>
  <si>
    <t>Cost_Services_Supplies_Hr["Practice_Areas.Practice_2", "Prof_Staff_Types.Prof_Level_1", "Supply_Types.Supply_Type_1", "Channels.Channels_1", DATE(2010,3,1)]|=G169</t>
  </si>
  <si>
    <t>Staff hours from order backlog (from small engagements in the the sales funnel) that are fulfilled and billed in each time period, segmented by Practice Area and Professional Staff Type. This variable is used for plotting only.</t>
  </si>
  <si>
    <t>(Ranges)'!Revenue_Channel_Channels_Channels_2_Practice_Areas_Practice_2_Prof_Staff_Types_Prof_Level_1</t>
  </si>
  <si>
    <t>:A:0:Tagged_Asset_Purch</t>
  </si>
  <si>
    <t>Accts_Pay_Targ_Days["Accts_Pay_Type.Payroll_Pay", DATE(2010,2,1)]|=G411</t>
  </si>
  <si>
    <t>Sales_Lead_Hrs_Conv_pct_Yr["Sales_Lead_Quality.Lead_Qual_1", "Practice_Areas.Practice_2", "Prof_Staff_Types.Prof_Level_1", "Channels.Channels_1", DATE(2010,8,1)]|=L92</t>
  </si>
  <si>
    <t>Channels_Dim</t>
  </si>
  <si>
    <t>Sup_Staff_Count_Early["Depts.Marketing", "Sup_Staff_Levels.Contributor", DATE(2010,11,1)]|=O198</t>
  </si>
  <si>
    <t>Prof_Staff_Openings</t>
  </si>
  <si>
    <t>Untagged_Asset_Purch_Params["Untagged_Asset_Purch_Params.Per_New_Prof_Staff", "Untagged_Asset_Type.Office_Equip"]|=0/2/5</t>
  </si>
  <si>
    <t>Per_Prof_Staff_Exp_Yr["Prof_Staff_Types.Prof_Level_2", "Empl_Rel_Exp_Type.Travel_Entertain", DATE(2010,2,1)]|=F323</t>
  </si>
  <si>
    <t>Empl_Rel_Exp_Type, Prof_Staff_Types</t>
  </si>
  <si>
    <t>Mktg_Pgms_Exp_Early["Mktg_Pgms.Publications", "Practice_Areas.Practice_1", DATE(2010,5,1)]|=I278</t>
  </si>
  <si>
    <t>Cost_Services_Supplies_Hr</t>
  </si>
  <si>
    <t>Sales_Lead_Hrs_Expire_pct_Yr["Sales_Lead_Quality.Lead_Qual_1", "Practice_Areas.Practice_1", "Prof_Staff_Types.Prof_Level_2", "Channels.Channels_2", DATE(2011,1,1)]|=Q108</t>
  </si>
  <si>
    <t>Mktg_Pgms, Practice_Areas</t>
  </si>
  <si>
    <t>Interest_Rate_Earned_Cash_Yr[DATE(2010,1,1)]|=0</t>
  </si>
  <si>
    <t>:A:0:Untagged_Asset_Purch</t>
  </si>
  <si>
    <t>:D:0:Sup_Staff_Levels</t>
  </si>
  <si>
    <t>:A:-1:Income_Tax_Rate</t>
  </si>
  <si>
    <t>Per_Sup_Staff_Exp_Yr["Depts.Sales", "Empl_Rel_Exp_Type.Other", DATE(2010,4,1)]|=H331</t>
  </si>
  <si>
    <t>Office_Maint_Rate_Yr[DATE(2010,12,1)]|=P307</t>
  </si>
  <si>
    <t>Sales_Lead_Hrs_New["Sales_Lead_Quality.Lead_Qual_1", "Practice_Areas.Practice_1", "Prof_Staff_Types.Prof_Level_1", "Channels.Channels_2", DATE(2010,7,1)]|=2*K69-J69</t>
  </si>
  <si>
    <t>Engage_Start_Time</t>
  </si>
  <si>
    <t>Facil_Other_Exp_Yr[DATE(2010,6,1)]|=J308</t>
  </si>
  <si>
    <t>Practice_Dev_Sup_Staff_Count["Practice_Areas.Practice_2", "Depts.Sales", "Sup_Staff_Levels.Contributor", DATE(2010,5,1)]|=I298</t>
  </si>
  <si>
    <t>Office_Space_per_Person[DATE(2011,5,1)]|=U304</t>
  </si>
  <si>
    <t>Untagged_Asset_Name["Asset_Tags.Building_A"]|="Tagged Asset "&amp;1</t>
  </si>
  <si>
    <t>Prof_Fees_per_Hr_Nominal["Practice_Areas.Practice_2", "Prof_Staff_Types.Prof_Level_2", DATE(2010,10,1)]|=N141</t>
  </si>
  <si>
    <t>Discount_Rate_Direct_Yr[DATE(2010,11,1)]|=O348</t>
  </si>
  <si>
    <t>(Tables)'!Prof_Staff_Count1_Practice_Areas_Practice_2_Prof_Staff_Types_Prof_Level_1</t>
  </si>
  <si>
    <t>:A:-1:Prof_Staff_Billings_Nom_Fees</t>
  </si>
  <si>
    <t>:A:0:Practice_Area</t>
  </si>
  <si>
    <t>:A:0:Taxable_Income</t>
  </si>
  <si>
    <t>Cost_Services_TandE_Hr["Practice_Areas.Practice_1", "Prof_Staff_Types.Prof_Level_1", "Channels.Channels_2", DATE(2010,2,1)]|=F154</t>
  </si>
  <si>
    <t>Sales_Lead_Hrs_Expire_pct_Yr["Sales_Lead_Quality.Lead_Qual_1", "Practice_Areas.Practice_1", "Prof_Staff_Types.Prof_Level_2", "Channels.Channels_2", DATE(2010,2,1)]|=F108</t>
  </si>
  <si>
    <t>Per_Sup_Staff_Exp_Yr["Depts.Sales", "Empl_Rel_Exp_Type.Other", DATE(2010,6,1)]|=J331</t>
  </si>
  <si>
    <t>The ratio (sales department expense) / revenue, by time period</t>
  </si>
  <si>
    <t>Tagged_Asset_Salvage_Value["Asset_Tags.Building_B"]|=0/2</t>
  </si>
  <si>
    <t>Cost_Services_Supplies_Hr["Practice_Areas.Practice_2", "Prof_Staff_Types.Prof_Level_1", "Supply_Types.Supply_Type_1", "Channels.Channels_1", DATE(2010,12,1)]|=P169</t>
  </si>
  <si>
    <t>(Ranges)'!Gross_Margin_Practice_Areas_Practice_2_Prof_Staff_Types</t>
  </si>
  <si>
    <t>:A:-1:Prof_Fee_Discount_pct</t>
  </si>
  <si>
    <t>Prof_Fee_Discount_pct["Practice_Areas.Practice_1", "Prof_Staff_Types.Prof_Level_1", DATE(2010,6,1)]|=J143</t>
  </si>
  <si>
    <t>Prof_Staff_Targ_Util_pct["Practice_Areas.Practice_1", "Prof_Staff_Types.Prof_Level_1", DATE(2010,12,1)]|=P189</t>
  </si>
  <si>
    <t>Recruit_Expense</t>
  </si>
  <si>
    <t>(Ranges)'!Prof_Staff_Hrs_Unapplied_Practice_Areas_Practice_2_Prof_Staff_Types</t>
  </si>
  <si>
    <t>Sales_Lead_Hrs_Conv_pct_Yr["Sales_Lead_Quality.Lead_Qual_2", "Practice_Areas.Practice_2", "Prof_Staff_Types.Prof_Level_2", "Channels.Channels_2", DATE(2010,1,1)]|=0.50</t>
  </si>
  <si>
    <t>:A:-1:Tail_Growth_Rate</t>
  </si>
  <si>
    <t>Sales_Lead_Hrs_Conv_pct_Yr["Sales_Lead_Quality.Lead_Qual_1", "Practice_Areas.Practice_1", "Prof_Staff_Types.Prof_Level_2", "Channels.Channels_1", DATE(2010,7,1)]|=K90</t>
  </si>
  <si>
    <t>Sales_Lead_Hrs_Conv_pct_Yr["Sales_Lead_Quality.Lead_Qual_1", "Practice_Areas.Practice_2", "Prof_Staff_Types.Prof_Level_1", "Channels.Channels_1", DATE(2010,5,1)]|=I92</t>
  </si>
  <si>
    <t>dimitemnum("Engagements")+1</t>
  </si>
  <si>
    <t>Cost_Services_Supplies_Hr["Practice_Areas.Practice_2", "Prof_Staff_Types.Prof_Level_1", "Supply_Types.Supply_Type_1", "Channels.Channels_1", DATE(2010,2,1)]|=F169</t>
  </si>
  <si>
    <t>:A:-1:Order_Backlog_Hrs_Init</t>
  </si>
  <si>
    <t>Depreciation expense for each type of untagged asset, with individual untagged assets combined, by time period purchased. 
Untagged assets are those not worth the effort to track separately (e.g. desks, PCs). Depreciation method is declining balance, with remaining book value depreciated in the final year of life.</t>
  </si>
  <si>
    <t>Cost_Services_Supplies_Hr["Practice_Areas.Practice_1", "Prof_Staff_Types.Prof_Level_2", "Supply_Types.Supply_Type_2", "Channels.Channels_2", DATE(2010,12,1)]|=P168</t>
  </si>
  <si>
    <t>Engage_Labor_pct["Engagements.Engage_1", "Prof_Staff_Types.Prof_Level_1"]|=1/max(1, 2)</t>
  </si>
  <si>
    <t>if(Revenue=0, 0, Gross_Margin/Revenue)</t>
  </si>
  <si>
    <t>:D:-1:Asset_Tags</t>
  </si>
  <si>
    <t>Sales_Lead_Hrs_New["Sales_Lead_Quality.Lead_Qual_1", "Practice_Areas.Practice_1", "Prof_Staff_Types.Prof_Level_1", "Channels.Channels_2", DATE(2010,3,1)]|=2*G69-F69</t>
  </si>
  <si>
    <t>Tagged_Asset_Salvage_Value["Asset_Tags.Building_A"]|=0/2</t>
  </si>
  <si>
    <t xml:space="preserve">  Lead_Qual_1</t>
  </si>
  <si>
    <t>:A:-1:Prof_Staff_Count1</t>
  </si>
  <si>
    <t xml:space="preserve">  Lead_Qual_2</t>
  </si>
  <si>
    <t>Cumulative average growth rate of revenue over model time, excluding year 1, using a least squares fit to historical revenue, segmented by product. This method gives a more stable estimate of CAGR than using just the first and last period revenues.</t>
  </si>
  <si>
    <t>Sales_Lead_Hrs_Expire_pct_Yr["Sales_Lead_Quality.Lead_Qual_2", "Practice_Areas.Practice_1", "Prof_Staff_Types.Prof_Level_2", "Channels.Channels_1", DATE(2010,9,1)]|=M115</t>
  </si>
  <si>
    <t>Prof_Fee_Discount_pct["Practice_Areas.Practice_2", "Prof_Staff_Types.Prof_Level_2", DATE(2010,1,1)]|=0</t>
  </si>
  <si>
    <t>Prof_Staff_Salary_incr_pct["Prof_Staff_Types.Prof_Level_1", DATE(2010,9,1)]|=M212</t>
  </si>
  <si>
    <t>:A:0:Cash_Targ_Days</t>
  </si>
  <si>
    <t>Period 4</t>
  </si>
  <si>
    <t>Long_Loans[DATE(2010,12,1)]|=Q421</t>
  </si>
  <si>
    <t>:D:0:Practice_Areas</t>
  </si>
  <si>
    <t>Per_Sup_Staff_Exp_Yr["Depts.Marketing", "Empl_Rel_Exp_Type.Travel_Entertain", DATE(2010,1,1)]|=0</t>
  </si>
  <si>
    <t>Engage_Billings</t>
  </si>
  <si>
    <t>Orders_Filled_Hrs_pct["Practice_Areas.Practice_1", "Prof_Staff_Types.Prof_Level_1", "Channels.Channels_1", DATE(2011,1,1)]|=Q122</t>
  </si>
  <si>
    <t>:D:0:Channels.Channels_1</t>
  </si>
  <si>
    <t>Inventory</t>
  </si>
  <si>
    <t>Sales_Lead_Hrs_Conv_pct_Yr["Sales_Lead_Quality.Lead_Qual_2", "Practice_Areas.Practice_2", "Prof_Staff_Types.Prof_Level_1", "Channels.Channels_2", DATE(2010,2,1)]|=F101</t>
  </si>
  <si>
    <t>Practice_Dev_Prof_Staff_Count["Practice_Areas.Practice_1", "Prof_Staff_Types.Prof_Level_1", DATE(2011,4,1)]|=T286</t>
  </si>
  <si>
    <t>Practice_Dev_Sup_Staff_Count["Practice_Areas.Practice_2", "Depts.Sales", "Sup_Staff_Levels.Manager", DATE(2011,5,1)]|=U297</t>
  </si>
  <si>
    <t>if(Liabilities["Liabilities.Short"]=0, 0, (Assets["Assets.Short"]-Assets["Assets.Short.Inventory"])/Liabilities["Liabilities.Short"])</t>
  </si>
  <si>
    <t>Prof Staff Target Util %</t>
  </si>
  <si>
    <t>Cost_Services_Supplies_Hr["Practice_Areas.Practice_2", "Prof_Staff_Types.Prof_Level_1", "Supply_Types.Supply_Type_1", "Channels.Channels_2", DATE(2010,8,1)]|=L170</t>
  </si>
  <si>
    <t>Sales_Lead_Hrs_New["Sales_Lead_Quality.Lead_Qual_2", "Practice_Areas.Practice_2", "Prof_Staff_Types.Prof_Level_2", "Channels.Channels_2", DATE(2010,9,1)]|=2*M83-L83</t>
  </si>
  <si>
    <t>Short_Debt[DATE(2011,1,1)]|=max(0, '(Compute)'!O31-'(Tables)'!O1367)</t>
  </si>
  <si>
    <t>Income_Tax</t>
  </si>
  <si>
    <t>Practice_Dev_Sup_Staff_Count["Practice_Areas.Practice_2", "Depts.Marketing", "Sup_Staff_Levels.Manager", DATE(2010,9,1)]|=M295</t>
  </si>
  <si>
    <t>Untagged_Asset_Life_Yrs["Untagged_Asset_Type.Office_Equip"]|=9</t>
  </si>
  <si>
    <t>:A:0:Prof_Staff_Hrs_Applied</t>
  </si>
  <si>
    <t>Tagged_Asset_Deprec_Method["Asset_Tags.Building_A"]|="SLN"</t>
  </si>
  <si>
    <t>Sales_Lead_Hrs_Expire_pct_Yr["Sales_Lead_Quality.Lead_Qual_1", "Practice_Areas.Practice_1", "Prof_Staff_Types.Prof_Level_1", "Channels.Channels_1", DATE(2010,2,1)]|=F105</t>
  </si>
  <si>
    <t>Per_Sup_Staff_Exp_Yr["Depts.Sales", "Empl_Rel_Exp_Type.Travel_Entertain", DATE(2011,4,1)]|=T330</t>
  </si>
  <si>
    <t xml:space="preserve">  Contributor</t>
  </si>
  <si>
    <t>:A:0:Retained_Earnings</t>
  </si>
  <si>
    <t>Per_Prof_Staff_Exp_Yr["Prof_Staff_Types.Prof_Level_2", "Empl_Rel_Exp_Type.Other", DATE(2010,5,1)]|=I324</t>
  </si>
  <si>
    <t>Income_Tax_Rate[DATE(2011,5,1)]|=U345</t>
  </si>
  <si>
    <t>:A:-1:Orders_Filled_Hrs_pct</t>
  </si>
  <si>
    <t>:D:0:Sales_Lead_Quality.Lead_Qual_1</t>
  </si>
  <si>
    <t>Sales_Lead_Hrs_Conv_pct_Yr["Sales_Lead_Quality.Lead_Qual_1", "Practice_Areas.Practice_2", "Prof_Staff_Types.Prof_Level_2", "Channels.Channels_2", DATE(2011,2,1)]|=R95</t>
  </si>
  <si>
    <t>ifm(current_date()=model_date(3), -first(Equity), Cash_Flow_Oper)</t>
  </si>
  <si>
    <t>Sales_Lead_Hrs_Expire_pct_Yr["Sales_Lead_Quality.Lead_Qual_2", "Practice_Areas.Practice_2", "Prof_Staff_Types.Prof_Level_2", "Channels.Channels_1", DATE(2010,11,1)]|=O119</t>
  </si>
  <si>
    <t>Cost_Services_TandE_Hr["Practice_Areas.Practice_1", "Prof_Staff_Types.Prof_Level_2", "Channels.Channels_1", DATE(2010,7,1)]|=K155</t>
  </si>
  <si>
    <t>Sales_Lead_Hrs_Init["Practice_Areas.Practice_1", "Prof_Staff_Types.Prof_Level_2", "Channels.Channels_2", "Sales_Lead_Quality.Lead_Qual_2"]|=G58</t>
  </si>
  <si>
    <t>Sup_Staff_Bonus_pct["Depts.Marketing", "Sup_Staff_Levels.Contributor", DATE(2010,4,1)]|=H234</t>
  </si>
  <si>
    <t>Discount_Rate_Direct_Yr[DATE(2010,5,1)]|=I348</t>
  </si>
  <si>
    <t>Office_Space_per_Person[DATE(2010,5,1)]|=I304</t>
  </si>
  <si>
    <t>(Tables)'!Engage_Hrs_Applied_ET_Engage_Time_Period_1</t>
  </si>
  <si>
    <t>:A:0:Company_Name</t>
  </si>
  <si>
    <t>Prof_Staff_Targ_Util_pct["Practice_Areas.Practice_2", "Prof_Staff_Types.Prof_Level_1", DATE(2011,3,1)]|=S191</t>
  </si>
  <si>
    <t>:A:0:Cash_No_Short_Debt</t>
  </si>
  <si>
    <t>Sales_Lead_Hrs_New["Sales_Lead_Quality.Lead_Qual_1", "Practice_Areas.Practice_2", "Prof_Staff_Types.Prof_Level_1", "Channels.Channels_1", DATE(2011,6,1)]|=2*V72-U72</t>
  </si>
  <si>
    <t>Per_Sup_Staff_Exp_Yr["Depts.Marketing", "Empl_Rel_Exp_Type.Supplies", DATE(2011,5,1)]|=U326</t>
  </si>
  <si>
    <t>Practice_Dev_Prof_Staff_Count["Practice_Areas.Practice_1", "Prof_Staff_Types.Prof_Level_1", DATE(2010,3,1)]|=G286</t>
  </si>
  <si>
    <t>Sup_Staff_Count_Early["Depts.Sales", "Sup_Staff_Levels.Manager", DATE(2010,7,1)]|=K199</t>
  </si>
  <si>
    <t>Engage!Orders_Filled_Practice_Areas_Practice_1_Prof_Staff_Types_Prof_Level_1_Channels</t>
  </si>
  <si>
    <t>Practice_Dev_Sup_Staff_Count["Practice_Areas.Practice_2", "Depts.Sales", "Sup_Staff_Levels.Manager", DATE(2010,4,1)]|=H297</t>
  </si>
  <si>
    <t>Prof_Staff_Salary_incr_pct["Prof_Staff_Types.Prof_Level_1", DATE(2011,1,1)]|=Q212</t>
  </si>
  <si>
    <t>Sup_Staff_Count_Early["Depts.Marketing", "Sup_Staff_Levels.Manager", DATE(2011,6,1)]|=V197</t>
  </si>
  <si>
    <t>Cost_Services_Supplies_Hr["Practice_Areas.Practice_1", "Prof_Staff_Types.Prof_Level_2", "Supply_Types.Supply_Type_1", "Channels.Channels_1", DATE(2010,8,1)]|=L165</t>
  </si>
  <si>
    <t>:D:0:Untagged_Asset_Purch_Params.Per_New_Prof_Staff</t>
  </si>
  <si>
    <t>Long_Loans-prev(Long_Loans)</t>
  </si>
  <si>
    <t>Accts_Pay_Targ_Days["Accts_Pay_Type.Vendor_Pay", DATE(2010,5,1)]|=J410</t>
  </si>
  <si>
    <t>Engage_Hrs_pct_Billed_ET["Engagements.Engage_1", "Prof_Staff_Types.Prof_Level_1", "Engage_Time.Period_4"]|=1</t>
  </si>
  <si>
    <t>Net income</t>
  </si>
  <si>
    <t>Sup_Staff_Wage_incr_pct["Sup_Staff_Levels.Manager", DATE(2011,6,1)]|=V230</t>
  </si>
  <si>
    <t>:A:0:Recruit_pct_Pos_Prof_Init</t>
  </si>
  <si>
    <t>Sales_Lead_Hrs_Conv_pct_Yr["Sales_Lead_Quality.Lead_Qual_1", "Practice_Areas.Practice_1", "Prof_Staff_Types.Prof_Level_2", "Channels.Channels_2", DATE(2010,3,1)]|=G91</t>
  </si>
  <si>
    <t>Net_Stock_Issue[DATE(2010,8,1)]|=0</t>
  </si>
  <si>
    <t>:A:-1:Practice_Dev_pct_Rev</t>
  </si>
  <si>
    <t>Sales_Lead_Hrs_New["Sales_Lead_Quality.Lead_Qual_2", "Practice_Areas.Practice_1", "Prof_Staff_Types.Prof_Level_1", "Channels.Channels_2", DATE(2010,12,1)]|=2*P77-O77</t>
  </si>
  <si>
    <t>Cost_Services_TandE_Hr["Practice_Areas.Practice_2", "Prof_Staff_Types.Prof_Level_2", "Channels.Channels_1", DATE(2010,12,1)]|=P159</t>
  </si>
  <si>
    <t>Per_Prof_Staff_Exp_Yr["Prof_Staff_Types.Prof_Level_1", "Empl_Rel_Exp_Type.Travel_Entertain", DATE(2010,9,1)]|=M320</t>
  </si>
  <si>
    <t>Practice_Dev_Prof_Staff_Count["Practice_Areas.Practice_2", "Prof_Staff_Types.Prof_Level_1", DATE(2010,12,1)]|=P288</t>
  </si>
  <si>
    <t>Formula / Data</t>
  </si>
  <si>
    <t>Engage_Discount_pct["Engagements.Engage_2", DATE(2011,3,1)]|=S149</t>
  </si>
  <si>
    <t>Prof_Fees_per_Hr_Nominal["Practice_Areas.Practice_2", "Prof_Staff_Types.Prof_Level_2", DATE(2010,11,1)]|=O141</t>
  </si>
  <si>
    <t>The amount of accounts payables at the end of a time period measured as a number of days of revenue</t>
  </si>
  <si>
    <t>Income_Tax_Rate</t>
  </si>
  <si>
    <t>Cost_Services_Supplies_Hr["Practice_Areas.Practice_2", "Prof_Staff_Types.Prof_Level_1", "Supply_Types.Supply_Type_2", "Channels.Channels_2", DATE(2010,4,1)]|=H172</t>
  </si>
  <si>
    <t>Sales_Lead_Hrs_Expire_pct_Yr["Sales_Lead_Quality.Lead_Qual_1", "Practice_Areas.Practice_1", "Prof_Staff_Types.Prof_Level_2", "Channels.Channels_1", DATE(2010,10,1)]|=N107</t>
  </si>
  <si>
    <t>Engage_Hrs_Applied_ET["Engagements.Engage_2", "Prof_Staff_Types.Prof_Level_1", "Engage_Time.Period_3"]|=if('(Tables)'!B44&lt;=G21, F26*F21*1/G21+F26*F21*min(1, max(-1, G26))*2*'(Tables)'!B44/G21/G21+F26*F21*min(1, max(-1, G26))*(-1)/G21/G21+F26*F21*min(1, max(-1, G26))*(-1)/G21, 0*F21/G21)</t>
  </si>
  <si>
    <t>Recruit_Exp_pct_Comp_Prof["Practice_Areas.Practice_1", "Prof_Staff_Types.Prof_Level_2"]|=0</t>
  </si>
  <si>
    <t>Cost_Services_Supplies_Hr["Practice_Areas.Practice_2", "Prof_Staff_Types.Prof_Level_1", "Supply_Types.Supply_Type_1", "Channels.Channels_1", DATE(2010,7,1)]|=K169</t>
  </si>
  <si>
    <t>Per_Sup_Staff_Exp_Yr["Depts.Marketing", "Empl_Rel_Exp_Type.Supplies", DATE(2010,1,1)]|=0</t>
  </si>
  <si>
    <t>Orders_Filled_Hrs_pct["Practice_Areas.Practice_1", "Prof_Staff_Types.Prof_Level_2", "Channels.Channels_1", DATE(2010,12,1)]|=P124</t>
  </si>
  <si>
    <t>Amount of order backlog that is fulfilled in each time period, expressed in bilable hours, segmented by product. This variable does not include optional rounding.</t>
  </si>
  <si>
    <t>:A:0:Office_Rent_Rate_Yr</t>
  </si>
  <si>
    <t>Prof_Staff_Targ_Util_pct["Practice_Areas.Practice_2", "Prof_Staff_Types.Prof_Level_2", DATE(2010,12,1)]|=P192</t>
  </si>
  <si>
    <t>Engage!Orders_Filled_Practice_Areas_Practice_2_Prof_Staff_Types_Prof_Level_1</t>
  </si>
  <si>
    <t>Constants K0, K1 and K2 used to compute annualized marketing department program expenses as K0 + K1 *(annualized revenue/1000)^K2. This formula is used to compute marketing program expenses after the time specified in variable 'Mktg Pgms Early Cutover'.</t>
  </si>
  <si>
    <t>:A:0:Prof_Staff_Targ_Hrs_per_HC_Yr</t>
  </si>
  <si>
    <t>Sales_Lead_Hrs_Conv_pct_Yr["Sales_Lead_Quality.Lead_Qual_1", "Practice_Areas.Practice_1", "Prof_Staff_Types.Prof_Level_1", "Channels.Channels_2", DATE(2011,1,1)]|=Q89</t>
  </si>
  <si>
    <t>Cost_Services_Supplies_Hr["Practice_Areas.Practice_2", "Prof_Staff_Types.Prof_Level_2", "Supply_Types.Supply_Type_1", "Channels.Channels_2", DATE(2010,12,1)]|=P174</t>
  </si>
  <si>
    <t>Sales_Lead_Hrs_Expire_pct_Yr["Sales_Lead_Quality.Lead_Qual_2", "Practice_Areas.Practice_2", "Prof_Staff_Types.Prof_Level_2", "Channels.Channels_1", DATE(2010,3,1)]|=G119</t>
  </si>
  <si>
    <t>Sales_Lead_Hrs_Expire_pct_Yr["Sales_Lead_Quality.Lead_Qual_2", "Practice_Areas.Practice_2", "Prof_Staff_Types.Prof_Level_2", "Channels.Channels_1", DATE(2010,9,1)]|=M119</t>
  </si>
  <si>
    <t>Practice_Dev_Sup_Staff_Count["Practice_Areas.Practice_1", "Depts.Marketing", "Sup_Staff_Levels.Contributor", DATE(2011,3,1)]|=S292</t>
  </si>
  <si>
    <t>Sales_Lead_Hrs_New["Sales_Lead_Quality.Lead_Qual_2", "Practice_Areas.Practice_1", "Prof_Staff_Types.Prof_Level_2", "Channels.Channels_1", DATE(2010,8,1)]|=2*L78-K78</t>
  </si>
  <si>
    <t>Cost_Services_Supplies_Hr["Practice_Areas.Practice_2", "Prof_Staff_Types.Prof_Level_1", "Supply_Types.Supply_Type_2", "Channels.Channels_2", DATE(2010,3,1)]|=G172</t>
  </si>
  <si>
    <t>Per_Prof_Staff_Exp_Yr["Prof_Staff_Types.Prof_Level_2", "Empl_Rel_Exp_Type.Supplies", DATE(2011,3,1)]|=S322</t>
  </si>
  <si>
    <t>Sales_Lead_Hrs_Expire_pct_Yr["Sales_Lead_Quality.Lead_Qual_2", "Practice_Areas.Practice_2", "Prof_Staff_Types.Prof_Level_2", "Channels.Channels_2", DATE(2010,2,1)]|=F120</t>
  </si>
  <si>
    <t>Office_Utilities_Rate_Yr[DATE(2010,9,1)]|=M306</t>
  </si>
  <si>
    <t>Sales_Lead_Hrs_Conv_pct_Yr["Sales_Lead_Quality.Lead_Qual_2", "Practice_Areas.Practice_2", "Prof_Staff_Types.Prof_Level_2", "Channels.Channels_2", DATE(2011,1,1)]|=Q103</t>
  </si>
  <si>
    <t>Sales_Lead_Hrs_Conv_pct_Yr["Sales_Lead_Quality.Lead_Qual_2", "Practice_Areas.Practice_2", "Prof_Staff_Types.Prof_Level_2", "Channels.Channels_1", DATE(2010,10,1)]|=N102</t>
  </si>
  <si>
    <t>Per_Prof_Staff_Exp_Yr["Prof_Staff_Types.Prof_Level_1", "Empl_Rel_Exp_Type.Other", DATE(2010,9,1)]|=M321</t>
  </si>
  <si>
    <t>Sales_Lead_Hrs_Expire_pct_Yr["Sales_Lead_Quality.Lead_Qual_1", "Practice_Areas.Practice_2", "Prof_Staff_Types.Prof_Level_1", "Channels.Channels_2", DATE(2011,3,1)]|=S110</t>
  </si>
  <si>
    <t>(Tables)'!Prof_Staff_Hrs_Engage_Practice_Areas_Practice_2_Prof_Staff_Types_Prof_Level_1</t>
  </si>
  <si>
    <t>Assets.Short.Cash</t>
  </si>
  <si>
    <t>Prof_Staff_Benefits_pct["Prof_Staff_Types.Prof_Level_1", DATE(2011,1,1)]|=Q220</t>
  </si>
  <si>
    <t>:A:-1:Engage_Billings_ET</t>
  </si>
  <si>
    <t>(Ranges)'!Revenue_Practice_Areas_Practice_2_Prof_Staff_Types_Prof_Level_2_Channels_Channels_2</t>
  </si>
  <si>
    <t>Prof_Staff_Targ_Util_pct["Practice_Areas.Practice_1", "Prof_Staff_Types.Prof_Level_2", DATE(2010,12,1)]|=P190</t>
  </si>
  <si>
    <t>Cost_Services_Supplies_Hr["Practice_Areas.Practice_1", "Prof_Staff_Types.Prof_Level_2", "Supply_Types.Supply_Type_2", "Channels.Channels_2", DATE(2011,6,1)]|=V168</t>
  </si>
  <si>
    <t>Office maintenance expense ($/sqft/Yr), by time period. Applies only to space that is allocated by employee count, not to space that is independent of employee count.</t>
  </si>
  <si>
    <t>:A:0:Sales_Lead_Hrs_Conv_pct_Yr</t>
  </si>
  <si>
    <t>Sales_Lead_Hrs_Conv_pct_Yr["Sales_Lead_Quality.Lead_Qual_2", "Practice_Areas.Practice_2", "Prof_Staff_Types.Prof_Level_2", "Channels.Channels_1", DATE(2010,11,1)]|=O102</t>
  </si>
  <si>
    <t>Prof_Staff_Targ_Util_pct["Practice_Areas.Practice_1", "Prof_Staff_Types.Prof_Level_2", DATE(2011,1,1)]|=Q190</t>
  </si>
  <si>
    <t>Sales_Lead_Hrs_Conv_pct_Yr["Sales_Lead_Quality.Lead_Qual_2", "Practice_Areas.Practice_2", "Prof_Staff_Types.Prof_Level_2", "Channels.Channels_2", DATE(2010,3,1)]|=G103</t>
  </si>
  <si>
    <t>Cost_Services_Supplies_Hr["Practice_Areas.Practice_1", "Prof_Staff_Types.Prof_Level_1", "Supply_Types.Supply_Type_1", "Channels.Channels_2", DATE(2011,1,1)]|=Q162</t>
  </si>
  <si>
    <t>Number of early time periods in which explicit input data for Professional Staff Headcount (in variable Prof_Staff_Count_Early) are used, before the utilization-based formula takes over. 
If the cutoff time is 0, then the the formula determines Professional Staff Headcount for all time periods. If the cutoff time is past the end of model time, then you can specify Professional Staff Headcount for all time periods.</t>
  </si>
  <si>
    <t>Sup_Staff_Wage_Avg_Initial_Yr["Sup_Staff_Levels.Contributor", "Depts.Marketing"]|=80000</t>
  </si>
  <si>
    <t>Office_Rent_Rate_Yr[DATE(2011,3,1)]|=S305</t>
  </si>
  <si>
    <t>Sales_Lead_Hrs_New["Sales_Lead_Quality.Lead_Qual_2", "Practice_Areas.Practice_2", "Prof_Staff_Types.Prof_Level_1", "Channels.Channels_1", DATE(2010,9,1)]|=2*M80-L80</t>
  </si>
  <si>
    <t>Per_Prof_Staff_Exp_Yr["Prof_Staff_Types.Prof_Level_1", "Empl_Rel_Exp_Type.Other", DATE(2011,3,1)]|=S321</t>
  </si>
  <si>
    <t>(Ranges)'!Sup_Staff_Count_Depts_Marketing_Sup_Staff_Levels</t>
  </si>
  <si>
    <t>:A:-1:G_A_Exp_K</t>
  </si>
  <si>
    <t>Untagged_Asset_Life_Yrs</t>
  </si>
  <si>
    <t>Accts_Pay_Targ_Days["Accts_Pay_Type.Vendor_Pay", DATE(2011,1,1)]|=R410</t>
  </si>
  <si>
    <t>:D:1:Liabilities.Long</t>
  </si>
  <si>
    <t>Sup_Staff_Count_K["Depts.Sales", "Sup_Staff_Levels.Manager", "Konst.K2"]|=1</t>
  </si>
  <si>
    <t>Sales_Lead_Hrs_Expire_pct_Yr["Sales_Lead_Quality.Lead_Qual_1", "Practice_Areas.Practice_2", "Prof_Staff_Types.Prof_Level_1", "Channels.Channels_2", DATE(2010,4,1)]|=H110</t>
  </si>
  <si>
    <t>Orders_Filled_Hrs_pct["Practice_Areas.Practice_2", "Prof_Staff_Types.Prof_Level_1", "Channels.Channels_2", DATE(2010,9,1)]|=M127</t>
  </si>
  <si>
    <t>Accts_Pay_Targ_Days["Accts_Pay_Type.Tax_Pay", DATE(2011,1,1)]|=R412</t>
  </si>
  <si>
    <t>(Compute)'!Valuation_Equity_Time_Period</t>
  </si>
  <si>
    <t>Cash No Short Debt</t>
  </si>
  <si>
    <t>Accounts Payable</t>
  </si>
  <si>
    <t>Prof_Staff_Targ_Util_pct["Practice_Areas.Practice_1", "Prof_Staff_Types.Prof_Level_1", DATE(2011,3,1)]|=S189</t>
  </si>
  <si>
    <t>(Compute)'!Engage_Billings_Time_Period</t>
  </si>
  <si>
    <t>Sales_Commis_Rate[DATE(2011,5,1)]|=U246</t>
  </si>
  <si>
    <t>Cost_Services_Supplies_Hr["Practice_Areas.Practice_2", "Prof_Staff_Types.Prof_Level_2", "Supply_Types.Supply_Type_1", "Channels.Channels_2", DATE(2010,2,1)]|=F174</t>
  </si>
  <si>
    <t>Sup_Staff_Count_Early["Depts.Sales", "Sup_Staff_Levels.Manager", DATE(2010,9,1)]|=M199</t>
  </si>
  <si>
    <t>Accts_Pay_Targ_Days["Accts_Pay_Type.Vendor_Pay", DATE(2010,8,1)]|=M410</t>
  </si>
  <si>
    <t>G &amp; A Exp Constants</t>
  </si>
  <si>
    <t>Sales_Lead_Hrs_Conv_pct_Yr["Sales_Lead_Quality.Lead_Qual_1", "Practice_Areas.Practice_1", "Prof_Staff_Types.Prof_Level_2", "Channels.Channels_1", DATE(2010,5,1)]|=I90</t>
  </si>
  <si>
    <t>Interest_Rate_Short_Yr[DATE(2010,10,1)]|=N339</t>
  </si>
  <si>
    <t xml:space="preserve">  Marketing</t>
  </si>
  <si>
    <t>Cost_Services_TandE_Hr["Practice_Areas.Practice_1", "Prof_Staff_Types.Prof_Level_1", "Channels.Channels_1", DATE(2010,2,1)]|=F153</t>
  </si>
  <si>
    <t>Office_Space_per_Person[DATE(2010,4,1)]|=H304</t>
  </si>
  <si>
    <t>Sup_Staff_Wage_incr_pct["Sup_Staff_Levels.Contributor", DATE(2010,5,1)]|=I231</t>
  </si>
  <si>
    <t>:A:-1:Tagged_Asset_Life_Depr_Period</t>
  </si>
  <si>
    <t>:A:-1:Gross_Margin</t>
  </si>
  <si>
    <t>Cost_Services_Supplies_Hr["Practice_Areas.Practice_2", "Prof_Staff_Types.Prof_Level_2", "Supply_Types.Supply_Type_1", "Channels.Channels_1", DATE(2011,4,1)]|=T173</t>
  </si>
  <si>
    <t xml:space="preserve">  EngageType_2</t>
  </si>
  <si>
    <t>Cost_Services_Supplies_Hr["Practice_Areas.Practice_2", "Prof_Staff_Types.Prof_Level_2", "Supply_Types.Supply_Type_1", "Channels.Channels_1", DATE(2010,9,1)]|=M173</t>
  </si>
  <si>
    <t>Engage!Engage_Cost_TandE_Engagements_Engage_2_Prof_Staff_Types_Prof_Level_2</t>
  </si>
  <si>
    <t>Recruit_pct_Pos_Sup_Init["Depts.Marketing", "Sup_Staff_Levels.Manager"]|=0.15</t>
  </si>
  <si>
    <t>:A:0:Orders_Filled_Hrs_Plot</t>
  </si>
  <si>
    <t>Office_Space_per_Person[DATE(2010,12,1)]|=P304</t>
  </si>
  <si>
    <t>Orders_Filled_Hrs_pct["Practice_Areas.Practice_2", "Prof_Staff_Types.Prof_Level_1", "Channels.Channels_1", DATE(2010,2,1)]|=F126</t>
  </si>
  <si>
    <t>Per_Sup_Staff_Exp_Yr["Depts.Marketing", "Empl_Rel_Exp_Type.Other", DATE(2010,7,1)]|=K328</t>
  </si>
  <si>
    <t>A utility for mapping Engagements to Sales Channels</t>
  </si>
  <si>
    <t>Engage!Orders_Filled_Practice_Areas_Practice_2_Prof_Staff_Types_Prof_Level_2_Channels_Channels_1</t>
  </si>
  <si>
    <t>Cost_Services_Supplies_Hr["Practice_Areas.Practice_1", "Prof_Staff_Types.Prof_Level_1", "Supply_Types.Supply_Type_1", "Channels.Channels_1", DATE(2010,3,1)]|=G161</t>
  </si>
  <si>
    <t>Initial asset value of each tagged asset</t>
  </si>
  <si>
    <t>Net_Stock_Issue[DATE(2010,3,1)]|=0</t>
  </si>
  <si>
    <t xml:space="preserve">Prof Staff/Rev Million </t>
  </si>
  <si>
    <t>:D:2:Liabilities</t>
  </si>
  <si>
    <t>Sup_Staff_Bonus_pct["Depts.Marketing", "Sup_Staff_Levels.Contributor", DATE(2010,8,1)]|=L234</t>
  </si>
  <si>
    <t>(Sup_Staff_Wage_Expense+Sup_Staff_Bonus)*(1+Wage_Tax_pct)+Sup_Staff_Wage_Expense*Sup_Staff_Benefits_pct+if(diminfo("Depts", 0)="Sales", if(Sup_Staff_Wage_Expense&gt;0, var(Sales_Commission)*Sup_Staff_Count*Sup_Staff_Wage_Avg/Sup_Staff_Wage_Expense["Depts.Sales", "Sup_Staff_Levels"]*(1+Wage_Tax_pct), 0), 0)</t>
  </si>
  <si>
    <t>Mktg_Pgms_Exp_Early["Mktg_Pgms.Seminars", "Practice_Areas.Practice_2", DATE(2011,2,1)]|=R277</t>
  </si>
  <si>
    <t>Cost_Services_TandE_Hr["Practice_Areas.Practice_2", "Prof_Staff_Types.Prof_Level_1", "Channels.Channels_1", DATE(2011,2,1)]|=R157</t>
  </si>
  <si>
    <t>Sup_Staff_Bonus_pct["Depts.Marketing", "Sup_Staff_Levels.Contributor", DATE(2010,9,1)]|=M234</t>
  </si>
  <si>
    <t>(Tables)'!Engage_Hrs_pct_Billed_ET_Engage_Time_Period_3_Engagements_Engage_1</t>
  </si>
  <si>
    <t>(Ranges)'!Prof_Staff_Hrs_Capacity_Practice_Areas_Practice_2_Prof_Staff_Types_Prof_Level_2</t>
  </si>
  <si>
    <t>Engage_Hrs_Applied_ET["Engagements.Engage_2", "Prof_Staff_Types.Prof_Level_1", "Engage_Time.Period_4"]|=if('(Tables)'!B45&lt;=G21, F26*F21*1/G21+F26*F21*min(1, max(-1, G26))*2*'(Tables)'!B45/G21/G21+F26*F21*min(1, max(-1, G26))*(-1)/G21/G21+F26*F21*min(1, max(-1, G26))*(-1)/G21, 0*F21/G21)</t>
  </si>
  <si>
    <t>(Ranges)'!Prof_Staff_Cost_Unapplied_Practice_Areas_Practice_1_Prof_Staff_Types</t>
  </si>
  <si>
    <t>Prof_Staff_Salary_incr_pct["Prof_Staff_Types.Prof_Level_1", DATE(2010,12,1)]|=P212</t>
  </si>
  <si>
    <t>Sales_Lead_Hrs_Expire_pct_Yr["Sales_Lead_Quality.Lead_Qual_2", "Practice_Areas.Practice_2", "Prof_Staff_Types.Prof_Level_1", "Channels.Channels_1", DATE(2010,4,1)]|=H117</t>
  </si>
  <si>
    <t>Practice_Dev_Prof_Staff_Count["Practice_Areas.Practice_1", "Prof_Staff_Types.Prof_Level_2", DATE(2010,9,1)]|=M287</t>
  </si>
  <si>
    <t>Cash_Targ_Days[DATE(2011,1,1)]|=Q360</t>
  </si>
  <si>
    <t>Prof_Staff_Bonus_pct["Practice_Areas.Practice_2", "Prof_Staff_Types.Prof_Level_1", DATE(2010,5,1)]|=I217</t>
  </si>
  <si>
    <t>:A:0:Office_Maint_Rate_Yr</t>
  </si>
  <si>
    <t>Sales_Lead_Hrs_Conv_pct_Yr["Sales_Lead_Quality.Lead_Qual_2", "Practice_Areas.Practice_2", "Prof_Staff_Types.Prof_Level_2", "Channels.Channels_1", DATE(2011,2,1)]|=R102</t>
  </si>
  <si>
    <t>Sales_Lead_Hrs_Conv_pct_Yr["Sales_Lead_Quality.Lead_Qual_2", "Practice_Areas.Practice_1", "Prof_Staff_Types.Prof_Level_2", "Channels.Channels_2", DATE(2011,3,1)]|=S99</t>
  </si>
  <si>
    <t>Sales_Lead_Hrs_Conv_pct_Yr["Sales_Lead_Quality.Lead_Qual_2", "Practice_Areas.Practice_1", "Prof_Staff_Types.Prof_Level_1", "Channels.Channels_1", DATE(2010,1,1)]|=0.50</t>
  </si>
  <si>
    <t>Cost_Services_Supplies_Hr["Practice_Areas.Practice_1", "Prof_Staff_Types.Prof_Level_1", "Supply_Types.Supply_Type_2", "Channels.Channels_2", DATE(2010,8,1)]|=L164</t>
  </si>
  <si>
    <t>Engage!Engage_Billings_Engagements_Engage_1</t>
  </si>
  <si>
    <t>:D:0:Untagged_Asset_Purch_Params.Per_New_Sup_Staff</t>
  </si>
  <si>
    <t>Sales_Commis_Rev_Share[DATE(2010,4,1)]|=H247</t>
  </si>
  <si>
    <t>G&amp;A Exp Ratio</t>
  </si>
  <si>
    <t>(Ranges)'!Revenue_Practice_Areas_Practice_1</t>
  </si>
  <si>
    <t xml:space="preserve">  Travel_and_Entertain</t>
  </si>
  <si>
    <t>The purchase amount of each tagged asset, assigned to the time period that includes the purchase date. This variable is needed to express the purchase value in a time-dependent table needed for depreciation computations.</t>
  </si>
  <si>
    <t>Per_Prof_Staff_Exp_Yr["Prof_Staff_Types.Prof_Level_2", "Empl_Rel_Exp_Type.Other", DATE(2011,5,1)]|=U324</t>
  </si>
  <si>
    <t>Prof Staff Cost Engagements</t>
  </si>
  <si>
    <t>:D:0:Supply_Types</t>
  </si>
  <si>
    <t>Per_Prof_Staff_Exp_Yr["Prof_Staff_Types.Prof_Level_2", "Empl_Rel_Exp_Type.Other", DATE(2010,3,1)]|=G324</t>
  </si>
  <si>
    <t>Dev_Capd_Init</t>
  </si>
  <si>
    <t>Orders_Filled_Hrs_pct["Practice_Areas.Practice_2", "Prof_Staff_Types.Prof_Level_1", "Channels.Channels_1", DATE(2011,2,1)]|=R126</t>
  </si>
  <si>
    <t>:A:0:Tagged_Asset_Life_Phys_Yr</t>
  </si>
  <si>
    <t>Engage!Engage_Gross_Margin_Engagements_Engage_1</t>
  </si>
  <si>
    <t>Engage!Engage_Cost_TandE_Engagements_Engage_1_Prof_Staff_Types_Prof_Level_2_Supply_Types_Supply_Type_2</t>
  </si>
  <si>
    <t>Sales_Lead_Hrs_Expire_pct_Yr["Sales_Lead_Quality.Lead_Qual_2", "Practice_Areas.Practice_2", "Prof_Staff_Types.Prof_Level_2", "Channels.Channels_2", DATE(2010,8,1)]|=L120</t>
  </si>
  <si>
    <t>Prof_Fees_per_Hr_Avg*Sales_Lead_Hrs_New</t>
  </si>
  <si>
    <t>Operating_Margin_pct</t>
  </si>
  <si>
    <t>Gen_Admin_Exp+0+Sup_Staff_Rel_Exp-var(Dev_Capd_per_Period)</t>
  </si>
  <si>
    <t>:A:-1:Sup_Staff_Wage_Avg</t>
  </si>
  <si>
    <t>Practice_Dev_Sup_Staff_Count["Practice_Areas.Practice_2", "Depts.Marketing", "Sup_Staff_Levels.Contributor", DATE(2010,9,1)]|=M296</t>
  </si>
  <si>
    <t>Orders_Filled_Hrs_pct["Practice_Areas.Practice_1", "Prof_Staff_Types.Prof_Level_1", "Channels.Channels_2", DATE(2010,2,1)]|=F123</t>
  </si>
  <si>
    <t>Sales_Commis_Rev_Share[DATE(2010,8,1)]|=L247</t>
  </si>
  <si>
    <t>:A:-1:IRR_no_Tail_Yr</t>
  </si>
  <si>
    <t>Per_Sup_Staff_Exp_Yr["Depts.Sales", "Empl_Rel_Exp_Type.Travel_Entertain", DATE(2010,7,1)]|=K330</t>
  </si>
  <si>
    <t>Sales_Lead_Hrs_Conv_pct_Yr["Sales_Lead_Quality.Lead_Qual_1", "Practice_Areas.Practice_1", "Prof_Staff_Types.Prof_Level_1", "Channels.Channels_1", DATE(2010,7,1)]|=K88</t>
  </si>
  <si>
    <t>:A:-1:Dividend</t>
  </si>
  <si>
    <t>Orders_Filled_Hrs_pct["Practice_Areas.Practice_2", "Prof_Staff_Types.Prof_Level_2", "Channels.Channels_2", DATE(2011,6,1)]|=V129</t>
  </si>
  <si>
    <t>Sales_Lead_Hrs_Conv_pct_Yr["Sales_Lead_Quality.Lead_Qual_2", "Practice_Areas.Practice_1", "Prof_Staff_Types.Prof_Level_2", "Channels.Channels_1", DATE(2010,2,1)]|=F98</t>
  </si>
  <si>
    <t>Engage_Hrs_Applied</t>
  </si>
  <si>
    <t>Cost_Services_TandE_Hr["Practice_Areas.Practice_2", "Prof_Staff_Types.Prof_Level_1", "Channels.Channels_1", DATE(2010,2,1)]|=F157</t>
  </si>
  <si>
    <t>Depr Life (Yr)</t>
  </si>
  <si>
    <t>Sales_Lead_Hrs_Expire_pct_Yr["Sales_Lead_Quality.Lead_Qual_1", "Practice_Areas.Practice_2", "Prof_Staff_Types.Prof_Level_2", "Channels.Channels_2", DATE(2010,3,1)]|=G112</t>
  </si>
  <si>
    <t>Engage_Hrs_pct_Billed_ET</t>
  </si>
  <si>
    <t>Sales_Lead_Hrs_Conv_pct_Yr["Sales_Lead_Quality.Lead_Qual_2", "Practice_Areas.Practice_2", "Prof_Staff_Types.Prof_Level_1", "Channels.Channels_1", DATE(2010,5,1)]|=I100</t>
  </si>
  <si>
    <t>The fraction of revenue on which commission is paid, per time period.</t>
  </si>
  <si>
    <t>:A:0:Sales_Commis_Rev_Share</t>
  </si>
  <si>
    <t>Sales_Lead_Hrs_Conv_pct_Yr["Sales_Lead_Quality.Lead_Qual_2", "Practice_Areas.Practice_2", "Prof_Staff_Types.Prof_Level_1", "Channels.Channels_2", DATE(2010,1,1)]|=0.50</t>
  </si>
  <si>
    <t>K0</t>
  </si>
  <si>
    <t>The number of qualified sales leads, expressed in billable hours, at the start of the first time period, segmented by lead quality and by product.
The least qualified lead categories are listed first, and the most qualified categories are at the end of the list.</t>
  </si>
  <si>
    <t>Sales_Lead_Hrs_New["Sales_Lead_Quality.Lead_Qual_2", "Practice_Areas.Practice_1", "Prof_Staff_Types.Prof_Level_1", "Channels.Channels_2", DATE(2011,3,1)]|=2*S77-R77</t>
  </si>
  <si>
    <t>(Ranges)'!Prof_Staff_Hrs_Unbilled_Practice_Areas_Practice_1</t>
  </si>
  <si>
    <t>Sales_Lead_Hrs_New["Sales_Lead_Quality.Lead_Qual_2", "Practice_Areas.Practice_2", "Prof_Staff_Types.Prof_Level_1", "Channels.Channels_1", DATE(2011,2,1)]|=2*R80-Q80</t>
  </si>
  <si>
    <t>Prof_Fees_per_Hr_Nominal["Practice_Areas.Practice_1", "Prof_Staff_Types.Prof_Level_1", DATE(2010,1,1)]|=200</t>
  </si>
  <si>
    <t>Prof_Staff_Count_Early["Practice_Areas.Practice_2", "Prof_Staff_Types.Prof_Level_1", DATE(2010,12,1)]|=P186</t>
  </si>
  <si>
    <t>Interest_Rate_Short_Yr[DATE(2010,3,1)]|=G339</t>
  </si>
  <si>
    <t>Prof_Staff_Bonus_pct["Practice_Areas.Practice_1", "Prof_Staff_Types.Prof_Level_2", DATE(2011,5,1)]|=U216</t>
  </si>
  <si>
    <t>Sales_Lead_Hrs_New["Sales_Lead_Quality.Lead_Qual_1", "Practice_Areas.Practice_2", "Prof_Staff_Types.Prof_Level_1", "Channels.Channels_2", DATE(2011,4,1)]|=2*T73-S73</t>
  </si>
  <si>
    <t>Income_Tax_Rate[DATE(2010,3,1)]|=G345</t>
  </si>
  <si>
    <t>Sales_Lead_Hrs_Expire_pct_Yr["Sales_Lead_Quality.Lead_Qual_1", "Practice_Areas.Practice_1", "Prof_Staff_Types.Prof_Level_2", "Channels.Channels_1", DATE(2011,1,1)]|=Q107</t>
  </si>
  <si>
    <t>(Ranges)'!Sup_Staff_Count_Depts</t>
  </si>
  <si>
    <t>Practice_Areas, Prof_Staff_Types, Channels</t>
  </si>
  <si>
    <t>Prof_Fee_Discount_pct["Practice_Areas.Practice_2", "Prof_Staff_Types.Prof_Level_1", DATE(2010,11,1)]|=O145</t>
  </si>
  <si>
    <t>Engage!Engage_Cost_Supplies_Engagements_Engage_1_Prof_Staff_Types_Prof_Level_2</t>
  </si>
  <si>
    <t>Sup_Staff_Count_Early["Depts.Marketing", "Sup_Staff_Levels.Contributor", DATE(2011,2,1)]|=R198</t>
  </si>
  <si>
    <t>Sup_Staff_Count_Early["Depts.Marketing", "Sup_Staff_Levels.Contributor", DATE(2010,3,1)]|=G198</t>
  </si>
  <si>
    <t>Cost_Services_TandE_Hr["Practice_Areas.Practice_1", "Prof_Staff_Types.Prof_Level_2", "Channels.Channels_2", DATE(2010,11,1)]|=O156</t>
  </si>
  <si>
    <t>:A:-1:Engage_Start_Time</t>
  </si>
  <si>
    <t>Cost_Services_Supplies_Hr["Practice_Areas.Practice_1", "Prof_Staff_Types.Prof_Level_1", "Supply_Types.Supply_Type_2", "Channels.Channels_1", DATE(2010,3,1)]|=G163</t>
  </si>
  <si>
    <t>Mktg_Pgms_Exp_Early["Mktg_Pgms.Publications", "Practice_Areas.Practice_2", DATE(2010,7,1)]|=K279</t>
  </si>
  <si>
    <t>Professional Staf Cost/Hr</t>
  </si>
  <si>
    <t>Sup_Staff_Count_K</t>
  </si>
  <si>
    <t>Per_Sup_Staff_Exp_Yr["Depts.Marketing", "Empl_Rel_Exp_Type.Supplies", DATE(2010,6,1)]|=J326</t>
  </si>
  <si>
    <t>(Tables)'!Engage_Hrs_Applied_ET_Engage_Time_Period_1_Engagements_Engage_2</t>
  </si>
  <si>
    <t>Sales_Lead_Hrs_Expire_pct_Yr["Sales_Lead_Quality.Lead_Qual_2", "Practice_Areas.Practice_1", "Prof_Staff_Types.Prof_Level_2", "Channels.Channels_2", DATE(2010,7,1)]|=K116</t>
  </si>
  <si>
    <t>Mktg_Pgms_Exp_Early["Mktg_Pgms.Publications", "Practice_Areas.Practice_2", DATE(2010,2,1)]|=F279</t>
  </si>
  <si>
    <t>(Ranges)'!Net_Income</t>
  </si>
  <si>
    <t>Per_Sup_Staff_Exp_Yr["Depts.Marketing", "Empl_Rel_Exp_Type.Travel_Entertain", DATE(2010,2,1)]|=F327</t>
  </si>
  <si>
    <t>Engage_Duration["Engagements.Engage_1"]|=1+1</t>
  </si>
  <si>
    <t>:A:0:Sup_Staff_Wage_Avg_Initial_Yr</t>
  </si>
  <si>
    <t>Tagged_Asset_Life_Depr_Yr</t>
  </si>
  <si>
    <t>(Ranges)'!Liabilities_Liabilities_Short</t>
  </si>
  <si>
    <t>A list of the equity accounts that are tracked separately in the plan</t>
  </si>
  <si>
    <t>Total As</t>
  </si>
  <si>
    <t>Prof_Fee_Discount_pct["Practice_Areas.Practice_1", "Prof_Staff_Types.Prof_Level_2", DATE(2011,6,1)]|=V144</t>
  </si>
  <si>
    <t>ifm(Time&lt;=0.001, 0, prev(Untagged_Assets)-Untagged_Asset_Deprec)+Untagged_Asset_Purch</t>
  </si>
  <si>
    <t>Cost_Services_Supplies_Hr["Practice_Areas.Practice_2", "Prof_Staff_Types.Prof_Level_1", "Supply_Types.Supply_Type_2", "Channels.Channels_2", DATE(2011,3,1)]|=S172</t>
  </si>
  <si>
    <t>Engage!Engage_Hrs_Unbilled_Engagements_Engage_2_Prof_Staff_Types_Prof_Level_2</t>
  </si>
  <si>
    <t>Sales_Lead_Hrs_Expire_pct_Yr["Sales_Lead_Quality.Lead_Qual_2", "Practice_Areas.Practice_2", "Prof_Staff_Types.Prof_Level_1", "Channels.Channels_2", DATE(2010,7,1)]|=K118</t>
  </si>
  <si>
    <t>Sales_Lead_Hrs_Expire_pct_Yr["Sales_Lead_Quality.Lead_Qual_1", "Practice_Areas.Practice_2", "Prof_Staff_Types.Prof_Level_1", "Channels.Channels_1", DATE(2011,5,1)]|=U109</t>
  </si>
  <si>
    <t>:A:0:Dev_Capd_Life_Yrs</t>
  </si>
  <si>
    <t>Mktg_Pgms_K["Mktg_Pgms.Publications", "Practice_Areas.Practice_2", "Konst.K0"]|=0</t>
  </si>
  <si>
    <t>:A:0:Prof_Staff_Bonus_pct</t>
  </si>
  <si>
    <t>Prof_Fees_per_Hr_Nominal["Practice_Areas.Practice_2", "Prof_Staff_Types.Prof_Level_2", DATE(2010,5,1)]|=I141</t>
  </si>
  <si>
    <t>if(sum(ranget(Sup_Staff_Openings, model_date(1, 1)))=0, 0, sum(ranget(Sup_Staff_Recruited, model_date(1, 1)))/sum(ranget(Sup_Staff_Openings, model_date(1, 1))))</t>
  </si>
  <si>
    <t>Office_Maint_Rate_Yr[DATE(2010,1,1)]|=0</t>
  </si>
  <si>
    <t>Direct Labor</t>
  </si>
  <si>
    <t>Engage_Labor_Slope</t>
  </si>
  <si>
    <t>Cost_Services_Supplies_Hr["Practice_Areas.Practice_1", "Prof_Staff_Types.Prof_Level_2", "Supply_Types.Supply_Type_2", "Channels.Channels_2", DATE(2010,3,1)]|=G168</t>
  </si>
  <si>
    <t>Prof_Staff_Benefits_pct</t>
  </si>
  <si>
    <t>Short_Debt[DATE(2011,6,1)]|=max(0, '(Compute)'!T31-'(Tables)'!T1367)</t>
  </si>
  <si>
    <t>Recruit_pct_Positions_Prof["Practice_Areas.Practice_1", "Prof_Staff_Types.Prof_Level_1"]|=0</t>
  </si>
  <si>
    <t>Engage_Labor_pct["Engagements.Engage_2", "Prof_Staff_Types.Prof_Level_1"]|=1/max(1, 2)</t>
  </si>
  <si>
    <t>if(Time&lt;0.001+1/periods_per("year"), Prof_Staff_Count+Prof_Staff_Turnover, max(0, Prof_Staff_Count-preve(0, Prof_Staff_Count)+Prof_Staff_Turnover))</t>
  </si>
  <si>
    <t>Orders_Filled_Hrs_pct["Practice_Areas.Practice_2", "Prof_Staff_Types.Prof_Level_1", "Channels.Channels_2", DATE(2011,5,1)]|=U127</t>
  </si>
  <si>
    <t>:A:0:Engage_Channel</t>
  </si>
  <si>
    <t>Engage!Engage_Cost_Supplies_Engagements_Engage_1_Prof_Staff_Types_Prof_Level_1</t>
  </si>
  <si>
    <t>Bad_Debt_pct</t>
  </si>
  <si>
    <t>Sup_Staff_Count_Early["Depts.Sales", "Sup_Staff_Levels.Contributor", DATE(2011,6,1)]|=V200</t>
  </si>
  <si>
    <t>Sales_Lead_Hrs_Conv_pct_Yr["Sales_Lead_Quality.Lead_Qual_2", "Practice_Areas.Practice_2", "Prof_Staff_Types.Prof_Level_2", "Channels.Channels_2", DATE(2011,6,1)]|=V103</t>
  </si>
  <si>
    <t>Practice_Dev_Sup_Staff_Count["Practice_Areas.Practice_1", "Depts.Sales", "Sup_Staff_Levels.Manager", DATE(2010,6,1)]|=J293</t>
  </si>
  <si>
    <t>Mktg_Pgms_Exp_Early["Mktg_Pgms.Seminars", "Practice_Areas.Practice_1", DATE(2010,7,1)]|=K276</t>
  </si>
  <si>
    <t>Sup_Staff_Count_K["Depts.Marketing", "Sup_Staff_Levels.Contributor", "Konst.K1"]|=0</t>
  </si>
  <si>
    <t>Cost_Services_Supplies_Hr["Practice_Areas.Practice_1", "Prof_Staff_Types.Prof_Level_1", "Supply_Types.Supply_Type_1", "Channels.Channels_2", DATE(2011,5,1)]|=U162</t>
  </si>
  <si>
    <t>Sales_Lead_Hrs_Conv_pct_Yr["Sales_Lead_Quality.Lead_Qual_2", "Practice_Areas.Practice_2", "Prof_Staff_Types.Prof_Level_2", "Channels.Channels_2", DATE(2010,8,1)]|=L103</t>
  </si>
  <si>
    <t>Accts_Payable_Initial["Accts_Pay_Type.Vendor_Pay"]|=0/3</t>
  </si>
  <si>
    <t>Net_Stock_Issue[DATE(2010,2,1)]|=0</t>
  </si>
  <si>
    <t>Prof_Staff_Salary_incr_pct["Prof_Staff_Types.Prof_Level_1", DATE(2010,4,1)]|=H212</t>
  </si>
  <si>
    <t>(Compute)'!Revenue_Channel_Date</t>
  </si>
  <si>
    <t>(Ranges)'!Equity_Equity_RetainedEarnings</t>
  </si>
  <si>
    <t>:A:-1:Prof_Staff_Salary_incr_pct</t>
  </si>
  <si>
    <t>(Compute)'!Prof_Staff_Hrs_Engage_Time_Period</t>
  </si>
  <si>
    <t>Sales_Lead_Hrs_New["Sales_Lead_Quality.Lead_Qual_2", "Practice_Areas.Practice_2", "Prof_Staff_Types.Prof_Level_1", "Channels.Channels_1", DATE(2010,4,1)]|=2*H80-G80</t>
  </si>
  <si>
    <t>Prof_Fees_per_Hr_Nominal["Practice_Areas.Practice_2", "Prof_Staff_Types.Prof_Level_2", DATE(2010,6,1)]|=J141</t>
  </si>
  <si>
    <t>Sales_Lead_Hrs_New["Sales_Lead_Quality.Lead_Qual_1", "Practice_Areas.Practice_2", "Prof_Staff_Types.Prof_Level_1", "Channels.Channels_1", DATE(2011,5,1)]|=2*U72-T72</t>
  </si>
  <si>
    <t>:D:0:Prof_Staff_Types.Prof_Level_1</t>
  </si>
  <si>
    <t>:A:0:Engage_Hrs_Applied_Plot</t>
  </si>
  <si>
    <t>:A:-1:Sup_Staff_Recruited</t>
  </si>
  <si>
    <t>Sales_Lead_Hrs_Expire_pct_Yr["Sales_Lead_Quality.Lead_Qual_2", "Practice_Areas.Practice_1", "Prof_Staff_Types.Prof_Level_2", "Channels.Channels_2", DATE(2010,6,1)]|=J116</t>
  </si>
  <si>
    <t>Prof_Staff_Count_Early["Practice_Areas.Practice_1", "Prof_Staff_Types.Prof_Level_1", DATE(2010,4,1)]|=H184</t>
  </si>
  <si>
    <t>:D:0:Engage_Types.EngageType_2</t>
  </si>
  <si>
    <t>Cost_Services_Supplies_Hr["Practice_Areas.Practice_1", "Prof_Staff_Types.Prof_Level_1", "Supply_Types.Supply_Type_1", "Channels.Channels_2", DATE(2010,6,1)]|=J162</t>
  </si>
  <si>
    <t>Sup_Staff_Count1_K_on</t>
  </si>
  <si>
    <t>(Ranges)'!Revenue_Channel_Channels_Channels_1_Practice_Areas_Practice_2_Prof_Staff_Types_Prof_Level_1</t>
  </si>
  <si>
    <t>Engage_Discount_pct["Engagements.Engage_1", DATE(2011,2,1)]|=R148</t>
  </si>
  <si>
    <t>(Compute)'!Prof_Staff_Hrs_Applied_Plot_Time_Period</t>
  </si>
  <si>
    <t>Cash_Flow_Expect_Factor[DATE(2010,1,1)]|=1</t>
  </si>
  <si>
    <t>Dev_Capd_Life_Yrs</t>
  </si>
  <si>
    <t>Sales_Lead_Hrs_Conv_pct_Yr["Sales_Lead_Quality.Lead_Qual_1", "Practice_Areas.Practice_1", "Prof_Staff_Types.Prof_Level_1", "Channels.Channels_1", DATE(2011,2,1)]|=R88</t>
  </si>
  <si>
    <t>:A:0:Current_Ratio</t>
  </si>
  <si>
    <t>The ratio marketing department expense / revenue, by time period</t>
  </si>
  <si>
    <t>:D:0:Assets.Short.Cash</t>
  </si>
  <si>
    <t>Tagged_Asset_Purch</t>
  </si>
  <si>
    <t>max(0, prev(Untagged_Assets)/(periods_per("year")*Untagged_Asset_Life_Yrs)+Untagged_Asset_Purch_Lagged*(1-1/(periods_per("year")*Untagged_Asset_Life_Yrs))^(periods_per("year")*Untagged_Asset_Life_Yrs))</t>
  </si>
  <si>
    <t>Engage_Hrs_Applied_ET["Engagements.Engage_2", "Prof_Staff_Types.Prof_Level_1", "Engage_Time.Period_1"]|=if('(Tables)'!B42&lt;=G21, F26*F21*1/G21+F26*F21*min(1, max(-1, G26))*2*'(Tables)'!B42/G21/G21+F26*F21*min(1, max(-1, G26))*(-1)/G21/G21+F26*F21*min(1, max(-1, G26))*(-1)/G21, 0*F21/G21)</t>
  </si>
  <si>
    <t>Sales_Commis_Rate[DATE(2011,6,1)]|=V246</t>
  </si>
  <si>
    <t>Sup_Staff_Wage_incr_pct["Sup_Staff_Levels.Manager", DATE(2010,3,1)]|=G230</t>
  </si>
  <si>
    <t>:A:0:Oper_Exp_Ratio</t>
  </si>
  <si>
    <t>:A:0:Cost_Services_Staff</t>
  </si>
  <si>
    <t>:A:-1:Engage_Cost_TandE</t>
  </si>
  <si>
    <t>Long_Loans[DATE(2010,5,1)]|=J421</t>
  </si>
  <si>
    <t>Sales_Lead_Hrs_Init["Practice_Areas.Practice_2", "Prof_Staff_Types.Prof_Level_1", "Channels.Channels_2", "Sales_Lead_Quality.Lead_Qual_2"]|=G60</t>
  </si>
  <si>
    <t>(Ranges)'!Revenue_Practice_Areas_Practice_2_Prof_Staff_Types_Prof_Level_2_Channels</t>
  </si>
  <si>
    <t>:A:-1:Practice_Area</t>
  </si>
  <si>
    <t>Dividend[DATE(2011,5,1)]|=0</t>
  </si>
  <si>
    <t>Orders_Filled_Hrs_pct["Practice_Areas.Practice_1", "Prof_Staff_Types.Prof_Level_2", "Channels.Channels_1", DATE(2010,3,1)]|=G124</t>
  </si>
  <si>
    <t>Backlog (Hrs)</t>
  </si>
  <si>
    <t>:A:0:Net_Income</t>
  </si>
  <si>
    <t>Untagged_Asset_Purch_Params["Untagged_Asset_Purch_Params.Initial_Purchase", "Untagged_Asset_Type.Furniture"]|=0/2/5</t>
  </si>
  <si>
    <t>Dividend[DATE(2010,6,1)]|=0</t>
  </si>
  <si>
    <t>Sales_Lead_Hrs_Conv_pct_Yr["Sales_Lead_Quality.Lead_Qual_1", "Practice_Areas.Practice_1", "Prof_Staff_Types.Prof_Level_1", "Channels.Channels_2", DATE(2010,10,1)]|=N89</t>
  </si>
  <si>
    <t>G_A_Exp_Ratio</t>
  </si>
  <si>
    <t>Sup_Staff_Wage_incr_pct["Sup_Staff_Levels.Contributor", DATE(2011,1,1)]|=Q231</t>
  </si>
  <si>
    <t>Cost_Services_TandE_Hr["Practice_Areas.Practice_1", "Prof_Staff_Types.Prof_Level_2", "Channels.Channels_1", DATE(2010,8,1)]|=L155</t>
  </si>
  <si>
    <t>Sales_Lead_Hrs_Init["Practice_Areas.Practice_1", "Prof_Staff_Types.Prof_Level_2", "Channels.Channels_2", "Sales_Lead_Quality.Lead_Qual_1"]|=F58</t>
  </si>
  <si>
    <t>Office_Maint_Rate_Yr[DATE(2010,2,1)]|=F307</t>
  </si>
  <si>
    <t>Engage_Hrs_Applied_ET["Engagements.Engage_1", "Prof_Staff_Types.Prof_Level_2", "Engage_Time.Period_4"]|=if('(Tables)'!B45&lt;=G20, F25*F20*1/G20+F25*F20*min(1, max(-1, G25))*2*'(Tables)'!B45/G20/G20+F25*F20*min(1, max(-1, G25))*(-1)/G20/G20+F25*F20*min(1, max(-1, G25))*(-1)/G20, 0*F20/G20)</t>
  </si>
  <si>
    <t>Revenue at Nominal Fees</t>
  </si>
  <si>
    <t>:A:0:Prof_Staff_Count_Cutover</t>
  </si>
  <si>
    <t>Per_Prof_Staff_Exp_Yr["Prof_Staff_Types.Prof_Level_1", "Empl_Rel_Exp_Type.Supplies", DATE(2010,8,1)]|=L319</t>
  </si>
  <si>
    <t>Prof_Staff_Count_Early["Practice_Areas.Practice_1", "Prof_Staff_Types.Prof_Level_1", DATE(2010,5,1)]|=I184</t>
  </si>
  <si>
    <t>Sales_Lead_Hrs_New["Sales_Lead_Quality.Lead_Qual_2", "Practice_Areas.Practice_1", "Prof_Staff_Types.Prof_Level_2", "Channels.Channels_2", DATE(2010,9,1)]|=2*M79-L79</t>
  </si>
  <si>
    <t>Engage_Labor_pct["Engagements.Engage_2", "Prof_Staff_Types.Prof_Level_2"]|=1/max(1, 2)</t>
  </si>
  <si>
    <t>:D:-1:Prof_Staff_Types</t>
  </si>
  <si>
    <t>Sup_Staff_Rel_Exp</t>
  </si>
  <si>
    <t>Sales_Lead_Hrs_New["Sales_Lead_Quality.Lead_Qual_2", "Practice_Areas.Practice_2", "Prof_Staff_Types.Prof_Level_2", "Channels.Channels_1", DATE(2010,12,1)]|=2*P82-O82</t>
  </si>
  <si>
    <t>Sales_Lead_Hrs_New["Sales_Lead_Quality.Lead_Qual_1", "Practice_Areas.Practice_1", "Prof_Staff_Types.Prof_Level_1", "Channels.Channels_1", DATE(2010,5,1)]|=2*I68-H68</t>
  </si>
  <si>
    <t>ifm(Time&lt;=0.001, Order_Backlog_Hrs_Init, preve(Order_Backlog_Hrs_Init, Order_Backlog_Hrs)+lastd("Sales_Lead_Quality", (preve(Sales_Lead_Hrs_Init, Sales_Leads_Hrs)+Sales_Lead_Hrs_New)*Sales_Lead_Hrs_Conv_pct)-Orders_Filled_Hrs)</t>
  </si>
  <si>
    <t>Engage_Hrs_Applied_ET["Engagements.Engage_1", "Prof_Staff_Types.Prof_Level_1", "Engage_Time.Period_2"]|=if('(Tables)'!B43&lt;=G20, F24*F20*1/G20+F24*F20*min(1, max(-1, G24))*2*'(Tables)'!B43/G20/G20+F24*F20*min(1, max(-1, G24))*(-1)/G20/G20+F24*F20*min(1, max(-1, G24))*(-1)/G20, 0*F20/G20)</t>
  </si>
  <si>
    <t>:A:0:Engage_Hrs_Applied_ET</t>
  </si>
  <si>
    <t>Gross_Margin_pct_Channel</t>
  </si>
  <si>
    <t>:D:2:Supply_Types.Supply_Type_1</t>
  </si>
  <si>
    <t>Cost_Services_TandE_Hr["Practice_Areas.Practice_1", "Prof_Staff_Types.Prof_Level_2", "Channels.Channels_1", DATE(2010,6,1)]|=J155</t>
  </si>
  <si>
    <t>Interest_Rate_Short_Yr[DATE(2010,7,1)]|=K339</t>
  </si>
  <si>
    <t>Per_Prof_Staff_Exp_Yr["Prof_Staff_Types.Prof_Level_1", "Empl_Rel_Exp_Type.Supplies", DATE(2011,1,1)]|=Q319</t>
  </si>
  <si>
    <t>:A:-1:Accts_Receivable</t>
  </si>
  <si>
    <t>Per_Prof_Staff_Exp_Yr*Prof_Staff_Count/periods_per("year")</t>
  </si>
  <si>
    <t>Sales_Lead_Hrs_Conv_pct_Yr["Sales_Lead_Quality.Lead_Qual_1", "Practice_Areas.Practice_2", "Prof_Staff_Types.Prof_Level_1", "Channels.Channels_2", DATE(2010,12,1)]|=P93</t>
  </si>
  <si>
    <t>:A:-1:Gross_Margin_Channel</t>
  </si>
  <si>
    <t>Prof_Staff_Targ_Util_pct["Practice_Areas.Practice_1", "Prof_Staff_Types.Prof_Level_1", DATE(2011,6,1)]|=V189</t>
  </si>
  <si>
    <t>Accts_Pay_Targ_Days["Accts_Pay_Type.Tax_Pay", DATE(2010,10,1)]|=O412</t>
  </si>
  <si>
    <t>Cost_Services_Supplies_Hr["Practice_Areas.Practice_1", "Prof_Staff_Types.Prof_Level_1", "Supply_Types.Supply_Type_1", "Channels.Channels_2", DATE(2010,2,1)]|=F162</t>
  </si>
  <si>
    <t>Prof_Fee_Discount_pct["Practice_Areas.Practice_2", "Prof_Staff_Types.Prof_Level_1", DATE(2010,5,1)]|=I145</t>
  </si>
  <si>
    <t>Discount_Rate_Direct_Yr[DATE(2010,7,1)]|=K348</t>
  </si>
  <si>
    <t>(Compute)'!Prof_Staff_Count_Date</t>
  </si>
  <si>
    <t>(Ranges)'!Prof_Staff_Hrs_Unbilled_Practice_Areas_Practice_2_Prof_Staff_Types_Prof_Level_1</t>
  </si>
  <si>
    <t>Cost_Services_Supplies_Hr["Practice_Areas.Practice_2", "Prof_Staff_Types.Prof_Level_2", "Supply_Types.Supply_Type_1", "Channels.Channels_1", DATE(2010,4,1)]|=H173</t>
  </si>
  <si>
    <t>Dev_Capd_Asset</t>
  </si>
  <si>
    <t>Sales_Lead_Hrs_New["Sales_Lead_Quality.Lead_Qual_1", "Practice_Areas.Practice_2", "Prof_Staff_Types.Prof_Level_1", "Channels.Channels_1", DATE(2010,11,1)]|=2*O72-N72</t>
  </si>
  <si>
    <t>(Ranges)'!Prof_Staff_Count_Practice_Areas_Practice_2_Prof_Staff_Types_Prof_Level_2</t>
  </si>
  <si>
    <t>(Compute)'!Liabilities_Date</t>
  </si>
  <si>
    <t>Cost_Services_Supplies_Hr["Practice_Areas.Practice_2", "Prof_Staff_Types.Prof_Level_2", "Supply_Types.Supply_Type_2", "Channels.Channels_2", DATE(2010,12,1)]|=P176</t>
  </si>
  <si>
    <t>Accts_Pay_Targ_Days["Accts_Pay_Type.Tax_Pay", DATE(2010,9,1)]|=N412</t>
  </si>
  <si>
    <t>:A:-1:Tail_Discount_Rate</t>
  </si>
  <si>
    <t>:A:-1:Revenue_CAGR</t>
  </si>
  <si>
    <t>:A:-1:Discount_Rate_Direct_Yr</t>
  </si>
  <si>
    <t>Per_Sup_Staff_Exp_Yr["Depts.Sales", "Empl_Rel_Exp_Type.Supplies", DATE(2011,2,1)]|=R329</t>
  </si>
  <si>
    <t>(Ranges)'!Gross_Margin_Channel_Channels_Channels_1_Practice_Areas</t>
  </si>
  <si>
    <t>Total Sources of Cash</t>
  </si>
  <si>
    <t>Sales_Lead_Hrs_Conv_pct_Yr["Sales_Lead_Quality.Lead_Qual_2", "Practice_Areas.Practice_2", "Prof_Staff_Types.Prof_Level_2", "Channels.Channels_2", DATE(2010,9,1)]|=M103</t>
  </si>
  <si>
    <t>Prof_Staff_Benefits_pct["Prof_Staff_Types.Prof_Level_1", DATE(2011,4,1)]|=T220</t>
  </si>
  <si>
    <t>Sales_Lead_Hrs_Expire_pct_Yr["Sales_Lead_Quality.Lead_Qual_2", "Practice_Areas.Practice_2", "Prof_Staff_Types.Prof_Level_1", "Channels.Channels_2", DATE(2010,1,1)]|=0.30</t>
  </si>
  <si>
    <t>Tail_Growth_Rate_Yr[]|</t>
  </si>
  <si>
    <t>Sup_Staff_Wage_incr_pct["Sup_Staff_Levels.Manager", DATE(2011,1,1)]|=Q230</t>
  </si>
  <si>
    <t>Sales_Lead_Hrs_Conv_pct_Yr["Sales_Lead_Quality.Lead_Qual_2", "Practice_Areas.Practice_2", "Prof_Staff_Types.Prof_Level_2", "Channels.Channels_2", DATE(2010,12,1)]|=P103</t>
  </si>
  <si>
    <t>Prof Staff Hrs Applied</t>
  </si>
  <si>
    <t>Practice_Dev_Prof_Staff_Count["Practice_Areas.Practice_2", "Prof_Staff_Types.Prof_Level_1", DATE(2011,6,1)]|=V288</t>
  </si>
  <si>
    <t>:A:-1:Accts_Pay_Days</t>
  </si>
  <si>
    <t>Dividend[DATE(2011,2,1)]|=0</t>
  </si>
  <si>
    <t>Cost_Services_Supplies_Hr["Practice_Areas.Practice_2", "Prof_Staff_Types.Prof_Level_1", "Supply_Types.Supply_Type_1", "Channels.Channels_1", DATE(2010,9,1)]|=M169</t>
  </si>
  <si>
    <t>Sales_Lead_Hrs_New["Sales_Lead_Quality.Lead_Qual_1", "Practice_Areas.Practice_2", "Prof_Staff_Types.Prof_Level_2", "Channels.Channels_2", DATE(2010,5,1)]|=2*I75-H75</t>
  </si>
  <si>
    <t>Chg Bond Principal</t>
  </si>
  <si>
    <t>Operating Expense</t>
  </si>
  <si>
    <t>:D:2:Konst</t>
  </si>
  <si>
    <t>Per_Sup_Staff_Exp_Yr["Depts.Marketing", "Empl_Rel_Exp_Type.Supplies", DATE(2010,4,1)]|=H326</t>
  </si>
  <si>
    <t xml:space="preserve">  Facil_Util_Exp</t>
  </si>
  <si>
    <t>Dividend[DATE(2010,9,1)]|=0</t>
  </si>
  <si>
    <t>Cost_Services_TandE_Hr["Practice_Areas.Practice_2", "Prof_Staff_Types.Prof_Level_1", "Channels.Channels_2", DATE(2010,5,1)]|=I158</t>
  </si>
  <si>
    <t>Practice_Dev_Sup_Staff_Count["Practice_Areas.Practice_1", "Depts.Sales", "Sup_Staff_Levels.Contributor", DATE(2010,2,1)]|=F294</t>
  </si>
  <si>
    <t>Sales_Lead_Hrs_New["Sales_Lead_Quality.Lead_Qual_2", "Practice_Areas.Practice_1", "Prof_Staff_Types.Prof_Level_2", "Channels.Channels_2", DATE(2010,10,1)]|=2*N79-M79</t>
  </si>
  <si>
    <t>:A:0:Prof_Staff_Hrs_Unbilled</t>
  </si>
  <si>
    <t>Prof_Staff_Count_Early["Practice_Areas.Practice_1", "Prof_Staff_Types.Prof_Level_1", DATE(2010,10,1)]|=N184</t>
  </si>
  <si>
    <t>Practice_Dev_Prof_Staff_Count["Practice_Areas.Practice_2", "Prof_Staff_Types.Prof_Level_1", DATE(2010,4,1)]|=H288</t>
  </si>
  <si>
    <t>Paid_In_Capital</t>
  </si>
  <si>
    <t>:D:2:Empl_Rel_Exp_Type.Supplies</t>
  </si>
  <si>
    <t>Prof_Staff_Count_Early["Practice_Areas.Practice_1", "Prof_Staff_Types.Prof_Level_2", DATE(2010,2,1)]|=F185</t>
  </si>
  <si>
    <t>IRR_w_Tail_Yr</t>
  </si>
  <si>
    <t>Data:</t>
  </si>
  <si>
    <t>Sales_Lead_Hrs_Expire_pct_Yr["Sales_Lead_Quality.Lead_Qual_1", "Practice_Areas.Practice_1", "Prof_Staff_Types.Prof_Level_2", "Channels.Channels_2", DATE(2010,9,1)]|=M108</t>
  </si>
  <si>
    <t>Per_Sup_Staff_Exp_Yr["Depts.Sales", "Empl_Rel_Exp_Type.Supplies", DATE(2011,5,1)]|=U329</t>
  </si>
  <si>
    <t>:A:-1:Prof_Staff_Count_plt</t>
  </si>
  <si>
    <t>Retained_Earnings</t>
  </si>
  <si>
    <t>Cost_Services_Supplies_Hr["Practice_Areas.Practice_1", "Prof_Staff_Types.Prof_Level_1", "Supply_Types.Supply_Type_1", "Channels.Channels_1", DATE(2010,8,1)]|=L161</t>
  </si>
  <si>
    <t>Interest_Rate_Long_Yr[DATE(2010,4,1)]|=H340</t>
  </si>
  <si>
    <t>Sales_Lead_Hrs_Conv_pct_Yr["Sales_Lead_Quality.Lead_Qual_2", "Practice_Areas.Practice_1", "Prof_Staff_Types.Prof_Level_1", "Channels.Channels_1", DATE(2010,7,1)]|=K96</t>
  </si>
  <si>
    <t>Prof_Fee_Discount_pct["Practice_Areas.Practice_1", "Prof_Staff_Types.Prof_Level_2", DATE(2010,6,1)]|=J144</t>
  </si>
  <si>
    <t>Travel Entertain</t>
  </si>
  <si>
    <t>Orders_Filled_Hrs_pct["Practice_Areas.Practice_2", "Prof_Staff_Types.Prof_Level_1", "Channels.Channels_1", DATE(2010,1,1)]|=0.5</t>
  </si>
  <si>
    <t>(Ranges)'!Revenue_Channel_Channels_Channels_2_Practice_Areas_Practice_2_Prof_Staff_Types</t>
  </si>
  <si>
    <t>:A:-1:Cash_Flow_Oper_Expected</t>
  </si>
  <si>
    <t>:A:0:Discount_Rate</t>
  </si>
  <si>
    <t>Practice_Dev_Prof_Staff_Count["Practice_Areas.Practice_2", "Prof_Staff_Types.Prof_Level_1", DATE(2010,6,1)]|=J288</t>
  </si>
  <si>
    <t>Sales_Lead_Hrs_New["Sales_Lead_Quality.Lead_Qual_1", "Practice_Areas.Practice_1", "Prof_Staff_Types.Prof_Level_2", "Channels.Channels_2", DATE(2010,5,1)]|=2*I71-H71</t>
  </si>
  <si>
    <t>Number of early time periods in which explicit input data for early support staff count (in variable Sup Staff Count Early) are used, before the revenue-based formula takes over. Default cutover is one year.</t>
  </si>
  <si>
    <t>Sales_Lead_Hrs_Expire_pct_Yr["Sales_Lead_Quality.Lead_Qual_1", "Practice_Areas.Practice_2", "Prof_Staff_Types.Prof_Level_1", "Channels.Channels_1", DATE(2010,10,1)]|=N109</t>
  </si>
  <si>
    <t>The salvage value of each tagged asset, assigned to the time period that includes the end of life. This variable is needed to express the salvage value in a time-dependent table needed for cash flow computations.</t>
  </si>
  <si>
    <t>Practice_Dev_Sup_Staff_Count["Practice_Areas.Practice_2", "Depts.Marketing", "Sup_Staff_Levels.Manager", DATE(2010,12,1)]|=P295</t>
  </si>
  <si>
    <t>Interest_Rate_Earned_Cash_Yr[DATE(2010,3,1)]|=G341</t>
  </si>
  <si>
    <t>:A:0:Practice_Dev_Prof_Staff_Count</t>
  </si>
  <si>
    <t>Engage!Engage_Cost_Supplies_Engagements</t>
  </si>
  <si>
    <t>Prof_Staff_Cost_per_Hr*Prof_Staff_Hrs_Unbilled</t>
  </si>
  <si>
    <t>Per New Prof Staff</t>
  </si>
  <si>
    <t>Prof_Fees_per_Hr_Nominal["Practice_Areas.Practice_1", "Prof_Staff_Types.Prof_Level_2", DATE(2010,5,1)]|=I139</t>
  </si>
  <si>
    <t>Orders_Filled_Hrs_pct["Practice_Areas.Practice_1", "Prof_Staff_Types.Prof_Level_1", "Channels.Channels_1", DATE(2011,5,1)]|=U122</t>
  </si>
  <si>
    <t>Orders_Filled_Hrs_pct["Practice_Areas.Practice_1", "Prof_Staff_Types.Prof_Level_1", "Channels.Channels_2", DATE(2011,4,1)]|=T123</t>
  </si>
  <si>
    <t>Cost_Services_Supplies_Hr["Practice_Areas.Practice_2", "Prof_Staff_Types.Prof_Level_2", "Supply_Types.Supply_Type_1", "Channels.Channels_2", DATE(2010,9,1)]|=M174</t>
  </si>
  <si>
    <t>:A:0:Cash_Initial</t>
  </si>
  <si>
    <t>Variable</t>
  </si>
  <si>
    <t>Sales_Lead_Hrs_Conv_pct_Yr["Sales_Lead_Quality.Lead_Qual_1", "Practice_Areas.Practice_2", "Prof_Staff_Types.Prof_Level_2", "Channels.Channels_2", DATE(2011,3,1)]|=S95</t>
  </si>
  <si>
    <t>Per_Prof_Staff_Exp_Yr["Prof_Staff_Types.Prof_Level_1", "Empl_Rel_Exp_Type.Travel_Entertain", DATE(2010,6,1)]|=J320</t>
  </si>
  <si>
    <t>Sales_Lead_Hrs_Conv_pct_Yr["Sales_Lead_Quality.Lead_Qual_1", "Practice_Areas.Practice_1", "Prof_Staff_Types.Prof_Level_1", "Channels.Channels_1", DATE(2010,12,1)]|=P88</t>
  </si>
  <si>
    <t>max(0, Prof_Staff_Hrs_Capacity-Prof_Staff_Hrs_Applied)</t>
  </si>
  <si>
    <t>Short_Debt[DATE(2010,12,1)]|=max(0, '(Compute)'!N31-'(Tables)'!N1367)</t>
  </si>
  <si>
    <t>Prof_Staff_Count_Early["Practice_Areas.Practice_1", "Prof_Staff_Types.Prof_Level_2", DATE(2010,11,1)]|=O185</t>
  </si>
  <si>
    <t>Facil_Other_Exp_Yr[DATE(2011,3,1)]|=S308</t>
  </si>
  <si>
    <t>Sales_Lead_Hrs_Conv_pct_Yr["Sales_Lead_Quality.Lead_Qual_2", "Practice_Areas.Practice_1", "Prof_Staff_Types.Prof_Level_1", "Channels.Channels_2", DATE(2011,1,1)]|=Q97</t>
  </si>
  <si>
    <t>Deprec Life (Yrs)</t>
  </si>
  <si>
    <t>Department</t>
  </si>
  <si>
    <t>:D:1:Channels</t>
  </si>
  <si>
    <t>Sales_Lead_Hrs_New["Sales_Lead_Quality.Lead_Qual_1", "Practice_Areas.Practice_1", "Prof_Staff_Types.Prof_Level_2", "Channels.Channels_2", DATE(2011,1,1)]|=2*Q71-P71</t>
  </si>
  <si>
    <t>Gross margin % for major Engagements. Segmented by Engagement, Professional Staff Type, and time period. Does not include billings for small engagemenets from the sales funnel.</t>
  </si>
  <si>
    <t>if(var(and(addperiods(current_date(-1), -Tagged_Asset_Life_Phys_Period)&lt;=Tagged_Asset_Purch_Date, Tagged_Asset_Purch_Date&lt;addperiods(current_date(-1), 1-Tagged_Asset_Life_Phys_Period))), Tagged_Asset_Salvage_Value, 0)</t>
  </si>
  <si>
    <t>:A:-1:Prof_Staff_Cost_Applied</t>
  </si>
  <si>
    <t>Sup_Staff_Count_Early["Depts.Sales", "Sup_Staff_Levels.Manager", DATE(2010,10,1)]|=N199</t>
  </si>
  <si>
    <t>Sales_Lead_Hrs_Expire_pct_Yr["Sales_Lead_Quality.Lead_Qual_2", "Practice_Areas.Practice_2", "Prof_Staff_Types.Prof_Level_2", "Channels.Channels_2", DATE(2011,5,1)]|=U120</t>
  </si>
  <si>
    <t>(Compute)'!Prof_Staff_Hrs_Capacity_Date</t>
  </si>
  <si>
    <t>Sales_Lead_Hrs_Conv_pct_Yr["Sales_Lead_Quality.Lead_Qual_2", "Practice_Areas.Practice_1", "Prof_Staff_Types.Prof_Level_1", "Channels.Channels_2", DATE(2010,3,1)]|=G97</t>
  </si>
  <si>
    <t>Cost_Services_Supplies_Hr["Practice_Areas.Practice_1", "Prof_Staff_Types.Prof_Level_2", "Supply_Types.Supply_Type_2", "Channels.Channels_1", DATE(2010,4,1)]|=H167</t>
  </si>
  <si>
    <t>:D:0:Asset_Tags.Building_A</t>
  </si>
  <si>
    <t>Accts_Payable-prev(Accts_Payable)</t>
  </si>
  <si>
    <t>Sales_Lead_Hrs_Expire_pct_Yr["Sales_Lead_Quality.Lead_Qual_1", "Practice_Areas.Practice_1", "Prof_Staff_Types.Prof_Level_2", "Channels.Channels_2", DATE(2010,10,1)]|=N108</t>
  </si>
  <si>
    <t>ifm(Time&lt;=0.001, Accts_Receivable_Initial, Accts_Rec_Days*periods_per("day")*Revenue)</t>
  </si>
  <si>
    <t>Net_Stock_Issue[DATE(2011,3,1)]|=0</t>
  </si>
  <si>
    <t>Sales_Commis_Rev_Share[DATE(2011,4,1)]|=T247</t>
  </si>
  <si>
    <t>(Ranges)'!Prof_Staff_Cost_Unapplied_Practice_Areas_Practice_1</t>
  </si>
  <si>
    <t>Engage_Discount_pct["Engagements.Engage_2", DATE(2010,9,1)]|=M149</t>
  </si>
  <si>
    <t>Wage_Tax_pct[DATE(2010,2,1)]|=F244</t>
  </si>
  <si>
    <t>Sup_Staff_Bonus_pct["Depts.Marketing", "Sup_Staff_Levels.Contributor", DATE(2011,2,1)]|=R234</t>
  </si>
  <si>
    <t>(Ranges)'!Practice_Dev_Prof_Staff_Hrs_Practice_Areas_Practice_2_Prof_Staff_Types_Prof_Level_2</t>
  </si>
  <si>
    <t xml:space="preserve">  K1</t>
  </si>
  <si>
    <t>Spending on developing assets for practice areas</t>
  </si>
  <si>
    <t>Prof_Staff Count Early</t>
  </si>
  <si>
    <t>Cost_Services_Supplies_Hr["Practice_Areas.Practice_2", "Prof_Staff_Types.Prof_Level_1", "Supply_Types.Supply_Type_1", "Channels.Channels_1", DATE(2010,4,1)]|=H169</t>
  </si>
  <si>
    <t>Order_Backlog_Hrs_Init</t>
  </si>
  <si>
    <t>Cash Flow</t>
  </si>
  <si>
    <t>Chg Long Debt</t>
  </si>
  <si>
    <t>:A:-1:Prof_Staff_Hrs_Billed_Growth_display</t>
  </si>
  <si>
    <t>Practice_Dev_Sup_Staff_Count["Practice_Areas.Practice_1", "Depts.Marketing", "Sup_Staff_Levels.Contributor", DATE(2010,8,1)]|=L292</t>
  </si>
  <si>
    <t>Sales_Lead_Hrs_Conv_pct_Yr["Sales_Lead_Quality.Lead_Qual_2", "Practice_Areas.Practice_2", "Prof_Staff_Types.Prof_Level_2", "Channels.Channels_2", DATE(2010,10,1)]|=N103</t>
  </si>
  <si>
    <t>Sales_Lead_Hrs_Expire_pct_Yr["Sales_Lead_Quality.Lead_Qual_1", "Practice_Areas.Practice_1", "Prof_Staff_Types.Prof_Level_2", "Channels.Channels_2", DATE(2011,2,1)]|=R108</t>
  </si>
  <si>
    <t>Prof_Fees_per_Hr_Nominal["Practice_Areas.Practice_2", "Prof_Staff_Types.Prof_Level_2", DATE(2010,7,1)]|=K141</t>
  </si>
  <si>
    <t>:A:0:Chg_Inventory_Supplies</t>
  </si>
  <si>
    <t>Cost_Services_Supplies_Hr["Practice_Areas.Practice_2", "Prof_Staff_Types.Prof_Level_1", "Supply_Types.Supply_Type_2", "Channels.Channels_1", DATE(2011,1,1)]|=Q171</t>
  </si>
  <si>
    <t>:A:-1:Long_Loans</t>
  </si>
  <si>
    <t>Office_Maint_Rate_Yr[DATE(2011,6,1)]|=V307</t>
  </si>
  <si>
    <t>Practice_Dev_Prof_Staff_Count["Practice_Areas.Practice_2", "Prof_Staff_Types.Prof_Level_1", DATE(2011,2,1)]|=R288</t>
  </si>
  <si>
    <t>Sales_Lead_Hrs_New["Sales_Lead_Quality.Lead_Qual_2", "Practice_Areas.Practice_1", "Prof_Staff_Types.Prof_Level_1", "Channels.Channels_1", DATE(2010,12,1)]|=2*P76-O76</t>
  </si>
  <si>
    <t>Sales_Lead_Hrs_Conv_pct_Yr["Sales_Lead_Quality.Lead_Qual_2", "Practice_Areas.Practice_2", "Prof_Staff_Types.Prof_Level_2", "Channels.Channels_1", DATE(2010,1,1)]|=0.50</t>
  </si>
  <si>
    <t>:D:1:Untagged_Asset_Purch_Params</t>
  </si>
  <si>
    <t>Ident Engage Channel</t>
  </si>
  <si>
    <t>Cost_Services_Supplies_Hr["Practice_Areas.Practice_2", "Prof_Staff_Types.Prof_Level_2", "Supply_Types.Supply_Type_1", "Channels.Channels_2", DATE(2011,6,1)]|=V174</t>
  </si>
  <si>
    <t>preve(0)</t>
  </si>
  <si>
    <t>The accounting debt ratio, equal to the total long and short term debt divided by the total assets</t>
  </si>
  <si>
    <t>Sales_Lead_Hrs_Conv_pct_Yr["Sales_Lead_Quality.Lead_Qual_2", "Practice_Areas.Practice_2", "Prof_Staff_Types.Prof_Level_1", "Channels.Channels_2", DATE(2011,1,1)]|=Q101</t>
  </si>
  <si>
    <t>Sales_Lead_Hrs_Expire_pct_Yr["Sales_Lead_Quality.Lead_Qual_2", "Practice_Areas.Practice_2", "Prof_Staff_Types.Prof_Level_1", "Channels.Channels_1", DATE(2010,5,1)]|=I117</t>
  </si>
  <si>
    <t>Sales_Commis_Rev_Share[DATE(2011,2,1)]|=R247</t>
  </si>
  <si>
    <t>Prof_Staff_Benefits_pct["Prof_Staff_Types.Prof_Level_2", DATE(2010,7,1)]|=K221</t>
  </si>
  <si>
    <t>(Tables)'!Engage_Hrs_pct_Billed_ET_Engage_Time_Period_4_Engagements_Engage_2_Prof_Staff_Types</t>
  </si>
  <si>
    <t>Orders_Filled_Hrs_pct["Practice_Areas.Practice_2", "Prof_Staff_Types.Prof_Level_1", "Channels.Channels_2", DATE(2011,3,1)]|=S127</t>
  </si>
  <si>
    <t>Sales_Lead_Hrs_New["Sales_Lead_Quality.Lead_Qual_1", "Practice_Areas.Practice_1", "Prof_Staff_Types.Prof_Level_2", "Channels.Channels_1", DATE(2010,8,1)]|=2*L70-K70</t>
  </si>
  <si>
    <t>Per_Sup_Staff_Exp_Yr["Depts.Sales", "Empl_Rel_Exp_Type.Other", DATE(2010,11,1)]|=O331</t>
  </si>
  <si>
    <t>(Tables)'!Prof_Staff_Hrs_Engage_Practice_Areas_Practice_1_Prof_Staff_Types_Prof_Level_2_Channels_Channels_2</t>
  </si>
  <si>
    <t>:A:-1:Mktg_Pgms_Early_Cutover</t>
  </si>
  <si>
    <t>Sup_Staff_Bonus_pct["Depts.Marketing", "Sup_Staff_Levels.Contributor", DATE(2011,3,1)]|=S234</t>
  </si>
  <si>
    <t>Sales_Lead_Hrs_Expire_pct_Yr["Sales_Lead_Quality.Lead_Qual_1", "Practice_Areas.Practice_1", "Prof_Staff_Types.Prof_Level_1", "Channels.Channels_2", DATE(2010,1,1)]|=0.30</t>
  </si>
  <si>
    <t>Assets.Long</t>
  </si>
  <si>
    <t>Prof_Staff_Salary_incr_pct["Prof_Staff_Types.Prof_Level_2", DATE(2010,12,1)]|=P213</t>
  </si>
  <si>
    <t>Prof_Staff_Rel_Exp</t>
  </si>
  <si>
    <t>Practice_Dev_Prof_Staff_Count["Practice_Areas.Practice_1", "Prof_Staff_Types.Prof_Level_2", DATE(2010,6,1)]|=J287</t>
  </si>
  <si>
    <t>Prof_Staff_Count_Early["Practice_Areas.Practice_2", "Prof_Staff_Types.Prof_Level_2", DATE(2010,7,1)]|=K187</t>
  </si>
  <si>
    <t>Prof_Staff_Bonus_pct["Practice_Areas.Practice_1", "Prof_Staff_Types.Prof_Level_2", DATE(2010,9,1)]|=M216</t>
  </si>
  <si>
    <t>:A:0:Tagged_Asset_Salvage_Value</t>
  </si>
  <si>
    <t>:D:1:Prof_Staff_Types</t>
  </si>
  <si>
    <t>Sales_Lead_Hrs_Expire_pct_Yr["Sales_Lead_Quality.Lead_Qual_1", "Practice_Areas.Practice_2", "Prof_Staff_Types.Prof_Level_2", "Channels.Channels_1", DATE(2010,9,1)]|=M111</t>
  </si>
  <si>
    <t>Sup_Staff_Bonus_pct["Depts.Marketing", "Sup_Staff_Levels.Manager", DATE(2010,9,1)]|=M233</t>
  </si>
  <si>
    <t>Prof_Fees_per_Hr_Nominal["Practice_Areas.Practice_1", "Prof_Staff_Types.Prof_Level_2", DATE(2010,6,1)]|=J139</t>
  </si>
  <si>
    <t>Cash_Flow_Equity</t>
  </si>
  <si>
    <t>Per_Sup_Staff_Exp_Yr["Depts.Sales", "Empl_Rel_Exp_Type.Other", DATE(2010,1,1)]|=0</t>
  </si>
  <si>
    <t>Tail Discount Rate (Yr)</t>
  </si>
  <si>
    <t>Cost_Services_TandE_Hr["Practice_Areas.Practice_1", "Prof_Staff_Types.Prof_Level_2", "Channels.Channels_2", DATE(2010,2,1)]|=F156</t>
  </si>
  <si>
    <t>Return on Sales %</t>
  </si>
  <si>
    <t>Prof_Staff_Benefits_pct["Prof_Staff_Types.Prof_Level_1", DATE(2010,1,1)]|=0.15</t>
  </si>
  <si>
    <t>Office_Space_per_Person[DATE(2011,4,1)]|=T304</t>
  </si>
  <si>
    <t>Cost_Services_Supplies_Hr["Practice_Areas.Practice_2", "Prof_Staff_Types.Prof_Level_2", "Supply_Types.Supply_Type_1", "Channels.Channels_2", DATE(2011,3,1)]|=S174</t>
  </si>
  <si>
    <t>Sales_Lead_Hrs_Conv_pct_Yr["Sales_Lead_Quality.Lead_Qual_1", "Practice_Areas.Practice_2", "Prof_Staff_Types.Prof_Level_1", "Channels.Channels_2", DATE(2011,6,1)]|=V93</t>
  </si>
  <si>
    <t>Cash flow for computing IRR, including model time periods and value of cash flows in tail after model time</t>
  </si>
  <si>
    <t>Sales_Lead_Hrs_Expire_pct_Yr["Sales_Lead_Quality.Lead_Qual_2", "Practice_Areas.Practice_1", "Prof_Staff_Types.Prof_Level_1", "Channels.Channels_1", DATE(2010,2,1)]|=F113</t>
  </si>
  <si>
    <t>Prof_Staff_Count</t>
  </si>
  <si>
    <t>Book value of equity, segmented by paid-in capital and retained earnings</t>
  </si>
  <si>
    <t>Prof_Fees_per_Hr_Nominal["Practice_Areas.Practice_2", "Prof_Staff_Types.Prof_Level_2", DATE(2011,4,1)]|=T141</t>
  </si>
  <si>
    <t>Professional staff salary cost, segmented by Practice Area, by Profesisonal Staff Type, and by time period. Excludes benefits, payroll taxes, bonuses.</t>
  </si>
  <si>
    <t>Sup_Staff_Count_Early["Depts.Marketing", "Sup_Staff_Levels.Contributor", DATE(2011,4,1)]|=T198</t>
  </si>
  <si>
    <t>Chg_Accts_Rec+Chg_Inventory_Supplies+Long_Asset_Purch+Dev_Capd_per_Period+Dividend</t>
  </si>
  <si>
    <t>Cost_Services_Supplies_Hr["Practice_Areas.Practice_1", "Prof_Staff_Types.Prof_Level_2", "Supply_Types.Supply_Type_2", "Channels.Channels_2", DATE(2011,5,1)]|=U168</t>
  </si>
  <si>
    <t>Practice_Dev_Sup_Staff_Count["Practice_Areas.Practice_1", "Depts.Sales", "Sup_Staff_Levels.Contributor", DATE(2010,4,1)]|=H294</t>
  </si>
  <si>
    <t>:A:0:Sup_Staff_Wage_Expense</t>
  </si>
  <si>
    <t>Practice_Dev_Sup_Staff_Count["Practice_Areas.Practice_1", "Depts.Marketing", "Sup_Staff_Levels.Contributor", DATE(2010,9,1)]|=M292</t>
  </si>
  <si>
    <t>The average wage per support staff per time period, segmented by department and job level</t>
  </si>
  <si>
    <t>Prof_Staff_Salary_Cost</t>
  </si>
  <si>
    <t>(Compute)'!Orders_Filled_Hrs_Plot_Date</t>
  </si>
  <si>
    <t>Sales_Lead_Hrs_Expire_pct_Yr["Sales_Lead_Quality.Lead_Qual_1", "Practice_Areas.Practice_1", "Prof_Staff_Types.Prof_Level_1", "Channels.Channels_1", DATE(2010,12,1)]|=P105</t>
  </si>
  <si>
    <t>Sales_Lead_Hrs_Conv_pct_Yr["Sales_Lead_Quality.Lead_Qual_2", "Practice_Areas.Practice_2", "Prof_Staff_Types.Prof_Level_2", "Channels.Channels_2", DATE(2010,11,1)]|=O103</t>
  </si>
  <si>
    <t>Practice_Dev_Sup_Staff_Count["Practice_Areas.Practice_1", "Depts.Sales", "Sup_Staff_Levels.Manager", DATE(2010,12,1)]|=P293</t>
  </si>
  <si>
    <t xml:space="preserve">  Dept_Exp_Accts</t>
  </si>
  <si>
    <t>(Compute)'!Prof_Staff_Count1_Date</t>
  </si>
  <si>
    <t>:A:0:Chg_Bond_Principal</t>
  </si>
  <si>
    <t>Accts_Pay_Targ_Days["Accts_Pay_Type.Payroll_Pay", DATE(2010,8,1)]|=M411</t>
  </si>
  <si>
    <t>Sales_Lead_Hrs_Expire_pct_Yr["Sales_Lead_Quality.Lead_Qual_2", "Practice_Areas.Practice_1", "Prof_Staff_Types.Prof_Level_2", "Channels.Channels_2", DATE(2011,4,1)]|=T116</t>
  </si>
  <si>
    <t>Engage_Labor_Slope["Engagements.Engage_2", "Prof_Staff_Types.Prof_Level_1"]|=0</t>
  </si>
  <si>
    <t>:A:0:Valuation_Equity</t>
  </si>
  <si>
    <t>Growth rate of revenue compared to the previous time period, segmented by product, by time period</t>
  </si>
  <si>
    <t>Practice_Dev_Prof_Staff_Count["Practice_Areas.Practice_2", "Prof_Staff_Types.Prof_Level_2", DATE(2011,2,1)]|=R289</t>
  </si>
  <si>
    <t>:A:0:Prof_Staff_Hrs_Capacity_Plot</t>
  </si>
  <si>
    <t>Long Term Assets</t>
  </si>
  <si>
    <t>(Tables)'!Engage_Hrs_pct_Billed_ET_Engage_Time_Period_2_Engagements</t>
  </si>
  <si>
    <t>Per_Sup_Staff_Exp_Yr["Depts.Marketing", "Empl_Rel_Exp_Type.Other", DATE(2011,2,1)]|=R328</t>
  </si>
  <si>
    <t>Per_Sup_Staff_Exp_Yr["Depts.Marketing", "Empl_Rel_Exp_Type.Travel_Entertain", DATE(2011,3,1)]|=S327</t>
  </si>
  <si>
    <t>Interest_Rate_Long_Yr[DATE(2011,1,1)]|=Q340</t>
  </si>
  <si>
    <t>:A:-1:Return_on_Equity</t>
  </si>
  <si>
    <t>Prof Staff Hours Unapplied</t>
  </si>
  <si>
    <t>:D:0:OpExpType.Indir_Labor_Exp</t>
  </si>
  <si>
    <t>ifm(Time&lt;0.99, 0, if(Equity=0, 0, sum(ranget(Net_Income, date(year(current_date(1))-1, month(current_date(1)), day(current_date(1))+1), current_date(1)))/Equity))</t>
  </si>
  <si>
    <t>Recruiting expense as a percentage of annual salary or wage, for those support staff positions that incur recruiting expense, by job level and by department.</t>
  </si>
  <si>
    <t>Prof_Fees_per_Hr_Nominal["Practice_Areas.Practice_2", "Prof_Staff_Types.Prof_Level_2", DATE(2010,3,1)]|=G141</t>
  </si>
  <si>
    <t>:A:-1:Recruit_Expense</t>
  </si>
  <si>
    <t>Practice_Dev_Prof_Staff_Count["Practice_Areas.Practice_2", "Prof_Staff_Types.Prof_Level_2", DATE(2010,6,1)]|=J289</t>
  </si>
  <si>
    <t>Prof_Fee_Discount_pct["Practice_Areas.Practice_1", "Prof_Staff_Types.Prof_Level_1", DATE(2011,6,1)]|=V143</t>
  </si>
  <si>
    <t>Per_Sup_Staff_Exp_Yr["Depts.Marketing", "Empl_Rel_Exp_Type.Travel_Entertain", DATE(2011,2,1)]|=R327</t>
  </si>
  <si>
    <t>Engage!Engage_Cost_Staff_Engagements_Engage_1_Prof_Staff_Types</t>
  </si>
  <si>
    <t>Percentage of professional staff that turn over each year, segmented by Practice Area, and by Professional Staff Type. Used in the computation of recruiting expense.
Because this variable does not depend on time, the rollup values are given for the last period of model time.</t>
  </si>
  <si>
    <t>Purchases of untagged assets, segmented by type of untagged assets, by time period. The model computes initial purchases, purchases per new headcount, and per existing headcount.</t>
  </si>
  <si>
    <t>Engage!Engage_Cost_Supplies_Engagements_Engage_2</t>
  </si>
  <si>
    <t>(Ranges)'!Prof_Staff_Cost_Unapplied_Practice_Areas_Practice_2_Prof_Staff_Types_Prof_Level_2</t>
  </si>
  <si>
    <t>:A:0:Tagged_Asset_Deprec_Method</t>
  </si>
  <si>
    <t>Mktg_Pgms_Exp_Early["Mktg_Pgms.Seminars", "Practice_Areas.Practice_1", DATE(2010,12,1)]|=P276</t>
  </si>
  <si>
    <t>Office_Utilities_Rate_Yr[DATE(2011,1,1)]|=Q306</t>
  </si>
  <si>
    <t>Per_Prof_Staff_Exp_Yr["Prof_Staff_Types.Prof_Level_2", "Empl_Rel_Exp_Type.Supplies", DATE(2010,1,1)]|=0</t>
  </si>
  <si>
    <t>Practice Dev Sup Staff Spend</t>
  </si>
  <si>
    <t>Sup_Staff_Bonus_pct["Depts.Sales", "Sup_Staff_Levels.Contributor", DATE(2010,7,1)]|=K236</t>
  </si>
  <si>
    <t>:A:-1:Dev_Capd_Period_Lagged</t>
  </si>
  <si>
    <t>Practice_Dev_Sup_Staff_Count["Practice_Areas.Practice_2", "Depts.Marketing", "Sup_Staff_Levels.Contributor", DATE(2010,2,1)]|=F296</t>
  </si>
  <si>
    <t>Untagged Asset Purch</t>
  </si>
  <si>
    <t>Orders_Filled_Hrs_pct["Practice_Areas.Practice_2", "Prof_Staff_Types.Prof_Level_2", "Channels.Channels_2", DATE(2011,1,1)]|=Q129</t>
  </si>
  <si>
    <t>A list of the quality categories for sale leads. The least qualified leads are listed first, and the most qualified are listed last.</t>
  </si>
  <si>
    <t>(Ranges)'!Revenue_Channel_Channels_Channels_1_Practice_Areas_Practice_2</t>
  </si>
  <si>
    <t>Sales_Lead_Hrs_Conv_pct_Yr["Sales_Lead_Quality.Lead_Qual_1", "Practice_Areas.Practice_2", "Prof_Staff_Types.Prof_Level_1", "Channels.Channels_1", DATE(2011,1,1)]|=Q92</t>
  </si>
  <si>
    <t>Cost_Services_TandE_Hr["Practice_Areas.Practice_1", "Prof_Staff_Types.Prof_Level_1", "Channels.Channels_1", DATE(2010,3,1)]|=G153</t>
  </si>
  <si>
    <t>Prof_Staff_per_RevM</t>
  </si>
  <si>
    <t>Interest_Rate_Earned_Cash_Yr[DATE(2011,5,1)]|=U341</t>
  </si>
  <si>
    <t>Interest_Rate_Earned_Cash_Yr[DATE(2010,8,1)]|=L341</t>
  </si>
  <si>
    <t>Interest rate earned on average cash balance during each time period</t>
  </si>
  <si>
    <t>Engage!Engage_Gross_Margin_pct_Engagements_Engage_2</t>
  </si>
  <si>
    <t>ifm(Time&lt;=0.001, Dev_Capd_Init, prev(Dev_Capd_Asset)-Dev_Capd_Deprec+Dev_Capd_per_Period)</t>
  </si>
  <si>
    <t>(Ranges)'!Prof_Staff_Count_Practice_Areas_Practice_1</t>
  </si>
  <si>
    <t>Prof_Staff_Targ_Util_pct["Practice_Areas.Practice_1", "Prof_Staff_Types.Prof_Level_2", DATE(2010,8,1)]|=L190</t>
  </si>
  <si>
    <t>Office_Utilities_Rate_Yr[DATE(2010,1,1)]|=0</t>
  </si>
  <si>
    <t>(Tables)'!Engage_Hrs_pct_Billed_ET_Engage_Time_Period_1_Engagements_Engage_2_Prof_Staff_Types</t>
  </si>
  <si>
    <t>(Tables)'!Engage_Rev_Nominal_Fees_Engagements_Engage_1_Prof_Staff_Types</t>
  </si>
  <si>
    <t>Sales_Lead_Hrs_Expire_pct_Yr["Sales_Lead_Quality.Lead_Qual_1", "Practice_Areas.Practice_2", "Prof_Staff_Types.Prof_Level_2", "Channels.Channels_2", DATE(2011,1,1)]|=Q112</t>
  </si>
  <si>
    <t>Prof_Staff_Targ_Util_pct["Practice_Areas.Practice_1", "Prof_Staff_Types.Prof_Level_2", DATE(2010,3,1)]|=G190</t>
  </si>
  <si>
    <t>Engage!Engage_Cost_Supplies_Engagements_Engage_1_Prof_Staff_Types_Prof_Level_2_Supply_Types_Supply_Type_1</t>
  </si>
  <si>
    <t>Order backlog at the end of each time period, expressed in billable hours, segmented by product.</t>
  </si>
  <si>
    <t>Revenue_Channel</t>
  </si>
  <si>
    <t>Prof_Staff_Count_Early["Practice_Areas.Practice_1", "Prof_Staff_Types.Prof_Level_1", DATE(2010,11,1)]|=O184</t>
  </si>
  <si>
    <t>Prof_Staff_Salary_incr_pct["Prof_Staff_Types.Prof_Level_2", DATE(2011,5,1)]|=U213</t>
  </si>
  <si>
    <t>Size of each major Engagement expressed in billed hours summed over Professional Staff Types</t>
  </si>
  <si>
    <t>Sales_Lead_Hrs_Conv_pct_Yr["Sales_Lead_Quality.Lead_Qual_2", "Practice_Areas.Practice_1", "Prof_Staff_Types.Prof_Level_1", "Channels.Channels_2", DATE(2010,10,1)]|=N97</t>
  </si>
  <si>
    <t>Cost_Services_Supplies_Hr["Practice_Areas.Practice_1", "Prof_Staff_Types.Prof_Level_1", "Supply_Types.Supply_Type_2", "Channels.Channels_2", DATE(2010,6,1)]|=J164</t>
  </si>
  <si>
    <t>Sales_Lead_Hrs_Conv_pct_Yr["Sales_Lead_Quality.Lead_Qual_2", "Practice_Areas.Practice_1", "Prof_Staff_Types.Prof_Level_2", "Channels.Channels_2", DATE(2010,3,1)]|=G99</t>
  </si>
  <si>
    <t>:A:-1:Prof_Fees_per_Hr_Avg</t>
  </si>
  <si>
    <t>Prof_Fee_Discount_pct["Practice_Areas.Practice_2", "Prof_Staff_Types.Prof_Level_1", DATE(2011,1,1)]|=Q145</t>
  </si>
  <si>
    <t>Mktg_Pgms_Exp_Early["Mktg_Pgms.Seminars", "Practice_Areas.Practice_1", DATE(2010,8,1)]|=L276</t>
  </si>
  <si>
    <t>if(Revenue=0, 0, Operating_Exp["Depts.Marketing"]/Revenue)</t>
  </si>
  <si>
    <t>Cost_Services_TandE_Hr["Practice_Areas.Practice_1", "Prof_Staff_Types.Prof_Level_1", "Channels.Channels_2", DATE(2010,9,1)]|=M154</t>
  </si>
  <si>
    <t>Sales_Lead_Hrs_Expire_pct_Yr["Sales_Lead_Quality.Lead_Qual_1", "Practice_Areas.Practice_2", "Prof_Staff_Types.Prof_Level_2", "Channels.Channels_1", DATE(2010,1,1)]|=0.30</t>
  </si>
  <si>
    <t>Orders_Filled_Hrs_pct["Practice_Areas.Practice_2", "Prof_Staff_Types.Prof_Level_2", "Channels.Channels_1", DATE(2010,11,1)]|=O128</t>
  </si>
  <si>
    <t>Prof_Fee_Discount_pct["Practice_Areas.Practice_2", "Prof_Staff_Types.Prof_Level_2", DATE(2011,4,1)]|=T146</t>
  </si>
  <si>
    <t>Sales_Lead_Hrs_Conv_pct_Yr["Sales_Lead_Quality.Lead_Qual_1", "Practice_Areas.Practice_2", "Prof_Staff_Types.Prof_Level_2", "Channels.Channels_2", DATE(2011,5,1)]|=U95</t>
  </si>
  <si>
    <t>Cost_Services_Supplies_Hr["Practice_Areas.Practice_2", "Prof_Staff_Types.Prof_Level_2", "Supply_Types.Supply_Type_2", "Channels.Channels_2", DATE(2010,2,1)]|=F176</t>
  </si>
  <si>
    <t>:D:2:Untagged_Asset_Type</t>
  </si>
  <si>
    <t>Orders_Filled_Hrs_pct["Practice_Areas.Practice_2", "Prof_Staff_Types.Prof_Level_1", "Channels.Channels_1", DATE(2011,6,1)]|=V126</t>
  </si>
  <si>
    <t>(Tables)'!Prof_Staff_Hrs_Engage_Practice_Areas_Practice_1</t>
  </si>
  <si>
    <t>:A:0:Cost_Services_Supplies_Channel</t>
  </si>
  <si>
    <t>Cost_Services_Supplies_Hr["Practice_Areas.Practice_1", "Prof_Staff_Types.Prof_Level_2", "Supply_Types.Supply_Type_1", "Channels.Channels_2", DATE(2010,12,1)]|=P166</t>
  </si>
  <si>
    <t>(Compute)'!Equity_Date</t>
  </si>
  <si>
    <t>Sales_Lead_Hrs_Expire_pct_Yr["Sales_Lead_Quality.Lead_Qual_1", "Practice_Areas.Practice_1", "Prof_Staff_Types.Prof_Level_2", "Channels.Channels_2", DATE(2010,5,1)]|=I108</t>
  </si>
  <si>
    <t>(Ranges)'!Prof_Staff_Cost_Applied_Practice_Areas_Practice_1_Prof_Staff_Types_Prof_Level_1</t>
  </si>
  <si>
    <t>The estimated amount of accounts receivable at the end of a time period, expressed as a number of days of revenue. Used to compute accounts receivable.</t>
  </si>
  <si>
    <t>Cost_Services_TandE_Hr["Practice_Areas.Practice_2", "Prof_Staff_Types.Prof_Level_2", "Channels.Channels_1", DATE(2010,5,1)]|=I159</t>
  </si>
  <si>
    <t>Sales_Lead_Hrs_Expire_pct_Yr["Sales_Lead_Quality.Lead_Qual_1", "Practice_Areas.Practice_1", "Prof_Staff_Types.Prof_Level_2", "Channels.Channels_1", DATE(2011,6,1)]|=V107</t>
  </si>
  <si>
    <t>Cost_Services_TandE_Hr["Practice_Areas.Practice_2", "Prof_Staff_Types.Prof_Level_2", "Channels.Channels_1", DATE(2010,6,1)]|=J159</t>
  </si>
  <si>
    <t>:D:2:Dir_Cost_Types.Direct_Labor</t>
  </si>
  <si>
    <t>Organizes values of untagged asset purchases at initial time, per new employee, and annually per existing employee, by type of long-term asset.</t>
  </si>
  <si>
    <t>Sup_Staff_Count_Early["Depts.Marketing", "Sup_Staff_Levels.Manager", DATE(2010,10,1)]|=N197</t>
  </si>
  <si>
    <t>Constants K0, K1 and K2 used in the computation of support staff headcount (by department and job level) as count = K0 + K1 *(annualized revenue/1000000)^K2</t>
  </si>
  <si>
    <t>Sales_Lead_Hrs_Expire_pct_Yr["Sales_Lead_Quality.Lead_Qual_2", "Practice_Areas.Practice_1", "Prof_Staff_Types.Prof_Level_2", "Channels.Channels_1", DATE(2010,5,1)]|=I115</t>
  </si>
  <si>
    <t>Orders_Filled_Hrs_pct["Practice_Areas.Practice_1", "Prof_Staff_Types.Prof_Level_1", "Channels.Channels_2", DATE(2010,6,1)]|=J123</t>
  </si>
  <si>
    <t xml:space="preserve">Value of long term assets, including tagged and untagged long-term assets, by time period, </t>
  </si>
  <si>
    <t>round(max(2, last(Time_Periods)*Dimitemnum("Engagements")/6), 0)</t>
  </si>
  <si>
    <t>Orders_Filled_Hrs_pct["Practice_Areas.Practice_2", "Prof_Staff_Types.Prof_Level_2", "Channels.Channels_1", DATE(2010,9,1)]|=M128</t>
  </si>
  <si>
    <t>:D:0:Depts</t>
  </si>
  <si>
    <t>:A:0:Practice_Dev_pct_Rev</t>
  </si>
  <si>
    <t>Bad_Debt_pct[DATE(2011,4,1)]|=T342</t>
  </si>
  <si>
    <t>GA_Exp</t>
  </si>
  <si>
    <t>Mktg_Pgms_Exp_Early["Mktg_Pgms.Seminars", "Practice_Areas.Practice_1", DATE(2010,5,1)]|=I276</t>
  </si>
  <si>
    <t>Orders_Filled_Hrs_pct["Practice_Areas.Practice_1", "Prof_Staff_Types.Prof_Level_1", "Channels.Channels_1", DATE(2010,8,1)]|=L122</t>
  </si>
  <si>
    <t>Sales_Lead_Hrs_Conv_pct_Yr["Sales_Lead_Quality.Lead_Qual_1", "Practice_Areas.Practice_2", "Prof_Staff_Types.Prof_Level_1", "Channels.Channels_1", DATE(2010,12,1)]|=P92</t>
  </si>
  <si>
    <t>Orders_Filled_Hrs_pct["Practice_Areas.Practice_1", "Prof_Staff_Types.Prof_Level_1", "Channels.Channels_1", DATE(2011,3,1)]|=S122</t>
  </si>
  <si>
    <t xml:space="preserve">Cost of travel and entertainment incurred in client engagements (including small engagements from the sales funnel). Segmented by Practice Area, Professional Staff Type, Channel, and time period. This variable is for display only. It segments by Channel first, while variable 'Cost of Services - Supplies' segments by Practice Area first. </t>
  </si>
  <si>
    <t>:A:0:Sup_Staff_Wage_Avg</t>
  </si>
  <si>
    <t>:A:-1:Tagged_Asset_Deprec</t>
  </si>
  <si>
    <t>Prof_Fees_per_Hr_Nominal["Practice_Areas.Practice_1", "Prof_Staff_Types.Prof_Level_2", DATE(2011,4,1)]|=T139</t>
  </si>
  <si>
    <t>Practice_Dev_Sup_Staff_Count["Practice_Areas.Practice_2", "Depts.Sales", "Sup_Staff_Levels.Contributor", DATE(2010,9,1)]|=M298</t>
  </si>
  <si>
    <t>Per_Prof_Staff_Exp_Yr["Prof_Staff_Types.Prof_Level_1", "Empl_Rel_Exp_Type.Supplies", DATE(2010,2,1)]|=F319</t>
  </si>
  <si>
    <t>Cost_Services_Supplies_Hr["Practice_Areas.Practice_2", "Prof_Staff_Types.Prof_Level_1", "Supply_Types.Supply_Type_2", "Channels.Channels_2", DATE(2011,2,1)]|=R172</t>
  </si>
  <si>
    <t>Sales_Lead_Hrs_Conv_pct_Yr["Sales_Lead_Quality.Lead_Qual_2", "Practice_Areas.Practice_1", "Prof_Staff_Types.Prof_Level_2", "Channels.Channels_1", DATE(2010,1,1)]|=0.50</t>
  </si>
  <si>
    <t>Other</t>
  </si>
  <si>
    <t>Inputs!Engage_Hrs_pct_Billed_ET_Engage_Time_Period_3_Engagements_Engage_2_Prof_Staff_Types_Prof_Level_1</t>
  </si>
  <si>
    <t>Cost_Services_Supplies_Hr["Practice_Areas.Practice_2", "Prof_Staff_Types.Prof_Level_2", "Supply_Types.Supply_Type_1", "Channels.Channels_2", DATE(2010,4,1)]|=H174</t>
  </si>
  <si>
    <t>(Ranges)'!Gross_Margin_Practice_Areas_Practice_2_Prof_Staff_Types_Prof_Level_1_Channels</t>
  </si>
  <si>
    <t>Sales_Lead_Hrs_Conv_pct_Yr["Sales_Lead_Quality.Lead_Qual_1", "Practice_Areas.Practice_2", "Prof_Staff_Types.Prof_Level_1", "Channels.Channels_2", DATE(2010,1,1)]|=0.50</t>
  </si>
  <si>
    <t>Initial Purchase</t>
  </si>
  <si>
    <t>Prof_Staff_Targ_Util_pct["Practice_Areas.Practice_1", "Prof_Staff_Types.Prof_Level_2", DATE(2010,4,1)]|=H190</t>
  </si>
  <si>
    <t>Per_Sup_Staff_Exp_Yr["Depts.Sales", "Empl_Rel_Exp_Type.Travel_Entertain", DATE(2011,3,1)]|=S330</t>
  </si>
  <si>
    <t>Sales_Lead_Hrs_New["Sales_Lead_Quality.Lead_Qual_2", "Practice_Areas.Practice_2", "Prof_Staff_Types.Prof_Level_2", "Channels.Channels_1", DATE(2011,6,1)]|=2*V82-U82</t>
  </si>
  <si>
    <t>:A:0:Prof_Fees_per_Hr_Avg</t>
  </si>
  <si>
    <t>:A:-1:Gross_Margin_pct_Channel</t>
  </si>
  <si>
    <t>Cost_Services_Supplies_Hr["Practice_Areas.Practice_1", "Prof_Staff_Types.Prof_Level_2", "Supply_Types.Supply_Type_1", "Channels.Channels_1", DATE(2010,2,1)]|=F165</t>
  </si>
  <si>
    <t>Sup_Staff_Count_K["Depts.Sales", "Sup_Staff_Levels.Contributor", "Konst.K2"]|=1</t>
  </si>
  <si>
    <t>:A:-1:Tagged_Asset_Purch</t>
  </si>
  <si>
    <t>:D:1:Liabilities.Short</t>
  </si>
  <si>
    <t>Cash_Flow_Expect_Factor[DATE(2010,5,1)]|=I439</t>
  </si>
  <si>
    <t>Mktg_Pgms_Exp_Early["Mktg_Pgms.Seminars", "Practice_Areas.Practice_2", DATE(2011,5,1)]|=U277</t>
  </si>
  <si>
    <t>Practice_Dev_pct_Capd["Practice_Areas.Practice_2", DATE(2010,10,1)]|=N396</t>
  </si>
  <si>
    <t>Mktg_Pgms_Exp_Early["Mktg_Pgms.Publications", "Practice_Areas.Practice_2", DATE(2010,3,1)]|=G279</t>
  </si>
  <si>
    <t>(Ranges)'!Revenue_Channel_Channels_Channels_2_Practice_Areas_Practice_1</t>
  </si>
  <si>
    <t>Sales_Lead_Hrs_Conv_pct_Yr["Sales_Lead_Quality.Lead_Qual_2", "Practice_Areas.Practice_2", "Prof_Staff_Types.Prof_Level_2", "Channels.Channels_1", DATE(2010,8,1)]|=L102</t>
  </si>
  <si>
    <t>:D:0:Dir_Cost_Types.Travel_and_Entertain</t>
  </si>
  <si>
    <t>Cost_Services_Supplies_Hr["Practice_Areas.Practice_2", "Prof_Staff_Types.Prof_Level_2", "Supply_Types.Supply_Type_1", "Channels.Channels_1", DATE(2010,11,1)]|=O173</t>
  </si>
  <si>
    <t>:A:0:Dev_Capd_Deprec</t>
  </si>
  <si>
    <t>Prof_Staff_Bonus_pct["Practice_Areas.Practice_2", "Prof_Staff_Types.Prof_Level_2", DATE(2010,9,1)]|=M218</t>
  </si>
  <si>
    <t>(Ranges)'!Gross_Margin_Channel_Channels_Channels_1_Practice_Areas_Practice_2_Prof_Staff_Types_Prof_Level_2</t>
  </si>
  <si>
    <t>var(if(diminfo("Depts", 4)="Marketing", Mktg_Pgms_Exp, 0))+Sup_Staff_Rel_Exp-var(Dev_Capd_per_Period)</t>
  </si>
  <si>
    <t>Sales_Lead_Hrs_New["Sales_Lead_Quality.Lead_Qual_1", "Practice_Areas.Practice_1", "Prof_Staff_Types.Prof_Level_1", "Channels.Channels_1", DATE(2011,3,1)]|=2*S68-R68</t>
  </si>
  <si>
    <t>Sales_Lead_Hrs_Init["Practice_Areas.Practice_2", "Prof_Staff_Types.Prof_Level_1", "Channels.Channels_2", "Sales_Lead_Quality.Lead_Qual_1"]|=F60</t>
  </si>
  <si>
    <t>Per_Prof_Staff_Exp_Yr["Prof_Staff_Types.Prof_Level_1", "Empl_Rel_Exp_Type.Travel_Entertain", DATE(2010,12,1)]|=P320</t>
  </si>
  <si>
    <t>Prof_Staff_Billings+Orders_Filled+Cost_Services_TandE</t>
  </si>
  <si>
    <t>Prof_Staff_Turnover_pct_Yr["Practice_Areas.Practice_2", "Prof_Staff_Types.Prof_Level_2"]|=0.10</t>
  </si>
  <si>
    <t>Cost_Services_TandE_Hr["Practice_Areas.Practice_1", "Prof_Staff_Types.Prof_Level_1", "Channels.Channels_1", DATE(2011,4,1)]|=T153</t>
  </si>
  <si>
    <t>Prof_Staff_Salary_incr_pct["Prof_Staff_Types.Prof_Level_1", DATE(2011,5,1)]|=U212</t>
  </si>
  <si>
    <t>Prof_Fees_per_Hr_Nominal["Practice_Areas.Practice_1", "Prof_Staff_Types.Prof_Level_2", DATE(2010,7,1)]|=K139</t>
  </si>
  <si>
    <t>Sales_Lead_Hrs_Expire_pct_Yr["Sales_Lead_Quality.Lead_Qual_2", "Practice_Areas.Practice_1", "Prof_Staff_Types.Prof_Level_1", "Channels.Channels_1", DATE(2011,1,1)]|=Q113</t>
  </si>
  <si>
    <t>Sales_Lead_Hrs_New["Sales_Lead_Quality.Lead_Qual_2", "Practice_Areas.Practice_1", "Prof_Staff_Types.Prof_Level_1", "Channels.Channels_2", DATE(2011,2,1)]|=2*R77-Q77</t>
  </si>
  <si>
    <t>:A:0:Accts_Receivable</t>
  </si>
  <si>
    <t>Orders_Filled_Hrs_pct["Practice_Areas.Practice_1", "Prof_Staff_Types.Prof_Level_2", "Channels.Channels_2", DATE(2010,9,1)]|=M125</t>
  </si>
  <si>
    <t>:A:-1:Practice_Dev_Sup_Spend</t>
  </si>
  <si>
    <t>Orders_Filled_Hrs_pct["Practice_Areas.Practice_2", "Prof_Staff_Types.Prof_Level_1", "Channels.Channels_2", DATE(2010,6,1)]|=J127</t>
  </si>
  <si>
    <t>if(Time&lt;0.001+1/periods_per("year"), Recruit_pct_Pos_Prof_Init, Recruit_pct_Positions_Prof)*Prof_Staff_Openings</t>
  </si>
  <si>
    <t>:A:0:Prof_Staff_Count</t>
  </si>
  <si>
    <t>Sales_Lead_Hrs_New["Sales_Lead_Quality.Lead_Qual_2", "Practice_Areas.Practice_2", "Prof_Staff_Types.Prof_Level_2", "Channels.Channels_1", DATE(2011,3,1)]|=2*S82-R82</t>
  </si>
  <si>
    <t>Model Start</t>
  </si>
  <si>
    <t>Sales_Lead_Hrs_Conv_pct_Yr["Sales_Lead_Quality.Lead_Qual_2", "Practice_Areas.Practice_1", "Prof_Staff_Types.Prof_Level_1", "Channels.Channels_1", DATE(2010,3,1)]|=G96</t>
  </si>
  <si>
    <t>Initial Accts Receivable</t>
  </si>
  <si>
    <t>Sales_Lead_Hrs_Expire_pct_Yr["Sales_Lead_Quality.Lead_Qual_2", "Practice_Areas.Practice_2", "Prof_Staff_Types.Prof_Level_1", "Channels.Channels_2", DATE(2011,2,1)]|=R118</t>
  </si>
  <si>
    <t>:A:0:Tail_Growth_Rate</t>
  </si>
  <si>
    <t>Per_Prof_Staff_Exp_Yr["Prof_Staff_Types.Prof_Level_2", "Empl_Rel_Exp_Type.Supplies", DATE(2011,6,1)]|=V322</t>
  </si>
  <si>
    <t>Sales_Lead_Hrs_New["Sales_Lead_Quality.Lead_Qual_1", "Practice_Areas.Practice_2", "Prof_Staff_Types.Prof_Level_1", "Channels.Channels_1", DATE(2011,2,1)]|=2*R72-Q72</t>
  </si>
  <si>
    <t>Per_Prof_Staff_Exp_Yr["Prof_Staff_Types.Prof_Level_2", "Empl_Rel_Exp_Type.Supplies", DATE(2010,6,1)]|=J322</t>
  </si>
  <si>
    <t>Prof_Staff_Count_Early["Practice_Areas.Practice_1", "Prof_Staff_Types.Prof_Level_2", DATE(2011,6,1)]|=V185</t>
  </si>
  <si>
    <t>Per_Prof_Staff_Exp_Yr["Prof_Staff_Types.Prof_Level_2", "Empl_Rel_Exp_Type.Travel_Entertain", DATE(2010,6,1)]|=J323</t>
  </si>
  <si>
    <t>Cost_Services_Supplies_Hr["Practice_Areas.Practice_2", "Prof_Staff_Types.Prof_Level_1", "Supply_Types.Supply_Type_2", "Channels.Channels_2", DATE(2010,7,1)]|=K172</t>
  </si>
  <si>
    <t>Sup_Staff_Count_Early["Depts.Sales", "Sup_Staff_Levels.Contributor", DATE(2010,1,1)]|=0</t>
  </si>
  <si>
    <t>Sales_Lead_Hrs_Conv_pct_Yr["Sales_Lead_Quality.Lead_Qual_1", "Practice_Areas.Practice_2", "Prof_Staff_Types.Prof_Level_2", "Channels.Channels_2", DATE(2010,10,1)]|=N95</t>
  </si>
  <si>
    <t>Practice_Dev_Sup_Staff_Count["Practice_Areas.Practice_1", "Depts.Marketing", "Sup_Staff_Levels.Manager", DATE(2010,5,1)]|=I291</t>
  </si>
  <si>
    <t>Cash_No_Short_Debt</t>
  </si>
  <si>
    <t>preve(Prof_Staff_Salary_Avg_Initial_Yr)*(1+Prof_Staff_Salary_incr_period_pct)</t>
  </si>
  <si>
    <t>Cost_Services_TandE_Hr["Practice_Areas.Practice_2", "Prof_Staff_Types.Prof_Level_1", "Channels.Channels_1", DATE(2010,9,1)]|=M157</t>
  </si>
  <si>
    <t>Sup_Staff_Wage_incr_pct["Sup_Staff_Levels.Manager", DATE(2010,8,1)]|=L230</t>
  </si>
  <si>
    <t>Practice_Dev_Sup_Staff_Count["Practice_Areas.Practice_2", "Depts.Sales", "Sup_Staff_Levels.Manager", DATE(2010,10,1)]|=N297</t>
  </si>
  <si>
    <t>Per_Prof_Staff_Exp_Yr["Prof_Staff_Types.Prof_Level_1", "Empl_Rel_Exp_Type.Supplies", DATE(2010,6,1)]|=J319</t>
  </si>
  <si>
    <t>Mktg_Pgms_Exp_Early["Mktg_Pgms.Publications", "Practice_Areas.Practice_1", DATE(2010,12,1)]|=P278</t>
  </si>
  <si>
    <t>Facilities</t>
  </si>
  <si>
    <t>Sales_Lead_Hrs_Conv_pct_Yr["Sales_Lead_Quality.Lead_Qual_2", "Practice_Areas.Practice_2", "Prof_Staff_Types.Prof_Level_1", "Channels.Channels_2", DATE(2011,6,1)]|=V101</t>
  </si>
  <si>
    <t>if(Liabilities["Liabilities.Short"]=0, 0, Assets["Assets.Short"]/Liabilities["Liabilities.Short"])</t>
  </si>
  <si>
    <t>K2</t>
  </si>
  <si>
    <t>Prof_Staff_Salary_incr_pct["Prof_Staff_Types.Prof_Level_2", DATE(2011,2,1)]|=R213</t>
  </si>
  <si>
    <t>Sup_Staff_Bonus_pct["Depts.Marketing", "Sup_Staff_Levels.Contributor", DATE(2010,3,1)]|=G234</t>
  </si>
  <si>
    <t>Wage_Tax_pct[DATE(2011,3,1)]|=S244</t>
  </si>
  <si>
    <t>Short_Debt[DATE(2011,4,1)]|=max(0, '(Compute)'!R31-'(Tables)'!R1367)</t>
  </si>
  <si>
    <t xml:space="preserve">  Office_Equip</t>
  </si>
  <si>
    <t>:A:0:Prof_Staff_Cost_Engage</t>
  </si>
  <si>
    <t>:A:0:Recruit_pct_Pos_Sup_Init</t>
  </si>
  <si>
    <t>Recruit_pct_Positions_Sup["Depts.Marketing", "Sup_Staff_Levels.Contributor"]|=0</t>
  </si>
  <si>
    <t>(Compute)'!Prof_Staff_Count_plt_Time_Period</t>
  </si>
  <si>
    <t>Percentage of employees in the first time period that incur the normal rate of recruiting activity. For startups, this is near 100%; for ongoing businesses, this is zero.</t>
  </si>
  <si>
    <t>(Tables)'!Engage_Hrs_pct_Billed_ET_Engage_Time_Period_4_Engagements_Engage_1</t>
  </si>
  <si>
    <t>Practice_Dev_Prof_Staff_Count["Practice_Areas.Practice_2", "Prof_Staff_Types.Prof_Level_2", DATE(2011,1,1)]|=Q289</t>
  </si>
  <si>
    <t>Practice_Dev_Sup_Staff_Count["Practice_Areas.Practice_1", "Depts.Sales", "Sup_Staff_Levels.Contributor", DATE(2010,10,1)]|=N294</t>
  </si>
  <si>
    <t>:A:0:Prof_Staff_Hrs_Billed</t>
  </si>
  <si>
    <t>Per_Sup_Staff_Exp_Yr["Depts.Sales", "Empl_Rel_Exp_Type.Other", DATE(2010,8,1)]|=L331</t>
  </si>
  <si>
    <t>:D:2:Sup_Staff_Levels.Manager</t>
  </si>
  <si>
    <t>Professional staff hours applied to client engagements (including small engagements from the sales funnel) but not billed. Segmented by Practice Area, Professional Staff Type, and time period.</t>
  </si>
  <si>
    <t>Sales_Lead_Hrs_Conv_pct_Yr["Sales_Lead_Quality.Lead_Qual_1", "Practice_Areas.Practice_1", "Prof_Staff_Types.Prof_Level_2", "Channels.Channels_2", DATE(2011,4,1)]|=T91</t>
  </si>
  <si>
    <t>Wage_Tax_pct[DATE(2010,6,1)]|=J244</t>
  </si>
  <si>
    <t xml:space="preserve">    Bonds</t>
  </si>
  <si>
    <t>Prof_Staff_Bonus_pct["Practice_Areas.Practice_2", "Prof_Staff_Types.Prof_Level_1", DATE(2010,9,1)]|=M217</t>
  </si>
  <si>
    <t>Cost_Services_Supplies_Hr["Practice_Areas.Practice_1", "Prof_Staff_Types.Prof_Level_1", "Supply_Types.Supply_Type_2", "Channels.Channels_1", DATE(2010,6,1)]|=J163</t>
  </si>
  <si>
    <t>Tail Growth Rate</t>
  </si>
  <si>
    <t>Prof_Staff_Types, Practice_Areas, Channels</t>
  </si>
  <si>
    <t>Sales_Lead_Hrs_New["Sales_Lead_Quality.Lead_Qual_1", "Practice_Areas.Practice_1", "Prof_Staff_Types.Prof_Level_1", "Channels.Channels_2", DATE(2011,4,1)]|=2*T69-S69</t>
  </si>
  <si>
    <t>Sales_Lead_Hrs_Conv_pct_Yr["Sales_Lead_Quality.Lead_Qual_1", "Practice_Areas.Practice_2", "Prof_Staff_Types.Prof_Level_1", "Channels.Channels_1", DATE(2010,3,1)]|=G92</t>
  </si>
  <si>
    <t>Initial value of capitalized development at the start of model time</t>
  </si>
  <si>
    <t>Sup_Staff_Recruited</t>
  </si>
  <si>
    <t>(Tables)'!Prof_Staff_Billings_Practice_Areas_Practice_1_Prof_Staff_Types_Prof_Level_2_Channels</t>
  </si>
  <si>
    <t>Support staff heacount devoted to practice are, segmented by practice area, by department, by job level, by time period</t>
  </si>
  <si>
    <t>Sup_Staff_Count_K["Depts.Sales", "Sup_Staff_Levels.Manager", "Konst.K0"]|=0</t>
  </si>
  <si>
    <t>The discount rate per time period used for the cash flow occurring after the end of model time</t>
  </si>
  <si>
    <t>Wage_Tax_pct[DATE(2010,9,1)]|=M244</t>
  </si>
  <si>
    <t>Prof_Fees_per_Hr_Nominal["Practice_Areas.Practice_1", "Prof_Staff_Types.Prof_Level_2", DATE(2011,2,1)]|=R139</t>
  </si>
  <si>
    <t>Sales_Lead_Hrs_Expire_pct_Yr["Sales_Lead_Quality.Lead_Qual_2", "Practice_Areas.Practice_1", "Prof_Staff_Types.Prof_Level_1", "Channels.Channels_2", DATE(2011,1,1)]|=Q114</t>
  </si>
  <si>
    <t>Equity cash flow at the end of each accounting period adjusted to cancel out capital transactions, and scaled by the cash flow expectation factor that reflects risk in plan cash flows</t>
  </si>
  <si>
    <t>Cash flow for computing IRR, including model time periods, excluding value of cash flows in tail after model time</t>
  </si>
  <si>
    <t>Sales_Lead_Hrs_Conv_pct_Yr["Sales_Lead_Quality.Lead_Qual_1", "Practice_Areas.Practice_2", "Prof_Staff_Types.Prof_Level_2", "Channels.Channels_2", DATE(2010,11,1)]|=O95</t>
  </si>
  <si>
    <t>Prof_Staff_Count_Early["Practice_Areas.Practice_1", "Prof_Staff_Types.Prof_Level_2", DATE(2010,3,1)]|=G185</t>
  </si>
  <si>
    <t>:D:0:Empl_Rel_Exp_Type.Supplies</t>
  </si>
  <si>
    <t>Prof_Fee_Discount_pct["Practice_Areas.Practice_2", "Prof_Staff_Types.Prof_Level_2", DATE(2010,4,1)]|=H146</t>
  </si>
  <si>
    <t>Prof Staff Count Cutover</t>
  </si>
  <si>
    <t>Sales_Lead_Hrs_Expire_pct_Yr["Sales_Lead_Quality.Lead_Qual_1", "Practice_Areas.Practice_2", "Prof_Staff_Types.Prof_Level_2", "Channels.Channels_1", DATE(2011,1,1)]|=Q111</t>
  </si>
  <si>
    <t>if(Sup_Staff_Count=0, 0, Sup_Staff_Wage_Expense/Sup_Staff_Count)</t>
  </si>
  <si>
    <t>Support staff expense, segmented by job level, by department, for each time period.
Sales commissions go to the Sales department, allocated to employees proportional to wage and salary compensation.</t>
  </si>
  <si>
    <t>(Ranges)'!Revenue_Channel_Channels_Channels_2</t>
  </si>
  <si>
    <t>Sales_Lead_Hrs_Expire_pct_Yr["Sales_Lead_Quality.Lead_Qual_1", "Practice_Areas.Practice_2", "Prof_Staff_Types.Prof_Level_1", "Channels.Channels_2", DATE(2010,1,1)]|=0.30</t>
  </si>
  <si>
    <t>:D:0:OpExpType.Employee_Rel_Exp</t>
  </si>
  <si>
    <t>:A:-1:Cash_Flow_Check</t>
  </si>
  <si>
    <t>Interest_Rate_Long_Yr[DATE(2010,11,1)]|=O340</t>
  </si>
  <si>
    <t>Cost_Services_Supplies_Hr["Practice_Areas.Practice_2", "Prof_Staff_Types.Prof_Level_1", "Supply_Types.Supply_Type_1", "Channels.Channels_1", DATE(2011,4,1)]|=T169</t>
  </si>
  <si>
    <t>Cost_Services_Supplies_Hr["Practice_Areas.Practice_1", "Prof_Staff_Types.Prof_Level_2", "Supply_Types.Supply_Type_2", "Channels.Channels_2", DATE(2010,6,1)]|=J168</t>
  </si>
  <si>
    <t>Sales_Lead_Hrs_New["Sales_Lead_Quality.Lead_Qual_2", "Practice_Areas.Practice_2", "Prof_Staff_Types.Prof_Level_2", "Channels.Channels_1", DATE(2010,7,1)]|=2*K82-J82</t>
  </si>
  <si>
    <t>Sales_Lead_Hrs_New["Sales_Lead_Quality.Lead_Qual_1", "Practice_Areas.Practice_2", "Prof_Staff_Types.Prof_Level_1", "Channels.Channels_1", DATE(2010,7,1)]|=2*K72-J72</t>
  </si>
  <si>
    <t>Engagements, Practice_Areas</t>
  </si>
  <si>
    <t>Tagged_Assets</t>
  </si>
  <si>
    <t>ifm(Time&lt;=0.001, 0, max(0, Cash_Targ_Days*periods_per("day")*Revenue-Cash_No_Short_Debt))</t>
  </si>
  <si>
    <t>Prof_Staff_Count_Cutover[]|=round(12.00000/2, 0)</t>
  </si>
  <si>
    <t>Depreciation expense for capitalized development by time period</t>
  </si>
  <si>
    <t>:A:0:Operating_Exp</t>
  </si>
  <si>
    <t>Revenue Growth</t>
  </si>
  <si>
    <t>ifm(current_date(-1)&lt;=model_date(1, -1), next(Valuation_Equity/(1+Discount_Rate)), ifm(current_date(1)&lt;model_date(2)-1, next(Cash_Flow_Eq_Expected)+next(Valuation_Equity/(1+Discount_Rate)), Cash_Flow_Expect_Fut*Tail_Future_Value))</t>
  </si>
  <si>
    <t>Per_Sup_Staff_Exp_Yr["Depts.Marketing", "Empl_Rel_Exp_Type.Supplies", DATE(2011,3,1)]|=S326</t>
  </si>
  <si>
    <t>:A:-1:Interest_Rate_Short_Yr</t>
  </si>
  <si>
    <t>Cost_Services_Supplies_Hr["Practice_Areas.Practice_2", "Prof_Staff_Types.Prof_Level_2", "Supply_Types.Supply_Type_2", "Channels.Channels_1", DATE(2010,2,1)]|=F175</t>
  </si>
  <si>
    <t>Cost_Services_TandE_Hr["Practice_Areas.Practice_2", "Prof_Staff_Types.Prof_Level_1", "Channels.Channels_2", DATE(2011,5,1)]|=U158</t>
  </si>
  <si>
    <t>Sales_Lead_Hrs_Expire_pct_Yr["Sales_Lead_Quality.Lead_Qual_1", "Practice_Areas.Practice_2", "Prof_Staff_Types.Prof_Level_1", "Channels.Channels_2", DATE(2010,12,1)]|=P110</t>
  </si>
  <si>
    <t>Recruit_Exp_pct_Comp_Prof["Practice_Areas.Practice_2", "Prof_Staff_Types.Prof_Level_2"]|=I258</t>
  </si>
  <si>
    <t>Mktg_Pgms_Exp_Early["Mktg_Pgms.Seminars", "Practice_Areas.Practice_1", DATE(2010,3,1)]|=G276</t>
  </si>
  <si>
    <t>(Ranges)'!Revenue_Practice_Areas_Practice_1_Prof_Staff_Types</t>
  </si>
  <si>
    <t>Engage!Engage_Cost_TandE_Engagements_Engage_1_Prof_Staff_Types_Prof_Level_1</t>
  </si>
  <si>
    <t>Cost_Services_Supplies_Hr["Practice_Areas.Practice_1", "Prof_Staff_Types.Prof_Level_2", "Supply_Types.Supply_Type_1", "Channels.Channels_1", DATE(2010,3,1)]|=G165</t>
  </si>
  <si>
    <t>Sales_Commis_Rate[DATE(2011,4,1)]|=T246</t>
  </si>
  <si>
    <t>Sales_Lead_Hrs_New["Sales_Lead_Quality.Lead_Qual_1", "Practice_Areas.Practice_2", "Prof_Staff_Types.Prof_Level_1", "Channels.Channels_2", DATE(2010,7,1)]|=2*K73-J73</t>
  </si>
  <si>
    <t>:D:0:Practice_Areas.Practice_1</t>
  </si>
  <si>
    <t>Order_Backlog_Hrs_Init["Practice_Areas.Practice_2", "Prof_Staff_Types.Prof_Level_1", "Channels.Channels_1"]|=0</t>
  </si>
  <si>
    <t>Sales_Commis_Rev_Share[DATE(2011,3,1)]|=S247</t>
  </si>
  <si>
    <t>Interest_Rate_Short_Yr[DATE(2011,5,1)]|=U339</t>
  </si>
  <si>
    <t>Supply_Types</t>
  </si>
  <si>
    <t>Operating margin amount, per time period</t>
  </si>
  <si>
    <t>Period 1</t>
  </si>
  <si>
    <t>Sales_Lead_Hrs_New["Sales_Lead_Quality.Lead_Qual_1", "Practice_Areas.Practice_2", "Prof_Staff_Types.Prof_Level_1", "Channels.Channels_1", DATE(2010,3,1)]|=2*G72-F72</t>
  </si>
  <si>
    <t>ifm(Time&lt;=0.001, next(Prof_Fees_per_Hr_Avg)*Sales_Lead_Hrs_Init, Prof_Fees_per_Hr_Avg*Sales_Leads_Hrs)</t>
  </si>
  <si>
    <t>(Compute)'!Prof_Staff_Hrs_Applied_Plot_Date</t>
  </si>
  <si>
    <t>(Tables)'!Engage_Gross_Margin_Engagements_Engage_1_Prof_Staff_Types_Prof_Level_2</t>
  </si>
  <si>
    <t xml:space="preserve">  Programs</t>
  </si>
  <si>
    <t>Sales_Lead_Hrs_New["Sales_Lead_Quality.Lead_Qual_2", "Practice_Areas.Practice_2", "Prof_Staff_Types.Prof_Level_1", "Channels.Channels_2", DATE(2010,12,1)]|=2*P81-O81</t>
  </si>
  <si>
    <t>(Ranges)'!Revenue_Channel_Channels_Channels_2_Practice_Areas_Practice_2_Prof_Staff_Types_Prof_Level_2</t>
  </si>
  <si>
    <t>Prof_Fee_Discount_pct["Practice_Areas.Practice_1", "Prof_Staff_Types.Prof_Level_2", DATE(2010,7,1)]|=K144</t>
  </si>
  <si>
    <t>Cost_Services_Supplies_Hr["Practice_Areas.Practice_2", "Prof_Staff_Types.Prof_Level_2", "Supply_Types.Supply_Type_1", "Channels.Channels_1", DATE(2010,1,1)]|=0</t>
  </si>
  <si>
    <t xml:space="preserve">  Supply_Type_1</t>
  </si>
  <si>
    <t>Engage_Hrs_pct_Billed_ET["Engagements.Engage_1", "Prof_Staff_Types.Prof_Level_1", "Engage_Time.Period_1"]|=1</t>
  </si>
  <si>
    <t>(Tables)'!Engage_Hrs_Applied_ET_Engage_Time_Period_4_Engagements</t>
  </si>
  <si>
    <t>Sales_Lead_Hrs_Expire_pct_Yr["Sales_Lead_Quality.Lead_Qual_1", "Practice_Areas.Practice_1", "Prof_Staff_Types.Prof_Level_1", "Channels.Channels_1", DATE(2011,4,1)]|=T105</t>
  </si>
  <si>
    <t>Liabilities.Long.Bonds</t>
  </si>
  <si>
    <t>Sales_Lead_Hrs_Conv_pct_Yr["Sales_Lead_Quality.Lead_Qual_1", "Practice_Areas.Practice_2", "Prof_Staff_Types.Prof_Level_1", "Channels.Channels_2", DATE(2010,4,1)]|=H93</t>
  </si>
  <si>
    <t>:D:1:GA_Exp</t>
  </si>
  <si>
    <t>:A:-1:IRR_Guess_w_Tail_Yr</t>
  </si>
  <si>
    <t>Practice_Dev_Sup_Staff_Count["Practice_Areas.Practice_2", "Depts.Marketing", "Sup_Staff_Levels.Manager", DATE(2011,3,1)]|=S295</t>
  </si>
  <si>
    <t>:D:2:Assets.Short</t>
  </si>
  <si>
    <t>Cash_Flow_Expect_Factor[DATE(2011,3,1)]|=S439</t>
  </si>
  <si>
    <t>Sales_Lead_Hrs_Init["Practice_Areas.Practice_1", "Prof_Staff_Types.Prof_Level_2", "Channels.Channels_1", "Sales_Lead_Quality.Lead_Qual_1"]|=0</t>
  </si>
  <si>
    <t>Sales_Lead_Hrs_New["Sales_Lead_Quality.Lead_Qual_1", "Practice_Areas.Practice_2", "Prof_Staff_Types.Prof_Level_1", "Channels.Channels_2", DATE(2010,3,1)]|=2*G73-F73</t>
  </si>
  <si>
    <t>Marketing department expense, by time period. In early time periods, specified as explicit numbers; in later time periods, computed using Cobb-Douglas function of revenue</t>
  </si>
  <si>
    <t>:A:0:Facil_Other_Exp_Yr</t>
  </si>
  <si>
    <t>Sales_Lead_Hrs_Conv_pct_Yr["Sales_Lead_Quality.Lead_Qual_1", "Practice_Areas.Practice_1", "Prof_Staff_Types.Prof_Level_2", "Channels.Channels_1", DATE(2011,6,1)]|=V90</t>
  </si>
  <si>
    <t>Inputs!Engage_Hrs_pct_Billed_ET_Engage_Time_Period_3_Engagements_Engage_2_Prof_Staff_Types_Prof_Level_2</t>
  </si>
  <si>
    <t>:A:-1:Loss_Forward</t>
  </si>
  <si>
    <t xml:space="preserve">  Sales</t>
  </si>
  <si>
    <t>Gross_Margin_Channel</t>
  </si>
  <si>
    <t>(Ranges)'!Gross_Margin_Practice_Areas_Practice_2_Prof_Staff_Types_Prof_Level_2_Channels_Channels_2</t>
  </si>
  <si>
    <t>Engage!Engage_Billings_Engagements</t>
  </si>
  <si>
    <t>Engage_Discount_pct["Engagements.Engage_1", DATE(2010,10,1)]|=N148</t>
  </si>
  <si>
    <t>IRR_Guess_w_Tail_Yr[]|</t>
  </si>
  <si>
    <t>Cost_Services_Supplies_Hr["Practice_Areas.Practice_2", "Prof_Staff_Types.Prof_Level_2", "Supply_Types.Supply_Type_2", "Channels.Channels_1", DATE(2010,12,1)]|=P175</t>
  </si>
  <si>
    <t>Prof_Staff_Bonus_pct["Practice_Areas.Practice_2", "Prof_Staff_Types.Prof_Level_1", DATE(2010,8,1)]|=L217</t>
  </si>
  <si>
    <t>Sales_Lead_Hrs_Expire_pct_Yr["Sales_Lead_Quality.Lead_Qual_2", "Practice_Areas.Practice_1", "Prof_Staff_Types.Prof_Level_2", "Channels.Channels_2", DATE(2011,5,1)]|=U116</t>
  </si>
  <si>
    <t>(Ranges)'!Gross_Margin_Channel_Channels_Channels_2_Practice_Areas_Practice_1_Prof_Staff_Types_Prof_Level_1</t>
  </si>
  <si>
    <t>if(Prof_Staff_Count=0, 0, periods_per("year")*Prof_Staff_Billings/Prof_Staff_Count)</t>
  </si>
  <si>
    <t>Purchases</t>
  </si>
  <si>
    <t>(Ranges)'!Revenue_Practice_Areas_Practice_1_Prof_Staff_Types_Prof_Level_2_Channels_Channels_1</t>
  </si>
  <si>
    <t>:A:-1:Sup_Staff_Count_K</t>
  </si>
  <si>
    <t>Sales_Lead_Hrs_New["Sales_Lead_Quality.Lead_Qual_2", "Practice_Areas.Practice_2", "Prof_Staff_Types.Prof_Level_1", "Channels.Channels_2", DATE(2010,5,1)]|=2*I81-H81</t>
  </si>
  <si>
    <t>Sales_Lead_Hrs_Conv_pct_Yr["Sales_Lead_Quality.Lead_Qual_2", "Practice_Areas.Practice_1", "Prof_Staff_Types.Prof_Level_1", "Channels.Channels_2", DATE(2011,2,1)]|=R97</t>
  </si>
  <si>
    <t>Office_Rent_Rate_Yr[DATE(2010,9,1)]|=M305</t>
  </si>
  <si>
    <t>(Tables)'!Engage_Hrs_Applied_ET_Engage_Time_Period_2_Engagements_Engage_2_Prof_Staff_Types</t>
  </si>
  <si>
    <t>Prof_Staff_Salary_incr_pct["Prof_Staff_Types.Prof_Level_1", DATE(2010,8,1)]|=L212</t>
  </si>
  <si>
    <t>(Ranges)'!Practice_Dev_Prof_Staff_Hrs_Practice_Areas_Practice_1_Prof_Staff_Types_Prof_Level_1</t>
  </si>
  <si>
    <t>Orders_Filled_Hrs_pct["Practice_Areas.Practice_1", "Prof_Staff_Types.Prof_Level_2", "Channels.Channels_2", DATE(2011,2,1)]|=R125</t>
  </si>
  <si>
    <t>Prof_Staff_Targ_Util_pct["Practice_Areas.Practice_1", "Prof_Staff_Types.Prof_Level_2", DATE(2010,5,1)]|=I190</t>
  </si>
  <si>
    <t>Measured growth rate of billed staff hours per time period (not annualized)</t>
  </si>
  <si>
    <t>Cost_Services_TandE_Hr["Practice_Areas.Practice_2", "Prof_Staff_Types.Prof_Level_2", "Channels.Channels_1", DATE(2011,5,1)]|=U159</t>
  </si>
  <si>
    <t>Engage_Hrs_Applied_ET["Engagements.Engage_2", "Prof_Staff_Types.Prof_Level_1", "Engage_Time.Period_2"]|=if('(Tables)'!B43&lt;=G21, F26*F21*1/G21+F26*F21*min(1, max(-1, G26))*2*'(Tables)'!B43/G21/G21+F26*F21*min(1, max(-1, G26))*(-1)/G21/G21+F26*F21*min(1, max(-1, G26))*(-1)/G21, 0*F21/G21)</t>
  </si>
  <si>
    <t>if(Time&lt;0.001+1/periods_per("year"), Sup_Staff_Count+Sup_Staff_Turnover, max(0, Sup_Staff_Count-preve(0, Sup_Staff_Count)+Sup_Staff_Turnover))</t>
  </si>
  <si>
    <t>Cost_Services_TandE_Hr["Practice_Areas.Practice_2", "Prof_Staff_Types.Prof_Level_2", "Channels.Channels_1", DATE(2010,8,1)]|=L159</t>
  </si>
  <si>
    <t>:D:0:Engagements</t>
  </si>
  <si>
    <t>(Compute)'!Prof_Staff_Billings_Time_Period</t>
  </si>
  <si>
    <t>Sup_Staff_Bonus_pct["Depts.Marketing", "Sup_Staff_Levels.Manager", DATE(2010,7,1)]|=K233</t>
  </si>
  <si>
    <t>Sup_Staff_Bonus_pct["Depts.Marketing", "Sup_Staff_Levels.Manager", DATE(2010,2,1)]|=F233</t>
  </si>
  <si>
    <t>Practice_Dev_pct_Capd["Practice_Areas.Practice_2", DATE(2011,1,1)]|=Q396</t>
  </si>
  <si>
    <t>Sales Commis Rate</t>
  </si>
  <si>
    <t>Chg_Long_Debt</t>
  </si>
  <si>
    <t>Net_Stock_Issue[DATE(2010,5,1)]|=0</t>
  </si>
  <si>
    <t>Engage!Engage_Gross_Margin_Engagements_Engage_2_Prof_Staff_Types</t>
  </si>
  <si>
    <t>:D:0:OpExpType.Dept_Exp_Accts</t>
  </si>
  <si>
    <t>Prof_Staff_Salary_incr_pct["Prof_Staff_Types.Prof_Level_1", DATE(2010,6,1)]|=J212</t>
  </si>
  <si>
    <t>Practice_Dev_Prof_Staff_Count["Practice_Areas.Practice_1", "Prof_Staff_Types.Prof_Level_2", DATE(2010,12,1)]|=P287</t>
  </si>
  <si>
    <t>Engage_Discount_pct["Engagements.Engage_1", DATE(2010,8,1)]|=L148</t>
  </si>
  <si>
    <t>Duration of each major Engagement that is tracked separately, expressed in number of time periods. Values cannot exceed the number of time periods in Dimension 'Engage_Time'. To increase this limit, change the length of dimension 'Engage Time' when you customize a new temlate, or in ModelSheet Authoring.</t>
  </si>
  <si>
    <t>if(Assets=0, 0, Revenue/Assets)</t>
  </si>
  <si>
    <t>Prof_Staff_Benefits_pct["Prof_Staff_Types.Prof_Level_1", DATE(2010,8,1)]|=L220</t>
  </si>
  <si>
    <t>Sales_Lead_Hrs_Conv_pct_Yr["Sales_Lead_Quality.Lead_Qual_1", "Practice_Areas.Practice_2", "Prof_Staff_Types.Prof_Level_1", "Channels.Channels_2", DATE(2010,7,1)]|=K93</t>
  </si>
  <si>
    <t>Cost_Services_TandE_Channel</t>
  </si>
  <si>
    <t>Sales_Lead_Hrs_Conv_pct_Yr["Sales_Lead_Quality.Lead_Qual_1", "Practice_Areas.Practice_2", "Prof_Staff_Types.Prof_Level_2", "Channels.Channels_1", DATE(2010,1,1)]|=0.50</t>
  </si>
  <si>
    <t>Cost_Services_TandE_Hr["Practice_Areas.Practice_1", "Prof_Staff_Types.Prof_Level_2", "Channels.Channels_1", DATE(2011,4,1)]|=T155</t>
  </si>
  <si>
    <t>Practice_Dev_pct_Capd["Practice_Areas.Practice_1", DATE(2011,2,1)]|=R395</t>
  </si>
  <si>
    <t>Prof_Fees_per_Hr_Nominal</t>
  </si>
  <si>
    <t>Engage_Discount_pct["Engagements.Engage_2", DATE(2010,10,1)]|=N149</t>
  </si>
  <si>
    <t>Engage!Orders_Filled_Practice_Areas_Practice_1_Prof_Staff_Types_Prof_Level_2_Channels</t>
  </si>
  <si>
    <t>Sup_Staff_Bonus_pct["Depts.Sales", "Sup_Staff_Levels.Contributor", DATE(2010,9,1)]|=M236</t>
  </si>
  <si>
    <t>(Tables)'!Prof_Staff_Hrs_Engage_Practice_Areas_Practice_1_Prof_Staff_Types_Prof_Level_1_Channels_Channels_1</t>
  </si>
  <si>
    <t>Physical, useful life of each tagged asset expressed in years</t>
  </si>
  <si>
    <t>Gen &amp; Admin Exp</t>
  </si>
  <si>
    <t>0.5*round(2*Sup_Staff_Count1_K_on, 0)</t>
  </si>
  <si>
    <t>:D:0:Channels.Channels_2</t>
  </si>
  <si>
    <t>Prof_Fees_per_Hr_Nominal["Practice_Areas.Practice_1", "Prof_Staff_Types.Prof_Level_2", DATE(2010,9,1)]|=M139</t>
  </si>
  <si>
    <t>Prof_Staff_Targ_Util_pct["Practice_Areas.Practice_2", "Prof_Staff_Types.Prof_Level_2", DATE(2011,5,1)]|=U192</t>
  </si>
  <si>
    <t>Per_Prof_Staff_Exp_Yr["Prof_Staff_Types.Prof_Level_2", "Empl_Rel_Exp_Type.Other", DATE(2011,2,1)]|=R324</t>
  </si>
  <si>
    <t>Sales_Lead_Hrs_Expire_pct_Yr["Sales_Lead_Quality.Lead_Qual_1", "Practice_Areas.Practice_1", "Prof_Staff_Types.Prof_Level_1", "Channels.Channels_2", DATE(2011,4,1)]|=T106</t>
  </si>
  <si>
    <t>if(Engage_Billings=0, 0, Engage_Gross_Margin/Engage_Billings)</t>
  </si>
  <si>
    <t>Prof_Fee_Discount_pct["Practice_Areas.Practice_1", "Prof_Staff_Types.Prof_Level_1", DATE(2010,7,1)]|=K143</t>
  </si>
  <si>
    <t>Sales_Lead_Hrs_Expire_pct_Yr["Sales_Lead_Quality.Lead_Qual_1", "Practice_Areas.Practice_2", "Prof_Staff_Types.Prof_Level_1", "Channels.Channels_1", DATE(2011,3,1)]|=S109</t>
  </si>
  <si>
    <t>Per_Sup_Staff_Exp_Yr["Depts.Marketing", "Empl_Rel_Exp_Type.Travel_Entertain", DATE(2011,5,1)]|=U327</t>
  </si>
  <si>
    <t xml:space="preserve">  Short</t>
  </si>
  <si>
    <t>Accts_Pay_Targ_Days["Accts_Pay_Type.Payroll_Pay", DATE(2011,1,1)]|=R411</t>
  </si>
  <si>
    <t>Sup_Staff_Bonus_pct["Depts.Marketing", "Sup_Staff_Levels.Manager", DATE(2010,8,1)]|=L233</t>
  </si>
  <si>
    <t>Sales_Commis_Rate[DATE(2010,12,1)]|=P246</t>
  </si>
  <si>
    <t>Per_Sup_Staff_Exp_Yr["Depts.Sales", "Empl_Rel_Exp_Type.Travel_Entertain", DATE(2010,9,1)]|=M330</t>
  </si>
  <si>
    <t>Practice_Dev_Prof_Staff_Count["Practice_Areas.Practice_2", "Prof_Staff_Types.Prof_Level_1", DATE(2010,11,1)]|=O288</t>
  </si>
  <si>
    <t>Sup_Staff_Count_Early["Depts.Marketing", "Sup_Staff_Levels.Contributor", DATE(2010,9,1)]|=M198</t>
  </si>
  <si>
    <t>Cost_Services_Supplies_Hr["Practice_Areas.Practice_2", "Prof_Staff_Types.Prof_Level_2", "Supply_Types.Supply_Type_1", "Channels.Channels_2", DATE(2010,1,1)]|=0</t>
  </si>
  <si>
    <t>Cost_Services_Supplies_Hr["Practice_Areas.Practice_1", "Prof_Staff_Types.Prof_Level_2", "Supply_Types.Supply_Type_1", "Channels.Channels_2", DATE(2010,2,1)]|=F166</t>
  </si>
  <si>
    <t>Practice_Dev_Sup_Staff_Count["Practice_Areas.Practice_1", "Depts.Sales", "Sup_Staff_Levels.Contributor", DATE(2011,3,1)]|=S294</t>
  </si>
  <si>
    <t>:A:0:Tail_Future_Value</t>
  </si>
  <si>
    <t>Practice_Dev_Prof_Staff_Count["Practice_Areas.Practice_1", "Prof_Staff_Types.Prof_Level_2", DATE(2011,5,1)]|=U287</t>
  </si>
  <si>
    <t>Recruit_Exp_pct_Comp_Prof["Practice_Areas.Practice_1", "Prof_Staff_Types.Prof_Level_1"]|=0</t>
  </si>
  <si>
    <t>Mktg_Pgms_Exp_Early["Mktg_Pgms.Seminars", "Practice_Areas.Practice_2", DATE(2010,2,1)]|=F277</t>
  </si>
  <si>
    <t>Prof_Fee_Discount_pct["Practice_Areas.Practice_1", "Prof_Staff_Types.Prof_Level_2", DATE(2011,5,1)]|=U144</t>
  </si>
  <si>
    <t>Cost_Services_Supplies_Hr["Practice_Areas.Practice_1", "Prof_Staff_Types.Prof_Level_1", "Supply_Types.Supply_Type_2", "Channels.Channels_2", DATE(2010,7,1)]|=K164</t>
  </si>
  <si>
    <t>Cost_Services_Supplies_Hr["Practice_Areas.Practice_2", "Prof_Staff_Types.Prof_Level_2", "Supply_Types.Supply_Type_2", "Channels.Channels_1", DATE(2010,1,1)]|=0</t>
  </si>
  <si>
    <t>Sales_Lead_Hrs_Expire_pct_Yr["Sales_Lead_Quality.Lead_Qual_2", "Practice_Areas.Practice_2", "Prof_Staff_Types.Prof_Level_1", "Channels.Channels_1", DATE(2010,6,1)]|=J117</t>
  </si>
  <si>
    <t>Inputs!Engage_Hrs_pct_Billed_ET_Engage_Time_Period_3_Engagements_Engage_1_Prof_Staff_Types_Prof_Level_1</t>
  </si>
  <si>
    <t>:A:-1:Cash_No_Short_Debt</t>
  </si>
  <si>
    <t>Untagged_Asset_Purch</t>
  </si>
  <si>
    <t>Sup_Staff_Bonus_pct["Depts.Sales", "Sup_Staff_Levels.Manager", DATE(2010,7,1)]|=K235</t>
  </si>
  <si>
    <t>Practice_Dev_Sup_Staff_Count["Practice_Areas.Practice_2", "Depts.Sales", "Sup_Staff_Levels.Contributor", DATE(2011,1,1)]|=Q298</t>
  </si>
  <si>
    <t>Sales_Lead_Hrs_Conv_pct_Yr["Sales_Lead_Quality.Lead_Qual_2", "Practice_Areas.Practice_2", "Prof_Staff_Types.Prof_Level_2", "Channels.Channels_1", DATE(2010,3,1)]|=G102</t>
  </si>
  <si>
    <t>Cost_Services_Supplies_Hr["Practice_Areas.Practice_2", "Prof_Staff_Types.Prof_Level_2", "Supply_Types.Supply_Type_1", "Channels.Channels_2", DATE(2011,1,1)]|=Q174</t>
  </si>
  <si>
    <t>:A:-1:Gross_Margin_pct</t>
  </si>
  <si>
    <t>Engage_Discount_pct["Engagements.Engage_2", DATE(2011,2,1)]|=R149</t>
  </si>
  <si>
    <t>Sup_Staff_Bonus_pct["Depts.Sales", "Sup_Staff_Levels.Contributor", DATE(2010,10,1)]|=N236</t>
  </si>
  <si>
    <t>Channels, Practice_Areas, Dir_Cost_Types.Travel_and_Entertain</t>
  </si>
  <si>
    <t>Cost_Services_Supplies_Hr["Practice_Areas.Practice_2", "Prof_Staff_Types.Prof_Level_2", "Supply_Types.Supply_Type_2", "Channels.Channels_1", DATE(2010,7,1)]|=K175</t>
  </si>
  <si>
    <t>Wage_Tax_pct[DATE(2011,4,1)]|=T244</t>
  </si>
  <si>
    <t>New Sales Leads</t>
  </si>
  <si>
    <t>:A:0:Revenue_Channel</t>
  </si>
  <si>
    <t>Mktg_Pgms_Exp_Early["Mktg_Pgms.Seminars", "Practice_Areas.Practice_2", DATE(2011,1,1)]|=Q277</t>
  </si>
  <si>
    <t>Orders_Filled_Hrs_pct["Practice_Areas.Practice_2", "Prof_Staff_Types.Prof_Level_1", "Channels.Channels_2", DATE(2010,1,1)]|=0.5</t>
  </si>
  <si>
    <t>Sales_Lead_Hrs_Expire_pct_Yr["Sales_Lead_Quality.Lead_Qual_1", "Practice_Areas.Practice_2", "Prof_Staff_Types.Prof_Level_2", "Channels.Channels_2", DATE(2011,6,1)]|=V112</t>
  </si>
  <si>
    <t>Billed Hours Growth</t>
  </si>
  <si>
    <t>:D:0:Untagged_Asset_Type.Furniture</t>
  </si>
  <si>
    <t>Depts, OpExpType.Gen_Admin_Exp</t>
  </si>
  <si>
    <t>Tail Growth Rate (Yr)</t>
  </si>
  <si>
    <t>:A:-1:Cash_Flow_Expect_Factor</t>
  </si>
  <si>
    <t>(Ranges)'!Gross_Margin_Practice_Areas_Practice_1_Prof_Staff_Types</t>
  </si>
  <si>
    <t>Sales_Lead_Hrs_Expire_pct_Yr["Sales_Lead_Quality.Lead_Qual_2", "Practice_Areas.Practice_1", "Prof_Staff_Types.Prof_Level_1", "Channels.Channels_1", DATE(2010,6,1)]|=J113</t>
  </si>
  <si>
    <t>The ratio (trailing annual net income) / assets, by time period</t>
  </si>
  <si>
    <t>:A:-1:Sup_Staff_Rel_Exp</t>
  </si>
  <si>
    <t>Engage!Engage_Cost_Supplies_Engagements_Engage_2_Prof_Staff_Types_Prof_Level_1_Supply_Types_Supply_Type_1</t>
  </si>
  <si>
    <t>:A:-1:Cost_Services_TandE_Hr</t>
  </si>
  <si>
    <t>Cost_Services_Supplies_Hr["Practice_Areas.Practice_1", "Prof_Staff_Types.Prof_Level_2", "Supply_Types.Supply_Type_1", "Channels.Channels_1", DATE(2010,9,1)]|=M165</t>
  </si>
  <si>
    <t>Prof_Staff_Benefits_pct["Prof_Staff_Types.Prof_Level_2", DATE(2010,4,1)]|=H221</t>
  </si>
  <si>
    <t>(Ranges)'!Prof_Staff_Hrs_Unbilled_Practice_Areas_Practice_1_Prof_Staff_Types</t>
  </si>
  <si>
    <t>Short Term Assets</t>
  </si>
  <si>
    <t>Engage_Start_Time["Engagements.Engage_1"]|=round(max(2, '(Tables)'!T9*1/6), 0)</t>
  </si>
  <si>
    <t>Accts_Pay_Targ_Days["Accts_Pay_Type.Vendor_Pay", DATE(2010,1,1)]|=30</t>
  </si>
  <si>
    <t>Price_Earnings_Ratio</t>
  </si>
  <si>
    <t>:A:-1:Engage_Rev_Nominal_Fees</t>
  </si>
  <si>
    <t>Sales_Lead_Hrs_Expire_pct_Yr["Sales_Lead_Quality.Lead_Qual_2", "Practice_Areas.Practice_2", "Prof_Staff_Types.Prof_Level_2", "Channels.Channels_2", DATE(2010,5,1)]|=I120</t>
  </si>
  <si>
    <t>Cost_Services_Supplies_Hr["Practice_Areas.Practice_1", "Prof_Staff_Types.Prof_Level_2", "Supply_Types.Supply_Type_2", "Channels.Channels_2", DATE(2010,5,1)]|=I168</t>
  </si>
  <si>
    <t>Annual interest rate on short-term debt, quoted for each time period. The model expresses all input interest rates in annual terms.</t>
  </si>
  <si>
    <t>Sales_Lead_Hrs_New["Sales_Lead_Quality.Lead_Qual_2", "Practice_Areas.Practice_2", "Prof_Staff_Types.Prof_Level_1", "Channels.Channels_1", DATE(2010,8,1)]|=2*L80-K80</t>
  </si>
  <si>
    <t>Sales_Lead_Hrs_New["Sales_Lead_Quality.Lead_Qual_1", "Practice_Areas.Practice_1", "Prof_Staff_Types.Prof_Level_2", "Channels.Channels_2", DATE(2010,1,1)]|=2*0-0</t>
  </si>
  <si>
    <t>Sales_Lead_Hrs_New["Sales_Lead_Quality.Lead_Qual_1", "Practice_Areas.Practice_1", "Prof_Staff_Types.Prof_Level_1", "Channels.Channels_1", DATE(2010,12,1)]|=2*P68-O68</t>
  </si>
  <si>
    <t>Sup_Staff_Count_Early["Depts.Sales", "Sup_Staff_Levels.Manager", DATE(2010,5,1)]|=I199</t>
  </si>
  <si>
    <t>OpExpType</t>
  </si>
  <si>
    <t>Sales_Lead_Hrs_New["Sales_Lead_Quality.Lead_Qual_2", "Practice_Areas.Practice_1", "Prof_Staff_Types.Prof_Level_1", "Channels.Channels_1", DATE(2010,9,1)]|=2*M76-L76</t>
  </si>
  <si>
    <t>Prof_Staff_Bonus_pct["Practice_Areas.Practice_2", "Prof_Staff_Types.Prof_Level_2", DATE(2010,10,1)]|=N218</t>
  </si>
  <si>
    <t>:A:-1:Engage_Hrs_Unbilled</t>
  </si>
  <si>
    <t>Sales_Lead_Hrs_New["Sales_Lead_Quality.Lead_Qual_2", "Practice_Areas.Practice_1", "Prof_Staff_Types.Prof_Level_2", "Channels.Channels_1", DATE(2010,2,1)]|=2*F78-F78</t>
  </si>
  <si>
    <t>:A:-1:Quick_Ratio</t>
  </si>
  <si>
    <t>:A:0:Accts_Receivable_Initial</t>
  </si>
  <si>
    <t>Sales_Lead_Hrs_New["Sales_Lead_Quality.Lead_Qual_1", "Practice_Areas.Practice_1", "Prof_Staff_Types.Prof_Level_1", "Channels.Channels_2", DATE(2010,9,1)]|=2*M69-L69</t>
  </si>
  <si>
    <t>Cost_Services_Supplies_Hr["Practice_Areas.Practice_1", "Prof_Staff_Types.Prof_Level_1", "Supply_Types.Supply_Type_1", "Channels.Channels_1", DATE(2010,1,1)]|=0</t>
  </si>
  <si>
    <t>Cost of Services</t>
  </si>
  <si>
    <t>Per_Prof_Staff_Exp_Yr["Prof_Staff_Types.Prof_Level_2", "Empl_Rel_Exp_Type.Supplies", DATE(2010,8,1)]|=L322</t>
  </si>
  <si>
    <t>Sales_Lead_Hrs_Init["Practice_Areas.Practice_1", "Prof_Staff_Types.Prof_Level_2", "Channels.Channels_1", "Sales_Lead_Quality.Lead_Qual_2"]|=0</t>
  </si>
  <si>
    <t>Sales_Lead_Hrs_Conv_pct_Yr["Sales_Lead_Quality.Lead_Qual_1", "Practice_Areas.Practice_1", "Prof_Staff_Types.Prof_Level_2", "Channels.Channels_1", DATE(2011,1,1)]|=Q90</t>
  </si>
  <si>
    <t>:D:2:Sup_Staff_Levels</t>
  </si>
  <si>
    <t>Practice_Dev_Prof_Staff_Count["Practice_Areas.Practice_1", "Prof_Staff_Types.Prof_Level_1", DATE(2010,4,1)]|=H286</t>
  </si>
  <si>
    <t>(Tables)'!Engage_Rev_Nominal_Fees_Engagements_Engage_1</t>
  </si>
  <si>
    <t>:A:-1:Interest_Exp_Net</t>
  </si>
  <si>
    <t>Practice_Dev_Sup_Staff_Count["Practice_Areas.Practice_1", "Depts.Marketing", "Sup_Staff_Levels.Contributor", DATE(2011,1,1)]|=Q292</t>
  </si>
  <si>
    <t>Tagged_Asset_Deprec_Period</t>
  </si>
  <si>
    <t>(Ranges)'!Practice_Dev_Prof_Staff_Hrs_Practice_Areas</t>
  </si>
  <si>
    <t>Sales_Lead_Hrs_Conv_pct_Yr["Sales_Lead_Quality.Lead_Qual_2", "Practice_Areas.Practice_1", "Prof_Staff_Types.Prof_Level_1", "Channels.Channels_1", DATE(2010,11,1)]|=O96</t>
  </si>
  <si>
    <t>Asset Tags</t>
  </si>
  <si>
    <t>IRR Cash Flow no Tail</t>
  </si>
  <si>
    <t>Cost_Services_Supplies_Hr["Practice_Areas.Practice_1", "Prof_Staff_Types.Prof_Level_1", "Supply_Types.Supply_Type_1", "Channels.Channels_1", DATE(2010,2,1)]|=F161</t>
  </si>
  <si>
    <t>:A:0:Sales_Lead_Hrs_Expire_pct_Yr</t>
  </si>
  <si>
    <t>Practice_Dev_Prof_Staff_Count["Practice_Areas.Practice_2", "Prof_Staff_Types.Prof_Level_2", DATE(2010,2,1)]|=F289</t>
  </si>
  <si>
    <t>Per_Prof_Staff_Exp_Yr["Prof_Staff_Types.Prof_Level_2", "Empl_Rel_Exp_Type.Supplies", DATE(2011,4,1)]|=T322</t>
  </si>
  <si>
    <t>:A:-1:Sales_Commis_Rate</t>
  </si>
  <si>
    <t>Prof_Staff_Bonus_pct["Practice_Areas.Practice_1", "Prof_Staff_Types.Prof_Level_1", DATE(2011,2,1)]|=R215</t>
  </si>
  <si>
    <t>matmult(Ident_Engage_Practice, Engage_Hrs_Billed, "Engagements", "Engagements")+Orders_Filled_Hrs</t>
  </si>
  <si>
    <t>Cost_Services_TandE_Hr["Practice_Areas.Practice_2", "Prof_Staff_Types.Prof_Level_2", "Channels.Channels_1", DATE(2011,6,1)]|=V159</t>
  </si>
  <si>
    <t>Inputs!Engage_Hrs_pct_Billed_ET_Engage_Time_Period_3_Engagements_Engage_1_Prof_Staff_Types_Prof_Level_2</t>
  </si>
  <si>
    <t>Office_Utilities_Rate_Yr[DATE(2010,4,1)]|=H306</t>
  </si>
  <si>
    <t>(Ranges)'!Practice_Dev_Prof_Staff_Hrs_Practice_Areas_Practice_1_Prof_Staff_Types</t>
  </si>
  <si>
    <t>Prof_Fees_per_Hr_Nominal["Practice_Areas.Practice_2", "Prof_Staff_Types.Prof_Level_1", DATE(2010,10,1)]|=N140</t>
  </si>
  <si>
    <t>matmult(Ident_Engage_Practice, Engage_Billings, "Engagements", "Engagements")+Orders_Filled</t>
  </si>
  <si>
    <t>Sales_Lead_Hrs_Conv_pct_Yr["Sales_Lead_Quality.Lead_Qual_1", "Practice_Areas.Practice_1", "Prof_Staff_Types.Prof_Level_2", "Channels.Channels_2", DATE(2011,5,1)]|=U91</t>
  </si>
  <si>
    <t>Wage Increase Annual?</t>
  </si>
  <si>
    <t>Sales_Lead_Hrs_Expire_pct_Yr["Sales_Lead_Quality.Lead_Qual_1", "Practice_Areas.Practice_1", "Prof_Staff_Types.Prof_Level_1", "Channels.Channels_1", DATE(2011,3,1)]|=S105</t>
  </si>
  <si>
    <t>Sales_Lead_Hrs_Conv_pct_Yr["Sales_Lead_Quality.Lead_Qual_1", "Practice_Areas.Practice_1", "Prof_Staff_Types.Prof_Level_1", "Channels.Channels_1", DATE(2010,4,1)]|=H88</t>
  </si>
  <si>
    <t>:D:2:Engage_Time.Period_1</t>
  </si>
  <si>
    <t>Sup_Staff_Count_Early["Depts.Marketing", "Sup_Staff_Levels.Manager", DATE(2010,8,1)]|=L197</t>
  </si>
  <si>
    <t>:D:0:Untagged_Asset_Purch_Params.Initial_Purchase</t>
  </si>
  <si>
    <t>Dividend[DATE(2010,5,1)]|=0</t>
  </si>
  <si>
    <t>Prof_Fee_Discount_pct["Practice_Areas.Practice_1", "Prof_Staff_Types.Prof_Level_2", DATE(2010,5,1)]|=I144</t>
  </si>
  <si>
    <t>Cost_Services_TandE_Hr["Practice_Areas.Practice_1", "Prof_Staff_Types.Prof_Level_2", "Channels.Channels_2", DATE(2011,2,1)]|=R156</t>
  </si>
  <si>
    <t>Prof_Staff_Count1</t>
  </si>
  <si>
    <t>Engage!Engage_Cost_TandE_Engagements</t>
  </si>
  <si>
    <t>Sales_Lead_Hrs_New["Sales_Lead_Quality.Lead_Qual_2", "Practice_Areas.Practice_2", "Prof_Staff_Types.Prof_Level_2", "Channels.Channels_1", DATE(2010,10,1)]|=2*N82-M82</t>
  </si>
  <si>
    <t>Per_Sup_Staff_Exp_Yr["Depts.Sales", "Empl_Rel_Exp_Type.Supplies", DATE(2010,5,1)]|=I329</t>
  </si>
  <si>
    <t>(Tables)'!Prof_Staff_Billings_Practice_Areas_Practice_2_Prof_Staff_Types_Prof_Level_2_Channels_Channels_1</t>
  </si>
  <si>
    <t>Cost_Services_Supplies_Hr["Practice_Areas.Practice_1", "Prof_Staff_Types.Prof_Level_1", "Supply_Types.Supply_Type_2", "Channels.Channels_2", DATE(2010,3,1)]|=G164</t>
  </si>
  <si>
    <t>Sales_Lead_Hrs_New["Sales_Lead_Quality.Lead_Qual_2", "Practice_Areas.Practice_2", "Prof_Staff_Types.Prof_Level_1", "Channels.Channels_2", DATE(2010,6,1)]|=2*J81-I81</t>
  </si>
  <si>
    <t>Per_Sup_Staff_Exp_Yr["Depts.Sales", "Empl_Rel_Exp_Type.Travel_Entertain", DATE(2010,6,1)]|=J330</t>
  </si>
  <si>
    <t>Prof_Fees_per_Hr_Nominal["Practice_Areas.Practice_1", "Prof_Staff_Types.Prof_Level_2", DATE(2010,1,1)]|=200</t>
  </si>
  <si>
    <t>Cost_Services_Supplies_Hr["Practice_Areas.Practice_2", "Prof_Staff_Types.Prof_Level_1", "Supply_Types.Supply_Type_1", "Channels.Channels_2", DATE(2011,6,1)]|=V170</t>
  </si>
  <si>
    <t>Dividend[DATE(2010,10,1)]|=0</t>
  </si>
  <si>
    <t>Cost_Services_TandE_Hr["Practice_Areas.Practice_1", "Prof_Staff_Types.Prof_Level_2", "Channels.Channels_1", DATE(2010,10,1)]|=N155</t>
  </si>
  <si>
    <t>Engage!Orders_Filled_Practice_Areas_Practice_2_Prof_Staff_Types_Prof_Level_2_Channels</t>
  </si>
  <si>
    <t>Percentage of open positions that incur recruiting expense, by department and job level. Does not apply to the first time period (see Recruit_pct_Pos_Prof_Init).</t>
  </si>
  <si>
    <t>Cost_Services_Supplies_Hr["Practice_Areas.Practice_1", "Prof_Staff_Types.Prof_Level_2", "Supply_Types.Supply_Type_2", "Channels.Channels_1", DATE(2011,2,1)]|=R167</t>
  </si>
  <si>
    <t>Cash-Cash_Starting</t>
  </si>
  <si>
    <t>Cash_Targ_Days[DATE(2010,2,1)]|=F360</t>
  </si>
  <si>
    <t>Prof_Staff_Bonus_pct["Practice_Areas.Practice_1", "Prof_Staff_Types.Prof_Level_1", DATE(2010,8,1)]|=L215</t>
  </si>
  <si>
    <t>Practice_Dev_Sup_Staff_Count["Practice_Areas.Practice_1", "Depts.Sales", "Sup_Staff_Levels.Contributor", DATE(2010,3,1)]|=G294</t>
  </si>
  <si>
    <t>:D:0:Mktg_Pgms</t>
  </si>
  <si>
    <t>Per_Prof_Staff_Exp_Yr["Prof_Staff_Types.Prof_Level_1", "Empl_Rel_Exp_Type.Supplies", DATE(2011,3,1)]|=S319</t>
  </si>
  <si>
    <t>Mktg_Pgms_K["Mktg_Pgms.Publications", "Practice_Areas.Practice_1", "Konst.K2"]|=1</t>
  </si>
  <si>
    <t>(Tables)'!Engage_Hrs_Applied_ET_Engage_Time_Period_2_Engagements</t>
  </si>
  <si>
    <t>Sales_Lead_Hrs_Expire_pct_Yr["Sales_Lead_Quality.Lead_Qual_2", "Practice_Areas.Practice_2", "Prof_Staff_Types.Prof_Level_1", "Channels.Channels_2", DATE(2010,10,1)]|=N118</t>
  </si>
  <si>
    <t>Sales_Lead_Hrs_Expire_pct_Yr["Sales_Lead_Quality.Lead_Qual_1", "Practice_Areas.Practice_2", "Prof_Staff_Types.Prof_Level_2", "Channels.Channels_2", DATE(2011,4,1)]|=T112</t>
  </si>
  <si>
    <t>Cost_Services_TandE_Hr["Practice_Areas.Practice_1", "Prof_Staff_Types.Prof_Level_1", "Channels.Channels_2", DATE(2010,3,1)]|=G154</t>
  </si>
  <si>
    <t>:A:0:Recruit_pct_Positions_Prof</t>
  </si>
  <si>
    <t>:D:1:Assets.Short</t>
  </si>
  <si>
    <t>:A:-1:Engage_Gross_Margin</t>
  </si>
  <si>
    <t>Sales_Lead_Hrs_New</t>
  </si>
  <si>
    <t>Practice Dev Prof Staff Hrs</t>
  </si>
  <si>
    <t>Accts_Pay_Targ_Days["Accts_Pay_Type.Payroll_Pay", DATE(2010,1,1)]|=30</t>
  </si>
  <si>
    <t>:A:0:Engage_Types_Dim</t>
  </si>
  <si>
    <t>Engage!Engage_Hrs_Billed_Engagements_Engage_2_Prof_Staff_Types</t>
  </si>
  <si>
    <t>(Tables)'!Prof_Staff_Count1_Practice_Areas_Practice_1_Prof_Staff_Types</t>
  </si>
  <si>
    <t>Engage!Engage_Cost_TandE_Engagements_Engage_2_Prof_Staff_Types_Prof_Level_2_Supply_Types</t>
  </si>
  <si>
    <t>prevde(prevde(0, "Practice_Areas"), "Channels")</t>
  </si>
  <si>
    <t>Prof_Fee_Discount_pct["Practice_Areas.Practice_2", "Prof_Staff_Types.Prof_Level_2", DATE(2011,1,1)]|=Q146</t>
  </si>
  <si>
    <t>Prof_Fee_Discount_pct["Practice_Areas.Practice_1", "Prof_Staff_Types.Prof_Level_1", DATE(2010,2,1)]|=F143</t>
  </si>
  <si>
    <t>Prof_Staff_Targ_Util_pct</t>
  </si>
  <si>
    <t>Engage_Billings_ET</t>
  </si>
  <si>
    <t>:A:0:Prof_Staff_Hrs_Capacity</t>
  </si>
  <si>
    <t>:A:0:Time</t>
  </si>
  <si>
    <t>Engage_Cost_Staff</t>
  </si>
  <si>
    <t>Engage_Discount_pct["Engagements.Engage_1", DATE(2010,3,1)]|=G148</t>
  </si>
  <si>
    <t>Engage_Discount_pct["Engagements.Engage_1", DATE(2010,12,1)]|=P148</t>
  </si>
  <si>
    <t>Short_Debt[DATE(2010,2,1)]|=max(0, '(Compute)'!D31-'(Tables)'!D1367)</t>
  </si>
  <si>
    <t>Sales_Lead_Hrs_Expire_pct_Yr["Sales_Lead_Quality.Lead_Qual_2", "Practice_Areas.Practice_2", "Prof_Staff_Types.Prof_Level_1", "Channels.Channels_2", DATE(2011,1,1)]|=Q118</t>
  </si>
  <si>
    <t>:D:0:Liabilities.Short</t>
  </si>
  <si>
    <t>Engage_Hrs_Billed</t>
  </si>
  <si>
    <t>Engage_Discount_pct["Engagements.Engage_2", DATE(2010,12,1)]|=P149</t>
  </si>
  <si>
    <t>Per_Prof_Staff_Exp_Yr["Prof_Staff_Types.Prof_Level_2", "Empl_Rel_Exp_Type.Supplies", DATE(2010,5,1)]|=I322</t>
  </si>
  <si>
    <t>Sales_Lead_Hrs_Expire_pct_Yr["Sales_Lead_Quality.Lead_Qual_2", "Practice_Areas.Practice_1", "Prof_Staff_Types.Prof_Level_2", "Channels.Channels_1", DATE(2010,6,1)]|=J115</t>
  </si>
  <si>
    <t>Practice_Dev_Sup_Staff_Count["Practice_Areas.Practice_2", "Depts.Marketing", "Sup_Staff_Levels.Manager", DATE(2011,2,1)]|=R295</t>
  </si>
  <si>
    <t>Engage_Discount_pct["Engagements.Engage_1", DATE(2010,9,1)]|=M148</t>
  </si>
  <si>
    <t>Mktg_Pgms_Exp_Early["Mktg_Pgms.Seminars", "Practice_Areas.Practice_2", DATE(2011,3,1)]|=S277</t>
  </si>
  <si>
    <t>Sales_Lead_Hrs_New["Sales_Lead_Quality.Lead_Qual_1", "Practice_Areas.Practice_2", "Prof_Staff_Types.Prof_Level_2", "Channels.Channels_1", DATE(2010,8,1)]|=2*L74-K74</t>
  </si>
  <si>
    <t>Sales_Lead_Hrs_Conv_pct_Yr["Sales_Lead_Quality.Lead_Qual_1", "Practice_Areas.Practice_2", "Prof_Staff_Types.Prof_Level_1", "Channels.Channels_2", DATE(2010,10,1)]|=N93</t>
  </si>
  <si>
    <t>Assets.Short.AcctsRec</t>
  </si>
  <si>
    <t>Prof_Staff_Bonus_pct["Practice_Areas.Practice_1", "Prof_Staff_Types.Prof_Level_1", DATE(2011,1,1)]|=Q215</t>
  </si>
  <si>
    <t>(Ranges)'!Revenue_Channel_Channels_Channels_1_Practice_Areas_Practice_1_Prof_Staff_Types_Prof_Level_2</t>
  </si>
  <si>
    <t>Cost_Services_TandE_Hr["Practice_Areas.Practice_2", "Prof_Staff_Types.Prof_Level_2", "Channels.Channels_1", DATE(2010,7,1)]|=K159</t>
  </si>
  <si>
    <t>(Ranges)'!Revenue_Channel_Channels_Channels_1_Practice_Areas_Practice_1_Prof_Staff_Types_Prof_Level_1</t>
  </si>
  <si>
    <t>:A:-1:Prof_Staff_Util_pct</t>
  </si>
  <si>
    <t>Supplies</t>
  </si>
  <si>
    <t>Sales_Lead_Hrs_Conv_pct_Yr["Sales_Lead_Quality.Lead_Qual_2", "Practice_Areas.Practice_1", "Prof_Staff_Types.Prof_Level_1", "Channels.Channels_1", DATE(2010,5,1)]|=I96</t>
  </si>
  <si>
    <t>if(Prof_Staff_Hrs_Billed_RoundQ, round(Orders_Filled_Hrs1, 0), Orders_Filled_Hrs1)</t>
  </si>
  <si>
    <t>:D:-1:Sales_Lead_Quality</t>
  </si>
  <si>
    <t>Practice_Dev_Prof_Staff_Count["Practice_Areas.Practice_1", "Prof_Staff_Types.Prof_Level_1", DATE(2010,7,1)]|=K286</t>
  </si>
  <si>
    <t>Equity</t>
  </si>
  <si>
    <t>Mktg_Pgms_Exp_Early["Mktg_Pgms.Seminars", "Practice_Areas.Practice_2", DATE(2010,5,1)]|=I277</t>
  </si>
  <si>
    <t>Prof_Staff_Hrs_Capacity_Plot</t>
  </si>
  <si>
    <t>Prof_Fee_Discount_pct["Practice_Areas.Practice_1", "Prof_Staff_Types.Prof_Level_1", DATE(2011,4,1)]|=T143</t>
  </si>
  <si>
    <t>Cost_Services_TandE_Hr["Practice_Areas.Practice_2", "Prof_Staff_Types.Prof_Level_2", "Channels.Channels_2", DATE(2011,5,1)]|=U160</t>
  </si>
  <si>
    <t>Sales_Lead_Hrs_Expire_pct_Yr["Sales_Lead_Quality.Lead_Qual_1", "Practice_Areas.Practice_1", "Prof_Staff_Types.Prof_Level_1", "Channels.Channels_2", DATE(2011,3,1)]|=S106</t>
  </si>
  <si>
    <t>Cost_Services_TandE_Hr["Practice_Areas.Practice_2", "Prof_Staff_Types.Prof_Level_2", "Channels.Channels_2", DATE(2011,6,1)]|=V160</t>
  </si>
  <si>
    <t>Revenue_per_Prof_Staff</t>
  </si>
  <si>
    <t>Sales_Lead_Hrs_Expire_pct_Yr["Sales_Lead_Quality.Lead_Qual_2", "Practice_Areas.Practice_2", "Prof_Staff_Types.Prof_Level_2", "Channels.Channels_1", DATE(2010,10,1)]|=N119</t>
  </si>
  <si>
    <t>Cost_Services_Supplies_Hr["Practice_Areas.Practice_1", "Prof_Staff_Types.Prof_Level_2", "Supply_Types.Supply_Type_1", "Channels.Channels_2", DATE(2010,3,1)]|=G166</t>
  </si>
  <si>
    <t xml:space="preserve">  Tax_Pay</t>
  </si>
  <si>
    <t>Professional staff billable hours capacity, segmented by Professional Staff Type and by time period. This variable is used for plotting only.</t>
  </si>
  <si>
    <t>Annualized employee-related expense per support staff, segmented by department, by expense type, by time period</t>
  </si>
  <si>
    <t>Per_Sup_Staff_Exp_Yr["Depts.Sales", "Empl_Rel_Exp_Type.Supplies", DATE(2010,3,1)]|=G329</t>
  </si>
  <si>
    <t>Cost_Services_TandE_Hr["Practice_Areas.Practice_1", "Prof_Staff_Types.Prof_Level_1", "Channels.Channels_2", DATE(2010,10,1)]|=N154</t>
  </si>
  <si>
    <t>:A:0:Sales_Lead_Hrs_Init</t>
  </si>
  <si>
    <t>Prof_Staff_Count_Early["Practice_Areas.Practice_2", "Prof_Staff_Types.Prof_Level_2", DATE(2010,5,1)]|=I187</t>
  </si>
  <si>
    <t>Recruit_Exp_Prof</t>
  </si>
  <si>
    <t>Prof_Staff_Count_Early["Practice_Areas.Practice_1", "Prof_Staff_Types.Prof_Level_1", DATE(2011,2,1)]|=R184</t>
  </si>
  <si>
    <t>(Tables)'!Engage_Hrs_pct_Billed_ET_Engage_Time_Period_1_Engagements_Engage_1</t>
  </si>
  <si>
    <t>Sales_Lead_Hrs_Expire_pct_Yr["Sales_Lead_Quality.Lead_Qual_2", "Practice_Areas.Practice_1", "Prof_Staff_Types.Prof_Level_2", "Channels.Channels_1", DATE(2010,1,1)]|=0.30</t>
  </si>
  <si>
    <t>(Ranges)'!Prof_Staff_Hrs_Unapplied_Practice_Areas</t>
  </si>
  <si>
    <t>Dept Exp Accts</t>
  </si>
  <si>
    <t>Sales_Lead_Hrs_Expire_pct_Yr["Sales_Lead_Quality.Lead_Qual_2", "Practice_Areas.Practice_1", "Prof_Staff_Types.Prof_Level_2", "Channels.Channels_2", DATE(2010,12,1)]|=P116</t>
  </si>
  <si>
    <t>:A:0:Engage_Labor_Slope</t>
  </si>
  <si>
    <t>:A:0:Cost_Services_Staff_Channel</t>
  </si>
  <si>
    <t>Untagged_Assets</t>
  </si>
  <si>
    <t>Sales_Lead_Hrs_Conv_pct_Yr["Sales_Lead_Quality.Lead_Qual_2", "Practice_Areas.Practice_1", "Prof_Staff_Types.Prof_Level_2", "Channels.Channels_1", DATE(2011,1,1)]|=Q98</t>
  </si>
  <si>
    <t>Engage!Engage_Hrs_Unbilled_Engagements_Engage_1</t>
  </si>
  <si>
    <t>Prof_Staff_Benefits_pct["Prof_Staff_Types.Prof_Level_1", DATE(2010,9,1)]|=M220</t>
  </si>
  <si>
    <t>Per_Prof_Staff_Exp_Yr["Prof_Staff_Types.Prof_Level_1", "Empl_Rel_Exp_Type.Other", DATE(2010,10,1)]|=N321</t>
  </si>
  <si>
    <t>Sales_Lead_Hrs_New["Sales_Lead_Quality.Lead_Qual_1", "Practice_Areas.Practice_1", "Prof_Staff_Types.Prof_Level_2", "Channels.Channels_2", DATE(2010,12,1)]|=2*P71-O71</t>
  </si>
  <si>
    <t>Office_Space_per_Person[DATE(2010,1,1)]|=0</t>
  </si>
  <si>
    <t>(Tables)'!Prof_Staff_Billings_Practice_Areas</t>
  </si>
  <si>
    <t>Per_Prof_Staff_Exp_Yr["Prof_Staff_Types.Prof_Level_1", "Empl_Rel_Exp_Type.Supplies", DATE(2010,3,1)]|=G319</t>
  </si>
  <si>
    <t>Prof Staff Open Positions</t>
  </si>
  <si>
    <t>:A:-1:Sup_Staff_Wage_Expense</t>
  </si>
  <si>
    <t>Prof_Fees_per_Hr_Nominal["Practice_Areas.Practice_2", "Prof_Staff_Types.Prof_Level_1", DATE(2010,12,1)]|=P140</t>
  </si>
  <si>
    <t>Sup_Staff_Expense-var(Dev_Capd_per_Period)</t>
  </si>
  <si>
    <t>Sales_Lead_Hrs_New["Sales_Lead_Quality.Lead_Qual_1", "Practice_Areas.Practice_1", "Prof_Staff_Types.Prof_Level_2", "Channels.Channels_2", DATE(2011,2,1)]|=2*R71-Q71</t>
  </si>
  <si>
    <t>if(average(ranget(Sup_Staff_Wage_Avg, model_date(1, 1)))*sum(ranget(Sup_Staff_Recruited, model_date(1, 1)))=0, 0, sum(ranget(Recruit_Exp_Sup, model_date(1, 1)))/(average(ranget(Sup_Staff_Wage_Avg, model_date(1, 1)))*periods_per("year")*sum(ranget(Sup_Staff_Recruited, model_date(1, 1)))))</t>
  </si>
  <si>
    <t>(Ranges)'!Revenue_Channel_Channels_Channels_1_Practice_Areas_Practice_1</t>
  </si>
  <si>
    <t>:A:-1:Sup_Staff_Turnover_pct_Yr</t>
  </si>
  <si>
    <t>Facil_Other_Exp_Yr[DATE(2011,1,1)]|=Q308</t>
  </si>
  <si>
    <t>Tail_Future_Value</t>
  </si>
  <si>
    <t>(Tables)'!Engage_Gross_Margin_Engagements_Engage_1_Prof_Staff_Types_Prof_Level_1</t>
  </si>
  <si>
    <t>Professional staff benefits expense, as a percentage of salary, excluding bonuses; segmented by job type, by time period</t>
  </si>
  <si>
    <t>Practice_Dev_pct_Capd["Practice_Areas.Practice_1", DATE(2011,3,1)]|=S395</t>
  </si>
  <si>
    <t>Asset_Tags</t>
  </si>
  <si>
    <t>(Ranges)'!Prof_Staff_Hrs_Capacity_Practice_Areas_Practice_1_Prof_Staff_Types_Prof_Level_1</t>
  </si>
  <si>
    <t>Sup_Staff_Bonus_pct["Depts.Sales", "Sup_Staff_Levels.Contributor", DATE(2010,11,1)]|=O236</t>
  </si>
  <si>
    <t>Cost_Services_TandE_Hr["Practice_Areas.Practice_2", "Prof_Staff_Types.Prof_Level_1", "Channels.Channels_2", DATE(2010,2,1)]|=F158</t>
  </si>
  <si>
    <t>Seminars</t>
  </si>
  <si>
    <t>Long_Loans[DATE(2010,9,1)]|=N421</t>
  </si>
  <si>
    <t>Sales_Lead_Hrs_Conv_pct_Yr["Sales_Lead_Quality.Lead_Qual_2", "Practice_Areas.Practice_1", "Prof_Staff_Types.Prof_Level_1", "Channels.Channels_2", DATE(2010,4,1)]|=H97</t>
  </si>
  <si>
    <t>Engage_Hrs_pct_Billed_ET["Engagements.Engage_1", "Prof_Staff_Types.Prof_Level_2", "Engage_Time.Period_2"]|=1</t>
  </si>
  <si>
    <t>Sup_Staff_Count_Early["Depts.Marketing", "Sup_Staff_Levels.Contributor", DATE(2011,3,1)]|=S198</t>
  </si>
  <si>
    <t>:A:-1:Practice_Dev_Sup_Staff_Count</t>
  </si>
  <si>
    <t>Sales_Lead_Hrs_Conv_pct_Yr["Sales_Lead_Quality.Lead_Qual_2", "Practice_Areas.Practice_2", "Prof_Staff_Types.Prof_Level_1", "Channels.Channels_2", DATE(2010,3,1)]|=G101</t>
  </si>
  <si>
    <t>Practice_Dev_Sup_Staff_Count["Practice_Areas.Practice_1", "Depts.Marketing", "Sup_Staff_Levels.Contributor", DATE(2010,3,1)]|=G292</t>
  </si>
  <si>
    <t>The amount of qualified sales leads, expressed in currency, at the end of each time period, segmented by lead quality and by product. Sales leads apply to products only, not support.
The least qualified lead categories are listed first, and the most qualified categories are at the end of the list.</t>
  </si>
  <si>
    <t>Sales_Lead_Hrs_Expire_pct_Yr["Sales_Lead_Quality.Lead_Qual_1", "Practice_Areas.Practice_1", "Prof_Staff_Types.Prof_Level_2", "Channels.Channels_1", DATE(2010,3,1)]|=G107</t>
  </si>
  <si>
    <t>Sup_Staff_Count_K["Depts.Sales", "Sup_Staff_Levels.Manager", "Konst.K1"]|=0</t>
  </si>
  <si>
    <t>:D:0:Channels</t>
  </si>
  <si>
    <t>Operating Exp Type</t>
  </si>
  <si>
    <t>(Tables)'!Engage_Hrs_Applied_ET_Engage_Time_Period_4_Engagements_Engage_1_Prof_Staff_Types</t>
  </si>
  <si>
    <t>:A:-1:Accts_Pay_Targ_Days</t>
  </si>
  <si>
    <t>Prof_Staff_Count_Early["Practice_Areas.Practice_1", "Prof_Staff_Types.Prof_Level_1", DATE(2010,12,1)]|=P184</t>
  </si>
  <si>
    <t>Rate at which qualified sales leads expire, segmented by lead quality and by product, for each time period. Sales leads apply to products only, not support.</t>
  </si>
  <si>
    <t>Orders_Filled_Hrs_pct["Practice_Areas.Practice_2", "Prof_Staff_Types.Prof_Level_2", "Channels.Channels_2", DATE(2011,3,1)]|=S129</t>
  </si>
  <si>
    <t>:A:0:Sup_Staff_Openings</t>
  </si>
  <si>
    <t>A list of departments tracked separately in the plan</t>
  </si>
  <si>
    <t>Facilities &amp; Utilities Exp</t>
  </si>
  <si>
    <t>Prof Staff 1</t>
  </si>
  <si>
    <t>Mktg_Expense</t>
  </si>
  <si>
    <t>Sales_Lead_Hrs_New["Sales_Lead_Quality.Lead_Qual_2", "Practice_Areas.Practice_1", "Prof_Staff_Types.Prof_Level_1", "Channels.Channels_2", DATE(2010,5,1)]|=2*I77-H77</t>
  </si>
  <si>
    <t>Sup_Staff_Count_Early["Depts.Sales", "Sup_Staff_Levels.Contributor", DATE(2010,4,1)]|=H200</t>
  </si>
  <si>
    <t>Accts Pay Type 1</t>
  </si>
  <si>
    <t>Orders_Filled_Hrs_pct["Practice_Areas.Practice_2", "Prof_Staff_Types.Prof_Level_2", "Channels.Channels_2", DATE(2010,10,1)]|=N129</t>
  </si>
  <si>
    <t>Practice_Dev_Sup_Staff_Count["Practice_Areas.Practice_1", "Depts.Marketing", "Sup_Staff_Levels.Manager", DATE(2010,2,1)]|=F291</t>
  </si>
  <si>
    <t>(Tables)'!Prof_Staff_Billings_Practice_Areas_Practice_1_Prof_Staff_Types_Prof_Level_1_Channels_Channels_2</t>
  </si>
  <si>
    <t>Prof Staff Types</t>
  </si>
  <si>
    <t>(Tables)'!Prof_Staff_Billings_Practice_Areas_Practice_2_Prof_Staff_Types_Prof_Level_2_Channels</t>
  </si>
  <si>
    <t>:A:-1:Bad_Debt_Exp</t>
  </si>
  <si>
    <t>(Compute)'!Engage_Cost_TandE_Date</t>
  </si>
  <si>
    <t>Practice Dev Prof Staff Count</t>
  </si>
  <si>
    <t>Sales_Lead_Hrs_New["Sales_Lead_Quality.Lead_Qual_2", "Practice_Areas.Practice_1", "Prof_Staff_Types.Prof_Level_1", "Channels.Channels_1", DATE(2010,4,1)]|=2*H76-G76</t>
  </si>
  <si>
    <t>Cash_Targ_Days[DATE(2010,6,1)]|=J360</t>
  </si>
  <si>
    <t>Recruiting expense for professional staff, segmented by department, job level, and time period. This expense is included in G&amp;A expense in the account 'Recruiting', in the 'Admin' department.</t>
  </si>
  <si>
    <t>Sup_Staff_Bonus_pct["Depts.Marketing", "Sup_Staff_Levels.Manager", DATE(2010,5,1)]|=I233</t>
  </si>
  <si>
    <t>Professional staff hours applied to client engagements (including small engagements from the sales funnel). Segmented by Practice Area, Prof Staff Type, Channel (if included in the model), and time period.</t>
  </si>
  <si>
    <t>:A:-1:Engage_Labor_pct</t>
  </si>
  <si>
    <t>Office_Rent_Rate_Yr[DATE(2010,10,1)]|=N305</t>
  </si>
  <si>
    <t>Prof_Staff_Targ_Util_pct["Practice_Areas.Practice_2", "Prof_Staff_Types.Prof_Level_2", DATE(2011,2,1)]|=R192</t>
  </si>
  <si>
    <t>:A:-1:Revenue_Growth_display</t>
  </si>
  <si>
    <t>Practice_Dev_Sup_Staff_Count["Practice_Areas.Practice_1", "Depts.Sales", "Sup_Staff_Levels.Contributor", DATE(2011,4,1)]|=T294</t>
  </si>
  <si>
    <t>Sales_Lead_Hrs_Expire_pct_Yr["Sales_Lead_Quality.Lead_Qual_1", "Practice_Areas.Practice_1", "Prof_Staff_Types.Prof_Level_1", "Channels.Channels_1", DATE(2010,8,1)]|=L105</t>
  </si>
  <si>
    <t>Sup_Staff_Bonus_pct["Depts.Marketing", "Sup_Staff_Levels.Manager", DATE(2010,4,1)]|=H233</t>
  </si>
  <si>
    <t>(Ranges)'!Operating_Exp_Depts_Marketing</t>
  </si>
  <si>
    <t>Per_Sup_Staff_Exp_Yr["Depts.Sales", "Empl_Rel_Exp_Type.Travel_Entertain", DATE(2010,1,1)]|=0</t>
  </si>
  <si>
    <t>Prof_Staff_Benefits_pct["Prof_Staff_Types.Prof_Level_2", DATE(2010,10,1)]|=N221</t>
  </si>
  <si>
    <t>Sales_Lead_Hrs_Conv_pct_Yr["Sales_Lead_Quality.Lead_Qual_2", "Practice_Areas.Practice_2", "Prof_Staff_Types.Prof_Level_1", "Channels.Channels_2", DATE(2010,6,1)]|=J101</t>
  </si>
  <si>
    <t>IRR Cash Flow w Tail</t>
  </si>
  <si>
    <t>Net_Stock_Issue[DATE(2011,1,1)]|=0</t>
  </si>
  <si>
    <t>:A:0:Practice_Dev_Sup_Staff_Count</t>
  </si>
  <si>
    <t>Prof_Fee_Discount_pct["Practice_Areas.Practice_1", "Prof_Staff_Types.Prof_Level_2", DATE(2010,8,1)]|=L144</t>
  </si>
  <si>
    <t>Engage!Orders_Filled_Practice_Areas_Practice_1_Prof_Staff_Types_Prof_Level_1</t>
  </si>
  <si>
    <t>(Tables)'!Engage_Hrs_pct_Billed_ET_Engage_Time_Period_3_Engagements_Engage_1_Prof_Staff_Types</t>
  </si>
  <si>
    <t>IRR_Guess_no_Tail_Yr[]|</t>
  </si>
  <si>
    <t>Practice_Dev_Sup_Staff_Count["Practice_Areas.Practice_1", "Depts.Marketing", "Sup_Staff_Levels.Contributor", DATE(2010,7,1)]|=K292</t>
  </si>
  <si>
    <t>Short_Debt</t>
  </si>
  <si>
    <t>Cost_Services_Supplies_Hr["Practice_Areas.Practice_2", "Prof_Staff_Types.Prof_Level_2", "Supply_Types.Supply_Type_2", "Channels.Channels_2", DATE(2010,7,1)]|=K176</t>
  </si>
  <si>
    <t>(Compute)'!Prof_Staff_Hrs_Billed_Plot_Date</t>
  </si>
  <si>
    <t>:D:2:Assets</t>
  </si>
  <si>
    <t>Sales_Lead_Hrs_New["Sales_Lead_Quality.Lead_Qual_2", "Practice_Areas.Practice_2", "Prof_Staff_Types.Prof_Level_1", "Channels.Channels_2", DATE(2011,5,1)]|=2*U81-T81</t>
  </si>
  <si>
    <t>Mktg_Pgms_K["Mktg_Pgms.Publications", "Practice_Areas.Practice_1", "Konst.K1"]|=0</t>
  </si>
  <si>
    <t>Sales_Lead_Hrs_New["Sales_Lead_Quality.Lead_Qual_1", "Practice_Areas.Practice_1", "Prof_Staff_Types.Prof_Level_1", "Channels.Channels_2", DATE(2010,12,1)]|=2*P69-O69</t>
  </si>
  <si>
    <t>Engage!Engage_Cost_Staff_Engagements_Engage_1_Prof_Staff_Types_Prof_Level_2</t>
  </si>
  <si>
    <t>Sales_Lead_Hrs_Expire_pct_Yr["Sales_Lead_Quality.Lead_Qual_2", "Practice_Areas.Practice_1", "Prof_Staff_Types.Prof_Level_2", "Channels.Channels_1", DATE(2010,7,1)]|=K115</t>
  </si>
  <si>
    <t>Annual facilities expense that is no proportional to employee count</t>
  </si>
  <si>
    <t>Sales_Lead_Hrs_New["Sales_Lead_Quality.Lead_Qual_2", "Practice_Areas.Practice_2", "Prof_Staff_Types.Prof_Level_1", "Channels.Channels_1", DATE(2011,5,1)]|=2*U80-T80</t>
  </si>
  <si>
    <t>:D:0:OpExpType.Gen_Admin_Exp</t>
  </si>
  <si>
    <t>Untagged_Asset_Purch_Params["Untagged_Asset_Purch_Params.Per_Old_Prof_Staff", "Untagged_Asset_Type.Furniture"]|=0/2/5</t>
  </si>
  <si>
    <t>:D:2:Untagged_Asset_Type.Furniture</t>
  </si>
  <si>
    <t>Prof_Staff_Hrs_Unapplied</t>
  </si>
  <si>
    <t>Sales_Lead_Hrs_New["Sales_Lead_Quality.Lead_Qual_2", "Practice_Areas.Practice_1", "Prof_Staff_Types.Prof_Level_2", "Channels.Channels_2", DATE(2010,8,1)]|=2*L79-K79</t>
  </si>
  <si>
    <t>(Prof_Staff_Salary_Cost+Prof_Staff_Bonus)*(1+Wage_Tax_pct)+Prof_Staff_Salary_Cost*Prof_Staff_Benefits_pct</t>
  </si>
  <si>
    <t>Cost_Services_TandE_Hr["Practice_Areas.Practice_2", "Prof_Staff_Types.Prof_Level_1", "Channels.Channels_2", DATE(2011,3,1)]|=S158</t>
  </si>
  <si>
    <t>Cost_Services_Supplies_Hr["Practice_Areas.Practice_1", "Prof_Staff_Types.Prof_Level_2", "Supply_Types.Supply_Type_1", "Channels.Channels_1", DATE(2011,1,1)]|=Q165</t>
  </si>
  <si>
    <t>Cost_Services_Supplies_Hr["Practice_Areas.Practice_1", "Prof_Staff_Types.Prof_Level_1", "Supply_Types.Supply_Type_2", "Channels.Channels_1", DATE(2010,5,1)]|=I163</t>
  </si>
  <si>
    <t>:A:-1:IRR_Guess_no_Tail_Yr</t>
  </si>
  <si>
    <t>Office_Utilities_Rate_Yr[DATE(2010,3,1)]|=G306</t>
  </si>
  <si>
    <t>if(Prof_Staff_Billings_Nom_Fees=0, 0, 1-Prof_Staff_Billings/Prof_Staff_Billings_Nom_Fees)</t>
  </si>
  <si>
    <t>Sales_Lead_Hrs_Conv_pct_Yr["Sales_Lead_Quality.Lead_Qual_2", "Practice_Areas.Practice_2", "Prof_Staff_Types.Prof_Level_1", "Channels.Channels_2", DATE(2010,8,1)]|=L101</t>
  </si>
  <si>
    <t>The annual discount rate used for the cash flow occurring after the end of model time. The model tries to express all input discount rates in annual terms.</t>
  </si>
  <si>
    <t>:A:0:Balance_Check</t>
  </si>
  <si>
    <t xml:space="preserve">  Publications</t>
  </si>
  <si>
    <t>:D:2:OpExpType.Indir_Labor_Exp</t>
  </si>
  <si>
    <t>Cost_Services_TandE_Hr["Practice_Areas.Practice_2", "Prof_Staff_Types.Prof_Level_2", "Channels.Channels_1", DATE(2010,10,1)]|=N159</t>
  </si>
  <si>
    <t>Sales_Lead_Hrs_Expire_pct_Yr["Sales_Lead_Quality.Lead_Qual_2", "Practice_Areas.Practice_2", "Prof_Staff_Types.Prof_Level_2", "Channels.Channels_2", DATE(2010,1,1)]|=0.30</t>
  </si>
  <si>
    <t>:D:2:Prof_Staff_Types.Prof_Level_1</t>
  </si>
  <si>
    <t>Dev_Capd_Life_Yrs["Practice_Areas.Practice_2"]|=2</t>
  </si>
  <si>
    <t xml:space="preserve">Cost of providing services in client engagements (including small engagements from the sales funnel), segmented by staff cost and supplies cost, and by time period. This variable is for display only. It segments by Channel first, while variable 'Cost of Services' segments by Practice Area first. </t>
  </si>
  <si>
    <t>(Ranges)'!Gross_Margin_Channel_Channels_Channels_2_Practice_Areas_Practice_1</t>
  </si>
  <si>
    <t>Per_Sup_Staff_Exp_Yr["Depts.Sales", "Empl_Rel_Exp_Type.Supplies", DATE(2010,2,1)]|=F329</t>
  </si>
  <si>
    <t>Prof_Staff_Bonus_pct["Practice_Areas.Practice_1", "Prof_Staff_Types.Prof_Level_1", DATE(2010,9,1)]|=M215</t>
  </si>
  <si>
    <t>Sales_Lead_Hrs_Init["Practice_Areas.Practice_2", "Prof_Staff_Types.Prof_Level_2", "Channels.Channels_2", "Sales_Lead_Quality.Lead_Qual_2"]|=G62</t>
  </si>
  <si>
    <t>Per_Prof_Staff_Exp_Yr["Prof_Staff_Types.Prof_Level_2", "Empl_Rel_Exp_Type.Other", DATE(2010,9,1)]|=M324</t>
  </si>
  <si>
    <t>Sales_Lead_Hrs_Conv_pct_Yr["Sales_Lead_Quality.Lead_Qual_1", "Practice_Areas.Practice_2", "Prof_Staff_Types.Prof_Level_2", "Channels.Channels_1", DATE(2011,3,1)]|=S94</t>
  </si>
  <si>
    <t>Per_Sup_Staff_Exp_Yr["Depts.Marketing", "Empl_Rel_Exp_Type.Supplies", DATE(2010,7,1)]|=K326</t>
  </si>
  <si>
    <t>Practice_Dev_Sup_Staff_Count["Practice_Areas.Practice_2", "Depts.Marketing", "Sup_Staff_Levels.Contributor", DATE(2011,2,1)]|=R296</t>
  </si>
  <si>
    <t>Accts_Pay_Targ_Days["Accts_Pay_Type.Vendor_Pay", DATE(2011,2,1)]|=S410</t>
  </si>
  <si>
    <t>Office_Utilities_Rate_Yr[DATE(2010,5,1)]|=I306</t>
  </si>
  <si>
    <t>Office_Maint_Rate_Yr[DATE(2010,11,1)]|=O307</t>
  </si>
  <si>
    <t>Prof_Staff_Salary_incr_pct["Prof_Staff_Types.Prof_Level_2", DATE(2010,9,1)]|=M213</t>
  </si>
  <si>
    <t>Sales_Lead_Hrs_Expire_pct_Yr["Sales_Lead_Quality.Lead_Qual_2", "Practice_Areas.Practice_2", "Prof_Staff_Types.Prof_Level_1", "Channels.Channels_1", DATE(2010,1,1)]|=0.30</t>
  </si>
  <si>
    <t>Practice_Dev_Sup_Staff_Count["Practice_Areas.Practice_1", "Depts.Sales", "Sup_Staff_Levels.Manager", DATE(2011,3,1)]|=S293</t>
  </si>
  <si>
    <t>(Ranges)'!Prof_Staff_Count_Practice_Areas_Practice_1_Prof_Staff_Types_Prof_Level_1</t>
  </si>
  <si>
    <t>The ratio (prof staff count at end of time period)/ (revenue 000 for time period), segmented by Practice Area, by Professional Staff Type, and by time period</t>
  </si>
  <si>
    <t>Practice_Dev_Prof_Staff_Count["Practice_Areas.Practice_2", "Prof_Staff_Types.Prof_Level_2", DATE(2010,1,1)]|=0</t>
  </si>
  <si>
    <t>:A:0:Long_Loans</t>
  </si>
  <si>
    <t>Income_Tax_Rate[DATE(2011,2,1)]|=R345</t>
  </si>
  <si>
    <t>Prof_Fees_per_Hr_Nominal["Practice_Areas.Practice_1", "Prof_Staff_Types.Prof_Level_2", DATE(2011,1,1)]|=Q139</t>
  </si>
  <si>
    <t>Sales_Lead_Hrs_Conv_pct_Yr["Sales_Lead_Quality.Lead_Qual_2", "Practice_Areas.Practice_1", "Prof_Staff_Types.Prof_Level_1", "Channels.Channels_1", DATE(2011,4,1)]|=T96</t>
  </si>
  <si>
    <t>Sup_Staff_Benefits_pct[DATE(2010,11,1)]|=O238</t>
  </si>
  <si>
    <t>diminfo("Channels")</t>
  </si>
  <si>
    <t>Sales_Lead_Hrs_Conv_pct_Yr["Sales_Lead_Quality.Lead_Qual_1", "Practice_Areas.Practice_1", "Prof_Staff_Types.Prof_Level_1", "Channels.Channels_1", DATE(2010,8,1)]|=L88</t>
  </si>
  <si>
    <t>if(last(Sup_Staff_Count)=0, 0, last(Sup_Staff_Turnover)*periods_per("year")/last(Sup_Staff_Count))</t>
  </si>
  <si>
    <t>Cost_Services_Supplies_Hr["Practice_Areas.Practice_1", "Prof_Staff_Types.Prof_Level_2", "Supply_Types.Supply_Type_2", "Channels.Channels_1", DATE(2010,3,1)]|=G167</t>
  </si>
  <si>
    <t>Sales_Lead_Hrs_Expire_pct_Yr["Sales_Lead_Quality.Lead_Qual_2", "Practice_Areas.Practice_1", "Prof_Staff_Types.Prof_Level_1", "Channels.Channels_1", DATE(2010,5,1)]|=I113</t>
  </si>
  <si>
    <t>Sales_Lead_Hrs_Conv_pct_Yr["Sales_Lead_Quality.Lead_Qual_1", "Practice_Areas.Practice_2", "Prof_Staff_Types.Prof_Level_1", "Channels.Channels_2", DATE(2010,2,1)]|=F93</t>
  </si>
  <si>
    <t>Sales_Lead_Hrs_Conv_pct_Yr["Sales_Lead_Quality.Lead_Qual_2", "Practice_Areas.Practice_2", "Prof_Staff_Types.Prof_Level_2", "Channels.Channels_1", DATE(2011,3,1)]|=S102</t>
  </si>
  <si>
    <t>(Tables)'!Engage_Hrs_pct_Billed_ET_Engage_Time_Period_2</t>
  </si>
  <si>
    <t>:A:-1:Mktg_Expense</t>
  </si>
  <si>
    <t>Sup_Staff_Count_Early["Depts.Marketing", "Sup_Staff_Levels.Manager", DATE(2011,4,1)]|=T197</t>
  </si>
  <si>
    <t>Recruiting expense for support staff, segmented by department, job level, and time period. This expense is included in G&amp;A expense in the account 'Recruiting', segmented by department.</t>
  </si>
  <si>
    <t>Sup_Staff_Benefits_pct[DATE(2010,8,1)]|=L238</t>
  </si>
  <si>
    <t>Sup_Staff_Bonus_pct["Depts.Marketing", "Sup_Staff_Levels.Contributor", DATE(2011,1,1)]|=Q234</t>
  </si>
  <si>
    <t>Practice Dev Sup Staff Count</t>
  </si>
  <si>
    <t>Cost_Services_Supplies_Hr["Practice_Areas.Practice_1", "Prof_Staff_Types.Prof_Level_2", "Supply_Types.Supply_Type_1", "Channels.Channels_2", DATE(2010,9,1)]|=M166</t>
  </si>
  <si>
    <t>Income_Tax_Rate[DATE(2010,9,1)]|=M345</t>
  </si>
  <si>
    <t>Sales_Lead_Hrs_Conv_pct_Yr["Sales_Lead_Quality.Lead_Qual_1", "Practice_Areas.Practice_1", "Prof_Staff_Types.Prof_Level_1", "Channels.Channels_1", DATE(2011,3,1)]|=S88</t>
  </si>
  <si>
    <t>Cost_Services_Supplies_Hr["Practice_Areas.Practice_1", "Prof_Staff_Types.Prof_Level_2", "Supply_Types.Supply_Type_2", "Channels.Channels_1", DATE(2010,12,1)]|=P167</t>
  </si>
  <si>
    <t>Sup_Staff_Bonus_pct["Depts.Sales", "Sup_Staff_Levels.Manager", DATE(2010,8,1)]|=L235</t>
  </si>
  <si>
    <t>Prof_Staff_Targ_Util_pct["Practice_Areas.Practice_1", "Prof_Staff_Types.Prof_Level_1", DATE(2011,5,1)]|=U189</t>
  </si>
  <si>
    <t>Cash</t>
  </si>
  <si>
    <t>Office_Maint_Rate_Yr[DATE(2010,7,1)]|=K307</t>
  </si>
  <si>
    <t>Professional staff billable hours capacity, segmented by Practice Area, by Professional Staff Type, and by time period</t>
  </si>
  <si>
    <t>Depts, Empl_Rel_Exp_Type</t>
  </si>
  <si>
    <t>The target for cash balance at the end of each accounting period, expressed as a number of days of revenue. This is the key parameter in the policy for determining the level of short-term debt to be carried a the end of each accounting period.</t>
  </si>
  <si>
    <t>Cost_Services_Supplies_Hr["Practice_Areas.Practice_2", "Prof_Staff_Types.Prof_Level_2", "Supply_Types.Supply_Type_1", "Channels.Channels_2", DATE(2011,4,1)]|=T174</t>
  </si>
  <si>
    <t>Sup_Staff_Wage_Avg_Initial_Yr["Sup_Staff_Levels.Manager", "Depts.Marketing"]|=80000</t>
  </si>
  <si>
    <t>Accts_Pay_Targ_Days["Accts_Pay_Type.Vendor_Pay", DATE(2010,4,1)]|=I410</t>
  </si>
  <si>
    <t>(Ranges)'!Prof_Staff_Hrs_Unapplied_Practice_Areas_Practice_2</t>
  </si>
  <si>
    <t>Per_Sup_Staff_Exp_Yr["Depts.Sales", "Empl_Rel_Exp_Type.Travel_Entertain", DATE(2010,8,1)]|=L330</t>
  </si>
  <si>
    <t>:A:0:Sales_Leads_Hrs</t>
  </si>
  <si>
    <t>Prof_Staff_Count_Early["Practice_Areas.Practice_1", "Prof_Staff_Types.Prof_Level_1", DATE(2010,6,1)]|=J184</t>
  </si>
  <si>
    <t>Interest_Rate_Short_Yr[DATE(2011,1,1)]|=Q339</t>
  </si>
  <si>
    <t>:D:0:GA_Exp</t>
  </si>
  <si>
    <t>Sales_Lead_Hrs_Conv_pct_Yr["Sales_Lead_Quality.Lead_Qual_2", "Practice_Areas.Practice_2", "Prof_Staff_Types.Prof_Level_1", "Channels.Channels_1", DATE(2011,2,1)]|=R100</t>
  </si>
  <si>
    <t>Accounts Receivable</t>
  </si>
  <si>
    <t>Interest_Rate_Long_Yr[DATE(2011,5,1)]|=U340</t>
  </si>
  <si>
    <t>:A:0:Tagged_Asset_Salvage_CF</t>
  </si>
  <si>
    <t>Cost of travel &amp; entertainment incurred on major Engagements. Segmented by Engagement and time period.</t>
  </si>
  <si>
    <t>:D:0:Mktg_Pgms.Seminars</t>
  </si>
  <si>
    <t>Prof_Staff_Salary_incr_pct["Prof_Staff_Types.Prof_Level_2", DATE(2010,7,1)]|=K213</t>
  </si>
  <si>
    <t>(Ranges)'!Prof_Staff_Cost_Applied_Practice_Areas_Practice_2_Prof_Staff_Types_Prof_Level_2</t>
  </si>
  <si>
    <t>Sales_Lead_Hrs_New["Sales_Lead_Quality.Lead_Qual_1", "Practice_Areas.Practice_1", "Prof_Staff_Types.Prof_Level_2", "Channels.Channels_2", DATE(2010,11,1)]|=2*O71-N71</t>
  </si>
  <si>
    <t>Sales_Lead_Hrs_New["Sales_Lead_Quality.Lead_Qual_1", "Practice_Areas.Practice_2", "Prof_Staff_Types.Prof_Level_2", "Channels.Channels_2", DATE(2011,2,1)]|=2*R75-Q75</t>
  </si>
  <si>
    <t>(Ranges)'!Prof_Staff_Cost_Applied_Practice_Areas_Practice_2_Prof_Staff_Types_Prof_Level_1</t>
  </si>
  <si>
    <t>(Ranges)'!Gross_Margin_Channel_Channels_Channels_2_Practice_Areas_Practice_1_Prof_Staff_Types</t>
  </si>
  <si>
    <t>Cash_Targ_Days[DATE(2011,6,1)]|=V360</t>
  </si>
  <si>
    <t>Sales_Lead_Hrs_New["Sales_Lead_Quality.Lead_Qual_2", "Practice_Areas.Practice_1", "Prof_Staff_Types.Prof_Level_2", "Channels.Channels_1", DATE(2011,5,1)]|=2*U78-T78</t>
  </si>
  <si>
    <t>Practice_Dev_pct_Capd["Practice_Areas.Practice_2", DATE(2010,4,1)]|=H396</t>
  </si>
  <si>
    <t>Prof Staff Bonus %</t>
  </si>
  <si>
    <t>Sales_Lead_Hrs_New["Sales_Lead_Quality.Lead_Qual_1", "Practice_Areas.Practice_1", "Prof_Staff_Types.Prof_Level_2", "Channels.Channels_1", DATE(2010,5,1)]|=2*I70-H70</t>
  </si>
  <si>
    <t>Sales_Lead_Hrs_Conv_pct_Yr["Sales_Lead_Quality.Lead_Qual_1", "Practice_Areas.Practice_1", "Prof_Staff_Types.Prof_Level_1", "Channels.Channels_2", DATE(2010,11,1)]|=O89</t>
  </si>
  <si>
    <t>Per_Prof_Staff_Exp_Yr["Prof_Staff_Types.Prof_Level_2", "Empl_Rel_Exp_Type.Supplies", DATE(2010,7,1)]|=K322</t>
  </si>
  <si>
    <t>Income_Tax_Rate[DATE(2011,3,1)]|=S345</t>
  </si>
  <si>
    <t>Sales_Lead_Hrs_Expire_pct_Yr["Sales_Lead_Quality.Lead_Qual_2", "Practice_Areas.Practice_1", "Prof_Staff_Types.Prof_Level_2", "Channels.Channels_2", DATE(2011,6,1)]|=V116</t>
  </si>
  <si>
    <t>Sales_Lead_Hrs_Expire_pct_Yr["Sales_Lead_Quality.Lead_Qual_1", "Practice_Areas.Practice_2", "Prof_Staff_Types.Prof_Level_1", "Channels.Channels_1", DATE(2010,6,1)]|=J109</t>
  </si>
  <si>
    <t>Engage!Engage_Hrs_Unbilled_Engagements</t>
  </si>
  <si>
    <t>Cost_Services_TandE_Hr["Practice_Areas.Practice_1", "Prof_Staff_Types.Prof_Level_2", "Channels.Channels_2", DATE(2010,4,1)]|=H156</t>
  </si>
  <si>
    <t>Prof Staff Salary Cost</t>
  </si>
  <si>
    <t>Orders_Filled_Hrs_pct["Practice_Areas.Practice_1", "Prof_Staff_Types.Prof_Level_2", "Channels.Channels_2", DATE(2011,6,1)]|=V125</t>
  </si>
  <si>
    <t>Recruit_Exp_pct_Comp_Prof["Practice_Areas.Practice_2", "Prof_Staff_Types.Prof_Level_1"]|=I257</t>
  </si>
  <si>
    <t>Mktg_Pgms_Exp_Early["Mktg_Pgms.Publications", "Practice_Areas.Practice_2", DATE(2010,1,1)]|=0</t>
  </si>
  <si>
    <t>Operating_Exp</t>
  </si>
  <si>
    <t>Prof_Fee_Discount_pct["Practice_Areas.Practice_2", "Prof_Staff_Types.Prof_Level_2", DATE(2010,12,1)]|=P146</t>
  </si>
  <si>
    <t>The ratio (revenue for each time period)/ (assets at the end of each time period)</t>
  </si>
  <si>
    <t>Prof_Staff_Benefits_pct["Prof_Staff_Types.Prof_Level_2", DATE(2011,6,1)]|=V221</t>
  </si>
  <si>
    <t>Sup_Staff_Bonus_pct["Depts.Marketing", "Sup_Staff_Levels.Manager", DATE(2010,3,1)]|=G233</t>
  </si>
  <si>
    <t>Practice_Dev_Sup_Staff_Count["Practice_Areas.Practice_2", "Depts.Sales", "Sup_Staff_Levels.Contributor", DATE(2011,4,1)]|=T298</t>
  </si>
  <si>
    <t>Long_Loans[DATE(2011,6,1)]|=W421</t>
  </si>
  <si>
    <t>(Ranges)'!Operating_Exp_Depts_Sales_OpExpType</t>
  </si>
  <si>
    <t>Practice Dev % Capitalized</t>
  </si>
  <si>
    <t>Per_Prof_Staff_Exp_Yr["Prof_Staff_Types.Prof_Level_2", "Empl_Rel_Exp_Type.Other", DATE(2011,1,1)]|=Q324</t>
  </si>
  <si>
    <t>Orders_Filled_Hrs_pct["Practice_Areas.Practice_2", "Prof_Staff_Types.Prof_Level_2", "Channels.Channels_2", DATE(2010,11,1)]|=O129</t>
  </si>
  <si>
    <t>:A:-1:Sup_Staff_Count_Cutover</t>
  </si>
  <si>
    <t>:A:0:Cash_Uses</t>
  </si>
  <si>
    <t>Vendor Payables</t>
  </si>
  <si>
    <t>Orders_Filled_Hrs_pct["Practice_Areas.Practice_1", "Prof_Staff_Types.Prof_Level_2", "Channels.Channels_2", DATE(2010,2,1)]|=F125</t>
  </si>
  <si>
    <t>Office Space (Ksqf/Person)</t>
  </si>
  <si>
    <t>Sup_Staff_Bonus_pct["Depts.Sales", "Sup_Staff_Levels.Contributor", DATE(2011,5,1)]|=U236</t>
  </si>
  <si>
    <t>Cost_Services_TandE_Hr["Practice_Areas.Practice_1", "Prof_Staff_Types.Prof_Level_1", "Channels.Channels_2", DATE(2010,7,1)]|=K154</t>
  </si>
  <si>
    <t>:A:0:Prof_Staff_Hrs_Billed_Growth_Channel</t>
  </si>
  <si>
    <t>(Ranges)'!Gross_Margin_Practice_Areas_Practice_1_Prof_Staff_Types_Prof_Level_2</t>
  </si>
  <si>
    <t>Cost_Services_Supplies_Hr["Practice_Areas.Practice_1", "Prof_Staff_Types.Prof_Level_2", "Supply_Types.Supply_Type_2", "Channels.Channels_2", DATE(2010,7,1)]|=K168</t>
  </si>
  <si>
    <t>Engage!Engage_Cost_TandE_Engagements_Engage_1_Prof_Staff_Types_Prof_Level_1_Supply_Types_Supply_Type_2</t>
  </si>
  <si>
    <t>Orders_Filled_Hrs_pct["Practice_Areas.Practice_2", "Prof_Staff_Types.Prof_Level_2", "Channels.Channels_1", DATE(2011,2,1)]|=R128</t>
  </si>
  <si>
    <t>Orders_Filled_Hrs_pct["Practice_Areas.Practice_2", "Prof_Staff_Types.Prof_Level_1", "Channels.Channels_1", DATE(2010,6,1)]|=J126</t>
  </si>
  <si>
    <t>Sales_Lead_Hrs_New["Sales_Lead_Quality.Lead_Qual_2", "Practice_Areas.Practice_1", "Prof_Staff_Types.Prof_Level_1", "Channels.Channels_2", DATE(2010,6,1)]|=2*J77-I77</t>
  </si>
  <si>
    <t>Inputs!Engage_Hrs_pct_Billed_ET_Engage_Time_Period_1_Engagements_Engage_2_Prof_Staff_Types_Prof_Level_2</t>
  </si>
  <si>
    <t>Sales_Lead_Hrs_Expire_pct_Yr["Sales_Lead_Quality.Lead_Qual_1", "Practice_Areas.Practice_1", "Prof_Staff_Types.Prof_Level_1", "Channels.Channels_1", DATE(2010,6,1)]|=J105</t>
  </si>
  <si>
    <t>Untagged Asset Purch Lagged</t>
  </si>
  <si>
    <t>Sales_Lead_Hrs_Conv_pct_Yr["Sales_Lead_Quality.Lead_Qual_1", "Practice_Areas.Practice_2", "Prof_Staff_Types.Prof_Level_2", "Channels.Channels_1", DATE(2011,1,1)]|=Q94</t>
  </si>
  <si>
    <t>(Tables)'!Prof_Staff_Count1_Practice_Areas_Practice_2_Prof_Staff_Types_Prof_Level_2</t>
  </si>
  <si>
    <t>Prof_Staff_Targ_Util_pct["Practice_Areas.Practice_2", "Prof_Staff_Types.Prof_Level_2", DATE(2011,1,1)]|=Q192</t>
  </si>
  <si>
    <t>Total sources of cash, by time period</t>
  </si>
  <si>
    <t>:D:2:Channels.Channels_1</t>
  </si>
  <si>
    <t>Cost_Services_Supplies_Hr["Practice_Areas.Practice_2", "Prof_Staff_Types.Prof_Level_2", "Supply_Types.Supply_Type_2", "Channels.Channels_1", DATE(2010,6,1)]|=J175</t>
  </si>
  <si>
    <t>The amount of bad debt expense in each accounting period.</t>
  </si>
  <si>
    <t>Cost_Services_TandE_Hr["Practice_Areas.Practice_2", "Prof_Staff_Types.Prof_Level_2", "Channels.Channels_1", DATE(2010,1,1)]|=5</t>
  </si>
  <si>
    <t>var(if(diminfo("Channels")=index(ranged("Engagements", Engage_Channel), dimitemnum("Engagements")), 1, 0))</t>
  </si>
  <si>
    <t>Sales_Commis_Rev_Share[DATE(2011,6,1)]|=V247</t>
  </si>
  <si>
    <t>Sales_Lead_Hrs_Expire_pct_Yr["Sales_Lead_Quality.Lead_Qual_2", "Practice_Areas.Practice_2", "Prof_Staff_Types.Prof_Level_1", "Channels.Channels_1", DATE(2011,3,1)]|=S117</t>
  </si>
  <si>
    <t>Cost_Services_Supplies_Hr["Practice_Areas.Practice_2", "Prof_Staff_Types.Prof_Level_2", "Supply_Types.Supply_Type_1", "Channels.Channels_1", DATE(2011,2,1)]|=R173</t>
  </si>
  <si>
    <t>Support Staff  Bonus</t>
  </si>
  <si>
    <t>Sales_Lead_Hrs_Expire_pct_Yr["Sales_Lead_Quality.Lead_Qual_2", "Practice_Areas.Practice_2", "Prof_Staff_Types.Prof_Level_1", "Channels.Channels_2", DATE(2010,11,1)]|=O118</t>
  </si>
  <si>
    <t>(Ranges)'!Practice_Dev_Prof_Staff_Hrs_Practice_Areas_Practice_2_Prof_Staff_Types_Prof_Level_1</t>
  </si>
  <si>
    <t>:D:0:Accts_Pay_Type.Payroll_Pay</t>
  </si>
  <si>
    <t>The ratio operating margin / revenue, by time period</t>
  </si>
  <si>
    <t>Sales_Lead_Hrs_New["Sales_Lead_Quality.Lead_Qual_2", "Practice_Areas.Practice_2", "Prof_Staff_Types.Prof_Level_1", "Channels.Channels_2", DATE(2010,3,1)]|=2*G81-F81</t>
  </si>
  <si>
    <t>Sup_Staff_Count_Early["Depts.Marketing", "Sup_Staff_Levels.Contributor", DATE(2010,8,1)]|=L198</t>
  </si>
  <si>
    <t>(Ranges)'!Valuation_Equity</t>
  </si>
  <si>
    <t>(Compute)'!Engage_Cost_Supplies_Time_Period</t>
  </si>
  <si>
    <t>Cash_Targ_Days[DATE(2010,9,1)]|=M360</t>
  </si>
  <si>
    <t>Sales_Lead_Hrs_Expire_pct_Yr["Sales_Lead_Quality.Lead_Qual_2", "Practice_Areas.Practice_2", "Prof_Staff_Types.Prof_Level_2", "Channels.Channels_2", DATE(2011,3,1)]|=S120</t>
  </si>
  <si>
    <t>Period 3</t>
  </si>
  <si>
    <t>Orders_Filled_Hrs_pct["Practice_Areas.Practice_2", "Prof_Staff_Types.Prof_Level_1", "Channels.Channels_1", DATE(2011,1,1)]|=Q126</t>
  </si>
  <si>
    <t>Cost_Services_Supplies_Hr["Practice_Areas.Practice_2", "Prof_Staff_Types.Prof_Level_2", "Supply_Types.Supply_Type_1", "Channels.Channels_1", DATE(2010,3,1)]|=G173</t>
  </si>
  <si>
    <t>Per_Sup_Staff_Exp_Yr["Depts.Marketing", "Empl_Rel_Exp_Type.Supplies", DATE(2011,2,1)]|=R326</t>
  </si>
  <si>
    <t>Prof_Staff_Bonus_pct["Practice_Areas.Practice_1", "Prof_Staff_Types.Prof_Level_2", DATE(2011,6,1)]|=V216</t>
  </si>
  <si>
    <t>Sales_Lead_Hrs_Conv_pct_Yr["Sales_Lead_Quality.Lead_Qual_2", "Practice_Areas.Practice_2", "Prof_Staff_Types.Prof_Level_1", "Channels.Channels_2", DATE(2010,9,1)]|=M101</t>
  </si>
  <si>
    <t>Per_Prof_Staff_Exp_Yr["Prof_Staff_Types.Prof_Level_2", "Empl_Rel_Exp_Type.Other", DATE(2010,7,1)]|=K324</t>
  </si>
  <si>
    <t>(Ranges)'!Prof_Staff_Hrs_Capacity_Practice_Areas</t>
  </si>
  <si>
    <t>A list of types of employee-related operating expenses tracked separately in the plan. Wages and wage-related expenses are tracked separately.</t>
  </si>
  <si>
    <t>Konst</t>
  </si>
  <si>
    <t>Sales_Lead_Hrs_Conv_pct_Yr["Sales_Lead_Quality.Lead_Qual_2", "Practice_Areas.Practice_1", "Prof_Staff_Types.Prof_Level_1", "Channels.Channels_2", DATE(2010,5,1)]|=I97</t>
  </si>
  <si>
    <t>Sup_Staff_Benefits_pct[DATE(2011,4,1)]|=T238</t>
  </si>
  <si>
    <t>Channel 1</t>
  </si>
  <si>
    <t>Engage_Hrs_Applied-Engage_Hrs_Billed</t>
  </si>
  <si>
    <t>Cash_Targ_Days[DATE(2010,12,1)]|=P360</t>
  </si>
  <si>
    <t>Discount_Rate_Direct_Yr[DATE(2011,4,1)]|=T348</t>
  </si>
  <si>
    <t>Orders_Filled_Hrs_pct["Practice_Areas.Practice_1", "Prof_Staff_Types.Prof_Level_2", "Channels.Channels_1", DATE(2010,5,1)]|=I124</t>
  </si>
  <si>
    <t>:D:1:Untagged_Asset_Type</t>
  </si>
  <si>
    <t>Practice_Dev_Sup_Staff_Count["Practice_Areas.Practice_1", "Depts.Sales", "Sup_Staff_Levels.Manager", DATE(2010,3,1)]|=G293</t>
  </si>
  <si>
    <t>Practice_Dev_Prof_Staff_Count["Practice_Areas.Practice_2", "Prof_Staff_Types.Prof_Level_2", DATE(2011,3,1)]|=S289</t>
  </si>
  <si>
    <t>Practice_Dev_Sup_Staff_Count["Practice_Areas.Practice_2", "Depts.Marketing", "Sup_Staff_Levels.Contributor", DATE(2010,4,1)]|=H296</t>
  </si>
  <si>
    <t>Sales_Lead_Hrs_New["Sales_Lead_Quality.Lead_Qual_2", "Practice_Areas.Practice_2", "Prof_Staff_Types.Prof_Level_1", "Channels.Channels_1", DATE(2010,11,1)]|=2*O80-N80</t>
  </si>
  <si>
    <t>Prof_Staff_Count_Early["Practice_Areas.Practice_2", "Prof_Staff_Types.Prof_Level_1", DATE(2010,3,1)]|=G186</t>
  </si>
  <si>
    <t>Sales_Lead_Hrs_Expire_pct_Yr["Sales_Lead_Quality.Lead_Qual_2", "Practice_Areas.Practice_2", "Prof_Staff_Types.Prof_Level_1", "Channels.Channels_2", DATE(2011,6,1)]|=V118</t>
  </si>
  <si>
    <t>Sales_Lead_Hrs_Init["Practice_Areas.Practice_2", "Prof_Staff_Types.Prof_Level_1", "Channels.Channels_1", "Sales_Lead_Quality.Lead_Qual_2"]|=G56</t>
  </si>
  <si>
    <t>Per_Sup_Staff_Exp_Yr["Depts.Marketing", "Empl_Rel_Exp_Type.Travel_Entertain", DATE(2010,10,1)]|=N327</t>
  </si>
  <si>
    <t>A list of three constants that are used in Cobb-Douglas exponential functions of the form variable = K0 + K1 * driver_variable ^K2</t>
  </si>
  <si>
    <t>Sales_Commis_Rev_Share[DATE(2010,11,1)]|=O247</t>
  </si>
  <si>
    <t>The number of qualified sales leads, expressed in billable hours, at the end of each time period, segmented by lead quality, Practice Area, and Professional Staff Type.
The least qualified lead categories are listed first, and the most qualified categories are at the end of the list.</t>
  </si>
  <si>
    <t>Net_Stock_Issue[DATE(2010,7,1)]|=0</t>
  </si>
  <si>
    <t>Cost_Services_Supplies_Hr["Practice_Areas.Practice_2", "Prof_Staff_Types.Prof_Level_1", "Supply_Types.Supply_Type_2", "Channels.Channels_1", DATE(2010,10,1)]|=N171</t>
  </si>
  <si>
    <t>:D:0:OpExpType</t>
  </si>
  <si>
    <t>The stock of retained earnings at the end of each time period. The value at the start of model time is determined by the accounting identity Retained Earnings = Assets - Liabilities - Paid_In_Capital.</t>
  </si>
  <si>
    <t>Sales_Lead_Hrs_Expire_pct_Yr["Sales_Lead_Quality.Lead_Qual_1", "Practice_Areas.Practice_2", "Prof_Staff_Types.Prof_Level_1", "Channels.Channels_2", DATE(2010,8,1)]|=L110</t>
  </si>
  <si>
    <t>Cost_Services_TandE_Hr["Practice_Areas.Practice_1", "Prof_Staff_Types.Prof_Level_2", "Channels.Channels_2", DATE(2010,9,1)]|=M156</t>
  </si>
  <si>
    <t>Cost_Services_Supplies_Hr["Practice_Areas.Practice_2", "Prof_Staff_Types.Prof_Level_1", "Supply_Types.Supply_Type_2", "Channels.Channels_1", DATE(2010,6,1)]|=J171</t>
  </si>
  <si>
    <t>G_A_Exp_K["Depts.Marketing", "GA_Exp.GA_Exp_1", "Konst.K2"]|=1.0</t>
  </si>
  <si>
    <t>:A:0:Facil_Util_Exp</t>
  </si>
  <si>
    <t>Prof Level 1</t>
  </si>
  <si>
    <t>Practice_Dev_Sup_Staff_Count["Practice_Areas.Practice_1", "Depts.Sales", "Sup_Staff_Levels.Manager", DATE(2011,6,1)]|=V293</t>
  </si>
  <si>
    <t>:A:-1:Sup_Staff_Turnover</t>
  </si>
  <si>
    <t>:A:-1:Prof_Staff_Hrs_Billed_Channel</t>
  </si>
  <si>
    <t>Orders_Filled_Hrs_pct["Practice_Areas.Practice_2", "Prof_Staff_Types.Prof_Level_1", "Channels.Channels_2", DATE(2010,8,1)]|=L127</t>
  </si>
  <si>
    <t>Office_Maint_Rate_Yr[DATE(2011,1,1)]|=Q307</t>
  </si>
  <si>
    <t>Sup_Staff_Bonus_pct["Depts.Sales", "Sup_Staff_Levels.Contributor", DATE(2011,6,1)]|=V236</t>
  </si>
  <si>
    <t>Per_Prof_Staff_Exp_Yr["Prof_Staff_Types.Prof_Level_1", "Empl_Rel_Exp_Type.Travel_Entertain", DATE(2011,1,1)]|=Q320</t>
  </si>
  <si>
    <t>Cost_Services_Supplies_Hr["Practice_Areas.Practice_1", "Prof_Staff_Types.Prof_Level_1", "Supply_Types.Supply_Type_1", "Channels.Channels_1", DATE(2010,10,1)]|=N161</t>
  </si>
  <si>
    <t>Engage_Labor_pct</t>
  </si>
  <si>
    <t>(Ranges)'!Revenue_Practice_Areas_Practice_2</t>
  </si>
  <si>
    <t>:A:0:Selling_Exp_Ratio</t>
  </si>
  <si>
    <t>Sup_Staff_Wage_incr_pct["Sup_Staff_Levels.Manager", DATE(2010,4,1)]|=H230</t>
  </si>
  <si>
    <t>Change in cash balance by time period</t>
  </si>
  <si>
    <t>Sales_Lead_Hrs_Expire_pct_Yr["Sales_Lead_Quality.Lead_Qual_1", "Practice_Areas.Practice_1", "Prof_Staff_Types.Prof_Level_2", "Channels.Channels_2", DATE(2010,3,1)]|=G108</t>
  </si>
  <si>
    <t>Sup_Staff_Turnover_pct_Yr</t>
  </si>
  <si>
    <t>(Tables)'!Engage_Rev_Nominal_Fees_Engagements_Engage_2</t>
  </si>
  <si>
    <t>Engage_Cost_TandE</t>
  </si>
  <si>
    <t>if(and(hasfeature("Recruiting"), diminfo("GA_Exp", 0)="Recruiting"), var(Recruit_Exp_Sup, "GA_Exp")+if(diminfo("Depts", 0)="Admin", var(Recruit_Exp_Prof, "Depts", "GA_Exp"), 0), (G_A_Exp_K["Konst.K0"]+G_A_Exp_K["Konst.K1"]*var(Revenue*periods_per("year")/1000)^G_A_Exp_K["Konst.K2"])/periods_per("year"))</t>
  </si>
  <si>
    <t>Sales_Lead_Hrs_New["Sales_Lead_Quality.Lead_Qual_1", "Practice_Areas.Practice_1", "Prof_Staff_Types.Prof_Level_2", "Channels.Channels_1", DATE(2010,10,1)]|=2*N70-M70</t>
  </si>
  <si>
    <t>Practice_Dev_pct_Capd["Practice_Areas.Practice_2", DATE(2011,3,1)]|=S396</t>
  </si>
  <si>
    <t>Change in Bond principal from the previous period. The model has a variable for this because (a) this amount will be displayed in the cash flow statement worksheet, and (b) this amount is used in several formulas so it is convenient to store it in a variable. This version of the variable omits times before model start date, and is used for display.</t>
  </si>
  <si>
    <t>Engage!Engage_Hrs_Billed_Engagements_Engage_2_Prof_Staff_Types_Prof_Level_1</t>
  </si>
  <si>
    <t>Income_Tax_Rate[DATE(2010,7,1)]|=K345</t>
  </si>
  <si>
    <t>Cash_Targ_Days[DATE(2011,4,1)]|=T360</t>
  </si>
  <si>
    <t>Sales_Lead_Hrs_New["Sales_Lead_Quality.Lead_Qual_2", "Practice_Areas.Practice_2", "Prof_Staff_Types.Prof_Level_1", "Channels.Channels_1", DATE(2010,1,1)]|=2*0-0</t>
  </si>
  <si>
    <t>Orders_Filled_Hrs_Plot</t>
  </si>
  <si>
    <t>(Tables)'!Prof_Staff_Billings_Practice_Areas_Practice_2_Prof_Staff_Types</t>
  </si>
  <si>
    <t>:A:-1:Mktg_Pgms_Exp</t>
  </si>
  <si>
    <t>IRR_Guess_w_Tail_Yr</t>
  </si>
  <si>
    <t>:A:0:Net_Stock_Issue_short</t>
  </si>
  <si>
    <t>Sales Lead Expire Hrs%</t>
  </si>
  <si>
    <t>Sales_Lead_Hrs_Expire_pct_Yr["Sales_Lead_Quality.Lead_Qual_2", "Practice_Areas.Practice_2", "Prof_Staff_Types.Prof_Level_2", "Channels.Channels_2", DATE(2010,4,1)]|=H120</t>
  </si>
  <si>
    <t>Practice_Dev_Sup_Staff_Count["Practice_Areas.Practice_1", "Depts.Marketing", "Sup_Staff_Levels.Manager", DATE(2010,8,1)]|=L291</t>
  </si>
  <si>
    <t>Cost_Services_Supplies_Hr["Practice_Areas.Practice_1", "Prof_Staff_Types.Prof_Level_2", "Supply_Types.Supply_Type_1", "Channels.Channels_1", DATE(2011,4,1)]|=T165</t>
  </si>
  <si>
    <t>:A:-1:Chg_Inventory_Supplies</t>
  </si>
  <si>
    <t>Tagged Assets</t>
  </si>
  <si>
    <t>Office_Rent_Rate_Yr</t>
  </si>
  <si>
    <t>Orders_Filled_Hrs_pct["Practice_Areas.Practice_2", "Prof_Staff_Types.Prof_Level_1", "Channels.Channels_1", DATE(2010,11,1)]|=O126</t>
  </si>
  <si>
    <t>:D:0:Prof_Staff_Types</t>
  </si>
  <si>
    <t>Cash_Flow_Expect_Fut*Cash_Flow_Equity</t>
  </si>
  <si>
    <t>Sales_Lead_Hrs_Expire_pct_Yr["Sales_Lead_Quality.Lead_Qual_1", "Practice_Areas.Practice_1", "Prof_Staff_Types.Prof_Level_2", "Channels.Channels_1", DATE(2010,6,1)]|=J107</t>
  </si>
  <si>
    <t>(Ranges)'!Gross_Margin_Channel_Channels_Channels_2_Practice_Areas_Practice_2_Prof_Staff_Types_Prof_Level_1</t>
  </si>
  <si>
    <t>Prof_Staff_Bonus_pct["Practice_Areas.Practice_1", "Prof_Staff_Types.Prof_Level_1", DATE(2010,12,1)]|=P215</t>
  </si>
  <si>
    <t>Revenue_Growth</t>
  </si>
  <si>
    <t>Practice_Dev_Sup_Staff_Count["Practice_Areas.Practice_1", "Depts.Marketing", "Sup_Staff_Levels.Contributor", DATE(2010,12,1)]|=P292</t>
  </si>
  <si>
    <t>:A:-1:IRR_CF_w_Tail</t>
  </si>
  <si>
    <t>:A:-1:Company_Name</t>
  </si>
  <si>
    <t>Cash_Initial</t>
  </si>
  <si>
    <t>Sales_Lead_Hrs_Expire_pct_Yr["Sales_Lead_Quality.Lead_Qual_2", "Practice_Areas.Practice_1", "Prof_Staff_Types.Prof_Level_1", "Channels.Channels_1", DATE(2011,3,1)]|=S113</t>
  </si>
  <si>
    <t>(Ranges)'!Prof_Staff_Cost_Applied_Practice_Areas_Practice_1_Prof_Staff_Types</t>
  </si>
  <si>
    <t>Practice_Dev_Prof_Staff_Count["Practice_Areas.Practice_2", "Prof_Staff_Types.Prof_Level_2", DATE(2010,9,1)]|=M289</t>
  </si>
  <si>
    <t>Sales_Lead_Hrs_New["Sales_Lead_Quality.Lead_Qual_1", "Practice_Areas.Practice_2", "Prof_Staff_Types.Prof_Level_2", "Channels.Channels_1", DATE(2011,6,1)]|=2*V74-U74</t>
  </si>
  <si>
    <t xml:space="preserve">  Payroll_Pay</t>
  </si>
  <si>
    <t>Sales_Lead_Hrs_Conv_pct_Yr["Sales_Lead_Quality.Lead_Qual_1", "Practice_Areas.Practice_1", "Prof_Staff_Types.Prof_Level_2", "Channels.Channels_2", DATE(2011,6,1)]|=V91</t>
  </si>
  <si>
    <t>Labor Share %</t>
  </si>
  <si>
    <t>Practice_Dev_Prof_Staff_Count["Practice_Areas.Practice_1", "Prof_Staff_Types.Prof_Level_2", DATE(2010,7,1)]|=K287</t>
  </si>
  <si>
    <t>Sales_Lead_Hrs_New["Sales_Lead_Quality.Lead_Qual_1", "Practice_Areas.Practice_1", "Prof_Staff_Types.Prof_Level_2", "Channels.Channels_2", DATE(2011,6,1)]|=2*V71-U71</t>
  </si>
  <si>
    <t>Cost_Services_TandE_Hr["Practice_Areas.Practice_1", "Prof_Staff_Types.Prof_Level_1", "Channels.Channels_2", DATE(2010,1,1)]|=5</t>
  </si>
  <si>
    <t>Change in accounts payable from the previous period. The model has a variable for this because (a) this amount will be displayed in the cash flow statement worksheet, and (b) this amount is used in several formulas so it is convenient to store it in a variable.</t>
  </si>
  <si>
    <t>Sales_Lead_Hrs_Expire_pct_Yr["Sales_Lead_Quality.Lead_Qual_1", "Practice_Areas.Practice_2", "Prof_Staff_Types.Prof_Level_2", "Channels.Channels_2", DATE(2010,6,1)]|=J112</t>
  </si>
  <si>
    <t>:A:-1:Cash_Flow</t>
  </si>
  <si>
    <t>max(0, prev(Dev_Capd_Asset)/(periods_per("year")*Dev_Capd_Life_Yrs)+Dev_Capd_Period_Lagged*(1-1/(periods_per("year")*Dev_Capd_Life_Yrs))^(periods_per("year")*Dev_Capd_Life_Yrs))</t>
  </si>
  <si>
    <t>Engagements, Channels</t>
  </si>
  <si>
    <t>Cost_Services_Supplies_Hr["Practice_Areas.Practice_1", "Prof_Staff_Types.Prof_Level_1", "Supply_Types.Supply_Type_1", "Channels.Channels_1", DATE(2011,2,1)]|=R161</t>
  </si>
  <si>
    <t>:D:0:Equity</t>
  </si>
  <si>
    <t>Per_Prof_Staff_Exp_Yr["Prof_Staff_Types.Prof_Level_1", "Empl_Rel_Exp_Type.Other", DATE(2010,1,1)]|=0</t>
  </si>
  <si>
    <t xml:space="preserve">Valuation of the equity of the company at each point in time, assuming that the company has met plan in all past time periods, using cash flows (including tail cash flows occurring after the end of model time), expectation factors for cash flow, and specified discount rates during model time and after the end of model time. </t>
  </si>
  <si>
    <t>:A:-1:Accts_Rec_Days</t>
  </si>
  <si>
    <t>:A:0:Dev_Capd_per_Period</t>
  </si>
  <si>
    <t>Book value of stock issued less buy-backs, by time period.
This variable includes a formula that implements a policy for the sale of stock based on cash balances and recent rates of change of cash balances. This version omits times before the start of model time, and it is used only for display.</t>
  </si>
  <si>
    <t>Sales commission expense paid only on commissionable sales, without employee benefits or wage taxes, by time period.
If no department has the name "Sales", then sales commissions may not be included in operating expenses.</t>
  </si>
  <si>
    <t>Sales_Lead_Hrs_Expire_pct_Yr["Sales_Lead_Quality.Lead_Qual_1", "Practice_Areas.Practice_2", "Prof_Staff_Types.Prof_Level_2", "Channels.Channels_1", DATE(2011,2,1)]|=R111</t>
  </si>
  <si>
    <t>Prof_Fees_per_Hr_Nominal["Practice_Areas.Practice_2", "Prof_Staff_Types.Prof_Level_2", DATE(2010,2,1)]|=F141</t>
  </si>
  <si>
    <t>Avg Support Staff Wage</t>
  </si>
  <si>
    <t>Practice_Dev_Sup_Staff_Count["Practice_Areas.Practice_2", "Depts.Marketing", "Sup_Staff_Levels.Manager", DATE(2010,7,1)]|=K295</t>
  </si>
  <si>
    <t>Prof_Fees_per_Hr_Nominal["Practice_Areas.Practice_1", "Prof_Staff_Types.Prof_Level_1", DATE(2011,4,1)]|=T138</t>
  </si>
  <si>
    <t>Billed Hours Round?</t>
  </si>
  <si>
    <t>Bad_Debt_pct[DATE(2010,6,1)]|=J342</t>
  </si>
  <si>
    <t>Prof_Fee_Discount_pct["Practice_Areas.Practice_1", "Prof_Staff_Types.Prof_Level_2", DATE(2010,10,1)]|=N144</t>
  </si>
  <si>
    <t>Orders_Filled_Hrs_pct["Practice_Areas.Practice_2", "Prof_Staff_Types.Prof_Level_2", "Channels.Channels_1", DATE(2010,8,1)]|=L128</t>
  </si>
  <si>
    <t>Sales_Lead_Hrs_Expire_pct_Yr["Sales_Lead_Quality.Lead_Qual_2", "Practice_Areas.Practice_2", "Prof_Staff_Types.Prof_Level_2", "Channels.Channels_2", DATE(2010,10,1)]|=N120</t>
  </si>
  <si>
    <t>Accts Payable</t>
  </si>
  <si>
    <t>Sales_Lead_Hrs_Conv_pct_Yr["Sales_Lead_Quality.Lead_Qual_2", "Practice_Areas.Practice_1", "Prof_Staff_Types.Prof_Level_2", "Channels.Channels_1", DATE(2011,2,1)]|=R98</t>
  </si>
  <si>
    <t>Interest_Rate_Long_Yr[DATE(2011,6,1)]|=V340</t>
  </si>
  <si>
    <t>Practice_Dev_Sup_Staff_Count["Practice_Areas.Practice_1", "Depts.Marketing", "Sup_Staff_Levels.Manager", DATE(2011,6,1)]|=V291</t>
  </si>
  <si>
    <t>Financial_Exp</t>
  </si>
  <si>
    <t>:A:-1:Prof_Staff_Cost</t>
  </si>
  <si>
    <t>:D:2:Engage_Types.EngageType_1</t>
  </si>
  <si>
    <t>The asset life that determines the rate of depreciation of untagged assets, by type of untagged asset. In the current implementation, life must be an integral number of years &lt;= 9.</t>
  </si>
  <si>
    <t>Engage!Engage_Cost_TandE_Engagements_Engage_2_Prof_Staff_Types</t>
  </si>
  <si>
    <t>(Tables)'!Prof_Staff_Billings_Practice_Areas_Practice_1_Prof_Staff_Types_Prof_Level_1_Channels_Channels_1</t>
  </si>
  <si>
    <t>Per_Prof_Staff_Exp_Yr["Prof_Staff_Types.Prof_Level_2", "Empl_Rel_Exp_Type.Travel_Entertain", DATE(2010,4,1)]|=H323</t>
  </si>
  <si>
    <t>Practice_Dev_Prof_Staff_Count["Practice_Areas.Practice_2", "Prof_Staff_Types.Prof_Level_1", DATE(2010,1,1)]|=0</t>
  </si>
  <si>
    <t>Sales_Lead_Hrs_Expire_pct_Yr["Sales_Lead_Quality.Lead_Qual_2", "Practice_Areas.Practice_1", "Prof_Staff_Types.Prof_Level_2", "Channels.Channels_1", DATE(2010,4,1)]|=H115</t>
  </si>
  <si>
    <t>Per_Sup_Staff_Exp_Yr["Depts.Sales", "Empl_Rel_Exp_Type.Other", DATE(2011,2,1)]|=R331</t>
  </si>
  <si>
    <t>(Ranges)'!Prof_Staff_Cost_Unapplied_Practice_Areas_Practice_2</t>
  </si>
  <si>
    <t>:A:0:Sup_Staff_Count1_K_on</t>
  </si>
  <si>
    <t>Practice_Dev_pct_Capd["Practice_Areas.Practice_2", DATE(2011,2,1)]|=R396</t>
  </si>
  <si>
    <t>Orders_Filled_Hrs_pct["Practice_Areas.Practice_2", "Prof_Staff_Types.Prof_Level_1", "Channels.Channels_2", DATE(2011,4,1)]|=T127</t>
  </si>
  <si>
    <t>If you want to round billable hours to whole numbers, set to TRUE, else FALSE. Applies to major and minor engagements.</t>
  </si>
  <si>
    <t>Practice_Dev_Prof_Staff_Count["Practice_Areas.Practice_1", "Prof_Staff_Types.Prof_Level_2", DATE(2010,5,1)]|=I287</t>
  </si>
  <si>
    <t>(Ranges)'!Prof_Staff_Count_Practice_Areas_Practice_2_Prof_Staff_Types</t>
  </si>
  <si>
    <t>(Ranges)'!Revenue_Practice_Areas_Practice_2_Prof_Staff_Types_Prof_Level_2</t>
  </si>
  <si>
    <t>Number of professional staff that turn over each year and must be replaced. Segmented by Practice Area, by Professional Staff Type, and by time period.
This information is used in the computation of recruiting expense.</t>
  </si>
  <si>
    <t>Practice_Dev_Prof_Staff_Count["Practice_Areas.Practice_2", "Prof_Staff_Types.Prof_Level_2", DATE(2010,12,1)]|=P289</t>
  </si>
  <si>
    <t>Accts_Pay_Targ_Days["Accts_Pay_Type.Tax_Pay", DATE(2010,3,1)]|=H412</t>
  </si>
  <si>
    <t>ifm(isleafd("Depts"), sum(rangedru("Empl_Rel_Exp_Type")), if(Sup_Staff_Count=0, average(rangedru("Depts")), Sup_Staff_Rel_Exp*periods_per("year")/Sup_Staff_Count))</t>
  </si>
  <si>
    <t>if(Assets=0, 0, Liabilities/Assets)</t>
  </si>
  <si>
    <t>Billable professional staff hours that are actually billed, for each major Engagement, for each Professional Staff Type, in each time period</t>
  </si>
  <si>
    <t>Sales_Lead_Hrs_Conv_pct_Yr["Sales_Lead_Quality.Lead_Qual_2", "Practice_Areas.Practice_1", "Prof_Staff_Types.Prof_Level_2", "Channels.Channels_2", DATE(2010,5,1)]|=I99</t>
  </si>
  <si>
    <t>:A:-1:Prof_Staff_Salary_Cost</t>
  </si>
  <si>
    <t>if(Time&lt;=Mktg_Pgms_Early_Cutover/periods_per("year")+0.001, Mktg_Pgms_Exp_Early, if(Time&lt;(1+Mktg_Pgms_Early_Cutover)/periods_per("year")+0.001, 0.5*(preve(Mktg_Pgms_Exp_Early, Mktg_Pgms_Exp_Early)+nexte(Mktg_Pgms_Exp_Early, Mktg_Pgms_Exp)), (Mktg_Pgms_K["Konst.K0"]+Mktg_Pgms_K["Konst.K1"]*var(Revenue["Practice_Areas", "Prof_Staff_Types", "Channels"]*periods_per("year")/1000)^Mktg_Pgms_K["Konst.K2"])/periods_per("year")))</t>
  </si>
  <si>
    <t>Cost_Services_Supplies_Hr["Practice_Areas.Practice_2", "Prof_Staff_Types.Prof_Level_1", "Supply_Types.Supply_Type_1", "Channels.Channels_2", DATE(2010,1,1)]|=0</t>
  </si>
  <si>
    <t>(Tables)'!Prof_Staff_Count1_Practice_Areas_Practice_2</t>
  </si>
  <si>
    <t>Prof_Staff_Count_Early["Practice_Areas.Practice_2", "Prof_Staff_Types.Prof_Level_2", DATE(2011,2,1)]|=R187</t>
  </si>
  <si>
    <t>(Tables)'!Prof_Staff_Count1_Practice_Areas_Practice_1</t>
  </si>
  <si>
    <t>Mktg_Pgms_Exp_Early["Mktg_Pgms.Seminars", "Practice_Areas.Practice_1", DATE(2010,11,1)]|=O276</t>
  </si>
  <si>
    <t>Practice_Dev_Prof_Staff_Count["Practice_Areas.Practice_1", "Prof_Staff_Types.Prof_Level_1", DATE(2010,10,1)]|=N286</t>
  </si>
  <si>
    <t>Practice_Dev_Sup_Staff_Count["Practice_Areas.Practice_2", "Depts.Marketing", "Sup_Staff_Levels.Manager", DATE(2010,11,1)]|=O295</t>
  </si>
  <si>
    <t>Prof_Staff_Cost_Unbilled</t>
  </si>
  <si>
    <t>Prof_Staff_Salary_incr_pct["Prof_Staff_Types.Prof_Level_1", DATE(2010,5,1)]|=I212</t>
  </si>
  <si>
    <t>Sales_Lead_Hrs_Expire_pct_Yr["Sales_Lead_Quality.Lead_Qual_2", "Practice_Areas.Practice_1", "Prof_Staff_Types.Prof_Level_1", "Channels.Channels_2", DATE(2011,3,1)]|=S114</t>
  </si>
  <si>
    <t>Prof_Fee_Discount_pct["Practice_Areas.Practice_1", "Prof_Staff_Types.Prof_Level_1", DATE(2010,11,1)]|=O143</t>
  </si>
  <si>
    <t>Sales_Lead_Hrs_Init["Practice_Areas.Practice_2", "Prof_Staff_Types.Prof_Level_2", "Channels.Channels_2", "Sales_Lead_Quality.Lead_Qual_1"]|=F62</t>
  </si>
  <si>
    <t>Sales_Lead_Quality, Practice_Areas, Prof_Staff_Types, Channels</t>
  </si>
  <si>
    <t>Cost_Services_TandE_Hr["Practice_Areas.Practice_2", "Prof_Staff_Types.Prof_Level_1", "Channels.Channels_2", DATE(2011,2,1)]|=R158</t>
  </si>
  <si>
    <t>Sales_Lead_Hrs_Expire_pct_Yr["Sales_Lead_Quality.Lead_Qual_2", "Practice_Areas.Practice_1", "Prof_Staff_Types.Prof_Level_2", "Channels.Channels_1", DATE(2010,3,1)]|=G115</t>
  </si>
  <si>
    <t>:A:0:Return_on_Sales_pct</t>
  </si>
  <si>
    <t>Sales_Lead_Hrs_New["Sales_Lead_Quality.Lead_Qual_1", "Practice_Areas.Practice_1", "Prof_Staff_Types.Prof_Level_1", "Channels.Channels_1", DATE(2010,10,1)]|=2*N68-M68</t>
  </si>
  <si>
    <t>Orders_Filled_Hrs_pct["Practice_Areas.Practice_1", "Prof_Staff_Types.Prof_Level_2", "Channels.Channels_2", DATE(2010,8,1)]|=L125</t>
  </si>
  <si>
    <t>Prof_Fee_Discount_pct["Practice_Areas.Practice_2", "Prof_Staff_Types.Prof_Level_2", DATE(2010,9,1)]|=M146</t>
  </si>
  <si>
    <t>(Ranges)'!Prof_Staff_Hrs_Capacity_Practice_Areas_Practice_1_Prof_Staff_Types</t>
  </si>
  <si>
    <t>Per_Sup_Staff_Exp_Yr["Depts.Sales", "Empl_Rel_Exp_Type.Supplies", DATE(2010,1,1)]|=0</t>
  </si>
  <si>
    <t>Prof_Fees_per_Hr_Nominal["Practice_Areas.Practice_2", "Prof_Staff_Types.Prof_Level_2", DATE(2010,4,1)]|=H141</t>
  </si>
  <si>
    <t>Asset Turnover</t>
  </si>
  <si>
    <t>Practice_Dev_Sup_Staff_Count["Practice_Areas.Practice_1", "Depts.Sales", "Sup_Staff_Levels.Contributor", DATE(2011,2,1)]|=R294</t>
  </si>
  <si>
    <t>Prof_Staff_Count_Early["Practice_Areas.Practice_2", "Prof_Staff_Types.Prof_Level_2", DATE(2010,4,1)]|=H187</t>
  </si>
  <si>
    <t>Sales_Lead_Hrs_Expire_pct_Yr["Sales_Lead_Quality.Lead_Qual_1", "Practice_Areas.Practice_1", "Prof_Staff_Types.Prof_Level_2", "Channels.Channels_1", DATE(2010,1,1)]|=0.30</t>
  </si>
  <si>
    <t>:D:2:Untagged_Asset_Purch_Params</t>
  </si>
  <si>
    <t>Sales_Lead_Hrs_New["Sales_Lead_Quality.Lead_Qual_2", "Practice_Areas.Practice_2", "Prof_Staff_Types.Prof_Level_1", "Channels.Channels_2", DATE(2011,1,1)]|=2*Q81-P81</t>
  </si>
  <si>
    <t>Sales_Lead_Hrs_Conv_pct_Yr["Sales_Lead_Quality.Lead_Qual_2", "Practice_Areas.Practice_2", "Prof_Staff_Types.Prof_Level_1", "Channels.Channels_1", DATE(2010,2,1)]|=F100</t>
  </si>
  <si>
    <t>Sup_Staff_Turnover</t>
  </si>
  <si>
    <t>:D:0:Supply_Types.Supply_Type_1</t>
  </si>
  <si>
    <t>Practice_Dev_Sup_Staff_Count["Practice_Areas.Practice_1", "Depts.Marketing", "Sup_Staff_Levels.Contributor", DATE(2011,4,1)]|=T292</t>
  </si>
  <si>
    <t xml:space="preserve">Cost of Services - Supplies </t>
  </si>
  <si>
    <t>Sales_Lead_Hrs_New["Sales_Lead_Quality.Lead_Qual_2", "Practice_Areas.Practice_2", "Prof_Staff_Types.Prof_Level_1", "Channels.Channels_1", DATE(2011,1,1)]|=2*Q80-P80</t>
  </si>
  <si>
    <t>Sales_Lead_Hrs_Expire_pct_Yr["Sales_Lead_Quality.Lead_Qual_1", "Practice_Areas.Practice_2", "Prof_Staff_Types.Prof_Level_1", "Channels.Channels_1", DATE(2010,1,1)]|=0.30</t>
  </si>
  <si>
    <t>Tagged_Asset_Salvage_CF</t>
  </si>
  <si>
    <t>(Ranges)'!Prof_Staff_Hrs_Unbilled_Channel_Practice_Areas_Practice_1_Prof_Staff_Types</t>
  </si>
  <si>
    <t>Practice_Dev_Prof_Staff_Count["Practice_Areas.Practice_1", "Prof_Staff_Types.Prof_Level_2", DATE(2010,1,1)]|=0</t>
  </si>
  <si>
    <t>Sales_Lead_Hrs_Conv_pct_Yr["Sales_Lead_Quality.Lead_Qual_1", "Practice_Areas.Practice_2", "Prof_Staff_Types.Prof_Level_2", "Channels.Channels_2", DATE(2011,4,1)]|=T95</t>
  </si>
  <si>
    <t>Sales_Lead_Hrs_Conv_pct_Yr["Sales_Lead_Quality.Lead_Qual_2", "Practice_Areas.Practice_2", "Prof_Staff_Types.Prof_Level_2", "Channels.Channels_2", DATE(2010,6,1)]|=J103</t>
  </si>
  <si>
    <t>Engage!Engage_Gross_Margin_Engagements_Engage_2</t>
  </si>
  <si>
    <t xml:space="preserve">Gross margin percent (gross margin / revenue), segmented by Practice Area, Professional Staff Type, Channel, and time period. This variable is for display only. It segments by Channel first, while variable 'Gross margin %' segments by Practice Area first. </t>
  </si>
  <si>
    <t>Sales_Lead_Hrs_Expire_pct_Yr["Sales_Lead_Quality.Lead_Qual_1", "Practice_Areas.Practice_2", "Prof_Staff_Types.Prof_Level_2", "Channels.Channels_2", DATE(2010,4,1)]|=H112</t>
  </si>
  <si>
    <t>:A:-1:Practice_Dev_Prof_Staff_Hrs</t>
  </si>
  <si>
    <t>Sales_Lead_Hrs_Conv_pct_Yr["Sales_Lead_Quality.Lead_Qual_2", "Practice_Areas.Practice_1", "Prof_Staff_Types.Prof_Level_2", "Channels.Channels_1", DATE(2010,6,1)]|=J98</t>
  </si>
  <si>
    <t>:A:-1:Sup_Staff_Wage_incr_pct</t>
  </si>
  <si>
    <t>Engage!Engage_Cost_Supplies_Engagements_Engage_2_Prof_Staff_Types</t>
  </si>
  <si>
    <t>Initial Value</t>
  </si>
  <si>
    <t>:A:0:G_A_Exp_Ratio</t>
  </si>
  <si>
    <t>Liabilities.Long.Long_Term_Loans</t>
  </si>
  <si>
    <t>Losses carried forward from preivous time periods, for use in computation of income tax expense</t>
  </si>
  <si>
    <t>Book value of stock issued less buy-backs, by time period.
This variable includes a formula that implements a policy for the sale of stock based on cash balances and recent rates of change of cash balances.</t>
  </si>
  <si>
    <t>Office_Space_per_Person[DATE(2010,9,1)]|=M304</t>
  </si>
  <si>
    <t>Sup_Staff_Levels</t>
  </si>
  <si>
    <t>Per_Prof_Staff_Exp_Yr["Prof_Staff_Types.Prof_Level_1", "Empl_Rel_Exp_Type.Travel_Entertain", DATE(2011,3,1)]|=S320</t>
  </si>
  <si>
    <t>Prof_Staff_Bonus_pct*Prof_Staff_Salary_Cost</t>
  </si>
  <si>
    <t>Start Time Period</t>
  </si>
  <si>
    <t>Office_Maint_Rate_Yr[DATE(2010,4,1)]|=H307</t>
  </si>
  <si>
    <t>Prof_Staff_Count_Early["Practice_Areas.Practice_2", "Prof_Staff_Types.Prof_Level_2", DATE(2010,2,1)]|=F187</t>
  </si>
  <si>
    <t>Sales_Lead_Hrs_New["Sales_Lead_Quality.Lead_Qual_1", "Practice_Areas.Practice_1", "Prof_Staff_Types.Prof_Level_1", "Channels.Channels_1", DATE(2010,1,1)]|=2*0-0</t>
  </si>
  <si>
    <t>(Ranges)'!Revenue_Practice_Areas_Practice_1_Prof_Staff_Types_Prof_Level_2_Channels_Channels_2</t>
  </si>
  <si>
    <t>Sales_Lead_Hrs_Conv_pct_Yr["Sales_Lead_Quality.Lead_Qual_1", "Practice_Areas.Practice_2", "Prof_Staff_Types.Prof_Level_2", "Channels.Channels_1", DATE(2010,6,1)]|=J94</t>
  </si>
  <si>
    <t>Number of support staff that turn over each year, segmented by department and job level, by time period</t>
  </si>
  <si>
    <t>Sales_Lead_Hrs_Expire_pct_Yr["Sales_Lead_Quality.Lead_Qual_1", "Practice_Areas.Practice_1", "Prof_Staff_Types.Prof_Level_2", "Channels.Channels_1", DATE(2010,4,1)]|=H107</t>
  </si>
  <si>
    <t>Sales_Lead_Hrs_Conv_pct_Yr["Sales_Lead_Quality.Lead_Qual_1", "Practice_Areas.Practice_1", "Prof_Staff_Types.Prof_Level_1", "Channels.Channels_2", DATE(2011,6,1)]|=V89</t>
  </si>
  <si>
    <t>Building A</t>
  </si>
  <si>
    <t>Accts_Rec_Days[DATE(2010,6,1)]|=J366</t>
  </si>
  <si>
    <t>:A:0:Prof_Staff_Count1</t>
  </si>
  <si>
    <t>Dividend[DATE(2010,1,1)]|=0</t>
  </si>
  <si>
    <t>Cost_Services_Supplies_Hr["Practice_Areas.Practice_2", "Prof_Staff_Types.Prof_Level_2", "Supply_Types.Supply_Type_2", "Channels.Channels_2", DATE(2010,6,1)]|=J176</t>
  </si>
  <si>
    <t>if(Prof_Staff_Count=0, 0, Prof_Staff_Salary_Cost*periods_per("year")/Prof_Staff_Count)</t>
  </si>
  <si>
    <t>ifm(length(ranget(Time, model_date(1, periods_per("year")), model_date(2)-1))&lt;2, " ", if(isnumber(match(0, ranget(Revenue, model_date(1, periods_per("year")), model_date(2)-1), 0)), " ", logest(1, 1, true, ranget(Revenue, model_date(1, periods_per("year")), model_date(2)-1), ranget(Time, model_date(1, periods_per("year")), model_date(2)-1))-1))</t>
  </si>
  <si>
    <t>Practice_Dev_Sup_Staff_Count["Practice_Areas.Practice_1", "Depts.Sales", "Sup_Staff_Levels.Manager", DATE(2010,11,1)]|=O293</t>
  </si>
  <si>
    <t>:A:-1:Tail_Discount_Rate_Yr</t>
  </si>
  <si>
    <t>Discount_Rate_Direct_Yr[DATE(2010,12,1)]|=P348</t>
  </si>
  <si>
    <t>Mktg_Pgms_K</t>
  </si>
  <si>
    <t>Per_Sup_Staff_Exp_Yr["Depts.Marketing", "Empl_Rel_Exp_Type.Supplies", DATE(2011,1,1)]|=Q326</t>
  </si>
  <si>
    <t>Practice Development</t>
  </si>
  <si>
    <t>Inputs!Engage_Hrs_pct_Billed_ET_Engage_Time_Period_4_Engagements_Engage_1_Prof_Staff_Types_Prof_Level_1</t>
  </si>
  <si>
    <t>Sales_Lead_Hrs_Expire_pct_Yr["Sales_Lead_Quality.Lead_Qual_1", "Practice_Areas.Practice_2", "Prof_Staff_Types.Prof_Level_1", "Channels.Channels_2", DATE(2011,6,1)]|=V110</t>
  </si>
  <si>
    <t>:A:0:Revenue_per_Prof_Staff</t>
  </si>
  <si>
    <t>Plot Support'!Orders_Filled_Hrs_Plot_Prof_Staff_Types_Prof_Level_1</t>
  </si>
  <si>
    <t>Sup_Staff_Wage_Avg_Initial_Yr["Sup_Staff_Levels.Manager", "Depts.Sales"]|=80000</t>
  </si>
  <si>
    <t>Marketing department program expenses for early time periods, segmented by program, by time period. The variable 'Mktg Pgms Exp Early Cutover' specifies the last time period in which the data in this variable is used, after which a revenue-driven formula is used to compute marketing program expenses.</t>
  </si>
  <si>
    <t>Accts_Pay_Type.Tax_Pay</t>
  </si>
  <si>
    <t>Subtotal</t>
  </si>
  <si>
    <t>Interest_Rate_Long_Yr[DATE(2010,5,1)]|=I340</t>
  </si>
  <si>
    <t>Prof_Staff_Salary_incr_pct["Prof_Staff_Types.Prof_Level_2", DATE(2011,4,1)]|=T213</t>
  </si>
  <si>
    <t>Sales_Lead_Hrs_New["Sales_Lead_Quality.Lead_Qual_1", "Practice_Areas.Practice_1", "Prof_Staff_Types.Prof_Level_1", "Channels.Channels_2", DATE(2011,3,1)]|=2*S69-R69</t>
  </si>
  <si>
    <t>Turnover % (Yr)</t>
  </si>
  <si>
    <t>(Tables)'!Engage_Hrs_pct_Billed_ET_Engage_Time_Period_1_Engagements_Engage_1_Prof_Staff_Types</t>
  </si>
  <si>
    <t>Cost_Services_Supplies_Hr["Practice_Areas.Practice_1", "Prof_Staff_Types.Prof_Level_2", "Supply_Types.Supply_Type_2", "Channels.Channels_1", DATE(2011,5,1)]|=U167</t>
  </si>
  <si>
    <t>Interest_Rate_Earned_Cash_Yr[DATE(2010,2,1)]|=F341</t>
  </si>
  <si>
    <t>The ratio (expected cash flow for the next year)/(plan cash flow for the next year), in each time period. The probability model assumes that the annual factors act cumulatively, so that a reduction in cash flow in the next year affects all future time periods in the same proportion. This crude model of compounding of probabilities captures the essential fact that past variances from plan are reasonable predictors of future variances for a long time. 
Time periods that involve the highest risk to future success have the lowest expectation factors. For a startup, the early time periods are more complex, because investment and expense cash flows are more certain than early revenue flows.
The factor for the last time period applies to the entire tail cash flow after the end of model time.</t>
  </si>
  <si>
    <t>Cost_Services_Supplies_Hr["Practice_Areas.Practice_2", "Prof_Staff_Types.Prof_Level_1", "Supply_Types.Supply_Type_2", "Channels.Channels_1", DATE(2010,4,1)]|=H171</t>
  </si>
  <si>
    <t>Sup_Staff_Wage_incr_pct["Sup_Staff_Levels.Manager", DATE(2010,2,1)]|=F230</t>
  </si>
  <si>
    <t>:D:2:Sales_Lead_Quality.Lead_Qual_1</t>
  </si>
  <si>
    <t>Engage_Discount_pct["Engagements.Engage_1", DATE(2011,6,1)]|=V148</t>
  </si>
  <si>
    <t>Engage!Engage_Cost_TandE_Engagements_Engage_2_Prof_Staff_Types_Prof_Level_2_Supply_Types_Supply_Type_2</t>
  </si>
  <si>
    <t>:A:0:Sales_Commis_Rate</t>
  </si>
  <si>
    <t>Untagged_Asset_Name</t>
  </si>
  <si>
    <t>Prof_Staff_Count_Early["Practice_Areas.Practice_2", "Prof_Staff_Types.Prof_Level_2", DATE(2010,11,1)]|=O187</t>
  </si>
  <si>
    <t>:D:2:Depts</t>
  </si>
  <si>
    <t>:D:2:OpExpType</t>
  </si>
  <si>
    <t>Engage_Hrs_pct_Billed_ET["Engagements.Engage_2", "Prof_Staff_Types.Prof_Level_2", "Engage_Time.Period_3"]|=1</t>
  </si>
  <si>
    <t>Quick_Ratio</t>
  </si>
  <si>
    <t>Cost_Services_Supplies_Hr["Practice_Areas.Practice_1", "Prof_Staff_Types.Prof_Level_2", "Supply_Types.Supply_Type_1", "Channels.Channels_2", DATE(2010,4,1)]|=H166</t>
  </si>
  <si>
    <t>if(preve(0, Prof_Staff_Hrs_Billed)=0, 0, Prof_Staff_Hrs_Billed/preve(0, Prof_Staff_Hrs_Billed)-1)</t>
  </si>
  <si>
    <t>Engage_Billings-Engage_Cost_Staff-Engage_Cost_Supplies</t>
  </si>
  <si>
    <t>Types of non-labor costs tracked in cost of services</t>
  </si>
  <si>
    <t>Prof_Staff_Billings</t>
  </si>
  <si>
    <t>Annualized employee-related expense per professional staff, segmented by professional staff type, expense type, and by time period</t>
  </si>
  <si>
    <t>Per_Prof_Staff_Exp_Yr["Prof_Staff_Types.Prof_Level_2", "Empl_Rel_Exp_Type.Other", DATE(2011,3,1)]|=S324</t>
  </si>
  <si>
    <t>Cost_Services_Supplies_Hr["Practice_Areas.Practice_2", "Prof_Staff_Types.Prof_Level_1", "Supply_Types.Supply_Type_2", "Channels.Channels_1", DATE(2010,3,1)]|=G171</t>
  </si>
  <si>
    <t>Engage_Discount_pct["Engagements.Engage_2", DATE(2011,1,1)]|=Q149</t>
  </si>
  <si>
    <t>Practice_Dev_pct_Capd["Practice_Areas.Practice_1", DATE(2010,10,1)]|=N395</t>
  </si>
  <si>
    <t>Sales_Lead_Hrs_New["Sales_Lead_Quality.Lead_Qual_2", "Practice_Areas.Practice_1", "Prof_Staff_Types.Prof_Level_2", "Channels.Channels_1", DATE(2011,1,1)]|=2*Q78-P78</t>
  </si>
  <si>
    <t>Cost_Services_TandE_Hr["Practice_Areas.Practice_1", "Prof_Staff_Types.Prof_Level_1", "Channels.Channels_2", DATE(2010,6,1)]|=J154</t>
  </si>
  <si>
    <t>Accts_Pay_Type</t>
  </si>
  <si>
    <t>Inputs!Engage_Hrs_pct_Billed_ET_Engage_Time_Period_1_Engagements_Engage_1_Prof_Staff_Types_Prof_Level_2</t>
  </si>
  <si>
    <t>:A:0:Cash_Flow_Expect_Factor</t>
  </si>
  <si>
    <t>:D:0:Equity.RetainedEarnings</t>
  </si>
  <si>
    <t>Cash_Flow_Expect_Factor[DATE(2011,1,1)]|=Q439</t>
  </si>
  <si>
    <t>Sales_Lead_Hrs_Conv_pct_Yr["Sales_Lead_Quality.Lead_Qual_2", "Practice_Areas.Practice_2", "Prof_Staff_Types.Prof_Level_1", "Channels.Channels_2", DATE(2011,4,1)]|=T101</t>
  </si>
  <si>
    <t>Prof_Staff_Count_Early["Practice_Areas.Practice_1", "Prof_Staff_Types.Prof_Level_1", DATE(2010,7,1)]|=K184</t>
  </si>
  <si>
    <t>Prof_Staff_Count_Early["Practice_Areas.Practice_2", "Prof_Staff_Types.Prof_Level_2", DATE(2011,4,1)]|=T187</t>
  </si>
  <si>
    <t>Equity.PaidinCap</t>
  </si>
  <si>
    <t>:D:0:Dir_Cost_Types.Direct_Labor</t>
  </si>
  <si>
    <t>Sales_Lead_Hrs_New["Sales_Lead_Quality.Lead_Qual_2", "Practice_Areas.Practice_1", "Prof_Staff_Types.Prof_Level_1", "Channels.Channels_2", DATE(2010,3,1)]|=2*G77-F77</t>
  </si>
  <si>
    <t>Per_Sup_Staff_Exp_Yr</t>
  </si>
  <si>
    <t>Prof_Staff_Hrs_Billed_RoundQ[]|=False</t>
  </si>
  <si>
    <t>Sales_Lead_Hrs_New["Sales_Lead_Quality.Lead_Qual_1", "Practice_Areas.Practice_1", "Prof_Staff_Types.Prof_Level_2", "Channels.Channels_1", DATE(2011,1,1)]|=2*Q70-P70</t>
  </si>
  <si>
    <t>Orders_Filled_Hrs_pct["Practice_Areas.Practice_1", "Prof_Staff_Types.Prof_Level_1", "Channels.Channels_1", DATE(2010,2,1)]|=F122</t>
  </si>
  <si>
    <t>Untagged_Asset_Purch+Tagged_Asset_Purch</t>
  </si>
  <si>
    <t>Per_Prof_Staff_Exp_Yr["Prof_Staff_Types.Prof_Level_1", "Empl_Rel_Exp_Type.Supplies", DATE(2010,5,1)]|=I319</t>
  </si>
  <si>
    <t>Engage_Hrs_pct_Billed_ET["Engagements.Engage_2", "Prof_Staff_Types.Prof_Level_2", "Engage_Time.Period_4"]|=1</t>
  </si>
  <si>
    <t>Sales_Lead_Hrs_Expire_pct_Yr["Sales_Lead_Quality.Lead_Qual_1", "Practice_Areas.Practice_2", "Prof_Staff_Types.Prof_Level_2", "Channels.Channels_2", DATE(2010,1,1)]|=0.30</t>
  </si>
  <si>
    <t>Cost_Services_Supplies_Hr["Practice_Areas.Practice_2", "Prof_Staff_Types.Prof_Level_2", "Supply_Types.Supply_Type_1", "Channels.Channels_1", DATE(2011,5,1)]|=U173</t>
  </si>
  <si>
    <t xml:space="preserve">Gross margin amount, segmented by Practice Area, Professional Staff Type, Channel, and time period. Unapplied professional staff time is deducted along with billed hours. This variable is for display only. It segments by Channel first, while variable 'Gross margin' segments by Practice Area first. </t>
  </si>
  <si>
    <t>Interest_Rate_Long_Yr[DATE(2010,3,1)]|=G340</t>
  </si>
  <si>
    <t>Sales_Lead_Hrs_Expire_pct_Yr["Sales_Lead_Quality.Lead_Qual_1", "Practice_Areas.Practice_1", "Prof_Staff_Types.Prof_Level_2", "Channels.Channels_2", DATE(2011,6,1)]|=V108</t>
  </si>
  <si>
    <t>Prof Level 2</t>
  </si>
  <si>
    <t>Cost_Services_TandE_Hr["Practice_Areas.Practice_2", "Prof_Staff_Types.Prof_Level_2", "Channels.Channels_2", DATE(2010,4,1)]|=H160</t>
  </si>
  <si>
    <t>Period 2</t>
  </si>
  <si>
    <t>Engage!Engage_Billings_Engagements_Engage_2</t>
  </si>
  <si>
    <t>Engage!Engage_Cost_TandE_Engagements_Engage_2</t>
  </si>
  <si>
    <t>:A:-1:Engage_Billings</t>
  </si>
  <si>
    <t>Prof_Fee_Discount_pct["Practice_Areas.Practice_2", "Prof_Staff_Types.Prof_Level_1", DATE(2010,3,1)]|=G145</t>
  </si>
  <si>
    <t>Sup_Staff_Count_Early["Depts.Marketing", "Sup_Staff_Levels.Manager", DATE(2010,3,1)]|=G197</t>
  </si>
  <si>
    <t xml:space="preserve">Professional staff cost/hour at capacity. Segmented by Practice Area, Professional Staff Type, and time period. Includes benefits, payroll taxes, and general rates of pay increase. </t>
  </si>
  <si>
    <t>Untagged Asset Deprec</t>
  </si>
  <si>
    <t>:A:0:Prof_Staff_Cost</t>
  </si>
  <si>
    <t>Untagged_Asset_Deprec</t>
  </si>
  <si>
    <t>Sales_Lead_Hrs_Expire_pct_Yr["Sales_Lead_Quality.Lead_Qual_1", "Practice_Areas.Practice_2", "Prof_Staff_Types.Prof_Level_1", "Channels.Channels_1", DATE(2011,1,1)]|=Q109</t>
  </si>
  <si>
    <t>:A:0:Cash_Flow_Expect_Fut</t>
  </si>
  <si>
    <t xml:space="preserve">  Practice_2</t>
  </si>
  <si>
    <t>Practice_Dev_pct_Capd["Practice_Areas.Practice_2", DATE(2011,4,1)]|=T396</t>
  </si>
  <si>
    <t>Price Book Multiple</t>
  </si>
  <si>
    <t>Accts_Rec_Days[DATE(2011,2,1)]|=R366</t>
  </si>
  <si>
    <t>Prof_Staff_Bonus_pct["Practice_Areas.Practice_2", "Prof_Staff_Types.Prof_Level_1", DATE(2011,3,1)]|=S217</t>
  </si>
  <si>
    <t>Chg Supplies Inventory</t>
  </si>
  <si>
    <t>:A:0:Sup_Staff_Count_Cutover</t>
  </si>
  <si>
    <t>Plot Support'!Prof_Staff_Hrs_Capacity_Plot_Prof_Staff_Types</t>
  </si>
  <si>
    <t>:A:-1:Engage_Cost_Supplies</t>
  </si>
  <si>
    <t>Prof_Fee_Discount_pct["Practice_Areas.Practice_1", "Prof_Staff_Types.Prof_Level_1", DATE(2010,12,1)]|=P143</t>
  </si>
  <si>
    <t>:A:-1:Engage_Channel</t>
  </si>
  <si>
    <t>Chg Accts Pay</t>
  </si>
  <si>
    <t>:A:0:Prof_Fee_Discount_pct</t>
  </si>
  <si>
    <t>Prof_Fees_per_Hr_Nominal["Practice_Areas.Practice_1", "Prof_Staff_Types.Prof_Level_2", DATE(2010,2,1)]|=F139</t>
  </si>
  <si>
    <t>:D:0:Depts.Sales</t>
  </si>
  <si>
    <t>Sup_Staff_Bonus_pct["Depts.Sales", "Sup_Staff_Levels.Contributor", DATE(2010,4,1)]|=H236</t>
  </si>
  <si>
    <t>Prof_Staff_Targ_Util_pct["Practice_Areas.Practice_1", "Prof_Staff_Types.Prof_Level_1", DATE(2011,4,1)]|=T189</t>
  </si>
  <si>
    <t>Prof Staff Cost</t>
  </si>
  <si>
    <t>Prof_Staff_Salary_incr_pct["Prof_Staff_Types.Prof_Level_1", DATE(2011,4,1)]|=T212</t>
  </si>
  <si>
    <t>Sales_Lead_Hrs_Expire_pct_Yr["Sales_Lead_Quality.Lead_Qual_2", "Practice_Areas.Practice_2", "Prof_Staff_Types.Prof_Level_2", "Channels.Channels_2", DATE(2010,6,1)]|=J120</t>
  </si>
  <si>
    <t>Mktg_Pgms_Exp_Early["Mktg_Pgms.Seminars", "Practice_Areas.Practice_1", DATE(2010,2,1)]|=F276</t>
  </si>
  <si>
    <t>Cost_Services_TandE_Hr["Practice_Areas.Practice_2", "Prof_Staff_Types.Prof_Level_1", "Channels.Channels_1", DATE(2011,6,1)]|=V157</t>
  </si>
  <si>
    <t>Orders_Filled_Hrs_pct["Practice_Areas.Practice_2", "Prof_Staff_Types.Prof_Level_2", "Channels.Channels_1", DATE(2010,6,1)]|=J128</t>
  </si>
  <si>
    <t>Prof_Staff_Benefits_pct["Prof_Staff_Types.Prof_Level_1", DATE(2011,6,1)]|=V220</t>
  </si>
  <si>
    <t>Engage Time1</t>
  </si>
  <si>
    <t>:A:0:Recruit_pct_Positions_Sup</t>
  </si>
  <si>
    <t>Sales_Lead_Hrs_Expire_pct_Yr["Sales_Lead_Quality.Lead_Qual_2", "Practice_Areas.Practice_1", "Prof_Staff_Types.Prof_Level_1", "Channels.Channels_1", DATE(2010,4,1)]|=H113</t>
  </si>
  <si>
    <t>:A:-1:Operating_Margin</t>
  </si>
  <si>
    <t>Accts_Pay_Targ_Days["Accts_Pay_Type.Tax_Pay", DATE(2010,7,1)]|=L412</t>
  </si>
  <si>
    <t>Office_Maint_Rate_Yr[DATE(2010,10,1)]|=N307</t>
  </si>
  <si>
    <t>Engage!Orders_Filled_Practice_Areas_Practice_2_Prof_Staff_Types</t>
  </si>
  <si>
    <t>Sales_Lead_Hrs_New["Sales_Lead_Quality.Lead_Qual_2", "Practice_Areas.Practice_1", "Prof_Staff_Types.Prof_Level_1", "Channels.Channels_2", DATE(2011,4,1)]|=2*T77-S77</t>
  </si>
  <si>
    <t>Prof_Fees_per_Hr_Nominal["Practice_Areas.Practice_1", "Prof_Staff_Types.Prof_Level_2", DATE(2010,4,1)]|=H139</t>
  </si>
  <si>
    <t>Orders_Filled_Hrs_pct["Practice_Areas.Practice_1", "Prof_Staff_Types.Prof_Level_1", "Channels.Channels_1", DATE(2011,4,1)]|=T122</t>
  </si>
  <si>
    <t>prevde(prevde(0, "Prof_Staff_Types"), "Channels")</t>
  </si>
  <si>
    <t>Orders_Filled_Hrs_pct["Practice_Areas.Practice_2", "Prof_Staff_Types.Prof_Level_1", "Channels.Channels_1", DATE(2010,5,1)]|=I126</t>
  </si>
  <si>
    <t>Cost_Services_Supplies_Hr["Practice_Areas.Practice_1", "Prof_Staff_Types.Prof_Level_2", "Supply_Types.Supply_Type_2", "Channels.Channels_2", DATE(2010,8,1)]|=L168</t>
  </si>
  <si>
    <t>Sales_Lead_Hrs_New["Sales_Lead_Quality.Lead_Qual_1", "Practice_Areas.Practice_2", "Prof_Staff_Types.Prof_Level_2", "Channels.Channels_1", DATE(2011,5,1)]|=2*U74-T74</t>
  </si>
  <si>
    <t>Sales_Lead_Hrs_Expire_pct_Yr["Sales_Lead_Quality.Lead_Qual_2", "Practice_Areas.Practice_1", "Prof_Staff_Types.Prof_Level_1", "Channels.Channels_2", DATE(2010,6,1)]|=J114</t>
  </si>
  <si>
    <t>Sales_Lead_Hrs_Expire_pct_Yr["Sales_Lead_Quality.Lead_Qual_1", "Practice_Areas.Practice_2", "Prof_Staff_Types.Prof_Level_2", "Channels.Channels_2", DATE(2010,12,1)]|=P112</t>
  </si>
  <si>
    <t>Sales_Lead_Hrs_New["Sales_Lead_Quality.Lead_Qual_1", "Practice_Areas.Practice_1", "Prof_Staff_Types.Prof_Level_2", "Channels.Channels_2", DATE(2011,5,1)]|=2*U71-T71</t>
  </si>
  <si>
    <t>Prof_Staff_Turnover_pct_Yr/periods_per("year")*Prof_Staff_Count</t>
  </si>
  <si>
    <t>Sup_Staff_Bonus_pct["Depts.Sales", "Sup_Staff_Levels.Manager", DATE(2011,2,1)]|=R235</t>
  </si>
  <si>
    <t>:D:2:Practice_Areas</t>
  </si>
  <si>
    <t>Prof_Staff_Bonus_pct["Practice_Areas.Practice_1", "Prof_Staff_Types.Prof_Level_1", DATE(2010,6,1)]|=J215</t>
  </si>
  <si>
    <t>Per_Sup_Staff_Exp_Yr["Depts.Sales", "Empl_Rel_Exp_Type.Travel_Entertain", DATE(2010,12,1)]|=P330</t>
  </si>
  <si>
    <t>:A:-1:Sup_Staff_Bonus</t>
  </si>
  <si>
    <t>Sup_Staff_Benefits_pct[DATE(2010,2,1)]|=F238</t>
  </si>
  <si>
    <t>Cost_Services_Supplies_Hr["Practice_Areas.Practice_1", "Prof_Staff_Types.Prof_Level_1", "Supply_Types.Supply_Type_2", "Channels.Channels_1", DATE(2010,8,1)]|=L163</t>
  </si>
  <si>
    <t>Assets.Short.Inventory</t>
  </si>
  <si>
    <t>Tagged_Asset_Init_Value["Asset_Tags.Building_A"]|=0/2</t>
  </si>
  <si>
    <t>Mktg_Pgms_Exp_Early["Mktg_Pgms.Seminars", "Practice_Areas.Practice_1", DATE(2011,5,1)]|=U276</t>
  </si>
  <si>
    <t>Support Staff Expense</t>
  </si>
  <si>
    <t>Sales_Lead_Hrs_Expire_pct_Yr["Sales_Lead_Quality.Lead_Qual_2", "Practice_Areas.Practice_2", "Prof_Staff_Types.Prof_Level_2", "Channels.Channels_2", DATE(2010,3,1)]|=G120</t>
  </si>
  <si>
    <t>Sup_Staff_Wage_incr_pct["Sup_Staff_Levels.Contributor", DATE(2011,3,1)]|=S231</t>
  </si>
  <si>
    <t>Engage_Labor_pct["Engagements.Engage_1", "Prof_Staff_Types.Prof_Level_2"]|=1/max(1, 2)</t>
  </si>
  <si>
    <t>Orders_Filled_Hrs_pct["Practice_Areas.Practice_1", "Prof_Staff_Types.Prof_Level_1", "Channels.Channels_2", DATE(2010,5,1)]|=I123</t>
  </si>
  <si>
    <t>Total recruiting expense for professional and support staffs. Recruiting expense for support staff is treated as a G&amp;A operating expense in the respective departments. Recruiting expense for professional staff is treated as a G&amp;A operating expense in the Admin department.</t>
  </si>
  <si>
    <t>:A:-1:Cost_Services_Staff_Channel</t>
  </si>
  <si>
    <t>The professional staff hours actually billed for major Engagments, segmented by Engagement, by Professional Staff Type, and by engagement time period. This variable does not include optional rounding.</t>
  </si>
  <si>
    <t>(Tables)'!Engage_Hrs_pct_Billed_ET_Engage_Time_Period_4_Engagements_Engage_1_Prof_Staff_Types</t>
  </si>
  <si>
    <t>Engage!Orders_Filled_Practice_Areas_Practice_1_Prof_Staff_Types</t>
  </si>
  <si>
    <t>:A:-1:Interest_Rate_Long_Yr</t>
  </si>
  <si>
    <t>Cost_Services_TandE_Hr["Practice_Areas.Practice_2", "Prof_Staff_Types.Prof_Level_1", "Channels.Channels_1", DATE(2010,6,1)]|=J157</t>
  </si>
  <si>
    <t>Per Old Prof Staff</t>
  </si>
  <si>
    <t>:A:0:Per_Sup_Staff_Exp_Yr</t>
  </si>
  <si>
    <t>Long_Loans[DATE(2010,7,1)]|=L421</t>
  </si>
  <si>
    <t>Sales_Lead_Hrs_Expire_pct_Yr["Sales_Lead_Quality.Lead_Qual_1", "Practice_Areas.Practice_1", "Prof_Staff_Types.Prof_Level_1", "Channels.Channels_1", DATE(2010,7,1)]|=K105</t>
  </si>
  <si>
    <t>Interest_Rate_Long_Yr[DATE(2010,2,1)]|=F340</t>
  </si>
  <si>
    <t>Accts_Pay_Targ_Days["Accts_Pay_Type.Tax_Pay", DATE(2010,6,1)]|=K412</t>
  </si>
  <si>
    <t>Orders_Filled_Hrs_pct["Practice_Areas.Practice_1", "Prof_Staff_Types.Prof_Level_2", "Channels.Channels_2", DATE(2010,6,1)]|=J125</t>
  </si>
  <si>
    <t>Per_Sup_Staff_Exp_Yr["Depts.Sales", "Empl_Rel_Exp_Type.Other", DATE(2011,4,1)]|=T331</t>
  </si>
  <si>
    <t>Sales_Lead_Hrs_Conv_pct_Yr["Sales_Lead_Quality.Lead_Qual_1", "Practice_Areas.Practice_2", "Prof_Staff_Types.Prof_Level_2", "Channels.Channels_1", DATE(2011,6,1)]|=V94</t>
  </si>
  <si>
    <t>(Compute)'!Orders_Filled_Time_Period</t>
  </si>
  <si>
    <t>Area 1</t>
  </si>
  <si>
    <t>Untagged_Asset_Purch_Params</t>
  </si>
  <si>
    <t>Recruit_Exp_pct_Comp_Sup["Depts.Marketing", "Sup_Staff_Levels.Manager"]|=0</t>
  </si>
  <si>
    <t>Prof_Staff_Salary_incr_pct["Prof_Staff_Types.Prof_Level_1", DATE(2010,10,1)]|=N212</t>
  </si>
  <si>
    <t>Orders_Filled_Hrs_pct["Practice_Areas.Practice_2", "Prof_Staff_Types.Prof_Level_2", "Channels.Channels_1", DATE(2011,6,1)]|=V128</t>
  </si>
  <si>
    <t>New Sales Leads (Hrs)</t>
  </si>
  <si>
    <t>Cost_Services_TandE_Hr["Practice_Areas.Practice_2", "Prof_Staff_Types.Prof_Level_2", "Channels.Channels_2", DATE(2010,9,1)]|=M160</t>
  </si>
  <si>
    <t>Cost_Services_Supplies_Hr["Practice_Areas.Practice_1", "Prof_Staff_Types.Prof_Level_2", "Supply_Types.Supply_Type_2", "Channels.Channels_1", DATE(2010,6,1)]|=J167</t>
  </si>
  <si>
    <t>Sales_Commis_Rate[DATE(2010,5,1)]|=I246</t>
  </si>
  <si>
    <t>Mktg_Pgms_Exp_Early["Mktg_Pgms.Seminars", "Practice_Areas.Practice_2", DATE(2010,11,1)]|=O277</t>
  </si>
  <si>
    <t>Sales_Lead_Hrs_Expire_pct</t>
  </si>
  <si>
    <t>:A:0:Prof_Staff_Targ_Util_pct</t>
  </si>
  <si>
    <t>Office_Rent_Rate_Yr[DATE(2011,2,1)]|=R305</t>
  </si>
  <si>
    <t>Sales_Lead_Hrs_Expire_pct_Yr["Sales_Lead_Quality.Lead_Qual_1", "Practice_Areas.Practice_1", "Prof_Staff_Types.Prof_Level_2", "Channels.Channels_1", DATE(2011,5,1)]|=U107</t>
  </si>
  <si>
    <t>Cost_Services_TandE_Hr["Practice_Areas.Practice_1", "Prof_Staff_Types.Prof_Level_2", "Channels.Channels_1", DATE(2010,2,1)]|=F155</t>
  </si>
  <si>
    <t>Interest_Rate_Earned_Cash_Yr[DATE(2010,10,1)]|=N341</t>
  </si>
  <si>
    <t>(Ranges)'!Operating_Exp_Depts_Sales</t>
  </si>
  <si>
    <t>(Compute)'!Engage_Gross_Margin_pct_Time_Period</t>
  </si>
  <si>
    <t>(Ranges)'!Revenue_Practice_Areas_Practice_2_Prof_Staff_Types_Prof_Level_1</t>
  </si>
  <si>
    <t>Cost_Services_Supplies_Hr["Practice_Areas.Practice_2", "Prof_Staff_Types.Prof_Level_1", "Supply_Types.Supply_Type_1", "Channels.Channels_1", DATE(2011,1,1)]|=Q169</t>
  </si>
  <si>
    <t>(Compute)'!Engage_Hrs_Billed_Date</t>
  </si>
  <si>
    <t>Sales_Lead_Hrs_New["Sales_Lead_Quality.Lead_Qual_1", "Practice_Areas.Practice_1", "Prof_Staff_Types.Prof_Level_1", "Channels.Channels_1", DATE(2010,7,1)]|=2*K68-J68</t>
  </si>
  <si>
    <t>Operating Cash Flow</t>
  </si>
  <si>
    <t>Cost_Services_Supplies_Hr["Practice_Areas.Practice_1", "Prof_Staff_Types.Prof_Level_1", "Supply_Types.Supply_Type_2", "Channels.Channels_1", DATE(2010,11,1)]|=O163</t>
  </si>
  <si>
    <t>Prof_Fee_Discount_pct["Practice_Areas.Practice_2", "Prof_Staff_Types.Prof_Level_1", DATE(2010,9,1)]|=M145</t>
  </si>
  <si>
    <t>Liabilities.Short.ShortDebt</t>
  </si>
  <si>
    <t>Practice_Dev_Sup_Staff_Count["Practice_Areas.Practice_2", "Depts.Marketing", "Sup_Staff_Levels.Contributor", DATE(2011,4,1)]|=T296</t>
  </si>
  <si>
    <t>Sup_Staff_Count_Early["Depts.Sales", "Sup_Staff_Levels.Contributor", DATE(2010,3,1)]|=G200</t>
  </si>
  <si>
    <t>Sales_Lead_Hrs_New["Sales_Lead_Quality.Lead_Qual_2", "Practice_Areas.Practice_2", "Prof_Staff_Types.Prof_Level_2", "Channels.Channels_2", DATE(2010,2,1)]|=2*F83-F83</t>
  </si>
  <si>
    <t>Orders_Filled_Hrs_pct["Practice_Areas.Practice_2", "Prof_Staff_Types.Prof_Level_1", "Channels.Channels_1", DATE(2011,5,1)]|=U126</t>
  </si>
  <si>
    <t>Taxable_Income</t>
  </si>
  <si>
    <t>Sup Staff Levels</t>
  </si>
  <si>
    <t>Sales_Lead_Hrs_Conv_pct_Yr["Sales_Lead_Quality.Lead_Qual_2", "Practice_Areas.Practice_1", "Prof_Staff_Types.Prof_Level_1", "Channels.Channels_2", DATE(2010,6,1)]|=J97</t>
  </si>
  <si>
    <t>Office_Rent_Rate_Yr[DATE(2010,6,1)]|=J305</t>
  </si>
  <si>
    <t>Prof_Staff_Bonus_pct["Practice_Areas.Practice_2", "Prof_Staff_Types.Prof_Level_1", DATE(2011,2,1)]|=R217</t>
  </si>
  <si>
    <t>Sales_Lead_Hrs_Expire_pct_Yr["Sales_Lead_Quality.Lead_Qual_2", "Practice_Areas.Practice_2", "Prof_Staff_Types.Prof_Level_2", "Channels.Channels_2", DATE(2010,11,1)]|=O120</t>
  </si>
  <si>
    <t>Mktg_Pgms_Exp_Early["Mktg_Pgms.Publications", "Practice_Areas.Practice_1", DATE(2011,5,1)]|=U278</t>
  </si>
  <si>
    <t>:A:0:Untagged_Asset_Purch_Params</t>
  </si>
  <si>
    <t>Sales_Lead_Hrs_Conv_pct_Yr["Sales_Lead_Quality.Lead_Qual_2", "Practice_Areas.Practice_1", "Prof_Staff_Types.Prof_Level_1", "Channels.Channels_1", DATE(2010,10,1)]|=N96</t>
  </si>
  <si>
    <t>:A:-1:Revenue_Channel</t>
  </si>
  <si>
    <t>:A:0:Prof_Staff_Hrs_Billed_Growth</t>
  </si>
  <si>
    <t>Practice_Dev_pct_Capd["Practice_Areas.Practice_1", DATE(2011,1,1)]|=Q395</t>
  </si>
  <si>
    <t>Support Staff Count1</t>
  </si>
  <si>
    <t>Professional Staff Salary (Yr)</t>
  </si>
  <si>
    <t>Return_on_Sales_pct</t>
  </si>
  <si>
    <t>:A:-1:Prof_Staff_Hrs_Applied</t>
  </si>
  <si>
    <t>Sales_Lead_Hrs_Expire_pct_Yr["Sales_Lead_Quality.Lead_Qual_2", "Practice_Areas.Practice_1", "Prof_Staff_Types.Prof_Level_2", "Channels.Channels_2", DATE(2010,3,1)]|=G116</t>
  </si>
  <si>
    <t>Prof_Staff_Salary_Avg_Yr</t>
  </si>
  <si>
    <t>(Ranges)'!Gross_Margin_Practice_Areas_Practice_1_Prof_Staff_Types_Prof_Level_2_Channels_Channels_1</t>
  </si>
  <si>
    <t>Prof_Staff_Bonus_pct["Practice_Areas.Practice_1", "Prof_Staff_Types.Prof_Level_2", DATE(2010,4,1)]|=H216</t>
  </si>
  <si>
    <t>(Compute)'!Engage_Rev_Nominal_Fees_Date</t>
  </si>
  <si>
    <t>Operating_Exp["Depts", "OpExpType"]/Revenue</t>
  </si>
  <si>
    <t>Sales_Lead_Hrs_Expire_pct_Yr["Sales_Lead_Quality.Lead_Qual_1", "Practice_Areas.Practice_1", "Prof_Staff_Types.Prof_Level_2", "Channels.Channels_2", DATE(2011,4,1)]|=T108</t>
  </si>
  <si>
    <t>Sales_Lead_Hrs_New["Sales_Lead_Quality.Lead_Qual_1", "Practice_Areas.Practice_1", "Prof_Staff_Types.Prof_Level_1", "Channels.Channels_1", DATE(2010,3,1)]|=2*G68-F68</t>
  </si>
  <si>
    <t>:A:0:Engage_Hrs_Applied</t>
  </si>
  <si>
    <t>Time Periods</t>
  </si>
  <si>
    <t>Office_Rent_Rate_Yr[DATE(2010,11,1)]|=O305</t>
  </si>
  <si>
    <t>Inputs!Engage_Hrs_pct_Billed_ET_Engage_Time_Period_2_Engagements_Engage_2_Prof_Staff_Types_Prof_Level_2</t>
  </si>
  <si>
    <t>Practice_Dev_Sup_Staff_Count["Practice_Areas.Practice_1", "Depts.Sales", "Sup_Staff_Levels.Contributor", DATE(2010,12,1)]|=P294</t>
  </si>
  <si>
    <t>Prof_Staff_Turnover</t>
  </si>
  <si>
    <t>:A:0:Sup_Staff_Wage_incr_period_pct</t>
  </si>
  <si>
    <t>Orders_Filled_Hrs_pct["Practice_Areas.Practice_2", "Prof_Staff_Types.Prof_Level_2", "Channels.Channels_2", DATE(2010,9,1)]|=M129</t>
  </si>
  <si>
    <t>Practice_Dev_Sup_Staff_Count["Practice_Areas.Practice_2", "Depts.Sales", "Sup_Staff_Levels.Manager", DATE(2010,1,1)]|=0</t>
  </si>
  <si>
    <t>Cost_Services</t>
  </si>
  <si>
    <t>Sup_Staff_Bonus_pct["Depts.Sales", "Sup_Staff_Levels.Manager", DATE(2011,4,1)]|=T235</t>
  </si>
  <si>
    <t>Professional Staff Count1</t>
  </si>
  <si>
    <t>Order_Backlog_Hrs_Init["Practice_Areas.Practice_1", "Prof_Staff_Types.Prof_Level_1", "Channels.Channels_2"]|=M55</t>
  </si>
  <si>
    <t>:A:0:Prof_Staff_Salary_Avg_Yr</t>
  </si>
  <si>
    <t xml:space="preserve">  Direct_Supplies</t>
  </si>
  <si>
    <t>Prof_Fees_per_Hr_Nominal["Practice_Areas.Practice_1", "Prof_Staff_Types.Prof_Level_1", DATE(2011,5,1)]|=U138</t>
  </si>
  <si>
    <t>Per_Sup_Staff_Exp_Yr["Depts.Marketing", "Empl_Rel_Exp_Type.Supplies", DATE(2010,10,1)]|=N326</t>
  </si>
  <si>
    <t>Tail_Discount_Rate</t>
  </si>
  <si>
    <t>(Tables)'!Engage_Gross_Margin_pct_Engagements_Engage_1_Prof_Staff_Types_Prof_Level_1</t>
  </si>
  <si>
    <t>Sup_Staff_Wage_incr_pct["Sup_Staff_Levels.Manager", DATE(2010,12,1)]|=P230</t>
  </si>
  <si>
    <t>Sales_Lead_Hrs_Expire_pct_Yr["Sales_Lead_Quality.Lead_Qual_1", "Practice_Areas.Practice_1", "Prof_Staff_Types.Prof_Level_1", "Channels.Channels_2", DATE(2010,2,1)]|=F106</t>
  </si>
  <si>
    <t>:A:0:Practice_Dev_Sup_Spend</t>
  </si>
  <si>
    <t>Prof Staff Targ Hrs/ HC (Yr)</t>
  </si>
  <si>
    <t>Valuation_Equity</t>
  </si>
  <si>
    <t>Lead Qual 1</t>
  </si>
  <si>
    <t>Sales_Lead_Hrs_New["Sales_Lead_Quality.Lead_Qual_2", "Practice_Areas.Practice_1", "Prof_Staff_Types.Prof_Level_2", "Channels.Channels_2", DATE(2010,6,1)]|=2*J79-I79</t>
  </si>
  <si>
    <t>Wage_Tax_pct[DATE(2011,1,1)]|=Q244</t>
  </si>
  <si>
    <t>Discount_Rate_Direct_Yr[DATE(2010,1,1)]|=0</t>
  </si>
  <si>
    <t>Cost_Services_Supplies_Hr["Practice_Areas.Practice_2", "Prof_Staff_Types.Prof_Level_1", "Supply_Types.Supply_Type_1", "Channels.Channels_2", DATE(2011,2,1)]|=R170</t>
  </si>
  <si>
    <t>1/max(1, diminfo("Prof_Staff_Types.", 6))</t>
  </si>
  <si>
    <t>Sales_Lead_Hrs_New["Sales_Lead_Quality.Lead_Qual_1", "Practice_Areas.Practice_2", "Prof_Staff_Types.Prof_Level_2", "Channels.Channels_2", DATE(2011,1,1)]|=2*Q75-P75</t>
  </si>
  <si>
    <t>Per_Prof_Staff_Exp_Yr["Prof_Staff_Types.Prof_Level_1", "Empl_Rel_Exp_Type.Other", DATE(2011,5,1)]|=U321</t>
  </si>
  <si>
    <t>Per_Prof_Staff_Exp_Yr["Prof_Staff_Types.Prof_Level_2", "Empl_Rel_Exp_Type.Other", DATE(2010,11,1)]|=O324</t>
  </si>
  <si>
    <t>Cost_Services_Supplies_Hr["Practice_Areas.Practice_1", "Prof_Staff_Types.Prof_Level_2", "Supply_Types.Supply_Type_1", "Channels.Channels_1", DATE(2010,1,1)]|=0</t>
  </si>
  <si>
    <t>if(Equity=0, 0, Valuation_Equity/Equity)</t>
  </si>
  <si>
    <t>round(periods_per("year")/2, 0)</t>
  </si>
  <si>
    <t>:D:0:OpExpType.Programs</t>
  </si>
  <si>
    <t>Short_Debt[DATE(2010,1,1)]|=max(0, '(Compute)'!C31-'(Tables)'!C1367)</t>
  </si>
  <si>
    <t>:A:-1:Long_Asset_Purch</t>
  </si>
  <si>
    <t>Bad_Debt_pct[DATE(2011,1,1)]|=Q342</t>
  </si>
  <si>
    <t>Mktg_Pgms_Exp_Early["Mktg_Pgms.Seminars", "Practice_Areas.Practice_1", DATE(2011,4,1)]|=T276</t>
  </si>
  <si>
    <t>(Compute)'!Gross_Margin_Time_Period</t>
  </si>
  <si>
    <t>Sales_Lead_Hrs_Expire_pct_Yr["Sales_Lead_Quality.Lead_Qual_2", "Practice_Areas.Practice_2", "Prof_Staff_Types.Prof_Level_1", "Channels.Channels_2", DATE(2011,3,1)]|=S118</t>
  </si>
  <si>
    <t>Sales_Lead_Hrs_New["Sales_Lead_Quality.Lead_Qual_1", "Practice_Areas.Practice_2", "Prof_Staff_Types.Prof_Level_1", "Channels.Channels_2", DATE(2010,9,1)]|=2*M73-L73</t>
  </si>
  <si>
    <t>Sales_Lead_Hrs_Conv_pct_Yr["Sales_Lead_Quality.Lead_Qual_1", "Practice_Areas.Practice_2", "Prof_Staff_Types.Prof_Level_1", "Channels.Channels_2", DATE(2011,2,1)]|=R93</t>
  </si>
  <si>
    <t>Sales Commis Rev Share</t>
  </si>
  <si>
    <t>Cost_Services_TandE_Hr["Practice_Areas.Practice_2", "Prof_Staff_Types.Prof_Level_1", "Channels.Channels_1", DATE(2010,11,1)]|=O157</t>
  </si>
  <si>
    <t>:A:0:Sup_Staff_Bonus_pct</t>
  </si>
  <si>
    <t>Inputs!Engage_Hrs_Applied_ET_Engage_Time_Period_3_Engagements_Engage_1_Prof_Staff_Types_Prof_Level_1</t>
  </si>
  <si>
    <t>Sales_Lead_Hrs_New["Sales_Lead_Quality.Lead_Qual_2", "Practice_Areas.Practice_1", "Prof_Staff_Types.Prof_Level_1", "Channels.Channels_1", DATE(2010,8,1)]|=2*L76-K76</t>
  </si>
  <si>
    <t>Cost_Services_Supplies_Hr["Practice_Areas.Practice_2", "Prof_Staff_Types.Prof_Level_2", "Supply_Types.Supply_Type_2", "Channels.Channels_1", DATE(2010,9,1)]|=M175</t>
  </si>
  <si>
    <t>Cost_Services_Supplies_Hr["Practice_Areas.Practice_1", "Prof_Staff_Types.Prof_Level_1", "Supply_Types.Supply_Type_1", "Channels.Channels_2", DATE(2010,5,1)]|=I162</t>
  </si>
  <si>
    <t>Practice_Dev_pct_Capd["Practice_Areas.Practice_1", DATE(2010,5,1)]|=I395</t>
  </si>
  <si>
    <t>if(sum(ranget(Prof_Staff_Openings, model_date(1, 1)))=0, 0, sum(ranget(Prof_Staff_Recruited, model_date(1, 1)))/sum(ranget(Prof_Staff_Openings, model_date(1, 1))))</t>
  </si>
  <si>
    <t>(Ranges)'!Prof_Staff_Cost_Applied_Practice_Areas_Practice_2_Prof_Staff_Types</t>
  </si>
  <si>
    <t>Sup_Staff_Wage_incr_pct["Sup_Staff_Levels.Manager", DATE(2010,7,1)]|=K230</t>
  </si>
  <si>
    <t>Prof_Staff_Count_Early["Practice_Areas.Practice_2", "Prof_Staff_Types.Prof_Level_2", DATE(2010,6,1)]|=J187</t>
  </si>
  <si>
    <t>Net_Stock_Issue_short</t>
  </si>
  <si>
    <t>Sup_Staff_Wage_incr_pct["Sup_Staff_Levels.Contributor", DATE(2010,7,1)]|=K231</t>
  </si>
  <si>
    <t>Practice_Dev_pct_Rev</t>
  </si>
  <si>
    <t>Cost of Services - Staff</t>
  </si>
  <si>
    <t>This variable counts time in years, starting from the beginning of model time. For example, it increases in value by 0.25 each quarter.</t>
  </si>
  <si>
    <t>Engage!Engage_Cost_Supplies_Engagements_Engage_1_Prof_Staff_Types_Prof_Level_1_Supply_Types_Supply_Type_1</t>
  </si>
  <si>
    <t>Engage!Engage_Cost_Supplies_Engagements_Engage_1_Prof_Staff_Types_Prof_Level_1_Supply_Types_Supply_Type_2</t>
  </si>
  <si>
    <t>Sales_Lead_Hrs_Init["Practice_Areas.Practice_2", "Prof_Staff_Types.Prof_Level_2", "Channels.Channels_1", "Sales_Lead_Quality.Lead_Qual_2"]|=G58</t>
  </si>
  <si>
    <t>:A:-1:Practice_Dev_Prof_Spend</t>
  </si>
  <si>
    <t>Prof_Staff_Bonus_pct["Practice_Areas.Practice_2", "Prof_Staff_Types.Prof_Level_1", DATE(2010,12,1)]|=P217</t>
  </si>
  <si>
    <t>:D:0:Engage_Time</t>
  </si>
  <si>
    <t>Counts time in periods of model time, starting from the beginning of model time</t>
  </si>
  <si>
    <t>Mktg_Pgms_K["Mktg_Pgms.Seminars", "Practice_Areas.Practice_1", "Konst.K1"]|=0</t>
  </si>
  <si>
    <t>The asset life that determines the rate of depreciation of capitalized development. In the current implementation, life must be an integral number of years &lt;= 9.</t>
  </si>
  <si>
    <t>:A:0:Discount_Factor</t>
  </si>
  <si>
    <t>Sales_Lead_Hrs_Conv_pct_Yr["Sales_Lead_Quality.Lead_Qual_1", "Practice_Areas.Practice_1", "Prof_Staff_Types.Prof_Level_1", "Channels.Channels_1", DATE(2010,5,1)]|=I88</t>
  </si>
  <si>
    <t>Sales_Lead_Hrs_New["Sales_Lead_Quality.Lead_Qual_2", "Practice_Areas.Practice_2", "Prof_Staff_Types.Prof_Level_1", "Channels.Channels_1", DATE(2010,2,1)]|=2*F80-F80</t>
  </si>
  <si>
    <t>Sales_Lead_Hrs_New["Sales_Lead_Quality.Lead_Qual_1", "Practice_Areas.Practice_1", "Prof_Staff_Types.Prof_Level_2", "Channels.Channels_2", DATE(2010,3,1)]|=2*G71-F71</t>
  </si>
  <si>
    <t>Mktg_Pgms_Early_Cutover[]|=round(12.00000/2, 0)</t>
  </si>
  <si>
    <t>Discount Rate Direct (Yr)</t>
  </si>
  <si>
    <t>Sales_Lead_Hrs_New["Sales_Lead_Quality.Lead_Qual_1", "Practice_Areas.Practice_2", "Prof_Staff_Types.Prof_Level_1", "Channels.Channels_1", DATE(2011,4,1)]|=2*T72-S72</t>
  </si>
  <si>
    <t>Prof_Fees_per_Hr_Nominal["Practice_Areas.Practice_1", "Prof_Staff_Types.Prof_Level_2", DATE(2010,12,1)]|=P139</t>
  </si>
  <si>
    <t>Sales_Lead_Hrs_New["Sales_Lead_Quality.Lead_Qual_1", "Practice_Areas.Practice_2", "Prof_Staff_Types.Prof_Level_2", "Channels.Channels_1", DATE(2010,5,1)]|=2*I74-H74</t>
  </si>
  <si>
    <t>Sup_Staff_Count_Early["Depts.Sales", "Sup_Staff_Levels.Manager", DATE(2011,3,1)]|=S199</t>
  </si>
  <si>
    <t>Accts_Pay_Targ_Days["Accts_Pay_Type.Tax_Pay", DATE(2011,4,1)]|=U412</t>
  </si>
  <si>
    <t>Bad_Debt_pct[DATE(2010,10,1)]|=N342</t>
  </si>
  <si>
    <t>Engage_Hrs_Applied_ET["Engagements.Engage_1", "Prof_Staff_Types.Prof_Level_1", "Engage_Time.Period_1"]|=if('(Tables)'!B42&lt;=G20, F24*F20*1/G20+F24*F20*min(1, max(-1, G24))*2*'(Tables)'!B42/G20/G20+F24*F20*min(1, max(-1, G24))*(-1)/G20/G20+F24*F20*min(1, max(-1, G24))*(-1)/G20, 0*F20/G20)</t>
  </si>
  <si>
    <t>Cost_Services_TandE_Hr["Practice_Areas.Practice_1", "Prof_Staff_Types.Prof_Level_1", "Channels.Channels_1", DATE(2010,1,1)]|=5</t>
  </si>
  <si>
    <t>Sales_Lead_Hrs_Expire_pct_Yr["Sales_Lead_Quality.Lead_Qual_1", "Practice_Areas.Practice_2", "Prof_Staff_Types.Prof_Level_2", "Channels.Channels_2", DATE(2010,7,1)]|=K112</t>
  </si>
  <si>
    <t>Asset Type</t>
  </si>
  <si>
    <t>Sales_Lead_Hrs_Conv_pct_Yr["Sales_Lead_Quality.Lead_Qual_1", "Practice_Areas.Practice_2", "Prof_Staff_Types.Prof_Level_1", "Channels.Channels_1", DATE(2011,4,1)]|=T92</t>
  </si>
  <si>
    <t>Sup_Staff_Count_Early["Depts.Marketing", "Sup_Staff_Levels.Manager", DATE(2011,3,1)]|=S197</t>
  </si>
  <si>
    <t>Engage!Engage_Hrs_Billed_Engagements_Engage_2</t>
  </si>
  <si>
    <t>:A:-1:Return_on_Sales_pct</t>
  </si>
  <si>
    <t>Sup_Staff_Bonus_pct["Depts.Sales", "Sup_Staff_Levels.Contributor", DATE(2011,3,1)]|=S236</t>
  </si>
  <si>
    <t>Prof_Fees_per_Hr_Nominal["Practice_Areas.Practice_1", "Prof_Staff_Types.Prof_Level_1", DATE(2011,6,1)]|=V138</t>
  </si>
  <si>
    <t>Percentage of open positions that incur recruiting expense, by department and job level. Does not apply to the first time period (see Recruit_pct_Pos_Sup_Init).</t>
  </si>
  <si>
    <t>Cost_Services_TandE_Hr["Practice_Areas.Practice_1", "Prof_Staff_Types.Prof_Level_1", "Channels.Channels_2", DATE(2011,4,1)]|=T154</t>
  </si>
  <si>
    <t>preve(1)</t>
  </si>
  <si>
    <t>Order backlog at the end of each time period, expressed in currency, segmented by product. Note that the initial value at the start of model time uses average hourly fees in the first time period.</t>
  </si>
  <si>
    <t>Sup_Staff_Count_Early["Depts.Marketing", "Sup_Staff_Levels.Contributor", DATE(2010,10,1)]|=N198</t>
  </si>
  <si>
    <t>Per_Sup_Staff_Exp_Yr["Depts.Sales", "Empl_Rel_Exp_Type.Travel_Entertain", DATE(2011,2,1)]|=R330</t>
  </si>
  <si>
    <t>Cost_Services_Supplies_Hr["Practice_Areas.Practice_1", "Prof_Staff_Types.Prof_Level_1", "Supply_Types.Supply_Type_2", "Channels.Channels_2", DATE(2010,9,1)]|=M164</t>
  </si>
  <si>
    <t>Engage_Discount_pct["Engagements.Engage_1", DATE(2010,2,1)]|=F148</t>
  </si>
  <si>
    <t>Cash_Sources</t>
  </si>
  <si>
    <t>:A:-1:Depreciation</t>
  </si>
  <si>
    <t>Current_Ratio</t>
  </si>
  <si>
    <t>:D:0:Untagged_Asset_Type</t>
  </si>
  <si>
    <t>Practice_Dev_pct_Capd["Practice_Areas.Practice_2", DATE(2010,3,1)]|=G396</t>
  </si>
  <si>
    <t>Purch Date</t>
  </si>
  <si>
    <t>Prof_Staff_Bonus_pct["Practice_Areas.Practice_2", "Prof_Staff_Types.Prof_Level_2", DATE(2010,2,1)]|=F218</t>
  </si>
  <si>
    <t>Cost_Services_TandE_Hr["Practice_Areas.Practice_1", "Prof_Staff_Types.Prof_Level_2", "Channels.Channels_1", DATE(2011,5,1)]|=U155</t>
  </si>
  <si>
    <t>Engage!Engage_Gross_Margin_pct_Engagements_Engage_2_Prof_Staff_Types</t>
  </si>
  <si>
    <t>:D:0:Practice_Areas.Practice_2</t>
  </si>
  <si>
    <t>Sales_Lead_Hrs_Expire_pct_Yr["Sales_Lead_Quality.Lead_Qual_1", "Practice_Areas.Practice_1", "Prof_Staff_Types.Prof_Level_1", "Channels.Channels_1", DATE(2011,5,1)]|=U105</t>
  </si>
  <si>
    <t>Accts_Pay_Targ_Days["Accts_Pay_Type.Vendor_Pay", DATE(2010,2,1)]|=G410</t>
  </si>
  <si>
    <t>(Tables)'!Prof_Staff_Billings_Practice_Areas_Practice_2_Prof_Staff_Types_Prof_Level_2</t>
  </si>
  <si>
    <t>Sup_Staff_Wage_incr_pct["Sup_Staff_Levels.Manager", DATE(2011,5,1)]|=U230</t>
  </si>
  <si>
    <t>Bad_Debt_Exp</t>
  </si>
  <si>
    <t>Equity cash flow at the end of each accounting period adjusted to cancel out non-equity transactions (such as changes in short and long term debt and bonds)</t>
  </si>
  <si>
    <t>:D:2:Untagged_Asset_Purch_Params.Initial_Purchase</t>
  </si>
  <si>
    <t>:A:0:Revenue_CAGR</t>
  </si>
  <si>
    <t>(Compute)'!Prof_Staff_Hrs_Capacity_Time_Period</t>
  </si>
  <si>
    <t>Accts_Rec_Days</t>
  </si>
  <si>
    <t>:A:0:Engage_Billings_ET</t>
  </si>
  <si>
    <t>Cost_Services_Supplies_Hr["Practice_Areas.Practice_2", "Prof_Staff_Types.Prof_Level_2", "Supply_Types.Supply_Type_2", "Channels.Channels_2", DATE(2011,2,1)]|=R176</t>
  </si>
  <si>
    <t>(Ranges)'!Operating_Exp_Depts_Sales_OpExpType_Programs</t>
  </si>
  <si>
    <t>Accts_Rec_Days[DATE(2010,7,1)]|=K366</t>
  </si>
  <si>
    <t>(Ranges)'!Revenue_Practice_Areas_Practice_2_Prof_Staff_Types_Prof_Level_1_Channels_Channels_1</t>
  </si>
  <si>
    <t>Practice_Dev_Prof_Staff_Count["Practice_Areas.Practice_1", "Prof_Staff_Types.Prof_Level_2", DATE(2011,3,1)]|=S287</t>
  </si>
  <si>
    <t>Professional Staff Headcount for the early part of the model, given explicitly. Segmented by Practice Area, by Profesisonal Staff Type, and by time period. 
After a cutoff time that you specify, Professional Staff Headcount is determined from the planned number of billable hours and the target utilization percent for professional staff. 
All headcount by Practice Area and by Professional Staff Type are later rounded to half-integers.</t>
  </si>
  <si>
    <t>(Tables)'!Prof_Staff_Hrs_Engage_Practice_Areas_Practice_2_Prof_Staff_Types_Prof_Level_2</t>
  </si>
  <si>
    <t>Sales Lead Expire Hrs% (Yr)</t>
  </si>
  <si>
    <t>Prof_Staff_Salary_incr_period_pct</t>
  </si>
  <si>
    <t>Income_Tax_Rate[DATE(2011,1,1)]|=Q345</t>
  </si>
  <si>
    <t>Sales_Lead_Hrs_Conv_pct_Yr["Sales_Lead_Quality.Lead_Qual_1", "Practice_Areas.Practice_2", "Prof_Staff_Types.Prof_Level_2", "Channels.Channels_2", DATE(2010,8,1)]|=L95</t>
  </si>
  <si>
    <t>Prof_Staff_Targ_Util_pct["Practice_Areas.Practice_2", "Prof_Staff_Types.Prof_Level_2", DATE(2010,4,1)]|=H192</t>
  </si>
  <si>
    <t>Cost_Services_Supplies_Hr["Practice_Areas.Practice_2", "Prof_Staff_Types.Prof_Level_2", "Supply_Types.Supply_Type_1", "Channels.Channels_1", DATE(2010,8,1)]|=L173</t>
  </si>
  <si>
    <t>Sales_Lead_Hrs_Conv_pct_Yr["Sales_Lead_Quality.Lead_Qual_2", "Practice_Areas.Practice_1", "Prof_Staff_Types.Prof_Level_2", "Channels.Channels_2", DATE(2011,1,1)]|=Q99</t>
  </si>
  <si>
    <t>Sales_Lead_Hrs_Conv_pct_Yr["Sales_Lead_Quality.Lead_Qual_2", "Practice_Areas.Practice_1", "Prof_Staff_Types.Prof_Level_2", "Channels.Channels_2", DATE(2010,6,1)]|=J99</t>
  </si>
  <si>
    <t>IRR Model Time (Yr)</t>
  </si>
  <si>
    <t>Sup_Staff_Bonus_pct["Depts.Marketing", "Sup_Staff_Levels.Manager", DATE(2011,5,1)]|=U233</t>
  </si>
  <si>
    <t>Practice_Dev_Prof_Staff_Count["Practice_Areas.Practice_1", "Prof_Staff_Types.Prof_Level_1", DATE(2011,3,1)]|=S286</t>
  </si>
  <si>
    <t>General &amp; administrative expense</t>
  </si>
  <si>
    <t>Cash_Flow_Expect_Factor[DATE(2010,6,1)]|=J439</t>
  </si>
  <si>
    <t>Cost_Services_Supplies_Hr["Practice_Areas.Practice_2", "Prof_Staff_Types.Prof_Level_1", "Supply_Types.Supply_Type_1", "Channels.Channels_1", DATE(2011,2,1)]|=R169</t>
  </si>
  <si>
    <t>Accts_Pay_Days</t>
  </si>
  <si>
    <t>Facil_Other_Exp_Yr[DATE(2010,12,1)]|=P308</t>
  </si>
  <si>
    <t>Sales_Lead_Hrs_New["Sales_Lead_Quality.Lead_Qual_2", "Practice_Areas.Practice_2", "Prof_Staff_Types.Prof_Level_1", "Channels.Channels_2", DATE(2010,1,1)]|=2*0-0</t>
  </si>
  <si>
    <t>Sales_Lead_Hrs_New["Sales_Lead_Quality.Lead_Qual_2", "Practice_Areas.Practice_2", "Prof_Staff_Types.Prof_Level_2", "Channels.Channels_1", DATE(2011,2,1)]|=2*R82-Q82</t>
  </si>
  <si>
    <t>The ratio net income / revenue, by time period</t>
  </si>
  <si>
    <t>Cost_Services_Supplies_Hr["Practice_Areas.Practice_1", "Prof_Staff_Types.Prof_Level_2", "Supply_Types.Supply_Type_2", "Channels.Channels_2", DATE(2010,2,1)]|=F168</t>
  </si>
  <si>
    <t>Sales_Lead_Hrs_Conv_pct_Yr["Sales_Lead_Quality.Lead_Qual_2", "Practice_Areas.Practice_1", "Prof_Staff_Types.Prof_Level_2", "Channels.Channels_1", DATE(2010,10,1)]|=N98</t>
  </si>
  <si>
    <t>Long_Loans[DATE(2010,3,1)]|=H421</t>
  </si>
  <si>
    <t>(Compute)'!Net_Income_Date</t>
  </si>
  <si>
    <t>:A:0:Loss_Forward</t>
  </si>
  <si>
    <t>Orders_Filled_Hrs_pct</t>
  </si>
  <si>
    <t>Prof_Staff_Count_Early["Practice_Areas.Practice_2", "Prof_Staff_Types.Prof_Level_1", DATE(2010,1,1)]|=0</t>
  </si>
  <si>
    <t>Per_Prof_Staff_Exp_Yr["Prof_Staff_Types.Prof_Level_1", "Empl_Rel_Exp_Type.Travel_Entertain", DATE(2010,7,1)]|=K320</t>
  </si>
  <si>
    <t>Engage!Orders_Filled_Practice_Areas_Practice_1</t>
  </si>
  <si>
    <t>Orders_Filled_Hrs_pct["Practice_Areas.Practice_2", "Prof_Staff_Types.Prof_Level_1", "Channels.Channels_1", DATE(2010,3,1)]|=G126</t>
  </si>
  <si>
    <t>Engage!Orders_Filled_Practice_Areas_Practice_1_Prof_Staff_Types_Prof_Level_1_Channels_Channels_1</t>
  </si>
  <si>
    <t>Price_Book_Multiple</t>
  </si>
  <si>
    <t>Supply Types</t>
  </si>
  <si>
    <t>Sales_Lead_Hrs_Expire_pct_Yr["Sales_Lead_Quality.Lead_Qual_1", "Practice_Areas.Practice_1", "Prof_Staff_Types.Prof_Level_1", "Channels.Channels_1", DATE(2010,1,1)]|=0.30</t>
  </si>
  <si>
    <t>(Ranges)'!Gross_Margin_Practice_Areas_Practice_1_Prof_Staff_Types_Prof_Level_2_Channels</t>
  </si>
  <si>
    <t>Practice_Dev_Sup_Staff_Count["Practice_Areas.Practice_2", "Depts.Marketing", "Sup_Staff_Levels.Contributor", DATE(2010,6,1)]|=J296</t>
  </si>
  <si>
    <t>:A:0:Cash</t>
  </si>
  <si>
    <t>Change in short-term debt from the previous period. The model has a variable for this because (a) this amount will be displayed in the cash flow statement worksheet, and (b) this amount is used in several formulas so it is convenient to store it in a variable.</t>
  </si>
  <si>
    <t>Cost_Services_Supplies_Hr["Practice_Areas.Practice_1", "Prof_Staff_Types.Prof_Level_2", "Supply_Types.Supply_Type_2", "Channels.Channels_1", DATE(2011,4,1)]|=T167</t>
  </si>
  <si>
    <t>Prof_Fees_per_Hr_Nominal["Practice_Areas.Practice_2", "Prof_Staff_Types.Prof_Level_2", DATE(2010,8,1)]|=L141</t>
  </si>
  <si>
    <t>if(Revenue=0, 0, Practice_Dev_Spend/Revenue)</t>
  </si>
  <si>
    <t>Prof_Staff_Bonus_pct["Practice_Areas.Practice_2", "Prof_Staff_Types.Prof_Level_2", DATE(2011,2,1)]|=R218</t>
  </si>
  <si>
    <t>Cost of direct supplies incurred in client engagements (including small engagements from the sales funnel). Segmented by Practice Area, Professional Staff Type, Channel, and time period.</t>
  </si>
  <si>
    <t>Practice_Dev_Sup_Staff_Count["Practice_Areas.Practice_2", "Depts.Marketing", "Sup_Staff_Levels.Contributor", DATE(2010,3,1)]|=G296</t>
  </si>
  <si>
    <t>Sales_Lead_Hrs_Conv_pct_Yr["Sales_Lead_Quality.Lead_Qual_1", "Practice_Areas.Practice_1", "Prof_Staff_Types.Prof_Level_2", "Channels.Channels_1", DATE(2010,12,1)]|=P90</t>
  </si>
  <si>
    <t>Tagged_Asset_Life_Depr_Period</t>
  </si>
  <si>
    <t>Sales_Lead_Hrs_Expire_pct_Yr["Sales_Lead_Quality.Lead_Qual_1", "Practice_Areas.Practice_2", "Prof_Staff_Types.Prof_Level_1", "Channels.Channels_2", DATE(2010,5,1)]|=I110</t>
  </si>
  <si>
    <t>Engage!Engage_Cost_TandE_Engagements_Engage_2_Prof_Staff_Types_Prof_Level_2_Supply_Types_Supply_Type_1</t>
  </si>
  <si>
    <t>Sup_Staff_Bonus_pct["Depts.Sales", "Sup_Staff_Levels.Manager", DATE(2010,6,1)]|=J235</t>
  </si>
  <si>
    <t>:A:0:Tagged_Asset_Name</t>
  </si>
  <si>
    <t>Orders_Filled_Hrs_pct["Practice_Areas.Practice_2", "Prof_Staff_Types.Prof_Level_1", "Channels.Channels_2", DATE(2010,10,1)]|=N127</t>
  </si>
  <si>
    <t>Income_Tax_Rate[DATE(2010,8,1)]|=L345</t>
  </si>
  <si>
    <t>Prof_Staff_Benefits_pct["Prof_Staff_Types.Prof_Level_2", DATE(2010,1,1)]|=0.15</t>
  </si>
  <si>
    <t>Tail_Growth_Rate_Yr</t>
  </si>
  <si>
    <t>if(Tagged_Asset_Deprec_Period=-1, 0, if(Tagged_Asset_Deprec_Period=0, Tagged_Asset_Init_Value, preve(0)-Tagged_Asset_Deprec))-Tagged_Asset_Salvage_CF</t>
  </si>
  <si>
    <t>Net_Stock_Issue[DATE(2010,9,1)]|=0</t>
  </si>
  <si>
    <t>Per_Prof_Staff_Exp_Yr["Prof_Staff_Types.Prof_Level_2", "Empl_Rel_Exp_Type.Supplies", DATE(2010,10,1)]|=N322</t>
  </si>
  <si>
    <t>(Ranges)'!Gross_Margin_Practice_Areas_Practice_1_Prof_Staff_Types_Prof_Level_1_Channels_Channels_1</t>
  </si>
  <si>
    <t>Measured growth rate of billed staff hours per time period (not annualized). It segments by Channel first, while variable 'Prof Staff Hrs Billed Growth' segments by Practice Area first. This version of the variable uses blanks where the growth rate is not defined. Used for display.</t>
  </si>
  <si>
    <t>Cost_Services_Supplies_Hr["Practice_Areas.Practice_2", "Prof_Staff_Types.Prof_Level_1", "Supply_Types.Supply_Type_1", "Channels.Channels_1", DATE(2010,5,1)]|=I169</t>
  </si>
  <si>
    <t>The name of each tagged asset</t>
  </si>
  <si>
    <t>:A:0:Engage_Cost_TandE</t>
  </si>
  <si>
    <t>:A:0:Long_Asset_Purch</t>
  </si>
  <si>
    <t>:D:-1:Mktg_Pgms</t>
  </si>
  <si>
    <t>Orders_Filled_Hrs_pct["Practice_Areas.Practice_2", "Prof_Staff_Types.Prof_Level_1", "Channels.Channels_1", DATE(2011,3,1)]|=S126</t>
  </si>
  <si>
    <t>:A:-1:Untagged_Asset_Purch</t>
  </si>
  <si>
    <t>Sales_Lead_Hrs_Conv_pct_Yr["Sales_Lead_Quality.Lead_Qual_1", "Practice_Areas.Practice_2", "Prof_Staff_Types.Prof_Level_2", "Channels.Channels_1", DATE(2010,7,1)]|=K94</t>
  </si>
  <si>
    <t>Practice_Dev_Prof_Staff_Count["Practice_Areas.Practice_1", "Prof_Staff_Types.Prof_Level_2", DATE(2011,4,1)]|=T287</t>
  </si>
  <si>
    <t>Plot Support'!Orders_Filled_Hrs_Plot_Prof_Staff_Types</t>
  </si>
  <si>
    <t>Sales_Lead_Hrs_Conv_pct_Yr["Sales_Lead_Quality.Lead_Qual_2", "Practice_Areas.Practice_1", "Prof_Staff_Types.Prof_Level_2", "Channels.Channels_1", DATE(2010,11,1)]|=O98</t>
  </si>
  <si>
    <t>Cost_Services_Supplies_Hr["Practice_Areas.Practice_2", "Prof_Staff_Types.Prof_Level_2", "Supply_Types.Supply_Type_2", "Channels.Channels_1", DATE(2011,5,1)]|=U175</t>
  </si>
  <si>
    <t>(Ranges)'!Prof_Staff_Hrs_Unbilled_Practice_Areas_Practice_2_Prof_Staff_Types</t>
  </si>
  <si>
    <t>Sup_Staff_Benefits_pct[DATE(2010,5,1)]|=I238</t>
  </si>
  <si>
    <t xml:space="preserve">    Long_Term_Loans</t>
  </si>
  <si>
    <t>Per_Prof_Staff_Exp_Yr["Prof_Staff_Types.Prof_Level_1", "Empl_Rel_Exp_Type.Travel_Entertain", DATE(2010,10,1)]|=N320</t>
  </si>
  <si>
    <t>Orders_Filled_Hrs_pct["Practice_Areas.Practice_1", "Prof_Staff_Types.Prof_Level_1", "Channels.Channels_2", DATE(2010,3,1)]|=G123</t>
  </si>
  <si>
    <t>Per_Sup_Staff_Exp_Yr["Depts.Marketing", "Empl_Rel_Exp_Type.Travel_Entertain", DATE(2010,12,1)]|=P327</t>
  </si>
  <si>
    <t>Accts_Pay_Targ_Days["Accts_Pay_Type.Payroll_Pay", DATE(2010,9,1)]|=N411</t>
  </si>
  <si>
    <t>Cash_Flow_Expect_Factor[DATE(2010,8,1)]|=L439</t>
  </si>
  <si>
    <t>Practice_Dev_Sup_Staff_Count["Practice_Areas.Practice_1", "Depts.Marketing", "Sup_Staff_Levels.Manager", DATE(2011,3,1)]|=S291</t>
  </si>
  <si>
    <t>Office_Utilities_Rate_Yr[DATE(2011,4,1)]|=T306</t>
  </si>
  <si>
    <t>Salvage value of each tagged asset</t>
  </si>
  <si>
    <t>Tagged_Asset_Life_Phys_Yr</t>
  </si>
  <si>
    <t>Sales_Lead_Hrs_Expire_pct_Yr["Sales_Lead_Quality.Lead_Qual_2", "Practice_Areas.Practice_1", "Prof_Staff_Types.Prof_Level_1", "Channels.Channels_1", DATE(2010,7,1)]|=K113</t>
  </si>
  <si>
    <t>:A:-1:Tagged_Asset_Salvage_CF</t>
  </si>
  <si>
    <t>Prof_Staff_Salary_incr_pct["Prof_Staff_Types.Prof_Level_1", DATE(2010,1,1)]|=0.03</t>
  </si>
  <si>
    <t>:D:-1:Sup_Staff_Levels</t>
  </si>
  <si>
    <t>Accts_Pay_Targ_Days["Accts_Pay_Type.Payroll_Pay", DATE(2011,3,1)]|=T411</t>
  </si>
  <si>
    <t>Interest_Rate_Earned_Cash_Yr[DATE(2010,5,1)]|=I341</t>
  </si>
  <si>
    <t>Company_Name[]|</t>
  </si>
  <si>
    <t>Sales_Lead_Hrs_Expire_pct_Yr["Sales_Lead_Quality.Lead_Qual_2", "Practice_Areas.Practice_2", "Prof_Staff_Types.Prof_Level_1", "Channels.Channels_1", DATE(2010,8,1)]|=L117</t>
  </si>
  <si>
    <t>Value of purchases of long term assets, including tagged and untagged long-term assets, by time period</t>
  </si>
  <si>
    <t>Office_Maint_Rate_Yr[DATE(2010,3,1)]|=G307</t>
  </si>
  <si>
    <t>Order Backlog (Hrs)</t>
  </si>
  <si>
    <t>Cost_Services_TandE_Hr["Practice_Areas.Practice_2", "Prof_Staff_Types.Prof_Level_1", "Channels.Channels_1", DATE(2011,5,1)]|=U157</t>
  </si>
  <si>
    <t>Practice_Dev_Prof_Staff_Count["Practice_Areas.Practice_1", "Prof_Staff_Types.Prof_Level_2", DATE(2010,10,1)]|=N287</t>
  </si>
  <si>
    <t>:A:-1:Income_Tax</t>
  </si>
  <si>
    <t>Cost_Services_Supplies_Hr["Practice_Areas.Practice_2", "Prof_Staff_Types.Prof_Level_2", "Supply_Types.Supply_Type_1", "Channels.Channels_1", DATE(2010,7,1)]|=K173</t>
  </si>
  <si>
    <t>:A:-1:Time</t>
  </si>
  <si>
    <t>Prof_Staff_Bonus_pct["Practice_Areas.Practice_2", "Prof_Staff_Types.Prof_Level_2", DATE(2011,3,1)]|=S218</t>
  </si>
  <si>
    <t>Cost_Services_Supplies_Hr["Practice_Areas.Practice_2", "Prof_Staff_Types.Prof_Level_1", "Supply_Types.Supply_Type_2", "Channels.Channels_1", DATE(2010,2,1)]|=F171</t>
  </si>
  <si>
    <t>Sales_Lead_Hrs_Expire_pct_Yr["Sales_Lead_Quality.Lead_Qual_1", "Practice_Areas.Practice_1", "Prof_Staff_Types.Prof_Level_1", "Channels.Channels_2", DATE(2011,5,1)]|=U106</t>
  </si>
  <si>
    <t>Sales_Commis_Rev_Share[DATE(2010,6,1)]|=J247</t>
  </si>
  <si>
    <t>Bad_Debt_pct[DATE(2010,1,1)]|=0</t>
  </si>
  <si>
    <t>Support Staff  Bonus %</t>
  </si>
  <si>
    <t>(Ranges)'!Prof_Staff_Count_Practice_Areas_Practice_1_Prof_Staff_Types</t>
  </si>
  <si>
    <t>:A:-1:Debt_Ratio</t>
  </si>
  <si>
    <t>Sales_Lead_Hrs_New["Sales_Lead_Quality.Lead_Qual_1", "Practice_Areas.Practice_2", "Prof_Staff_Types.Prof_Level_1", "Channels.Channels_1", DATE(2010,2,1)]|=2*F72-F72</t>
  </si>
  <si>
    <t>Cost_Services_Supplies_Hr["Practice_Areas.Practice_2", "Prof_Staff_Types.Prof_Level_1", "Supply_Types.Supply_Type_1", "Channels.Channels_1", DATE(2010,8,1)]|=L169</t>
  </si>
  <si>
    <t>:A:0:Channels_Dim</t>
  </si>
  <si>
    <t>Cost_Services_TandE_Hr["Practice_Areas.Practice_2", "Prof_Staff_Types.Prof_Level_2", "Channels.Channels_1", DATE(2010,2,1)]|=F159</t>
  </si>
  <si>
    <t>Average annual salary per professional staff, segmented by Practice Area, by Professional Staff Type, and by time period. Excludes benefits, bonuses, and payroll taxes.</t>
  </si>
  <si>
    <t>Cost of professional staff time applied to client engagements (including small engagements from the sales funnel) but not billed. Segmented by Practice Area, Professional Staff Type, and time period.</t>
  </si>
  <si>
    <t>Sales_Lead_Hrs_Conv_pct_Yr["Sales_Lead_Quality.Lead_Qual_2", "Practice_Areas.Practice_1", "Prof_Staff_Types.Prof_Level_1", "Channels.Channels_1", DATE(2010,6,1)]|=J96</t>
  </si>
  <si>
    <t>Prof_Staff_Bonus_pct["Practice_Areas.Practice_2", "Prof_Staff_Types.Prof_Level_1", DATE(2010,4,1)]|=H217</t>
  </si>
  <si>
    <t>:A:-1:Prof_Staff_Count</t>
  </si>
  <si>
    <t>(Ranges)'!Practice_Dev_Prof_Staff_Hrs_Practice_Areas_Practice_1</t>
  </si>
  <si>
    <t>Sales_Lead_Hrs_New["Sales_Lead_Quality.Lead_Qual_1", "Practice_Areas.Practice_1", "Prof_Staff_Types.Prof_Level_1", "Channels.Channels_2", DATE(2010,6,1)]|=2*J69-I69</t>
  </si>
  <si>
    <t>:A:-1:Chg_Bond_Principal</t>
  </si>
  <si>
    <t>Sales_Lead_Hrs_Conv_pct_Yr["Sales_Lead_Quality.Lead_Qual_1", "Practice_Areas.Practice_1", "Prof_Staff_Types.Prof_Level_1", "Channels.Channels_1", DATE(2010,9,1)]|=M88</t>
  </si>
  <si>
    <t>(Compute)'!Engage_Hrs_Unbilled_Time_Period</t>
  </si>
  <si>
    <t>Sup_Staff_Count_Early["Depts.Sales", "Sup_Staff_Levels.Manager", DATE(2011,1,1)]|=Q199</t>
  </si>
  <si>
    <t>Practice_Dev_Sup_Staff_Count["Practice_Areas.Practice_1", "Depts.Marketing", "Sup_Staff_Levels.Contributor", DATE(2011,2,1)]|=R292</t>
  </si>
  <si>
    <t>:A:-1:Tagged_Asset_Purch_Date</t>
  </si>
  <si>
    <t>Prof_Staff_Bonus_pct["Practice_Areas.Practice_1", "Prof_Staff_Types.Prof_Level_1", DATE(2010,1,1)]|=0</t>
  </si>
  <si>
    <t>Support staff-related expenses, segmented by department and expense type</t>
  </si>
  <si>
    <t>Sales_Lead_Hrs_Expire_pct_Yr["Sales_Lead_Quality.Lead_Qual_2", "Practice_Areas.Practice_2", "Prof_Staff_Types.Prof_Level_1", "Channels.Channels_1", DATE(2010,2,1)]|=F117</t>
  </si>
  <si>
    <t>:A:-1:Prof_Staff_Cost_per_Hr</t>
  </si>
  <si>
    <t>Sales_Lead_Hrs_New["Sales_Lead_Quality.Lead_Qual_2", "Practice_Areas.Practice_1", "Prof_Staff_Types.Prof_Level_2", "Channels.Channels_1", DATE(2010,7,1)]|=2*K78-J78</t>
  </si>
  <si>
    <t>Prof_Staff_Count_Early["Practice_Areas.Practice_2", "Prof_Staff_Types.Prof_Level_1", DATE(2010,4,1)]|=H186</t>
  </si>
  <si>
    <t>Mktg_Pgms</t>
  </si>
  <si>
    <t>(Ranges)'!Prof_Staff_Hrs_Unbilled_Practice_Areas_Practice_1_Prof_Staff_Types_Prof_Level_1</t>
  </si>
  <si>
    <t>(Ranges)'!Prof_Staff_Hrs_Unbilled_Practice_Areas_Practice_1_Prof_Staff_Types_Prof_Level_2</t>
  </si>
  <si>
    <t>Sales_Lead_Hrs_New["Sales_Lead_Quality.Lead_Qual_1", "Practice_Areas.Practice_2", "Prof_Staff_Types.Prof_Level_1", "Channels.Channels_2", DATE(2010,2,1)]|=2*F73-F73</t>
  </si>
  <si>
    <t>A list of the types of accounts payable</t>
  </si>
  <si>
    <t>Contributor</t>
  </si>
  <si>
    <t>Prof_Staff_Bonus_pct["Practice_Areas.Practice_2", "Prof_Staff_Types.Prof_Level_1", DATE(2010,2,1)]|=F217</t>
  </si>
  <si>
    <t>Sup_Staff_Count_Early["Depts.Marketing", "Sup_Staff_Levels.Manager", DATE(2010,2,1)]|=F197</t>
  </si>
  <si>
    <t>Per_Sup_Staff_Exp_Yr["Depts.Marketing", "Empl_Rel_Exp_Type.Travel_Entertain", DATE(2011,4,1)]|=T327</t>
  </si>
  <si>
    <t>Prof_Fee_Discount_pct["Practice_Areas.Practice_1", "Prof_Staff_Types.Prof_Level_1", DATE(2011,5,1)]|=U143</t>
  </si>
  <si>
    <t>:A:-1:Sup_Staff_Wage_incr_period_pct</t>
  </si>
  <si>
    <t>:A:0:Sup_Staff_Bonus</t>
  </si>
  <si>
    <t>Sup_Staff_Count_K["Depts.Marketing", "Sup_Staff_Levels.Manager", "Konst.K1"]|=0</t>
  </si>
  <si>
    <t>Sales_Lead_Hrs_New["Sales_Lead_Quality.Lead_Qual_2", "Practice_Areas.Practice_1", "Prof_Staff_Types.Prof_Level_1", "Channels.Channels_2", DATE(2010,1,1)]|=2*0-0</t>
  </si>
  <si>
    <t>Prof_Staff_Count_Early["Practice_Areas.Practice_2", "Prof_Staff_Types.Prof_Level_2", DATE(2011,5,1)]|=U187</t>
  </si>
  <si>
    <t>Order_Backlog_Hrs_Init["Practice_Areas.Practice_1", "Prof_Staff_Types.Prof_Level_2", "Channels.Channels_1"]|=M55</t>
  </si>
  <si>
    <t>Billings for staff time for each major Engagement, segmented by Professional Staff Type, in each time period. Net of all fee discounts. Excludes billings for small engagemenets from the sales funnel.</t>
  </si>
  <si>
    <t>Sup_Staff_Benefits_pct</t>
  </si>
  <si>
    <t>(Tables)'!Engage_Hrs_Applied_ET_Engage_Time_Period_3_Engagements_Engage_1_Prof_Staff_Types</t>
  </si>
  <si>
    <t>Sales_Lead_Hrs_New["Sales_Lead_Quality.Lead_Qual_2", "Practice_Areas.Practice_1", "Prof_Staff_Types.Prof_Level_2", "Channels.Channels_2", DATE(2010,11,1)]|=2*O79-N79</t>
  </si>
  <si>
    <t>Prof_Staff_Bonus_pct["Practice_Areas.Practice_1", "Prof_Staff_Types.Prof_Level_1", DATE(2010,5,1)]|=I215</t>
  </si>
  <si>
    <t>:D:1:Dir_Cost_Types</t>
  </si>
  <si>
    <t>Sales_Lead_Hrs_New["Sales_Lead_Quality.Lead_Qual_2", "Practice_Areas.Practice_1", "Prof_Staff_Types.Prof_Level_2", "Channels.Channels_2", DATE(2011,5,1)]|=2*U79-T79</t>
  </si>
  <si>
    <t>A hierarchical list of the types of liabilities that are tracked separately in the plan</t>
  </si>
  <si>
    <t>Prof_Fees_per_Hr_Nominal["Practice_Areas.Practice_2", "Prof_Staff_Types.Prof_Level_1", DATE(2010,11,1)]|=O140</t>
  </si>
  <si>
    <t>Recruiting expense as a percentage of annual salary, for those professional staff positions that incur recruiting expense, segmented by job level and by department.</t>
  </si>
  <si>
    <t>Practice_Dev_Prof_Staff_Count["Practice_Areas.Practice_2", "Prof_Staff_Types.Prof_Level_1", DATE(2011,3,1)]|=S288</t>
  </si>
  <si>
    <t>Orders_Filled_Hrs_pct["Practice_Areas.Practice_1", "Prof_Staff_Types.Prof_Level_1", "Channels.Channels_1", DATE(2010,6,1)]|=J122</t>
  </si>
  <si>
    <t>Prof_Staff_Bonus</t>
  </si>
  <si>
    <t>Engage!Engage_Cost_Supplies_Engagements_Engage_2_Prof_Staff_Types_Prof_Level_2</t>
  </si>
  <si>
    <t>Prof_Staff_Targ_Util_pct["Practice_Areas.Practice_1", "Prof_Staff_Types.Prof_Level_2", DATE(2010,11,1)]|=O190</t>
  </si>
  <si>
    <t>:A:-1:Prof_Staff_Count_Cutover</t>
  </si>
  <si>
    <t>Sales_Lead_Hrs_Conv_pct_Yr["Sales_Lead_Quality.Lead_Qual_2", "Practice_Areas.Practice_1", "Prof_Staff_Types.Prof_Level_2", "Channels.Channels_2", DATE(2010,10,1)]|=N99</t>
  </si>
  <si>
    <t>Prof_Staff_Targ_Util_pct["Practice_Areas.Practice_2", "Prof_Staff_Types.Prof_Level_2", DATE(2010,3,1)]|=G192</t>
  </si>
  <si>
    <t>Practice_Dev_pct_Capd</t>
  </si>
  <si>
    <t>Net_Stock_Issue[DATE(2009,12,1)]|=0</t>
  </si>
  <si>
    <t>Prof_Staff_Salary_incr_pct["Prof_Staff_Types.Prof_Level_2", DATE(2010,8,1)]|=L213</t>
  </si>
  <si>
    <t>Sales_Lead_Hrs_Conv_pct_Yr["Sales_Lead_Quality.Lead_Qual_2", "Practice_Areas.Practice_2", "Prof_Staff_Types.Prof_Level_2", "Channels.Channels_1", DATE(2010,9,1)]|=M102</t>
  </si>
  <si>
    <t>Sales_Lead_Hrs_New["Sales_Lead_Quality.Lead_Qual_2", "Practice_Areas.Practice_1", "Prof_Staff_Types.Prof_Level_2", "Channels.Channels_2", DATE(2010,2,1)]|=2*F79-F79</t>
  </si>
  <si>
    <t>(Ranges)'!Prof_Staff_Hrs_Unapplied_Practice_Areas_Practice_1_Prof_Staff_Types_Prof_Level_1</t>
  </si>
  <si>
    <t>Practice_Dev_Sup_Staff_Count["Practice_Areas.Practice_2", "Depts.Sales", "Sup_Staff_Levels.Manager", DATE(2010,12,1)]|=P297</t>
  </si>
  <si>
    <t>Sup_Staff_Wage_incr_pct["Sup_Staff_Levels.Manager", DATE(2011,4,1)]|=T230</t>
  </si>
  <si>
    <t>Prof_Staff_Benefits_pct["Prof_Staff_Types.Prof_Level_2", DATE(2011,2,1)]|=R221</t>
  </si>
  <si>
    <t>Dev_Capd_Init["Practice_Areas.Practice_2"]|=0/2</t>
  </si>
  <si>
    <t>Cost_Services_TandE_Hr["Practice_Areas.Practice_1", "Prof_Staff_Types.Prof_Level_2", "Channels.Channels_2", DATE(2011,4,1)]|=T156</t>
  </si>
  <si>
    <t>Prof_Staff_Count_Early["Practice_Areas.Practice_2", "Prof_Staff_Types.Prof_Level_1", DATE(2010,5,1)]|=I186</t>
  </si>
  <si>
    <t>Cost_Services_Supplies_Hr["Practice_Areas.Practice_1", "Prof_Staff_Types.Prof_Level_2", "Supply_Types.Supply_Type_1", "Channels.Channels_2", DATE(2011,5,1)]|=U166</t>
  </si>
  <si>
    <t>Mktg_Pgms_Exp_Early["Mktg_Pgms.Publications", "Practice_Areas.Practice_1", DATE(2010,9,1)]|=M278</t>
  </si>
  <si>
    <t>Interest_Rate_Earned_Cash_Yr[DATE(2011,1,1)]|=Q341</t>
  </si>
  <si>
    <t>Depts, OpExpType.Employee_Rel_Exp</t>
  </si>
  <si>
    <t>Sup_Staff_Bonus_pct["Depts.Sales", "Sup_Staff_Levels.Contributor", DATE(2010,8,1)]|=L236</t>
  </si>
  <si>
    <t>(Tables)'!Prof_Staff_Count1_Practice_Areas_Practice_1_Prof_Staff_Types_Prof_Level_1</t>
  </si>
  <si>
    <t>Plot Support'!Engage_Hrs_Applied_Plot_Prof_Staff_Types_Prof_Level_2</t>
  </si>
  <si>
    <t>Practice_Dev_pct_Capd["Practice_Areas.Practice_1", DATE(2010,6,1)]|=J395</t>
  </si>
  <si>
    <t>Prof_Fee_Discount_pct["Practice_Areas.Practice_2", "Prof_Staff_Types.Prof_Level_1", DATE(2011,6,1)]|=V145</t>
  </si>
  <si>
    <t>Sales_Lead_Hrs_Expire_pct_Yr["Sales_Lead_Quality.Lead_Qual_2", "Practice_Areas.Practice_2", "Prof_Staff_Types.Prof_Level_1", "Channels.Channels_2", DATE(2011,4,1)]|=T118</t>
  </si>
  <si>
    <t>Practice_Dev_Prof_Staff_Count["Practice_Areas.Practice_2", "Prof_Staff_Types.Prof_Level_1", DATE(2010,3,1)]|=G288</t>
  </si>
  <si>
    <t>Sales_Lead_Hrs_New["Sales_Lead_Quality.Lead_Qual_1", "Practice_Areas.Practice_2", "Prof_Staff_Types.Prof_Level_2", "Channels.Channels_1", DATE(2011,2,1)]|=2*R74-Q74</t>
  </si>
  <si>
    <t>Prof_Staff_Salary_Avg_Initial_Yr["Prof_Staff_Types.Prof_Level_2", "Practice_Areas.Practice_2"]|=100000</t>
  </si>
  <si>
    <t>Prof_Fees_per_Hr_Nominal["Practice_Areas.Practice_1", "Prof_Staff_Types.Prof_Level_2", DATE(2011,3,1)]|=S139</t>
  </si>
  <si>
    <t>:A:-1:Tagged_Asset_Salvage_Value</t>
  </si>
  <si>
    <t>Cost_Services_Supplies_Hr["Practice_Areas.Practice_2", "Prof_Staff_Types.Prof_Level_2", "Supply_Types.Supply_Type_2", "Channels.Channels_1", DATE(2010,5,1)]|=I175</t>
  </si>
  <si>
    <t>Sales_Lead_Hrs_Conv_pct_Yr["Sales_Lead_Quality.Lead_Qual_1", "Practice_Areas.Practice_1", "Prof_Staff_Types.Prof_Level_2", "Channels.Channels_2", DATE(2010,12,1)]|=P91</t>
  </si>
  <si>
    <t>Staff Hrs Applied</t>
  </si>
  <si>
    <t>Return_on_Assets</t>
  </si>
  <si>
    <t>The percentage of revenue paid as sales commissions on those orders that are commissionable, by time period</t>
  </si>
  <si>
    <t>:A:-1:Prof_Staff_Hrs_Billed</t>
  </si>
  <si>
    <t>:A:-1:Dev_Capd_Life_Yrs</t>
  </si>
  <si>
    <t>The name of each tagged asset type</t>
  </si>
  <si>
    <t>:A:-1:Dev_Capd_Init</t>
  </si>
  <si>
    <t>Sales_Lead_Hrs_Expire_pct_Yr["Sales_Lead_Quality.Lead_Qual_1", "Practice_Areas.Practice_2", "Prof_Staff_Types.Prof_Level_2", "Channels.Channels_2", DATE(2011,5,1)]|=U112</t>
  </si>
  <si>
    <t>Order_Backlog</t>
  </si>
  <si>
    <t>Mktg_Pgms_Exp_Early["Mktg_Pgms.Seminars", "Practice_Areas.Practice_1", DATE(2010,6,1)]|=J276</t>
  </si>
  <si>
    <t>Prof_Fees_per_Hr_Nominal["Practice_Areas.Practice_2", "Prof_Staff_Types.Prof_Level_1", DATE(2011,5,1)]|=U140</t>
  </si>
  <si>
    <t>:A:-1:Sales_Leads_Hrs</t>
  </si>
  <si>
    <t>Orders_Filled_Hrs_pct["Practice_Areas.Practice_1", "Prof_Staff_Types.Prof_Level_2", "Channels.Channels_1", DATE(2011,2,1)]|=R124</t>
  </si>
  <si>
    <t>Wage_Tax_pct[DATE(2010,12,1)]|=P244</t>
  </si>
  <si>
    <t>Per_Prof_Staff_Exp_Yr["Prof_Staff_Types.Prof_Level_1", "Empl_Rel_Exp_Type.Other", DATE(2010,4,1)]|=H321</t>
  </si>
  <si>
    <t>Prof_Fees_per_Hr_Nominal["Practice_Areas.Practice_1", "Prof_Staff_Types.Prof_Level_1", DATE(2010,11,1)]|=O138</t>
  </si>
  <si>
    <t>:A:-1:Untagged_Asset_Deprec</t>
  </si>
  <si>
    <t>:A:0:Accts_Payable</t>
  </si>
  <si>
    <t>:A:0:Engage_Duration</t>
  </si>
  <si>
    <t>Practice_Dev_Prof_Staff_Count["Practice_Areas.Practice_1", "Prof_Staff_Types.Prof_Level_2", DATE(2011,1,1)]|=Q287</t>
  </si>
  <si>
    <t>:A:-1:Engage_Size_Hrs</t>
  </si>
  <si>
    <t>Prof_Fee_Discount_pct["Practice_Areas.Practice_1", "Prof_Staff_Types.Prof_Level_1", DATE(2010,8,1)]|=L143</t>
  </si>
  <si>
    <t>Sales_Lead_Hrs_Conv_pct_Yr["Sales_Lead_Quality.Lead_Qual_1", "Practice_Areas.Practice_1", "Prof_Staff_Types.Prof_Level_1", "Channels.Channels_2", DATE(2010,5,1)]|=I89</t>
  </si>
  <si>
    <t>Sales_Lead_Hrs_Conv_pct_Yr["Sales_Lead_Quality.Lead_Qual_2", "Practice_Areas.Practice_1", "Prof_Staff_Types.Prof_Level_2", "Channels.Channels_2", DATE(2010,11,1)]|=O99</t>
  </si>
  <si>
    <t>Practice Dev % Rev</t>
  </si>
  <si>
    <t>:D:2:Supply_Types</t>
  </si>
  <si>
    <t>Per_Prof_Staff_Exp_Yr["Prof_Staff_Types.Prof_Level_2", "Empl_Rel_Exp_Type.Travel_Entertain", DATE(2011,1,1)]|=Q323</t>
  </si>
  <si>
    <t>(Tables)'!Prof_Staff_Hrs_Engage_Practice_Areas_Practice_1_Prof_Staff_Types_Prof_Level_1_Channels</t>
  </si>
  <si>
    <t>(Compute)'!Prof_Staff_Hrs_Engage_Date</t>
  </si>
  <si>
    <t>:A:0:Dev_Capd_Period_Lagged</t>
  </si>
  <si>
    <t>Sales_Lead_Hrs_Conv_pct_Yr["Sales_Lead_Quality.Lead_Qual_1", "Practice_Areas.Practice_2", "Prof_Staff_Types.Prof_Level_1", "Channels.Channels_1", DATE(2011,5,1)]|=U92</t>
  </si>
  <si>
    <t>Prof_Fees_per_Hr_Nominal["Practice_Areas.Practice_1", "Prof_Staff_Types.Prof_Level_1", DATE(2011,3,1)]|=S138</t>
  </si>
  <si>
    <t>Cost_Services_TandE_Hr["Practice_Areas.Practice_2", "Prof_Staff_Types.Prof_Level_1", "Channels.Channels_1", DATE(2010,12,1)]|=P157</t>
  </si>
  <si>
    <t>Practice_Dev_pct_Capd["Practice_Areas.Practice_1", DATE(2010,7,1)]|=K395</t>
  </si>
  <si>
    <t>Mktg_Pgms_Exp_Early["Mktg_Pgms.Seminars", "Practice_Areas.Practice_1", DATE(2011,1,1)]|=Q276</t>
  </si>
  <si>
    <t>:A:-1:Price_Sales_Ratio</t>
  </si>
  <si>
    <t>Sales_Lead_Hrs_Expire_pct_Yr["Sales_Lead_Quality.Lead_Qual_1", "Practice_Areas.Practice_2", "Prof_Staff_Types.Prof_Level_2", "Channels.Channels_1", DATE(2010,12,1)]|=P111</t>
  </si>
  <si>
    <t>:A:0:Revenue_Growth_display</t>
  </si>
  <si>
    <t>Cost_Services_Supplies_Hr["Practice_Areas.Practice_2", "Prof_Staff_Types.Prof_Level_2", "Supply_Types.Supply_Type_2", "Channels.Channels_2", DATE(2010,5,1)]|=I176</t>
  </si>
  <si>
    <t>Sales_Lead_Hrs_Conv_pct_Yr["Sales_Lead_Quality.Lead_Qual_2", "Practice_Areas.Practice_2", "Prof_Staff_Types.Prof_Level_1", "Channels.Channels_2", DATE(2010,12,1)]|=P101</t>
  </si>
  <si>
    <t>Prof_Staff_Targ_Util_pct["Practice_Areas.Practice_2", "Prof_Staff_Types.Prof_Level_1", DATE(2010,6,1)]|=J191</t>
  </si>
  <si>
    <t>:A:0:Mktg_Expense</t>
  </si>
  <si>
    <t>Cash_Flow_Expect_Factor[DATE(2010,2,1)]|=F439</t>
  </si>
  <si>
    <t>(Tables)'!Prof_Staff_Hrs_Engage_Practice_Areas_Practice_1_Prof_Staff_Types_Prof_Level_2</t>
  </si>
  <si>
    <t>Mktg_Pgms_Exp_Early["Mktg_Pgms.Publications", "Practice_Areas.Practice_2", DATE(2010,9,1)]|=M279</t>
  </si>
  <si>
    <t>Practice_Dev_Sup_Staff_Count["Practice_Areas.Practice_1", "Depts.Sales", "Sup_Staff_Levels.Contributor", DATE(2010,1,1)]|=0</t>
  </si>
  <si>
    <t>Bad_Debt_pct[DATE(2010,5,1)]|=I342</t>
  </si>
  <si>
    <t>Prof_Staff_Hrs_Billed_RoundQ</t>
  </si>
  <si>
    <t>Cost_Services_Supplies_Hr["Practice_Areas.Practice_2", "Prof_Staff_Types.Prof_Level_2", "Supply_Types.Supply_Type_1", "Channels.Channels_2", DATE(2010,3,1)]|=G174</t>
  </si>
  <si>
    <t>Orders_Filled_Hrs_pct["Practice_Areas.Practice_2", "Prof_Staff_Types.Prof_Level_1", "Channels.Channels_2", DATE(2010,11,1)]|=O127</t>
  </si>
  <si>
    <t>Prof_Fees_per_Hr_Nominal["Practice_Areas.Practice_1", "Prof_Staff_Types.Prof_Level_2", DATE(2010,8,1)]|=L139</t>
  </si>
  <si>
    <t>Prof_Staff_Hrs_Billed_Growth_display</t>
  </si>
  <si>
    <t>Sales_Lead_Hrs_New["Sales_Lead_Quality.Lead_Qual_2", "Practice_Areas.Practice_1", "Prof_Staff_Types.Prof_Level_1", "Channels.Channels_1", DATE(2011,1,1)]|=2*Q76-P76</t>
  </si>
  <si>
    <t>Practice_Dev_Sup_Staff_Count["Practice_Areas.Practice_2", "Depts.Sales", "Sup_Staff_Levels.Contributor", DATE(2010,7,1)]|=K298</t>
  </si>
  <si>
    <t>Engage_Hrs_Applied_ET["Engagements.Engage_1", "Prof_Staff_Types.Prof_Level_2", "Engage_Time.Period_1"]|=if('(Tables)'!B42&lt;=G20, F25*F20*1/G20+F25*F20*min(1, max(-1, G25))*2*'(Tables)'!B42/G20/G20+F25*F20*min(1, max(-1, G25))*(-1)/G20/G20+F25*F20*min(1, max(-1, G25))*(-1)/G20, 0*F20/G20)</t>
  </si>
  <si>
    <t>Cost_Services_Supplies_Hr["Practice_Areas.Practice_1", "Prof_Staff_Types.Prof_Level_2", "Supply_Types.Supply_Type_2", "Channels.Channels_1", DATE(2010,5,1)]|=I167</t>
  </si>
  <si>
    <t>Cost_Services_Supplies_Hr["Practice_Areas.Practice_1", "Prof_Staff_Types.Prof_Level_1", "Supply_Types.Supply_Type_1", "Channels.Channels_1", DATE(2011,4,1)]|=T161</t>
  </si>
  <si>
    <t>Prof_Staff_Targ_Util_pct["Practice_Areas.Practice_1", "Prof_Staff_Types.Prof_Level_1", DATE(2010,6,1)]|=J189</t>
  </si>
  <si>
    <t>Sup_Staff_Count_Early["Depts.Sales", "Sup_Staff_Levels.Manager", DATE(2010,2,1)]|=F199</t>
  </si>
  <si>
    <t>Sales_Lead_Hrs_Expire_pct_Yr["Sales_Lead_Quality.Lead_Qual_2", "Practice_Areas.Practice_2", "Prof_Staff_Types.Prof_Level_1", "Channels.Channels_1", DATE(2010,10,1)]|=N117</t>
  </si>
  <si>
    <t>:A:-1:Office_Maint_Rate_Yr</t>
  </si>
  <si>
    <t>Cost_Services_Supplies_Hr["Practice_Areas.Practice_2", "Prof_Staff_Types.Prof_Level_1", "Supply_Types.Supply_Type_2", "Channels.Channels_1", DATE(2011,6,1)]|=V171</t>
  </si>
  <si>
    <t>Prof_Staff_Bonus_pct["Practice_Areas.Practice_1", "Prof_Staff_Types.Prof_Level_1", DATE(2010,4,1)]|=H215</t>
  </si>
  <si>
    <t>:A:0:Accts_Payable_Initial</t>
  </si>
  <si>
    <t>Cost_Services_Supplies_Hr["Practice_Areas.Practice_1", "Prof_Staff_Types.Prof_Level_2", "Supply_Types.Supply_Type_2", "Channels.Channels_1", DATE(2010,10,1)]|=N167</t>
  </si>
  <si>
    <t>:D:0:Engagements.Engage_1</t>
  </si>
  <si>
    <t>:D:0:Engagements.Engage_2</t>
  </si>
  <si>
    <t>(Tables)'!Prof_Staff_Count1_Practice_Areas_Practice_2_Prof_Staff_Types</t>
  </si>
  <si>
    <t>Facil_Other_Exp_Yr[DATE(2011,6,1)]|=V308</t>
  </si>
  <si>
    <t>A list of types of general &amp; administrative expenses tracked separately in the plan</t>
  </si>
  <si>
    <t>Asset Name</t>
  </si>
  <si>
    <t>:A:0:Cash_Starting</t>
  </si>
  <si>
    <t>Sales_Lead_Hrs_Conv_pct_Yr["Sales_Lead_Quality.Lead_Qual_2", "Practice_Areas.Practice_1", "Prof_Staff_Types.Prof_Level_2", "Channels.Channels_2", DATE(2010,8,1)]|=L99</t>
  </si>
  <si>
    <t>:A:-1:Mktg_Exp_Ratio</t>
  </si>
  <si>
    <t>Mktg_Pgms_Exp_Early["Mktg_Pgms.Publications", "Practice_Areas.Practice_2", DATE(2011,1,1)]|=Q279</t>
  </si>
  <si>
    <t>:A:0:Accts_Pay_Targ_Days</t>
  </si>
  <si>
    <t>Sales_Lead_Hrs_Conv_pct_Yr["Sales_Lead_Quality.Lead_Qual_1", "Practice_Areas.Practice_2", "Prof_Staff_Types.Prof_Level_2", "Channels.Channels_2", DATE(2010,9,1)]|=M95</t>
  </si>
  <si>
    <t>Orders_Filled_Hrs_pct["Practice_Areas.Practice_2", "Prof_Staff_Types.Prof_Level_2", "Channels.Channels_2", DATE(2011,5,1)]|=U129</t>
  </si>
  <si>
    <t>Sales_Lead_Hrs_Conv_pct_Yr["Sales_Lead_Quality.Lead_Qual_2", "Practice_Areas.Practice_2", "Prof_Staff_Types.Prof_Level_2", "Channels.Channels_1", DATE(2010,6,1)]|=J102</t>
  </si>
  <si>
    <t>Sup_Staff_Wage_incr_pct["Sup_Staff_Levels.Contributor", DATE(2010,12,1)]|=P231</t>
  </si>
  <si>
    <t>:A:-1:Sales_Lead_Hrs_Conv_pct_Yr</t>
  </si>
  <si>
    <t>:A:-1:Sales_Leads_New</t>
  </si>
  <si>
    <t>:D:0:Assets.Short.Inventory</t>
  </si>
  <si>
    <t>Sales_Lead_Hrs_Conv_pct_Yr["Sales_Lead_Quality.Lead_Qual_1", "Practice_Areas.Practice_2", "Prof_Staff_Types.Prof_Level_1", "Channels.Channels_2", DATE(2010,3,1)]|=G93</t>
  </si>
  <si>
    <t>Per_Prof_Staff_Exp_Yr["Prof_Staff_Types.Prof_Level_1", "Empl_Rel_Exp_Type.Other", DATE(2010,8,1)]|=L321</t>
  </si>
  <si>
    <t>Practice_Areas, Channels, Dir_Cost_Types.Direct_Labor</t>
  </si>
  <si>
    <t>round(periods_per("year")*Tagged_Asset_Life_Phys_Yr, 0)</t>
  </si>
  <si>
    <t>:A:-1:Selling_Exp_Ratio</t>
  </si>
  <si>
    <t>max(0, Cost_Services_Supplies+if(0=0, 0, Cost_Services_Supplies["Dir_Cost_Types.Direct_Supplies"]*0*periods_per("day")-prev(0)))</t>
  </si>
  <si>
    <t>Engage!Engage_Hrs_Billed_Engagements_Engage_1_Prof_Staff_Types</t>
  </si>
  <si>
    <t>Per_Prof_Staff_Exp_Yr["Prof_Staff_Types.Prof_Level_2", "Empl_Rel_Exp_Type.Supplies", DATE(2010,2,1)]|=F322</t>
  </si>
  <si>
    <t>0</t>
  </si>
  <si>
    <t>Recruit_pct_Pos_Prof_Init</t>
  </si>
  <si>
    <t>Sales_Lead_Hrs_Conv_pct_Yr["Sales_Lead_Quality.Lead_Qual_1", "Practice_Areas.Practice_2", "Prof_Staff_Types.Prof_Level_2", "Channels.Channels_1", DATE(2010,10,1)]|=N94</t>
  </si>
  <si>
    <t>Prof_Staff_Recruited</t>
  </si>
  <si>
    <t>Prof_Staff_Bonus_pct["Practice_Areas.Practice_2", "Prof_Staff_Types.Prof_Level_1", DATE(2011,6,1)]|=V217</t>
  </si>
  <si>
    <t>Level As</t>
  </si>
  <si>
    <t>Sales_Lead_Hrs_Conv_pct_Yr["Sales_Lead_Quality.Lead_Qual_1", "Practice_Areas.Practice_1", "Prof_Staff_Types.Prof_Level_2", "Channels.Channels_2", DATE(2010,6,1)]|=J91</t>
  </si>
  <si>
    <t>:D:2:Sales_Lead_Quality</t>
  </si>
  <si>
    <t>Orders_Filled_Hrs_pct["Practice_Areas.Practice_1", "Prof_Staff_Types.Prof_Level_2", "Channels.Channels_1", DATE(2010,4,1)]|=H124</t>
  </si>
  <si>
    <t xml:space="preserve"> </t>
  </si>
  <si>
    <t>Sales_Lead_Hrs_Conv_pct_Yr["Sales_Lead_Quality.Lead_Qual_1", "Practice_Areas.Practice_2", "Prof_Staff_Types.Prof_Level_2", "Channels.Channels_1", DATE(2010,11,1)]|=O94</t>
  </si>
  <si>
    <t>Per_Sup_Staff_Exp_Yr["Depts.Sales", "Empl_Rel_Exp_Type.Travel_Entertain", DATE(2011,1,1)]|=Q330</t>
  </si>
  <si>
    <t>The stock of paid in capital at the end of each time period</t>
  </si>
  <si>
    <t>:A:0:Equity</t>
  </si>
  <si>
    <t>Untagged_Asset_Deprec+Tagged_Asset_Deprec+Dev_Capd_Deprec</t>
  </si>
  <si>
    <t>Prof_Staff_Hrs_Capacity</t>
  </si>
  <si>
    <t>Long Asset Purch</t>
  </si>
  <si>
    <t>Orders_Filled_Hrs_pct["Practice_Areas.Practice_1", "Prof_Staff_Types.Prof_Level_2", "Channels.Channels_1", DATE(2010,1,1)]|=0.5</t>
  </si>
  <si>
    <t>:A:-1:Cost_Services_Supplies_Channel</t>
  </si>
  <si>
    <t xml:space="preserve">  Supply_Type_2</t>
  </si>
  <si>
    <t>preve(0.10)</t>
  </si>
  <si>
    <t>preve(0.30)</t>
  </si>
  <si>
    <t>Engage!Engage_Cost_Staff_Engagements_Engage_2_Prof_Staff_Types</t>
  </si>
  <si>
    <t>:A:-1:Office_Utilities_Rate_Yr</t>
  </si>
  <si>
    <t>Sales Leads</t>
  </si>
  <si>
    <t>Mktg_Pgms_Exp_Early["Mktg_Pgms.Seminars", "Practice_Areas.Practice_2", DATE(2010,10,1)]|=N277</t>
  </si>
  <si>
    <t>:A:-1:Engage_Cost_Staff</t>
  </si>
  <si>
    <t>Sales_Lead_Hrs_Expire_pct_Yr["Sales_Lead_Quality.Lead_Qual_1", "Practice_Areas.Practice_1", "Prof_Staff_Types.Prof_Level_2", "Channels.Channels_2", DATE(2011,5,1)]|=U108</t>
  </si>
  <si>
    <t>Practice_Dev_Sup_Staff_Count["Practice_Areas.Practice_2", "Depts.Sales", "Sup_Staff_Levels.Manager", DATE(2011,1,1)]|=Q297</t>
  </si>
  <si>
    <t>Orders_Filled_Hrs_pct["Practice_Areas.Practice_1", "Prof_Staff_Types.Prof_Level_2", "Channels.Channels_2", DATE(2011,3,1)]|=S125</t>
  </si>
  <si>
    <t>Sales_Lead_Hrs_Expire_pct_Yr["Sales_Lead_Quality.Lead_Qual_1", "Practice_Areas.Practice_2", "Prof_Staff_Types.Prof_Level_1", "Channels.Channels_2", DATE(2010,11,1)]|=O110</t>
  </si>
  <si>
    <t>G_A_Exp_K["Depts.Sales", "GA_Exp.GA_Exp_1", "Konst.K2"]|=1.0</t>
  </si>
  <si>
    <t>Sales_Lead_Hrs_Expire_pct_Yr["Sales_Lead_Quality.Lead_Qual_2", "Practice_Areas.Practice_1", "Prof_Staff_Types.Prof_Level_1", "Channels.Channels_2", DATE(2010,10,1)]|=N114</t>
  </si>
  <si>
    <t>Cost_Services_TandE_Hr["Practice_Areas.Practice_1", "Prof_Staff_Types.Prof_Level_1", "Channels.Channels_1", DATE(2010,9,1)]|=M153</t>
  </si>
  <si>
    <t>Oper Exp Ratio</t>
  </si>
  <si>
    <t>Engage_Discount_pct["Engagements.Engage_2", DATE(2011,6,1)]|=V149</t>
  </si>
  <si>
    <t>:D:-1:Supply_Types</t>
  </si>
  <si>
    <t>Cost_Services_Supplies_Hr["Practice_Areas.Practice_2", "Prof_Staff_Types.Prof_Level_1", "Supply_Types.Supply_Type_1", "Channels.Channels_1", DATE(2011,5,1)]|=U169</t>
  </si>
  <si>
    <t>Accts_Pay_Targ_Days["Accts_Pay_Type.Payroll_Pay", DATE(2010,4,1)]|=I411</t>
  </si>
  <si>
    <t>ifm(Time&lt;=0.001, Accts_Payable_Initial, Accts_Pay_Targ_Days*periods_per("day")*Purchases_Short_Term)</t>
  </si>
  <si>
    <t>Mktg_Pgms_Exp_Early["Mktg_Pgms.Publications", "Practice_Areas.Practice_1", DATE(2011,1,1)]|=Q278</t>
  </si>
  <si>
    <t>Cost of travel and entertainment per hour of client services, segmented by Practice Area, Professional Staff Type, and time period</t>
  </si>
  <si>
    <t>if(average(ranget(Prof_Staff_Salary_Avg_Yr, model_date(1, 1)))*sum(ranget(Prof_Staff_Recruited, model_date(1, 1)))=0, 0, sum(ranget(Recruit_Exp_Prof, model_date(1, 1)))/(average(ranget(Prof_Staff_Salary_Avg_Yr, model_date(1, 1)))*sum(ranget(Prof_Staff_Recruited, model_date(1, 1)))))</t>
  </si>
  <si>
    <t>:WS:</t>
  </si>
  <si>
    <t>Cost_Services_Supplies_Hr["Practice_Areas.Practice_2", "Prof_Staff_Types.Prof_Level_2", "Supply_Types.Supply_Type_2", "Channels.Channels_1", DATE(2010,4,1)]|=H175</t>
  </si>
  <si>
    <t>:A:0:Wage_Incr_AnnualQ</t>
  </si>
  <si>
    <t>Prof_Staff_Salary_incr_pct["Prof_Staff_Types.Prof_Level_2", DATE(2010,4,1)]|=H213</t>
  </si>
  <si>
    <t>Sales_Lead_Hrs_New["Sales_Lead_Quality.Lead_Qual_1", "Practice_Areas.Practice_2", "Prof_Staff_Types.Prof_Level_2", "Channels.Channels_2", DATE(2010,10,1)]|=2*N75-M75</t>
  </si>
  <si>
    <t>(Tables)'!Engage_Gross_Margin_pct_Engagements_Engage_2_Prof_Staff_Types_Prof_Level_2</t>
  </si>
  <si>
    <t>Sup_Staff_Count_Early["Depts.Sales", "Sup_Staff_Levels.Manager", DATE(2010,11,1)]|=O199</t>
  </si>
  <si>
    <t>Cost_Services_TandE_Hr["Practice_Areas.Practice_1", "Prof_Staff_Types.Prof_Level_1", "Channels.Channels_1", DATE(2010,8,1)]|=L153</t>
  </si>
  <si>
    <t xml:space="preserve">  Vendor_Pay</t>
  </si>
  <si>
    <t>Office_Rent_Rate_Yr[DATE(2010,5,1)]|=I305</t>
  </si>
  <si>
    <t>Prof_Staff_Targ_Util_pct["Practice_Areas.Practice_2", "Prof_Staff_Types.Prof_Level_1", DATE(2010,9,1)]|=M191</t>
  </si>
  <si>
    <t>Prof_Staff_Targ_Util_pct["Practice_Areas.Practice_2", "Prof_Staff_Types.Prof_Level_2", DATE(2010,9,1)]|=M192</t>
  </si>
  <si>
    <t>Discount_Rate_Direct_Yr[DATE(2011,3,1)]|=S348</t>
  </si>
  <si>
    <t>Practice_Dev_Sup_Staff_Count["Practice_Areas.Practice_2", "Depts.Sales", "Sup_Staff_Levels.Manager", DATE(2011,6,1)]|=V297</t>
  </si>
  <si>
    <t>Practice_Dev_pct_Capd["Practice_Areas.Practice_1", DATE(2010,9,1)]|=M395</t>
  </si>
  <si>
    <t>:A:-1:IRR_w_Tail_Yr</t>
  </si>
  <si>
    <t>Sup_Staff_Count_Early["Depts.Sales", "Sup_Staff_Levels.Manager", DATE(2010,3,1)]|=G199</t>
  </si>
  <si>
    <t>:A:0:Sup_Staff_per_RevM</t>
  </si>
  <si>
    <t>:A:-1:Prof_Staff_Hrs_Capacity_Plot</t>
  </si>
  <si>
    <t>Engage_Discount_pct["Engagements.Engage_2", DATE(2010,2,1)]|=F149</t>
  </si>
  <si>
    <t>Number of support staff open positions, segmented by department, job level, and by time period</t>
  </si>
  <si>
    <t>Sales_Lead_Hrs_Expire_pct_Yr["Sales_Lead_Quality.Lead_Qual_2", "Practice_Areas.Practice_1", "Prof_Staff_Types.Prof_Level_2", "Channels.Channels_2", DATE(2011,2,1)]|=R116</t>
  </si>
  <si>
    <t>Prof_Fees_per_Hr_Nominal["Practice_Areas.Practice_2", "Prof_Staff_Types.Prof_Level_2", DATE(2010,9,1)]|=M141</t>
  </si>
  <si>
    <t>if(Time&lt;=Prof_Staff_Count_Cutover/periods_per("year")+0.001, Prof_Staff_Count_Early, if(Time&lt;=(1+Prof_Staff_Count_Cutover)/periods_per("year")+0.001, 0.5*(preve(Prof_Staff_Count_Early, Prof_Staff_Count_Early)+nexte(Prof_Staff_Count_Early, Prof_Staff_Count1)), Prof_Staff_Hrs_Applied/Prof_Staff_Targ_Hrs_per_HC_Yr*periods_per("year")/Prof_Staff_Targ_Util_pct))</t>
  </si>
  <si>
    <t>(Tables)'!Prof_Staff_Billings_Practice_Areas_Practice_1</t>
  </si>
  <si>
    <t>Prof_Staff_Count_Early["Practice_Areas.Practice_2", "Prof_Staff_Types.Prof_Level_1", DATE(2011,1,1)]|=Q186</t>
  </si>
  <si>
    <t>Prof_Staff_Targ_Util_pct["Practice_Areas.Practice_2", "Prof_Staff_Types.Prof_Level_2", DATE(2010,7,1)]|=K192</t>
  </si>
  <si>
    <t>var(Engage_Rev_Nominal_Fees*(1-Engage_Discount_pct)*(1-matmult(Ident_Engage_Practice, Prof_Fee_Discount_pct, "Practice_Areas", "Practice_Areas")))</t>
  </si>
  <si>
    <t xml:space="preserve">  Per_Old_Prof_Staff</t>
  </si>
  <si>
    <t>Recruit_pct_Positions_Sup</t>
  </si>
  <si>
    <t>Per_Sup_Staff_Exp_Yr["Depts.Sales", "Empl_Rel_Exp_Type.Travel_Entertain", DATE(2010,5,1)]|=I330</t>
  </si>
  <si>
    <t>Prof_Fees_per_Hr_Nominal["Practice_Areas.Practice_1", "Prof_Staff_Types.Prof_Level_1", DATE(2010,5,1)]|=I138</t>
  </si>
  <si>
    <t>Sup_Staff_Wage_incr_pct["Sup_Staff_Levels.Contributor", DATE(2010,4,1)]|=H231</t>
  </si>
  <si>
    <t>Prof Staff Benefits %</t>
  </si>
  <si>
    <t>Prof_Staff_Bonus_pct["Practice_Areas.Practice_2", "Prof_Staff_Types.Prof_Level_2", DATE(2011,6,1)]|=V218</t>
  </si>
  <si>
    <t>Accts_Pay_Targ_Days["Accts_Pay_Type.Vendor_Pay", DATE(2011,6,1)]|=W410</t>
  </si>
  <si>
    <t>:A:-1:Purchases_Short_Term</t>
  </si>
  <si>
    <t>Annualized internal rate of return for cash flow in model time periods and in tail after model time</t>
  </si>
  <si>
    <t>Tagged_Asset_Life_Phys_Period</t>
  </si>
  <si>
    <t>:D:0:Mktg_Pgms.Publications</t>
  </si>
  <si>
    <t>Accts_Rec_Days[DATE(2010,1,1)]|=60</t>
  </si>
  <si>
    <t>Cash_Flow_Expect_Fut*Cash_Flow_Oper</t>
  </si>
  <si>
    <t>Depreciation</t>
  </si>
  <si>
    <t>(Compute)'!Prof_Staff_Hrs_Billed_Plot_Time_Period</t>
  </si>
  <si>
    <t>Sup_Staff_Wage_Avg</t>
  </si>
  <si>
    <t>Recruit_pct_Pos_Sup_Init</t>
  </si>
  <si>
    <t>Practice_Dev_Sup_Staff_Count["Practice_Areas.Practice_1", "Depts.Sales", "Sup_Staff_Levels.Manager", DATE(2010,10,1)]|=N293</t>
  </si>
  <si>
    <t>Sup_Staff_Bonus_pct["Depts.Sales", "Sup_Staff_Levels.Manager", DATE(2010,1,1)]|=0</t>
  </si>
  <si>
    <t>Per_Prof_Staff_Exp_Yr["Prof_Staff_Types.Prof_Level_2", "Empl_Rel_Exp_Type.Supplies", DATE(2010,12,1)]|=P322</t>
  </si>
  <si>
    <t>Sales_Lead_Hrs_New["Sales_Lead_Quality.Lead_Qual_2", "Practice_Areas.Practice_1", "Prof_Staff_Types.Prof_Level_1", "Channels.Channels_1", DATE(2011,5,1)]|=2*U76-T76</t>
  </si>
  <si>
    <t>if(Time_Periods-Dev_Capd_Life_Yrs*periods_per("year")&lt;0.999, 0, index(ranget(Dev_Capd_per_Period), Time_Periods-round(Dev_Capd_Life_Yrs*periods_per("year"), 0)))</t>
  </si>
  <si>
    <t>Engage!Engage_Hrs_Unbilled_Engagements_Engage_1_Prof_Staff_Types</t>
  </si>
  <si>
    <t>Sales_Lead_Hrs_New["Sales_Lead_Quality.Lead_Qual_2", "Practice_Areas.Practice_2", "Prof_Staff_Types.Prof_Level_2", "Channels.Channels_1", DATE(2010,5,1)]|=2*I82-H82</t>
  </si>
  <si>
    <t>Wage_Tax_pct[DATE(2010,5,1)]|=I244</t>
  </si>
  <si>
    <t>Wage increase period %</t>
  </si>
  <si>
    <t>Office_Maint_Rate_Yr[DATE(2010,8,1)]|=L307</t>
  </si>
  <si>
    <t>Prof_Staff_Turnover_pct_Yr["Practice_Areas.Practice_1", "Prof_Staff_Types.Prof_Level_2"]|=0.10</t>
  </si>
  <si>
    <t>Sales_Lead_Hrs_Expire_pct_Yr["Sales_Lead_Quality.Lead_Qual_2", "Practice_Areas.Practice_2", "Prof_Staff_Types.Prof_Level_1", "Channels.Channels_2", DATE(2010,2,1)]|=F118</t>
  </si>
  <si>
    <t>Price Earnings Ratio</t>
  </si>
  <si>
    <t>Practice_Dev_Prof_Spend+Practice_Dev_Sup_Spend</t>
  </si>
  <si>
    <t>Sales_Lead_Hrs_Conv_pct_Yr["Sales_Lead_Quality.Lead_Qual_1", "Practice_Areas.Practice_2", "Prof_Staff_Types.Prof_Level_1", "Channels.Channels_2", DATE(2011,4,1)]|=T93</t>
  </si>
  <si>
    <t>Per_Sup_Staff_Exp_Yr["Depts.Marketing", "Empl_Rel_Exp_Type.Travel_Entertain", DATE(2010,3,1)]|=G327</t>
  </si>
  <si>
    <t>:D:2:Mktg_Pgms.Seminars</t>
  </si>
  <si>
    <t>:A:-1:Cost_Services_Supplies_Hr</t>
  </si>
  <si>
    <t>:A:0:Sales_Lead_Hrs_Conv_pct</t>
  </si>
  <si>
    <t>Plot Support'!Prof_Staff_Hrs_Capacity_Plot_Prof_Staff_Types_Prof_Level_1</t>
  </si>
  <si>
    <t>Accts_Rec_Days[DATE(2010,5,1)]|=I366</t>
  </si>
  <si>
    <t>(Ranges)'!Revenue_Practice_Areas_Practice_2_Prof_Staff_Types</t>
  </si>
  <si>
    <t>Interest_Rate_Short_Yr[DATE(2010,9,1)]|=M339</t>
  </si>
  <si>
    <t>Sales_Lead_Hrs_New["Sales_Lead_Quality.Lead_Qual_2", "Practice_Areas.Practice_1", "Prof_Staff_Types.Prof_Level_1", "Channels.Channels_2", DATE(2010,11,1)]|=2*O77-N77</t>
  </si>
  <si>
    <t>Sales_Lead_Hrs_Conv_pct_Yr["Sales_Lead_Quality.Lead_Qual_2", "Practice_Areas.Practice_1", "Prof_Staff_Types.Prof_Level_1", "Channels.Channels_1", DATE(2010,2,1)]|=F96</t>
  </si>
  <si>
    <t>Practice_Dev_Prof_Staff_Hrs</t>
  </si>
  <si>
    <t>Sales_Lead_Hrs_Expire_pct_Yr["Sales_Lead_Quality.Lead_Qual_2", "Practice_Areas.Practice_2", "Prof_Staff_Types.Prof_Level_2", "Channels.Channels_1", DATE(2010,8,1)]|=L119</t>
  </si>
  <si>
    <t>Interest_Rate_Long_Yr[DATE(2010,8,1)]|=L340</t>
  </si>
  <si>
    <t>Sales_Lead_Hrs_Conv_pct_Yr["Sales_Lead_Quality.Lead_Qual_2", "Practice_Areas.Practice_2", "Prof_Staff_Types.Prof_Level_1", "Channels.Channels_1", DATE(2010,4,1)]|=H100</t>
  </si>
  <si>
    <t>:A:0:Tagged_Assets</t>
  </si>
  <si>
    <t>Practice_Dev_Sup_Staff_Count["Practice_Areas.Practice_1", "Depts.Marketing", "Sup_Staff_Levels.Manager", DATE(2010,10,1)]|=N291</t>
  </si>
  <si>
    <t>Prof_Staff_Targ_Util_pct["Practice_Areas.Practice_1", "Prof_Staff_Types.Prof_Level_1", DATE(2010,8,1)]|=L189</t>
  </si>
  <si>
    <t>Cost_Services_TandE_Hr["Practice_Areas.Practice_2", "Prof_Staff_Types.Prof_Level_1", "Channels.Channels_2", DATE(2010,7,1)]|=K158</t>
  </si>
  <si>
    <t>Practice_Dev_Prof_Staff_Count["Practice_Areas.Practice_1", "Prof_Staff_Types.Prof_Level_1", DATE(2010,8,1)]|=L286</t>
  </si>
  <si>
    <t>Plot Support'!Prof_Staff_Count_plt</t>
  </si>
  <si>
    <t>:A:0:Tagged_Asset_Life_Depr_Yr</t>
  </si>
  <si>
    <t>(Ranges)'!Prof_Staff_Cost_Unapplied_Practice_Areas</t>
  </si>
  <si>
    <t>Accts_Rec_Days[DATE(2010,3,1)]|=G366</t>
  </si>
  <si>
    <t>Sales_Lead_Hrs_Conv_pct_Yr["Sales_Lead_Quality.Lead_Qual_2", "Practice_Areas.Practice_1", "Prof_Staff_Types.Prof_Level_2", "Channels.Channels_2", DATE(2011,2,1)]|=R99</t>
  </si>
  <si>
    <t>:A:0:Mktg_Exp_Ratio</t>
  </si>
  <si>
    <t>Discount_Rate_Direct_Yr[DATE(2011,1,1)]|=Q348</t>
  </si>
  <si>
    <t>Sales_Lead_Hrs_Conv_pct_Yr["Sales_Lead_Quality.Lead_Qual_2", "Practice_Areas.Practice_2", "Prof_Staff_Types.Prof_Level_1", "Channels.Channels_1", DATE(2011,3,1)]|=S100</t>
  </si>
  <si>
    <t>Cash_Flow_Expect_Factor[DATE(2010,11,1)]|=O439</t>
  </si>
  <si>
    <t>Orders_Filled_Hrs_pct["Practice_Areas.Practice_2", "Prof_Staff_Types.Prof_Level_1", "Channels.Channels_2", DATE(2010,2,1)]|=F127</t>
  </si>
  <si>
    <t>Sales_Lead_Hrs_Expire_pct_Yr["Sales_Lead_Quality.Lead_Qual_2", "Practice_Areas.Practice_2", "Prof_Staff_Types.Prof_Level_2", "Channels.Channels_2", DATE(2011,6,1)]|=V120</t>
  </si>
  <si>
    <t>:A:0:Gen_Admin_Exp</t>
  </si>
  <si>
    <t>Mktg_Pgms_Exp_Early["Mktg_Pgms.Publications", "Practice_Areas.Practice_2", DATE(2010,5,1)]|=I279</t>
  </si>
  <si>
    <t>:A:0:Tail_Discount_Rate_Yr</t>
  </si>
  <si>
    <t>Income_Tax_Rate[DATE(2010,6,1)]|=J345</t>
  </si>
  <si>
    <t>Practice_Dev_Sup_Staff_Count["Practice_Areas.Practice_2", "Depts.Marketing", "Sup_Staff_Levels.Manager", DATE(2010,4,1)]|=H295</t>
  </si>
  <si>
    <t>Cost of professional staff time applied to client Engagements (including those from the sales funnel). Segmented by Practice Area, Professional Staff Type, Channels, and time period.</t>
  </si>
  <si>
    <t>Sup_Staff_Count_Early["Depts.Marketing", "Sup_Staff_Levels.Contributor", DATE(2011,1,1)]|=Q198</t>
  </si>
  <si>
    <t>Rate at which qualified sales leads convert to next-most qualified lead class or to sales orders, segmented by lead quality and by product, for each time period. Sales leads apply to products only, not support. The least qualified lead categories are listed first, and the most qualified categories are at the end of the list.
A conversion rate of exactly 100%/year is treated as a special case, so that all leads are promoted in the first time period, even if that is a month (or a day).</t>
  </si>
  <si>
    <t>Prof_Staff_Recruited*Prof_Staff_Salary_Avg_Yr*Recruit_Exp_pct_Comp_Prof</t>
  </si>
  <si>
    <t>Prof_Staff_Targ_Util_pct["Practice_Areas.Practice_2", "Prof_Staff_Types.Prof_Level_2", DATE(2010,10,1)]|=N192</t>
  </si>
  <si>
    <t>Cost of providing services in client engagements (including small engagements from the sales funnel), segmented by staff cost and supplies cost, and by time period</t>
  </si>
  <si>
    <t>Prof_Fees_per_Hr_Nominal["Practice_Areas.Practice_1", "Prof_Staff_Types.Prof_Level_1", DATE(2010,6,1)]|=J138</t>
  </si>
  <si>
    <t>Sales_Lead_Hrs_Conv_pct_Yr["Sales_Lead_Quality.Lead_Qual_1", "Practice_Areas.Practice_1", "Prof_Staff_Types.Prof_Level_2", "Channels.Channels_2", DATE(2011,1,1)]|=Q91</t>
  </si>
  <si>
    <t>Sales_Lead_Hrs_New["Sales_Lead_Quality.Lead_Qual_2", "Practice_Areas.Practice_2", "Prof_Staff_Types.Prof_Level_2", "Channels.Channels_2", DATE(2011,5,1)]|=2*U83-T83</t>
  </si>
  <si>
    <t>((1+Interest_Rate_Short_Yr)^(1/periods_per("year"))-1)*prev(Short_Debt)+((1+Interest_Rate_Long_Yr)^(1/periods_per("year"))-1)*Long_Loans+0-((1+Interest_Rate_Earned_Cash_Yr)^(1/periods_per("year"))-1)*Cash_Starting</t>
  </si>
  <si>
    <t>Engage_Channel["Engagements.Engage_2"]|='(Tables)'!B5</t>
  </si>
  <si>
    <t>Prof_Staff_Targ_Util_pct["Practice_Areas.Practice_1", "Prof_Staff_Types.Prof_Level_2", DATE(2011,4,1)]|=T190</t>
  </si>
  <si>
    <t>Discount_Rate_Direct_Yr</t>
  </si>
  <si>
    <t>Discount_Rate_Direct_Yr[DATE(2011,2,1)]|=R348</t>
  </si>
  <si>
    <t xml:space="preserve">  Period_4</t>
  </si>
  <si>
    <t>Lead Quality 1</t>
  </si>
  <si>
    <t>Prof_Staff_Turnover_pct_Yr</t>
  </si>
  <si>
    <t>Cap'd Dev Period Lagged</t>
  </si>
  <si>
    <t>Prof_Staff_Cost_Engage</t>
  </si>
  <si>
    <t>Wage_Incr_AnnualQ[]|=True</t>
  </si>
  <si>
    <t>Prof_Staff_Count_Early["Practice_Areas.Practice_2", "Prof_Staff_Types.Prof_Level_1", DATE(2010,9,1)]|=M186</t>
  </si>
  <si>
    <t>Office_Maint_Rate_Yr[DATE(2010,6,1)]|=J307</t>
  </si>
  <si>
    <t>Prof_Staff_Targ_Util_pct["Practice_Areas.Practice_2", "Prof_Staff_Types.Prof_Level_1", DATE(2010,10,1)]|=N191</t>
  </si>
  <si>
    <t>Sales_Lead_Hrs_Expire_pct_Yr["Sales_Lead_Quality.Lead_Qual_2", "Practice_Areas.Practice_1", "Prof_Staff_Types.Prof_Level_2", "Channels.Channels_2", DATE(2011,1,1)]|=Q116</t>
  </si>
  <si>
    <t>:A:-1:Tagged_Asset_Life_Phys_Period</t>
  </si>
  <si>
    <t>Accts_Pay_Targ_Days["Accts_Pay_Type.Payroll_Pay", DATE(2011,4,1)]|=U411</t>
  </si>
  <si>
    <t>Engage!Orders_Filled_Practice_Areas_Practice_2_Prof_Staff_Types_Prof_Level_1_Channels_Channels_1</t>
  </si>
  <si>
    <t>Orders_Filled_Hrs_pct["Practice_Areas.Practice_2", "Prof_Staff_Types.Prof_Level_2", "Channels.Channels_2", DATE(2010,2,1)]|=F129</t>
  </si>
  <si>
    <t>Per_Prof_Staff_Exp_Yr["Prof_Staff_Types.Prof_Level_2", "Empl_Rel_Exp_Type.Other", DATE(2010,10,1)]|=N324</t>
  </si>
  <si>
    <t>Sales_Commis_Rate*Sales_Commis_Rev_Share*Revenue</t>
  </si>
  <si>
    <t>Orders_Filled_Hrs_pct["Practice_Areas.Practice_2", "Prof_Staff_Types.Prof_Level_1", "Channels.Channels_1", DATE(2010,7,1)]|=K126</t>
  </si>
  <si>
    <t>Sales_Lead_Hrs_Expire_pct_Yr["Sales_Lead_Quality.Lead_Qual_1", "Practice_Areas.Practice_2", "Prof_Staff_Types.Prof_Level_2", "Channels.Channels_1", DATE(2010,2,1)]|=F111</t>
  </si>
  <si>
    <t>Prof_Staff_Salary_incr_pct["Prof_Staff_Types.Prof_Level_2", DATE(2011,3,1)]|=S213</t>
  </si>
  <si>
    <t>Cost_Services_Supplies_Hr["Practice_Areas.Practice_2", "Prof_Staff_Types.Prof_Level_2", "Supply_Types.Supply_Type_2", "Channels.Channels_1", DATE(2011,4,1)]|=T175</t>
  </si>
  <si>
    <t>Sup_Staff_Bonus_pct["Depts.Sales", "Sup_Staff_Levels.Manager", DATE(2010,11,1)]|=O235</t>
  </si>
  <si>
    <t>:A:-1:Engage_Discount_pct</t>
  </si>
  <si>
    <t>(Compute)'!Prof_Staff_Hrs_Unbilled_Channel_Date</t>
  </si>
  <si>
    <t>Sales_Lead_Hrs_New["Sales_Lead_Quality.Lead_Qual_2", "Practice_Areas.Practice_1", "Prof_Staff_Types.Prof_Level_1", "Channels.Channels_1", DATE(2010,10,1)]|=2*N76-M76</t>
  </si>
  <si>
    <t>:D:1:Accts_Pay_Type</t>
  </si>
  <si>
    <t>Practice_Dev_Prof_Staff_Count["Practice_Areas.Practice_2", "Prof_Staff_Types.Prof_Level_1", DATE(2010,5,1)]|=I288</t>
  </si>
  <si>
    <t>Prof_Staff_Benefits_pct["Prof_Staff_Types.Prof_Level_1", DATE(2010,2,1)]|=F220</t>
  </si>
  <si>
    <t>Accts_Pay_Targ_Days["Accts_Pay_Type.Payroll_Pay", DATE(2011,6,1)]|=W411</t>
  </si>
  <si>
    <t>Prof Staff Turnover</t>
  </si>
  <si>
    <t>Wage_Tax_pct[DATE(2010,8,1)]|=L244</t>
  </si>
  <si>
    <t>Sales_Lead_Hrs_Conv_pct_Yr["Sales_Lead_Quality.Lead_Qual_2", "Practice_Areas.Practice_1", "Prof_Staff_Types.Prof_Level_1", "Channels.Channels_1", DATE(2010,9,1)]|=M96</t>
  </si>
  <si>
    <t>:D:-1:Assets</t>
  </si>
  <si>
    <t>Practice_Areas, Prof_Staff_Types</t>
  </si>
  <si>
    <t>Practice_Dev_Sup_Staff_Count["Practice_Areas.Practice_2", "Depts.Marketing", "Sup_Staff_Levels.Contributor", DATE(2011,1,1)]|=Q296</t>
  </si>
  <si>
    <t>Cash_Targ_Days[DATE(2010,3,1)]|=G360</t>
  </si>
  <si>
    <t>Financial Exp</t>
  </si>
  <si>
    <t>Cost_Services_TandE_Hr["Practice_Areas.Practice_2", "Prof_Staff_Types.Prof_Level_2", "Channels.Channels_1", DATE(2011,1,1)]|=Q159</t>
  </si>
  <si>
    <t>:A:-1:Prof_Staff_Openings</t>
  </si>
  <si>
    <t>Cost_Services_TandE_Hr["Practice_Areas.Practice_2", "Prof_Staff_Types.Prof_Level_2", "Channels.Channels_1", DATE(2011,2,1)]|=R159</t>
  </si>
  <si>
    <t xml:space="preserve">  PaidinCap</t>
  </si>
  <si>
    <t>:A:0:Prof_Staff_Hrs_Unbilled_Channel</t>
  </si>
  <si>
    <t>Time</t>
  </si>
  <si>
    <t>Sales_Lead_Hrs_Conv_pct_Yr["Sales_Lead_Quality.Lead_Qual_2", "Practice_Areas.Practice_2", "Prof_Staff_Types.Prof_Level_2", "Channels.Channels_1", DATE(2011,1,1)]|=Q102</t>
  </si>
  <si>
    <t>Prof_Fees_per_Hr_Nominal["Practice_Areas.Practice_1", "Prof_Staff_Types.Prof_Level_1", DATE(2010,12,1)]|=P138</t>
  </si>
  <si>
    <t>preve(0.8)</t>
  </si>
  <si>
    <t>:A:-1:Prof_Staff_Recruited</t>
  </si>
  <si>
    <t>Number of support staff that are recruited, segmented by department, job level, and by time period</t>
  </si>
  <si>
    <t>Sales_Lead_Hrs_Conv_pct_Yr["Sales_Lead_Quality.Lead_Qual_2", "Practice_Areas.Practice_1", "Prof_Staff_Types.Prof_Level_2", "Channels.Channels_1", DATE(2011,5,1)]|=U98</t>
  </si>
  <si>
    <t>Prof_Staff_Bonus_pct["Practice_Areas.Practice_1", "Prof_Staff_Types.Prof_Level_2", DATE(2010,3,1)]|=G216</t>
  </si>
  <si>
    <t>Sales_Lead_Hrs_New["Sales_Lead_Quality.Lead_Qual_2", "Practice_Areas.Practice_1", "Prof_Staff_Types.Prof_Level_2", "Channels.Channels_2", DATE(2011,1,1)]|=2*Q79-P79</t>
  </si>
  <si>
    <t>preve(0.5)</t>
  </si>
  <si>
    <t>Cost_Services_TandE_Hr["Practice_Areas.Practice_1", "Prof_Staff_Types.Prof_Level_1", "Channels.Channels_1", DATE(2011,5,1)]|=U153</t>
  </si>
  <si>
    <t>Sales_Lead_Hrs_Expire_pct_Yr["Sales_Lead_Quality.Lead_Qual_1", "Practice_Areas.Practice_1", "Prof_Staff_Types.Prof_Level_1", "Channels.Channels_1", DATE(2010,11,1)]|=O105</t>
  </si>
  <si>
    <t>Cost_Services_TandE_Hr["Practice_Areas.Practice_1", "Prof_Staff_Types.Prof_Level_1", "Channels.Channels_1", DATE(2011,6,1)]|=V153</t>
  </si>
  <si>
    <t>Engage_Labor_Slope["Engagements.Engage_2", "Prof_Staff_Types.Prof_Level_2"]|=0</t>
  </si>
  <si>
    <t xml:space="preserve">    ShortDebt</t>
  </si>
  <si>
    <t>Sales_Lead_Hrs_Conv_pct_Yr["Sales_Lead_Quality.Lead_Qual_2", "Practice_Areas.Practice_1", "Prof_Staff_Types.Prof_Level_1", "Channels.Channels_1", DATE(2010,12,1)]|=P96</t>
  </si>
  <si>
    <t>:A:0:Bad_Debt_pct</t>
  </si>
  <si>
    <t>Expense Type</t>
  </si>
  <si>
    <t>(Tables)'!Engage_Hrs_Applied_ET_Engage_Time_Period_4_Engagements_Engage_1</t>
  </si>
  <si>
    <t>Support Staff Rel Exp</t>
  </si>
  <si>
    <t>(Ranges)'!Gross_Margin_Channel_Channels_Channels_2</t>
  </si>
  <si>
    <t>Orders_Filled_Hrs_pct["Practice_Areas.Practice_1", "Prof_Staff_Types.Prof_Level_1", "Channels.Channels_2", DATE(2010,7,1)]|=K123</t>
  </si>
  <si>
    <t>(Ranges)'!Prof_Staff_Hrs_Capacity_Practice_Areas_Practice_2_Prof_Staff_Types</t>
  </si>
  <si>
    <t>(Compute)'!Orders_Filled_Hrs_Plot_Time_Period</t>
  </si>
  <si>
    <t>:A:0:IRR_CF_w_Tail</t>
  </si>
  <si>
    <t>Bad_Debt_pct[DATE(2010,12,1)]|=P342</t>
  </si>
  <si>
    <t>Mktg_Pgms_Exp_Early["Mktg_Pgms.Seminars", "Practice_Areas.Practice_1", DATE(2011,2,1)]|=R276</t>
  </si>
  <si>
    <t>Cost_Services_Supplies_Hr["Practice_Areas.Practice_1", "Prof_Staff_Types.Prof_Level_2", "Supply_Types.Supply_Type_1", "Channels.Channels_1", DATE(2011,2,1)]|=R165</t>
  </si>
  <si>
    <t>:A:0:Practice_Dev_pct_Capd</t>
  </si>
  <si>
    <t>Sales_Lead_Hrs_Conv_pct_Yr["Sales_Lead_Quality.Lead_Qual_2", "Practice_Areas.Practice_2", "Prof_Staff_Types.Prof_Level_1", "Channels.Channels_1", DATE(2010,10,1)]|=N100</t>
  </si>
  <si>
    <t xml:space="preserve">    Cash</t>
  </si>
  <si>
    <t>Practice_Dev_Prof_Staff_Count["Practice_Areas.Practice_2", "Prof_Staff_Types.Prof_Level_1", DATE(2010,9,1)]|=M288</t>
  </si>
  <si>
    <t>Prof_Staff_Count_Early["Practice_Areas.Practice_2", "Prof_Staff_Types.Prof_Level_1", DATE(2010,7,1)]|=K186</t>
  </si>
  <si>
    <t>:A:-1:Gen_Admin_Exp</t>
  </si>
  <si>
    <t>:A:0:Engage_Gross_Margin</t>
  </si>
  <si>
    <t>Professional staff cost applied to client engagements (including small engagements from the sales funnel), segmented by Practice Area, Professional Staff Type, and time period. Includes cost of professional time applied to engagements but not billed.</t>
  </si>
  <si>
    <t>Practice_Dev_Sup_Staff_Count["Practice_Areas.Practice_1", "Depts.Sales", "Sup_Staff_Levels.Contributor", DATE(2010,9,1)]|=M294</t>
  </si>
  <si>
    <t>Sales_Lead_Hrs_Conv_pct_Yr["Sales_Lead_Quality.Lead_Qual_2", "Practice_Areas.Practice_2", "Prof_Staff_Types.Prof_Level_1", "Channels.Channels_1", DATE(2010,8,1)]|=L100</t>
  </si>
  <si>
    <t>Long_Loans[DATE(2011,5,1)]|=V421</t>
  </si>
  <si>
    <t>:A:0:Ident_Engage_Practice</t>
  </si>
  <si>
    <t>:A:-1:Engage_Labor_Slope</t>
  </si>
  <si>
    <t>Practice_Dev_Sup_Staff_Count["Practice_Areas.Practice_1", "Depts.Sales", "Sup_Staff_Levels.Contributor", DATE(2010,5,1)]|=I294</t>
  </si>
  <si>
    <t>Sup_Staff_Count_Early["Depts.Marketing", "Sup_Staff_Levels.Contributor", DATE(2010,7,1)]|=K198</t>
  </si>
  <si>
    <t>:D:0:Accts_Pay_Type.Vendor_Pay</t>
  </si>
  <si>
    <t>Accts_Pay_Targ_Days["Accts_Pay_Type.Tax_Pay", DATE(2010,12,1)]|=Q412</t>
  </si>
  <si>
    <t>(Ranges)'!Prof_Staff_Hrs_Unapplied_Practice_Areas_Practice_2_Prof_Staff_Types_Prof_Level_1</t>
  </si>
  <si>
    <t>Untagged Assets</t>
  </si>
  <si>
    <t>G_A_Exp_K["Depts.Marketing", "GA_Exp.GA_Exp_1", "Konst.K1"]|=0</t>
  </si>
  <si>
    <t>Cost_Services_Supplies["Dir_Cost_Types.Direct_Supplies"]+Prof_Staff_Rel_Exp+Sup_Staff_Rel_Exp+Long_Asset_Purch+Facil_Util_Exp</t>
  </si>
  <si>
    <t>(Ranges)'!Assets_Assets_Long</t>
  </si>
  <si>
    <t>Income_Tax_Rate[DATE(2010,4,1)]|=H345</t>
  </si>
  <si>
    <t>Billing Rate Discount %</t>
  </si>
  <si>
    <t>Prof_Fees_per_Hr_Nominal["Practice_Areas.Practice_2", "Prof_Staff_Types.Prof_Level_1", DATE(2011,3,1)]|=S140</t>
  </si>
  <si>
    <t>Travel &amp; Entertain</t>
  </si>
  <si>
    <t>Prof_Staff_Bonus_pct</t>
  </si>
  <si>
    <t>Sales_Lead_Hrs_Conv_pct_Yr["Sales_Lead_Quality.Lead_Qual_1", "Practice_Areas.Practice_2", "Prof_Staff_Types.Prof_Level_1", "Channels.Channels_1", DATE(2010,2,1)]|=F92</t>
  </si>
  <si>
    <t>Net_Stock_Issue[DATE(2010,11,1)]|=0</t>
  </si>
  <si>
    <t>Sales_Lead_Hrs_Expire_pct_Yr["Sales_Lead_Quality.Lead_Qual_2", "Practice_Areas.Practice_2", "Prof_Staff_Types.Prof_Level_1", "Channels.Channels_2", DATE(2011,5,1)]|=U118</t>
  </si>
  <si>
    <t>Sup_Staff_Wage_incr_pct</t>
  </si>
  <si>
    <t>Starting Cash</t>
  </si>
  <si>
    <t>:A:0:Dev_Capd_Init</t>
  </si>
  <si>
    <t>Accts_Rec_Days[DATE(2010,4,1)]|=H366</t>
  </si>
  <si>
    <t>(Ranges)'!Liabilities_Liabilities_Long_Bonds</t>
  </si>
  <si>
    <t>Per_Prof_Staff_Exp_Yr["Prof_Staff_Types.Prof_Level_2", "Empl_Rel_Exp_Type.Other", DATE(2011,4,1)]|=T324</t>
  </si>
  <si>
    <t>Sales_Lead_Hrs_New["Sales_Lead_Quality.Lead_Qual_2", "Practice_Areas.Practice_2", "Prof_Staff_Types.Prof_Level_2", "Channels.Channels_1", DATE(2010,6,1)]|=2*J82-I82</t>
  </si>
  <si>
    <t>Cost_Services_Supplies_Hr["Practice_Areas.Practice_1", "Prof_Staff_Types.Prof_Level_1", "Supply_Types.Supply_Type_2", "Channels.Channels_2", DATE(2010,11,1)]|=O164</t>
  </si>
  <si>
    <t>Cost_Services_TandE_Hr["Practice_Areas.Practice_2", "Prof_Staff_Types.Prof_Level_2", "Channels.Channels_1", DATE(2010,3,1)]|=G159</t>
  </si>
  <si>
    <t>G_A_Exp_K["Depts.Marketing", "GA_Exp.GA_Exp_1", "Konst.K0"]|=0</t>
  </si>
  <si>
    <t>Tagged_Asset_Name["Asset_Tags.Building_A"]|="Tagged Asset "&amp;1</t>
  </si>
  <si>
    <t>:A:-1:Accts_Payable</t>
  </si>
  <si>
    <t>Practice_Dev_Prof_Staff_Count["Practice_Areas.Practice_1", "Prof_Staff_Types.Prof_Level_1", DATE(2011,6,1)]|=V286</t>
  </si>
  <si>
    <t>Engage_Hrs_Applied_ET["Engagements.Engage_2", "Prof_Staff_Types.Prof_Level_2", "Engage_Time.Period_1"]|=if('(Tables)'!B42&lt;=G21, F27*F21*1/G21+F27*F21*min(1, max(-1, G27))*2*'(Tables)'!B42/G21/G21+F27*F21*min(1, max(-1, G27))*(-1)/G21/G21+F27*F21*min(1, max(-1, G27))*(-1)/G21, 0*F21/G21)</t>
  </si>
  <si>
    <t>Interest_Rate_Short_Yr</t>
  </si>
  <si>
    <t>Term</t>
  </si>
  <si>
    <t>:A:0:Untagged_Asset_Deprec</t>
  </si>
  <si>
    <t>Sup_Staff_Bonus_pct["Depts.Marketing", "Sup_Staff_Levels.Manager", DATE(2010,1,1)]|=0</t>
  </si>
  <si>
    <t>Sales_Lead_Hrs_Conv_pct_Yr["Sales_Lead_Quality.Lead_Qual_1", "Practice_Areas.Practice_1", "Prof_Staff_Types.Prof_Level_1", "Channels.Channels_1", DATE(2011,5,1)]|=U88</t>
  </si>
  <si>
    <t>Per_Sup_Staff_Exp_Yr["Depts.Marketing", "Empl_Rel_Exp_Type.Travel_Entertain", DATE(2010,11,1)]|=O327</t>
  </si>
  <si>
    <t>Cost_Services_TandE_Hr["Practice_Areas.Practice_2", "Prof_Staff_Types.Prof_Level_2", "Channels.Channels_2", DATE(2011,1,1)]|=Q160</t>
  </si>
  <si>
    <t>(Ranges)'!Gross_Margin_Channel_Channels_Channels_1</t>
  </si>
  <si>
    <t>Per_Prof_Staff_Exp_Yr["Prof_Staff_Types.Prof_Level_2", "Empl_Rel_Exp_Type.Travel_Entertain", DATE(2010,9,1)]|=M323</t>
  </si>
  <si>
    <t>Sales_Lead_Hrs_New["Sales_Lead_Quality.Lead_Qual_2", "Practice_Areas.Practice_2", "Prof_Staff_Types.Prof_Level_1", "Channels.Channels_2", DATE(2010,9,1)]|=2*M81-L81</t>
  </si>
  <si>
    <t>Practice Areas</t>
  </si>
  <si>
    <t>Sales_Lead_Hrs_Conv_pct_Yr["Sales_Lead_Quality.Lead_Qual_2", "Practice_Areas.Practice_2", "Prof_Staff_Types.Prof_Level_1", "Channels.Channels_1", DATE(2010,11,1)]|=O100</t>
  </si>
  <si>
    <t>Practice_Dev_Sup_Staff_Count["Practice_Areas.Practice_2", "Depts.Marketing", "Sup_Staff_Levels.Contributor", DATE(2010,8,1)]|=L296</t>
  </si>
  <si>
    <t>:D:1:Practice_Areas</t>
  </si>
  <si>
    <t>Prof_Fees_per_Hr_Nominal["Practice_Areas.Practice_1", "Prof_Staff_Types.Prof_Level_1", DATE(2010,7,1)]|=K138</t>
  </si>
  <si>
    <t>Sales_Lead_Hrs_Conv_pct_Yr["Sales_Lead_Quality.Lead_Qual_1", "Practice_Areas.Practice_2", "Prof_Staff_Types.Prof_Level_1", "Channels.Channels_2", DATE(2010,5,1)]|=I93</t>
  </si>
  <si>
    <t>:D:0:Sup_Staff_Levels.Manager</t>
  </si>
  <si>
    <t>Mktg_Pgms_Exp_Early["Mktg_Pgms.Publications", "Practice_Areas.Practice_1", DATE(2011,3,1)]|=S278</t>
  </si>
  <si>
    <t>Order_Backlog_Hrs_Init["Practice_Areas.Practice_2", "Prof_Staff_Types.Prof_Level_1", "Channels.Channels_2"]|=M59</t>
  </si>
  <si>
    <t>Office_Utilities_Rate_Yr</t>
  </si>
  <si>
    <t>Sales_Lead_Hrs_Conv_pct_Yr["Sales_Lead_Quality.Lead_Qual_2", "Practice_Areas.Practice_1", "Prof_Staff_Types.Prof_Level_2", "Channels.Channels_1", DATE(2010,9,1)]|=M98</t>
  </si>
  <si>
    <t>Sales_Lead_Hrs_Conv_pct_Yr["Sales_Lead_Quality.Lead_Qual_2", "Practice_Areas.Practice_2", "Prof_Staff_Types.Prof_Level_2", "Channels.Channels_1", DATE(2011,6,1)]|=V102</t>
  </si>
  <si>
    <t>Sup_Staff_Bonus_pct["Depts.Sales", "Sup_Staff_Levels.Manager", DATE(2010,2,1)]|=F235</t>
  </si>
  <si>
    <t>Sales_Lead_Hrs_Expire_pct_Yr["Sales_Lead_Quality.Lead_Qual_1", "Practice_Areas.Practice_1", "Prof_Staff_Types.Prof_Level_1", "Channels.Channels_2", DATE(2010,12,1)]|=P106</t>
  </si>
  <si>
    <t>:A:-1:Wage_Incr_AnnualQ</t>
  </si>
  <si>
    <t>Sup_Staff_per_RevM</t>
  </si>
  <si>
    <t>Engage!Engage_Billings_Engagements_Engage_1_Prof_Staff_Types_Prof_Level_1</t>
  </si>
  <si>
    <t>preve(60)</t>
  </si>
  <si>
    <t>Per_Prof_Staff_Exp_Yr["Prof_Staff_Types.Prof_Level_2", "Empl_Rel_Exp_Type.Travel_Entertain", DATE(2011,3,1)]|=S323</t>
  </si>
  <si>
    <t>Sales_Lead_Hrs_Expire_pct_Yr["Sales_Lead_Quality.Lead_Qual_2", "Practice_Areas.Practice_2", "Prof_Staff_Types.Prof_Level_1", "Channels.Channels_1", DATE(2010,11,1)]|=O117</t>
  </si>
  <si>
    <t>Engage!Engage_Cost_Staff_Engagements</t>
  </si>
  <si>
    <t>Sales_Lead_Hrs_New["Sales_Lead_Quality.Lead_Qual_1", "Practice_Areas.Practice_2", "Prof_Staff_Types.Prof_Level_2", "Channels.Channels_1", DATE(2010,11,1)]|=2*O74-N74</t>
  </si>
  <si>
    <t>Sup_Staff_Benefits_pct[DATE(2010,12,1)]|=P238</t>
  </si>
  <si>
    <t>Prof_Fee_Discount_pct["Practice_Areas.Practice_2", "Prof_Staff_Types.Prof_Level_1", DATE(2011,4,1)]|=T145</t>
  </si>
  <si>
    <t>Quick Ratio</t>
  </si>
  <si>
    <t>Sales_Commis_Rate[DATE(2011,1,1)]|=Q246</t>
  </si>
  <si>
    <t>Sup_Staff_Benefits_pct[DATE(2010,3,1)]|=G238</t>
  </si>
  <si>
    <t>Engage_Hrs_Applied_ET["Engagements.Engage_1", "Prof_Staff_Types.Prof_Level_2", "Engage_Time.Period_3"]|=if('(Tables)'!B44&lt;=G20, F25*F20*1/G20+F25*F20*min(1, max(-1, G25))*2*'(Tables)'!B44/G20/G20+F25*F20*min(1, max(-1, G25))*(-1)/G20/G20+F25*F20*min(1, max(-1, G25))*(-1)/G20, 0*F20/G20)</t>
  </si>
  <si>
    <t>Engage_Start_Time["Engagements.Engage_2"]|=round(max(2, '(Tables)'!T9*2/6), 0)</t>
  </si>
  <si>
    <t>Sales_Lead_Hrs_Conv_pct_Yr["Sales_Lead_Quality.Lead_Qual_2", "Practice_Areas.Practice_2", "Prof_Staff_Types.Prof_Level_2", "Channels.Channels_2", DATE(2011,4,1)]|=T103</t>
  </si>
  <si>
    <t>Converts the dimension Channels into an analysis variable for use in lookups. This variable is a technical device with no conceptual significance in the model.</t>
  </si>
  <si>
    <t>Sales_Lead_Hrs_Conv_pct_Yr["Sales_Lead_Quality.Lead_Qual_2", "Practice_Areas.Practice_2", "Prof_Staff_Types.Prof_Level_1", "Channels.Channels_1", DATE(2011,5,1)]|=U100</t>
  </si>
  <si>
    <t>Cost_Services_Supplies_Hr["Practice_Areas.Practice_1", "Prof_Staff_Types.Prof_Level_2", "Supply_Types.Supply_Type_1", "Channels.Channels_1", DATE(2010,6,1)]|=J165</t>
  </si>
  <si>
    <t>Prof_Staff_Count_Early["Practice_Areas.Practice_1", "Prof_Staff_Types.Prof_Level_1", DATE(2010,9,1)]|=M184</t>
  </si>
  <si>
    <t>Engage!Engage_Gross_Margin_pct_Engagements</t>
  </si>
  <si>
    <t>Mktg_Pgms_Exp_Early["Mktg_Pgms.Seminars", "Practice_Areas.Practice_1", DATE(2010,9,1)]|=M276</t>
  </si>
  <si>
    <t>Prof_Staff_Targ_Util_pct["Practice_Areas.Practice_1", "Prof_Staff_Types.Prof_Level_2", DATE(2011,3,1)]|=S190</t>
  </si>
  <si>
    <t>Prof_Staff_Targ_Util_pct["Practice_Areas.Practice_2", "Prof_Staff_Types.Prof_Level_2", DATE(2010,6,1)]|=J192</t>
  </si>
  <si>
    <t>Engage_Discount_pct["Engagements.Engage_1", DATE(2011,1,1)]|=Q148</t>
  </si>
  <si>
    <t>Engage Types</t>
  </si>
  <si>
    <t>Prof_Staff_Count_Early["Practice_Areas.Practice_1", "Prof_Staff_Types.Prof_Level_2", DATE(2010,4,1)]|=H185</t>
  </si>
  <si>
    <t>Prof_Staff_Benefits_pct["Prof_Staff_Types.Prof_Level_1", DATE(2011,2,1)]|=R220</t>
  </si>
  <si>
    <t>Cash flow at the end of each accounting period adjusted to cancel out capital transactions (dividends, sale of stock, changes in debt), and scaled by the cash flow expectation factor that reflects risk in plan cash flows</t>
  </si>
  <si>
    <t>(Tables)'!Engage_Hrs_Applied_ET_Engage_Time_Period_3_Engagements_Engage_2_Prof_Staff_Types</t>
  </si>
  <si>
    <t>Sales_Lead_Hrs_Expire_pct_Yr["Sales_Lead_Quality.Lead_Qual_2", "Practice_Areas.Practice_1", "Prof_Staff_Types.Prof_Level_1", "Channels.Channels_2", DATE(2010,11,1)]|=O114</t>
  </si>
  <si>
    <t>:A:0:Tagged_Asset_Life_Depr_Period</t>
  </si>
  <si>
    <t>:D:-1:Engage_Types</t>
  </si>
  <si>
    <t>(Tables)'!Prof_Staff_Billings_Practice_Areas_Practice_2_Prof_Staff_Types_Prof_Level_1_Channels_Channels_2</t>
  </si>
  <si>
    <t>Sales_Lead_Hrs_Conv_pct_Yr["Sales_Lead_Quality.Lead_Qual_2", "Practice_Areas.Practice_1", "Prof_Staff_Types.Prof_Level_1", "Channels.Channels_1", DATE(2011,2,1)]|=R96</t>
  </si>
  <si>
    <t>Sup_Staff_Wage_incr_period_pct</t>
  </si>
  <si>
    <t>(1+Tail_Growth_Rate_Yr)^(1/periods_per("year"))-1</t>
  </si>
  <si>
    <t>Practice_Dev_Prof_Staff_Count["Practice_Areas.Practice_2", "Prof_Staff_Types.Prof_Level_2", DATE(2010,8,1)]|=L289</t>
  </si>
  <si>
    <t>Engage!Engage_Hrs_Unbilled_Engagements_Engage_1_Prof_Staff_Types_Prof_Level_2</t>
  </si>
  <si>
    <t>Sales_Lead_Hrs_Conv_pct_Yr["Sales_Lead_Quality.Lead_Qual_2", "Practice_Areas.Practice_2", "Prof_Staff_Types.Prof_Level_1", "Channels.Channels_1", DATE(2010,9,1)]|=M100</t>
  </si>
  <si>
    <t>Prof_Staff_Turnover_pct_Yr["Practice_Areas.Practice_1", "Prof_Staff_Types.Prof_Level_1"]|=0.10</t>
  </si>
  <si>
    <t>Sales_Lead_Hrs_Expire_pct_Yr["Sales_Lead_Quality.Lead_Qual_2", "Practice_Areas.Practice_2", "Prof_Staff_Types.Prof_Level_2", "Channels.Channels_1", DATE(2011,6,1)]|=V119</t>
  </si>
  <si>
    <t>Cost_Services_Supplies_Hr["Practice_Areas.Practice_2", "Prof_Staff_Types.Prof_Level_2", "Supply_Types.Supply_Type_2", "Channels.Channels_2", DATE(2010,4,1)]|=H176</t>
  </si>
  <si>
    <t>Prof_Staff_Targ_Util_pct["Practice_Areas.Practice_2", "Prof_Staff_Types.Prof_Level_1", DATE(2011,1,1)]|=Q191</t>
  </si>
  <si>
    <t>Engage_Hrs_pct_Billed_ET["Engagements.Engage_2", "Prof_Staff_Types.Prof_Level_1", "Engage_Time.Period_4"]|=1</t>
  </si>
  <si>
    <t>Engage!Engage_Hrs_Unbilled_Engagements_Engage_2_Prof_Staff_Types_Prof_Level_1</t>
  </si>
  <si>
    <t>(Compute)'!Prof_Staff_Cost_Applied_Date</t>
  </si>
  <si>
    <t>Prof_Staff_Count_Early["Practice_Areas.Practice_2", "Prof_Staff_Types.Prof_Level_1", DATE(2011,5,1)]|=U186</t>
  </si>
  <si>
    <t>Accts_Rec_Days[DATE(2010,11,1)]|=O366</t>
  </si>
  <si>
    <t>Cost_Services_Supplies_Hr["Practice_Areas.Practice_1", "Prof_Staff_Types.Prof_Level_1", "Supply_Types.Supply_Type_2", "Channels.Channels_2", DATE(2010,4,1)]|=H164</t>
  </si>
  <si>
    <t>ifm(Time&lt;0.99, 0, if(Assets=0, 0, sum(ranget(Net_Income, date(year(current_date(1))-1, month(current_date(1)), day(current_date(1))+1), current_date(1)))/Assets))</t>
  </si>
  <si>
    <t>Prof_Staff_Bonus_pct["Practice_Areas.Practice_1", "Prof_Staff_Types.Prof_Level_1", DATE(2011,4,1)]|=T215</t>
  </si>
  <si>
    <t>Income_Tax_Rate[DATE(2010,10,1)]|=N345</t>
  </si>
  <si>
    <t>prevde(0, "Sup_Staff_Levels")</t>
  </si>
  <si>
    <t>Orders_Filled_Hrs_pct["Practice_Areas.Practice_1", "Prof_Staff_Types.Prof_Level_2", "Channels.Channels_1", DATE(2011,6,1)]|=V124</t>
  </si>
  <si>
    <t>Mktg_Pgms_Exp_Early["Mktg_Pgms.Publications", "Practice_Areas.Practice_2", DATE(2010,4,1)]|=H279</t>
  </si>
  <si>
    <t>Accts Payable Type</t>
  </si>
  <si>
    <t>(Tables)'!Prof_Staff_Billings_Practice_Areas_Practice_1_Prof_Staff_Types_Prof_Level_1_Channels</t>
  </si>
  <si>
    <t>Discount_Rate_Direct_Yr[DATE(2010,9,1)]|=M348</t>
  </si>
  <si>
    <t>Cost_Services_Supplies_Hr["Practice_Areas.Practice_2", "Prof_Staff_Types.Prof_Level_1", "Supply_Types.Supply_Type_2", "Channels.Channels_2", DATE(2010,9,1)]|=M172</t>
  </si>
  <si>
    <t>Cost_Services_Supplies_Hr["Practice_Areas.Practice_2", "Prof_Staff_Types.Prof_Level_2", "Supply_Types.Supply_Type_2", "Channels.Channels_2", DATE(2010,3,1)]|=G176</t>
  </si>
  <si>
    <t>:A:-1:Time_Periods</t>
  </si>
  <si>
    <t>Per_Prof_Staff_Exp_Yr["Prof_Staff_Types.Prof_Level_1", "Empl_Rel_Exp_Type.Supplies", DATE(2010,4,1)]|=H319</t>
  </si>
  <si>
    <t>Cost_Services_Supplies_Hr["Practice_Areas.Practice_1", "Prof_Staff_Types.Prof_Level_1", "Supply_Types.Supply_Type_2", "Channels.Channels_1", DATE(2010,9,1)]|=M163</t>
  </si>
  <si>
    <t>:D:1:Engage_Time</t>
  </si>
  <si>
    <t>Sales_Lead_Hrs_New["Sales_Lead_Quality.Lead_Qual_2", "Practice_Areas.Practice_2", "Prof_Staff_Types.Prof_Level_1", "Channels.Channels_2", DATE(2011,6,1)]|=2*V81-U81</t>
  </si>
  <si>
    <t>The average annual wage per support staff, segmented by department and job level, in the initial time period</t>
  </si>
  <si>
    <t>Practice_Dev_pct_Capd["Practice_Areas.Practice_1", DATE(2011,4,1)]|=T395</t>
  </si>
  <si>
    <t>Prof Staff Hours Billed</t>
  </si>
  <si>
    <t>:D:2:Practice_Areas.Practice_1</t>
  </si>
  <si>
    <t>Sales_Lead_Hrs_New["Sales_Lead_Quality.Lead_Qual_2", "Practice_Areas.Practice_2", "Prof_Staff_Types.Prof_Level_1", "Channels.Channels_1", DATE(2011,6,1)]|=2*V80-U80</t>
  </si>
  <si>
    <t>if(Time&lt;=Sup_Staff_Count_Cutover/periods_per("year")+0.001, Sup_Staff_Count_Early, if(Time&lt;=(1+Sup_Staff_Count_Cutover)/periods_per("year")+0.001, 0.5*(preve(Sup_Staff_Count_Early, Sup_Staff_Count_Early)+nexte(Sup_Staff_Count_Early, Sup_Staff_Count1_K_on)), Sup_Staff_Count_K["Konst.K0"]+Sup_Staff_Count_K["Konst.K1"]*var(periods_per("year")*Revenue["Practice_Areas", "Prof_Staff_Types", "Channels"]/1000000)^Sup_Staff_Count_K["Konst.K2"]))</t>
  </si>
  <si>
    <t>(Compute)'!Prof_Staff_Billings_Date</t>
  </si>
  <si>
    <t>Cost_Services_Supplies_Hr["Practice_Areas.Practice_2", "Prof_Staff_Types.Prof_Level_1", "Supply_Types.Supply_Type_1", "Channels.Channels_2", DATE(2010,6,1)]|=J170</t>
  </si>
  <si>
    <t>Prof_Staff_Benefits_pct["Prof_Staff_Types.Prof_Level_2", DATE(2010,12,1)]|=P221</t>
  </si>
  <si>
    <t>Sales_Lead_Hrs_Conv_pct_Yr["Sales_Lead_Quality.Lead_Qual_2", "Practice_Areas.Practice_1", "Prof_Staff_Types.Prof_Level_2", "Channels.Channels_2", DATE(2011,4,1)]|=T99</t>
  </si>
  <si>
    <t>Prof_Fee_Discount_pct["Practice_Areas.Practice_2", "Prof_Staff_Types.Prof_Level_2", DATE(2010,11,1)]|=O146</t>
  </si>
  <si>
    <t>Plot Support'!Prof_Staff_Hrs_Capacity_Plot_Prof_Staff_Types_Prof_Level_2</t>
  </si>
  <si>
    <t>Interest_Rate_Short_Yr[DATE(2010,8,1)]|=L339</t>
  </si>
  <si>
    <t>Sup_Staff_Bonus_pct["Depts.Marketing", "Sup_Staff_Levels.Contributor", DATE(2010,1,1)]|=0</t>
  </si>
  <si>
    <t>Prof_Staff_Count_Early["Practice_Areas.Practice_2", "Prof_Staff_Types.Prof_Level_2", DATE(2011,6,1)]|=V187</t>
  </si>
  <si>
    <t>Cost_Services_Supplies_Hr["Practice_Areas.Practice_1", "Prof_Staff_Types.Prof_Level_1", "Supply_Types.Supply_Type_1", "Channels.Channels_1", DATE(2010,6,1)]|=J161</t>
  </si>
  <si>
    <t>Facil_Util_Exp</t>
  </si>
  <si>
    <t>:A:-1:Sup_Staff_Bonus_pct</t>
  </si>
  <si>
    <t>Untagged_Asset_Life_Yrs["Untagged_Asset_Type.Furniture"]|=9</t>
  </si>
  <si>
    <t>Sales_Lead_Hrs_New["Sales_Lead_Quality.Lead_Qual_1", "Practice_Areas.Practice_1", "Prof_Staff_Types.Prof_Level_1", "Channels.Channels_2", DATE(2010,4,1)]|=2*H69-G69</t>
  </si>
  <si>
    <t>Gross Margin</t>
  </si>
  <si>
    <t>Prof_Staff_Targ_Util_pct["Practice_Areas.Practice_2", "Prof_Staff_Types.Prof_Level_1", DATE(2010,8,1)]|=L191</t>
  </si>
  <si>
    <t>Initial Avg Support Staff Wage (Yr)</t>
  </si>
  <si>
    <t>(Tables)'!Engage_Hrs_pct_Billed_ET_Engage_Time_Period_2_Engagements_Engage_1</t>
  </si>
  <si>
    <t>Long_Loans[DATE(2011,1,1)]|=R421</t>
  </si>
  <si>
    <t>Accts_Pay_Targ_Days["Accts_Pay_Type.Tax_Pay", DATE(2011,3,1)]|=T412</t>
  </si>
  <si>
    <t>Sales_Lead_Hrs_Expire_pct_Yr["Sales_Lead_Quality.Lead_Qual_1", "Practice_Areas.Practice_2", "Prof_Staff_Types.Prof_Level_2", "Channels.Channels_1", DATE(2010,7,1)]|=K111</t>
  </si>
  <si>
    <t>Office_Utilities_Rate_Yr[DATE(2011,3,1)]|=S306</t>
  </si>
  <si>
    <t>Short_Debt[DATE(2010,10,1)]|=max(0, '(Compute)'!L31-'(Tables)'!L1367)</t>
  </si>
  <si>
    <t>Initial Avg Prof Staff Salary (Yr)</t>
  </si>
  <si>
    <t xml:space="preserve">  Engage_2</t>
  </si>
  <si>
    <t>Sup_Staff_Bonus_pct["Depts.Sales", "Sup_Staff_Levels.Contributor", DATE(2010,2,1)]|=F236</t>
  </si>
  <si>
    <t>(Tables)'!Engage_Hrs_pct_Billed_ET_Engage_Time_Period_1</t>
  </si>
  <si>
    <t>Engage!Engage_Cost_Supplies_Engagements_Engage_1_Prof_Staff_Types</t>
  </si>
  <si>
    <t>Per_Sup_Staff_Exp_Yr["Depts.Marketing", "Empl_Rel_Exp_Type.Supplies", DATE(2011,4,1)]|=T326</t>
  </si>
  <si>
    <t>Prof_Fee_Discount_pct["Practice_Areas.Practice_2", "Prof_Staff_Types.Prof_Level_2", DATE(2010,8,1)]|=L146</t>
  </si>
  <si>
    <t>:A:0:Cost_Services_Supplies</t>
  </si>
  <si>
    <t>Prof_Staff_Benefits_pct["Prof_Staff_Types.Prof_Level_1", DATE(2010,4,1)]|=H220</t>
  </si>
  <si>
    <t>Plot Support'!Prof_Staff_Hrs_Billed_Plot_Prof_Staff_Types_Prof_Level_2</t>
  </si>
  <si>
    <t xml:space="preserve">  Prof_Level_2</t>
  </si>
  <si>
    <t>Sales_Lead_Hrs_Conv_pct_Yr["Sales_Lead_Quality.Lead_Qual_2", "Practice_Areas.Practice_2", "Prof_Staff_Types.Prof_Level_1", "Channels.Channels_1", DATE(2010,3,1)]|=G100</t>
  </si>
  <si>
    <t>Sales_Lead_Hrs_Conv_pct_Yr["Sales_Lead_Quality.Lead_Qual_2", "Practice_Areas.Practice_2", "Prof_Staff_Types.Prof_Level_2", "Channels.Channels_2", DATE(2011,5,1)]|=U103</t>
  </si>
  <si>
    <t>Prof_Fees_per_Hr_Nominal["Practice_Areas.Practice_1", "Prof_Staff_Types.Prof_Level_1", DATE(2010,3,1)]|=G138</t>
  </si>
  <si>
    <t>Per_Prof_Staff_Exp_Yr["Prof_Staff_Types.Prof_Level_1", "Empl_Rel_Exp_Type.Other", DATE(2010,5,1)]|=I321</t>
  </si>
  <si>
    <t>Cost_Services_Supplies_Hr["Practice_Areas.Practice_1", "Prof_Staff_Types.Prof_Level_2", "Supply_Types.Supply_Type_1", "Channels.Channels_1", DATE(2011,6,1)]|=V165</t>
  </si>
  <si>
    <t>Cost_Services_Supplies_Hr["Practice_Areas.Practice_1", "Prof_Staff_Types.Prof_Level_2", "Supply_Types.Supply_Type_1", "Channels.Channels_1", DATE(2011,3,1)]|=S165</t>
  </si>
  <si>
    <t>Sales_Lead_Hrs_New["Sales_Lead_Quality.Lead_Qual_1", "Practice_Areas.Practice_2", "Prof_Staff_Types.Prof_Level_1", "Channels.Channels_1", DATE(2010,12,1)]|=2*P72-O72</t>
  </si>
  <si>
    <t>Sales_Lead_Hrs_Expire_pct_Yr["Sales_Lead_Quality.Lead_Qual_2", "Practice_Areas.Practice_1", "Prof_Staff_Types.Prof_Level_1", "Channels.Channels_1", DATE(2010,1,1)]|=0.30</t>
  </si>
  <si>
    <t>Sup_Staff_Wage_incr_pct["Sup_Staff_Levels.Contributor", DATE(2011,6,1)]|=V231</t>
  </si>
  <si>
    <t>:D:2:Engage_Time</t>
  </si>
  <si>
    <t>Order_Backlog_Hrs_Init["Practice_Areas.Practice_1", "Prof_Staff_Types.Prof_Level_2", "Channels.Channels_2"]|=M57</t>
  </si>
  <si>
    <t>Accts_Pay_Targ_Days["Accts_Pay_Type.Vendor_Pay", DATE(2011,5,1)]|=V410</t>
  </si>
  <si>
    <t>Prof_Staff_Benefits_pct["Prof_Staff_Types.Prof_Level_1", DATE(2011,5,1)]|=U220</t>
  </si>
  <si>
    <t>Prof_Staff_Count_Early["Practice_Areas.Practice_2", "Prof_Staff_Types.Prof_Level_1", DATE(2011,3,1)]|=S186</t>
  </si>
  <si>
    <t>1+prevde(0, "Engage_Time")</t>
  </si>
  <si>
    <t>Sales_Lead_Hrs_Conv_pct_Yr["Sales_Lead_Quality.Lead_Qual_2", "Practice_Areas.Practice_2", "Prof_Staff_Types.Prof_Level_2", "Channels.Channels_2", DATE(2010,7,1)]|=K103</t>
  </si>
  <si>
    <t>Sales_Lead_Hrs_Expire_pct_Yr["Sales_Lead_Quality.Lead_Qual_2", "Practice_Areas.Practice_1", "Prof_Staff_Types.Prof_Level_2", "Channels.Channels_1", DATE(2010,12,1)]|=P115</t>
  </si>
  <si>
    <t>Number of professional staff openings, segmented by Practice Area, by Profesisonal Staff Type, and by time period</t>
  </si>
  <si>
    <t xml:space="preserve">Professional staff cost applied to client engagements (including small engagements from the sales funnel), segmented by Practice Area, Professional Staff Type, Channel, and time period. Includes cost of professional time applied to engagements but not billed. This variable is for display only. It segments by Channel first, while variable 'Cost of Services - Staff' segments by Practice Area first. </t>
  </si>
  <si>
    <t>Per_Prof_Staff_Exp_Yr["Prof_Staff_Types.Prof_Level_1", "Empl_Rel_Exp_Type.Other", DATE(2011,6,1)]|=V321</t>
  </si>
  <si>
    <t>Accts_Pay_Type.Payroll_Pay</t>
  </si>
  <si>
    <t>Sales_Lead_Hrs_Conv_pct_Yr["Sales_Lead_Quality.Lead_Qual_1", "Practice_Areas.Practice_1", "Prof_Staff_Types.Prof_Level_2", "Channels.Channels_1", DATE(2010,8,1)]|=L90</t>
  </si>
  <si>
    <t>Sup_Staff_Benefits_pct[DATE(2010,6,1)]|=J238</t>
  </si>
  <si>
    <t>Discount_Rate_Direct_Yr[DATE(2010,8,1)]|=L348</t>
  </si>
  <si>
    <t>Orders_Filled_Hrs_pct["Practice_Areas.Practice_1", "Prof_Staff_Types.Prof_Level_2", "Channels.Channels_2", DATE(2010,1,1)]|=0.5</t>
  </si>
  <si>
    <t>Sales_Lead_Hrs_Expire_pct_Yr["Sales_Lead_Quality.Lead_Qual_1", "Practice_Areas.Practice_2", "Prof_Staff_Types.Prof_Level_2", "Channels.Channels_2", DATE(2010,5,1)]|=I112</t>
  </si>
  <si>
    <t>Sales_Lead_Hrs_Conv_pct_Yr["Sales_Lead_Quality.Lead_Qual_2", "Practice_Areas.Practice_1", "Prof_Staff_Types.Prof_Level_1", "Channels.Channels_1", DATE(2011,3,1)]|=S96</t>
  </si>
  <si>
    <t>Orders_Filled_Hrs_pct["Practice_Areas.Practice_2", "Prof_Staff_Types.Prof_Level_2", "Channels.Channels_2", DATE(2010,8,1)]|=L129</t>
  </si>
  <si>
    <t>if(Engage_Time&lt;=Engage_Duration, Engage_Labor_pct*(1+min(1, max(-1, Engage_Labor_Slope))*((2*Engage_Time-1)/Engage_Duration-1)), 0)/Engage_Duration*Engage_Size_Hrs</t>
  </si>
  <si>
    <t>:A:-1:Sup_Staff_Openings</t>
  </si>
  <si>
    <t>Operating expense, segmented by department and expense type, by time period</t>
  </si>
  <si>
    <t>Per_Prof_Staff_Exp_Yr["Prof_Staff_Types.Prof_Level_2", "Empl_Rel_Exp_Type.Other", DATE(2011,6,1)]|=V324</t>
  </si>
  <si>
    <t>Orders_Filled_Hrs_pct["Practice_Areas.Practice_2", "Prof_Staff_Types.Prof_Level_2", "Channels.Channels_1", DATE(2011,3,1)]|=S128</t>
  </si>
  <si>
    <t>if(Time&lt;0.001+1/periods_per("year"), Sup_Staff_Wage_Avg_Initial_Yr/periods_per("year"), (1+Sup_Staff_Wage_incr_period_pct)*preve(0, Sup_Staff_Wage_Avg))</t>
  </si>
  <si>
    <t>Sales_Lead_Hrs_Expire_pct_Yr["Sales_Lead_Quality.Lead_Qual_1", "Practice_Areas.Practice_2", "Prof_Staff_Types.Prof_Level_2", "Channels.Channels_1", DATE(2011,6,1)]|=V111</t>
  </si>
  <si>
    <t>Sales_Lead_Hrs_New["Sales_Lead_Quality.Lead_Qual_1", "Practice_Areas.Practice_1", "Prof_Staff_Types.Prof_Level_2", "Channels.Channels_1", DATE(2011,6,1)]|=2*V70-U70</t>
  </si>
  <si>
    <t>Sales_Lead_Hrs_Conv_pct_Yr["Sales_Lead_Quality.Lead_Qual_1", "Practice_Areas.Practice_2", "Prof_Staff_Types.Prof_Level_2", "Channels.Channels_2", DATE(2010,6,1)]|=J95</t>
  </si>
  <si>
    <t>Prof_Staff_Bonus_pct["Practice_Areas.Practice_1", "Prof_Staff_Types.Prof_Level_2", DATE(2011,2,1)]|=R216</t>
  </si>
  <si>
    <t>(Compute)'!Engage_Gross_Margin_Date</t>
  </si>
  <si>
    <t>:A:-1:Cost_Services_Channel</t>
  </si>
  <si>
    <t>Cost_Services_TandE_Hr["Practice_Areas.Practice_2", "Prof_Staff_Types.Prof_Level_1", "Channels.Channels_2", DATE(2010,6,1)]|=J158</t>
  </si>
  <si>
    <t>:A:0:Mktg_Pgms_Early_Cutover</t>
  </si>
  <si>
    <t>Mktg_Pgms_Exp_Early["Mktg_Pgms.Publications", "Practice_Areas.Practice_1", DATE(2010,4,1)]|=H278</t>
  </si>
  <si>
    <t>Price/Sales Ratio</t>
  </si>
  <si>
    <t>Ident Engage Practice Area</t>
  </si>
  <si>
    <t>:A:-1:Prof_Staff_Salary_Avg_Yr</t>
  </si>
  <si>
    <t>Mktg_Exp_Ratio</t>
  </si>
  <si>
    <t>Facil_Other_Exp_Yr</t>
  </si>
  <si>
    <t>Sales_Lead_Hrs_New["Sales_Lead_Quality.Lead_Qual_1", "Practice_Areas.Practice_2", "Prof_Staff_Types.Prof_Level_1", "Channels.Channels_1", DATE(2010,8,1)]|=2*L72-K72</t>
  </si>
  <si>
    <t>Prof_Staff_Count_Early["Practice_Areas.Practice_2", "Prof_Staff_Types.Prof_Level_2", DATE(2010,1,1)]|=0</t>
  </si>
  <si>
    <t>Sales_Lead_Hrs_New["Sales_Lead_Quality.Lead_Qual_2", "Practice_Areas.Practice_1", "Prof_Staff_Types.Prof_Level_2", "Channels.Channels_1", DATE(2011,6,1)]|=2*V78-U78</t>
  </si>
  <si>
    <t>Sup_Staff_Count_K["Depts.Sales", "Sup_Staff_Levels.Contributor", "Konst.K1"]|=0</t>
  </si>
  <si>
    <t/>
  </si>
  <si>
    <t>1-(1-Sales_Lead_Hrs_Expire_pct_Yr)^(1/periods_per("year"))</t>
  </si>
  <si>
    <t>Sup_Staff_Wage_incr_pct["Sup_Staff_Levels.Manager", DATE(2010,6,1)]|=J230</t>
  </si>
  <si>
    <t>(Office_Rent_Rate_Yr+Office_Utilities_Rate_Yr+Office_Maint_Rate_Yr)*Office_Space_per_Person*Sup_Staff_Count/periods_per("year")+Facil_Other_Exp_Yr/periods_per("year")</t>
  </si>
  <si>
    <t>Mktg_Pgms_Exp_Early["Mktg_Pgms.Publications", "Practice_Areas.Practice_2", DATE(2011,2,1)]|=R279</t>
  </si>
  <si>
    <t>Per_Sup_Staff_Exp_Yr["Depts.Marketing", "Empl_Rel_Exp_Type.Supplies", DATE(2010,8,1)]|=L326</t>
  </si>
  <si>
    <t>:D:0:Untagged_Asset_Purch_Params</t>
  </si>
  <si>
    <t>Practice_Area["Engagements.Engage_1"]|="Practice 1"</t>
  </si>
  <si>
    <t>Recruit_Exp_pct_Comp_Prof</t>
  </si>
  <si>
    <t>Sup_Staff_Count_K["Depts.Marketing", "Sup_Staff_Levels.Contributor", "Konst.K2"]|=1</t>
  </si>
  <si>
    <t>Engage_Discount_pct["Engagements.Engage_1", DATE(2010,1,1)]|=0</t>
  </si>
  <si>
    <t>(Compute)'!Sup_Staff_Count_Time_Period</t>
  </si>
  <si>
    <t>Engage_Hrs_Applied_ET</t>
  </si>
  <si>
    <t>Sales_Lead_Hrs_New["Sales_Lead_Quality.Lead_Qual_2", "Practice_Areas.Practice_2", "Prof_Staff_Types.Prof_Level_1", "Channels.Channels_2", DATE(2010,4,1)]|=2*H81-G81</t>
  </si>
  <si>
    <t>:A:-1:Engage_Duration</t>
  </si>
  <si>
    <t>Net_Income</t>
  </si>
  <si>
    <t>Engage!Engage_Cost_TandE_Engagements_Engage_1_Prof_Staff_Types_Prof_Level_2_Supply_Types_Supply_Type_1</t>
  </si>
  <si>
    <t>Orders_Filled_Hrs_pct["Practice_Areas.Practice_1", "Prof_Staff_Types.Prof_Level_2", "Channels.Channels_2", DATE(2010,3,1)]|=G125</t>
  </si>
  <si>
    <t>Sup_Staff_Count_Early["Depts.Marketing", "Sup_Staff_Levels.Manager", DATE(2010,9,1)]|=M197</t>
  </si>
  <si>
    <t>:D:2:Prof_Staff_Types</t>
  </si>
  <si>
    <t>Revenue</t>
  </si>
  <si>
    <t>Sup_Staff_Count_Early["Depts.Sales", "Sup_Staff_Levels.Contributor", DATE(2011,4,1)]|=T200</t>
  </si>
  <si>
    <t>(Compute)'!Valuation_Equity_Date</t>
  </si>
  <si>
    <t>Recruit_Exp_Sup</t>
  </si>
  <si>
    <t>Long_Loans[DATE(2010,8,1)]|=M421</t>
  </si>
  <si>
    <t>Per_Prof_Staff_Exp_Yr["Prof_Staff_Types.Prof_Level_1", "Empl_Rel_Exp_Type.Travel_Entertain", DATE(2010,8,1)]|=L320</t>
  </si>
  <si>
    <t>Practice_Dev_Sup_Staff_Count["Practice_Areas.Practice_2", "Depts.Sales", "Sup_Staff_Levels.Contributor", DATE(2010,12,1)]|=P298</t>
  </si>
  <si>
    <t xml:space="preserve">  RetainedEarnings</t>
  </si>
  <si>
    <t>Sales_Lead_Hrs_Conv_pct_Yr["Sales_Lead_Quality.Lead_Qual_1", "Practice_Areas.Practice_1", "Prof_Staff_Types.Prof_Level_2", "Channels.Channels_1", DATE(2010,1,1)]|=0.50</t>
  </si>
  <si>
    <t>Total Uses of Cash</t>
  </si>
  <si>
    <t>Professional staff hours not applied to client engagements (including those from the sales funnel) or practice development. Segmented by Practice Area, Professional Staff Type, and time period.</t>
  </si>
  <si>
    <t>Sup_Staff_Wage_incr_pct["Sup_Staff_Levels.Contributor", DATE(2010,11,1)]|=O231</t>
  </si>
  <si>
    <t>Sales_Lead_Hrs_New["Sales_Lead_Quality.Lead_Qual_1", "Practice_Areas.Practice_2", "Prof_Staff_Types.Prof_Level_1", "Channels.Channels_2", DATE(2010,1,1)]|=2*0-0</t>
  </si>
  <si>
    <t>Sales_Lead_Hrs_New["Sales_Lead_Quality.Lead_Qual_1", "Practice_Areas.Practice_1", "Prof_Staff_Types.Prof_Level_2", "Channels.Channels_1", DATE(2010,7,1)]|=2*K70-J70</t>
  </si>
  <si>
    <t>:A:-1:Prof_Staff_Bonus</t>
  </si>
  <si>
    <t>:A:-1:Sales_Lead_Hrs_New</t>
  </si>
  <si>
    <t>Sales_Lead_Hrs_Conv_pct_Yr["Sales_Lead_Quality.Lead_Qual_2", "Practice_Areas.Practice_1", "Prof_Staff_Types.Prof_Level_1", "Channels.Channels_2", DATE(2010,9,1)]|=M97</t>
  </si>
  <si>
    <t>Engage!Engage_Cost_Staff_Engagements_Engage_2_Prof_Staff_Types_Prof_Level_1</t>
  </si>
  <si>
    <t>Sales_Lead_Hrs_New["Sales_Lead_Quality.Lead_Qual_2", "Practice_Areas.Practice_2", "Prof_Staff_Types.Prof_Level_2", "Channels.Channels_2", DATE(2011,1,1)]|=2*Q83-P83</t>
  </si>
  <si>
    <t>Cost_Services_Supplies_Hr["Practice_Areas.Practice_1", "Prof_Staff_Types.Prof_Level_1", "Supply_Types.Supply_Type_2", "Channels.Channels_1", DATE(2011,4,1)]|=T163</t>
  </si>
  <si>
    <t>Prof_Staff_Count_Early["Practice_Areas.Practice_1", "Prof_Staff_Types.Prof_Level_2", DATE(2011,1,1)]|=Q185</t>
  </si>
  <si>
    <t>Prof_Fees_per_Hr_Nominal["Practice_Areas.Practice_1", "Prof_Staff_Types.Prof_Level_1", DATE(2010,9,1)]|=M138</t>
  </si>
  <si>
    <t>Prof_Staff_Bonus_pct["Practice_Areas.Practice_1", "Prof_Staff_Types.Prof_Level_1", DATE(2010,7,1)]|=K215</t>
  </si>
  <si>
    <t>Per_Prof_Staff_Exp_Yr["Prof_Staff_Types.Prof_Level_1", "Empl_Rel_Exp_Type.Other", DATE(2010,6,1)]|=J321</t>
  </si>
  <si>
    <t>(Ranges)'!Prof_Staff_Hrs_Capacity_Practice_Areas_Practice_2_Prof_Staff_Types_Prof_Level_1</t>
  </si>
  <si>
    <t>Initial_Cash</t>
  </si>
  <si>
    <t>Engage_Hrs_Applied_ET["Engagements.Engage_2", "Prof_Staff_Types.Prof_Level_2", "Engage_Time.Period_2"]|=if('(Tables)'!B43&lt;=G21, F27*F21*1/G21+F27*F21*min(1, max(-1, G27))*2*'(Tables)'!B43/G21/G21+F27*F21*min(1, max(-1, G27))*(-1)/G21/G21+F27*F21*min(1, max(-1, G27))*(-1)/G21, 0*F21/G21)</t>
  </si>
  <si>
    <t>(Compute)'!Orders_Filled_Date</t>
  </si>
  <si>
    <t>Prof_Staff_Salary_incr_pct["Prof_Staff_Types.Prof_Level_2", DATE(2011,1,1)]|=Q213</t>
  </si>
  <si>
    <t>Sales_Lead_Hrs_Expire_pct_Yr["Sales_Lead_Quality.Lead_Qual_1", "Practice_Areas.Practice_1", "Prof_Staff_Types.Prof_Level_2", "Channels.Channels_1", DATE(2010,8,1)]|=L107</t>
  </si>
  <si>
    <t>:D:0:GA_Exp.GA_Exp_1</t>
  </si>
  <si>
    <t>Prof_Staff_Targ_Util_pct["Practice_Areas.Practice_1", "Prof_Staff_Types.Prof_Level_1", DATE(2011,2,1)]|=R189</t>
  </si>
  <si>
    <t>Per_Prof_Staff_Exp_Yr["Prof_Staff_Types.Prof_Level_1", "Empl_Rel_Exp_Type.Travel_Entertain", DATE(2011,4,1)]|=T320</t>
  </si>
  <si>
    <t>Untagged_Asset_Purch_Params["Untagged_Asset_Purch_Params.Per_New_Sup_Staff", "Untagged_Asset_Type.Office_Equip"]|=0/2/5</t>
  </si>
  <si>
    <t>Cash_No_Short_Debt+Short_Debt</t>
  </si>
  <si>
    <t>Engage_Time, Engagements, Prof_Staff_Types</t>
  </si>
  <si>
    <t>:A:-1:Recruit_pct_Pos_Prof_Init</t>
  </si>
  <si>
    <t>Depts, OpExpType.Indir_Labor_Exp</t>
  </si>
  <si>
    <t>(Ranges)'!Sup_Staff_Count_Depts_Sales</t>
  </si>
  <si>
    <t>preve(9)</t>
  </si>
  <si>
    <t>Sales_Lead_Hrs_New["Sales_Lead_Quality.Lead_Qual_2", "Practice_Areas.Practice_1", "Prof_Staff_Types.Prof_Level_1", "Channels.Channels_1", DATE(2010,2,1)]|=2*F76-F76</t>
  </si>
  <si>
    <t>Practice_Dev_Prof_Staff_Count["Practice_Areas.Practice_1", "Prof_Staff_Types.Prof_Level_2", DATE(2010,2,1)]|=F287</t>
  </si>
  <si>
    <t>Practice_Dev_Prof_Staff_Count["Practice_Areas.Practice_2", "Prof_Staff_Types.Prof_Level_2", DATE(2011,4,1)]|=T289</t>
  </si>
  <si>
    <t>Sales_Lead_Hrs_New["Sales_Lead_Quality.Lead_Qual_1", "Practice_Areas.Practice_1", "Prof_Staff_Types.Prof_Level_2", "Channels.Channels_1", DATE(2010,3,1)]|=2*G70-F70</t>
  </si>
  <si>
    <t>(Tables)'!Prof_Staff_Hrs_Engage_Practice_Areas_Practice_2</t>
  </si>
  <si>
    <t>Office_Rent_Rate_Yr[DATE(2010,7,1)]|=K305</t>
  </si>
  <si>
    <t>Dev_Capd_Deprec</t>
  </si>
  <si>
    <t>Cash_Flow</t>
  </si>
  <si>
    <t>The rate of increase of wage rates for support staff. The variable 'Wage Increase Annual?' determines whether this rate of increase is interpreted as an annual rate spread over all time periods, or as the actual rate that is applied in each time period.</t>
  </si>
  <si>
    <t>Cap'd Dev Life (Yrs)</t>
  </si>
  <si>
    <t>Mktg_Pgms_K["Mktg_Pgms.Seminars", "Practice_Areas.Practice_1", "Konst.K2"]|=1</t>
  </si>
  <si>
    <t>Sup_Staff_Count_Cutover</t>
  </si>
  <si>
    <t>:D:1:Depts</t>
  </si>
  <si>
    <t>:A:0:Prof_Staff_Turnover_pct_Yr</t>
  </si>
  <si>
    <t>Cost_Services_Supplies_Hr["Practice_Areas.Practice_1", "Prof_Staff_Types.Prof_Level_2", "Supply_Types.Supply_Type_2", "Channels.Channels_1", DATE(2011,3,1)]|=S167</t>
  </si>
  <si>
    <t>:A:0:Orders_Filled</t>
  </si>
  <si>
    <t>The name of the organization for which the financial plan is made. The name is stored in a variable so that there is a single channel where the name can be change in ModelSheet and in exported workbooks.</t>
  </si>
  <si>
    <t>:A:0:Prof_Staff_Hrs_Applied_Plot</t>
  </si>
  <si>
    <t>Cost_Services_Supplies_Hr["Practice_Areas.Practice_2", "Prof_Staff_Types.Prof_Level_1", "Supply_Types.Supply_Type_2", "Channels.Channels_1", DATE(2011,5,1)]|=U171</t>
  </si>
  <si>
    <t>:D:0:Liabilities.Long</t>
  </si>
  <si>
    <t>Per_Sup_Staff_Exp_Yr["Depts.Marketing", "Empl_Rel_Exp_Type.Travel_Entertain", DATE(2010,8,1)]|=L327</t>
  </si>
  <si>
    <t>Interest_Rate_Short_Yr[DATE(2011,2,1)]|=R339</t>
  </si>
  <si>
    <t>Prof_Staff_Salary_incr_pct["Prof_Staff_Types.Prof_Level_2", DATE(2010,11,1)]|=O213</t>
  </si>
  <si>
    <t>Practice 1</t>
  </si>
  <si>
    <t>Orders Filled (Hrs)</t>
  </si>
  <si>
    <t>Accts_Rec_Days[DATE(2010,2,1)]|=F366</t>
  </si>
  <si>
    <t>Prof_Staff_Salary_incr_pct["Prof_Staff_Types.Prof_Level_2", DATE(2010,5,1)]|=I213</t>
  </si>
  <si>
    <t xml:space="preserve">  Per_New_Sup_Staff</t>
  </si>
  <si>
    <t>Sales_Lead_Hrs_New["Sales_Lead_Quality.Lead_Qual_1", "Practice_Areas.Practice_1", "Prof_Staff_Types.Prof_Level_2", "Channels.Channels_2", DATE(2010,10,1)]|=2*N71-M71</t>
  </si>
  <si>
    <t>:A:0:Prof_Staff_Billings</t>
  </si>
  <si>
    <t>:A:-1:Sales_Lead_Hrs_Conv_pct</t>
  </si>
  <si>
    <t>(Ranges)'!Prof_Staff_Hrs_Unbilled_Channel_Practice_Areas_Practice_1</t>
  </si>
  <si>
    <t>Office Utilities ($/sqf/Yr)</t>
  </si>
  <si>
    <t>Income_Tax_Rate*Taxable_Income</t>
  </si>
  <si>
    <t>Sales_Lead_Hrs_New["Sales_Lead_Quality.Lead_Qual_1", "Practice_Areas.Practice_1", "Prof_Staff_Types.Prof_Level_2", "Channels.Channels_1", DATE(2010,12,1)]|=2*P70-O70</t>
  </si>
  <si>
    <t>(Tables)'!Engage_Hrs_Applied_ET_Engage_Time_Period_4</t>
  </si>
  <si>
    <t>:A:-1:Cost_Services_Staff</t>
  </si>
  <si>
    <t>Per_Prof_Staff_Exp_Yr["Prof_Staff_Types.Prof_Level_1", "Empl_Rel_Exp_Type.Supplies", DATE(2010,1,1)]|=0</t>
  </si>
  <si>
    <t>Retained Earnings</t>
  </si>
  <si>
    <t>diminfo("Engage_Types", 0)</t>
  </si>
  <si>
    <t>Sales_Lead_Hrs_Conv_pct_Yr["Sales_Lead_Quality.Lead_Qual_2", "Practice_Areas.Practice_1", "Prof_Staff_Types.Prof_Level_2", "Channels.Channels_2", DATE(2010,2,1)]|=F99</t>
  </si>
  <si>
    <t>:A:0:Mktg_Pgms_Exp_Early</t>
  </si>
  <si>
    <t>Sales_Lead_Hrs_Conv_pct_Yr["Sales_Lead_Quality.Lead_Qual_1", "Practice_Areas.Practice_1", "Prof_Staff_Types.Prof_Level_2", "Channels.Channels_2", DATE(2010,9,1)]|=M91</t>
  </si>
  <si>
    <t>Cost_Services_Supplies_Hr["Practice_Areas.Practice_1", "Prof_Staff_Types.Prof_Level_2", "Supply_Types.Supply_Type_1", "Channels.Channels_2", DATE(2010,6,1)]|=J166</t>
  </si>
  <si>
    <t>Prof_Fee_Discount_pct["Practice_Areas.Practice_2", "Prof_Staff_Types.Prof_Level_2", DATE(2011,2,1)]|=R146</t>
  </si>
  <si>
    <t>(Ranges)'!Prof_Staff_Hrs_Capacity_Practice_Areas_Practice_2</t>
  </si>
  <si>
    <t>Sales_Lead_Hrs_Conv_pct_Yr["Sales_Lead_Quality.Lead_Qual_2", "Practice_Areas.Practice_1", "Prof_Staff_Types.Prof_Level_2", "Channels.Channels_1", DATE(2011,3,1)]|=S98</t>
  </si>
  <si>
    <t>Practice_Dev_Sup_Staff_Count["Practice_Areas.Practice_2", "Depts.Marketing", "Sup_Staff_Levels.Contributor", DATE(2010,5,1)]|=I296</t>
  </si>
  <si>
    <t>if(prev(Revenue)=0, 0, Revenue/prev(Revenue)-1)</t>
  </si>
  <si>
    <t>Sales_Lead_Hrs_Expire_pct_Yr["Sales_Lead_Quality.Lead_Qual_2", "Practice_Areas.Practice_2", "Prof_Staff_Types.Prof_Level_1", "Channels.Channels_1", DATE(2010,7,1)]|=K117</t>
  </si>
  <si>
    <t>Engage_Hrs_Billed_ET1</t>
  </si>
  <si>
    <t>Bad_Debt_pct[DATE(2011,2,1)]|=R342</t>
  </si>
  <si>
    <t>Mktg_Pgms_Exp_Early["Mktg_Pgms.Seminars", "Practice_Areas.Practice_1", DATE(2011,6,1)]|=V276</t>
  </si>
  <si>
    <t>Mktg_Pgms_Exp_Early["Mktg_Pgms.Publications", "Practice_Areas.Practice_1", DATE(2011,4,1)]|=T278</t>
  </si>
  <si>
    <t>Mktg Pgms Early Cutover</t>
  </si>
  <si>
    <t>Prof_Fees_per_Hr_Avg*Orders_Filled_Hrs</t>
  </si>
  <si>
    <t>Sales_Lead_Hrs_Conv_pct_Yr["Sales_Lead_Quality.Lead_Qual_1", "Practice_Areas.Practice_1", "Prof_Staff_Types.Prof_Level_1", "Channels.Channels_1", DATE(2011,6,1)]|=V88</t>
  </si>
  <si>
    <t>Sales_Lead_Hrs_New["Sales_Lead_Quality.Lead_Qual_2", "Practice_Areas.Practice_1", "Prof_Staff_Types.Prof_Level_1", "Channels.Channels_2", DATE(2010,9,1)]|=2*M77-L77</t>
  </si>
  <si>
    <t>Sales_Lead_Hrs_New["Sales_Lead_Quality.Lead_Qual_1", "Practice_Areas.Practice_1", "Prof_Staff_Types.Prof_Level_1", "Channels.Channels_1", DATE(2010,9,1)]|=2*M68-L68</t>
  </si>
  <si>
    <t>Sup_Staff_Count_Early["Depts.Marketing", "Sup_Staff_Levels.Contributor", DATE(2010,1,1)]|=0</t>
  </si>
  <si>
    <t>Sup_Staff_Expense</t>
  </si>
  <si>
    <t>Sales_Lead_Hrs_New["Sales_Lead_Quality.Lead_Qual_2", "Practice_Areas.Practice_2", "Prof_Staff_Types.Prof_Level_2", "Channels.Channels_1", DATE(2010,3,1)]|=2*G82-F82</t>
  </si>
  <si>
    <t>:A:-1:Revenue_Growth</t>
  </si>
  <si>
    <t>New qualified sales leads, expressed in billable hours, segmented by lead quality, Practice Area, and Professional Staff Type, for each time period. Sales leads apply to products only, not support.
The least qualified lead categories are listed first, and the most qualified categories are at the end of the list.</t>
  </si>
  <si>
    <t>:D:0:Accts_Pay_Type.Tax_Pay</t>
  </si>
  <si>
    <t>:A:0:Prof_Staff_Rel_Exp</t>
  </si>
  <si>
    <t>EngageType 2</t>
  </si>
  <si>
    <t>Net_Stock_Issue[DATE(2011,6,1)]|=0</t>
  </si>
  <si>
    <t>Prof_Staff_Count_Early["Practice_Areas.Practice_2", "Prof_Staff_Types.Prof_Level_1", DATE(2011,2,1)]|=R186</t>
  </si>
  <si>
    <t>Cost_Services_Supplies_Hr["Practice_Areas.Practice_1", "Prof_Staff_Types.Prof_Level_2", "Supply_Types.Supply_Type_2", "Channels.Channels_1", DATE(2011,1,1)]|=Q167</t>
  </si>
  <si>
    <t>:A:0:Interest_Exp_Net</t>
  </si>
  <si>
    <t>Sales_Lead_Hrs_Conv_pct_Yr["Sales_Lead_Quality.Lead_Qual_1", "Practice_Areas.Practice_1", "Prof_Staff_Types.Prof_Level_1", "Channels.Channels_2", DATE(2010,12,1)]|=P89</t>
  </si>
  <si>
    <t>Sales_Lead_Hrs_Expire_pct_Yr</t>
  </si>
  <si>
    <t>Sales_Lead_Hrs_New["Sales_Lead_Quality.Lead_Qual_2", "Practice_Areas.Practice_2", "Prof_Staff_Types.Prof_Level_2", "Channels.Channels_1", DATE(2010,8,1)]|=2*L82-K82</t>
  </si>
  <si>
    <t>Practice_Dev_Sup_Staff_Count["Practice_Areas.Practice_1", "Depts.Marketing", "Sup_Staff_Levels.Manager", DATE(2010,3,1)]|=G291</t>
  </si>
  <si>
    <t>ifm(current_date()=model_date(3), -first(Equity), Cash_Flow_Oper+ifm(current_date(1)=model_date(4)-1, Tail_Future_Value, 0))</t>
  </si>
  <si>
    <t>Engage!Engage_Billings_Engagements_Engage_2_Prof_Staff_Types</t>
  </si>
  <si>
    <t>Sales_Lead_Hrs_Conv_pct_Yr["Sales_Lead_Quality.Lead_Qual_1", "Practice_Areas.Practice_1", "Prof_Staff_Types.Prof_Level_2", "Channels.Channels_2", DATE(2010,4,1)]|=H91</t>
  </si>
  <si>
    <t>Interest_Rate_Long_Yr[DATE(2010,9,1)]|=M340</t>
  </si>
  <si>
    <t>Net_Stock_Issue[DATE(2011,2,1)]|=0</t>
  </si>
  <si>
    <t>Per_Sup_Staff_Exp_Yr["Depts.Marketing", "Empl_Rel_Exp_Type.Supplies", DATE(2010,5,1)]|=I326</t>
  </si>
  <si>
    <t>Tagged_Asset_Deprec</t>
  </si>
  <si>
    <t>Sales_Lead_Hrs_Conv_pct_Yr["Sales_Lead_Quality.Lead_Qual_1", "Practice_Areas.Practice_2", "Prof_Staff_Types.Prof_Level_1", "Channels.Channels_2", DATE(2011,3,1)]|=S93</t>
  </si>
  <si>
    <t>Short_Debt[DATE(2010,7,1)]|=max(0, '(Compute)'!I31-'(Tables)'!I1367)</t>
  </si>
  <si>
    <t>Engage!Engage_Hrs_Unbilled_Engagements_Engage_1_Prof_Staff_Types_Prof_Level_1</t>
  </si>
  <si>
    <t>:A:0:Sup_Staff_Turnover</t>
  </si>
  <si>
    <t>Sales_Lead_Hrs_Conv_pct_Yr["Sales_Lead_Quality.Lead_Qual_1", "Practice_Areas.Practice_2", "Prof_Staff_Types.Prof_Level_1", "Channels.Channels_1", DATE(2010,6,1)]|=J92</t>
  </si>
  <si>
    <t>Sales_Lead_Hrs_New["Sales_Lead_Quality.Lead_Qual_1", "Practice_Areas.Practice_2", "Prof_Staff_Types.Prof_Level_2", "Channels.Channels_2", DATE(2011,6,1)]|=2*V75-U75</t>
  </si>
  <si>
    <t>New qualified sales leads, expressed in currency, in each time period, segmented by lead quality and by product. Sales leads apply to products only, not support.
The least qualified lead categories are listed first, and the most qualified categories are at the end of the list.</t>
  </si>
  <si>
    <t>Practice_Dev_Sup_Staff_Count["Practice_Areas.Practice_1", "Depts.Sales", "Sup_Staff_Levels.Contributor", DATE(2010,8,1)]|=L294</t>
  </si>
  <si>
    <t>Sup_Staff_Count_Early["Depts.Sales", "Sup_Staff_Levels.Contributor", DATE(2011,3,1)]|=S200</t>
  </si>
  <si>
    <t>Sales_Lead_Hrs_New["Sales_Lead_Quality.Lead_Qual_2", "Practice_Areas.Practice_2", "Prof_Staff_Types.Prof_Level_1", "Channels.Channels_1", DATE(2010,12,1)]|=2*P80-O80</t>
  </si>
  <si>
    <t>:A:-1:Prof_Staff_Targ_Util_pct</t>
  </si>
  <si>
    <t>Engage!Engage_Cost_Supplies_Engagements_Engage_2_Prof_Staff_Types_Prof_Level_2_Supply_Types</t>
  </si>
  <si>
    <t>Sales_Lead_Hrs_New["Sales_Lead_Quality.Lead_Qual_1", "Practice_Areas.Practice_2", "Prof_Staff_Types.Prof_Level_2", "Channels.Channels_2", DATE(2010,9,1)]|=2*M75-L75</t>
  </si>
  <si>
    <t>:A:0:IRR_Guess_no_Tail_Yr</t>
  </si>
  <si>
    <t>Sales_Lead_Hrs_Conv_pct_Yr["Sales_Lead_Quality.Lead_Qual_2", "Practice_Areas.Practice_1", "Prof_Staff_Types.Prof_Level_2", "Channels.Channels_1", DATE(2011,6,1)]|=V98</t>
  </si>
  <si>
    <t>Sales_Commis_Rev_Share[DATE(2010,12,1)]|=P247</t>
  </si>
  <si>
    <t>Per_Prof_Staff_Exp_Yr["Prof_Staff_Types.Prof_Level_1", "Empl_Rel_Exp_Type.Travel_Entertain", DATE(2010,3,1)]|=G320</t>
  </si>
  <si>
    <t>Untagged_Assets+Tagged_Assets+Dev_Capd_Asset</t>
  </si>
  <si>
    <t>Practice_Dev_Prof_Staff_Count</t>
  </si>
  <si>
    <t>Sales_Lead_Hrs_Expire_pct_Yr["Sales_Lead_Quality.Lead_Qual_1", "Practice_Areas.Practice_1", "Prof_Staff_Types.Prof_Level_1", "Channels.Channels_2", DATE(2010,8,1)]|=L106</t>
  </si>
  <si>
    <t>Cost_Services_Supplies_Hr["Practice_Areas.Practice_2", "Prof_Staff_Types.Prof_Level_2", "Supply_Types.Supply_Type_2", "Channels.Channels_1", DATE(2011,1,1)]|=Q175</t>
  </si>
  <si>
    <t>Sales_Lead_Hrs_New["Sales_Lead_Quality.Lead_Qual_2", "Practice_Areas.Practice_2", "Prof_Staff_Types.Prof_Level_2", "Channels.Channels_2", DATE(2010,7,1)]|=2*K83-J83</t>
  </si>
  <si>
    <t>Engage_Discount_pct["Engagements.Engage_2", DATE(2011,4,1)]|=T149</t>
  </si>
  <si>
    <t>Prof_Staff_Count*Prof_Staff_Targ_Hrs_per_HC_Yr/periods_per("year")</t>
  </si>
  <si>
    <t>Sales_Lead_Hrs_Conv_pct_Yr["Sales_Lead_Quality.Lead_Qual_2", "Practice_Areas.Practice_2", "Prof_Staff_Types.Prof_Level_2", "Channels.Channels_1", DATE(2010,12,1)]|=P102</t>
  </si>
  <si>
    <t>Orders_Filled_Hrs_pct["Practice_Areas.Practice_1", "Prof_Staff_Types.Prof_Level_2", "Channels.Channels_2", DATE(2011,1,1)]|=Q125</t>
  </si>
  <si>
    <t xml:space="preserve">  Period_2</t>
  </si>
  <si>
    <t>Facil_Util_Exp+Sup_Staff_Rel_Exp-var(Dev_Capd_per_Period)</t>
  </si>
  <si>
    <t>(Ranges)'!Equity_Equity</t>
  </si>
  <si>
    <t>Practice_Dev_Sup_Staff_Count["Practice_Areas.Practice_2", "Depts.Marketing", "Sup_Staff_Levels.Manager", DATE(2011,6,1)]|=V295</t>
  </si>
  <si>
    <t>Practice_Dev_Sup_Staff_Count["Practice_Areas.Practice_1", "Depts.Marketing", "Sup_Staff_Levels.Contributor", DATE(2010,5,1)]|=I292</t>
  </si>
  <si>
    <t>Asset_Turnover</t>
  </si>
  <si>
    <t>Facil_Other_Exp_Yr[DATE(2010,4,1)]|=H308</t>
  </si>
  <si>
    <t>Sales_Lead_Hrs_New["Sales_Lead_Quality.Lead_Qual_2", "Practice_Areas.Practice_2", "Prof_Staff_Types.Prof_Level_2", "Channels.Channels_2", DATE(2010,1,1)]|=2*0-0</t>
  </si>
  <si>
    <t>Cost_Services_Supplies_Hr["Practice_Areas.Practice_2", "Prof_Staff_Types.Prof_Level_2", "Supply_Types.Supply_Type_1", "Channels.Channels_1", DATE(2011,3,1)]|=S173</t>
  </si>
  <si>
    <t>Display Label</t>
  </si>
  <si>
    <t>Bonds</t>
  </si>
  <si>
    <t>:A:-1:Engage_Hrs_Billed_ET1</t>
  </si>
  <si>
    <t>:A:-1:Financial_Exp</t>
  </si>
  <si>
    <t>Cost_Services_TandE_Hr["Practice_Areas.Practice_2", "Prof_Staff_Types.Prof_Level_2", "Channels.Channels_1", DATE(2011,3,1)]|=S159</t>
  </si>
  <si>
    <t>Sup_Staff_Count_Early["Depts.Marketing", "Sup_Staff_Levels.Contributor", DATE(2010,6,1)]|=J198</t>
  </si>
  <si>
    <t>Sales_Lead_Hrs_New["Sales_Lead_Quality.Lead_Qual_1", "Practice_Areas.Practice_2", "Prof_Staff_Types.Prof_Level_1", "Channels.Channels_1", DATE(2010,6,1)]|=2*J72-I72</t>
  </si>
  <si>
    <t>Billings</t>
  </si>
  <si>
    <t>:D:2:GA_Exp.GA_Exp_1</t>
  </si>
  <si>
    <t>Sales_Lead_Hrs_New["Sales_Lead_Quality.Lead_Qual_1", "Practice_Areas.Practice_1", "Prof_Staff_Types.Prof_Level_2", "Channels.Channels_2", DATE(2010,9,1)]|=2*M71-L71</t>
  </si>
  <si>
    <t>:A:-1:Valuation_Equity</t>
  </si>
  <si>
    <t>Orders_Filled_Hrs_pct["Practice_Areas.Practice_1", "Prof_Staff_Types.Prof_Level_2", "Channels.Channels_1", DATE(2011,4,1)]|=T124</t>
  </si>
  <si>
    <t>Recruit_pct_Positions_Sup["Depts.Sales", "Sup_Staff_Levels.Contributor"]|=H266</t>
  </si>
  <si>
    <t>Prof_Staff_Targ_Util_pct["Practice_Areas.Practice_2", "Prof_Staff_Types.Prof_Level_2", DATE(2010,1,1)]|=0.8</t>
  </si>
  <si>
    <t>Per_Prof_Staff_Exp_Yr["Prof_Staff_Types.Prof_Level_2", "Empl_Rel_Exp_Type.Travel_Entertain", DATE(2010,11,1)]|=O323</t>
  </si>
  <si>
    <t>(Tables)'!Engage_Rev_Nominal_Fees_Engagements_Engage_2_Prof_Staff_Types_Prof_Level_1</t>
  </si>
  <si>
    <t>Engage_Discount_pct</t>
  </si>
  <si>
    <t>:D:-1:Untagged_Asset_Type</t>
  </si>
  <si>
    <t>Sales_Lead_Hrs_Expire_pct_Yr["Sales_Lead_Quality.Lead_Qual_2", "Practice_Areas.Practice_2", "Prof_Staff_Types.Prof_Level_1", "Channels.Channels_1", DATE(2010,9,1)]|=M117</t>
  </si>
  <si>
    <t>Sup_Staff_Bonus_pct["Depts.Sales", "Sup_Staff_Levels.Manager", DATE(2011,6,1)]|=V235</t>
  </si>
  <si>
    <t>:A:-1:Balance_Check</t>
  </si>
  <si>
    <t>Annualized rate at which qualified sales leads convert to the next-most qualified lead class or to sales orders, segmented by lead quality and by product, for each time period. Sales leads apply to products only, not support.
The least qualified lead categories are listed first, and the most qualified categories are at the end of the list.</t>
  </si>
  <si>
    <t>Equity 1</t>
  </si>
  <si>
    <t>Sales_Lead_Hrs_Expire_pct_Yr["Sales_Lead_Quality.Lead_Qual_2", "Practice_Areas.Practice_2", "Prof_Staff_Types.Prof_Level_2", "Channels.Channels_1", DATE(2011,5,1)]|=U119</t>
  </si>
  <si>
    <t>Prof_Staff_Targ_Util_pct["Practice_Areas.Practice_1", "Prof_Staff_Types.Prof_Level_2", DATE(2010,1,1)]|=0.8</t>
  </si>
  <si>
    <t>:A:-1:Sup_Staff_Expense</t>
  </si>
  <si>
    <t>Engage!Engage_Cost_TandE_Engagements_Engage_1_Prof_Staff_Types_Prof_Level_2</t>
  </si>
  <si>
    <t>Sales_Lead_Hrs_New["Sales_Lead_Quality.Lead_Qual_1", "Practice_Areas.Practice_2", "Prof_Staff_Types.Prof_Level_1", "Channels.Channels_2", DATE(2010,6,1)]|=2*J73-I73</t>
  </si>
  <si>
    <t>Engage_Rev_Nominal_Fees</t>
  </si>
  <si>
    <t>Prof_Staff_Types, Engagements</t>
  </si>
  <si>
    <t>Sales_Lead_Hrs_New["Sales_Lead_Quality.Lead_Qual_2", "Practice_Areas.Practice_1", "Prof_Staff_Types.Prof_Level_2", "Channels.Channels_1", DATE(2010,1,1)]|=2*0-0</t>
  </si>
  <si>
    <t>Practice_Dev_pct_Capd["Practice_Areas.Practice_1", DATE(2010,8,1)]|=L395</t>
  </si>
  <si>
    <t>(Ranges)'!Operating_Exp_Depts_Sales_OpExpType_Indir_Labor_Exp</t>
  </si>
  <si>
    <t>Dir_Cost_Types</t>
  </si>
  <si>
    <t>Sales_Lead_Hrs_Conv_pct_Yr["Sales_Lead_Quality.Lead_Qual_1", "Practice_Areas.Practice_1", "Prof_Staff_Types.Prof_Level_2", "Channels.Channels_1", DATE(2010,9,1)]|=M90</t>
  </si>
  <si>
    <t>Office rental expense ($/sqft/Yr), by time period. Applies only to space that is allocated by employee count, not to space that is independent of employee count.</t>
  </si>
  <si>
    <t>:A:0:Wage_Tax_pct</t>
  </si>
  <si>
    <t>:D:2:Equity.PaidinCap</t>
  </si>
  <si>
    <t>Cost_Services_TandE_Hr["Practice_Areas.Practice_1", "Prof_Staff_Types.Prof_Level_1", "Channels.Channels_2", DATE(2011,5,1)]|=U154</t>
  </si>
  <si>
    <t>:A:0:Cost_Services_TandE_Hr</t>
  </si>
  <si>
    <t>(Ranges)'!Revenue_Practice_Areas_Practice_2_Prof_Staff_Types_Prof_Level_2_Channels_Channels_1</t>
  </si>
  <si>
    <t>Prof_Fee_Discount_pct["Practice_Areas.Practice_2", "Prof_Staff_Types.Prof_Level_2", DATE(2011,5,1)]|=U146</t>
  </si>
  <si>
    <t>Sales_Lead_Hrs_New["Sales_Lead_Quality.Lead_Qual_1", "Practice_Areas.Practice_1", "Prof_Staff_Types.Prof_Level_2", "Channels.Channels_1", DATE(2011,5,1)]|=2*U70-T70</t>
  </si>
  <si>
    <t>:A:-1:Orders_Filled_Hrs1</t>
  </si>
  <si>
    <t>(Compute)'!Engage_Billings_Date</t>
  </si>
  <si>
    <t xml:space="preserve">  Long</t>
  </si>
  <si>
    <t>Selling_Exp_Ratio</t>
  </si>
  <si>
    <t>Discount_Rate</t>
  </si>
  <si>
    <t>:D:2:Accts_Pay_Type.Vendor_Pay</t>
  </si>
  <si>
    <t>Number of professional staff that are obtained through the paid recruitment process, segmented by Practice Area, by Profesisonal Staff Type, and by time period</t>
  </si>
  <si>
    <t>Sales_Lead_Hrs_New["Sales_Lead_Quality.Lead_Qual_1", "Practice_Areas.Practice_1", "Prof_Staff_Types.Prof_Level_1", "Channels.Channels_2", DATE(2010,2,1)]|=2*F69-F69</t>
  </si>
  <si>
    <t>Engage!Engage_Gross_Margin_Engagements_Engage_1_Prof_Staff_Types</t>
  </si>
  <si>
    <t>Prof_Fee_Discount_pct["Practice_Areas.Practice_1", "Prof_Staff_Types.Prof_Level_2", DATE(2011,4,1)]|=T144</t>
  </si>
  <si>
    <t>Sales_Lead_Hrs_Conv_pct_Yr["Sales_Lead_Quality.Lead_Qual_1", "Practice_Areas.Practice_1", "Prof_Staff_Types.Prof_Level_1", "Channels.Channels_1", DATE(2011,1,1)]|=Q88</t>
  </si>
  <si>
    <t>:A:0:Cash_Flow_Oper_Expected</t>
  </si>
  <si>
    <t>Net_Stock_Issue</t>
  </si>
  <si>
    <t>Sup_Staff_Bonus_pct["Depts.Sales", "Sup_Staff_Levels.Manager", DATE(2010,4,1)]|=H235</t>
  </si>
  <si>
    <t>Sales Lead Conv Hrs%</t>
  </si>
  <si>
    <t>Sales_Lead_Hrs_Conv_pct_Yr["Sales_Lead_Quality.Lead_Qual_1", "Practice_Areas.Practice_2", "Prof_Staff_Types.Prof_Level_1", "Channels.Channels_1", DATE(2011,3,1)]|=S92</t>
  </si>
  <si>
    <t>:A:-1:IRR_CF_no_Tail</t>
  </si>
  <si>
    <t>Interest_Rate_Earned_Cash_Yr[DATE(2011,6,1)]|=V341</t>
  </si>
  <si>
    <t>Sup_Staff_Bonus_pct["Depts.Marketing", "Sup_Staff_Levels.Contributor", DATE(2010,5,1)]|=I234</t>
  </si>
  <si>
    <t>(Ranges)'!Prof_Staff_Hrs_Capacity_Practice_Areas_Practice_1_Prof_Staff_Types_Prof_Level_2</t>
  </si>
  <si>
    <t>(Tables)'!Prof_Staff_Billings_Practice_Areas_Practice_2_Prof_Staff_Types_Prof_Level_2_Channels_Channels_2</t>
  </si>
  <si>
    <t>Prof_Staff_Count_Early["Practice_Areas.Practice_1", "Prof_Staff_Types.Prof_Level_1", DATE(2010,1,1)]|=0</t>
  </si>
  <si>
    <t>Practice_Dev_Sup_Staff_Count["Practice_Areas.Practice_2", "Depts.Marketing", "Sup_Staff_Levels.Manager", DATE(2010,6,1)]|=J295</t>
  </si>
  <si>
    <t>Cost_Services_Supplies_Hr["Practice_Areas.Practice_1", "Prof_Staff_Types.Prof_Level_1", "Supply_Types.Supply_Type_2", "Channels.Channels_1", DATE(2011,5,1)]|=U163</t>
  </si>
  <si>
    <t>Sales_Lead_Hrs_New["Sales_Lead_Quality.Lead_Qual_1", "Practice_Areas.Practice_2", "Prof_Staff_Types.Prof_Level_2", "Channels.Channels_2", DATE(2010,7,1)]|=2*K75-J75</t>
  </si>
  <si>
    <t>Cash_Targ_Days[DATE(2010,11,1)]|=O360</t>
  </si>
  <si>
    <t>:A:-1:Sales_Commission</t>
  </si>
  <si>
    <t>Sales_Lead_Hrs_Expire_pct_Yr["Sales_Lead_Quality.Lead_Qual_2", "Practice_Areas.Practice_1", "Prof_Staff_Types.Prof_Level_1", "Channels.Channels_1", DATE(2010,12,1)]|=P113</t>
  </si>
  <si>
    <t>Prof_Staff_Bonus_pct["Practice_Areas.Practice_2", "Prof_Staff_Types.Prof_Level_2", DATE(2010,11,1)]|=O218</t>
  </si>
  <si>
    <t>Prof_Fee_Discount_pct["Practice_Areas.Practice_2", "Prof_Staff_Types.Prof_Level_2", DATE(2010,2,1)]|=F146</t>
  </si>
  <si>
    <t>Cost_Services_Supplies_Hr["Practice_Areas.Practice_2", "Prof_Staff_Types.Prof_Level_1", "Supply_Types.Supply_Type_1", "Channels.Channels_2", DATE(2011,4,1)]|=T170</t>
  </si>
  <si>
    <t>Sales_Lead_Hrs_New["Sales_Lead_Quality.Lead_Qual_2", "Practice_Areas.Practice_2", "Prof_Staff_Types.Prof_Level_1", "Channels.Channels_1", DATE(2010,7,1)]|=2*K80-J80</t>
  </si>
  <si>
    <t>Bad debt expense expressed as a percent of accounts receivable, for each time period</t>
  </si>
  <si>
    <t>Per_Prof_Staff_Exp_Yr["Prof_Staff_Types.Prof_Level_2", "Empl_Rel_Exp_Type.Supplies", DATE(2011,2,1)]|=R322</t>
  </si>
  <si>
    <t>Prof_Staff_Salary_incr_pct["Prof_Staff_Types.Prof_Level_1", DATE(2010,11,1)]|=O212</t>
  </si>
  <si>
    <t>Prof_Staff_Benefits_pct["Prof_Staff_Types.Prof_Level_1", DATE(2010,12,1)]|=P220</t>
  </si>
  <si>
    <t>Sales_Lead_Hrs_Conv_pct_Yr["Sales_Lead_Quality.Lead_Qual_1", "Practice_Areas.Practice_1", "Prof_Staff_Types.Prof_Level_1", "Channels.Channels_2", DATE(2011,2,1)]|=R89</t>
  </si>
  <si>
    <t>(Tables)'!Engage_Hrs_Applied_ET_Engage_Time_Period_1_Engagements_Engage_2_Prof_Staff_Types</t>
  </si>
  <si>
    <t>Sup_Staff_Bonus_pct["Depts.Marketing", "Sup_Staff_Levels.Contributor", DATE(2010,6,1)]|=J234</t>
  </si>
  <si>
    <t>Dimension (item)</t>
  </si>
  <si>
    <t>Cost_Services_TandE_Hr["Practice_Areas.Practice_2", "Prof_Staff_Types.Prof_Level_2", "Channels.Channels_2", DATE(2011,3,1)]|=S160</t>
  </si>
  <si>
    <t>:A:0:Gross_Margin_pct_Channel</t>
  </si>
  <si>
    <t>Wage_Tax_pct[DATE(2011,2,1)]|=R244</t>
  </si>
  <si>
    <t>Sales_Lead_Hrs_Conv_pct_Yr</t>
  </si>
  <si>
    <t>Prof_Staff_Bonus_pct["Practice_Areas.Practice_1", "Prof_Staff_Types.Prof_Level_2", DATE(2010,8,1)]|=L216</t>
  </si>
  <si>
    <t>Mktg_Pgms_Exp_Early["Mktg_Pgms.Publications", "Practice_Areas.Practice_2", DATE(2011,4,1)]|=T279</t>
  </si>
  <si>
    <t>Office_Maint_Rate_Yr[DATE(2011,4,1)]|=T307</t>
  </si>
  <si>
    <t>Sales_Lead_Hrs_New["Sales_Lead_Quality.Lead_Qual_2", "Practice_Areas.Practice_2", "Prof_Staff_Types.Prof_Level_2", "Channels.Channels_1", DATE(2011,4,1)]|=2*T82-S82</t>
  </si>
  <si>
    <t>Theoretical maximum annual billable hours per professional staff person, from which utilization % is computed; segmented by Practice Area and by Professional Staff Type.
If you choose to have the model compute staff requirements, then this variable and Professional staff target utilization % are used for this purpose.</t>
  </si>
  <si>
    <t>Prof_Fees_per_Hr_Nominal["Practice_Areas.Practice_2", "Prof_Staff_Types.Prof_Level_2", DATE(2010,12,1)]|=P141</t>
  </si>
  <si>
    <t>(Ranges)'!Prof_Staff_Hrs_Unapplied_Practice_Areas_Practice_1_Prof_Staff_Types_Prof_Level_2</t>
  </si>
  <si>
    <t>Sup_Staff_Rel_Exp+Sup_Staff_Rel_Exp-var(Dev_Capd_per_Period)</t>
  </si>
  <si>
    <t>Accts_Pay_Targ_Days["Accts_Pay_Type.Vendor_Pay", DATE(2010,11,1)]|=P410</t>
  </si>
  <si>
    <t>Billable hours applied on major Engagements, for each Professional Staff Type, in each time period.</t>
  </si>
  <si>
    <t>:A:0:Financial_Exp</t>
  </si>
  <si>
    <t>Sales_Lead_Hrs_Expire_pct_Yr["Sales_Lead_Quality.Lead_Qual_2", "Practice_Areas.Practice_1", "Prof_Staff_Types.Prof_Level_1", "Channels.Channels_2", DATE(2010,5,1)]|=I114</t>
  </si>
  <si>
    <t>Tail_Growth_Rate</t>
  </si>
  <si>
    <t>Per_Prof_Staff_Exp_Yr["Prof_Staff_Types.Prof_Level_2", "Empl_Rel_Exp_Type.Travel_Entertain", DATE(2010,8,1)]|=L323</t>
  </si>
  <si>
    <t>:D:0:Liabilities.Long.Long_Term_Loans</t>
  </si>
  <si>
    <t>Cost_Services_Supplies_Hr["Practice_Areas.Practice_2", "Prof_Staff_Types.Prof_Level_1", "Supply_Types.Supply_Type_2", "Channels.Channels_2", DATE(2010,8,1)]|=L172</t>
  </si>
  <si>
    <t>Professional staff heacount devoted to practice are, segmented by practice area, by job type, by time period</t>
  </si>
  <si>
    <t>Sup_Staff_Bonus_pct["Depts.Marketing", "Sup_Staff_Levels.Contributor", DATE(2011,5,1)]|=U234</t>
  </si>
  <si>
    <t>Plot Support'!Prof_Staff_Hrs_Applied_Plot_Prof_Staff_Types_Prof_Level_2</t>
  </si>
  <si>
    <t>Sales_Lead_Hrs_Conv_pct_Yr["Sales_Lead_Quality.Lead_Qual_2", "Practice_Areas.Practice_2", "Prof_Staff_Types.Prof_Level_1", "Channels.Channels_2", DATE(2011,5,1)]|=U101</t>
  </si>
  <si>
    <t>Cost_Services_Supplies_Hr["Practice_Areas.Practice_2", "Prof_Staff_Types.Prof_Level_1", "Supply_Types.Supply_Type_2", "Channels.Channels_1", DATE(2010,1,1)]|=0</t>
  </si>
  <si>
    <t>Per_Prof_Staff_Exp_Yr["Prof_Staff_Types.Prof_Level_1", "Empl_Rel_Exp_Type.Travel_Entertain", DATE(2010,2,1)]|=F320</t>
  </si>
  <si>
    <t>Cost_Services_TandE_Hr["Practice_Areas.Practice_1", "Prof_Staff_Types.Prof_Level_1", "Channels.Channels_2", DATE(2010,8,1)]|=L154</t>
  </si>
  <si>
    <t>Practice_Dev_Prof_Staff_Count["Practice_Areas.Practice_2", "Prof_Staff_Types.Prof_Level_1", DATE(2010,8,1)]|=L288</t>
  </si>
  <si>
    <t>Facil_Other_Exp_Yr[DATE(2010,10,1)]|=N308</t>
  </si>
  <si>
    <t>Orders_Filled_Hrs_pct["Practice_Areas.Practice_2", "Prof_Staff_Types.Prof_Level_1", "Channels.Channels_1", DATE(2010,4,1)]|=H126</t>
  </si>
  <si>
    <t>(Ranges)'!Revenue_Channel_Channels_Channels_1_Practice_Areas_Practice_1_Prof_Staff_Types</t>
  </si>
  <si>
    <t>Prof_Staff_Targ_Util_pct["Practice_Areas.Practice_1", "Prof_Staff_Types.Prof_Level_2", DATE(2011,6,1)]|=V190</t>
  </si>
  <si>
    <t>Order_Backlog_Hrs</t>
  </si>
  <si>
    <t>Sales_Lead_Hrs_New["Sales_Lead_Quality.Lead_Qual_2", "Practice_Areas.Practice_1", "Prof_Staff_Types.Prof_Level_1", "Channels.Channels_2", DATE(2010,4,1)]|=2*H77-G77</t>
  </si>
  <si>
    <t>Sales Lead Hrs Conv % (Yr)</t>
  </si>
  <si>
    <t>Prof_Staff_Count_Early["Practice_Areas.Practice_2", "Prof_Staff_Types.Prof_Level_1", DATE(2010,6,1)]|=J186</t>
  </si>
  <si>
    <t>G_A_Exp_K</t>
  </si>
  <si>
    <t>:D:-1:Engage_Time</t>
  </si>
  <si>
    <t>Cost_Services_Supplies_Hr["Practice_Areas.Practice_1", "Prof_Staff_Types.Prof_Level_1", "Supply_Types.Supply_Type_2", "Channels.Channels_2", DATE(2010,2,1)]|=F164</t>
  </si>
  <si>
    <t>Support staff headcount for the first few time periods, given explicitly as numerical input. Later headcount is computed from formula count = K0 + K1 *(revenue/1000)^K2. The cutover from explicit input data to the revenue-driven formula is controlled by the variable 'Sup Staff Count Early Cutover'. Excludes profesional staff. 
All headcount by department and job level is later rounded to half-integers.</t>
  </si>
  <si>
    <t>Initial Cap'd Development</t>
  </si>
  <si>
    <t>Practice_Dev_Prof_Staff_Count["Practice_Areas.Practice_2", "Prof_Staff_Types.Prof_Level_1", DATE(2010,7,1)]|=K288</t>
  </si>
  <si>
    <t>Sales_Lead_Hrs_Expire_pct_Yr["Sales_Lead_Quality.Lead_Qual_1", "Practice_Areas.Practice_1", "Prof_Staff_Types.Prof_Level_2", "Channels.Channels_2", DATE(2010,8,1)]|=L108</t>
  </si>
  <si>
    <t>Inputs!Engage_Hrs_Applied_ET_Engage_Time_Period_1_Engagements_Engage_1_Prof_Staff_Types_Prof_Level_1</t>
  </si>
  <si>
    <t>Cost_Services_TandE_Hr["Practice_Areas.Practice_1", "Prof_Staff_Types.Prof_Level_1", "Channels.Channels_1", DATE(2010,4,1)]|=H153</t>
  </si>
  <si>
    <t>Practice_Dev_pct_Capd["Practice_Areas.Practice_1", DATE(2010,12,1)]|=P395</t>
  </si>
  <si>
    <t>Interest_Rate_Earned_Cash_Yr[DATE(2010,6,1)]|=J341</t>
  </si>
  <si>
    <t>Per_Sup_Staff_Exp_Yr["Depts.Sales", "Empl_Rel_Exp_Type.Travel_Entertain", DATE(2010,11,1)]|=O330</t>
  </si>
  <si>
    <t>:A:0:Short_Debt</t>
  </si>
  <si>
    <t>Sales_Lead_Hrs_New["Sales_Lead_Quality.Lead_Qual_1", "Practice_Areas.Practice_1", "Prof_Staff_Types.Prof_Level_1", "Channels.Channels_1", DATE(2011,1,1)]|=2*Q68-P68</t>
  </si>
  <si>
    <t>Sales_Lead_Hrs_Expire_pct_Yr["Sales_Lead_Quality.Lead_Qual_1", "Practice_Areas.Practice_1", "Prof_Staff_Types.Prof_Level_1", "Channels.Channels_2", DATE(2010,6,1)]|=J106</t>
  </si>
  <si>
    <t>Recruit_pct_Pos_Prof_Init["Practice_Areas.Practice_1", "Prof_Staff_Types.Prof_Level_1"]|=0.15</t>
  </si>
  <si>
    <t>Cost_Services_Supplies_Hr["Practice_Areas.Practice_1", "Prof_Staff_Types.Prof_Level_2", "Supply_Types.Supply_Type_1", "Channels.Channels_2", DATE(2011,4,1)]|=T166</t>
  </si>
  <si>
    <t>:A:-1:Untagged_Asset_Name</t>
  </si>
  <si>
    <t>Cost_Services_Supplies_Hr["Practice_Areas.Practice_2", "Prof_Staff_Types.Prof_Level_2", "Supply_Types.Supply_Type_2", "Channels.Channels_2", DATE(2011,6,1)]|=V176</t>
  </si>
  <si>
    <t>Practice Area</t>
  </si>
  <si>
    <t>:A:0:Recruit_Exp_pct_Comp_Sup</t>
  </si>
  <si>
    <t>Practice_Dev_Sup_Staff_Count["Practice_Areas.Practice_2", "Depts.Sales", "Sup_Staff_Levels.Contributor", DATE(2010,2,1)]|=F298</t>
  </si>
  <si>
    <t>if(prev(Revenue)=0, " ", Revenue/prev(Revenue)-1)</t>
  </si>
  <si>
    <t>:A:0:Sup_Staff_Turnover_pct_Yr</t>
  </si>
  <si>
    <t>Prof_Staff_Benefits_pct["Prof_Staff_Types.Prof_Level_2", DATE(2010,6,1)]|=J221</t>
  </si>
  <si>
    <t>:D:0:Liabilities.Short.AcctsPay</t>
  </si>
  <si>
    <t>Gross_Margin-Operating_Exp</t>
  </si>
  <si>
    <t>Sales_Lead_Hrs_New["Sales_Lead_Quality.Lead_Qual_1", "Practice_Areas.Practice_2", "Prof_Staff_Types.Prof_Level_1", "Channels.Channels_2", DATE(2010,12,1)]|=2*P73-O73</t>
  </si>
  <si>
    <t>Inputs!Engage_Hrs_pct_Billed_ET_Engage_Time_Period_4_Engagements_Engage_1_Prof_Staff_Types_Prof_Level_2</t>
  </si>
  <si>
    <t>Cash_Flow_Expect_Factor[DATE(2011,4,1)]|=T439</t>
  </si>
  <si>
    <t>Practice_Dev_Spend</t>
  </si>
  <si>
    <t>Sales_Lead_Hrs_New["Sales_Lead_Quality.Lead_Qual_1", "Practice_Areas.Practice_1", "Prof_Staff_Types.Prof_Level_1", "Channels.Channels_1", DATE(2010,2,1)]|=2*F68-F68</t>
  </si>
  <si>
    <t>Sales_Lead_Hrs_Expire_pct_Yr["Sales_Lead_Quality.Lead_Qual_1", "Practice_Areas.Practice_2", "Prof_Staff_Types.Prof_Level_1", "Channels.Channels_1", DATE(2010,9,1)]|=M109</t>
  </si>
  <si>
    <t>Cost_Services_TandE_Hr["Practice_Areas.Practice_1", "Prof_Staff_Types.Prof_Level_2", "Channels.Channels_2", DATE(2010,8,1)]|=L156</t>
  </si>
  <si>
    <t>Dividend[DATE(2010,2,1)]|=0</t>
  </si>
  <si>
    <t>Cost_Services_Supplies_Hr["Practice_Areas.Practice_2", "Prof_Staff_Types.Prof_Level_1", "Supply_Types.Supply_Type_1", "Channels.Channels_2", DATE(2010,11,1)]|=O170</t>
  </si>
  <si>
    <t>:A:-1:Chg_Accts_Pay</t>
  </si>
  <si>
    <t>Cost_Services_Supplies_Hr["Practice_Areas.Practice_1", "Prof_Staff_Types.Prof_Level_1", "Supply_Types.Supply_Type_1", "Channels.Channels_1", DATE(2010,11,1)]|=O161</t>
  </si>
  <si>
    <t>Publications</t>
  </si>
  <si>
    <t xml:space="preserve">  Furniture</t>
  </si>
  <si>
    <t>Office_Space_per_Person</t>
  </si>
  <si>
    <t>Engage_Hrs_Applied_ET["Engagements.Engage_1", "Prof_Staff_Types.Prof_Level_2", "Engage_Time.Period_2"]|=if('(Tables)'!B43&lt;=G20, F25*F20*1/G20+F25*F20*min(1, max(-1, G25))*2*'(Tables)'!B43/G20/G20+F25*F20*min(1, max(-1, G25))*(-1)/G20/G20+F25*F20*min(1, max(-1, G25))*(-1)/G20, 0*F20/G20)</t>
  </si>
  <si>
    <t>Per_Sup_Staff_Exp_Yr["Depts.Marketing", "Empl_Rel_Exp_Type.Travel_Entertain", DATE(2010,5,1)]|=I327</t>
  </si>
  <si>
    <t>Prof_Staff_Count_Early["Practice_Areas.Practice_1", "Prof_Staff_Types.Prof_Level_2", DATE(2010,5,1)]|=I185</t>
  </si>
  <si>
    <t>Prof_Fees_per_Hr_Nominal["Practice_Areas.Practice_1", "Prof_Staff_Types.Prof_Level_1", DATE(2011,2,1)]|=R138</t>
  </si>
  <si>
    <t>Cost of travel and entertainment incurred in client engagements (including small engagements from the sales funnel). Segmented by Practice Area, Professional Staff Type, Channel, and time period.</t>
  </si>
  <si>
    <t>Cap'd Development (Asset)</t>
  </si>
  <si>
    <t>Orders_Filled_Hrs_pct["Practice_Areas.Practice_2", "Prof_Staff_Types.Prof_Level_2", "Channels.Channels_2", DATE(2011,4,1)]|=T129</t>
  </si>
  <si>
    <t>(Tables)'!Engage_Hrs_pct_Billed_ET_Engage_Time_Period_4_Engagements</t>
  </si>
  <si>
    <t>Prof Staff Rel Exp</t>
  </si>
  <si>
    <t>Per_Prof_Staff_Exp_Yr["Prof_Staff_Types.Prof_Level_1", "Empl_Rel_Exp_Type.Supplies", DATE(2010,11,1)]|=O319</t>
  </si>
  <si>
    <t>Sales_Lead_Hrs_New["Sales_Lead_Quality.Lead_Qual_1", "Practice_Areas.Practice_2", "Prof_Staff_Types.Prof_Level_2", "Channels.Channels_1", DATE(2010,4,1)]|=2*H74-G74</t>
  </si>
  <si>
    <t>Cost_Services_TandE_Hr["Practice_Areas.Practice_1", "Prof_Staff_Types.Prof_Level_2", "Channels.Channels_2", DATE(2010,6,1)]|=J156</t>
  </si>
  <si>
    <t>Engage_Discount_pct["Engagements.Engage_2", DATE(2011,5,1)]|=U149</t>
  </si>
  <si>
    <t>Practice_Dev_Sup_Staff_Count["Practice_Areas.Practice_2", "Depts.Sales", "Sup_Staff_Levels.Manager", DATE(2010,6,1)]|=J297</t>
  </si>
  <si>
    <t>Inputs!Engage_Hrs_Applied_ET_Engage_Time_Period_3_Engagements_Engage_1_Prof_Staff_Types_Prof_Level_2</t>
  </si>
  <si>
    <t>Cost_Services_Supplies_Hr["Practice_Areas.Practice_1", "Prof_Staff_Types.Prof_Level_2", "Supply_Types.Supply_Type_2", "Channels.Channels_1", DATE(2010,1,1)]|=0</t>
  </si>
  <si>
    <t>Prof_Staff_Count_plt</t>
  </si>
  <si>
    <t>Facil_Other_Exp_Yr[DATE(2010,11,1)]|=O308</t>
  </si>
  <si>
    <t>Orders_Filled_Hrs_pct["Practice_Areas.Practice_1", "Prof_Staff_Types.Prof_Level_2", "Channels.Channels_1", DATE(2010,11,1)]|=O124</t>
  </si>
  <si>
    <t>Orders_Filled_Hrs_pct["Practice_Areas.Practice_2", "Prof_Staff_Types.Prof_Level_1", "Channels.Channels_1", DATE(2011,4,1)]|=T126</t>
  </si>
  <si>
    <t>if(Time&lt;0.001+1/periods_per("year"), Recruit_pct_Pos_Sup_Init, Recruit_pct_Positions_Sup)*Sup_Staff_Openings</t>
  </si>
  <si>
    <t>(Tables)'!Engage_Gross_Margin_Engagements_Engage_2_Prof_Staff_Types_Prof_Level_1</t>
  </si>
  <si>
    <t>Engage!Engage_Gross_Margin_pct_Engagements_Engage_1_Prof_Staff_Types</t>
  </si>
  <si>
    <t>:A:0:Tagged_Asset_Life_Phys_Period</t>
  </si>
  <si>
    <t>Revenue / Prof Staff</t>
  </si>
  <si>
    <t>:A:-1:Prof_Staff_Hrs_Billed_Growth_Channel</t>
  </si>
  <si>
    <t>Cost_Services_TandE_Hr["Practice_Areas.Practice_2", "Prof_Staff_Types.Prof_Level_1", "Channels.Channels_2", DATE(2011,6,1)]|=V158</t>
  </si>
  <si>
    <t>Staff Hrs Applied, Unbilled</t>
  </si>
  <si>
    <t>A checksum. Equals Assets - Liabilities - Equity, which must be zero if assets, liabilities and equity are accounted for correctly</t>
  </si>
  <si>
    <t>Sales_Lead_Hrs_New["Sales_Lead_Quality.Lead_Qual_1", "Practice_Areas.Practice_2", "Prof_Staff_Types.Prof_Level_2", "Channels.Channels_2", DATE(2010,2,1)]|=2*F75-F75</t>
  </si>
  <si>
    <t>Prof_Fee_Discount_pct["Practice_Areas.Practice_2", "Prof_Staff_Types.Prof_Level_1", DATE(2010,8,1)]|=L145</t>
  </si>
  <si>
    <t>Prof_Fee_Discount_pct["Practice_Areas.Practice_2", "Prof_Staff_Types.Prof_Level_2", DATE(2011,3,1)]|=S146</t>
  </si>
  <si>
    <t>Prof_Fee_Discount_pct["Practice_Areas.Practice_2", "Prof_Staff_Types.Prof_Level_2", DATE(2010,5,1)]|=I146</t>
  </si>
  <si>
    <t>Inputs!Engage_Hrs_Applied_ET_Engage_Time_Period_1_Engagements_Engage_1_Prof_Staff_Types_Prof_Level_2</t>
  </si>
  <si>
    <t>Accts_Pay_Targ_Days["Accts_Pay_Type.Payroll_Pay", DATE(2010,11,1)]|=P411</t>
  </si>
  <si>
    <t>Orders_Filled_Hrs_pct["Practice_Areas.Practice_2", "Prof_Staff_Types.Prof_Level_2", "Channels.Channels_1", DATE(2010,7,1)]|=K128</t>
  </si>
  <si>
    <t>Orders_Filled_Hrs_pct["Practice_Areas.Practice_1", "Prof_Staff_Types.Prof_Level_1", "Channels.Channels_2", DATE(2010,4,1)]|=H123</t>
  </si>
  <si>
    <t>(Compute)'!Gross_Margin_Channel_Time_Period</t>
  </si>
  <si>
    <t>Per_Sup_Staff_Exp_Yr["Depts.Sales", "Empl_Rel_Exp_Type.Travel_Entertain", DATE(2010,3,1)]|=G330</t>
  </si>
  <si>
    <t>:A:0:Assets</t>
  </si>
  <si>
    <t>Sales_Lead_Hrs_Conv_pct_Yr["Sales_Lead_Quality.Lead_Qual_1", "Practice_Areas.Practice_2", "Prof_Staff_Types.Prof_Level_2", "Channels.Channels_2", DATE(2010,7,1)]|=K95</t>
  </si>
  <si>
    <t>:A:-1:Practice_Dev_pct_Capd</t>
  </si>
  <si>
    <t>Nominal (listed) hourly professional billing rates, by Practice Area, Prof Staff Type, and time period. You should enter billing rate data for the first time period, and for any time period and product for which the professional billing rate changes.</t>
  </si>
  <si>
    <t>Sales_Lead_Hrs_Expire_pct_Yr["Sales_Lead_Quality.Lead_Qual_1", "Practice_Areas.Practice_1", "Prof_Staff_Types.Prof_Level_2", "Channels.Channels_2", DATE(2010,12,1)]|=P108</t>
  </si>
  <si>
    <t>Cost_Services_TandE_Hr["Practice_Areas.Practice_1", "Prof_Staff_Types.Prof_Level_2", "Channels.Channels_2", DATE(2010,5,1)]|=I156</t>
  </si>
  <si>
    <t>The types of untagged assets that are tracked in the plan</t>
  </si>
  <si>
    <t>(Compute)'!Practice_Dev_Prof_Staff_Hrs_Date</t>
  </si>
  <si>
    <t>:A:0:Bad_Debt_Exp</t>
  </si>
  <si>
    <t>Sales_Lead_Hrs_Expire_pct_Yr["Sales_Lead_Quality.Lead_Qual_1", "Practice_Areas.Practice_2", "Prof_Staff_Types.Prof_Level_1", "Channels.Channels_1", DATE(2010,12,1)]|=P109</t>
  </si>
  <si>
    <t>Engage_Hrs_Applied_Plot</t>
  </si>
  <si>
    <t>Sales_Lead_Hrs_New["Sales_Lead_Quality.Lead_Qual_1", "Practice_Areas.Practice_2", "Prof_Staff_Types.Prof_Level_2", "Channels.Channels_2", DATE(2011,5,1)]|=2*U75-T75</t>
  </si>
  <si>
    <t>Sales_Lead_Hrs_Conv_pct_Yr["Sales_Lead_Quality.Lead_Qual_1", "Practice_Areas.Practice_1", "Prof_Staff_Types.Prof_Level_2", "Channels.Channels_1", DATE(2010,2,1)]|=F90</t>
  </si>
  <si>
    <t>Deprec Life (periods)</t>
  </si>
  <si>
    <t>Prof_Staff_Count_Early["Practice_Areas.Practice_2", "Prof_Staff_Types.Prof_Level_1", DATE(2011,6,1)]|=V186</t>
  </si>
  <si>
    <t>Sup_Staff_Count_Early["Depts.Sales", "Sup_Staff_Levels.Manager", DATE(2011,6,1)]|=V199</t>
  </si>
  <si>
    <t xml:space="preserve">The ratio of practice development spending to revenue in each accounting period. </t>
  </si>
  <si>
    <t>(Compute)'!Revenue_Date</t>
  </si>
  <si>
    <t>Sales_Lead_Hrs_Conv_pct_Yr["Sales_Lead_Quality.Lead_Qual_1", "Practice_Areas.Practice_1", "Prof_Staff_Types.Prof_Level_2", "Channels.Channels_2", DATE(2010,5,1)]|=I91</t>
  </si>
  <si>
    <t>Sales_Lead_Hrs_New["Sales_Lead_Quality.Lead_Qual_1", "Practice_Areas.Practice_1", "Prof_Staff_Types.Prof_Level_2", "Channels.Channels_2", DATE(2010,2,1)]|=2*F71-F71</t>
  </si>
  <si>
    <t>Prof_Staff_Bonus_pct["Practice_Areas.Practice_1", "Prof_Staff_Types.Prof_Level_2", DATE(2010,5,1)]|=I216</t>
  </si>
  <si>
    <t>Practice_Dev_pct_Capd["Practice_Areas.Practice_2", DATE(2010,5,1)]|=I396</t>
  </si>
  <si>
    <t>Untagged_Asset_Purch_Params["Untagged_Asset_Purch_Params.Per_Old_Prof_Staff", "Untagged_Asset_Type.Office_Equip"]|=0/2/5</t>
  </si>
  <si>
    <t>Sales_Lead_Hrs_New["Sales_Lead_Quality.Lead_Qual_2", "Practice_Areas.Practice_1", "Prof_Staff_Types.Prof_Level_1", "Channels.Channels_1", DATE(2010,11,1)]|=2*O76-N76</t>
  </si>
  <si>
    <t>preve(0, Paid_In_Capital)+Net_Stock_Issue</t>
  </si>
  <si>
    <t>Per_Prof_Staff_Exp_Yr["Prof_Staff_Types.Prof_Level_1", "Empl_Rel_Exp_Type.Other", DATE(2011,1,1)]|=Q321</t>
  </si>
  <si>
    <t>Per_Sup_Staff_Exp_Yr["Depts.Sales", "Empl_Rel_Exp_Type.Supplies", DATE(2011,6,1)]|=V329</t>
  </si>
  <si>
    <t>Ending Cash</t>
  </si>
  <si>
    <t>Practice_Dev_Sup_Staff_Count["Practice_Areas.Practice_2", "Depts.Marketing", "Sup_Staff_Levels.Manager", DATE(2010,2,1)]|=F295</t>
  </si>
  <si>
    <t>Office_Utilities_Rate_Yr[DATE(2011,6,1)]|=V306</t>
  </si>
  <si>
    <t>Sales_Lead_Hrs_Expire_pct_Yr["Sales_Lead_Quality.Lead_Qual_1", "Practice_Areas.Practice_2", "Prof_Staff_Types.Prof_Level_1", "Channels.Channels_2", DATE(2011,4,1)]|=T110</t>
  </si>
  <si>
    <t>(Tables)'!Prof_Staff_Count1_Practice_Areas</t>
  </si>
  <si>
    <t>Dev_Capd_Period_Lagged</t>
  </si>
  <si>
    <t>Prof_Staff_Hrs_Billed_Plot</t>
  </si>
  <si>
    <t>Sup_Staff_Count_Early["Depts.Sales", "Sup_Staff_Levels.Manager", DATE(2010,4,1)]|=H199</t>
  </si>
  <si>
    <t>Prof_Staff_Targ_Util_pct["Practice_Areas.Practice_1", "Prof_Staff_Types.Prof_Level_2", DATE(2010,10,1)]|=N190</t>
  </si>
  <si>
    <t>:A:-1:Discount_Factor</t>
  </si>
  <si>
    <t>Engagements, Prof_Staff_Types</t>
  </si>
  <si>
    <t>Sales_Lead_Hrs_Conv_pct_Yr["Sales_Lead_Quality.Lead_Qual_2", "Practice_Areas.Practice_1", "Prof_Staff_Types.Prof_Level_1", "Channels.Channels_2", DATE(2010,1,1)]|=0.50</t>
  </si>
  <si>
    <t>Sup_Staff_Bonus_pct["Depts.Marketing", "Sup_Staff_Levels.Contributor", DATE(2010,2,1)]|=F234</t>
  </si>
  <si>
    <t>Prof_Staff_Bonus_pct["Practice_Areas.Practice_1", "Prof_Staff_Types.Prof_Level_1", DATE(2010,10,1)]|=N215</t>
  </si>
  <si>
    <t>Accts_Pay_Targ_Days["Accts_Pay_Type.Tax_Pay", DATE(2010,8,1)]|=M412</t>
  </si>
  <si>
    <t>Practice_Dev_Sup_Staff_Count["Practice_Areas.Practice_1", "Depts.Sales", "Sup_Staff_Levels.Manager", DATE(2011,5,1)]|=U293</t>
  </si>
  <si>
    <t>Annualized internal rate of return for model time, excluding cash flows in tail after model time</t>
  </si>
  <si>
    <t>Prof_Staff_Bonus_pct["Practice_Areas.Practice_1", "Prof_Staff_Types.Prof_Level_2", DATE(2010,6,1)]|=J216</t>
  </si>
  <si>
    <t>Orders_Filled_Hrs_pct["Practice_Areas.Practice_1", "Prof_Staff_Types.Prof_Level_2", "Channels.Channels_2", DATE(2010,7,1)]|=K125</t>
  </si>
  <si>
    <t>Engage Time</t>
  </si>
  <si>
    <t>Cost_Services_TandE_Hr["Practice_Areas.Practice_2", "Prof_Staff_Types.Prof_Level_1", "Channels.Channels_1", DATE(2010,8,1)]|=L157</t>
  </si>
  <si>
    <t>Percentage of order backlog that is fulfilled, in each time period, expressed in billable hours, segmented by product. Backlog applies to products only, not support.</t>
  </si>
  <si>
    <t>prevde(0, "Depts")</t>
  </si>
  <si>
    <t>Orders_Filled_Hrs_pct["Practice_Areas.Practice_2", "Prof_Staff_Types.Prof_Level_1", "Channels.Channels_1", DATE(2010,12,1)]|=P126</t>
  </si>
  <si>
    <t>Per_Prof_Staff_Exp_Yr["Prof_Staff_Types.Prof_Level_1", "Empl_Rel_Exp_Type.Travel_Entertain", DATE(2011,5,1)]|=U320</t>
  </si>
  <si>
    <t>Interest_Rate_Short_Yr[DATE(2011,3,1)]|=S339</t>
  </si>
  <si>
    <t>:A:0:Recruit_Exp_pct_Comp_Prof</t>
  </si>
  <si>
    <t>Cash_Flow_Expect_Factor[DATE(2010,10,1)]|=N439</t>
  </si>
  <si>
    <t>Tail Discount Rate</t>
  </si>
  <si>
    <t>Cash Flow Expectation Factor</t>
  </si>
  <si>
    <t>Practice_Dev_Sup_Staff_Count</t>
  </si>
  <si>
    <t>:D:0:OpExpType.Facil_Util_Exp</t>
  </si>
  <si>
    <t>Dividend[DATE(2010,8,1)]|=0</t>
  </si>
  <si>
    <t>Inputs!Engage_Hrs_Applied_ET_Engage_Time_Period_4_Engagements_Engage_2_Prof_Staff_Types_Prof_Level_2</t>
  </si>
  <si>
    <t>Per_Sup_Staff_Exp_Yr["Depts.Marketing", "Empl_Rel_Exp_Type.Supplies", DATE(2010,2,1)]|=F326</t>
  </si>
  <si>
    <t>Sales_Lead_Hrs_Conv_pct_Yr["Sales_Lead_Quality.Lead_Qual_1", "Practice_Areas.Practice_2", "Prof_Staff_Types.Prof_Level_1", "Channels.Channels_2", DATE(2011,5,1)]|=U93</t>
  </si>
  <si>
    <t>Practice_Dev_Sup_Staff_Count["Practice_Areas.Practice_1", "Depts.Sales", "Sup_Staff_Levels.Contributor", DATE(2011,1,1)]|=Q294</t>
  </si>
  <si>
    <t>(Ranges)'!Prof_Staff_Count_Practice_Areas_Practice_2</t>
  </si>
  <si>
    <t>Practice_Dev_Sup_Staff_Count["Practice_Areas.Practice_2", "Depts.Sales", "Sup_Staff_Levels.Contributor", DATE(2010,6,1)]|=J298</t>
  </si>
  <si>
    <t>Prof_Staff_Cost_per_Hr</t>
  </si>
  <si>
    <t>(Compute)'!Operating_Margin_Time_Period</t>
  </si>
  <si>
    <t>Prof Staff Cost Applied</t>
  </si>
  <si>
    <t>Cost_Services_Supplies_Hr["Practice_Areas.Practice_2", "Prof_Staff_Types.Prof_Level_1", "Supply_Types.Supply_Type_2", "Channels.Channels_1", DATE(2010,5,1)]|=I171</t>
  </si>
  <si>
    <t>Sales_Lead_Hrs_Expire_pct_Yr["Sales_Lead_Quality.Lead_Qual_1", "Practice_Areas.Practice_2", "Prof_Staff_Types.Prof_Level_1", "Channels.Channels_1", DATE(2011,2,1)]|=R109</t>
  </si>
  <si>
    <t>Bonus pool for professional staff, segmented by Practice Area, by Professional Staff Type, and by time period</t>
  </si>
  <si>
    <t>Orders_Filled_Hrs_pct["Practice_Areas.Practice_1", "Prof_Staff_Types.Prof_Level_2", "Channels.Channels_1", DATE(2010,10,1)]|=N124</t>
  </si>
  <si>
    <t>Prof_Fees_per_Hr_Nominal["Practice_Areas.Practice_2", "Prof_Staff_Types.Prof_Level_2", DATE(2010,1,1)]|=200</t>
  </si>
  <si>
    <t>Lead Qual 2</t>
  </si>
  <si>
    <t>Prof_Staff_Targ_Util_pct["Practice_Areas.Practice_2", "Prof_Staff_Types.Prof_Level_1", DATE(2010,2,1)]|=F191</t>
  </si>
  <si>
    <t>Company Name</t>
  </si>
  <si>
    <t>Cost_Services_Supplies_Hr["Practice_Areas.Practice_2", "Prof_Staff_Types.Prof_Level_1", "Supply_Types.Supply_Type_2", "Channels.Channels_1", DATE(2011,4,1)]|=T171</t>
  </si>
  <si>
    <t>(Ranges)'!Assets_Assets</t>
  </si>
  <si>
    <t>:A:0:Prof_Staff_Hrs_Unapplied</t>
  </si>
  <si>
    <t>Engage!Engage_Cost_Staff_Engagements_Engage_1</t>
  </si>
  <si>
    <t>Untagged Asset Type</t>
  </si>
  <si>
    <t>Untagged_Asset_Purch_Params["Untagged_Asset_Purch_Params.Per_Old_Sup_Staff", "Untagged_Asset_Type.Office_Equip"]|=0/2/5</t>
  </si>
  <si>
    <t>if(Revenue=0, 0, Net_Income/Revenue)</t>
  </si>
  <si>
    <t>Engage!Engage_Cost_TandE_Engagements_Engage_2_Prof_Staff_Types_Prof_Level_1_Supply_Types_Supply_Type_1</t>
  </si>
  <si>
    <t>Sales_Commis_Rate[DATE(2010,9,1)]|=M246</t>
  </si>
  <si>
    <t>:A:-1:Practice_Dev_Spend</t>
  </si>
  <si>
    <t xml:space="preserve">  Per_Old_Sup_Staff</t>
  </si>
  <si>
    <t>prev(Loss_Forward)-(Operating_Margin-Depreciation-Financial_Exp)+Taxable_Income</t>
  </si>
  <si>
    <t>:A:0:Prof_Staff_Salary_incr_pct</t>
  </si>
  <si>
    <t>Initial Recruit %</t>
  </si>
  <si>
    <t>:A:0:Engage_Hrs_Billed_ET1</t>
  </si>
  <si>
    <t>Prof_Fee_Discount_pct["Practice_Areas.Practice_2", "Prof_Staff_Types.Prof_Level_1", DATE(2010,7,1)]|=K145</t>
  </si>
  <si>
    <t>Sup_Staff_Turnover_pct_Yr["Depts.Marketing", "Sup_Staff_Levels.Manager"]|=0</t>
  </si>
  <si>
    <t>:D:2:GA_Exp</t>
  </si>
  <si>
    <t>:A:-1:Engage_Time</t>
  </si>
  <si>
    <t>(Ranges)'!Liabilities_Liabilities_Short_AcctsPay</t>
  </si>
  <si>
    <t>Sales_Lead_Hrs_New["Sales_Lead_Quality.Lead_Qual_2", "Practice_Areas.Practice_1", "Prof_Staff_Types.Prof_Level_2", "Channels.Channels_2", DATE(2010,7,1)]|=2*K79-J79</t>
  </si>
  <si>
    <t>:D:2:Depts.Marketing</t>
  </si>
  <si>
    <t>Sales_Lead_Hrs_Expire_pct_Yr["Sales_Lead_Quality.Lead_Qual_1", "Practice_Areas.Practice_2", "Prof_Staff_Types.Prof_Level_2", "Channels.Channels_2", DATE(2010,2,1)]|=F112</t>
  </si>
  <si>
    <t>Price_Sales_Ratio</t>
  </si>
  <si>
    <t>:A:-1:Sup_Staff_per_RevM</t>
  </si>
  <si>
    <t>Prof_Staff_Bonus_pct["Practice_Areas.Practice_1", "Prof_Staff_Types.Prof_Level_1", DATE(2011,5,1)]|=U215</t>
  </si>
  <si>
    <t>Support staff spending devoted to practice development, segmented by practice area, by department, by job level, by time period</t>
  </si>
  <si>
    <t>Sup_Staff_Bonus_pct["Depts.Marketing", "Sup_Staff_Levels.Contributor", DATE(2011,4,1)]|=T234</t>
  </si>
  <si>
    <t>Sales_Lead_Hrs_Conv_pct_Yr["Sales_Lead_Quality.Lead_Qual_1", "Practice_Areas.Practice_2", "Prof_Staff_Types.Prof_Level_2", "Channels.Channels_2", DATE(2011,1,1)]|=Q95</t>
  </si>
  <si>
    <t>Cost_Services_Supplies_Hr["Practice_Areas.Practice_2", "Prof_Staff_Types.Prof_Level_2", "Supply_Types.Supply_Type_2", "Channels.Channels_1", DATE(2011,6,1)]|=V175</t>
  </si>
  <si>
    <t>Early and late labor intensity of each engagement, segmented by Professional Staff Type. The value should be between -1 and 1.
* 0 means labor hours are constant over the duration of the engagement.
* 1 means labor increases linearly over the duration of the engagement.
* -1 nmeans labor declines linearly over the duration of the engagement.</t>
  </si>
  <si>
    <t>Prof_Staff_Salary_incr_pct["Prof_Staff_Types.Prof_Level_1", DATE(2010,2,1)]|=F212</t>
  </si>
  <si>
    <t>Sup_Staff_Bonus_pct["Depts.Sales", "Sup_Staff_Levels.Contributor", DATE(2010,1,1)]|=0</t>
  </si>
  <si>
    <t>Office_Rent_Rate_Yr[DATE(2011,1,1)]|=Q305</t>
  </si>
  <si>
    <t>Cost_Services_Supplies_Hr["Practice_Areas.Practice_2", "Prof_Staff_Types.Prof_Level_2", "Supply_Types.Supply_Type_2", "Channels.Channels_2", DATE(2010,1,1)]|=0</t>
  </si>
  <si>
    <t>if(Revenue=0, 0, 1000*Sup_Staff_Count/Revenue)</t>
  </si>
  <si>
    <t>:A:-1:Prof_Staff_Salary_Avg_Initial_Yr</t>
  </si>
  <si>
    <t>Prof_Staff_Targ_Util_pct["Practice_Areas.Practice_2", "Prof_Staff_Types.Prof_Level_1", DATE(2011,5,1)]|=U191</t>
  </si>
  <si>
    <t>:D:0:Empl_Rel_Exp_Type.Other</t>
  </si>
  <si>
    <t>Mktg_Pgms_K["Mktg_Pgms.Publications", "Practice_Areas.Practice_1", "Konst.K0"]|=0</t>
  </si>
  <si>
    <t>Sup_Staff_Wage_incr_pct["Sup_Staff_Levels.Manager", DATE(2010,1,1)]|=0.03</t>
  </si>
  <si>
    <t>Sales_Lead_Hrs_New["Sales_Lead_Quality.Lead_Qual_1", "Practice_Areas.Practice_2", "Prof_Staff_Types.Prof_Level_1", "Channels.Channels_2", DATE(2011,3,1)]|=2*S73-R73</t>
  </si>
  <si>
    <t>Sales_Commis_Rate[DATE(2011,2,1)]|=R246</t>
  </si>
  <si>
    <t>Sales_Lead_Hrs_Conv_pct_Yr["Sales_Lead_Quality.Lead_Qual_1", "Practice_Areas.Practice_2", "Prof_Staff_Types.Prof_Level_2", "Channels.Channels_2", DATE(2010,12,1)]|=P95</t>
  </si>
  <si>
    <t>:A:-1:Chg_Short_Debt</t>
  </si>
  <si>
    <t>Untagged Asset Purch Parameters</t>
  </si>
  <si>
    <t>Cost_Services_Supplies_Hr["Practice_Areas.Practice_1", "Prof_Staff_Types.Prof_Level_1", "Supply_Types.Supply_Type_1", "Channels.Channels_2", DATE(2010,7,1)]|=K162</t>
  </si>
  <si>
    <t>Sales_Lead_Hrs_Expire_pct_Yr["Sales_Lead_Quality.Lead_Qual_2", "Practice_Areas.Practice_2", "Prof_Staff_Types.Prof_Level_1", "Channels.Channels_1", DATE(2011,4,1)]|=T117</t>
  </si>
  <si>
    <t>The ratio operating expense / revenue, by time period</t>
  </si>
  <si>
    <t>Sales_Commis_Rev_Share[DATE(2010,10,1)]|=N247</t>
  </si>
  <si>
    <t>Accts_Pay_Targ_Days["Accts_Pay_Type.Payroll_Pay", DATE(2011,2,1)]|=S411</t>
  </si>
  <si>
    <t>:A:-1:Prof_Staff_Hrs_Capacity</t>
  </si>
  <si>
    <t>(Ranges)'!Prof_Staff_Hrs_Unbilled_Channel_Practice_Areas_Practice_2</t>
  </si>
  <si>
    <t>Practice_Dev_Prof_Staff_Count["Practice_Areas.Practice_2", "Prof_Staff_Types.Prof_Level_2", DATE(2010,3,1)]|=G289</t>
  </si>
  <si>
    <t>Cost of Supplies / Hr</t>
  </si>
  <si>
    <t xml:space="preserve">  Indir_Labor_Exp</t>
  </si>
  <si>
    <t>Bad_Debt_pct[DATE(2010,2,1)]|=F342</t>
  </si>
  <si>
    <t>New Cap'd Development</t>
  </si>
  <si>
    <t>Per_Prof_Staff_Exp_Yr["Prof_Staff_Types.Prof_Level_2", "Empl_Rel_Exp_Type.Travel_Entertain", DATE(2010,5,1)]|=I323</t>
  </si>
  <si>
    <t>Sales_Lead_Hrs_Expire_pct_Yr["Sales_Lead_Quality.Lead_Qual_1", "Practice_Areas.Practice_1", "Prof_Staff_Types.Prof_Level_2", "Channels.Channels_1", DATE(2011,2,1)]|=R107</t>
  </si>
  <si>
    <t>Engage!Engage_Cost_TandE_Engagements_Engage_1_Prof_Staff_Types_Prof_Level_2_Supply_Types</t>
  </si>
  <si>
    <t>(Tables)'!Prof_Staff_Billings_Practice_Areas_Practice_2_Prof_Staff_Types_Prof_Level_1_Channels_Channels_1</t>
  </si>
  <si>
    <t>Mktg_Pgms_Exp_Early["Mktg_Pgms.Seminars", "Practice_Areas.Practice_1", DATE(2011,3,1)]|=S276</t>
  </si>
  <si>
    <t>Prof_Staff_Cost</t>
  </si>
  <si>
    <t>:A:0:Sales_Leads</t>
  </si>
  <si>
    <t>Practice_Dev_Prof_Staff_Count["Practice_Areas.Practice_1", "Prof_Staff_Types.Prof_Level_2", DATE(2010,8,1)]|=L287</t>
  </si>
  <si>
    <t>Practice_Dev_Sup_Staff_Count["Practice_Areas.Practice_1", "Depts.Sales", "Sup_Staff_Levels.Manager", DATE(2010,2,1)]|=F293</t>
  </si>
  <si>
    <t>Per_Prof_Staff_Exp_Yr["Prof_Staff_Types.Prof_Level_2", "Empl_Rel_Exp_Type.Travel_Entertain", DATE(2011,6,1)]|=V323</t>
  </si>
  <si>
    <t>Orders_Filled_Hrs_pct["Practice_Areas.Practice_2", "Prof_Staff_Types.Prof_Level_2", "Channels.Channels_1", DATE(2010,12,1)]|=P128</t>
  </si>
  <si>
    <t>:A:0:Mktg_Pgms_K</t>
  </si>
  <si>
    <t>(Ranges)'!Prof_Staff_Hrs_Unbilled_Channel_Practice_Areas</t>
  </si>
  <si>
    <t>Tail Future Value</t>
  </si>
  <si>
    <t>Sales_Lead_Hrs_Init["Practice_Areas.Practice_1", "Prof_Staff_Types.Prof_Level_1", "Channels.Channels_2", "Sales_Lead_Quality.Lead_Qual_1"]|=F56</t>
  </si>
  <si>
    <t>Engage_Duration["Engagements.Engage_2"]|=2+1</t>
  </si>
  <si>
    <t>Prof_Fees_per_Hr_Nominal["Practice_Areas.Practice_1", "Prof_Staff_Types.Prof_Level_2", DATE(2010,10,1)]|=N139</t>
  </si>
  <si>
    <t>Untagged_Asset_Purch_Params["Untagged_Asset_Purch_Params.Per_New_Prof_Staff", "Untagged_Asset_Type.Furniture"]|=0/2/5</t>
  </si>
  <si>
    <t>Cost_Services_Supplies_Channel</t>
  </si>
  <si>
    <t>Per_Sup_Staff_Exp_Yr["Depts.Marketing", "Empl_Rel_Exp_Type.Travel_Entertain", DATE(2011,6,1)]|=V327</t>
  </si>
  <si>
    <t>If(Prof_Staff_Hrs_Billed=0, 0, Prof_Staff_Billings/Prof_Staff_Hrs_Billed)</t>
  </si>
  <si>
    <t>Engage_Hrs_pct_Billed_ET["Engagements.Engage_1", "Prof_Staff_Types.Prof_Level_1", "Engage_Time.Period_2"]|=1</t>
  </si>
  <si>
    <t>Short_Debt[DATE(2011,2,1)]|=max(0, '(Compute)'!P31-'(Tables)'!P1367)</t>
  </si>
  <si>
    <t>Mktg_Pgms_Exp_Early</t>
  </si>
  <si>
    <t>Long_Loans</t>
  </si>
  <si>
    <t>:D:0:Assets.Long</t>
  </si>
  <si>
    <t>Sales_Lead_Hrs_Expire_pct_Yr["Sales_Lead_Quality.Lead_Qual_1", "Practice_Areas.Practice_2", "Prof_Staff_Types.Prof_Level_1", "Channels.Channels_1", DATE(2010,5,1)]|=I109</t>
  </si>
  <si>
    <t>ifm(Time&lt;=2.51, 0, ifm(mod(month(current_date(1)), 3)&gt;0, 0, 0.50*preve(0, Dividend)+0.50*max(0, preve(0, Cash, 0.25, "year")-2000-(0.25+0.5*Revenue_Growth)*preve(0, Revenue, 0.25, "year"))))</t>
  </si>
  <si>
    <t>Orders_Filled_Hrs_pct["Practice_Areas.Practice_1", "Prof_Staff_Types.Prof_Level_1", "Channels.Channels_1", DATE(2010,5,1)]|=I122</t>
  </si>
  <si>
    <t>Sales_Lead_Hrs_New["Sales_Lead_Quality.Lead_Qual_1", "Practice_Areas.Practice_1", "Prof_Staff_Types.Prof_Level_1", "Channels.Channels_2", DATE(2010,10,1)]|=2*N69-M69</t>
  </si>
  <si>
    <t>if(round(Untagged_Asset_Life_Yrs, 0)&lt;=8, if(round(Untagged_Asset_Life_Yrs, 0)&lt;=4, if(round(Untagged_Asset_Life_Yrs, 0)&lt;=2, if(round(Untagged_Asset_Life_Yrs, 0)=1, preve(0, Untagged_Asset_Purch, 1, "year"), preve(0, Untagged_Asset_Purch, 2, "year")), if(round(Untagged_Asset_Life_Yrs, 0)=3, preve(0, Untagged_Asset_Purch, 3, "year"), preve(0, Untagged_Asset_Purch, 4, "year"))), if(round(Untagged_Asset_Life_Yrs, 0)&lt;=6, if(round(Untagged_Asset_Life_Yrs, 0)=5, preve(0, Untagged_Asset_Purch, 5, "year"), preve(0, Untagged_Asset_Purch, 6, "year")), if(round(Untagged_Asset_Life_Yrs, 0)=7, preve(0, Untagged_Asset_Purch, 7, "year"), preve(0, Untagged_Asset_Purch, 8, "year")))), preve(0, Untagged_Asset_Purch, 9, "year"))</t>
  </si>
  <si>
    <t>Sales_Lead_Hrs_Expire_pct_Yr["Sales_Lead_Quality.Lead_Qual_1", "Practice_Areas.Practice_2", "Prof_Staff_Types.Prof_Level_2", "Channels.Channels_2", DATE(2010,8,1)]|=L112</t>
  </si>
  <si>
    <t>Sales_Lead_Hrs_Conv_pct_Yr["Sales_Lead_Quality.Lead_Qual_1", "Practice_Areas.Practice_2", "Prof_Staff_Types.Prof_Level_1", "Channels.Channels_1", DATE(2010,7,1)]|=K92</t>
  </si>
  <si>
    <t>Practice_Dev_pct_Capd["Practice_Areas.Practice_1", DATE(2010,2,1)]|=F395</t>
  </si>
  <si>
    <t>Per_Prof_Staff_Exp_Yr["Prof_Staff_Types.Prof_Level_2", "Empl_Rel_Exp_Type.Other", DATE(2010,8,1)]|=L324</t>
  </si>
  <si>
    <t>Practice_Dev_Sup_Staff_Count["Practice_Areas.Practice_1", "Depts.Sales", "Sup_Staff_Levels.Manager", DATE(2010,5,1)]|=I293</t>
  </si>
  <si>
    <t>:A:0:Cash_Flow_Eq_Expected</t>
  </si>
  <si>
    <t>Prof_Staff_Benefits_pct["Prof_Staff_Types.Prof_Level_1", DATE(2010,11,1)]|=O220</t>
  </si>
  <si>
    <t>Assets-Liabilities-Equity</t>
  </si>
  <si>
    <t>Mktg Programs</t>
  </si>
  <si>
    <t>Prof_Staff_Benefits_pct["Prof_Staff_Types.Prof_Level_2", DATE(2011,3,1)]|=S221</t>
  </si>
  <si>
    <t>Tagged Asset Purch</t>
  </si>
  <si>
    <t>Accts_Pay_Targ_Days["Accts_Pay_Type.Tax_Pay", DATE(2010,1,1)]|=30</t>
  </si>
  <si>
    <t>Cost_Services_Supplies_Hr["Practice_Areas.Practice_1", "Prof_Staff_Types.Prof_Level_2", "Supply_Types.Supply_Type_2", "Channels.Channels_1", DATE(2011,6,1)]|=V167</t>
  </si>
  <si>
    <t>Cost_Services_Supplies_Hr["Practice_Areas.Practice_1", "Prof_Staff_Types.Prof_Level_2", "Supply_Types.Supply_Type_2", "Channels.Channels_1", DATE(2010,11,1)]|=O167</t>
  </si>
  <si>
    <t>if(last(Prof_Staff_Count)=0, 0, last(Prof_Staff_Turnover)*periods_per("year")/last(Prof_Staff_Count))</t>
  </si>
  <si>
    <t>Professional Staff Count</t>
  </si>
  <si>
    <t>Marketing department program expenses, by marketing program, by time period</t>
  </si>
  <si>
    <t>Accts_Pay_Targ_Days["Accts_Pay_Type.Tax_Pay", DATE(2010,5,1)]|=J412</t>
  </si>
  <si>
    <t>(Compute)'!Engage_Cost_TandE_Time_Period</t>
  </si>
  <si>
    <t>Gross_Margin</t>
  </si>
  <si>
    <t>Inputs!Engage_Hrs_Applied_ET_Engage_Time_Period_4_Engagements_Engage_1_Prof_Staff_Types_Prof_Level_2</t>
  </si>
  <si>
    <t>Liabilities 2</t>
  </si>
  <si>
    <t>(Tables)'!Engage_Hrs_pct_Billed_ET_Engage_Time_Period_2_Engagements_Engage_2</t>
  </si>
  <si>
    <t>Facil_Other_Exp_Yr[DATE(2011,5,1)]|=U308</t>
  </si>
  <si>
    <t>Per_Sup_Staff_Exp_Yr*Sup_Staff_Count/periods_per("year")</t>
  </si>
  <si>
    <t>Sup_Staff_Wage_incr_pct["Sup_Staff_Levels.Contributor", DATE(2011,4,1)]|=T231</t>
  </si>
  <si>
    <t>Sales_Lead_Hrs_Conv_pct_Yr["Sales_Lead_Quality.Lead_Qual_2", "Practice_Areas.Practice_2", "Prof_Staff_Types.Prof_Level_2", "Channels.Channels_1", DATE(2010,7,1)]|=K102</t>
  </si>
  <si>
    <t>Sales_Lead_Hrs_Expire_pct_Yr["Sales_Lead_Quality.Lead_Qual_2", "Practice_Areas.Practice_2", "Prof_Staff_Types.Prof_Level_2", "Channels.Channels_2", DATE(2010,7,1)]|=K120</t>
  </si>
  <si>
    <t>Cash_Starting</t>
  </si>
  <si>
    <t>Prof_Staff_Targ_Util_pct["Practice_Areas.Practice_1", "Prof_Staff_Types.Prof_Level_1", DATE(2010,5,1)]|=I189</t>
  </si>
  <si>
    <t>Practice_Dev_Sup_Staff_Count["Practice_Areas.Practice_1", "Depts.Marketing", "Sup_Staff_Levels.Contributor", DATE(2010,6,1)]|=J292</t>
  </si>
  <si>
    <t xml:space="preserve">  Supplies</t>
  </si>
  <si>
    <t>Engage_Hrs_Applied_ET["Engagements.Engage_2", "Prof_Staff_Types.Prof_Level_2", "Engage_Time.Period_3"]|=if('(Tables)'!B44&lt;=G21, F27*F21*1/G21+F27*F21*min(1, max(-1, G27))*2*'(Tables)'!B44/G21/G21+F27*F21*min(1, max(-1, G27))*(-1)/G21/G21+F27*F21*min(1, max(-1, G27))*(-1)/G21, 0*F21/G21)</t>
  </si>
  <si>
    <t>Sales_Lead_Hrs_Conv_pct_Yr["Sales_Lead_Quality.Lead_Qual_2", "Practice_Areas.Practice_1", "Prof_Staff_Types.Prof_Level_1", "Channels.Channels_1", DATE(2011,1,1)]|=Q96</t>
  </si>
  <si>
    <t>Orders_Filled_Hrs_pct["Practice_Areas.Practice_1", "Prof_Staff_Types.Prof_Level_2", "Channels.Channels_2", DATE(2011,5,1)]|=U125</t>
  </si>
  <si>
    <t>round(periods_per("year")*Tagged_Asset_Life_Depr_Yr, 0)</t>
  </si>
  <si>
    <t>Sales_Lead_Hrs_New["Sales_Lead_Quality.Lead_Qual_1", "Practice_Areas.Practice_2", "Prof_Staff_Types.Prof_Level_2", "Channels.Channels_1", DATE(2011,4,1)]|=2*T74-S74</t>
  </si>
  <si>
    <t>Cash balance that would be at the end of each accounting period if the company ends the period with no short term debt. This amount is computed, then the policy for determining the amount of short term debt is applied, then the period-ending cash balance can be computed.</t>
  </si>
  <si>
    <t>A list of the assets that are tagged for separate depreciation in the plan.</t>
  </si>
  <si>
    <t>Sales_Lead_Hrs_New["Sales_Lead_Quality.Lead_Qual_1", "Practice_Areas.Practice_1", "Prof_Staff_Types.Prof_Level_2", "Channels.Channels_2", DATE(2011,4,1)]|=2*T71-S71</t>
  </si>
  <si>
    <t>Prof_Fee_Discount_pct["Practice_Areas.Practice_1", "Prof_Staff_Types.Prof_Level_1", DATE(2011,1,1)]|=Q143</t>
  </si>
  <si>
    <t>Recruit_pct_Positions_Prof["Practice_Areas.Practice_2", "Prof_Staff_Types.Prof_Level_2"]|=H258</t>
  </si>
  <si>
    <t>Orders Filled</t>
  </si>
  <si>
    <t>Determines whether the rate of increase in wages is interpreted as an annual rate or as the rate of increase that is applied in each time period</t>
  </si>
  <si>
    <t>(Compute)'!Prof_Staff_Hrs_Unbilled_Time_Period</t>
  </si>
  <si>
    <t>Sales_Lead_Hrs_New["Sales_Lead_Quality.Lead_Qual_1", "Practice_Areas.Practice_2", "Prof_Staff_Types.Prof_Level_2", "Channels.Channels_1", DATE(2010,7,1)]|=2*K74-J74</t>
  </si>
  <si>
    <t>Prof_Fee_Discount_pct["Practice_Areas.Practice_2", "Prof_Staff_Types.Prof_Level_1", DATE(2011,2,1)]|=R145</t>
  </si>
  <si>
    <t>(Ranges)'!Operating_Exp_Depts_Sales_OpExpType_Employee_Rel_Exp</t>
  </si>
  <si>
    <t>Orders_Filled_Hrs_pct["Practice_Areas.Practice_1", "Prof_Staff_Types.Prof_Level_1", "Channels.Channels_1", DATE(2010,1,1)]|=0.5</t>
  </si>
  <si>
    <t>Prof_Staff_Targ_Util_pct["Practice_Areas.Practice_1", "Prof_Staff_Types.Prof_Level_2", DATE(2010,7,1)]|=K190</t>
  </si>
  <si>
    <t>(Ranges)'!Revenue_Channel_Channels_Channels_1</t>
  </si>
  <si>
    <t>Per_Prof_Staff_Exp_Yr["Prof_Staff_Types.Prof_Level_2", "Empl_Rel_Exp_Type.Other", DATE(2010,12,1)]|=P324</t>
  </si>
  <si>
    <t>Time_Periods</t>
  </si>
  <si>
    <t>:A:0:IRR_no_Tail_Yr</t>
  </si>
  <si>
    <t>:A:0:Operating_Margin_pct</t>
  </si>
  <si>
    <t>Practice_Dev_Sup_Staff_Count["Practice_Areas.Practice_2", "Depts.Marketing", "Sup_Staff_Levels.Manager", DATE(2010,3,1)]|=G295</t>
  </si>
  <si>
    <t>Per_Sup_Staff_Exp_Yr["Depts.Sales", "Empl_Rel_Exp_Type.Other", DATE(2011,5,1)]|=U331</t>
  </si>
  <si>
    <t>Cost_Services_Channel</t>
  </si>
  <si>
    <t>Sales_Lead_Hrs_Expire_pct_Yr["Sales_Lead_Quality.Lead_Qual_1", "Practice_Areas.Practice_2", "Prof_Staff_Types.Prof_Level_2", "Channels.Channels_1", DATE(2010,8,1)]|=L111</t>
  </si>
  <si>
    <t>(Compute)'!Prof_Staff_Cost_Unapplied_Date</t>
  </si>
  <si>
    <t>Cost_Services_TandE_Hr["Practice_Areas.Practice_1", "Prof_Staff_Types.Prof_Level_2", "Channels.Channels_1", DATE(2011,1,1)]|=Q155</t>
  </si>
  <si>
    <t>:D:2:Equity</t>
  </si>
  <si>
    <t>Sales_Lead_Hrs_Expire_pct_Yr["Sales_Lead_Quality.Lead_Qual_2", "Practice_Areas.Practice_2", "Prof_Staff_Types.Prof_Level_2", "Channels.Channels_2", DATE(2011,4,1)]|=T120</t>
  </si>
  <si>
    <t>:A:0:Prof_Staff_Hrs_Billed_Growth_display</t>
  </si>
  <si>
    <t>(Ranges)'!Prof_Staff_Count_Practice_Areas_Practice_2_Prof_Staff_Types_Prof_Level_1</t>
  </si>
  <si>
    <t>Sales_Commis_Rev_Share[DATE(2010,1,1)]|=1</t>
  </si>
  <si>
    <t>Per_Sup_Staff_Exp_Yr["Depts.Sales", "Empl_Rel_Exp_Type.Supplies", DATE(2011,3,1)]|=S329</t>
  </si>
  <si>
    <t>:A:0:Time_Periods</t>
  </si>
  <si>
    <t>Sales_Lead_Hrs_Expire_pct_Yr["Sales_Lead_Quality.Lead_Qual_1", "Practice_Areas.Practice_2", "Prof_Staff_Types.Prof_Level_1", "Channels.Channels_2", DATE(2011,2,1)]|=R110</t>
  </si>
  <si>
    <t>Sales_Lead_Hrs_New["Sales_Lead_Quality.Lead_Qual_1", "Practice_Areas.Practice_1", "Prof_Staff_Types.Prof_Level_2", "Channels.Channels_1", DATE(2011,2,1)]|=2*R70-Q70</t>
  </si>
  <si>
    <t>0-preve(0, 0)</t>
  </si>
  <si>
    <t>Cost_Services_Supplies_Hr["Practice_Areas.Practice_1", "Prof_Staff_Types.Prof_Level_1", "Supply_Types.Supply_Type_1", "Channels.Channels_2", DATE(2010,11,1)]|=O162</t>
  </si>
  <si>
    <t>The professional staff hours actually billed for major Engagments, segmented by Engagement, by Professional Staff Type, and by engagement time period</t>
  </si>
  <si>
    <t>Iniital cash balance at the start of model time</t>
  </si>
  <si>
    <t>Cost_Services_TandE_Hr["Practice_Areas.Practice_1", "Prof_Staff_Types.Prof_Level_1", "Channels.Channels_2", DATE(2011,3,1)]|=S154</t>
  </si>
  <si>
    <t>Accts_Rec_Days[DATE(2011,3,1)]|=S366</t>
  </si>
  <si>
    <t>Practice_Dev_Prof_Staff_Count["Practice_Areas.Practice_1", "Prof_Staff_Types.Prof_Level_1", DATE(2011,1,1)]|=Q286</t>
  </si>
  <si>
    <t>Sales_Lead_Hrs_New["Sales_Lead_Quality.Lead_Qual_1", "Practice_Areas.Practice_2", "Prof_Staff_Types.Prof_Level_2", "Channels.Channels_1", DATE(2010,3,1)]|=2*G74-F74</t>
  </si>
  <si>
    <t>(Compute)'!Revenue_Channel_Time_Period</t>
  </si>
  <si>
    <t>(Tables)'!Prof_Staff_Billings_Practice_Areas_Practice_1_Prof_Staff_Types_Prof_Level_2</t>
  </si>
  <si>
    <t>Short_Debt[DATE(2011,3,1)]|=max(0, '(Compute)'!Q31-'(Tables)'!Q1367)</t>
  </si>
  <si>
    <t>(Tables)'!Prof_Staff_Billings_Practice_Areas_Practice_1_Prof_Staff_Types_Prof_Level_1</t>
  </si>
  <si>
    <t>Sales_Lead_Hrs_Conv_pct_Yr["Sales_Lead_Quality.Lead_Qual_2", "Practice_Areas.Practice_2", "Prof_Staff_Types.Prof_Level_1", "Channels.Channels_2", DATE(2010,10,1)]|=N101</t>
  </si>
  <si>
    <t>Sales_Lead_Hrs_Expire_pct_Yr["Sales_Lead_Quality.Lead_Qual_2", "Practice_Areas.Practice_2", "Prof_Staff_Types.Prof_Level_2", "Channels.Channels_1", DATE(2010,6,1)]|=J119</t>
  </si>
  <si>
    <t>Sales_Lead_Hrs_Expire_pct_Yr["Sales_Lead_Quality.Lead_Qual_1", "Practice_Areas.Practice_1", "Prof_Staff_Types.Prof_Level_2", "Channels.Channels_1", DATE(2010,2,1)]|=F107</t>
  </si>
  <si>
    <t>Prof_Fees_per_Hr_Nominal["Practice_Areas.Practice_1", "Prof_Staff_Types.Prof_Level_2", DATE(2010,11,1)]|=O139</t>
  </si>
  <si>
    <t>Sales_Lead_Hrs_Expire_pct_Yr["Sales_Lead_Quality.Lead_Qual_2", "Practice_Areas.Practice_2", "Prof_Staff_Types.Prof_Level_2", "Channels.Channels_1", DATE(2011,4,1)]|=T119</t>
  </si>
  <si>
    <t>Practice_Dev_Sup_Staff_Count["Practice_Areas.Practice_2", "Depts.Sales", "Sup_Staff_Levels.Contributor", DATE(2011,6,1)]|=V298</t>
  </si>
  <si>
    <t>(Tables)'!Engage_Rev_Nominal_Fees_Engagements_Engage_2_Prof_Staff_Types</t>
  </si>
  <si>
    <t>Interest_Rate_Long_Yr[DATE(2011,4,1)]|=T340</t>
  </si>
  <si>
    <t>Prof_Staff_Salary_incr_pct["Prof_Staff_Types.Prof_Level_2", DATE(2010,10,1)]|=N213</t>
  </si>
  <si>
    <t>Per_Sup_Staff_Exp_Yr["Depts.Sales", "Empl_Rel_Exp_Type.Supplies", DATE(2010,10,1)]|=N329</t>
  </si>
  <si>
    <t>Prof_Staff_Benefits_pct["Prof_Staff_Types.Prof_Level_2", DATE(2011,5,1)]|=U221</t>
  </si>
  <si>
    <t>Depreciation life of each tagged asset</t>
  </si>
  <si>
    <t>Sales_Lead_Quality</t>
  </si>
  <si>
    <t>Per_Prof_Staff_Exp_Yr["Prof_Staff_Types.Prof_Level_2", "Empl_Rel_Exp_Type.Supplies", DATE(2010,9,1)]|=M322</t>
  </si>
  <si>
    <t>Inputs!Engage_Hrs_Applied_ET_Engage_Time_Period_2_Engagements_Engage_2_Prof_Staff_Types_Prof_Level_2</t>
  </si>
  <si>
    <t>Prof_Staff_Targ_Util_pct["Practice_Areas.Practice_1", "Prof_Staff_Types.Prof_Level_2", DATE(2010,2,1)]|=F190</t>
  </si>
  <si>
    <t>Sup_Staff_Count_Early["Depts.Sales", "Sup_Staff_Levels.Manager", DATE(2010,1,1)]|=0</t>
  </si>
  <si>
    <t>Cash_Targ_Days[DATE(2011,3,1)]|=S360</t>
  </si>
  <si>
    <t>(Tables)'!Engage_Hrs_Applied_ET_Engage_Time_Period_2</t>
  </si>
  <si>
    <t>Engage_Discount_pct["Engagements.Engage_1", DATE(2010,6,1)]|=J148</t>
  </si>
  <si>
    <t>Discount_Rate_Direct_Yr[DATE(2011,5,1)]|=U348</t>
  </si>
  <si>
    <t>Short_Debt[DATE(2011,5,1)]|=max(0, '(Compute)'!S31-'(Tables)'!S1367)</t>
  </si>
  <si>
    <t>:A:-1:Prof_Staff_Turnover</t>
  </si>
  <si>
    <t>Sales_Lead_Hrs_Conv_pct_Yr["Sales_Lead_Quality.Lead_Qual_1", "Practice_Areas.Practice_1", "Prof_Staff_Types.Prof_Level_1", "Channels.Channels_2", DATE(2011,3,1)]|=S89</t>
  </si>
  <si>
    <t>Engage Discount %</t>
  </si>
  <si>
    <t>:A:-1:Engage_Hrs_Applied_Plot</t>
  </si>
  <si>
    <t>Per_Prof_Staff_Exp_Yr["Prof_Staff_Types.Prof_Level_2", "Empl_Rel_Exp_Type.Supplies", DATE(2011,5,1)]|=U322</t>
  </si>
  <si>
    <t>Cost_Services_TandE_Hr["Practice_Areas.Practice_2", "Prof_Staff_Types.Prof_Level_1", "Channels.Channels_1", DATE(2010,10,1)]|=N157</t>
  </si>
  <si>
    <t>Accts_Pay_Targ_Days["Accts_Pay_Type.Tax_Pay", DATE(2010,11,1)]|=P412</t>
  </si>
  <si>
    <t>(Tables)'!Engage_Hrs_Applied_ET_Engage_Time_Period_3_Engagements_Engage_1</t>
  </si>
  <si>
    <t>(Tables)'!Engage_Hrs_Applied_ET_Engage_Time_Period_3_Engagements_Engage_2</t>
  </si>
  <si>
    <t>Cash_Initial[]|</t>
  </si>
  <si>
    <t>Sales Channel</t>
  </si>
  <si>
    <t>Sales_Lead_Hrs_New["Sales_Lead_Quality.Lead_Qual_2", "Practice_Areas.Practice_2", "Prof_Staff_Types.Prof_Level_1", "Channels.Channels_2", DATE(2010,8,1)]|=2*L81-K81</t>
  </si>
  <si>
    <t>Engage_Hrs_pct_Billed_ET["Engagements.Engage_2", "Prof_Staff_Types.Prof_Level_1", "Engage_Time.Period_1"]|=1</t>
  </si>
  <si>
    <t>Revenue CAGR (ex Yr1)</t>
  </si>
  <si>
    <t>Dividend[DATE(2011,3,1)]|=0</t>
  </si>
  <si>
    <t>Support staff wage expense per time period, segmented by department, by job level. Excludes benefits, payroll taxes, bonuses and commissions.</t>
  </si>
  <si>
    <t>Sales_Lead_Hrs_Conv_pct_Yr["Sales_Lead_Quality.Lead_Qual_2", "Practice_Areas.Practice_2", "Prof_Staff_Types.Prof_Level_1", "Channels.Channels_1", DATE(2010,1,1)]|=0.50</t>
  </si>
  <si>
    <t>Prof_Fee_Discount_pct["Practice_Areas.Practice_1", "Prof_Staff_Types.Prof_Level_1", DATE(2010,4,1)]|=H143</t>
  </si>
  <si>
    <t>Per_Sup_Staff_Exp_Yr["Depts.Sales", "Empl_Rel_Exp_Type.Supplies", DATE(2010,6,1)]|=J329</t>
  </si>
  <si>
    <t>Per_Prof_Staff_Exp_Yr["Prof_Staff_Types.Prof_Level_1", "Empl_Rel_Exp_Type.Other", DATE(2010,12,1)]|=P321</t>
  </si>
  <si>
    <t>:A:-1:Wage_Tax_pct</t>
  </si>
  <si>
    <t>:D:0:Supply_Types.Supply_Type_2</t>
  </si>
  <si>
    <t xml:space="preserve">    Inventory</t>
  </si>
  <si>
    <t>Cost_Services_Supplies_Hr["Practice_Areas.Practice_1", "Prof_Staff_Types.Prof_Level_1", "Supply_Types.Supply_Type_1", "Channels.Channels_1", DATE(2011,6,1)]|=V161</t>
  </si>
  <si>
    <t>Cost_Services_Supplies_Hr["Practice_Areas.Practice_1", "Prof_Staff_Types.Prof_Level_1", "Supply_Types.Supply_Type_1", "Channels.Channels_1", DATE(2011,3,1)]|=S161</t>
  </si>
  <si>
    <t>:A:0:Dividend</t>
  </si>
  <si>
    <t>:D:0:Asset_Tags.Building_B</t>
  </si>
  <si>
    <t xml:space="preserve">  EngageType_1</t>
  </si>
  <si>
    <t>:A:-1:Office_Rent_Rate_Yr</t>
  </si>
  <si>
    <t>(Ranges)'!Operating_Exp_Depts_Sales_OpExpType_Gen_Admin_Exp</t>
  </si>
  <si>
    <t>Sales_Lead_Hrs_Conv_pct_Yr["Sales_Lead_Quality.Lead_Qual_1", "Practice_Areas.Practice_2", "Prof_Staff_Types.Prof_Level_2", "Channels.Channels_1", DATE(2010,4,1)]|=H94</t>
  </si>
  <si>
    <t>Professional staff cost, segmented by Practice Area, Professional Staff Type, and time period. Includes salary, benefits, payroll taxes, bonuses. Also includes the cost of unapplied hours.</t>
  </si>
  <si>
    <t>Cost_Services_Supplies_Hr["Practice_Areas.Practice_1", "Prof_Staff_Types.Prof_Level_1", "Supply_Types.Supply_Type_1", "Channels.Channels_1", DATE(2010,5,1)]|=I161</t>
  </si>
  <si>
    <t>Accts_Pay_Targ_Days["Accts_Pay_Type.Vendor_Pay", DATE(2010,6,1)]|=K410</t>
  </si>
  <si>
    <t>Cost_Services_TandE_Hr["Practice_Areas.Practice_2", "Prof_Staff_Types.Prof_Level_2", "Channels.Channels_2", DATE(2010,8,1)]|=L160</t>
  </si>
  <si>
    <t>Bad_Debt_pct[DATE(2011,3,1)]|=S342</t>
  </si>
  <si>
    <t>Sup_Staff_Bonus_pct["Depts.Sales", "Sup_Staff_Levels.Contributor", DATE(2010,12,1)]|=P236</t>
  </si>
  <si>
    <t>:A:-1:Cost_Services_Supplies</t>
  </si>
  <si>
    <t>Sales_Lead_Hrs_Expire_pct_Yr["Sales_Lead_Quality.Lead_Qual_1", "Practice_Areas.Practice_1", "Prof_Staff_Types.Prof_Level_1", "Channels.Channels_2", DATE(2011,1,1)]|=Q106</t>
  </si>
  <si>
    <t>Prof_Fees_per_Hr_Nominal["Practice_Areas.Practice_2", "Prof_Staff_Types.Prof_Level_1", DATE(2011,2,1)]|=R140</t>
  </si>
  <si>
    <t>Prof Staff  Types</t>
  </si>
  <si>
    <t>Sales_Lead_Hrs_New["Sales_Lead_Quality.Lead_Qual_2", "Practice_Areas.Practice_2", "Prof_Staff_Types.Prof_Level_1", "Channels.Channels_2", DATE(2011,3,1)]|=2*S81-R81</t>
  </si>
  <si>
    <t>Long_Loans[DATE(2011,2,1)]|=S421</t>
  </si>
  <si>
    <t>:A:0:Order_Backlog_Hrs_Init</t>
  </si>
  <si>
    <t>:A:-1:Sales_Commis_Rev_Share</t>
  </si>
  <si>
    <t>Accts_Pay_Targ_Days["Accts_Pay_Type.Payroll_Pay", DATE(2011,5,1)]|=V411</t>
  </si>
  <si>
    <t>Sales_Lead_Hrs_New["Sales_Lead_Quality.Lead_Qual_2", "Practice_Areas.Practice_2", "Prof_Staff_Types.Prof_Level_1", "Channels.Channels_1", DATE(2011,3,1)]|=2*S80-R80</t>
  </si>
  <si>
    <t>Sales_Lead_Hrs_New["Sales_Lead_Quality.Lead_Qual_1", "Practice_Areas.Practice_2", "Prof_Staff_Types.Prof_Level_1", "Channels.Channels_2", DATE(2011,1,1)]|=2*Q73-P73</t>
  </si>
  <si>
    <t>Cost_Services_TandE_Hr["Practice_Areas.Practice_2", "Prof_Staff_Types.Prof_Level_2", "Channels.Channels_2", DATE(2010,5,1)]|=I160</t>
  </si>
  <si>
    <t>Prof_Fees_per_Hr_Nominal["Practice_Areas.Practice_2", "Prof_Staff_Types.Prof_Level_1", DATE(2011,4,1)]|=T140</t>
  </si>
  <si>
    <t>Cost_Services_TandE_Hr["Practice_Areas.Practice_2", "Prof_Staff_Types.Prof_Level_2", "Channels.Channels_2", DATE(2010,6,1)]|=J160</t>
  </si>
  <si>
    <t>Prof_Staff_Count_Early</t>
  </si>
  <si>
    <t>Mktg_Pgms_Exp_Early["Mktg_Pgms.Seminars", "Practice_Areas.Practice_1", DATE(2010,10,1)]|=N276</t>
  </si>
  <si>
    <t>Prof Staff Hrs Engagements</t>
  </si>
  <si>
    <t>(Tables)'!Engage_Hrs_pct_Billed_ET_Engage_Time_Period_1_Engagements_Engage_2</t>
  </si>
  <si>
    <t>Dev_Capd_Life_Yrs["Practice_Areas.Practice_1"]|=2</t>
  </si>
  <si>
    <t>Interest_Rate_Earned_Cash_Yr[DATE(2011,4,1)]|=T341</t>
  </si>
  <si>
    <t>Sales_Lead_Hrs_Expire_pct_Yr["Sales_Lead_Quality.Lead_Qual_2", "Practice_Areas.Practice_1", "Prof_Staff_Types.Prof_Level_1", "Channels.Channels_2", DATE(2010,4,1)]|=H114</t>
  </si>
  <si>
    <t>Sales_Lead_Hrs_Expire_pct_Yr["Sales_Lead_Quality.Lead_Qual_1", "Practice_Areas.Practice_1", "Prof_Staff_Types.Prof_Level_1", "Channels.Channels_2", DATE(2010,7,1)]|=K106</t>
  </si>
  <si>
    <t>:A:0:Sales_Lead_Hrs_Expire_pct</t>
  </si>
  <si>
    <t>Sales_Lead_Hrs_Init["Practice_Areas.Practice_2", "Prof_Staff_Types.Prof_Level_2", "Channels.Channels_1", "Sales_Lead_Quality.Lead_Qual_1"]|=F58</t>
  </si>
  <si>
    <t>if(Revenue=0, 0, Operating_Exp["Depts.Sales"]/Revenue)</t>
  </si>
  <si>
    <t>Per_Sup_Staff_Exp_Yr["Depts.Sales", "Empl_Rel_Exp_Type.Travel_Entertain", DATE(2010,4,1)]|=H330</t>
  </si>
  <si>
    <t>Mktg_Pgms_Exp_Early["Mktg_Pgms.Publications", "Practice_Areas.Practice_1", DATE(2010,6,1)]|=J278</t>
  </si>
  <si>
    <t>Change in accounts receivable from the previous period. The model has a variable for this because (a) this amount will be displayed in the cash flow statement worksheet, and (b) this amount is used in several formulas so it is convenient to store it in a variable.</t>
  </si>
  <si>
    <t>Cost_Services_Supplies_Hr["Practice_Areas.Practice_1", "Prof_Staff_Types.Prof_Level_1", "Supply_Types.Supply_Type_2", "Channels.Channels_1", DATE(2010,12,1)]|=P163</t>
  </si>
  <si>
    <t>(Compute)'!Engage_Hrs_Unbilled_Date</t>
  </si>
  <si>
    <t>Practice_Dev_Prof_Staff_Count["Practice_Areas.Practice_2", "Prof_Staff_Types.Prof_Level_2", DATE(2011,6,1)]|=V289</t>
  </si>
  <si>
    <t>Sales_Lead_Hrs_Expire_pct_Yr["Sales_Lead_Quality.Lead_Qual_2", "Practice_Areas.Practice_1", "Prof_Staff_Types.Prof_Level_2", "Channels.Channels_2", DATE(2010,9,1)]|=M116</t>
  </si>
  <si>
    <t>Sales_Lead_Hrs_New["Sales_Lead_Quality.Lead_Qual_1", "Practice_Areas.Practice_2", "Prof_Staff_Types.Prof_Level_1", "Channels.Channels_1", DATE(2010,4,1)]|=2*H72-G72</t>
  </si>
  <si>
    <t>Sales_Lead_Hrs_Expire_pct_Yr["Sales_Lead_Quality.Lead_Qual_1", "Practice_Areas.Practice_2", "Prof_Staff_Types.Prof_Level_1", "Channels.Channels_2", DATE(2011,1,1)]|=Q110</t>
  </si>
  <si>
    <t>Cost_Services_Supplies_Hr["Practice_Areas.Practice_1", "Prof_Staff_Types.Prof_Level_2", "Supply_Types.Supply_Type_2", "Channels.Channels_2", DATE(2010,9,1)]|=M168</t>
  </si>
  <si>
    <t>Mktg_Pgms_Exp_Early["Mktg_Pgms.Publications", "Practice_Areas.Practice_1", DATE(2010,8,1)]|=L278</t>
  </si>
  <si>
    <t>Prof_Fees_per_Hr_Nominal["Practice_Areas.Practice_1", "Prof_Staff_Types.Prof_Level_1", DATE(2010,10,1)]|=N138</t>
  </si>
  <si>
    <t>:D:2:Dir_Cost_Types</t>
  </si>
  <si>
    <t>Sales_Lead_Hrs_Conv_pct_Yr["Sales_Lead_Quality.Lead_Qual_2", "Practice_Areas.Practice_1", "Prof_Staff_Types.Prof_Level_2", "Channels.Channels_1", DATE(2010,12,1)]|=P98</t>
  </si>
  <si>
    <t>Sales_Lead_Hrs_Expire_pct_Yr["Sales_Lead_Quality.Lead_Qual_1", "Practice_Areas.Practice_1", "Prof_Staff_Types.Prof_Level_2", "Channels.Channels_1", DATE(2010,5,1)]|=I107</t>
  </si>
  <si>
    <t>Cost_Services_Supplies_Hr["Practice_Areas.Practice_1", "Prof_Staff_Types.Prof_Level_2", "Supply_Types.Supply_Type_1", "Channels.Channels_1", DATE(2010,10,1)]|=N165</t>
  </si>
  <si>
    <t>Operating cash flow by time period; that is, cash flow adjusted to cancel out capital transactions (dividends, sale of stock, changes in debt)</t>
  </si>
  <si>
    <t>Paid in Capital</t>
  </si>
  <si>
    <t>:A:-1:Dev_Capd_Asset</t>
  </si>
  <si>
    <t>:A:-1:Cash_Starting</t>
  </si>
  <si>
    <t>(Tables)'!Prof_Staff_Hrs_Engage_Practice_Areas_Practice_2_Prof_Staff_Types</t>
  </si>
  <si>
    <t>Payroll Payables</t>
  </si>
  <si>
    <t xml:space="preserve">  Gen_Admin_Exp</t>
  </si>
  <si>
    <t>Sales_Lead_Hrs_Init["Practice_Areas.Practice_2", "Prof_Staff_Types.Prof_Level_1", "Channels.Channels_1", "Sales_Lead_Quality.Lead_Qual_1"]|=F56</t>
  </si>
  <si>
    <t>Depts, Sup_Staff_Levels</t>
  </si>
  <si>
    <t>Wage_Tax_pct[DATE(2010,11,1)]|=O244</t>
  </si>
  <si>
    <t>:A:-1:Cash_Flow_Equity</t>
  </si>
  <si>
    <t>Sales_Lead_Hrs_New["Sales_Lead_Quality.Lead_Qual_1", "Practice_Areas.Practice_1", "Prof_Staff_Types.Prof_Level_1", "Channels.Channels_2", DATE(2010,1,1)]|=2*0-0</t>
  </si>
  <si>
    <t>(Ranges)'!Prof_Staff_Count_Practice_Areas</t>
  </si>
  <si>
    <t>Prof_Staff_Salary_incr_pct["Prof_Staff_Types.Prof_Level_1", DATE(2011,6,1)]|=V212</t>
  </si>
  <si>
    <t>Sales_Lead_Hrs_New["Sales_Lead_Quality.Lead_Qual_1", "Practice_Areas.Practice_2", "Prof_Staff_Types.Prof_Level_1", "Channels.Channels_2", DATE(2010,4,1)]|=2*H73-G73</t>
  </si>
  <si>
    <t>:A:-1:Engage_Hrs_Applied</t>
  </si>
  <si>
    <t>:D:2:Asset_Tags.Building_A</t>
  </si>
  <si>
    <t>(Compute)'!Gross_Margin_Channel_Date</t>
  </si>
  <si>
    <t>Orders_Filled_Hrs_pct["Practice_Areas.Practice_1", "Prof_Staff_Types.Prof_Level_1", "Channels.Channels_1", DATE(2010,3,1)]|=G122</t>
  </si>
  <si>
    <t>Facil_Other_Exp_Yr[DATE(2010,1,1)]|=0</t>
  </si>
  <si>
    <t>Practice_Dev_Sup_Staff_Count["Practice_Areas.Practice_2", "Depts.Sales", "Sup_Staff_Levels.Manager", DATE(2011,2,1)]|=R297</t>
  </si>
  <si>
    <t>Cost_Services_Supplies_Hr["Practice_Areas.Practice_2", "Prof_Staff_Types.Prof_Level_1", "Supply_Types.Supply_Type_1", "Channels.Channels_1", DATE(2011,3,1)]|=S169</t>
  </si>
  <si>
    <t>Purchases_Supplies</t>
  </si>
  <si>
    <t>Practice_Dev_Prof_Staff_Count["Practice_Areas.Practice_2", "Prof_Staff_Types.Prof_Level_1", DATE(2011,5,1)]|=U288</t>
  </si>
  <si>
    <t>(preve(Order_Backlog_Hrs_Init, Order_Backlog_Hrs)+lastd("Sales_Lead_Quality", (preve(Sales_Lead_Hrs_Init, Sales_Leads_Hrs)+Sales_Lead_Hrs_New)*Sales_Lead_Hrs_Conv_pct))*Orders_Filled_Hrs_pct</t>
  </si>
  <si>
    <t>Engagements 1</t>
  </si>
  <si>
    <t>Prof_Staff_Targ_Util_pct["Practice_Areas.Practice_2", "Prof_Staff_Types.Prof_Level_1", DATE(2011,2,1)]|=R191</t>
  </si>
  <si>
    <t>Travel and Entertainment</t>
  </si>
  <si>
    <t>:A:-1:Dev_Capd_Deprec</t>
  </si>
  <si>
    <t>Practice_Dev_Sup_Staff_Count["Practice_Areas.Practice_2", "Depts.Sales", "Sup_Staff_Levels.Contributor", DATE(2010,10,1)]|=N298</t>
  </si>
  <si>
    <t>The ratio (valuation of equity) / (trailing annual revenue), by time period</t>
  </si>
  <si>
    <t>(Ranges)'!Gross_Margin_Practice_Areas_Practice_2</t>
  </si>
  <si>
    <t>Sales_Lead_Hrs_New["Sales_Lead_Quality.Lead_Qual_2", "Practice_Areas.Practice_1", "Prof_Staff_Types.Prof_Level_2", "Channels.Channels_2", DATE(2011,6,1)]|=2*V79-U79</t>
  </si>
  <si>
    <t>Prof_Staff_Salary_Avg_Initial_Yr["Prof_Staff_Types.Prof_Level_1", "Practice_Areas.Practice_2"]|=100000</t>
  </si>
  <si>
    <t>The estimated amount of accounts receivable at the end of a time period</t>
  </si>
  <si>
    <t>Sales_Lead_Hrs_New["Sales_Lead_Quality.Lead_Qual_2", "Practice_Areas.Practice_2", "Prof_Staff_Types.Prof_Level_1", "Channels.Channels_2", DATE(2010,10,1)]|=2*N81-M81</t>
  </si>
  <si>
    <t>Revenue from billed hours, segmented by Practice Area, Professional Staff Type, Channel, and time period. Includes small engagments from the sales funnel and T&amp;E billed at cost.</t>
  </si>
  <si>
    <t>Sales_Lead_Hrs_Expire_pct_Yr["Sales_Lead_Quality.Lead_Qual_2", "Practice_Areas.Practice_1", "Prof_Staff_Types.Prof_Level_2", "Channels.Channels_1", DATE(2011,2,1)]|=R115</t>
  </si>
  <si>
    <t>:A:0:Depreciation</t>
  </si>
  <si>
    <t>The value of cash flows assumed to occur after the end of model time, discounted to the present value at the end of model time. An asset value for this future cash flow is included in the valuation of the equity of the company.</t>
  </si>
  <si>
    <t>(Ranges)'!Gross_Margin_Channel_Channels_Channels_1_Practice_Areas_Practice_2_Prof_Staff_Types_Prof_Level_1</t>
  </si>
  <si>
    <t>Percentage of support staff that turn over each year, segmented by department and job level, by time period. Because this variable does not depend on time, the rollup values are given for the last period of model time.</t>
  </si>
  <si>
    <t>Prof_Fees_per_Hr_Avg</t>
  </si>
  <si>
    <t>:A:-1:Tagged_Asset_Life_Phys_Yr</t>
  </si>
  <si>
    <t>Prof_Staff_Bonus_pct["Practice_Areas.Practice_2", "Prof_Staff_Types.Prof_Level_2", DATE(2011,1,1)]|=Q218</t>
  </si>
  <si>
    <t>Cost_Services_TandE_Hr["Practice_Areas.Practice_2", "Prof_Staff_Types.Prof_Level_2", "Channels.Channels_1", DATE(2010,4,1)]|=H159</t>
  </si>
  <si>
    <t>Cost_Services_Supplies_Hr["Practice_Areas.Practice_1", "Prof_Staff_Types.Prof_Level_2", "Supply_Types.Supply_Type_2", "Channels.Channels_1", DATE(2010,7,1)]|=K167</t>
  </si>
  <si>
    <t>Engage!Orders_Filled_Practice_Areas_Practice_2</t>
  </si>
  <si>
    <t>Prof_Staff_Cost_per_Hr*Prof_Staff_Hrs_Engage</t>
  </si>
  <si>
    <t>Dividend_Yield</t>
  </si>
  <si>
    <t>Orders_Filled_Hrs_pct["Practice_Areas.Practice_1", "Prof_Staff_Types.Prof_Level_2", "Channels.Channels_1", DATE(2010,7,1)]|=K124</t>
  </si>
  <si>
    <t>Accts_Rec_Days[DATE(2010,10,1)]|=N366</t>
  </si>
  <si>
    <t>:A:-1:Mktg_Pgms_K</t>
  </si>
  <si>
    <t>Wage_Tax_pct[DATE(2010,7,1)]|=K244</t>
  </si>
  <si>
    <t>Sales Commission</t>
  </si>
  <si>
    <t>Income Tax</t>
  </si>
  <si>
    <t>:D:0:Sales_Lead_Quality.Lead_Qual_2</t>
  </si>
  <si>
    <t>Short_Debt-prev(Short_Debt)</t>
  </si>
  <si>
    <t>Bad_Debt_pct[DATE(2011,5,1)]|=U342</t>
  </si>
  <si>
    <t>Sales_Lead_Hrs_New["Sales_Lead_Quality.Lead_Qual_2", "Practice_Areas.Practice_1", "Prof_Staff_Types.Prof_Level_2", "Channels.Channels_1", DATE(2011,3,1)]|=2*S78-R78</t>
  </si>
  <si>
    <t>:D:1:Assets</t>
  </si>
  <si>
    <t>Cost_Services_TandE_Hr["Practice_Areas.Practice_1", "Prof_Staff_Types.Prof_Level_2", "Channels.Channels_2", DATE(2010,7,1)]|=K156</t>
  </si>
  <si>
    <t>Accts_Rec_Days[DATE(2011,5,1)]|=U366</t>
  </si>
  <si>
    <t>Prof_Staff_Bonus_pct["Practice_Areas.Practice_2", "Prof_Staff_Types.Prof_Level_1", DATE(2010,11,1)]|=O217</t>
  </si>
  <si>
    <t>:D:-1:OpExpType</t>
  </si>
  <si>
    <t>ifm(Time&lt;=0.001, Assets-Liabilities-Paid_In_Capital, prev(Retained_Earnings)+Net_Income-Dividend)</t>
  </si>
  <si>
    <t>Prof_Staff_Targ_Util_pct["Practice_Areas.Practice_1", "Prof_Staff_Types.Prof_Level_1", DATE(2011,1,1)]|=Q189</t>
  </si>
  <si>
    <t>(Ranges)'!Sup_Staff_Count_Depts_Marketing_Sup_Staff_Levels_Manager</t>
  </si>
  <si>
    <t>(Ranges)'!Gross_Margin_Channel_Channels_Channels_1_Practice_Areas_Practice_1_Prof_Staff_Types</t>
  </si>
  <si>
    <t>Sales_Lead_Hrs_Conv_pct_Yr["Sales_Lead_Quality.Lead_Qual_1", "Practice_Areas.Practice_1", "Prof_Staff_Types.Prof_Level_2", "Channels.Channels_1", DATE(2010,3,1)]|=G90</t>
  </si>
  <si>
    <t>Engage!Orders_Filled_Practice_Areas_Practice_1_Prof_Staff_Types_Prof_Level_2</t>
  </si>
  <si>
    <t>Engage_Discount_pct["Engagements.Engage_1", DATE(2010,7,1)]|=K148</t>
  </si>
  <si>
    <t>Practice_Dev_Prof_Staff_Count["Practice_Areas.Practice_2", "Prof_Staff_Types.Prof_Level_2", DATE(2010,11,1)]|=O289</t>
  </si>
  <si>
    <t>Prof_Fees_per_Hr_Nominal["Practice_Areas.Practice_1", "Prof_Staff_Types.Prof_Level_1", DATE(2010,2,1)]|=F138</t>
  </si>
  <si>
    <t>Sup_Staff_Benefits_pct[DATE(2010,7,1)]|=K238</t>
  </si>
  <si>
    <t>Per_Prof_Staff_Exp_Yr["Prof_Staff_Types.Prof_Level_2", "Empl_Rel_Exp_Type.Travel_Entertain", DATE(2010,1,1)]|=0</t>
  </si>
  <si>
    <t>:A:-1:Dev_Capd_per_Period</t>
  </si>
  <si>
    <t>Cost_Services_Supplies_Hr["Practice_Areas.Practice_1", "Prof_Staff_Types.Prof_Level_1", "Supply_Types.Supply_Type_2", "Channels.Channels_1", DATE(2011,3,1)]|=S163</t>
  </si>
  <si>
    <t>Practice_Dev_Sup_Staff_Count["Practice_Areas.Practice_1", "Depts.Sales", "Sup_Staff_Levels.Contributor", DATE(2010,6,1)]|=J294</t>
  </si>
  <si>
    <t>:A:0:Prof_Staff_Hrs_Engage</t>
  </si>
  <si>
    <t>Bad_Debt_Exp+Interest_Exp_Net</t>
  </si>
  <si>
    <t>Per_Prof_Staff_Exp_Yr["Prof_Staff_Types.Prof_Level_2", "Empl_Rel_Exp_Type.Other", DATE(2010,1,1)]|=0</t>
  </si>
  <si>
    <t>Prof_Fees_per_Hr_Nominal["Practice_Areas.Practice_1", "Prof_Staff_Types.Prof_Level_1", DATE(2011,1,1)]|=Q138</t>
  </si>
  <si>
    <t>Prof_Fee_Discount_pct</t>
  </si>
  <si>
    <t>Facil_Other_Exp_Yr[DATE(2011,2,1)]|=R308</t>
  </si>
  <si>
    <t>Sales_Lead_Hrs_Expire_pct_Yr["Sales_Lead_Quality.Lead_Qual_2", "Practice_Areas.Practice_1", "Prof_Staff_Types.Prof_Level_2", "Channels.Channels_2", DATE(2010,4,1)]|=H116</t>
  </si>
  <si>
    <t>:A:-1:Prof_Staff_Hrs_Applied_Plot</t>
  </si>
  <si>
    <t>Net_Stock_Issue[DATE(2011,4,1)]|=0</t>
  </si>
  <si>
    <t>Accts_Pay_Targ_Days["Accts_Pay_Type.Vendor_Pay", DATE(2011,4,1)]|=U410</t>
  </si>
  <si>
    <t>Sales_Lead_Hrs_Expire_pct_Yr["Sales_Lead_Quality.Lead_Qual_2", "Practice_Areas.Practice_2", "Prof_Staff_Types.Prof_Level_1", "Channels.Channels_1", DATE(2011,5,1)]|=U117</t>
  </si>
  <si>
    <t>(Tables)'!Prof_Staff_Count1_Practice_Areas_Practice_1_Prof_Staff_Types_Prof_Level_2</t>
  </si>
  <si>
    <t>Cost_Services_TandE_Hr["Practice_Areas.Practice_1", "Prof_Staff_Types.Prof_Level_2", "Channels.Channels_1", DATE(2010,1,1)]|=5</t>
  </si>
  <si>
    <t>Practice_Dev_Sup_Staff_Count["Practice_Areas.Practice_1", "Depts.Marketing", "Sup_Staff_Levels.Manager", DATE(2010,6,1)]|=J291</t>
  </si>
  <si>
    <t>var(if(Time_Periods&lt;Engage_Start_Time-0.001, 0, if(Time_Periods&gt;Engage_Start_Time+Engage_Duration-0.999, 0, index(ranged("Engage_Time", Engage_Hrs_Billed_ET), min(lastd("Engage_Time", Engage_Time), Time_Periods-Engage_Start_Time+1)))))</t>
  </si>
  <si>
    <t>Dev_Capd_per_Period</t>
  </si>
  <si>
    <t>The amount of accounts payable balance at the end of a time period. Purchases of supplies inventory are assumed purchased on a cash basis.</t>
  </si>
  <si>
    <t>Accts_Receivable_Initial</t>
  </si>
  <si>
    <t>Prof_Staff_Hrs_Unbilled_Channel</t>
  </si>
  <si>
    <t>(Compute)'!Prof_Staff_Hrs_Capacity_Plot_Time_Period</t>
  </si>
  <si>
    <t>Total uses of cash, by time period</t>
  </si>
  <si>
    <t xml:space="preserve">  Direct_Labor</t>
  </si>
  <si>
    <t>Practice_Dev_Prof_Staff_Count["Practice_Areas.Practice_1", "Prof_Staff_Types.Prof_Level_1", DATE(2010,12,1)]|=P286</t>
  </si>
  <si>
    <t>:A:-1:Prof_Staff_Billings</t>
  </si>
  <si>
    <t>Prof_Staff_Bonus_pct["Practice_Areas.Practice_2", "Prof_Staff_Types.Prof_Level_2", DATE(2010,6,1)]|=J218</t>
  </si>
  <si>
    <t>Per_Prof_Staff_Exp_Yr["Prof_Staff_Types.Prof_Level_1", "Empl_Rel_Exp_Type.Travel_Entertain", DATE(2010,4,1)]|=H320</t>
  </si>
  <si>
    <t>:D:1:Engage_Types</t>
  </si>
  <si>
    <t>Mktg Expense</t>
  </si>
  <si>
    <t>(Compute)'!Gross_Margin_Date</t>
  </si>
  <si>
    <t>Practice_Dev_Sup_Staff_Count["Practice_Areas.Practice_2", "Depts.Sales", "Sup_Staff_Levels.Contributor", DATE(2010,8,1)]|=L298</t>
  </si>
  <si>
    <t>:D:-1:Untagged_Asset_Purch_Params</t>
  </si>
  <si>
    <t>Sales_Leads</t>
  </si>
  <si>
    <t>Job levels that are tracked separately in the plan</t>
  </si>
  <si>
    <t>Sales_Lead_Hrs_Expire_pct_Yr["Sales_Lead_Quality.Lead_Qual_2", "Practice_Areas.Practice_2", "Prof_Staff_Types.Prof_Level_2", "Channels.Channels_1", DATE(2011,2,1)]|=R119</t>
  </si>
  <si>
    <t>:D:0:Engage_Types.EngageType_1</t>
  </si>
  <si>
    <t>Per_Sup_Staff_Exp_Yr["Depts.Sales", "Empl_Rel_Exp_Type.Other", DATE(2010,10,1)]|=N331</t>
  </si>
  <si>
    <t>:A:-1:Prof_Staff_Targ_Hrs_per_HC_Yr</t>
  </si>
  <si>
    <t>:A:0:Practice_Dev_Prof_Spend</t>
  </si>
  <si>
    <t>IRR_CF_no_Tail</t>
  </si>
  <si>
    <t>Cost_Services_Supplies_Hr["Practice_Areas.Practice_1", "Prof_Staff_Types.Prof_Level_1", "Supply_Types.Supply_Type_1", "Channels.Channels_2", DATE(2011,4,1)]|=T162</t>
  </si>
  <si>
    <t>:WS:Output Adv Tmpl</t>
  </si>
  <si>
    <t>:A:-1:Sup_Staff_Wage_Avg_Initial_Yr</t>
  </si>
  <si>
    <t>Cost_Services_Supplies_Hr["Practice_Areas.Practice_2", "Prof_Staff_Types.Prof_Level_1", "Supply_Types.Supply_Type_2", "Channels.Channels_2", DATE(2011,6,1)]|=V172</t>
  </si>
  <si>
    <t>Prof_Staff_Benefits_pct["Prof_Staff_Types.Prof_Level_2", DATE(2010,11,1)]|=O221</t>
  </si>
  <si>
    <t>Sales_Lead_Hrs_Conv_pct_Yr["Sales_Lead_Quality.Lead_Qual_1", "Practice_Areas.Practice_1", "Prof_Staff_Types.Prof_Level_1", "Channels.Channels_2", DATE(2010,1,1)]|=0.50</t>
  </si>
  <si>
    <t>Inputs!Engage_Hrs_pct_Billed_ET_Engage_Time_Period_2_Engagements_Engage_1_Prof_Staff_Types_Prof_Level_1</t>
  </si>
  <si>
    <t>:A:0:Engage_Rev_Nominal_Fees</t>
  </si>
  <si>
    <t>:A:-1:Long_Assets</t>
  </si>
  <si>
    <t>Sales_Lead_Hrs_Conv_pct_Yr["Sales_Lead_Quality.Lead_Qual_1", "Practice_Areas.Practice_2", "Prof_Staff_Types.Prof_Level_2", "Channels.Channels_1", DATE(2011,4,1)]|=T94</t>
  </si>
  <si>
    <t>Prof_Staff_Benefits_pct["Prof_Staff_Types.Prof_Level_1", DATE(2010,7,1)]|=K220</t>
  </si>
  <si>
    <t>Cost_Services_Supplies_Hr["Practice_Areas.Practice_2", "Prof_Staff_Types.Prof_Level_2", "Supply_Types.Supply_Type_1", "Channels.Channels_2", DATE(2011,2,1)]|=R174</t>
  </si>
  <si>
    <t>Practice_Dev_pct_Capd["Practice_Areas.Practice_1", DATE(2010,3,1)]|=G395</t>
  </si>
  <si>
    <t>Mktg_Pgms_Exp_Early["Mktg_Pgms.Publications", "Practice_Areas.Practice_2", DATE(2011,6,1)]|=V279</t>
  </si>
  <si>
    <t>Prof_Staff_Count_Early["Practice_Areas.Practice_1", "Prof_Staff_Types.Prof_Level_2", DATE(2010,6,1)]|=J185</t>
  </si>
  <si>
    <t>Support staff benefits expense, as a percentage of wages, excluding bonuses and commissions</t>
  </si>
  <si>
    <t>Cash_Flow+Dividend-Net_Stock_Issue</t>
  </si>
  <si>
    <t>Prof_Fees_per_Hr_Nominal["Practice_Areas.Practice_1", "Prof_Staff_Types.Prof_Level_1", DATE(2010,4,1)]|=H138</t>
  </si>
  <si>
    <t>:A:0:Mktg_Pgms_Exp</t>
  </si>
  <si>
    <t>:D:0:Liabilities.Short.ShortDebt</t>
  </si>
  <si>
    <t>:D:0:Konst.K1</t>
  </si>
  <si>
    <t>:D:0:Konst.K0</t>
  </si>
  <si>
    <t>Cash balance at the end of each accounting period</t>
  </si>
  <si>
    <t>:A:-1:Untagged_Asset_Purch_Lagged</t>
  </si>
  <si>
    <t>Sales_Lead_Hrs_Expire_pct_Yr["Sales_Lead_Quality.Lead_Qual_2", "Practice_Areas.Practice_1", "Prof_Staff_Types.Prof_Level_2", "Channels.Channels_1", DATE(2011,1,1)]|=Q115</t>
  </si>
  <si>
    <t>Professional Staff Billings</t>
  </si>
  <si>
    <t>Cash_Flow_Expect_Fut</t>
  </si>
  <si>
    <t>Sup_Staff_Bonus_pct["Depts.Sales", "Sup_Staff_Levels.Contributor", DATE(2010,3,1)]|=G236</t>
  </si>
  <si>
    <t>(Ranges)'!Sup_Staff_Count_Depts_Sales_Sup_Staff_Levels_Contributor</t>
  </si>
  <si>
    <t>Sales_Lead_Hrs_Conv_pct_Yr["Sales_Lead_Quality.Lead_Qual_1", "Practice_Areas.Practice_2", "Prof_Staff_Types.Prof_Level_2", "Channels.Channels_1", DATE(2010,8,1)]|=L94</t>
  </si>
  <si>
    <t>:A:0:Income_Tax_Rate</t>
  </si>
  <si>
    <t>Orders_Filled_Hrs_pct["Practice_Areas.Practice_2", "Prof_Staff_Types.Prof_Level_2", "Channels.Channels_1", DATE(2010,10,1)]|=N128</t>
  </si>
  <si>
    <t>Office_Rent_Rate_Yr[DATE(2011,6,1)]|=V305</t>
  </si>
  <si>
    <t>round(Time*periods_per("year"), 0)</t>
  </si>
  <si>
    <t>Sales_Lead_Hrs_Conv_pct_Yr["Sales_Lead_Quality.Lead_Qual_2", "Practice_Areas.Practice_1", "Prof_Staff_Types.Prof_Level_2", "Channels.Channels_2", DATE(2010,12,1)]|=P99</t>
  </si>
  <si>
    <t>Engage_Discount_pct["Engagements.Engage_2", DATE(2010,11,1)]|=O149</t>
  </si>
  <si>
    <t>Prof_Fees_per_Hr_Nominal["Practice_Areas.Practice_1", "Prof_Staff_Types.Prof_Level_2", DATE(2010,3,1)]|=G139</t>
  </si>
  <si>
    <t>Cost_Services_TandE_Hr["Practice_Areas.Practice_1", "Prof_Staff_Types.Prof_Level_1", "Channels.Channels_1", DATE(2010,6,1)]|=J153</t>
  </si>
  <si>
    <t>Sales_Lead_Hrs_Expire_pct_Yr["Sales_Lead_Quality.Lead_Qual_2", "Practice_Areas.Practice_1", "Prof_Staff_Types.Prof_Level_1", "Channels.Channels_1", DATE(2010,3,1)]|=G113</t>
  </si>
  <si>
    <t>Orders_Filled_Hrs_pct["Practice_Areas.Practice_1", "Prof_Staff_Types.Prof_Level_1", "Channels.Channels_2", DATE(2011,2,1)]|=R123</t>
  </si>
  <si>
    <t>Inputs!Engage_Hrs_pct_Billed_ET_Engage_Time_Period_4_Engagements_Engage_2_Prof_Staff_Types_Prof_Level_2</t>
  </si>
  <si>
    <t>(Compute)'!Equity_Time_Period</t>
  </si>
  <si>
    <t>Sales_Lead_Hrs_Expire_pct_Yr["Sales_Lead_Quality.Lead_Qual_2", "Practice_Areas.Practice_1", "Prof_Staff_Types.Prof_Level_1", "Channels.Channels_1", DATE(2010,8,1)]|=L113</t>
  </si>
  <si>
    <t>Practice_Dev_Sup_Staff_Count["Practice_Areas.Practice_2", "Depts.Sales", "Sup_Staff_Levels.Contributor", DATE(2010,11,1)]|=O298</t>
  </si>
  <si>
    <t>Practice_Dev_pct_Capd["Practice_Areas.Practice_1", DATE(2011,6,1)]|=V395</t>
  </si>
  <si>
    <t>Cash_Flow+Dividend-Net_Stock_Issue-Chg_Short_Debt-Chg_Long_Debt-0+prev(0)</t>
  </si>
  <si>
    <t>Cost_Services_Supplies_Hr["Practice_Areas.Practice_1", "Prof_Staff_Types.Prof_Level_2", "Supply_Types.Supply_Type_1", "Channels.Channels_2", DATE(2010,8,1)]|=L166</t>
  </si>
  <si>
    <t>Untagged Asset Purch Params</t>
  </si>
  <si>
    <t>:A:-1:Recruit_Exp_Prof</t>
  </si>
  <si>
    <t>This dimension is 'engagement time' counting time periods from the start of an engagement. This dimension must be as long as the largest engagement duration in the model.</t>
  </si>
  <si>
    <t>Cost_Services_TandE</t>
  </si>
  <si>
    <t>Prof_Staff_Targ_Util_pct["Practice_Areas.Practice_2", "Prof_Staff_Types.Prof_Level_2", DATE(2011,4,1)]|=T192</t>
  </si>
  <si>
    <t>:A:-1:Net_Income</t>
  </si>
  <si>
    <t>Cash_Flow_Expect_Factor</t>
  </si>
  <si>
    <t>:A:0:Engage_Start_Time</t>
  </si>
  <si>
    <t>Liabilities 1</t>
  </si>
  <si>
    <t>Assets</t>
  </si>
  <si>
    <t>Tagged_Asset_Name["Asset_Tags.Building_B"]|="Tagged Asset "&amp;2</t>
  </si>
  <si>
    <t>Engage!Engage_Hrs_Billed_Engagements_Engage_2_Prof_Staff_Types_Prof_Level_2</t>
  </si>
  <si>
    <t>(Compute)'!Prof_Staff_Hrs_Unbilled_Date</t>
  </si>
  <si>
    <t>(Tables)'!Engage_Hrs_Applied_ET_Engage_Time_Period_3_Engagements</t>
  </si>
  <si>
    <t>Support Staff Turnover</t>
  </si>
  <si>
    <t>A list of direct labor job types. The types should be fine enough to distinguish levels of cost per direct labor hour.</t>
  </si>
  <si>
    <t>Sales_Lead_Hrs_Expire_pct_Yr["Sales_Lead_Quality.Lead_Qual_1", "Practice_Areas.Practice_2", "Prof_Staff_Types.Prof_Level_2", "Channels.Channels_2", DATE(2010,11,1)]|=O112</t>
  </si>
  <si>
    <t>(Ranges)'!Revenue_Channel_Channels_Channels_2_Practice_Areas</t>
  </si>
  <si>
    <t>Purchases_Short_Term</t>
  </si>
  <si>
    <t>The sales channel or segment of the engagement</t>
  </si>
  <si>
    <t>Sales_Lead_Hrs_Conv_pct_Yr["Sales_Lead_Quality.Lead_Qual_2", "Practice_Areas.Practice_2", "Prof_Staff_Types.Prof_Level_1", "Channels.Channels_1", DATE(2011,6,1)]|=V100</t>
  </si>
  <si>
    <t>:A:-1:Sup_Staff_Benefits_pct</t>
  </si>
  <si>
    <t>:A:-1:Recruit_Exp_Sup</t>
  </si>
  <si>
    <t>Practice_Dev_Sup_Staff_Count["Practice_Areas.Practice_2", "Depts.Marketing", "Sup_Staff_Levels.Manager", DATE(2011,5,1)]|=U295</t>
  </si>
  <si>
    <t>Interest_Rate_Short_Yr[DATE(2010,5,1)]|=I339</t>
  </si>
  <si>
    <t>Cost_Services_Supplies_Hr["Practice_Areas.Practice_1", "Prof_Staff_Types.Prof_Level_1", "Supply_Types.Supply_Type_2", "Channels.Channels_1", DATE(2010,7,1)]|=K163</t>
  </si>
  <si>
    <t>Cost_Services_TandE_Hr["Practice_Areas.Practice_2", "Prof_Staff_Types.Prof_Level_1", "Channels.Channels_1", DATE(2010,1,1)]|=5</t>
  </si>
  <si>
    <t>Sales_Lead_Hrs_Conv_pct_Yr["Sales_Lead_Quality.Lead_Qual_2", "Practice_Areas.Practice_2", "Prof_Staff_Types.Prof_Level_1", "Channels.Channels_1", DATE(2011,1,1)]|=Q100</t>
  </si>
  <si>
    <t>Practice_Dev_Sup_Staff_Count["Practice_Areas.Practice_1", "Depts.Sales", "Sup_Staff_Levels.Manager", DATE(2011,2,1)]|=R293</t>
  </si>
  <si>
    <t>Cost_Services_TandE_Hr["Practice_Areas.Practice_2", "Prof_Staff_Types.Prof_Level_1", "Channels.Channels_2", DATE(2010,1,1)]|=5</t>
  </si>
  <si>
    <t>Practice_Dev_Sup_Staff_Count["Practice_Areas.Practice_2", "Depts.Sales", "Sup_Staff_Levels.Manager", DATE(2010,7,1)]|=K297</t>
  </si>
  <si>
    <t>Accts_Payable_Initial["Accts_Pay_Type.Tax_Pay"]|=0/3</t>
  </si>
  <si>
    <t>EngageType 1</t>
  </si>
  <si>
    <t>Sales_Lead_Hrs_Expire_pct_Yr["Sales_Lead_Quality.Lead_Qual_2", "Practice_Areas.Practice_1", "Prof_Staff_Types.Prof_Level_1", "Channels.Channels_2", DATE(2010,2,1)]|=F114</t>
  </si>
  <si>
    <t>:A:-1:Cost_Services_TandE_Channel</t>
  </si>
  <si>
    <t>Cost_Services_Supplies_Hr["Practice_Areas.Practice_1", "Prof_Staff_Types.Prof_Level_1", "Supply_Types.Supply_Type_2", "Channels.Channels_1", DATE(2011,1,1)]|=Q163</t>
  </si>
  <si>
    <t>(Ranges)'!Revenue_Practice_Areas_Practice_1_Prof_Staff_Types_Prof_Level_2_Channels</t>
  </si>
  <si>
    <t>Sales_Lead_Hrs_New["Sales_Lead_Quality.Lead_Qual_1", "Practice_Areas.Practice_2", "Prof_Staff_Types.Prof_Level_2", "Channels.Channels_2", DATE(2010,1,1)]|=2*0-0</t>
  </si>
  <si>
    <t>:D:2:Engage_Types</t>
  </si>
  <si>
    <t>Cash_Flow_Oper</t>
  </si>
  <si>
    <t>Empl_Rel_Exp_Type, Prof_Staff_Types, Practice_Areas</t>
  </si>
  <si>
    <t>Prof_Staff_Salary_incr_pct</t>
  </si>
  <si>
    <t>Accts_Pay_Type.Vendor_Pay</t>
  </si>
  <si>
    <t>Tail_Discount_Rate_Yr</t>
  </si>
  <si>
    <t>preve(0.15)</t>
  </si>
  <si>
    <t>Engage_Hrs_pct_Billed_ET["Engagements.Engage_2", "Prof_Staff_Types.Prof_Level_2", "Engage_Time.Period_2"]|=1</t>
  </si>
  <si>
    <t>if(Purchases_Short_Term=0, 0, Accts_Payable/periods_per("day")/Purchases_Short_Term)</t>
  </si>
  <si>
    <t>:A:-1:Orders_Filled</t>
  </si>
  <si>
    <t>:D:2:Assets.Short.Cash</t>
  </si>
  <si>
    <t>Tagged_Asset_Life_Phys_Yr["Asset_Tags.Building_A"]|=J373</t>
  </si>
  <si>
    <t>:A:-1:Revenue</t>
  </si>
  <si>
    <t>Prof_Staff_Bonus_pct["Practice_Areas.Practice_1", "Prof_Staff_Types.Prof_Level_2", DATE(2010,1,1)]|=0</t>
  </si>
  <si>
    <t>:A:0:Prof_Staff_Hrs_Billed_Channel</t>
  </si>
  <si>
    <t>Prof_Staff_Targ_Util_pct["Practice_Areas.Practice_2", "Prof_Staff_Types.Prof_Level_1", DATE(2010,5,1)]|=I191</t>
  </si>
  <si>
    <t>(Ranges)'!Revenue_Channel_Channels_Channels_2_Practice_Areas_Practice_1_Prof_Staff_Types</t>
  </si>
  <si>
    <t>Dividend[DATE(2011,6,1)]|=0</t>
  </si>
  <si>
    <t>Prof_Staff_Count_Early["Practice_Areas.Practice_1", "Prof_Staff_Types.Prof_Level_2", DATE(2011,2,1)]|=R185</t>
  </si>
  <si>
    <t>Net_Stock_Issue[DATE(2010,10,1)]|=0</t>
  </si>
  <si>
    <t>Per_Prof_Staff_Exp_Yr["Prof_Staff_Types.Prof_Level_2", "Empl_Rel_Exp_Type.Travel_Entertain", DATE(2010,12,1)]|=P323</t>
  </si>
  <si>
    <t>(Tables)'!Prof_Staff_Billings_Practice_Areas_Practice_2</t>
  </si>
  <si>
    <t>:A:0:Engage_Cost_Staff</t>
  </si>
  <si>
    <t>:A:-1:Prof_Staff_Hrs_Engage</t>
  </si>
  <si>
    <t>Cost_Services_TandE_Hr["Practice_Areas.Practice_1", "Prof_Staff_Types.Prof_Level_2", "Channels.Channels_2", DATE(2010,1,1)]|=5</t>
  </si>
  <si>
    <t>Sup_Staff_Count_Early["Depts.Sales", "Sup_Staff_Levels.Contributor", DATE(2011,1,1)]|=Q200</t>
  </si>
  <si>
    <t>Sales_Lead_Hrs_New["Sales_Lead_Quality.Lead_Qual_2", "Practice_Areas.Practice_1", "Prof_Staff_Types.Prof_Level_1", "Channels.Channels_2", DATE(2010,10,1)]|=2*N77-M77</t>
  </si>
  <si>
    <t>Tagged_Asset_Deprec_Method["Asset_Tags.Building_B"]|="SLN"</t>
  </si>
  <si>
    <t>The amount of cash on hand a the start of each time period</t>
  </si>
  <si>
    <t>Per_Prof_Staff_Exp_Yr["Prof_Staff_Types.Prof_Level_1", "Empl_Rel_Exp_Type.Supplies", DATE(2011,2,1)]|=R319</t>
  </si>
  <si>
    <t>Recruit_pct_Pos_Sup_Init["Depts.Marketing", "Sup_Staff_Levels.Contributor"]|=0.15</t>
  </si>
  <si>
    <t>Sales_Lead_Hrs_Conv_pct_Yr["Sales_Lead_Quality.Lead_Qual_1", "Practice_Areas.Practice_2", "Prof_Staff_Types.Prof_Level_2", "Channels.Channels_1", DATE(2010,5,1)]|=I94</t>
  </si>
  <si>
    <t>Variable that counts how many time periods have passed during the life of each tagged asset, for each time period. Negative before period purchased. Zero during period purchased. Constant after end of life. Used as input to depreciation functions that require the number of the time period for which depreciation is computed.</t>
  </si>
  <si>
    <t>:D:2:Engagements</t>
  </si>
  <si>
    <t>(Tables)'!Prof_Staff_Hrs_Engage_Practice_Areas_Practice_2_Prof_Staff_Types_Prof_Level_1_Channels</t>
  </si>
  <si>
    <t>Sales_Lead_Hrs_New["Sales_Lead_Quality.Lead_Qual_2", "Practice_Areas.Practice_1", "Prof_Staff_Types.Prof_Level_1", "Channels.Channels_2", DATE(2010,8,1)]|=2*L77-K77</t>
  </si>
  <si>
    <t>if(Prof_Staff_Hrs_Billed_RoundQ, round(Engage_Hrs_Billed_ET1, 0), Engage_Hrs_Billed_ET1)</t>
  </si>
  <si>
    <t>Sales_Lead_Hrs_Expire_pct_Yr["Sales_Lead_Quality.Lead_Qual_2", "Practice_Areas.Practice_2", "Prof_Staff_Types.Prof_Level_2", "Channels.Channels_1", DATE(2010,5,1)]|=I119</t>
  </si>
  <si>
    <t>:D:1:Engagements</t>
  </si>
  <si>
    <t>Engage_Discount_pct["Engagements.Engage_1", DATE(2010,11,1)]|=O148</t>
  </si>
  <si>
    <t>Sales_Lead_Hrs_Conv_pct_Yr["Sales_Lead_Quality.Lead_Qual_2", "Practice_Areas.Practice_2", "Prof_Staff_Types.Prof_Level_1", "Channels.Channels_2", DATE(2010,7,1)]|=K101</t>
  </si>
  <si>
    <t>Sales_Lead_Hrs_New["Sales_Lead_Quality.Lead_Qual_1", "Practice_Areas.Practice_1", "Prof_Staff_Types.Prof_Level_2", "Channels.Channels_1", DATE(2010,1,1)]|=2*0-0</t>
  </si>
  <si>
    <t>Recruit_pct_Pos_Prof_Init["Practice_Areas.Practice_1", "Prof_Staff_Types.Prof_Level_2"]|=0.15</t>
  </si>
  <si>
    <t>:A:0:Recruit_Exp_Prof</t>
  </si>
  <si>
    <t>Engage_Hrs_pct_Billed_ET["Engagements.Engage_1", "Prof_Staff_Types.Prof_Level_1", "Engage_Time.Period_3"]|=1</t>
  </si>
  <si>
    <t>Accts_Rec_Days[DATE(2010,9,1)]|=M366</t>
  </si>
  <si>
    <t>Net_Stock_Issue[DATE(2010,6,1)]|=0</t>
  </si>
  <si>
    <t xml:space="preserve">  Channels_1</t>
  </si>
  <si>
    <t>Prof_Staff_Hrs_Engage+Practice_Dev_Prof_Staff_Hrs</t>
  </si>
  <si>
    <t>The amount of short-term debt outstanding at the end of each time period.
This variable contains a formula that expresses a policy: the company takes enough short-term loans to keep cash balances equal to a target number of days of revenue.</t>
  </si>
  <si>
    <t>(Compute)'!Prof_Staff_Count1_Time_Period</t>
  </si>
  <si>
    <t>Cash_Flow_Eq_Expected</t>
  </si>
  <si>
    <t>Mktg_Pgms_Exp_Early["Mktg_Pgms.Seminars", "Practice_Areas.Practice_2", DATE(2010,4,1)]|=H277</t>
  </si>
  <si>
    <t>Orders_Filled_Hrs_pct["Practice_Areas.Practice_2", "Prof_Staff_Types.Prof_Level_2", "Channels.Channels_1", DATE(2010,5,1)]|=I128</t>
  </si>
  <si>
    <t>Sales_Lead_Hrs_Expire_pct_Yr["Sales_Lead_Quality.Lead_Qual_2", "Practice_Areas.Practice_1", "Prof_Staff_Types.Prof_Level_1", "Channels.Channels_1", DATE(2010,9,1)]|=M113</t>
  </si>
  <si>
    <t>Sales_Lead_Hrs_Conv_pct_Yr["Sales_Lead_Quality.Lead_Qual_1", "Practice_Areas.Practice_2", "Prof_Staff_Types.Prof_Level_1", "Channels.Channels_1", DATE(2011,6,1)]|=V92</t>
  </si>
  <si>
    <t>Prof_Staff_Bonus_pct["Practice_Areas.Practice_2", "Prof_Staff_Types.Prof_Level_1", DATE(2010,10,1)]|=N217</t>
  </si>
  <si>
    <t>Sales_Lead_Hrs_New["Sales_Lead_Quality.Lead_Qual_1", "Practice_Areas.Practice_2", "Prof_Staff_Types.Prof_Level_2", "Channels.Channels_1", DATE(2010,10,1)]|=2*N74-M74</t>
  </si>
  <si>
    <t>Cost_Services_TandE_Hr["Practice_Areas.Practice_1", "Prof_Staff_Types.Prof_Level_1", "Channels.Channels_2", DATE(2011,2,1)]|=R154</t>
  </si>
  <si>
    <t>Empl Rel Exp Type 1</t>
  </si>
  <si>
    <t>(1-Prof_Fee_Discount_pct)*Prof_Fees_per_Hr_Nominal</t>
  </si>
  <si>
    <t>Sales_Lead_Hrs_New["Sales_Lead_Quality.Lead_Qual_2", "Practice_Areas.Practice_2", "Prof_Staff_Types.Prof_Level_2", "Channels.Channels_1", DATE(2010,11,1)]|=2*O82-N82</t>
  </si>
  <si>
    <t>:A:0:Chg_Long_Debt</t>
  </si>
  <si>
    <t>Cost_Services_Supplies_Hr["Practice_Areas.Practice_1", "Prof_Staff_Types.Prof_Level_1", "Supply_Types.Supply_Type_2", "Channels.Channels_2", DATE(2010,10,1)]|=N164</t>
  </si>
  <si>
    <t>Accts_Rec_Days[DATE(2011,4,1)]|=T366</t>
  </si>
  <si>
    <t>Prof_Staff_Benefits_pct["Prof_Staff_Types.Prof_Level_1", DATE(2011,3,1)]|=S220</t>
  </si>
  <si>
    <t>Practice_Dev_Sup_Staff_Count["Practice_Areas.Practice_1", "Depts.Marketing", "Sup_Staff_Levels.Contributor", DATE(2010,1,1)]|=0</t>
  </si>
  <si>
    <t>(Ranges)'!Sup_Staff_Count_Depts_Sales_Sup_Staff_Levels_Manager</t>
  </si>
  <si>
    <t>:A:0:Prof_Staff_Hrs_Billed_Plot</t>
  </si>
  <si>
    <t>:A:0:Return_on_Assets</t>
  </si>
  <si>
    <t>:D:0:Untagged_Asset_Type.Office_Equip</t>
  </si>
  <si>
    <t>Sales_Lead_Hrs_Conv_pct_Yr["Sales_Lead_Quality.Lead_Qual_2", "Practice_Areas.Practice_1", "Prof_Staff_Types.Prof_Level_1", "Channels.Channels_1", DATE(2010,4,1)]|=H96</t>
  </si>
  <si>
    <t>Sales_Lead_Hrs_New["Sales_Lead_Quality.Lead_Qual_2", "Practice_Areas.Practice_1", "Prof_Staff_Types.Prof_Level_1", "Channels.Channels_1", DATE(2011,6,1)]|=2*V76-U76</t>
  </si>
  <si>
    <t>:A:0:Engage_Hrs_pct_Billed_ET</t>
  </si>
  <si>
    <t>:A:-1:Office_Space_per_Person</t>
  </si>
  <si>
    <t>Office_Utilities_Rate_Yr[DATE(2010,2,1)]|=F306</t>
  </si>
  <si>
    <t>Prof_Staff_Targ_Util_pct["Practice_Areas.Practice_2", "Prof_Staff_Types.Prof_Level_1", DATE(2011,6,1)]|=V191</t>
  </si>
  <si>
    <t>:A:0:Prof_Staff_Salary_Cost</t>
  </si>
  <si>
    <t>Engage_Gross_Margin</t>
  </si>
  <si>
    <t>Sup_Staff_Count_Early["Depts.Marketing", "Sup_Staff_Levels.Contributor", DATE(2010,12,1)]|=P198</t>
  </si>
  <si>
    <t>General &amp; Admin</t>
  </si>
  <si>
    <t>(Ranges)'!Gross_Margin_Practice_Areas_Practice_1_Prof_Staff_Types_Prof_Level_1_Channels</t>
  </si>
  <si>
    <t>Prof_Staff_Count_Early["Practice_Areas.Practice_1", "Prof_Staff_Types.Prof_Level_1", DATE(2011,3,1)]|=S184</t>
  </si>
  <si>
    <t>Sales Lead Quality</t>
  </si>
  <si>
    <t>Dividend[DATE(2011,1,1)]|=0</t>
  </si>
  <si>
    <t>Sales_Lead_Hrs_New["Sales_Lead_Quality.Lead_Qual_1", "Practice_Areas.Practice_2", "Prof_Staff_Types.Prof_Level_2", "Channels.Channels_1", DATE(2010,12,1)]|=2*P74-O74</t>
  </si>
  <si>
    <t>:A:-1:Untagged_Assets</t>
  </si>
  <si>
    <t>Sup_Staff_Count_Early["Depts.Marketing", "Sup_Staff_Levels.Manager", DATE(2010,7,1)]|=K197</t>
  </si>
  <si>
    <t>Cost_Services_Supplies_Hr["Practice_Areas.Practice_1", "Prof_Staff_Types.Prof_Level_2", "Supply_Types.Supply_Type_1", "Channels.Channels_2", DATE(2010,11,1)]|=O166</t>
  </si>
  <si>
    <t>:A:0:Tagged_Asset_Init_Value</t>
  </si>
  <si>
    <t>Sales_Lead_Hrs_Conv_pct</t>
  </si>
  <si>
    <t>:D:0:Equity.PaidinCap</t>
  </si>
  <si>
    <t>Converts the dimension Engage_Types into an analysis variable for use in lookups. This variable is a technical device with no conceptual significance in the model.</t>
  </si>
  <si>
    <t>:A:-1:Net_Stock_Issue_short</t>
  </si>
  <si>
    <t>Orders_Filled_Hrs_pct["Practice_Areas.Practice_1", "Prof_Staff_Types.Prof_Level_2", "Channels.Channels_2", DATE(2010,10,1)]|=N125</t>
  </si>
  <si>
    <t>Cost of direct supplies incurred on major Engagements. Segmented by Engagement, Supply Types, and time period.</t>
  </si>
  <si>
    <t>Cost_Services_Supplies_Hr["Practice_Areas.Practice_2", "Prof_Staff_Types.Prof_Level_1", "Supply_Types.Supply_Type_2", "Channels.Channels_1", DATE(2010,11,1)]|=O171</t>
  </si>
  <si>
    <t>:A:0:Prof_Staff_Bonus</t>
  </si>
  <si>
    <t>Interest_Rate_Earned_Cash_Yr[DATE(2010,9,1)]|=M341</t>
  </si>
  <si>
    <t>Per_Sup_Staff_Exp_Yr["Depts.Sales", "Empl_Rel_Exp_Type.Travel_Entertain", DATE(2010,2,1)]|=F330</t>
  </si>
  <si>
    <t>Engage_Discount_pct["Engagements.Engage_2", DATE(2010,6,1)]|=J149</t>
  </si>
  <si>
    <t>Orders_Filled_Hrs_pct["Practice_Areas.Practice_1", "Prof_Staff_Types.Prof_Level_2", "Channels.Channels_2", DATE(2010,5,1)]|=I125</t>
  </si>
  <si>
    <t>Sales_Lead_Hrs_Conv_pct_Yr["Sales_Lead_Quality.Lead_Qual_1", "Practice_Areas.Practice_1", "Prof_Staff_Types.Prof_Level_2", "Channels.Channels_1", DATE(2011,4,1)]|=T90</t>
  </si>
  <si>
    <t>Engage!Engage_Cost_Supplies_Engagements_Engage_1_Prof_Staff_Types_Prof_Level_2_Supply_Types</t>
  </si>
  <si>
    <t>:A:-1:Sup_Staff_Count_Early</t>
  </si>
  <si>
    <t>(Ranges)'!Prof_Staff_Cost_Unapplied_Practice_Areas_Practice_2_Prof_Staff_Types</t>
  </si>
  <si>
    <t>Practice_Dev_Prof_Staff_Count["Practice_Areas.Practice_2", "Prof_Staff_Types.Prof_Level_2", DATE(2010,4,1)]|=H289</t>
  </si>
  <si>
    <t>if(preve(0, Prof_Staff_Hrs_Billed)=0, " ", Prof_Staff_Hrs_Billed/preve(0, Prof_Staff_Hrs_Billed)-1)</t>
  </si>
  <si>
    <t>(Ranges)'!Prof_Staff_Hrs_Unapplied_Practice_Areas_Practice_1_Prof_Staff_Types</t>
  </si>
  <si>
    <t>Orders_Filled_Hrs_pct["Practice_Areas.Practice_2", "Prof_Staff_Types.Prof_Level_2", "Channels.Channels_1", DATE(2011,5,1)]|=U128</t>
  </si>
  <si>
    <t>Prof_Staff_Bonus_pct["Practice_Areas.Practice_1", "Prof_Staff_Types.Prof_Level_2", DATE(2010,10,1)]|=N216</t>
  </si>
  <si>
    <t>Long_Loans[DATE(2010,1,1)]|=F421</t>
  </si>
  <si>
    <t>Accts Payable Days</t>
  </si>
  <si>
    <t>Sales_Lead_Hrs_New["Sales_Lead_Quality.Lead_Qual_1", "Practice_Areas.Practice_1", "Prof_Staff_Types.Prof_Level_2", "Channels.Channels_1", DATE(2010,9,1)]|=2*M70-L70</t>
  </si>
  <si>
    <t>(Compute)'!Operating_Exp_Time_Period</t>
  </si>
  <si>
    <t>Accts_Receivable_Initial[]|</t>
  </si>
  <si>
    <t>Operating_Exp["Depts.Marketing"]</t>
  </si>
  <si>
    <t>Practice_Dev_pct_Capd["Practice_Areas.Practice_2", DATE(2010,6,1)]|=J396</t>
  </si>
  <si>
    <t>:A:-1:Prof_Staff_Hrs_Unbilled_Channel</t>
  </si>
  <si>
    <t>Practice_Dev_Prof_Staff_Count["Practice_Areas.Practice_1", "Prof_Staff_Types.Prof_Level_2", DATE(2010,3,1)]|=G287</t>
  </si>
  <si>
    <t>Sales_Lead_Hrs_New["Sales_Lead_Quality.Lead_Qual_1", "Practice_Areas.Practice_1", "Prof_Staff_Types.Prof_Level_1", "Channels.Channels_2", DATE(2010,8,1)]|=2*L69-K69</t>
  </si>
  <si>
    <t>Sup_Staff_Bonus_pct["Depts.Sales", "Sup_Staff_Levels.Manager", DATE(2010,12,1)]|=P235</t>
  </si>
  <si>
    <t>:D:1:Asset_Tags</t>
  </si>
  <si>
    <t>Practice_Dev_Sup_Staff_Count["Practice_Areas.Practice_2", "Depts.Marketing", "Sup_Staff_Levels.Contributor", DATE(2010,11,1)]|=O296</t>
  </si>
  <si>
    <t>Sales_Lead_Hrs_New["Sales_Lead_Quality.Lead_Qual_2", "Practice_Areas.Practice_2", "Prof_Staff_Types.Prof_Level_2", "Channels.Channels_2", DATE(2011,6,1)]|=2*V83-U83</t>
  </si>
  <si>
    <t>Net_Stock_Issue[DATE(2011,5,1)]|=0</t>
  </si>
  <si>
    <t>Engage_Discount_pct["Engagements.Engage_1", DATE(2011,4,1)]|=T148</t>
  </si>
  <si>
    <t>Accts_Rec_Days[DATE(2011,6,1)]|=V366</t>
  </si>
  <si>
    <t>The ratio (short-term assets less inventory) / short-term liabilities, by time period</t>
  </si>
  <si>
    <t>Sales_Lead_Hrs_Conv_pct_Yr["Sales_Lead_Quality.Lead_Qual_2", "Practice_Areas.Practice_2", "Prof_Staff_Types.Prof_Level_2", "Channels.Channels_2", DATE(2011,2,1)]|=R103</t>
  </si>
  <si>
    <t>Office_Rent_Rate_Yr[DATE(2011,4,1)]|=T305</t>
  </si>
  <si>
    <t>Orders_Filled_Hrs_pct["Practice_Areas.Practice_2", "Prof_Staff_Types.Prof_Level_2", "Channels.Channels_2", DATE(2010,3,1)]|=G129</t>
  </si>
  <si>
    <t>Office_Rent_Rate_Yr[DATE(2010,3,1)]|=G305</t>
  </si>
  <si>
    <t>(Ranges)'!Liabilities_Liabilities_Short_ShortDebt</t>
  </si>
  <si>
    <t>Prof_Staff_Targ_Util_pct["Practice_Areas.Practice_2", "Prof_Staff_Types.Prof_Level_2", DATE(2011,3,1)]|=S192</t>
  </si>
  <si>
    <t>Sup_Staff_Bonus_pct*Sup_Staff_Wage_Expense</t>
  </si>
  <si>
    <t>Prof_Staff_Targ_Util_pct["Practice_Areas.Practice_2", "Prof_Staff_Types.Prof_Level_1", DATE(2010,11,1)]|=O191</t>
  </si>
  <si>
    <t>Return on Assets</t>
  </si>
  <si>
    <t>Cost_Services_Supplies_Hr["Practice_Areas.Practice_2", "Prof_Staff_Types.Prof_Level_1", "Supply_Types.Supply_Type_2", "Channels.Channels_2", DATE(2011,5,1)]|=U172</t>
  </si>
  <si>
    <t>:A:0:Sales_Commission</t>
  </si>
  <si>
    <t>:D:0:Engage_Time.Period_4</t>
  </si>
  <si>
    <t>:A:-1:Cash_Targ_Days</t>
  </si>
  <si>
    <t>:D:0:Engage_Time.Period_1</t>
  </si>
  <si>
    <t>:D:0:Engage_Time.Period_2</t>
  </si>
  <si>
    <t>Sales_Lead_Hrs_New["Sales_Lead_Quality.Lead_Qual_2", "Practice_Areas.Practice_2", "Prof_Staff_Types.Prof_Level_2", "Channels.Channels_1", DATE(2010,1,1)]|=2*0-0</t>
  </si>
  <si>
    <t>Measured growth rate of billed staff hours per time period (not annualized). This version of the variable includes blanks where growth rate is not defined. Used in display.</t>
  </si>
  <si>
    <t>Mktg_Pgms_Exp_Early["Mktg_Pgms.Seminars", "Practice_Areas.Practice_2", DATE(2010,12,1)]|=P277</t>
  </si>
  <si>
    <t>Practice_Dev_Sup_Staff_Count["Practice_Areas.Practice_1", "Depts.Marketing", "Sup_Staff_Levels.Manager", DATE(2010,9,1)]|=M291</t>
  </si>
  <si>
    <t>Payroll tax rate as a percentage of payroll. Wages and salaries, bonuses and commissions are taxed, benefits are not taxed.</t>
  </si>
  <si>
    <t>The percentage by which average professional billing rates are reduced from listed billing rates, on each major engagement. This rate is combined with discount rates for the Practice Area and Professional Staff Type.</t>
  </si>
  <si>
    <t>Cost_Services_TandE_Hr["Practice_Areas.Practice_1", "Prof_Staff_Types.Prof_Level_1", "Channels.Channels_1", DATE(2010,11,1)]|=O153</t>
  </si>
  <si>
    <t>Income subject to income tax. Applicable losses carried forward from previous time periods are already subtracted.</t>
  </si>
  <si>
    <t>Sales_Lead_Hrs_Conv_pct_Yr["Sales_Lead_Quality.Lead_Qual_2", "Practice_Areas.Practice_2", "Prof_Staff_Types.Prof_Level_1", "Channels.Channels_2", DATE(2010,11,1)]|=O101</t>
  </si>
  <si>
    <t>A checksum for cash flow. Equals starting cash balance + sources of cash - uses of cash - ending cash balance, which must be zero if cash flows are accounted for correctly.</t>
  </si>
  <si>
    <t>:A:-1:Engage_Hrs_Applied_ET</t>
  </si>
  <si>
    <t>:A:0:Price_Book_Multiple</t>
  </si>
  <si>
    <t>(Ranges)'!Assets_Assets_Short_Inventory</t>
  </si>
  <si>
    <t>Cost_Services_Supplies_Hr["Practice_Areas.Practice_2", "Prof_Staff_Types.Prof_Level_1", "Supply_Types.Supply_Type_2", "Channels.Channels_2", DATE(2010,1,1)]|=0</t>
  </si>
  <si>
    <t>Sales_Lead_Hrs_Expire_pct_Yr["Sales_Lead_Quality.Lead_Qual_2", "Practice_Areas.Practice_1", "Prof_Staff_Types.Prof_Level_1", "Channels.Channels_2", DATE(2010,1,1)]|=0.30</t>
  </si>
  <si>
    <t>:D:-1:Empl_Rel_Exp_Type</t>
  </si>
  <si>
    <t>:A:0:Cash_Flow_Equity</t>
  </si>
  <si>
    <t>Engage!Orders_Filled_Practice_Areas_Practice_1_Prof_Staff_Types_Prof_Level_2_Channels_Channels_2</t>
  </si>
  <si>
    <t>Office_Utilities_Rate_Yr[DATE(2011,5,1)]|=U306</t>
  </si>
  <si>
    <t>Sales_Lead_Hrs_Conv_pct_Yr["Sales_Lead_Quality.Lead_Qual_2", "Practice_Areas.Practice_1", "Prof_Staff_Types.Prof_Level_1", "Channels.Channels_2", DATE(2010,11,1)]|=O97</t>
  </si>
  <si>
    <t>Depts, GA_Exp</t>
  </si>
  <si>
    <t>Short_Debt[DATE(2010,11,1)]|=max(0, '(Compute)'!M31-'(Tables)'!M1367)</t>
  </si>
  <si>
    <t>Prof_Staff_Count*Prof_Staff_Salary_Avg_Yr/periods_per("year")</t>
  </si>
  <si>
    <t>Cost_Services_Supplies_Hr["Practice_Areas.Practice_1", "Prof_Staff_Types.Prof_Level_2", "Supply_Types.Supply_Type_2", "Channels.Channels_2", DATE(2011,2,1)]|=R168</t>
  </si>
  <si>
    <t>Net Stock Issue</t>
  </si>
  <si>
    <t>Sales_Lead_Hrs_Expire_pct_Yr["Sales_Lead_Quality.Lead_Qual_2", "Practice_Areas.Practice_1", "Prof_Staff_Types.Prof_Level_2", "Channels.Channels_2", DATE(2010,10,1)]|=N116</t>
  </si>
  <si>
    <t>Per_Sup_Staff_Exp_Yr["Depts.Marketing", "Empl_Rel_Exp_Type.Other", DATE(2010,4,1)]|=H328</t>
  </si>
  <si>
    <t>Sales_Lead_Hrs_Conv_pct_Yr["Sales_Lead_Quality.Lead_Qual_1", "Practice_Areas.Practice_2", "Prof_Staff_Types.Prof_Level_1", "Channels.Channels_1", DATE(2010,1,1)]|=0.50</t>
  </si>
  <si>
    <t>K1</t>
  </si>
  <si>
    <t>Cost_Services_Supplies_Hr["Practice_Areas.Practice_2", "Prof_Staff_Types.Prof_Level_2", "Supply_Types.Supply_Type_1", "Channels.Channels_2", DATE(2010,8,1)]|=L174</t>
  </si>
  <si>
    <t>Sales_Lead_Hrs_New["Sales_Lead_Quality.Lead_Qual_2", "Practice_Areas.Practice_1", "Prof_Staff_Types.Prof_Level_1", "Channels.Channels_1", DATE(2010,7,1)]|=2*K76-J76</t>
  </si>
  <si>
    <t>:A:-1:Tagged_Asset_Name</t>
  </si>
  <si>
    <t>:A:0:Engage_Time</t>
  </si>
  <si>
    <t>Practice_Dev_Sup_Staff_Count["Practice_Areas.Practice_1", "Depts.Marketing", "Sup_Staff_Levels.Manager", DATE(2010,12,1)]|=P291</t>
  </si>
  <si>
    <t>Short_Debt[DATE(2010,6,1)]|=max(0, '(Compute)'!H31-'(Tables)'!H1367)</t>
  </si>
  <si>
    <t>Untagged_Asset_Type</t>
  </si>
  <si>
    <t>Cash_Starting+Cash_Sources-Cash_Uses-Cash</t>
  </si>
  <si>
    <t>:A:0:Chg_Accts_Rec</t>
  </si>
  <si>
    <t>if(Revenue=0, 0, 1000*Prof_Staff_Count/Revenue)</t>
  </si>
  <si>
    <t>if(Sales_Lead_Hrs_Conv_pct_Yr&gt;0.9999999, Sales_Lead_Hrs_Conv_pct_Yr, 1-exp(ln(1-Sales_Lead_Hrs_Conv_pct_Yr)/periods_per("year")))</t>
  </si>
  <si>
    <t>Sales_Lead_Hrs_Expire_pct_Yr["Sales_Lead_Quality.Lead_Qual_1", "Practice_Areas.Practice_1", "Prof_Staff_Types.Prof_Level_1", "Channels.Channels_1", DATE(2010,9,1)]|=M105</t>
  </si>
  <si>
    <t>Sales_Lead_Hrs_Conv_pct_Yr["Sales_Lead_Quality.Lead_Qual_1", "Practice_Areas.Practice_2", "Prof_Staff_Types.Prof_Level_2", "Channels.Channels_1", DATE(2011,5,1)]|=U94</t>
  </si>
  <si>
    <t>Practice_Dev_Sup_Staff_Count["Practice_Areas.Practice_2", "Depts.Marketing", "Sup_Staff_Levels.Manager", DATE(2011,1,1)]|=Q295</t>
  </si>
  <si>
    <t>Cost_Services_Supplies_Hr["Practice_Areas.Practice_2", "Prof_Staff_Types.Prof_Level_1", "Supply_Types.Supply_Type_1", "Channels.Channels_1", DATE(2010,1,1)]|=0</t>
  </si>
  <si>
    <t>Orders_Filled_Hrs_pct["Practice_Areas.Practice_1", "Prof_Staff_Types.Prof_Level_2", "Channels.Channels_1", DATE(2011,3,1)]|=S124</t>
  </si>
  <si>
    <t>Per_Sup_Staff_Exp_Yr["Depts.Sales", "Empl_Rel_Exp_Type.Supplies", DATE(2010,11,1)]|=O329</t>
  </si>
  <si>
    <t>Cost_Services_Supplies_Hr["Practice_Areas.Practice_2", "Prof_Staff_Types.Prof_Level_2", "Supply_Types.Supply_Type_1", "Channels.Channels_2", DATE(2010,7,1)]|=K174</t>
  </si>
  <si>
    <t>Inputs!Engage_Hrs_Applied_ET_Engage_Time_Period_4_Engagements_Engage_1_Prof_Staff_Types_Prof_Level_1</t>
  </si>
  <si>
    <t>The local time in a major Engagement, starting from the start date of the Engagement and counting time periods. To increase this limit, change the maximum duration of an Engagement when you customize a template, or change the number of items in Dimension 'Engage Time' in ModelSheet Authoring.</t>
  </si>
  <si>
    <t>:A:0:Office_Utilities_Rate_Yr</t>
  </si>
  <si>
    <t>Short_Debt[DATE(2009,12,1)]|=0</t>
  </si>
  <si>
    <t>Practice_Dev_Sup_Staff_Count["Practice_Areas.Practice_2", "Depts.Sales", "Sup_Staff_Levels.Manager", DATE(2010,8,1)]|=L297</t>
  </si>
  <si>
    <t>The rate of increase of professional salaries. The variable 'Wage Increase Annual?' determines whether this rate of increase is interpreted as an annual rate spread over all time periods, or as the actual rate that is applied in each time period.</t>
  </si>
  <si>
    <t>Sales_Lead_Hrs_Expire_pct_Yr["Sales_Lead_Quality.Lead_Qual_2", "Practice_Areas.Practice_1", "Prof_Staff_Types.Prof_Level_2", "Channels.Channels_2", DATE(2010,5,1)]|=I116</t>
  </si>
  <si>
    <t xml:space="preserve">  Manager</t>
  </si>
  <si>
    <t>:D:2:Asset_Tags</t>
  </si>
  <si>
    <t>Cost_Services_TandE_Hr["Practice_Areas.Practice_1", "Prof_Staff_Types.Prof_Level_1", "Channels.Channels_1", DATE(2011,1,1)]|=Q153</t>
  </si>
  <si>
    <t>Sales_Lead_Hrs_Conv_pct_Yr["Sales_Lead_Quality.Lead_Qual_1", "Practice_Areas.Practice_2", "Prof_Staff_Types.Prof_Level_2", "Channels.Channels_1", DATE(2010,9,1)]|=M94</t>
  </si>
  <si>
    <t>Cost_Services_TandE_Hr["Practice_Areas.Practice_1", "Prof_Staff_Types.Prof_Level_1", "Channels.Channels_1", DATE(2011,2,1)]|=R153</t>
  </si>
  <si>
    <t>Prof_Staff_Count_Early["Practice_Areas.Practice_1", "Prof_Staff_Types.Prof_Level_2", DATE(2010,7,1)]|=K185</t>
  </si>
  <si>
    <t>Balance_Check</t>
  </si>
  <si>
    <t>Cost_Services_Supplies_Hr["Practice_Areas.Practice_2", "Prof_Staff_Types.Prof_Level_2", "Supply_Types.Supply_Type_2", "Channels.Channels_1", DATE(2010,3,1)]|=G175</t>
  </si>
  <si>
    <t>Prof_Staff_Targ_Util_pct["Practice_Areas.Practice_2", "Prof_Staff_Types.Prof_Level_1", DATE(2010,12,1)]|=P191</t>
  </si>
  <si>
    <t>Prof_Staff_Targ_Util_pct["Practice_Areas.Practice_1", "Prof_Staff_Types.Prof_Level_2", DATE(2011,5,1)]|=U190</t>
  </si>
  <si>
    <t>Practice_Dev_Prof_Staff_Count["Practice_Areas.Practice_1", "Prof_Staff_Types.Prof_Level_2", DATE(2011,6,1)]|=V287</t>
  </si>
  <si>
    <t>Bad_Debt_pct[DATE(2010,3,1)]|=G342</t>
  </si>
  <si>
    <t>Orders_Filled_Hrs_pct["Practice_Areas.Practice_1", "Prof_Staff_Types.Prof_Level_1", "Channels.Channels_2", DATE(2010,1,1)]|=0.5</t>
  </si>
  <si>
    <t>Prof_Staff_Salary_incr_pct["Prof_Staff_Types.Prof_Level_2", DATE(2010,6,1)]|=J213</t>
  </si>
  <si>
    <t>Mktg_Pgms_Exp_Early["Mktg_Pgms.Publications", "Practice_Areas.Practice_1", DATE(2010,2,1)]|=F278</t>
  </si>
  <si>
    <t>Balance Check</t>
  </si>
  <si>
    <t>Recruit % Positions</t>
  </si>
  <si>
    <t>Cost_Services_TandE_Hr["Practice_Areas.Practice_1", "Prof_Staff_Types.Prof_Level_2", "Channels.Channels_2", DATE(2011,6,1)]|=V156</t>
  </si>
  <si>
    <t>:A:-1:Mktg_Pgms_Exp_Early</t>
  </si>
  <si>
    <t>Sales_Lead_Hrs_New["Sales_Lead_Quality.Lead_Qual_1", "Practice_Areas.Practice_1", "Prof_Staff_Types.Prof_Level_1", "Channels.Channels_1", DATE(2010,6,1)]|=2*J68-I68</t>
  </si>
  <si>
    <t>Cost_Services_TandE_Hr["Practice_Areas.Practice_2", "Prof_Staff_Types.Prof_Level_1", "Channels.Channels_2", DATE(2010,3,1)]|=G158</t>
  </si>
  <si>
    <t>Cost_Services_TandE_Hr["Practice_Areas.Practice_2", "Prof_Staff_Types.Prof_Level_2", "Channels.Channels_2", DATE(2010,7,1)]|=K160</t>
  </si>
  <si>
    <t>Per_Prof_Staff_Exp_Yr["Prof_Staff_Types.Prof_Level_1", "Empl_Rel_Exp_Type.Supplies", DATE(2011,4,1)]|=T319</t>
  </si>
  <si>
    <t>ifm(Time&lt;=0.001, 0, Practice_Dev_pct_Capd*Practice_Dev_Spend)</t>
  </si>
  <si>
    <t>Backlog Filled Hrs%</t>
  </si>
  <si>
    <t>Sales_Lead_Hrs_New["Sales_Lead_Quality.Lead_Qual_2", "Practice_Areas.Practice_2", "Prof_Staff_Types.Prof_Level_1", "Channels.Channels_2", DATE(2011,2,1)]|=2*R81-Q81</t>
  </si>
  <si>
    <t>Practice_Dev_Prof_Staff_Count*Prof_Staff_Cost_per_Hr</t>
  </si>
  <si>
    <t>Sales_Lead_Hrs_Conv_pct_Yr["Sales_Lead_Quality.Lead_Qual_1", "Practice_Areas.Practice_1", "Prof_Staff_Types.Prof_Level_1", "Channels.Channels_1", DATE(2010,11,1)]|=O88</t>
  </si>
  <si>
    <t>:A:-1:Prof_Staff_Hrs_Unbilled</t>
  </si>
  <si>
    <t>:D:2:Engagements.Engage_1</t>
  </si>
  <si>
    <t>prevde(0, "Practice_Areas")</t>
  </si>
  <si>
    <t>Cost_Services_TandE_Hr["Practice_Areas.Practice_2", "Prof_Staff_Types.Prof_Level_1", "Channels.Channels_1", DATE(2011,1,1)]|=Q157</t>
  </si>
  <si>
    <t>(Ranges)'!Prof_Staff_Count_Practice_Areas_Practice_1_Prof_Staff_Types_Prof_Level_2</t>
  </si>
  <si>
    <t>Accts_Pay_Targ_Days["Accts_Pay_Type.Tax_Pay", DATE(2011,6,1)]|=W412</t>
  </si>
  <si>
    <t>Plot Support'!Engage_Hrs_Applied_Plot_Prof_Staff_Types_Prof_Level_1</t>
  </si>
  <si>
    <t>Cost_Services_Supplies_Hr["Practice_Areas.Practice_2", "Prof_Staff_Types.Prof_Level_2", "Supply_Types.Supply_Type_1", "Channels.Channels_2", DATE(2011,5,1)]|=U174</t>
  </si>
  <si>
    <t>Sup_Staff_Benefits_pct[DATE(2011,1,1)]|=Q238</t>
  </si>
  <si>
    <t>Plot Support'!Prof_Staff_Hrs_Billed_Plot_Prof_Staff_Types</t>
  </si>
  <si>
    <t>Prof_Fees_per_Hr_Nominal["Practice_Areas.Practice_2", "Prof_Staff_Types.Prof_Level_1", DATE(2011,1,1)]|=Q140</t>
  </si>
  <si>
    <t>:A:-1:Prof_Staff_Salary_incr_period_pct</t>
  </si>
  <si>
    <t>Sales_Lead_Hrs_Expire_pct_Yr["Sales_Lead_Quality.Lead_Qual_1", "Practice_Areas.Practice_1", "Prof_Staff_Types.Prof_Level_1", "Channels.Channels_1", DATE(2010,10,1)]|=N105</t>
  </si>
  <si>
    <t>Interest_Rate_Long_Yr[DATE(2010,1,1)]|=0</t>
  </si>
  <si>
    <t>Engage_Discount_pct["Engagements.Engage_2", DATE(2010,7,1)]|=K149</t>
  </si>
  <si>
    <t>Sup_Staff_Count_Early</t>
  </si>
  <si>
    <t>Office_Maint_Rate_Yr[DATE(2011,5,1)]|=U307</t>
  </si>
  <si>
    <t>(Ranges)'!Prof_Staff_Hrs_Unbilled_Channel_Practice_Areas_Practice_2_Prof_Staff_Types_Prof_Level_1</t>
  </si>
  <si>
    <t>Sales_Lead_Hrs_Conv_pct_Yr["Sales_Lead_Quality.Lead_Qual_2", "Practice_Areas.Practice_2", "Prof_Staff_Types.Prof_Level_1", "Channels.Channels_1", DATE(2010,6,1)]|=J100</t>
  </si>
  <si>
    <t>:A:0:Liabilities</t>
  </si>
  <si>
    <t>Sales_Lead_Hrs_Expire_pct_Yr["Sales_Lead_Quality.Lead_Qual_1", "Practice_Areas.Practice_1", "Prof_Staff_Types.Prof_Level_1", "Channels.Channels_1", DATE(2011,1,1)]|=Q105</t>
  </si>
  <si>
    <t>:A:0:Interest_Rate_Short_Yr</t>
  </si>
  <si>
    <t>Orders_Filled_Hrs_pct["Practice_Areas.Practice_1", "Prof_Staff_Types.Prof_Level_1", "Channels.Channels_1", DATE(2010,7,1)]|=K122</t>
  </si>
  <si>
    <t>Orders_Filled_Hrs_pct["Practice_Areas.Practice_2", "Prof_Staff_Types.Prof_Level_1", "Channels.Channels_1", DATE(2010,9,1)]|=M126</t>
  </si>
  <si>
    <t>Prof_Staff_Bonus_pct["Practice_Areas.Practice_2", "Prof_Staff_Types.Prof_Level_2", DATE(2010,3,1)]|=G218</t>
  </si>
  <si>
    <t>Direct Supplies</t>
  </si>
  <si>
    <t>:A:-1:Cash_Flow_Eq_Expected</t>
  </si>
  <si>
    <t>Cost_Services_TandE_Hr["Practice_Areas.Practice_1", "Prof_Staff_Types.Prof_Level_2", "Channels.Channels_2", DATE(2011,5,1)]|=U156</t>
  </si>
  <si>
    <t>Cost_Services_Supplies_Hr["Practice_Areas.Practice_1", "Prof_Staff_Types.Prof_Level_1", "Supply_Types.Supply_Type_1", "Channels.Channels_1", DATE(2010,4,1)]|=H161</t>
  </si>
  <si>
    <t>Office Rent ($/sqf/Yr)</t>
  </si>
  <si>
    <t>(Ranges)'!Revenue_Channel_Channels_Channels_2_Practice_Areas_Practice_1_Prof_Staff_Types_Prof_Level_2</t>
  </si>
  <si>
    <t>Sales_Lead_Hrs_New["Sales_Lead_Quality.Lead_Qual_1", "Practice_Areas.Practice_2", "Prof_Staff_Types.Prof_Level_2", "Channels.Channels_2", DATE(2010,6,1)]|=2*J75-I75</t>
  </si>
  <si>
    <t>Loss Carry Forward</t>
  </si>
  <si>
    <t>Income Tax Rate</t>
  </si>
  <si>
    <t>Sales_Lead_Hrs_Conv_pct_Yr["Sales_Lead_Quality.Lead_Qual_2", "Practice_Areas.Practice_2", "Prof_Staff_Types.Prof_Level_2", "Channels.Channels_2", DATE(2010,5,1)]|=I103</t>
  </si>
  <si>
    <t>Office_Utilities_Rate_Yr[DATE(2010,10,1)]|=N306</t>
  </si>
  <si>
    <t>Practice_Dev_pct_Capd["Practice_Areas.Practice_2", DATE(2010,9,1)]|=M396</t>
  </si>
  <si>
    <t>Practice_Dev_Sup_Staff_Count["Practice_Areas.Practice_1", "Depts.Sales", "Sup_Staff_Levels.Manager", DATE(2010,8,1)]|=L293</t>
  </si>
  <si>
    <t>if(Wage_Incr_AnnualQ, (1+Sup_Staff_Wage_incr_pct)^(1/periods_per("year"))-1, Sup_Staff_Wage_incr_pct)</t>
  </si>
  <si>
    <t>Prof_Staff_Targ_Util_pct["Practice_Areas.Practice_1", "Prof_Staff_Types.Prof_Level_2", DATE(2010,9,1)]|=M190</t>
  </si>
  <si>
    <t>:A:0:Cash_Sources</t>
  </si>
  <si>
    <t>(Ranges)'!Gross_Margin_Channel_Channels_Channels_2_Practice_Areas_Practice_2</t>
  </si>
  <si>
    <t>(Tables)'!Prof_Staff_Hrs_Engage_Practice_Areas_Practice_1_Prof_Staff_Types_Prof_Level_1</t>
  </si>
  <si>
    <t>:A:0:Ident_Engage_Channel</t>
  </si>
  <si>
    <t>:D:1:Konst</t>
  </si>
  <si>
    <t>Sup_Staff_Turnover_pct_Yr/periods_per("year")*Sup_Staff_Count</t>
  </si>
  <si>
    <t>:A:-1:Prof_Staff_Hrs_Billed_Growth_Channel_display</t>
  </si>
  <si>
    <t>Date on which each tagged asset was purchased</t>
  </si>
  <si>
    <t>Engage!Engage_Hrs_Billed_Engagements</t>
  </si>
  <si>
    <t>Prof_Staff_Bonus_pct["Practice_Areas.Practice_1", "Prof_Staff_Types.Prof_Level_2", DATE(2010,12,1)]|=P216</t>
  </si>
  <si>
    <t>Orders_Filled_Hrs_pct["Practice_Areas.Practice_2", "Prof_Staff_Types.Prof_Level_2", "Channels.Channels_1", DATE(2010,3,1)]|=G128</t>
  </si>
  <si>
    <t>(Ranges)'!Operating_Exp_Depts_Marketing_OpExpType_Facil_Util_Exp</t>
  </si>
  <si>
    <t>Long_Loans[DATE(2010,4,1)]|=I421</t>
  </si>
  <si>
    <t>:A:-1:Revenue_per_Prof_Staff</t>
  </si>
  <si>
    <t>Orders_Filled_Hrs_pct["Practice_Areas.Practice_1", "Prof_Staff_Types.Prof_Level_1", "Channels.Channels_1", DATE(2010,11,1)]|=O122</t>
  </si>
  <si>
    <t>Orders_Filled_Hrs</t>
  </si>
  <si>
    <t>Practice_Areas, Channels, Dir_Cost_Types.Direct_Supplies</t>
  </si>
  <si>
    <t>(Tables)'!Engage_Hrs_pct_Billed_ET_Engage_Time_Period_1_Engagements</t>
  </si>
  <si>
    <t>Taxes Payable</t>
  </si>
  <si>
    <t>Sales_Lead_Hrs_New["Sales_Lead_Quality.Lead_Qual_1", "Practice_Areas.Practice_1", "Prof_Staff_Types.Prof_Level_2", "Channels.Channels_2", DATE(2010,6,1)]|=2*J71-I71</t>
  </si>
  <si>
    <t>Sales_Lead_Hrs_New["Sales_Lead_Quality.Lead_Qual_1", "Practice_Areas.Practice_1", "Prof_Staff_Types.Prof_Level_1", "Channels.Channels_2", DATE(2011,1,1)]|=2*Q69-P69</t>
  </si>
  <si>
    <t>Mktg_Pgms_Exp_Early["Mktg_Pgms.Publications", "Practice_Areas.Practice_2", DATE(2010,10,1)]|=N279</t>
  </si>
  <si>
    <t>:A:0:Orders_Filled_Hrs1</t>
  </si>
  <si>
    <t>Prof_Fee_Discount_pct["Practice_Areas.Practice_1", "Prof_Staff_Types.Prof_Level_2", DATE(2010,11,1)]|=O144</t>
  </si>
  <si>
    <t>Cost - Supplies</t>
  </si>
  <si>
    <t>Billing Rates (Nominal )</t>
  </si>
  <si>
    <t>Engage_Hrs_Applied_ET["Engagements.Engage_1", "Prof_Staff_Types.Prof_Level_1", "Engage_Time.Period_3"]|=if('(Tables)'!B44&lt;=G20, F24*F20*1/G20+F24*F20*min(1, max(-1, G24))*2*'(Tables)'!B44/G20/G20+F24*F20*min(1, max(-1, G24))*(-1)/G20/G20+F24*F20*min(1, max(-1, G24))*(-1)/G20, 0*F20/G20)</t>
  </si>
  <si>
    <t>Prof_Fees_per_Hr_Nominal["Practice_Areas.Practice_2", "Prof_Staff_Types.Prof_Level_2", DATE(2011,5,1)]|=U141</t>
  </si>
  <si>
    <t>Sales_Lead_Hrs_New["Sales_Lead_Quality.Lead_Qual_1", "Practice_Areas.Practice_2", "Prof_Staff_Types.Prof_Level_1", "Channels.Channels_1", DATE(2011,3,1)]|=2*S72-R72</t>
  </si>
  <si>
    <t>Accts_Pay_Targ_Days["Accts_Pay_Type.Tax_Pay", DATE(2010,2,1)]|=G412</t>
  </si>
  <si>
    <t>:A:-1:Recruit_Exp_pct_Comp_Prof</t>
  </si>
  <si>
    <t>:A:-1:Tagged_Assets</t>
  </si>
  <si>
    <t>Orders_Filled_Hrs_pct["Practice_Areas.Practice_1", "Prof_Staff_Types.Prof_Level_1", "Channels.Channels_2", DATE(2010,9,1)]|=M123</t>
  </si>
  <si>
    <t>Sales_Lead_Hrs_Conv_pct_Yr["Sales_Lead_Quality.Lead_Qual_1", "Practice_Areas.Practice_2", "Prof_Staff_Types.Prof_Level_1", "Channels.Channels_2", DATE(2010,11,1)]|=O93</t>
  </si>
  <si>
    <t>Cost_Services_TandE_Hr["Practice_Areas.Practice_1", "Prof_Staff_Types.Prof_Level_2", "Channels.Channels_1", DATE(2010,9,1)]|=M155</t>
  </si>
  <si>
    <t>Inputs!Engage_Hrs_Applied_ET_Engage_Time_Period_4_Engagements_Engage_2_Prof_Staff_Types_Prof_Level_1</t>
  </si>
  <si>
    <t>Constant</t>
  </si>
  <si>
    <t>:A:-1:G_A_Exp_Ratio</t>
  </si>
  <si>
    <t>Engage_Discount_pct["Engagements.Engage_1", DATE(2011,5,1)]|=U148</t>
  </si>
  <si>
    <t>Cogs_Types</t>
  </si>
  <si>
    <t>Orders_Filled</t>
  </si>
  <si>
    <t>IRR_no_Tail_Yr</t>
  </si>
  <si>
    <t>Orders_Filled_Hrs_pct["Practice_Areas.Practice_2", "Prof_Staff_Types.Prof_Level_1", "Channels.Channels_2", DATE(2010,5,1)]|=I127</t>
  </si>
  <si>
    <t>Sales_Lead_Hrs_New["Sales_Lead_Quality.Lead_Qual_2", "Practice_Areas.Practice_1", "Prof_Staff_Types.Prof_Level_2", "Channels.Channels_1", DATE(2011,2,1)]|=2*R78-Q78</t>
  </si>
  <si>
    <t>Chg_Accts_Rec</t>
  </si>
  <si>
    <t>Debt_Ratio</t>
  </si>
  <si>
    <t>Sup_Staff_Count_Early["Depts.Marketing", "Sup_Staff_Levels.Contributor", DATE(2010,5,1)]|=I198</t>
  </si>
  <si>
    <t>Prof_Staff_Benefits_pct["Prof_Staff_Types.Prof_Level_1", DATE(2010,3,1)]|=G220</t>
  </si>
  <si>
    <t>2*preve(0)-preve(preve(0), Sales_Lead_Hrs_New, 2)</t>
  </si>
  <si>
    <t>Sales_Lead_Hrs_Expire_pct_Yr["Sales_Lead_Quality.Lead_Qual_2", "Practice_Areas.Practice_2", "Prof_Staff_Types.Prof_Level_1", "Channels.Channels_1", DATE(2011,6,1)]|=V117</t>
  </si>
  <si>
    <t>Sales_Lead_Hrs_New["Sales_Lead_Quality.Lead_Qual_2", "Practice_Areas.Practice_2", "Prof_Staff_Types.Prof_Level_2", "Channels.Channels_1", DATE(2010,9,1)]|=2*M82-L82</t>
  </si>
  <si>
    <t>Cost_Services_TandE_Hr["Practice_Areas.Practice_1", "Prof_Staff_Types.Prof_Level_1", "Channels.Channels_1", DATE(2010,10,1)]|=N153</t>
  </si>
  <si>
    <t>Sales_Lead_Hrs_New["Sales_Lead_Quality.Lead_Qual_1", "Practice_Areas.Practice_2", "Prof_Staff_Types.Prof_Level_2", "Channels.Channels_1", DATE(2011,1,1)]|=2*Q74-P74</t>
  </si>
  <si>
    <t>Engage!Orders_Filled_Practice_Areas_Practice_2_Prof_Staff_Types_Prof_Level_1_Channels_Channels_2</t>
  </si>
  <si>
    <t>Sales_Lead_Hrs_Expire_pct_Yr["Sales_Lead_Quality.Lead_Qual_2", "Practice_Areas.Practice_2", "Prof_Staff_Types.Prof_Level_1", "Channels.Channels_2", DATE(2010,8,1)]|=L118</t>
  </si>
  <si>
    <t>Sales_Lead_Hrs_New["Sales_Lead_Quality.Lead_Qual_1", "Practice_Areas.Practice_1", "Prof_Staff_Types.Prof_Level_2", "Channels.Channels_1", DATE(2010,2,1)]|=2*F70-F70</t>
  </si>
  <si>
    <t>(Tables)'!Engage_Hrs_Applied_ET_Engage_Time_Period_3</t>
  </si>
  <si>
    <t>Prof_Staff_Benefits_pct["Prof_Staff_Types.Prof_Level_1", DATE(2010,10,1)]|=N220</t>
  </si>
  <si>
    <t>:D:1:Supply_Types</t>
  </si>
  <si>
    <t>Sales_Lead_Hrs_Conv_pct_Yr["Sales_Lead_Quality.Lead_Qual_1", "Practice_Areas.Practice_1", "Prof_Staff_Types.Prof_Level_1", "Channels.Channels_1", DATE(2010,10,1)]|=N88</t>
  </si>
  <si>
    <t>Inputs!Engage_Hrs_pct_Billed_ET_Engage_Time_Period_1_Engagements_Engage_1_Prof_Staff_Types_Prof_Level_1</t>
  </si>
  <si>
    <t>Prof_Staff_Hrs_Billed_Growth_Channel</t>
  </si>
  <si>
    <t>Accts_Pay_Targ_Days["Accts_Pay_Type.Vendor_Pay", DATE(2010,12,1)]|=Q410</t>
  </si>
  <si>
    <t>Cost_Services_Supplies_Hr["Practice_Areas.Practice_2", "Prof_Staff_Types.Prof_Level_1", "Supply_Types.Supply_Type_1", "Channels.Channels_2", DATE(2010,2,1)]|=F170</t>
  </si>
  <si>
    <t>Purchases of untagged assets 
1) before the start of model time
2) per new employee
3) ANNUAL purchases per existing employee,
all segmented by long asset type</t>
  </si>
  <si>
    <t>Cost_Services_Supplies_Hr["Practice_Areas.Practice_2", "Prof_Staff_Types.Prof_Level_2", "Supply_Types.Supply_Type_1", "Channels.Channels_1", DATE(2010,12,1)]|=P173</t>
  </si>
  <si>
    <t>Cost_Services_Supplies_Hr["Practice_Areas.Practice_2", "Prof_Staff_Types.Prof_Level_2", "Supply_Types.Supply_Type_2", "Channels.Channels_2", DATE(2011,4,1)]|=T176</t>
  </si>
  <si>
    <t>Sales_Lead_Hrs_Expire_pct_Yr["Sales_Lead_Quality.Lead_Qual_1", "Practice_Areas.Practice_1", "Prof_Staff_Types.Prof_Level_1", "Channels.Channels_1", DATE(2011,2,1)]|=R105</t>
  </si>
  <si>
    <t>Per_Sup_Staff_Exp_Yr["Depts.Sales", "Empl_Rel_Exp_Type.Supplies", DATE(2011,1,1)]|=Q329</t>
  </si>
  <si>
    <t>Sales_Lead_Hrs_Conv_pct_Yr["Sales_Lead_Quality.Lead_Qual_1", "Practice_Areas.Practice_2", "Prof_Staff_Types.Prof_Level_2", "Channels.Channels_2", DATE(2010,2,1)]|=F95</t>
  </si>
  <si>
    <t>(Ranges)'!Liabilities_Liabilities</t>
  </si>
  <si>
    <t>:A:-1:Return_on_Assets</t>
  </si>
  <si>
    <t>(Tables)'!Prof_Staff_Hrs_Engage_Practice_Areas_Practice_2_Prof_Staff_Types_Prof_Level_1_Channels_Channels_2</t>
  </si>
  <si>
    <t>:D:-1:Depts</t>
  </si>
  <si>
    <t>Sup_Staff_Bonus_pct["Depts.Sales", "Sup_Staff_Levels.Manager", DATE(2011,5,1)]|=U235</t>
  </si>
  <si>
    <t>Prof_Fees_per_Hr_Nominal["Practice_Areas.Practice_2", "Prof_Staff_Types.Prof_Level_1", DATE(2010,5,1)]|=I140</t>
  </si>
  <si>
    <t>(Ranges)'!Prof_Staff_Hrs_Unbilled_Channel_Practice_Areas_Practice_2_Prof_Staff_Types</t>
  </si>
  <si>
    <t>Prof_Fees_per_Hr_Nominal["Practice_Areas.Practice_1", "Prof_Staff_Types.Prof_Level_1", DATE(2010,8,1)]|=L138</t>
  </si>
  <si>
    <t>Change in inventory from the previous period. The model has a variable for this because (a) this amount will be displayed in the cash flow statement worksheet, and (b) this amount is used in several formulas so it is convenient to store it in a variable.</t>
  </si>
  <si>
    <t>Sup_Staff_Bonus_pct["Depts.Sales", "Sup_Staff_Levels.Manager", DATE(2010,3,1)]|=G235</t>
  </si>
  <si>
    <t>Gross margin amount, segmented by Practice Area, Professional Staff Type, Channel, and time period. Unapplied professional staff time is deducted in the computation.</t>
  </si>
  <si>
    <t xml:space="preserve">  GA_Exp_1</t>
  </si>
  <si>
    <t>Interest_Rate_Short_Yr[DATE(2010,1,1)]|=0</t>
  </si>
  <si>
    <t>Practice_Area["Engagements.Engage_2"]|="Practice 1"</t>
  </si>
  <si>
    <t>Revenue-Cost_Services-Prof_Staff_Cost_Unapplied</t>
  </si>
  <si>
    <t>Office_Space_per_Person[DATE(2010,6,1)]|=J304</t>
  </si>
  <si>
    <t>Sales_Lead_Hrs_Conv_pct_Yr["Sales_Lead_Quality.Lead_Qual_1", "Practice_Areas.Practice_1", "Prof_Staff_Types.Prof_Level_2", "Channels.Channels_1", DATE(2011,5,1)]|=U90</t>
  </si>
  <si>
    <t>Sales_Lead_Hrs_Conv_pct_Yr["Sales_Lead_Quality.Lead_Qual_2", "Practice_Areas.Practice_1", "Prof_Staff_Types.Prof_Level_1", "Channels.Channels_2", DATE(2011,5,1)]|=U97</t>
  </si>
  <si>
    <t>:A:-1:Purchases_Supplies</t>
  </si>
  <si>
    <t>:D:2:Mktg_Pgms</t>
  </si>
  <si>
    <t>Prof_Staff_Count_Early["Practice_Areas.Practice_1", "Prof_Staff_Types.Prof_Level_2", DATE(2010,10,1)]|=N185</t>
  </si>
  <si>
    <t>Engage!Engage_Cost_Supplies_Engagements_Engage_1_Prof_Staff_Types_Prof_Level_2_Supply_Types_Supply_Type_2</t>
  </si>
  <si>
    <t>ifm(Time&lt;0.99, 0, if(sum(ranget(Net_Income, date(year(current_date(1))-1, month(current_date(1)), day(current_date(1))+1), current_date(1)))=0, 0, Valuation_Equity/sum(ranget(Net_Income, date(year(current_date(1))-1, month(current_date(1)), day(current_date(1))+1), current_date(1)))))</t>
  </si>
  <si>
    <t>Practice_Dev_Prof_Staff_Count["Practice_Areas.Practice_1", "Prof_Staff_Types.Prof_Level_2", DATE(2010,4,1)]|=H287</t>
  </si>
  <si>
    <t>Sales_Lead_Hrs_New["Sales_Lead_Quality.Lead_Qual_1", "Practice_Areas.Practice_1", "Prof_Staff_Types.Prof_Level_1", "Channels.Channels_1", DATE(2011,6,1)]|=2*V68-U68</t>
  </si>
  <si>
    <t>Prof_Fees_per_Hr_Nominal["Practice_Areas.Practice_2", "Prof_Staff_Types.Prof_Level_2", DATE(2011,6,1)]|=V141</t>
  </si>
  <si>
    <t>Orders_Filled_Hrs_pct["Practice_Areas.Practice_2", "Prof_Staff_Types.Prof_Level_2", "Channels.Channels_1", DATE(2011,1,1)]|=Q128</t>
  </si>
  <si>
    <t>Mktg_Pgms_Exp_Early["Mktg_Pgms.Seminars", "Practice_Areas.Practice_2", DATE(2010,3,1)]|=G277</t>
  </si>
  <si>
    <t>:A:0:IRR_w_Tail_Yr</t>
  </si>
  <si>
    <t>Practice_Dev_pct_Capd["Practice_Areas.Practice_2", DATE(2010,7,1)]|=K396</t>
  </si>
  <si>
    <t>:A:0:Sup_Staff_Count_K</t>
  </si>
  <si>
    <t>Orders_Filled_Hrs_pct["Practice_Areas.Practice_1", "Prof_Staff_Types.Prof_Level_1", "Channels.Channels_2", DATE(2011,6,1)]|=V123</t>
  </si>
  <si>
    <t>Cost_Services_Supplies_Hr["Practice_Areas.Practice_1", "Prof_Staff_Types.Prof_Level_1", "Supply_Types.Supply_Type_2", "Channels.Channels_2", DATE(2011,5,1)]|=U164</t>
  </si>
  <si>
    <t>(Tables)'!Prof_Staff_Hrs_Engage_Practice_Areas</t>
  </si>
  <si>
    <t>Prof_Staff_Salary_incr_pct["Prof_Staff_Types.Prof_Level_1", DATE(2011,3,1)]|=S212</t>
  </si>
  <si>
    <t>Cost_Services_Supplies_Hr["Practice_Areas.Practice_1", "Prof_Staff_Types.Prof_Level_1", "Supply_Types.Supply_Type_2", "Channels.Channels_1", DATE(2011,6,1)]|=V163</t>
  </si>
  <si>
    <t>Prof_Staff_Count_Early["Practice_Areas.Practice_1", "Prof_Staff_Types.Prof_Level_2", DATE(2011,3,1)]|=S185</t>
  </si>
  <si>
    <t>Sales_Lead_Hrs_Expire_pct_Yr["Sales_Lead_Quality.Lead_Qual_1", "Practice_Areas.Practice_2", "Prof_Staff_Types.Prof_Level_1", "Channels.Channels_2", DATE(2010,3,1)]|=G110</t>
  </si>
  <si>
    <t>:A:-1:Discount_Rate</t>
  </si>
  <si>
    <t>Wage increase %</t>
  </si>
  <si>
    <t>Depreciation method for each tagged asset. Choose one of SLN, SYD, DDB, or None.</t>
  </si>
  <si>
    <t>Practice_Dev_Prof_Staff_Count["Practice_Areas.Practice_1", "Prof_Staff_Types.Prof_Level_1", DATE(2011,2,1)]|=R286</t>
  </si>
  <si>
    <t>Sup_Staff_Bonus_pct["Depts.Marketing", "Sup_Staff_Levels.Contributor", DATE(2011,6,1)]|=V234</t>
  </si>
  <si>
    <t>Practice_Dev_pct_Capd["Practice_Areas.Practice_1", DATE(2011,5,1)]|=U395</t>
  </si>
  <si>
    <t>Sales_Lead_Hrs_Expire_pct_Yr["Sales_Lead_Quality.Lead_Qual_1", "Practice_Areas.Practice_2", "Prof_Staff_Types.Prof_Level_1", "Channels.Channels_1", DATE(2010,3,1)]|=G109</t>
  </si>
  <si>
    <t>Discount_Factor</t>
  </si>
  <si>
    <t>Cost_Services_Supplies_Hr["Practice_Areas.Practice_1", "Prof_Staff_Types.Prof_Level_2", "Supply_Types.Supply_Type_1", "Channels.Channels_2", DATE(2011,2,1)]|=R166</t>
  </si>
  <si>
    <t>Sales_Lead_Hrs_Expire_pct_Yr["Sales_Lead_Quality.Lead_Qual_2", "Practice_Areas.Practice_1", "Prof_Staff_Types.Prof_Level_2", "Channels.Channels_2", DATE(2010,1,1)]|=0.30</t>
  </si>
  <si>
    <t>Income tax expense for each time period</t>
  </si>
  <si>
    <t>Change in long-term debt from the previous period, including loans and bonds. The model has a variable for this because (a) this amount will be displayed in the cash flow statement worksheet, and (b) this amount is used in several formulas so it is convenient to store it in a variable.</t>
  </si>
  <si>
    <t>Interest_Rate_Long_Yr[DATE(2011,2,1)]|=R340</t>
  </si>
  <si>
    <t>Accts Receivable Days</t>
  </si>
  <si>
    <t>Cost_Services_TandE_Hr["Practice_Areas.Practice_1", "Prof_Staff_Types.Prof_Level_2", "Channels.Channels_1", DATE(2011,2,1)]|=R155</t>
  </si>
  <si>
    <t>Cost_Services_TandE_Hr["Practice_Areas.Practice_2", "Prof_Staff_Types.Prof_Level_1", "Channels.Channels_2", DATE(2010,8,1)]|=L158</t>
  </si>
  <si>
    <t>Tagged_Asset_Purch_Date["Asset_Tags.Building_A"]|='(FnCalls 1)'!A59</t>
  </si>
  <si>
    <t>Sales_Lead_Hrs_Expire_pct_Yr["Sales_Lead_Quality.Lead_Qual_1", "Practice_Areas.Practice_1", "Prof_Staff_Types.Prof_Level_1", "Channels.Channels_1", DATE(2010,5,1)]|=I105</t>
  </si>
  <si>
    <t>Sales_Lead_Hrs_Conv_pct_Yr["Sales_Lead_Quality.Lead_Qual_2", "Practice_Areas.Practice_1", "Prof_Staff_Types.Prof_Level_2", "Channels.Channels_1", DATE(2010,3,1)]|=G98</t>
  </si>
  <si>
    <t>nexte(1)*Cash_Flow_Expect_Factor^(1/periods_per("year"))</t>
  </si>
  <si>
    <t>Practice_Dev_Prof_Staff_Count["Practice_Areas.Practice_1", "Prof_Staff_Types.Prof_Level_1", DATE(2010,2,1)]|=F286</t>
  </si>
  <si>
    <t>:D:1:Empl_Rel_Exp_Type</t>
  </si>
  <si>
    <t>Sales_Lead_Hrs_Conv_pct_Yr["Sales_Lead_Quality.Lead_Qual_1", "Practice_Areas.Practice_1", "Prof_Staff_Types.Prof_Level_1", "Channels.Channels_1", DATE(2010,1,1)]|=0.50</t>
  </si>
  <si>
    <t>:A:0:Chg_Short_Debt</t>
  </si>
  <si>
    <t>Cost_Services_Supplies_Hr["Practice_Areas.Practice_2", "Prof_Staff_Types.Prof_Level_2", "Supply_Types.Supply_Type_1", "Channels.Channels_2", DATE(2010,10,1)]|=N174</t>
  </si>
  <si>
    <t>Office Equip</t>
  </si>
  <si>
    <t>Cash_Flow_Expect_Factor[DATE(2011,5,1)]|=U439</t>
  </si>
  <si>
    <t>Cost_Services_TandE_Hr["Practice_Areas.Practice_1", "Prof_Staff_Types.Prof_Level_1", "Channels.Channels_1", DATE(2010,12,1)]|=P153</t>
  </si>
  <si>
    <t xml:space="preserve">  Employee_Rel_Exp</t>
  </si>
  <si>
    <t>Sales_Lead_Hrs_Expire_pct_Yr["Sales_Lead_Quality.Lead_Qual_1", "Practice_Areas.Practice_1", "Prof_Staff_Types.Prof_Level_1", "Channels.Channels_2", DATE(2010,11,1)]|=O106</t>
  </si>
  <si>
    <t>Sales_Lead_Hrs_Expire_pct_Yr["Sales_Lead_Quality.Lead_Qual_1", "Practice_Areas.Practice_2", "Prof_Staff_Types.Prof_Level_2", "Channels.Channels_1", DATE(2010,11,1)]|=O111</t>
  </si>
  <si>
    <t>Sup_Staff_Count_Early["Depts.Sales", "Sup_Staff_Levels.Contributor", DATE(2010,11,1)]|=O200</t>
  </si>
  <si>
    <t>Employee-Related</t>
  </si>
  <si>
    <t>Prof_Fees_per_Hr_Nominal["Practice_Areas.Practice_2", "Prof_Staff_Types.Prof_Level_1", DATE(2010,6,1)]|=J140</t>
  </si>
  <si>
    <t>Long_Loans[DATE(2010,2,1)]|=G421</t>
  </si>
  <si>
    <t>Sup_Staff_Wage_incr_pct["Sup_Staff_Levels.Contributor", DATE(2010,10,1)]|=N231</t>
  </si>
  <si>
    <t>Discount_Rate_Direct_Yr[DATE(2010,4,1)]|=H348</t>
  </si>
  <si>
    <t>Cost_Services_Supplies_Hr["Practice_Areas.Practice_2", "Prof_Staff_Types.Prof_Level_1", "Supply_Types.Supply_Type_1", "Channels.Channels_2", DATE(2010,7,1)]|=K170</t>
  </si>
  <si>
    <t>Employee Rel Exp Type</t>
  </si>
  <si>
    <t>Sup_Staff_Count_Early["Depts.Sales", "Sup_Staff_Levels.Manager", DATE(2010,6,1)]|=J199</t>
  </si>
  <si>
    <t>:D:-1:Accts_Pay_Type</t>
  </si>
  <si>
    <t>Prof_Staff_Bonus_pct["Practice_Areas.Practice_2", "Prof_Staff_Types.Prof_Level_2", DATE(2010,1,1)]|=0</t>
  </si>
  <si>
    <t>Cost_Services_Supplies_Hr["Practice_Areas.Practice_2", "Prof_Staff_Types.Prof_Level_1", "Supply_Types.Supply_Type_1", "Channels.Channels_2", DATE(2011,1,1)]|=Q170</t>
  </si>
  <si>
    <t>Per_Sup_Staff_Exp_Yr["Depts.Sales", "Empl_Rel_Exp_Type.Supplies", DATE(2011,4,1)]|=T329</t>
  </si>
  <si>
    <t>Cost_Services_Supplies_Hr["Practice_Areas.Practice_1", "Prof_Staff_Types.Prof_Level_2", "Supply_Types.Supply_Type_1", "Channels.Channels_1", DATE(2010,5,1)]|=I165</t>
  </si>
  <si>
    <t>Sales_Lead_Hrs_New["Sales_Lead_Quality.Lead_Qual_2", "Practice_Areas.Practice_1", "Prof_Staff_Types.Prof_Level_2", "Channels.Channels_1", DATE(2010,3,1)]|=2*G78-F78</t>
  </si>
  <si>
    <t>Prof_Fee_Discount_pct["Practice_Areas.Practice_1", "Prof_Staff_Types.Prof_Level_2", DATE(2010,12,1)]|=P144</t>
  </si>
  <si>
    <t>Cost_Services_Supplies</t>
  </si>
  <si>
    <t>Accts_Payable_Initial["Accts_Pay_Type.Payroll_Pay"]|=0/3</t>
  </si>
  <si>
    <t>Prof_Staff_Hrs_Engage</t>
  </si>
  <si>
    <t>Engage!Engage_Cost_Supplies_Engagements_Engage_2_Prof_Staff_Types_Prof_Level_1_Supply_Types</t>
  </si>
  <si>
    <t>:A:0:Prof_Staff_Hrs_Billed_Growth_Channel_display</t>
  </si>
  <si>
    <t>Cost_Services_Supplies_Hr["Practice_Areas.Practice_1", "Prof_Staff_Types.Prof_Level_2", "Supply_Types.Supply_Type_1", "Channels.Channels_2", DATE(2010,1,1)]|=0</t>
  </si>
  <si>
    <t>Prof_Staff_Salary_incr_pct["Prof_Staff_Types.Prof_Level_2", DATE(2011,6,1)]|=V213</t>
  </si>
  <si>
    <t>Mktg Pgms 1</t>
  </si>
  <si>
    <t>Long Interest Rate (Yr)</t>
  </si>
  <si>
    <t>Prof_Fee_Discount_pct["Practice_Areas.Practice_2", "Prof_Staff_Types.Prof_Level_1", DATE(2011,5,1)]|=U145</t>
  </si>
  <si>
    <t>Sales_Commis_Rate[DATE(2010,10,1)]|=N246</t>
  </si>
  <si>
    <t>Channels, Practice_Areas, Dir_Cost_Types.Direct_Supplies</t>
  </si>
  <si>
    <t>:A:-1:Paid_In_Capital</t>
  </si>
  <si>
    <t>Prof_Staff_Hrs_Billed_Growth_Channel_display</t>
  </si>
  <si>
    <t>Sales_Lead_Hrs_Expire_pct_Yr["Sales_Lead_Quality.Lead_Qual_1", "Practice_Areas.Practice_1", "Prof_Staff_Types.Prof_Level_1", "Channels.Channels_2", DATE(2011,2,1)]|=R106</t>
  </si>
  <si>
    <t>Office_Rent_Rate_Yr[DATE(2010,1,1)]|=0</t>
  </si>
  <si>
    <t>Interest_Rate_Long_Yr[DATE(2011,3,1)]|=S340</t>
  </si>
  <si>
    <t>Cost_Services_Supplies_Hr["Practice_Areas.Practice_2", "Prof_Staff_Types.Prof_Level_2", "Supply_Types.Supply_Type_2", "Channels.Channels_1", DATE(2011,3,1)]|=S175</t>
  </si>
  <si>
    <t>ifm(Time&lt;1/periods_per("year")+0.001, 0, prev())</t>
  </si>
  <si>
    <t>Practice_Dev_Prof_Staff_Count["Practice_Areas.Practice_2", "Prof_Staff_Types.Prof_Level_1", DATE(2010,10,1)]|=N288</t>
  </si>
  <si>
    <t>Practice_Dev_Prof_Staff_Count["Practice_Areas.Practice_1", "Prof_Staff_Types.Prof_Level_1", DATE(2010,11,1)]|=O286</t>
  </si>
  <si>
    <t>Sales_Lead_Hrs_Conv_pct_Yr["Sales_Lead_Quality.Lead_Qual_1", "Practice_Areas.Practice_1", "Prof_Staff_Types.Prof_Level_1", "Channels.Channels_1", DATE(2010,3,1)]|=G88</t>
  </si>
  <si>
    <t>Sales_Lead_Hrs_Expire_pct_Yr["Sales_Lead_Quality.Lead_Qual_2", "Practice_Areas.Practice_1", "Prof_Staff_Types.Prof_Level_2", "Channels.Channels_2", DATE(2010,11,1)]|=O116</t>
  </si>
  <si>
    <t>(Ranges)'!Operating_Exp_Depts_Marketing_OpExpType</t>
  </si>
  <si>
    <t>(Ranges)'!Practice_Dev_Prof_Staff_Hrs_Practice_Areas_Practice_2</t>
  </si>
  <si>
    <t>Prof_Staff_Bonus_pct["Practice_Areas.Practice_1", "Prof_Staff_Types.Prof_Level_2", DATE(2010,2,1)]|=F216</t>
  </si>
  <si>
    <t>Long_Assets</t>
  </si>
  <si>
    <t>:A:-1:Interest_Rate_Earned_Cash_Yr</t>
  </si>
  <si>
    <t>Sup_Staff_Count_Early["Depts.Marketing", "Sup_Staff_Levels.Manager", DATE(2010,6,1)]|=J197</t>
  </si>
  <si>
    <t>Sales_Lead_Hrs_Expire_pct_Yr["Sales_Lead_Quality.Lead_Qual_2", "Practice_Areas.Practice_2", "Prof_Staff_Types.Prof_Level_2", "Channels.Channels_1", DATE(2010,4,1)]|=H119</t>
  </si>
  <si>
    <t>Recruit_Exp_pct_Comp_Sup["Depts.Marketing", "Sup_Staff_Levels.Contributor"]|=0</t>
  </si>
  <si>
    <t>Sup_Staff_Count_Early["Depts.Sales", "Sup_Staff_Levels.Manager", DATE(2011,5,1)]|=U199</t>
  </si>
  <si>
    <t>Cost_Services_Supplies_Hr["Practice_Areas.Practice_2", "Prof_Staff_Types.Prof_Level_1", "Supply_Types.Supply_Type_2", "Channels.Channels_1", DATE(2010,9,1)]|=M171</t>
  </si>
  <si>
    <t>Revenue_Growth_display</t>
  </si>
  <si>
    <t>:A:0:Sup_Staff_Count_Early</t>
  </si>
  <si>
    <t>Orders_Filled_Hrs_pct["Practice_Areas.Practice_1", "Prof_Staff_Types.Prof_Level_2", "Channels.Channels_1", DATE(2011,1,1)]|=Q124</t>
  </si>
  <si>
    <t>(Tables)'!Engage_Hrs_pct_Billed_ET_Engage_Time_Period_2_Engagements_Engage_1_Prof_Staff_Types</t>
  </si>
  <si>
    <t>Per_Prof_Staff_Exp_Yr["Prof_Staff_Types.Prof_Level_2", "Empl_Rel_Exp_Type.Other", DATE(2010,2,1)]|=F324</t>
  </si>
  <si>
    <t>:A:0:Engage_Discount_pct</t>
  </si>
  <si>
    <t>Per_Prof_Staff_Exp_Yr["Prof_Staff_Types.Prof_Level_1", "Empl_Rel_Exp_Type.Other", DATE(2011,4,1)]|=T321</t>
  </si>
  <si>
    <t>Orders_Filled_Hrs_pct["Practice_Areas.Practice_1", "Prof_Staff_Types.Prof_Level_2", "Channels.Channels_2", DATE(2011,4,1)]|=T125</t>
  </si>
  <si>
    <t>:A:-1:Ident_Engage_Channel</t>
  </si>
  <si>
    <t>Per_Prof_Staff_Exp_Yr["Prof_Staff_Types.Prof_Level_1", "Empl_Rel_Exp_Type.Supplies", DATE(2011,5,1)]|=U319</t>
  </si>
  <si>
    <t>Prof_Staff_Count_Early["Practice_Areas.Practice_2", "Prof_Staff_Types.Prof_Level_1", DATE(2011,4,1)]|=T186</t>
  </si>
  <si>
    <t>Sales_Lead_Hrs_Conv_pct_Yr["Sales_Lead_Quality.Lead_Qual_1", "Practice_Areas.Practice_2", "Prof_Staff_Types.Prof_Level_1", "Channels.Channels_2", DATE(2010,8,1)]|=L93</t>
  </si>
  <si>
    <t>(Ranges)'!Revenue_Channel_Channels_Channels_1_Practice_Areas</t>
  </si>
  <si>
    <t>Sales_Lead_Hrs_Conv_pct_Yr["Sales_Lead_Quality.Lead_Qual_1", "Practice_Areas.Practice_2", "Prof_Staff_Types.Prof_Level_1", "Channels.Channels_1", DATE(2010,10,1)]|=N92</t>
  </si>
  <si>
    <t>Long_Loans[DATE(2011,3,1)]|=T421</t>
  </si>
  <si>
    <t>:A:0:Prof_Staff_Openings</t>
  </si>
  <si>
    <t>Cost_Services_Supplies_Hr["Practice_Areas.Practice_2", "Prof_Staff_Types.Prof_Level_2", "Supply_Types.Supply_Type_2", "Channels.Channels_1", DATE(2010,10,1)]|=N175</t>
  </si>
  <si>
    <t>preve(200)</t>
  </si>
  <si>
    <t>Prof_Staff_Bonus_pct["Practice_Areas.Practice_1", "Prof_Staff_Types.Prof_Level_2", DATE(2011,4,1)]|=T216</t>
  </si>
  <si>
    <t>Sales_Commis_Rate[DATE(2010,3,1)]|=G246</t>
  </si>
  <si>
    <t>Engage_Hrs_Applied*matmult(Ident_Engage_Practice, Prof_Staff_Cost_per_Hr, "Practice_Areas", "Practice_Areas")</t>
  </si>
  <si>
    <t>Sales_Lead_Hrs_New["Sales_Lead_Quality.Lead_Qual_1", "Practice_Areas.Practice_2", "Prof_Staff_Types.Prof_Level_2", "Channels.Channels_1", DATE(2011,3,1)]|=2*S74-R74</t>
  </si>
  <si>
    <t>Per_Sup_Staff_Exp_Yr["Depts.Marketing", "Empl_Rel_Exp_Type.Other", DATE(2010,12,1)]|=P328</t>
  </si>
  <si>
    <t>(Tables)'!Engage_Hrs_pct_Billed_ET_Engage_Time</t>
  </si>
  <si>
    <t>Sup_Staff_Bonus_pct["Depts.Marketing", "Sup_Staff_Levels.Contributor", DATE(2010,12,1)]|=P234</t>
  </si>
  <si>
    <t>Sales_Lead_Hrs_New["Sales_Lead_Quality.Lead_Qual_1", "Practice_Areas.Practice_1", "Prof_Staff_Types.Prof_Level_2", "Channels.Channels_2", DATE(2011,3,1)]|=2*S71-R71</t>
  </si>
  <si>
    <t>Sales_Lead_Hrs_New["Sales_Lead_Quality.Lead_Qual_2", "Practice_Areas.Practice_2", "Prof_Staff_Types.Prof_Level_2", "Channels.Channels_1", DATE(2010,4,1)]|=2*H82-G82</t>
  </si>
  <si>
    <t>Dividend[DATE(2010,7,1)]|=0</t>
  </si>
  <si>
    <t>Cost_Services_Supplies_Hr["Practice_Areas.Practice_1", "Prof_Staff_Types.Prof_Level_2", "Supply_Types.Supply_Type_1", "Channels.Channels_2", DATE(2010,10,1)]|=N166</t>
  </si>
  <si>
    <t>Tagged_Asset_Purch_Date</t>
  </si>
  <si>
    <t>Per_Prof_Staff_Exp_Yr["Prof_Staff_Types.Prof_Level_2", "Empl_Rel_Exp_Type.Travel_Entertain", DATE(2011,2,1)]|=R323</t>
  </si>
  <si>
    <t>Prof_Fee_Discount_pct["Practice_Areas.Practice_2", "Prof_Staff_Types.Prof_Level_1", DATE(2010,1,1)]|=0</t>
  </si>
  <si>
    <t>Prof_Staff_Targ_Util_pct["Practice_Areas.Practice_1", "Prof_Staff_Types.Prof_Level_1", DATE(2010,1,1)]|=0.8</t>
  </si>
  <si>
    <t>Accts_Receivable</t>
  </si>
  <si>
    <t>Sales_Lead_Hrs_New["Sales_Lead_Quality.Lead_Qual_2", "Practice_Areas.Practice_1", "Prof_Staff_Types.Prof_Level_2", "Channels.Channels_1", DATE(2010,4,1)]|=2*H78-G78</t>
  </si>
  <si>
    <t>Cost_Services_Supplies_Hr["Practice_Areas.Practice_2", "Prof_Staff_Types.Prof_Level_1", "Supply_Types.Supply_Type_2", "Channels.Channels_1", DATE(2010,7,1)]|=K171</t>
  </si>
  <si>
    <t>Inputs!Engage_Hrs_Applied_ET_Engage_Time_Period_2_Engagements_Engage_2_Prof_Staff_Types_Prof_Level_1</t>
  </si>
  <si>
    <t>Prof_Staff_Benefits_pct["Prof_Staff_Types.Prof_Level_2", DATE(2010,2,1)]|=F221</t>
  </si>
  <si>
    <t>:D:0:Dir_Cost_Types</t>
  </si>
  <si>
    <t>Depts, OpExpType.Facil_Util_Exp</t>
  </si>
  <si>
    <t>Orders_Filled_Hrs_pct["Practice_Areas.Practice_2", "Prof_Staff_Types.Prof_Level_1", "Channels.Channels_2", DATE(2010,3,1)]|=G127</t>
  </si>
  <si>
    <t>:D:0:Untagged_Asset_Purch_Params.Per_Old_Sup_Staff</t>
  </si>
  <si>
    <t>Practice_Dev_Sup_Staff_Count["Practice_Areas.Practice_1", "Depts.Marketing", "Sup_Staff_Levels.Manager", DATE(2011,1,1)]|=Q291</t>
  </si>
  <si>
    <t>Practice_Dev_Prof_Staff_Count["Practice_Areas.Practice_1", "Prof_Staff_Types.Prof_Level_1", DATE(2010,9,1)]|=M286</t>
  </si>
  <si>
    <t>Per_Sup_Staff_Exp_Yr["Depts.Sales", "Empl_Rel_Exp_Type.Other", DATE(2010,5,1)]|=I331</t>
  </si>
  <si>
    <t>Prof_Staff_Benefits_pct["Prof_Staff_Types.Prof_Level_2", DATE(2010,9,1)]|=M221</t>
  </si>
  <si>
    <t>Interest_Rate_Earned_Cash_Yr</t>
  </si>
  <si>
    <t>Sup Job Level 1</t>
  </si>
  <si>
    <t>Practice_Dev_Sup_Staff_Count["Practice_Areas.Practice_1", "Depts.Marketing", "Sup_Staff_Levels.Manager", DATE(2010,11,1)]|=O291</t>
  </si>
  <si>
    <t>Cost_Services_TandE_Hr["Practice_Areas.Practice_2", "Prof_Staff_Types.Prof_Level_1", "Channels.Channels_2", DATE(2010,4,1)]|=H158</t>
  </si>
  <si>
    <t>Depreciation life of each tagged asset expressed in periods of model time</t>
  </si>
  <si>
    <t>(Ranges)'!Gross_Margin_Channel_Channels_Channels_1_Practice_Areas_Practice_1_Prof_Staff_Types_Prof_Level_2</t>
  </si>
  <si>
    <t>Prof_Staff_Count_Early["Practice_Areas.Practice_1", "Prof_Staff_Types.Prof_Level_1", DATE(2010,2,1)]|=F184</t>
  </si>
  <si>
    <t>Cost_Services_Supplies_Hr["Practice_Areas.Practice_1", "Prof_Staff_Types.Prof_Level_2", "Supply_Types.Supply_Type_1", "Channels.Channels_1", DATE(2011,5,1)]|=U165</t>
  </si>
  <si>
    <t>Cost_Services_Supplies_Hr["Practice_Areas.Practice_1", "Prof_Staff_Types.Prof_Level_1", "Supply_Types.Supply_Type_2", "Channels.Channels_2", DATE(2011,6,1)]|=V164</t>
  </si>
  <si>
    <t>Engage_Hrs_Applied*matmult(Ident_Engage_Practice, Cost_Services_Supplies_Hr, "Practice_Areas", "Practice_Areas")</t>
  </si>
  <si>
    <t>Per_Prof_Staff_Exp_Yr["Prof_Staff_Types.Prof_Level_2", "Empl_Rel_Exp_Type.Travel_Entertain", DATE(2010,7,1)]|=K323</t>
  </si>
  <si>
    <t>Prof_Staff_Targ_Util_pct["Practice_Areas.Practice_1", "Prof_Staff_Types.Prof_Level_2", DATE(2010,6,1)]|=J190</t>
  </si>
  <si>
    <t>Prof_Staff_Count_Early["Practice_Areas.Practice_1", "Prof_Staff_Types.Prof_Level_1", DATE(2011,6,1)]|=V184</t>
  </si>
  <si>
    <t>:A:-1:Cost_Services_TandE</t>
  </si>
  <si>
    <t>Cash_Targ_Days</t>
  </si>
  <si>
    <t>Cost_Services_Supplies_Hr["Practice_Areas.Practice_2", "Prof_Staff_Types.Prof_Level_1", "Supply_Types.Supply_Type_1", "Channels.Channels_2", DATE(2010,10,1)]|=N170</t>
  </si>
  <si>
    <t>Accts_Pay_Targ_Days["Accts_Pay_Type.Payroll_Pay", DATE(2010,3,1)]|=H411</t>
  </si>
  <si>
    <t>Short Interest Rate (Yr)</t>
  </si>
  <si>
    <t>Sales_Lead_Hrs_Expire_pct_Yr["Sales_Lead_Quality.Lead_Qual_1", "Practice_Areas.Practice_2", "Prof_Staff_Types.Prof_Level_1", "Channels.Channels_2", DATE(2010,10,1)]|=N110</t>
  </si>
  <si>
    <t>Sales_Lead_Hrs_Conv_pct_Yr["Sales_Lead_Quality.Lead_Qual_1", "Practice_Areas.Practice_2", "Prof_Staff_Types.Prof_Level_1", "Channels.Channels_1", DATE(2010,11,1)]|=O92</t>
  </si>
  <si>
    <t>Cash_Flow_Expect_Factor[DATE(2010,12,1)]|=P439</t>
  </si>
  <si>
    <t>Engage!Engage_Cost_Staff_Engagements_Engage_2_Prof_Staff_Types_Prof_Level_2</t>
  </si>
  <si>
    <t>Per_Sup_Staff_Exp_Yr["Depts.Marketing", "Empl_Rel_Exp_Type.Travel_Entertain", DATE(2010,4,1)]|=H327</t>
  </si>
  <si>
    <t>The average annual salary paid to each professional staff in the initial time period, segmented by Practice Area and by Professional Staff Type. Excludes benefits, bonuses and payroll taxes. (If the entire model is in $K, then this should be in $K/year.)</t>
  </si>
  <si>
    <t>Accts_Pay_Targ_Days["Accts_Pay_Type.Payroll_Pay", DATE(2010,5,1)]|=J411</t>
  </si>
  <si>
    <t>:D:0:Empl_Rel_Exp_Type.Travel_Entertain</t>
  </si>
  <si>
    <t>Orders_Filled_Hrs_pct["Practice_Areas.Practice_2", "Prof_Staff_Types.Prof_Level_2", "Channels.Channels_2", DATE(2010,7,1)]|=K129</t>
  </si>
  <si>
    <t>Initial guess for annualized internal rate of return, including estimate of cash flows beyond the end of model time. (IRR is computed by an iterative method that requires an initial guess.)</t>
  </si>
  <si>
    <t>(Compute)'!Assets_Date</t>
  </si>
  <si>
    <t>model_date(2)</t>
  </si>
  <si>
    <t>Order Backlog</t>
  </si>
  <si>
    <t>Prof_Fees_per_Hr_Nominal["Practice_Areas.Practice_2", "Prof_Staff_Types.Prof_Level_1", DATE(2010,7,1)]|=K140</t>
  </si>
  <si>
    <t>Sales_Commis_Rate[DATE(2010,11,1)]|=O246</t>
  </si>
  <si>
    <t>IRR_CF_w_Tail</t>
  </si>
  <si>
    <t>Sales_Lead_Hrs_Conv_pct_Yr["Sales_Lead_Quality.Lead_Qual_2", "Practice_Areas.Practice_2", "Prof_Staff_Types.Prof_Level_1", "Channels.Channels_2", DATE(2011,2,1)]|=R101</t>
  </si>
  <si>
    <t>Prof_Staff_Targ_Util_pct["Practice_Areas.Practice_2", "Prof_Staff_Types.Prof_Level_1", DATE(2011,4,1)]|=T191</t>
  </si>
  <si>
    <t>Chg_Inventory_Supplies</t>
  </si>
  <si>
    <t>Cost_Services_Supplies_Hr["Practice_Areas.Practice_1", "Prof_Staff_Types.Prof_Level_2", "Supply_Types.Supply_Type_1", "Channels.Channels_2", DATE(2011,3,1)]|=S166</t>
  </si>
  <si>
    <t>Sales_Lead_Hrs_Expire_pct_Yr["Sales_Lead_Quality.Lead_Qual_1", "Practice_Areas.Practice_2", "Prof_Staff_Types.Prof_Level_1", "Channels.Channels_1", DATE(2010,4,1)]|=H109</t>
  </si>
  <si>
    <t>Sales_Lead_Hrs_Expire_pct_Yr["Sales_Lead_Quality.Lead_Qual_1", "Practice_Areas.Practice_2", "Prof_Staff_Types.Prof_Level_2", "Channels.Channels_1", DATE(2010,4,1)]|=H111</t>
  </si>
  <si>
    <t>:A:0:Untagged_Assets</t>
  </si>
  <si>
    <t>Liabilities, segmented by payables, long and short term debt</t>
  </si>
  <si>
    <t>Sales_Lead_Hrs_New["Sales_Lead_Quality.Lead_Qual_1", "Practice_Areas.Practice_2", "Prof_Staff_Types.Prof_Level_1", "Channels.Channels_1", DATE(2010,9,1)]|=2*M72-L72</t>
  </si>
  <si>
    <t>Sales_Lead_Hrs_New["Sales_Lead_Quality.Lead_Qual_1", "Practice_Areas.Practice_1", "Prof_Staff_Types.Prof_Level_2", "Channels.Channels_1", DATE(2010,11,1)]|=2*O70-N70</t>
  </si>
  <si>
    <t>Per_Sup_Staff_Exp_Yr["Depts.Marketing", "Empl_Rel_Exp_Type.Other", DATE(2010,11,1)]|=O328</t>
  </si>
  <si>
    <t>Cost_Services_Supplies_Hr["Practice_Areas.Practice_1", "Prof_Staff_Types.Prof_Level_1", "Supply_Types.Supply_Type_2", "Channels.Channels_2", DATE(2011,1,1)]|=Q164</t>
  </si>
  <si>
    <t>Comment</t>
  </si>
  <si>
    <t>(Ranges)'!Gross_Margin_Practice_Areas_Practice_2_Prof_Staff_Types_Prof_Level_1</t>
  </si>
  <si>
    <t>Sales_Lead_Hrs_New["Sales_Lead_Quality.Lead_Qual_2", "Practice_Areas.Practice_1", "Prof_Staff_Types.Prof_Level_2", "Channels.Channels_2", DATE(2010,12,1)]|=2*P79-O79</t>
  </si>
  <si>
    <t>FALSE</t>
  </si>
  <si>
    <t>:D:0:Liabilities.Long.Bonds</t>
  </si>
  <si>
    <t>Target utilization percent of professional staff hours in client engagements and practice development, segmented by Practice Area, by Professional Staff Type, and by time period. This information is used in the model only if billed professional staff hours are used to project professional headcount.
If you choose to have the model compute staff requirements, then this variable and Professional staff target hours per head are used for this purpose.</t>
  </si>
  <si>
    <t>Orders_Filled_Hrs_pct["Practice_Areas.Practice_2", "Prof_Staff_Types.Prof_Level_2", "Channels.Channels_2", DATE(2010,6,1)]|=J129</t>
  </si>
  <si>
    <t>:D:0:Konst.K2</t>
  </si>
  <si>
    <t>(Compute)'!Prof_Staff_Hrs_Capacity_Plot_Date</t>
  </si>
  <si>
    <t>Sales_Commis_Rev_Share</t>
  </si>
  <si>
    <t>Professional staff hours not applied to client engagements, practice development, or other activities, segmented by practice area, by job type, by time period. This variable is used for plotting only.</t>
  </si>
  <si>
    <t xml:space="preserve">Measured growth rate of billed staff hours per time period (not annualized). It segments by Channel first, while variable 'Prof Staff Hrs Billed Growth' segments by Practice Area first. </t>
  </si>
  <si>
    <t>Engage!Engage_Hrs_Unbilled_Engagements_Engage_2_Prof_Staff_Types</t>
  </si>
  <si>
    <t>Mktg_Pgms_Exp_Early["Mktg_Pgms.Seminars", "Practice_Areas.Practice_1", DATE(2010,1,1)]|=0</t>
  </si>
  <si>
    <t>Prof_Staff_Count_Early["Practice_Areas.Practice_1", "Prof_Staff_Types.Prof_Level_2", DATE(2010,1,1)]|=0</t>
  </si>
  <si>
    <t>Engage_Hrs_Unbilled</t>
  </si>
  <si>
    <t>Percent of professional staff hours for each professional staff type, for each engagement.</t>
  </si>
  <si>
    <t>Engage!Engage_Gross_Margin_Engagements</t>
  </si>
  <si>
    <t>Sales_Lead_Hrs_Expire_pct_Yr["Sales_Lead_Quality.Lead_Qual_1", "Practice_Areas.Practice_1", "Prof_Staff_Types.Prof_Level_1", "Channels.Channels_1", DATE(2010,4,1)]|=H105</t>
  </si>
  <si>
    <t>:A:-1:Price_Book_Multiple</t>
  </si>
  <si>
    <t>Cash_Targ_Days[DATE(2011,2,1)]|=R360</t>
  </si>
  <si>
    <t>Cost_Services_Supplies_Hr["Practice_Areas.Practice_2", "Prof_Staff_Types.Prof_Level_1", "Supply_Types.Supply_Type_1", "Channels.Channels_2", DATE(2010,9,1)]|=M170</t>
  </si>
  <si>
    <t>Sales_Lead_Hrs_New["Sales_Lead_Quality.Lead_Qual_1", "Practice_Areas.Practice_2", "Prof_Staff_Types.Prof_Level_2", "Channels.Channels_2", DATE(2010,3,1)]|=2*G75-F75</t>
  </si>
  <si>
    <t>Sup_Staff_Bonus_pct["Depts.Sales", "Sup_Staff_Levels.Contributor", DATE(2011,4,1)]|=T236</t>
  </si>
  <si>
    <t>Cost_Services_TandE_Hr["Practice_Areas.Practice_2", "Prof_Staff_Types.Prof_Level_1", "Channels.Channels_2", DATE(2010,11,1)]|=O158</t>
  </si>
  <si>
    <t>:A:0:Per_Prof_Staff_Exp_Yr</t>
  </si>
  <si>
    <t>(Compute)'!Engage_Gross_Margin_Time_Period</t>
  </si>
  <si>
    <t>Engage!Engage_Cost_TandE_Engagements_Engage_1_Prof_Staff_Types_Prof_Level_1_Supply_Types_Supply_Type_1</t>
  </si>
  <si>
    <t>(Ranges)'!Sup_Staff_Count_Depts_Marketing_Sup_Staff_Levels_Contributor</t>
  </si>
  <si>
    <t>Prof_Staff_Bonus_pct["Practice_Areas.Practice_2", "Prof_Staff_Types.Prof_Level_1", DATE(2010,3,1)]|=G217</t>
  </si>
  <si>
    <t>Cost_Services_Supplies_Hr["Practice_Areas.Practice_2", "Prof_Staff_Types.Prof_Level_2", "Supply_Types.Supply_Type_2", "Channels.Channels_2", DATE(2011,3,1)]|=S176</t>
  </si>
  <si>
    <t>Percentage of billable hours applied to major Engagements that are actually billed to client. Segmented by major Engagement, by Professional Staff Type, and by time period. Setting this rate below 100% enables the model to record time applied but not billed to the client.</t>
  </si>
  <si>
    <t xml:space="preserve">  Building_B</t>
  </si>
  <si>
    <t>Channel</t>
  </si>
  <si>
    <t>Sales_Commis_Rev_Share[DATE(2010,9,1)]|=M247</t>
  </si>
  <si>
    <t>Prof_Staff_Targ_Util_pct["Practice_Areas.Practice_1", "Prof_Staff_Types.Prof_Level_1", DATE(2010,7,1)]|=K189</t>
  </si>
  <si>
    <t>Office_Utilities_Rate_Yr[DATE(2011,2,1)]|=R306</t>
  </si>
  <si>
    <t>Prof_Staff_Salary_Avg_Initial_Yr["Prof_Staff_Types.Prof_Level_2", "Practice_Areas.Practice_1"]|=100000</t>
  </si>
  <si>
    <t>Purchased Supplies</t>
  </si>
  <si>
    <t>(Ranges)'!Revenue_Practice_Areas_Practice_1_Prof_Staff_Types_Prof_Level_1_Channels_Channels_2</t>
  </si>
  <si>
    <t>:A:-1:Facil_Other_Exp_Yr</t>
  </si>
  <si>
    <t>Sales_Lead_Hrs_New["Sales_Lead_Quality.Lead_Qual_2", "Practice_Areas.Practice_2", "Prof_Staff_Types.Prof_Level_1", "Channels.Channels_2", DATE(2010,2,1)]|=2*F81-F81</t>
  </si>
  <si>
    <t>Sup_Staff_Count_K["Depts.Marketing", "Sup_Staff_Levels.Manager", "Konst.K0"]|=0</t>
  </si>
  <si>
    <t>Sales_Lead_Hrs_New["Sales_Lead_Quality.Lead_Qual_1", "Practice_Areas.Practice_1", "Prof_Staff_Types.Prof_Level_1", "Channels.Channels_1", DATE(2011,5,1)]|=2*U68-T68</t>
  </si>
  <si>
    <t>Accts_Pay_Targ_Days["Accts_Pay_Type.Vendor_Pay", DATE(2010,9,1)]|=N410</t>
  </si>
  <si>
    <t>:D:1:Sales_Lead_Quality</t>
  </si>
  <si>
    <t>:A:0:Tagged_Asset_Deprec</t>
  </si>
  <si>
    <t>Office_Maint_Rate_Yr[DATE(2011,2,1)]|=R307</t>
  </si>
  <si>
    <t>IRR with Tail (Yr)</t>
  </si>
  <si>
    <t>:A:0:Accts_Rec_Days</t>
  </si>
  <si>
    <t>(Ranges)'!Gross_Margin_Practice_Areas_Practice_1_Prof_Staff_Types_Prof_Level_1</t>
  </si>
  <si>
    <t>Sales_Lead_Hrs_Conv_pct_Yr["Sales_Lead_Quality.Lead_Qual_1", "Practice_Areas.Practice_1", "Prof_Staff_Types.Prof_Level_1", "Channels.Channels_2", DATE(2010,8,1)]|=L89</t>
  </si>
  <si>
    <t>Per_Sup_Staff_Exp_Yr["Depts.Sales", "Empl_Rel_Exp_Type.Other", DATE(2010,3,1)]|=G331</t>
  </si>
  <si>
    <t>:A:-1:Prof_Staff_Hrs_Billed_Plot</t>
  </si>
  <si>
    <t>Engage 1</t>
  </si>
  <si>
    <t>Practice_Dev_pct_Capd["Practice_Areas.Practice_2", DATE(2010,8,1)]|=L396</t>
  </si>
  <si>
    <t>Mktg_Pgms_Exp_Early["Mktg_Pgms.Publications", "Practice_Areas.Practice_1", DATE(2010,3,1)]|=G278</t>
  </si>
  <si>
    <t>Prof_Fees_per_Hr_Nominal["Practice_Areas.Practice_2", "Prof_Staff_Types.Prof_Level_2", DATE(2011,3,1)]|=S141</t>
  </si>
  <si>
    <t>Sales_Lead_Hrs_New["Sales_Lead_Quality.Lead_Qual_2", "Practice_Areas.Practice_2", "Prof_Staff_Types.Prof_Level_2", "Channels.Channels_2", DATE(2010,12,1)]|=2*P83-O83</t>
  </si>
  <si>
    <t>(Ranges)'!Prof_Staff_Cost_Unapplied_Practice_Areas_Practice_2_Prof_Staff_Types_Prof_Level_1</t>
  </si>
  <si>
    <t>(Tables)'!Prof_Staff_Hrs_Engage_Practice_Areas_Practice_2_Prof_Staff_Types_Prof_Level_2_Channels_Channels_2</t>
  </si>
  <si>
    <t>(Tables)'!Engage_Hrs_pct_Billed_ET_Engage_Time_Period_4_Engagements_Engage_2</t>
  </si>
  <si>
    <t>Cost_Services_Supplies_Hr["Practice_Areas.Practice_2", "Prof_Staff_Types.Prof_Level_2", "Supply_Types.Supply_Type_1", "Channels.Channels_1", DATE(2011,6,1)]|=V173</t>
  </si>
  <si>
    <t>Sales_Lead_Hrs_New["Sales_Lead_Quality.Lead_Qual_2", "Practice_Areas.Practice_1", "Prof_Staff_Types.Prof_Level_2", "Channels.Channels_2", DATE(2011,3,1)]|=2*S79-R79</t>
  </si>
  <si>
    <t>Office_Maint_Rate_Yr[DATE(2011,3,1)]|=S307</t>
  </si>
  <si>
    <t>:A:0:Sales_Leads_New</t>
  </si>
  <si>
    <t>Per_Prof_Staff_Exp_Yr["Prof_Staff_Types.Prof_Level_1", "Empl_Rel_Exp_Type.Supplies", DATE(2010,12,1)]|=P319</t>
  </si>
  <si>
    <t>The cash dividend payment in each accounting period expressed as a percentage of equity valuation</t>
  </si>
  <si>
    <t>Channels 1</t>
  </si>
  <si>
    <t>Cost_Services_TandE_Hr["Practice_Areas.Practice_1", "Prof_Staff_Types.Prof_Level_1", "Channels.Channels_1", DATE(2011,3,1)]|=S153</t>
  </si>
  <si>
    <t>:A:-1:Orders_Filled_Hrs</t>
  </si>
  <si>
    <t>Sales_Lead_Hrs_Expire_pct_Yr["Sales_Lead_Quality.Lead_Qual_1", "Practice_Areas.Practice_2", "Prof_Staff_Types.Prof_Level_2", "Channels.Channels_1", DATE(2011,4,1)]|=T111</t>
  </si>
  <si>
    <t>Sales_Lead_Hrs_Expire_pct_Yr["Sales_Lead_Quality.Lead_Qual_1", "Practice_Areas.Practice_1", "Prof_Staff_Types.Prof_Level_2", "Channels.Channels_2", DATE(2011,3,1)]|=S108</t>
  </si>
  <si>
    <t>:A:-1:Cash_Flow_Expect_Fut</t>
  </si>
  <si>
    <t>Cash_Targ_Days[DATE(2010,1,1)]|=30</t>
  </si>
  <si>
    <t>Prof_Staff_Bonus_pct["Practice_Areas.Practice_1", "Prof_Staff_Types.Prof_Level_1", DATE(2010,11,1)]|=O215</t>
  </si>
  <si>
    <t>Prof_Staff_Bonus_pct["Practice_Areas.Practice_2", "Prof_Staff_Types.Prof_Level_2", DATE(2010,12,1)]|=P218</t>
  </si>
  <si>
    <t>(Compute)'!Net_Income_Time_Period</t>
  </si>
  <si>
    <t>Sup_Staff_Benefits_pct[DATE(2011,5,1)]|=U238</t>
  </si>
  <si>
    <t>Sup_Staff_Count_Early["Depts.Marketing", "Sup_Staff_Levels.Contributor", DATE(2010,2,1)]|=F198</t>
  </si>
  <si>
    <t>Sales_Lead_Hrs_Conv_pct_Yr["Sales_Lead_Quality.Lead_Qual_2", "Practice_Areas.Practice_1", "Prof_Staff_Types.Prof_Level_2", "Channels.Channels_1", DATE(2010,5,1)]|=I98</t>
  </si>
  <si>
    <t>Cost_Services_TandE_Hr["Practice_Areas.Practice_2", "Prof_Staff_Types.Prof_Level_1", "Channels.Channels_2", DATE(2010,9,1)]|=M158</t>
  </si>
  <si>
    <t>:D:0:Sup_Staff_Levels.Contributor</t>
  </si>
  <si>
    <t>:D:2:Liabilities.Short.AcctsPay</t>
  </si>
  <si>
    <t>Sales_Lead_Hrs_Conv_pct_Yr["Sales_Lead_Quality.Lead_Qual_2", "Practice_Areas.Practice_1", "Prof_Staff_Types.Prof_Level_2", "Channels.Channels_1", DATE(2010,4,1)]|=H98</t>
  </si>
  <si>
    <t>Engage!Engage_Cost_TandE_Engagements_Engage_1</t>
  </si>
  <si>
    <t>Cost_Services_Supplies_Hr["Practice_Areas.Practice_1", "Prof_Staff_Types.Prof_Level_2", "Supply_Types.Supply_Type_2", "Channels.Channels_2", DATE(2011,1,1)]|=Q168</t>
  </si>
  <si>
    <t>Asset Salvage CF</t>
  </si>
  <si>
    <t>preve(30)</t>
  </si>
  <si>
    <t>Sup_Staff_Bonus_pct["Depts.Marketing", "Sup_Staff_Levels.Contributor", DATE(2010,11,1)]|=O234</t>
  </si>
  <si>
    <t>Tag 1</t>
  </si>
  <si>
    <t>Book value of capitalized development, by time period</t>
  </si>
  <si>
    <t>Practice_Dev_Prof_Staff_Count["Practice_Areas.Practice_1", "Prof_Staff_Types.Prof_Level_1", DATE(2010,6,1)]|=J286</t>
  </si>
  <si>
    <t>:A:0:Untagged_Asset_Name</t>
  </si>
  <si>
    <t>Order_Backlog_Hrs_Init["Practice_Areas.Practice_2", "Prof_Staff_Types.Prof_Level_2", "Channels.Channels_2"]|=M61</t>
  </si>
  <si>
    <t>Prof_Fee_Discount_pct["Practice_Areas.Practice_1", "Prof_Staff_Types.Prof_Level_1", DATE(2010,3,1)]|=G143</t>
  </si>
  <si>
    <t>Cost_Services_TandE_Hr["Practice_Areas.Practice_2", "Prof_Staff_Types.Prof_Level_2", "Channels.Channels_2", DATE(2010,11,1)]|=O160</t>
  </si>
  <si>
    <t>Prof_Fees_per_Hr_Nominal["Practice_Areas.Practice_2", "Prof_Staff_Types.Prof_Level_1", DATE(2010,3,1)]|=G140</t>
  </si>
  <si>
    <t>Engage_Discount_pct["Engagements.Engage_1", DATE(2010,5,1)]|=I148</t>
  </si>
  <si>
    <t>Untagged_Asset_Name["Asset_Tags.Building_B"]|="Tagged Asset "&amp;2</t>
  </si>
  <si>
    <t>Cost_Services_TandE_Hr["Practice_Areas.Practice_1", "Prof_Staff_Types.Prof_Level_1", "Channels.Channels_2", DATE(2010,4,1)]|=H154</t>
  </si>
  <si>
    <t>preve(0.50)</t>
  </si>
  <si>
    <t>Physical Life (Yr)</t>
  </si>
  <si>
    <t>Sales_Lead_Hrs_Expire_pct_Yr["Sales_Lead_Quality.Lead_Qual_1", "Practice_Areas.Practice_2", "Prof_Staff_Types.Prof_Level_1", "Channels.Channels_1", DATE(2011,6,1)]|=V109</t>
  </si>
  <si>
    <t>Cost_Services_Supplies_Hr["Practice_Areas.Practice_1", "Prof_Staff_Types.Prof_Level_2", "Supply_Types.Supply_Type_1", "Channels.Channels_1", DATE(2010,4,1)]|=H165</t>
  </si>
  <si>
    <t>Sales_Lead_Hrs_Init</t>
  </si>
  <si>
    <t>Sales_Lead_Hrs_New["Sales_Lead_Quality.Lead_Qual_1", "Practice_Areas.Practice_2", "Prof_Staff_Types.Prof_Level_2", "Channels.Channels_1", DATE(2010,9,1)]|=2*M74-L74</t>
  </si>
  <si>
    <t>Engage_Discount_pct["Engagements.Engage_2", DATE(2010,4,1)]|=H149</t>
  </si>
  <si>
    <t>Cost_Services_Supplies_Hr["Practice_Areas.Practice_1", "Prof_Staff_Types.Prof_Level_2", "Supply_Types.Supply_Type_1", "Channels.Channels_2", DATE(2010,5,1)]|=I166</t>
  </si>
  <si>
    <t>Recruit_Exp_Prof+Recruit_Exp_Sup</t>
  </si>
  <si>
    <t>(Ranges)'!Operating_Exp_Depts_Marketing_OpExpType_Gen_Admin_Exp</t>
  </si>
  <si>
    <t xml:space="preserve">Cost of Services - Staff </t>
  </si>
  <si>
    <t>Chg_Bond_Principal_short</t>
  </si>
  <si>
    <t>Per_Sup_Staff_Exp_Yr["Depts.Marketing", "Empl_Rel_Exp_Type.Supplies", DATE(2010,3,1)]|=G326</t>
  </si>
  <si>
    <t>Wage_Tax_pct[DATE(2010,4,1)]|=H244</t>
  </si>
  <si>
    <t>Order backlog at the start of model time, expressed in billable hours, segmented by Practice Area and Professional Staff Type.</t>
  </si>
  <si>
    <t>(Ranges)'!Prof_Staff_Cost_Unapplied_Practice_Areas_Practice_1_Prof_Staff_Types_Prof_Level_2</t>
  </si>
  <si>
    <t>Orders_Filled_Hrs_pct["Practice_Areas.Practice_1", "Prof_Staff_Types.Prof_Level_2", "Channels.Channels_2", DATE(2010,11,1)]|=O125</t>
  </si>
  <si>
    <t>Net_Stock_Issue[DATE(2010,1,1)]|=0</t>
  </si>
  <si>
    <t>:D:0:Konst</t>
  </si>
  <si>
    <t>Orders_Filled_Hrs_pct["Practice_Areas.Practice_1", "Prof_Staff_Types.Prof_Level_2", "Channels.Channels_1", DATE(2010,9,1)]|=M124</t>
  </si>
  <si>
    <t>:A:-1:Cost_Services</t>
  </si>
  <si>
    <t>Engage!Orders_Filled_Practice_Areas</t>
  </si>
  <si>
    <t>:A:0:Tagged_Asset_Purch_Date</t>
  </si>
  <si>
    <t>Practice_Dev_Sup_Staff_Count["Practice_Areas.Practice_2", "Depts.Marketing", "Sup_Staff_Levels.Contributor", DATE(2011,6,1)]|=V296</t>
  </si>
  <si>
    <t>Prof_Fee_Discount_pct["Practice_Areas.Practice_1", "Prof_Staff_Types.Prof_Level_1", DATE(2010,5,1)]|=I143</t>
  </si>
  <si>
    <t>:A:-1:Prof_Staff_Turnover_pct_Yr</t>
  </si>
  <si>
    <t>(Ranges)'!Prof_Staff_Hrs_Unbilled_Channel_Practice_Areas_Practice_1_Prof_Staff_Types_Prof_Level_1</t>
  </si>
  <si>
    <t>(Ranges)'!Prof_Staff_Hrs_Unbilled_Channel_Practice_Areas_Practice_1_Prof_Staff_Types_Prof_Level_2</t>
  </si>
  <si>
    <t>Sales_Lead_Hrs_Conv_pct_Yr["Sales_Lead_Quality.Lead_Qual_2", "Practice_Areas.Practice_1", "Prof_Staff_Types.Prof_Level_2", "Channels.Channels_2", DATE(2010,1,1)]|=0.50</t>
  </si>
  <si>
    <t>Building B</t>
  </si>
  <si>
    <t>:D:-1:Practice_Areas</t>
  </si>
  <si>
    <t>The percentage by which average professional billing rates are reduced from list billing rates, segmented by job type, by time period. Does not include discounts for major Engagements.</t>
  </si>
  <si>
    <t>Sup_Staff_Openings</t>
  </si>
  <si>
    <t>A hierarchical list of the types of assets that are tracked separately in the plan</t>
  </si>
  <si>
    <t>Sales_Lead_Hrs_Expire_pct_Yr["Sales_Lead_Quality.Lead_Qual_2", "Practice_Areas.Practice_2", "Prof_Staff_Types.Prof_Level_1", "Channels.Channels_2", DATE(2010,12,1)]|=P118</t>
  </si>
  <si>
    <t xml:space="preserve">  Travel_Entertain</t>
  </si>
  <si>
    <t>Cost_Services_Supplies_Hr["Practice_Areas.Practice_1", "Prof_Staff_Types.Prof_Level_1", "Supply_Types.Supply_Type_1", "Channels.Channels_2", DATE(2010,8,1)]|=L162</t>
  </si>
  <si>
    <t>(Ranges)'!Revenue_Practice_Areas_Practice_2_Prof_Staff_Types_Prof_Level_1_Channels_Channels_2</t>
  </si>
  <si>
    <t>Per_Sup_Staff_Exp_Yr["Depts.Sales", "Empl_Rel_Exp_Type.Travel_Entertain", DATE(2011,5,1)]|=U330</t>
  </si>
  <si>
    <t>Prof_Fees_per_Hr_Nominal["Practice_Areas.Practice_2", "Prof_Staff_Types.Prof_Level_1", DATE(2010,1,1)]|=200</t>
  </si>
  <si>
    <t>:A:-1:Tagged_Asset_Init_Value</t>
  </si>
  <si>
    <t>Sales_Lead_Hrs_Conv_pct_Yr["Sales_Lead_Quality.Lead_Qual_1", "Practice_Areas.Practice_1", "Prof_Staff_Types.Prof_Level_2", "Channels.Channels_1", DATE(2011,2,1)]|=R90</t>
  </si>
  <si>
    <t>Per_Sup_Staff_Exp_Yr["Depts.Marketing", "Empl_Rel_Exp_Type.Other", DATE(2011,5,1)]|=U328</t>
  </si>
  <si>
    <t>Expected Operating Cash Flow</t>
  </si>
  <si>
    <t>Inputs!Engage_Hrs_Applied_ET_Engage_Time_Period_3_Engagements_Engage_2_Prof_Staff_Types_Prof_Level_1</t>
  </si>
  <si>
    <t>Accts_Pay_Targ_Days</t>
  </si>
  <si>
    <t>Prof_Fee_Discount_pct["Practice_Areas.Practice_1", "Prof_Staff_Types.Prof_Level_2", DATE(2011,2,1)]|=R144</t>
  </si>
  <si>
    <t>Cost - Travel &amp; Entertain</t>
  </si>
  <si>
    <t>Sup_Staff_Bonus_pct["Depts.Sales", "Sup_Staff_Levels.Contributor", DATE(2011,1,1)]|=Q236</t>
  </si>
  <si>
    <t>Prof Staff Hours Applied</t>
  </si>
  <si>
    <t>Practice_Dev_Sup_Staff_Count["Practice_Areas.Practice_1", "Depts.Marketing", "Sup_Staff_Levels.Manager", DATE(2010,4,1)]|=H291</t>
  </si>
  <si>
    <t>Practice_Dev_Prof_Staff_Count["Practice_Areas.Practice_1", "Prof_Staff_Types.Prof_Level_2", DATE(2011,2,1)]|=R287</t>
  </si>
  <si>
    <t>Per_Prof_Staff_Exp_Yr["Prof_Staff_Types.Prof_Level_2", "Empl_Rel_Exp_Type.Supplies", DATE(2011,1,1)]|=Q322</t>
  </si>
  <si>
    <t>Dividend[DATE(2010,12,1)]|=0</t>
  </si>
  <si>
    <t>Sales_Commis_Rate[DATE(2011,3,1)]|=S246</t>
  </si>
  <si>
    <t>Sales_Lead_Hrs_New["Sales_Lead_Quality.Lead_Qual_2", "Practice_Areas.Practice_1", "Prof_Staff_Types.Prof_Level_1", "Channels.Channels_2", DATE(2011,1,1)]|=2*Q77-P77</t>
  </si>
  <si>
    <t>Engage!Engage_Billings_Engagements_Engage_1_Prof_Staff_Types_Prof_Level_2</t>
  </si>
  <si>
    <t>Per_Sup_Staff_Exp_Yr["Depts.Marketing", "Empl_Rel_Exp_Type.Supplies", DATE(2010,12,1)]|=P326</t>
  </si>
  <si>
    <t>Sales_Lead_Hrs_New["Sales_Lead_Quality.Lead_Qual_2", "Practice_Areas.Practice_2", "Prof_Staff_Types.Prof_Level_2", "Channels.Channels_2", DATE(2010,5,1)]|=2*I83-H83</t>
  </si>
  <si>
    <t>:A:0:Prof_Staff_Recruited</t>
  </si>
  <si>
    <t>Mktg_Pgms_Exp_Early["Mktg_Pgms.Seminars", "Practice_Areas.Practice_1", DATE(2010,4,1)]|=H276</t>
  </si>
  <si>
    <t>:A:-1:Untagged_Asset_Life_Yrs</t>
  </si>
  <si>
    <t>Facilities and utilities expense per time period, segmented by department</t>
  </si>
  <si>
    <t>Financial expense = bad debt expense + interest expense</t>
  </si>
  <si>
    <t>Orders_Filled_Hrs_pct["Practice_Areas.Practice_1", "Prof_Staff_Types.Prof_Level_2", "Channels.Channels_2", DATE(2010,12,1)]|=P125</t>
  </si>
  <si>
    <t>:A:0:Sup_Staff_Rel_Exp</t>
  </si>
  <si>
    <t>Leads (Hrs)</t>
  </si>
  <si>
    <t>Channels, Practice_Areas, Dir_Cost_Types.Direct_Labor</t>
  </si>
  <si>
    <t>Prof_Fee_Discount_pct["Practice_Areas.Practice_2", "Prof_Staff_Types.Prof_Level_1", DATE(2010,6,1)]|=J145</t>
  </si>
  <si>
    <t>:A:-1:Engage_Hrs_pct_Billed_ET</t>
  </si>
  <si>
    <t>Initial value of accounts receivable at the beginning of model time</t>
  </si>
  <si>
    <t>Dividend[DATE(2010,11,1)]|=0</t>
  </si>
  <si>
    <t>Recruit_Exp_pct_Comp_Sup["Depts.Sales", "Sup_Staff_Levels.Contributor"]|=I266</t>
  </si>
  <si>
    <t>:A:-1:Equity</t>
  </si>
  <si>
    <t>(Compute)'!Operating_Exp_Date</t>
  </si>
  <si>
    <t>:A:-1:Ident_Engage_Practice</t>
  </si>
  <si>
    <t>Short Liabilities</t>
  </si>
  <si>
    <t>Interest_Rate_Earned_Cash_Yr[DATE(2010,4,1)]|=H341</t>
  </si>
  <si>
    <t>Facil_Other_Exp_Yr[DATE(2010,3,1)]|=G308</t>
  </si>
  <si>
    <t>(Compute)'!Liabilities_Time_Period</t>
  </si>
  <si>
    <t>prev(Discount_Factor)*(1+Discount_Rate)</t>
  </si>
  <si>
    <t>Sales_Lead_Hrs_Expire_pct_Yr["Sales_Lead_Quality.Lead_Qual_1", "Practice_Areas.Practice_2", "Prof_Staff_Types.Prof_Level_1", "Channels.Channels_1", DATE(2010,7,1)]|=K109</t>
  </si>
  <si>
    <t>Sales_Lead_Hrs_Expire_pct_Yr["Sales_Lead_Quality.Lead_Qual_2", "Practice_Areas.Practice_2", "Prof_Staff_Types.Prof_Level_1", "Channels.Channels_2", DATE(2010,6,1)]|=J118</t>
  </si>
  <si>
    <t>Sales_Lead_Hrs_Expire_pct_Yr["Sales_Lead_Quality.Lead_Qual_2", "Practice_Areas.Practice_2", "Prof_Staff_Types.Prof_Level_2", "Channels.Channels_1", DATE(2010,12,1)]|=P119</t>
  </si>
  <si>
    <t>Interest_Rate_Short_Yr[DATE(2010,6,1)]|=J339</t>
  </si>
  <si>
    <t>Sales_Lead_Hrs_New["Sales_Lead_Quality.Lead_Qual_1", "Practice_Areas.Practice_2", "Prof_Staff_Types.Prof_Level_1", "Channels.Channels_2", DATE(2011,6,1)]|=2*V73-U73</t>
  </si>
  <si>
    <t>Sales_Lead_Hrs_New["Sales_Lead_Quality.Lead_Qual_1", "Practice_Areas.Practice_1", "Prof_Staff_Types.Prof_Level_1", "Channels.Channels_1", DATE(2010,4,1)]|=2*H68-G68</t>
  </si>
  <si>
    <t>Prof_Fees_per_Hr_Nominal["Practice_Areas.Practice_2", "Prof_Staff_Types.Prof_Level_1", DATE(2010,9,1)]|=M140</t>
  </si>
  <si>
    <t>Mktg_Pgms_Exp_Early["Mktg_Pgms.Publications", "Practice_Areas.Practice_2", DATE(2011,3,1)]|=S279</t>
  </si>
  <si>
    <t>Sales Leads (Hrs)</t>
  </si>
  <si>
    <t>Sales_Lead_Hrs_Expire_pct_Yr["Sales_Lead_Quality.Lead_Qual_2", "Practice_Areas.Practice_2", "Prof_Staff_Types.Prof_Level_2", "Channels.Channels_1", DATE(2011,1,1)]|=Q119</t>
  </si>
  <si>
    <t>Practice_Dev_Sup_Staff_Count["Practice_Areas.Practice_2", "Depts.Sales", "Sup_Staff_Levels.Contributor", DATE(2011,3,1)]|=S298</t>
  </si>
  <si>
    <t>Cost_Services_Supplies_Hr["Practice_Areas.Practice_2", "Prof_Staff_Types.Prof_Level_1", "Supply_Types.Supply_Type_1", "Channels.Channels_2", DATE(2011,5,1)]|=U170</t>
  </si>
  <si>
    <t>Sales_Lead_Hrs_Conv_pct_Yr["Sales_Lead_Quality.Lead_Qual_2", "Practice_Areas.Practice_1", "Prof_Staff_Types.Prof_Level_1", "Channels.Channels_2", DATE(2011,6,1)]|=V97</t>
  </si>
  <si>
    <t>Sales_Lead_Hrs_Conv_pct_Yr["Sales_Lead_Quality.Lead_Qual_1", "Practice_Areas.Practice_1", "Prof_Staff_Types.Prof_Level_1", "Channels.Channels_1", DATE(2010,2,1)]|=F88</t>
  </si>
  <si>
    <t>Sales_Lead_Hrs_New["Sales_Lead_Quality.Lead_Qual_2", "Practice_Areas.Practice_2", "Prof_Staff_Types.Prof_Level_1", "Channels.Channels_1", DATE(2010,10,1)]|=2*N80-M80</t>
  </si>
  <si>
    <t>Sales_Lead_Hrs_Expire_pct_Yr["Sales_Lead_Quality.Lead_Qual_1", "Practice_Areas.Practice_2", "Prof_Staff_Types.Prof_Level_1", "Channels.Channels_1", DATE(2011,4,1)]|=T109</t>
  </si>
  <si>
    <t>Cost_Services_TandE_Hr["Practice_Areas.Practice_2", "Prof_Staff_Types.Prof_Level_1", "Channels.Channels_1", DATE(2011,4,1)]|=T157</t>
  </si>
  <si>
    <t>Prof_Staff_Bonus_pct["Practice_Areas.Practice_2", "Prof_Staff_Types.Prof_Level_2", DATE(2010,8,1)]|=L218</t>
  </si>
  <si>
    <t>Prof_Staff_Hrs_Applied_Plot</t>
  </si>
  <si>
    <t>Engage!Engage_Hrs_Billed_Engagements_Engage_1_Prof_Staff_Types_Prof_Level_1</t>
  </si>
  <si>
    <t>Engage!Engage_Billings_Engagements_Engage_2_Prof_Staff_Types_Prof_Level_1</t>
  </si>
  <si>
    <t>Wage_Tax_pct</t>
  </si>
  <si>
    <t>Prof_Staff_Turnover_pct_Yr["Practice_Areas.Practice_2", "Prof_Staff_Types.Prof_Level_1"]|=0.10</t>
  </si>
  <si>
    <t>Starting time period of each engagement, relative to the start of model time, expressed as an integral number of time periods</t>
  </si>
  <si>
    <t>The ratio (value of equity) / (trailing annual net income), by time period</t>
  </si>
  <si>
    <t>Sales_Lead_Hrs_Expire_pct_Yr["Sales_Lead_Quality.Lead_Qual_2", "Practice_Areas.Practice_2", "Prof_Staff_Types.Prof_Level_1", "Channels.Channels_2", DATE(2010,4,1)]|=H118</t>
  </si>
  <si>
    <t>Sales_Lead_Hrs_Expire_pct_Yr["Sales_Lead_Quality.Lead_Qual_2", "Practice_Areas.Practice_2", "Prof_Staff_Types.Prof_Level_2", "Channels.Channels_1", DATE(2010,7,1)]|=K119</t>
  </si>
  <si>
    <t>:A:-1:Recruit_pct_Pos_Sup_Init</t>
  </si>
  <si>
    <t>Facil_Other_Exp_Yr[DATE(2010,5,1)]|=I308</t>
  </si>
  <si>
    <t xml:space="preserve">Hours of professsional staff time billed to client engagements (includings small engagements from the sales funnel). Segmented by Practice Area, Professional Staff Type, Channel, and time period. </t>
  </si>
  <si>
    <t>Supply_Types, Practice_Areas, Prof_Staff_Types, Channels</t>
  </si>
  <si>
    <t>Mktg_Pgms_Exp</t>
  </si>
  <si>
    <t>Sup_Staff_Turnover_pct_Yr["Depts.Sales", "Sup_Staff_Levels.Manager"]|=0</t>
  </si>
  <si>
    <t>Prof_Staff_Salary_Avg_Initial_Yr["Prof_Staff_Types.Prof_Level_1", "Practice_Areas.Practice_1"]|=100000</t>
  </si>
  <si>
    <t>:A:-1:Liabilities</t>
  </si>
  <si>
    <t>:A:0:IRR_CF_no_Tail</t>
  </si>
  <si>
    <t>Mktg Pgms</t>
  </si>
  <si>
    <t>Prof_Staff_Bonus_pct["Practice_Areas.Practice_1", "Prof_Staff_Types.Prof_Level_2", DATE(2010,7,1)]|=K216</t>
  </si>
  <si>
    <t>Orders_Filled_Hrs_pct["Practice_Areas.Practice_2", "Prof_Staff_Types.Prof_Level_1", "Channels.Channels_1", DATE(2010,10,1)]|=N126</t>
  </si>
  <si>
    <t>Dividend Yield</t>
  </si>
  <si>
    <t>Sales_Lead_Hrs_Conv_pct_Yr["Sales_Lead_Quality.Lead_Qual_2", "Practice_Areas.Practice_2", "Prof_Staff_Types.Prof_Level_2", "Channels.Channels_1", DATE(2010,5,1)]|=I102</t>
  </si>
  <si>
    <t>Per_Sup_Staff_Exp_Yr["Depts.Sales", "Empl_Rel_Exp_Type.Other", DATE(2010,2,1)]|=F331</t>
  </si>
  <si>
    <t>Accts_Pay_Targ_Days["Accts_Pay_Type.Tax_Pay", DATE(2011,2,1)]|=S412</t>
  </si>
  <si>
    <t>Orders_Filled_Hrs_pct["Practice_Areas.Practice_1", "Prof_Staff_Types.Prof_Level_1", "Channels.Channels_1", DATE(2010,12,1)]|=P122</t>
  </si>
  <si>
    <t>The ratio (trailing annual net income) / (book value of equity), by time period</t>
  </si>
  <si>
    <t>(1+Tail_Discount_Rate_Yr)^(1/periods_per("year"))-1</t>
  </si>
  <si>
    <t>(Ranges)'!Revenue_Practice_Areas_Practice_2_Prof_Staff_Types_Prof_Level_1_Channels</t>
  </si>
  <si>
    <t>Cost_Services_Supplies_Hr["Practice_Areas.Practice_1", "Prof_Staff_Types.Prof_Level_2", "Supply_Types.Supply_Type_2", "Channels.Channels_1", DATE(2010,9,1)]|=M167</t>
  </si>
  <si>
    <t>Sales_Lead_Hrs_Conv_pct_Yr["Sales_Lead_Quality.Lead_Qual_1", "Practice_Areas.Practice_2", "Prof_Staff_Types.Prof_Level_1", "Channels.Channels_2", DATE(2011,1,1)]|=Q93</t>
  </si>
  <si>
    <t>Engage_Hrs_Applied_ET["Engagements.Engage_1", "Prof_Staff_Types.Prof_Level_1", "Engage_Time.Period_4"]|=if('(Tables)'!B45&lt;=G20, F24*F20*1/G20+F24*F20*min(1, max(-1, G24))*2*'(Tables)'!B45/G20/G20+F24*F20*min(1, max(-1, G24))*(-1)/G20/G20+F24*F20*min(1, max(-1, G24))*(-1)/G20, 0*F20/G20)</t>
  </si>
  <si>
    <t>Engage_Hrs_pct_Billed_ET["Engagements.Engage_2", "Prof_Staff_Types.Prof_Level_2", "Engage_Time.Period_1"]|=1</t>
  </si>
  <si>
    <t>:A:-1:Taxable_Income</t>
  </si>
  <si>
    <t>Sales_Lead_Hrs_New["Sales_Lead_Quality.Lead_Qual_1", "Practice_Areas.Practice_2", "Prof_Staff_Types.Prof_Level_2", "Channels.Channels_2", DATE(2010,4,1)]|=2*H75-G75</t>
  </si>
  <si>
    <t>Cost_Services_TandE_Hr["Practice_Areas.Practice_1", "Prof_Staff_Types.Prof_Level_1", "Channels.Channels_2", DATE(2011,1,1)]|=Q154</t>
  </si>
  <si>
    <t>Tag</t>
  </si>
  <si>
    <t>Prof_Staff_Benefits_pct["Prof_Staff_Types.Prof_Level_2", DATE(2011,4,1)]|=T221</t>
  </si>
  <si>
    <t>Sales_Lead_Hrs_Expire_pct_Yr["Sales_Lead_Quality.Lead_Qual_2", "Practice_Areas.Practice_2", "Prof_Staff_Types.Prof_Level_1", "Channels.Channels_1", DATE(2010,3,1)]|=G117</t>
  </si>
  <si>
    <t>The value of past untagged asset purchases that reach end of life in the current time period</t>
  </si>
  <si>
    <t>Cost_Services_TandE_Hr["Practice_Areas.Practice_2", "Prof_Staff_Types.Prof_Level_2", "Channels.Channels_2", DATE(2010,1,1)]|=5</t>
  </si>
  <si>
    <t>Sales_Lead_Hrs_Expire_pct_Yr["Sales_Lead_Quality.Lead_Qual_2", "Practice_Areas.Practice_2", "Prof_Staff_Types.Prof_Level_2", "Channels.Channels_1", DATE(2010,2,1)]|=F119</t>
  </si>
  <si>
    <t>Cost_Services_Supplies_Hr["Practice_Areas.Practice_2", "Prof_Staff_Types.Prof_Level_1", "Supply_Types.Supply_Type_1", "Channels.Channels_2", DATE(2010,4,1)]|=H170</t>
  </si>
  <si>
    <t>Sales_Lead_Hrs_Expire_pct_Yr["Sales_Lead_Quality.Lead_Qual_1", "Practice_Areas.Practice_1", "Prof_Staff_Types.Prof_Level_2", "Channels.Channels_2", DATE(2010,1,1)]|=0.30</t>
  </si>
  <si>
    <t>(Compute)'!Engage_Hrs_Applied_Plot_Date</t>
  </si>
  <si>
    <t>Engage_Size_Hrs["Engagements.Engage_1"]|=1000+100*1</t>
  </si>
  <si>
    <t>Cost_Services_TandE_Hr["Practice_Areas.Practice_2", "Prof_Staff_Types.Prof_Level_2", "Channels.Channels_2", DATE(2011,2,1)]|=R160</t>
  </si>
  <si>
    <t>(Tables)'!Engage_Hrs_Applied_ET_Engage_Time_Period_1_Engagements_Engage_1</t>
  </si>
  <si>
    <t>:A:0:Orders_Filled_Hrs</t>
  </si>
  <si>
    <t>Cost_Services_TandE_Hr["Practice_Areas.Practice_2", "Prof_Staff_Types.Prof_Level_1", "Channels.Channels_1", DATE(2010,4,1)]|=H157</t>
  </si>
  <si>
    <t>Office_Utilities_Rate_Yr[DATE(2010,7,1)]|=K306</t>
  </si>
  <si>
    <t>(Compute)'!Engage_Cost_Supplies_Date</t>
  </si>
  <si>
    <t>:A:0:Price_Sales_Ratio</t>
  </si>
  <si>
    <t>Practice_Dev_Sup_Staff_Count["Practice_Areas.Practice_2", "Depts.Marketing", "Sup_Staff_Levels.Manager", DATE(2010,5,1)]|=I295</t>
  </si>
  <si>
    <t>Long_Loans[DATE(2010,11,1)]|=P421</t>
  </si>
  <si>
    <t>(Tables)'!Prof_Staff_Billings_Practice_Areas_Practice_2_Prof_Staff_Types_Prof_Level_1_Channels</t>
  </si>
  <si>
    <t>:A:0:Prof_Staff_Benefits_pct</t>
  </si>
  <si>
    <t>Practice_Dev_Sup_Staff_Count["Practice_Areas.Practice_2", "Depts.Marketing", "Sup_Staff_Levels.Manager", DATE(2010,10,1)]|=N295</t>
  </si>
  <si>
    <t>Practice_Dev_Sup_Staff_Count["Practice_Areas.Practice_1", "Depts.Marketing", "Sup_Staff_Levels.Contributor", DATE(2010,11,1)]|=O292</t>
  </si>
  <si>
    <t>Cost_Services_Supplies_Hr["Practice_Areas.Practice_1", "Prof_Staff_Types.Prof_Level_1", "Supply_Types.Supply_Type_1", "Channels.Channels_2", DATE(2010,10,1)]|=N162</t>
  </si>
  <si>
    <t>Sales_Lead_Hrs_Expire_pct_Yr["Sales_Lead_Quality.Lead_Qual_1", "Practice_Areas.Practice_2", "Prof_Staff_Types.Prof_Level_2", "Channels.Channels_1", DATE(2011,3,1)]|=S111</t>
  </si>
  <si>
    <t>Per_Sup_Staff_Exp_Yr["Depts.Marketing", "Empl_Rel_Exp_Type.Other", DATE(2011,4,1)]|=T328</t>
  </si>
  <si>
    <t>Sales_Lead_Hrs_New["Sales_Lead_Quality.Lead_Qual_2", "Practice_Areas.Practice_2", "Prof_Staff_Types.Prof_Level_1", "Channels.Channels_1", DATE(2010,5,1)]|=2*I80-H80</t>
  </si>
  <si>
    <t>Sales_Lead_Hrs_New["Sales_Lead_Quality.Lead_Qual_1", "Practice_Areas.Practice_1", "Prof_Staff_Types.Prof_Level_2", "Channels.Channels_2", DATE(2010,4,1)]|=2*H71-G71</t>
  </si>
  <si>
    <t>Other Facilities Exp (Yr)</t>
  </si>
  <si>
    <t xml:space="preserve">  Channels_2</t>
  </si>
  <si>
    <t>Sales_Lead_Hrs_New["Sales_Lead_Quality.Lead_Qual_1", "Practice_Areas.Practice_1", "Prof_Staff_Types.Prof_Level_2", "Channels.Channels_1", DATE(2011,4,1)]|=2*T70-S70</t>
  </si>
  <si>
    <t>:A:0:Prof_Staff_Util_pct</t>
  </si>
  <si>
    <t>Sales_Lead_Hrs_New["Sales_Lead_Quality.Lead_Qual_2", "Practice_Areas.Practice_1", "Prof_Staff_Types.Prof_Level_2", "Channels.Channels_2", DATE(2010,4,1)]|=2*H79-G79</t>
  </si>
  <si>
    <t>:A:0:Tagged_Asset_Deprec_Period</t>
  </si>
  <si>
    <t>The discount rate to be used, if the Discount_Method = "direct". Annual rate is quoted for each time period. The model expresses all input discount rates in annual terms.</t>
  </si>
  <si>
    <t>Sales_Commis_Rate</t>
  </si>
  <si>
    <t>Engage!Engage_Cost_Supplies_Engagements_Engage_1_Prof_Staff_Types_Prof_Level_1_Supply_Types</t>
  </si>
  <si>
    <t>Cost_Services_Supplies_Hr["Practice_Areas.Practice_2", "Prof_Staff_Types.Prof_Level_1", "Supply_Types.Supply_Type_2", "Channels.Channels_1", DATE(2010,12,1)]|=P171</t>
  </si>
  <si>
    <t>Plot Support'!Prof_Staff_Hrs_Applied_Plot_Prof_Staff_Types</t>
  </si>
  <si>
    <t>Prof_Staff_Bonus_pct["Practice_Areas.Practice_1", "Prof_Staff_Types.Prof_Level_1", DATE(2010,2,1)]|=F215</t>
  </si>
  <si>
    <t>Depreciation expense during each accounting period, segmented by type of asset (hardware, software, equipment &amp; furniture)</t>
  </si>
  <si>
    <t>Per_Prof_Staff_Exp_Yr["Prof_Staff_Types.Prof_Level_1", "Empl_Rel_Exp_Type.Travel_Entertain", DATE(2010,11,1)]|=O320</t>
  </si>
  <si>
    <t>Sup_Staff_Bonus_pct["Depts.Marketing", "Sup_Staff_Levels.Manager", DATE(2011,1,1)]|=Q233</t>
  </si>
  <si>
    <t>Cost_Services_Supplies_Hr["Practice_Areas.Practice_2", "Prof_Staff_Types.Prof_Level_2", "Supply_Types.Supply_Type_2", "Channels.Channels_1", DATE(2011,2,1)]|=R175</t>
  </si>
  <si>
    <t>Sales_Lead_Hrs_Conv_pct_Yr["Sales_Lead_Quality.Lead_Qual_2", "Practice_Areas.Practice_1", "Prof_Staff_Types.Prof_Level_1", "Channels.Channels_2", DATE(2010,2,1)]|=F97</t>
  </si>
  <si>
    <t>Prof_Fee_Discount_pct["Practice_Areas.Practice_1", "Prof_Staff_Types.Prof_Level_1", DATE(2010,1,1)]|=0</t>
  </si>
  <si>
    <t>Sales_Lead_Hrs_Expire_pct_Yr["Sales_Lead_Quality.Lead_Qual_1", "Practice_Areas.Practice_2", "Prof_Staff_Types.Prof_Level_1", "Channels.Channels_2", DATE(2010,6,1)]|=J110</t>
  </si>
  <si>
    <t>Tagged_Asset_Name</t>
  </si>
  <si>
    <t>Engage!Engage_Cost_Supplies_Engagements_Engage_2_Prof_Staff_Types_Prof_Level_2_Supply_Types_Supply_Type_2</t>
  </si>
  <si>
    <t>1000+100*dimitemnum("Engagements")</t>
  </si>
  <si>
    <t>New_Old</t>
  </si>
  <si>
    <t>Plot Support'!Orders_Filled_Hrs_Plot_Prof_Staff_Types_Prof_Level_2</t>
  </si>
  <si>
    <t>Per New Sup Staff</t>
  </si>
  <si>
    <t>Cost_Services_Supplies_Hr["Practice_Areas.Practice_2", "Prof_Staff_Types.Prof_Level_2", "Supply_Types.Supply_Type_1", "Channels.Channels_1", DATE(2010,6,1)]|=J173</t>
  </si>
  <si>
    <t>(Tables)'!Engage_Hrs_Applied_ET_Engage_Time_Period_4_Engagements_Engage_2</t>
  </si>
  <si>
    <t>Interest_Rate_Short_Yr[DATE(2010,12,1)]|=P339</t>
  </si>
  <si>
    <t>Per_Sup_Staff_Exp_Yr["Depts.Marketing", "Empl_Rel_Exp_Type.Other", DATE(2010,1,1)]|=0</t>
  </si>
  <si>
    <t>Sales_Lead_Hrs_New["Sales_Lead_Quality.Lead_Qual_2", "Practice_Areas.Practice_1", "Prof_Staff_Types.Prof_Level_2", "Channels.Channels_2", DATE(2010,1,1)]|=2*0-0</t>
  </si>
  <si>
    <t>(Ranges)'!Revenue_Practice_Areas_Practice_1_Prof_Staff_Types_Prof_Level_1</t>
  </si>
  <si>
    <t>Cost_Services_Supplies_Hr["Practice_Areas.Practice_2", "Prof_Staff_Types.Prof_Level_1", "Supply_Types.Supply_Type_2", "Channels.Channels_1", DATE(2010,8,1)]|=L171</t>
  </si>
  <si>
    <t>Long_Loans[DATE(2011,4,1)]|=U421</t>
  </si>
  <si>
    <t>Sup_Staff_Benefits_pct[DATE(2011,2,1)]|=R238</t>
  </si>
  <si>
    <t>Sales_Lead_Hrs_Conv_pct_Yr["Sales_Lead_Quality.Lead_Qual_1", "Practice_Areas.Practice_1", "Prof_Staff_Types.Prof_Level_1", "Channels.Channels_2", DATE(2011,4,1)]|=T89</t>
  </si>
  <si>
    <t>Gross margin for each major Engagement. Segmented by Engagement, Professional Staff Type, and time period. Does not include billings for small engagemenets from the sales funnel.</t>
  </si>
  <si>
    <t>Cost_Services_Supplies_Hr["Practice_Areas.Practice_1", "Prof_Staff_Types.Prof_Level_2", "Supply_Types.Supply_Type_2", "Channels.Channels_2", DATE(2010,11,1)]|=O168</t>
  </si>
  <si>
    <t>Cost_Services_Supplies_Hr["Practice_Areas.Practice_1", "Prof_Staff_Types.Prof_Level_2", "Supply_Types.Supply_Type_1", "Channels.Channels_1", DATE(2010,11,1)]|=O165</t>
  </si>
  <si>
    <t>Orders_Filled_Hrs_pct["Practice_Areas.Practice_1", "Prof_Staff_Types.Prof_Level_1", "Channels.Channels_1", DATE(2010,4,1)]|=H122</t>
  </si>
  <si>
    <t>Sales_Lead_Hrs_New["Sales_Lead_Quality.Lead_Qual_2", "Practice_Areas.Practice_1", "Prof_Staff_Types.Prof_Level_1", "Channels.Channels_1", DATE(2011,3,1)]|=2*S76-R76</t>
  </si>
  <si>
    <t>Practice_Dev_Sup_Staff_Count["Practice_Areas.Practice_1", "Depts.Marketing", "Sup_Staff_Levels.Contributor", DATE(2010,4,1)]|=H292</t>
  </si>
  <si>
    <t>Cost_Services_Supplies_Hr["Practice_Areas.Practice_2", "Prof_Staff_Types.Prof_Level_1", "Supply_Types.Supply_Type_2", "Channels.Channels_2", DATE(2011,4,1)]|=T172</t>
  </si>
  <si>
    <t>Engage_Discount_pct["Engagements.Engage_2", DATE(2010,5,1)]|=I149</t>
  </si>
  <si>
    <t>Sup_Staff_Wage_Expense</t>
  </si>
  <si>
    <t>Orders_Filled_Hrs_pct["Practice_Areas.Practice_2", "Prof_Staff_Types.Prof_Level_2", "Channels.Channels_1", DATE(2010,4,1)]|=H128</t>
  </si>
  <si>
    <t>Inputs!Engage_Hrs_pct_Billed_ET_Engage_Time_Period_1_Engagements_Engage_2_Prof_Staff_Types_Prof_Level_1</t>
  </si>
  <si>
    <t>ifm(Time&lt;0.99, 0, if(sum(ranget(Revenue, date(year(current_date(1))-1, month(current_date(1)), day(current_date(1))+1), current_date(1)))=0, 0, Valuation_Equity/sum(ranget(Revenue, date(year(current_date(1))-1, month(current_date(1)), day(current_date(1))+1), current_date(1)))))</t>
  </si>
  <si>
    <t>Prof_Staff_Targ_Util_pct["Practice_Areas.Practice_1", "Prof_Staff_Types.Prof_Level_1", DATE(2010,10,1)]|=N189</t>
  </si>
  <si>
    <t>Prof_Staff_Targ_Util_pct["Practice_Areas.Practice_2", "Prof_Staff_Types.Prof_Level_2", DATE(2010,11,1)]|=O192</t>
  </si>
  <si>
    <t>Prof_Fee_Discount_pct["Practice_Areas.Practice_1", "Prof_Staff_Types.Prof_Level_2", DATE(2010,2,1)]|=F144</t>
  </si>
  <si>
    <t>Cost_Services_Supplies_Hr["Practice_Areas.Practice_2", "Prof_Staff_Types.Prof_Level_2", "Supply_Types.Supply_Type_1", "Channels.Channels_1", DATE(2010,10,1)]|=N173</t>
  </si>
  <si>
    <t>Depts, OpExpType.Dept_Exp_Accts</t>
  </si>
  <si>
    <t>Sales_Lead_Hrs_Conv_pct_Yr["Sales_Lead_Quality.Lead_Qual_1", "Practice_Areas.Practice_1", "Prof_Staff_Types.Prof_Level_1", "Channels.Channels_2", DATE(2010,9,1)]|=M89</t>
  </si>
  <si>
    <t>Per_Sup_Staff_Exp_Yr["Depts.Marketing", "Empl_Rel_Exp_Type.Other", DATE(2010,8,1)]|=L328</t>
  </si>
  <si>
    <t>Cost_Services_Supplies_Hr["Practice_Areas.Practice_1", "Prof_Staff_Types.Prof_Level_1", "Supply_Types.Supply_Type_2", "Channels.Channels_1", DATE(2010,2,1)]|=F163</t>
  </si>
  <si>
    <t>Professional staff hours applied to practice development. Segmented by practice area, Professional Staff Type, and time period.</t>
  </si>
  <si>
    <t>Prof_Staff_Targ_Hrs_per_HC_Yr</t>
  </si>
  <si>
    <t>Mktg_Pgms_Exp_Early["Mktg_Pgms.Seminars", "Practice_Areas.Practice_2", DATE(2010,7,1)]|=K277</t>
  </si>
  <si>
    <t>Prof_Staff_Count_Early["Practice_Areas.Practice_1", "Prof_Staff_Types.Prof_Level_1", DATE(2010,3,1)]|=G184</t>
  </si>
  <si>
    <t>:A:-1:Operating_Margin_pct</t>
  </si>
  <si>
    <t>Gross margin percent (gross margin / revenue), segmented by Practice Area, Professional Staff Type, Channel, and time period</t>
  </si>
  <si>
    <t>:D:0:Sales_Lead_Quality</t>
  </si>
  <si>
    <t>Income tax rate</t>
  </si>
  <si>
    <t>Sup_Staff_Wage_incr_pct["Sup_Staff_Levels.Manager", DATE(2011,2,1)]|=R230</t>
  </si>
  <si>
    <t>Sup_Staff_Count_Early["Depts.Sales", "Sup_Staff_Levels.Manager", DATE(2011,4,1)]|=T199</t>
  </si>
  <si>
    <t>Prof_Staff_Benefits_pct["Prof_Staff_Types.Prof_Level_2", DATE(2011,1,1)]|=Q221</t>
  </si>
  <si>
    <t>Sales_Lead_Hrs_New["Sales_Lead_Quality.Lead_Qual_2", "Practice_Areas.Practice_2", "Prof_Staff_Types.Prof_Level_2", "Channels.Channels_2", DATE(2010,11,1)]|=2*O83-N83</t>
  </si>
  <si>
    <t>A utility for identifying Engagements and Practice Areas</t>
  </si>
  <si>
    <t>Sales_Lead_Hrs_Expire_pct_Yr["Sales_Lead_Quality.Lead_Qual_2", "Practice_Areas.Practice_2", "Prof_Staff_Types.Prof_Level_2", "Channels.Channels_2", DATE(2010,9,1)]|=M120</t>
  </si>
  <si>
    <t>Prof_Staff_Cost_Unapplied</t>
  </si>
  <si>
    <t>Sales_Lead_Hrs_New["Sales_Lead_Quality.Lead_Qual_1", "Practice_Areas.Practice_1", "Prof_Staff_Types.Prof_Level_1", "Channels.Channels_2", DATE(2010,5,1)]|=2*I69-H69</t>
  </si>
  <si>
    <t>Sales_Lead_Hrs_New["Sales_Lead_Quality.Lead_Qual_1", "Practice_Areas.Practice_2", "Prof_Staff_Types.Prof_Level_2", "Channels.Channels_1", DATE(2010,1,1)]|=2*0-0</t>
  </si>
  <si>
    <t>:A:0:Interest_Rate_Long_Yr</t>
  </si>
  <si>
    <t>Sales_Lead_Hrs_New["Sales_Lead_Quality.Lead_Qual_1", "Practice_Areas.Practice_2", "Prof_Staff_Types.Prof_Level_2", "Channels.Channels_1", DATE(2010,2,1)]|=2*F74-F74</t>
  </si>
  <si>
    <t>:A:-1:Dividend_Yield</t>
  </si>
  <si>
    <t>:A:0:Sales_Lead_Hrs_New</t>
  </si>
  <si>
    <t>Prof_Staff_Salary_incr_pct["Prof_Staff_Types.Prof_Level_2", DATE(2010,3,1)]|=G213</t>
  </si>
  <si>
    <t>Orders_Filled_Hrs_pct["Practice_Areas.Practice_1", "Prof_Staff_Types.Prof_Level_2", "Channels.Channels_1", DATE(2011,5,1)]|=U124</t>
  </si>
  <si>
    <t>Practice_Dev_Prof_Spend</t>
  </si>
  <si>
    <t>Sales_Lead_Hrs_New["Sales_Lead_Quality.Lead_Qual_2", "Practice_Areas.Practice_2", "Prof_Staff_Types.Prof_Level_2", "Channels.Channels_2", DATE(2010,6,1)]|=2*J83-I83</t>
  </si>
  <si>
    <t>(Tables)'!Engage_Hrs_Applied_ET_Engage_Time_Period_2_Engagements_Engage_1_Prof_Staff_Types</t>
  </si>
  <si>
    <t>Sales_Lead_Hrs_New["Sales_Lead_Quality.Lead_Qual_2", "Practice_Areas.Practice_1", "Prof_Staff_Types.Prof_Level_1", "Channels.Channels_2", DATE(2010,2,1)]|=2*F77-F77</t>
  </si>
  <si>
    <t>Cost_Services_TandE_Hr["Practice_Areas.Practice_2", "Prof_Staff_Types.Prof_Level_1", "Channels.Channels_2", DATE(2010,12,1)]|=P158</t>
  </si>
  <si>
    <t>:A:-1:Per_Prof_Staff_Exp_Yr</t>
  </si>
  <si>
    <t>Chg_Bond_Principal</t>
  </si>
  <si>
    <t>:A:0:Sup_Staff_Count</t>
  </si>
  <si>
    <t>:A:-1:Order_Backlog_Hrs</t>
  </si>
  <si>
    <t>Practice_Dev_Sup_Staff_Count["Practice_Areas.Practice_2", "Depts.Sales", "Sup_Staff_Levels.Manager", DATE(2010,9,1)]|=M297</t>
  </si>
  <si>
    <t>Inputs!Engage_Hrs_Applied_ET_Engage_Time_Period_3_Engagements_Engage_2_Prof_Staff_Types_Prof_Level_2</t>
  </si>
  <si>
    <t>Cost_Services_Supplies_Hr["Practice_Areas.Practice_1", "Prof_Staff_Types.Prof_Level_2", "Supply_Types.Supply_Type_2", "Channels.Channels_2", DATE(2010,10,1)]|=N168</t>
  </si>
  <si>
    <t>Sales_Lead_Hrs_New["Sales_Lead_Quality.Lead_Qual_2", "Practice_Areas.Practice_2", "Prof_Staff_Types.Prof_Level_2", "Channels.Channels_2", DATE(2011,3,1)]|=2*S83-R83</t>
  </si>
  <si>
    <t>Physical Life (period)</t>
  </si>
  <si>
    <t>Support Staff Open Positions</t>
  </si>
  <si>
    <t>Orders_Filled_Hrs_pct["Practice_Areas.Practice_1", "Prof_Staff_Types.Prof_Level_2", "Channels.Channels_2", DATE(2010,4,1)]|=H125</t>
  </si>
  <si>
    <t>(Ranges)'!Gross_Margin_Practice_Areas_Practice_2_Prof_Staff_Types_Prof_Level_2_Channels_Channels_1</t>
  </si>
  <si>
    <t>The rate of increase of wage rates, by time period</t>
  </si>
  <si>
    <t>(Ranges)'!Prof_Staff_Hrs_Unbilled_Practice_Areas</t>
  </si>
  <si>
    <t>Professional staff hours that are applied on major Engagements (regardless of whether they are all billed to  clients), segmented by major Engagment, by Professional STaff Type, and by engagement time period. The values start as defaults determined by input variables Engage_Type_Labor_Pct and Engage_Type_Labor_Slope. You can override the default values as you wish.</t>
  </si>
  <si>
    <t>Prof_Staff_Bonus_pct["Practice_Areas.Practice_2", "Prof_Staff_Types.Prof_Level_1", DATE(2010,1,1)]|=0</t>
  </si>
  <si>
    <t>Per_Sup_Staff_Exp_Yr["Depts.Marketing", "Empl_Rel_Exp_Type.Travel_Entertain", DATE(2011,1,1)]|=Q327</t>
  </si>
  <si>
    <t>Orders_Filled_Hrs_pct["Practice_Areas.Practice_2", "Prof_Staff_Types.Prof_Level_2", "Channels.Channels_1", DATE(2011,4,1)]|=T128</t>
  </si>
  <si>
    <t>:A:-1:Untagged_Asset_Purch_Params</t>
  </si>
  <si>
    <t>Support Staff Wage Expense</t>
  </si>
  <si>
    <t>:A:-1:Practice_Dev_Prof_Staff_Count</t>
  </si>
  <si>
    <t>(Ranges)'!Prof_Staff_Hrs_Unbilled_Channel_Practice_Areas_Practice_2_Prof_Staff_Types_Prof_Level_2</t>
  </si>
  <si>
    <t>Per_Sup_Staff_Exp_Yr["Depts.Sales", "Empl_Rel_Exp_Type.Supplies", DATE(2010,4,1)]|=H329</t>
  </si>
  <si>
    <t>Discount_Rate_Direct_Yr[DATE(2010,10,1)]|=N348</t>
  </si>
  <si>
    <t>Per_Sup_Staff_Exp_Yr["Depts.Sales", "Empl_Rel_Exp_Type.Other", DATE(2010,12,1)]|=P331</t>
  </si>
  <si>
    <t>Prof_Staff_Count_Early["Practice_Areas.Practice_2", "Prof_Staff_Types.Prof_Level_2", DATE(2010,9,1)]|=M187</t>
  </si>
  <si>
    <t>Per_Sup_Staff_Exp_Yr["Depts.Sales", "Empl_Rel_Exp_Type.Other", DATE(2010,9,1)]|=M331</t>
  </si>
  <si>
    <t>Cost_Services_TandE_Hr["Practice_Areas.Practice_2", "Prof_Staff_Types.Prof_Level_2", "Channels.Channels_2", DATE(2010,12,1)]|=P160</t>
  </si>
  <si>
    <t>Orders_Filled_Hrs_pct["Practice_Areas.Practice_2", "Prof_Staff_Types.Prof_Level_1", "Channels.Channels_2", DATE(2010,7,1)]|=K127</t>
  </si>
  <si>
    <t>Practice_Dev_Prof_Staff_Count["Practice_Areas.Practice_2", "Prof_Staff_Types.Prof_Level_2", DATE(2011,5,1)]|=U289</t>
  </si>
  <si>
    <t>Furniture</t>
  </si>
  <si>
    <t>Orders_Filled_Hrs_pct["Practice_Areas.Practice_1", "Prof_Staff_Types.Prof_Level_1", "Channels.Channels_2", DATE(2010,10,1)]|=N123</t>
  </si>
  <si>
    <t>Sales_Lead_Hrs_New["Sales_Lead_Quality.Lead_Qual_1", "Practice_Areas.Practice_2", "Prof_Staff_Types.Prof_Level_1", "Channels.Channels_2", DATE(2010,8,1)]|=2*L73-K73</t>
  </si>
  <si>
    <t>(Tables)'!Engage_Hrs_Applied_ET_Engage_Time_Period_1_Engagements</t>
  </si>
  <si>
    <t>Practice_Dev_pct_Capd["Practice_Areas.Practice_2", DATE(2010,12,1)]|=P396</t>
  </si>
  <si>
    <t>Sales_Lead_Hrs_Conv_pct_Yr["Sales_Lead_Quality.Lead_Qual_1", "Practice_Areas.Practice_2", "Prof_Staff_Types.Prof_Level_2", "Channels.Channels_2", DATE(2010,3,1)]|=G95</t>
  </si>
  <si>
    <t>Return on Equity</t>
  </si>
  <si>
    <t>Wage_Tax_pct[DATE(2011,5,1)]|=U244</t>
  </si>
  <si>
    <t>(Ranges)'!Sup_Staff_Count_Depts_Marketing</t>
  </si>
  <si>
    <t>Sales_Lead_Hrs_Conv_pct_Yr["Sales_Lead_Quality.Lead_Qual_1", "Practice_Areas.Practice_1", "Prof_Staff_Types.Prof_Level_1", "Channels.Channels_1", DATE(2011,4,1)]|=T88</t>
  </si>
  <si>
    <t>Per_Sup_Staff_Exp_Yr["Depts.Marketing", "Empl_Rel_Exp_Type.Other", DATE(2010,5,1)]|=I328</t>
  </si>
  <si>
    <t>Practice_Dev_Sup_Staff_Count["Practice_Areas.Practice_2", "Depts.Sales", "Sup_Staff_Levels.Contributor", DATE(2010,3,1)]|=G298</t>
  </si>
  <si>
    <t>:A:0:Debt_Ratio</t>
  </si>
  <si>
    <t>Prof_Fee_Discount_pct["Practice_Areas.Practice_1", "Prof_Staff_Types.Prof_Level_1", DATE(2011,3,1)]|=S143</t>
  </si>
  <si>
    <t>Sales_Lead_Hrs_Expire_pct_Yr["Sales_Lead_Quality.Lead_Qual_1", "Practice_Areas.Practice_2", "Prof_Staff_Types.Prof_Level_2", "Channels.Channels_1", DATE(2010,5,1)]|=I111</t>
  </si>
  <si>
    <t>Cost_Services_Supplies_Hr["Practice_Areas.Practice_2", "Prof_Staff_Types.Prof_Level_1", "Supply_Types.Supply_Type_1", "Channels.Channels_1", DATE(2010,6,1)]|=J169</t>
  </si>
  <si>
    <t>Sales_Lead_Hrs_New["Sales_Lead_Quality.Lead_Qual_2", "Practice_Areas.Practice_2", "Prof_Staff_Types.Prof_Level_2", "Channels.Channels_2", DATE(2010,8,1)]|=2*L83-K83</t>
  </si>
  <si>
    <t>:D:-1:Liabilities</t>
  </si>
  <si>
    <t>Cost_Services_Supplies_Hr["Practice_Areas.Practice_1", "Prof_Staff_Types.Prof_Level_2", "Supply_Types.Supply_Type_2", "Channels.Channels_2", DATE(2010,4,1)]|=H168</t>
  </si>
  <si>
    <t>Cost_Services_Supplies_Hr["Practice_Areas.Practice_1", "Prof_Staff_Types.Prof_Level_1", "Supply_Types.Supply_Type_1", "Channels.Channels_2", DATE(2011,2,1)]|=R162</t>
  </si>
  <si>
    <t>Prof_Staff_Count_Early["Practice_Areas.Practice_2", "Prof_Staff_Types.Prof_Level_2", DATE(2010,8,1)]|=L187</t>
  </si>
  <si>
    <t>Inputs!Engage_Hrs_Applied_ET_Engage_Time_Period_1_Engagements_Engage_2_Prof_Staff_Types_Prof_Level_1</t>
  </si>
  <si>
    <t>:A:-1:Price_Earnings_Ratio</t>
  </si>
  <si>
    <t xml:space="preserve">Professional staff hours applied to client engagements (including small engagements from the sales funnel) but not billed. Segmented by Practice Area, Professional Staff Type, and time period. It segments by Channel first, while variable 'Prof Staff Hrs Unbilled' segments by Practice Area first. </t>
  </si>
  <si>
    <t>Office_Space_per_Person[DATE(2010,8,1)]|=L304</t>
  </si>
  <si>
    <t>Hours of professsional staff time billed to client engagements (includings small engagements from the sales funnel). Segmented by Practice Area, Professional Staff Type, Channel, and time period. This variable is used for plotting only.</t>
  </si>
  <si>
    <t>Cost_Services_TandE_Hr["Practice_Areas.Practice_1", "Prof_Staff_Types.Prof_Level_2", "Channels.Channels_1", DATE(2010,4,1)]|=H155</t>
  </si>
  <si>
    <t>Sales_Lead_Hrs_New["Sales_Lead_Quality.Lead_Qual_1", "Practice_Areas.Practice_2", "Prof_Staff_Types.Prof_Level_1", "Channels.Channels_2", DATE(2010,11,1)]|=2*O73-N73</t>
  </si>
  <si>
    <t>The ratio (support staff count at end of time period)/ (revenue 000 for time period)</t>
  </si>
  <si>
    <t>:A:0:Engage_Billings</t>
  </si>
  <si>
    <t>Sales_Lead_Hrs_New["Sales_Lead_Quality.Lead_Qual_2", "Practice_Areas.Practice_2", "Prof_Staff_Types.Prof_Level_2", "Channels.Channels_2", DATE(2011,4,1)]|=2*T83-S83</t>
  </si>
  <si>
    <t>:A:0:Engage_Size_Hrs</t>
  </si>
  <si>
    <t>Order_Backlog_Hrs_Init["Practice_Areas.Practice_2", "Prof_Staff_Types.Prof_Level_2", "Channels.Channels_1"]|=M59</t>
  </si>
  <si>
    <t>Cost_Services_Supplies_Hr["Practice_Areas.Practice_2", "Prof_Staff_Types.Prof_Level_2", "Supply_Types.Supply_Type_2", "Channels.Channels_2", DATE(2010,10,1)]|=N176</t>
  </si>
  <si>
    <t>Long_Loans[DATE(2009,12,1)]|=0</t>
  </si>
  <si>
    <t>Mktg_Pgms_Exp_Early["Mktg_Pgms.Publications", "Practice_Areas.Practice_1", DATE(2010,7,1)]|=K278</t>
  </si>
  <si>
    <t>Net_Stock_Issue[DATE(2010,4,1)]|=0</t>
  </si>
  <si>
    <t>Dividend[DATE(2010,4,1)]|=0</t>
  </si>
  <si>
    <t>Engage!Engage_Cost_TandE_Engagements_Engage_1_Prof_Staff_Types_Prof_Level_1_Supply_Types</t>
  </si>
  <si>
    <t>Practice_Areas, Depts, Sup_Staff_Levels</t>
  </si>
  <si>
    <t>Sales_Lead_Hrs_Conv_pct_Yr["Sales_Lead_Quality.Lead_Qual_1", "Practice_Areas.Practice_2", "Prof_Staff_Types.Prof_Level_2", "Channels.Channels_2", DATE(2010,1,1)]|=0.50</t>
  </si>
  <si>
    <t>Sales_Lead_Hrs_Expire_pct_Yr["Sales_Lead_Quality.Lead_Qual_1", "Practice_Areas.Practice_1", "Prof_Staff_Types.Prof_Level_1", "Channels.Channels_2", DATE(2010,4,1)]|=H106</t>
  </si>
  <si>
    <t>Cost_Services_Supplies_Hr["Practice_Areas.Practice_1", "Prof_Staff_Types.Prof_Level_1", "Supply_Types.Supply_Type_1", "Channels.Channels_2", DATE(2010,4,1)]|=H162</t>
  </si>
  <si>
    <t>Sales_Lead_Hrs_Conv_pct_Yr["Sales_Lead_Quality.Lead_Qual_2", "Practice_Areas.Practice_1", "Prof_Staff_Types.Prof_Level_1", "Channels.Channels_1", DATE(2011,5,1)]|=U96</t>
  </si>
  <si>
    <t>Prof_Fee_Discount_pct["Practice_Areas.Practice_2", "Prof_Staff_Types.Prof_Level_2", DATE(2011,6,1)]|=V146</t>
  </si>
  <si>
    <t>Sup_Staff_Count_Early["Depts.Sales", "Sup_Staff_Levels.Contributor", DATE(2010,12,1)]|=P200</t>
  </si>
  <si>
    <t>Prof_Staff_Util_pct</t>
  </si>
  <si>
    <t>Practice_Dev_Sup_Staff_Count["Practice_Areas.Practice_1", "Depts.Marketing", "Sup_Staff_Levels.Manager", DATE(2011,4,1)]|=T291</t>
  </si>
  <si>
    <t>Deprec Period</t>
  </si>
  <si>
    <t>Mktg_Pgms_Exp_Early["Mktg_Pgms.Seminars", "Practice_Areas.Practice_2", DATE(2010,6,1)]|=J277</t>
  </si>
  <si>
    <t>Sales_Lead_Hrs_Expire_pct_Yr["Sales_Lead_Quality.Lead_Qual_1", "Practice_Areas.Practice_1", "Prof_Staff_Types.Prof_Level_2", "Channels.Channels_2", DATE(2010,6,1)]|=J108</t>
  </si>
  <si>
    <t>(Compute)'!Prof_Staff_Cost_Unapplied_Time_Period</t>
  </si>
  <si>
    <t>The factor applied to cash flow in each time period to compute its contribution to present value</t>
  </si>
  <si>
    <t>Mktg_Pgms_Exp_Early["Mktg_Pgms.Seminars", "Practice_Areas.Practice_2", DATE(2011,4,1)]|=T277</t>
  </si>
  <si>
    <t>The Practice Area for each major Engagement that is tracked separately.</t>
  </si>
  <si>
    <t>:A:-1:Recruit_Exp_pct_Comp_Sup</t>
  </si>
  <si>
    <t>Sales_Commis_Rate[DATE(2010,2,1)]|=F246</t>
  </si>
  <si>
    <t>Sales_Lead_Hrs_New["Sales_Lead_Quality.Lead_Qual_2", "Practice_Areas.Practice_2", "Prof_Staff_Types.Prof_Level_1", "Channels.Channels_1", DATE(2010,6,1)]|=2*J80-I80</t>
  </si>
  <si>
    <t>:A:-1:Sales_Lead_Hrs_Init</t>
  </si>
  <si>
    <t>:A:0:Accts_Pay_Days</t>
  </si>
  <si>
    <t>:A:0:Tail_Discount_Rate</t>
  </si>
  <si>
    <t>(Ranges)'!Assets_Assets_Short_AcctsRec</t>
  </si>
  <si>
    <t>Support Staff Count Cutover</t>
  </si>
  <si>
    <t>Sup_Staff_Count_Early["Depts.Marketing", "Sup_Staff_Levels.Manager", DATE(2010,1,1)]|=0</t>
  </si>
  <si>
    <t>Display Item As</t>
  </si>
  <si>
    <t>Interest expense on short-term debt, long-term loans, and bonds (including bond initiation fees), net of interest earned on starting cash balance, for each time period.
Use of starting cash balance is a simplification that bypasses interdependence of interest earned and cash balances.</t>
  </si>
  <si>
    <t>Sales_Lead_Hrs_Expire_pct_Yr["Sales_Lead_Quality.Lead_Qual_2", "Practice_Areas.Practice_1", "Prof_Staff_Types.Prof_Level_2", "Channels.Channels_1", DATE(2011,4,1)]|=T115</t>
  </si>
  <si>
    <t>Sales_Lead_Hrs_Expire_pct_Yr["Sales_Lead_Quality.Lead_Qual_1", "Practice_Areas.Practice_1", "Prof_Staff_Types.Prof_Level_2", "Channels.Channels_2", DATE(2010,7,1)]|=K108</t>
  </si>
  <si>
    <t>Cost_Services_Supplies_Hr["Practice_Areas.Practice_2", "Prof_Staff_Types.Prof_Level_1", "Supply_Types.Supply_Type_2", "Channels.Channels_2", DATE(2011,1,1)]|=Q172</t>
  </si>
  <si>
    <t>:A:-1:Recruit_pct_Positions_Prof</t>
  </si>
  <si>
    <t>Sales_Lead_Hrs_New["Sales_Lead_Quality.Lead_Qual_1", "Practice_Areas.Practice_2", "Prof_Staff_Types.Prof_Level_2", "Channels.Channels_2", DATE(2011,4,1)]|=2*T75-S75</t>
  </si>
  <si>
    <t>Sales_Commis_Rate[DATE(2010,1,1)]|=0</t>
  </si>
  <si>
    <t>Facil_Other_Exp_Yr[DATE(2010,7,1)]|=K308</t>
  </si>
  <si>
    <t>Sales_Lead_Hrs_Conv_pct_Yr["Sales_Lead_Quality.Lead_Qual_2", "Practice_Areas.Practice_2", "Prof_Staff_Types.Prof_Level_2", "Channels.Channels_1", DATE(2011,4,1)]|=T102</t>
  </si>
  <si>
    <t>Sales_Lead_Hrs_New["Sales_Lead_Quality.Lead_Qual_1", "Practice_Areas.Practice_2", "Prof_Staff_Types.Prof_Level_1", "Channels.Channels_2", DATE(2011,5,1)]|=2*U73-T73</t>
  </si>
  <si>
    <t>Cost_Services_Supplies_Hr["Practice_Areas.Practice_1", "Prof_Staff_Types.Prof_Level_1", "Supply_Types.Supply_Type_2", "Channels.Channels_1", DATE(2010,1,1)]|=0</t>
  </si>
  <si>
    <t>Prof_Staff_Salary_incr_pct["Prof_Staff_Types.Prof_Level_1", DATE(2010,7,1)]|=K212</t>
  </si>
  <si>
    <t>Accts_Pay_Targ_Days["Accts_Pay_Type.Payroll_Pay", DATE(2010,10,1)]|=O411</t>
  </si>
  <si>
    <t>Mktg_Pgms_K["Mktg_Pgms.Seminars", "Practice_Areas.Practice_2", "Konst.K2"]|=1</t>
  </si>
  <si>
    <t>Tagged_Asset_Salvage_Value</t>
  </si>
  <si>
    <t>Sales_Lead_Hrs_New["Sales_Lead_Quality.Lead_Qual_1", "Practice_Areas.Practice_1", "Prof_Staff_Types.Prof_Level_1", "Channels.Channels_1", DATE(2011,2,1)]|=2*R68-Q68</t>
  </si>
  <si>
    <t>Prof_Staff_Benefits_pct["Prof_Staff_Types.Prof_Level_1", DATE(2010,6,1)]|=J220</t>
  </si>
  <si>
    <t>:A:0:Engage_Hrs_Billed</t>
  </si>
  <si>
    <t>Engage_Size_Hrs</t>
  </si>
  <si>
    <t>:A:0:Cash_Flow_Check</t>
  </si>
  <si>
    <t>Engagements, Engage_Time, Prof_Staff_Types</t>
  </si>
  <si>
    <t>Sales_Lead_Hrs_Conv_pct_Yr["Sales_Lead_Quality.Lead_Qual_2", "Practice_Areas.Practice_1", "Prof_Staff_Types.Prof_Level_2", "Channels.Channels_2", DATE(2010,4,1)]|=H99</t>
  </si>
  <si>
    <t>:A:0:Chg_Bond_Principal_short</t>
  </si>
  <si>
    <t>Sup_Staff_Bonus_pct["Depts.Sales", "Sup_Staff_Levels.Manager", DATE(2010,10,1)]|=N235</t>
  </si>
  <si>
    <t>Sales_Lead_Hrs_Conv_pct_Yr["Sales_Lead_Quality.Lead_Qual_1", "Practice_Areas.Practice_2", "Prof_Staff_Types.Prof_Level_2", "Channels.Channels_2", DATE(2011,6,1)]|=V95</t>
  </si>
  <si>
    <t>Accts_Rec_Days[DATE(2011,1,1)]|=Q366</t>
  </si>
  <si>
    <t>Annualized rate at which qualified sales leads expire, segmented by lead quality and by product, for each time period. Sales leads apply to products only, not support.</t>
  </si>
  <si>
    <t>:A:0:Prof_Fees_per_Hr_Nominal</t>
  </si>
  <si>
    <t>Prof_Staff_Targ_Util_pct["Practice_Areas.Practice_2", "Prof_Staff_Types.Prof_Level_1", DATE(2010,1,1)]|=0.8</t>
  </si>
  <si>
    <t>Prof_Staff_Bonus_pct["Practice_Areas.Practice_2", "Prof_Staff_Types.Prof_Level_1", DATE(2010,7,1)]|=K217</t>
  </si>
  <si>
    <t>:A:0:Order_Backlog_Hrs</t>
  </si>
  <si>
    <t>ifm(Time&lt;=0.001, next(Prof_Fees_per_Hr_Avg)*Order_Backlog_Hrs_Init, Prof_Fees_per_Hr_Avg*Order_Backlog_Hrs)</t>
  </si>
  <si>
    <t>Sales_Lead_Hrs_Expire_pct_Yr["Sales_Lead_Quality.Lead_Qual_2", "Practice_Areas.Practice_1", "Prof_Staff_Types.Prof_Level_2", "Channels.Channels_2", DATE(2011,3,1)]|=S116</t>
  </si>
  <si>
    <t>Professional Staff Utilization %</t>
  </si>
  <si>
    <t>Ident_Engage_Channel</t>
  </si>
  <si>
    <t>Per_Sup_Staff_Exp_Yr["Depts.Sales", "Empl_Rel_Exp_Type.Other", DATE(2010,7,1)]|=K331</t>
  </si>
  <si>
    <t>Cost_Services_Supplies_Hr["Practice_Areas.Practice_1", "Prof_Staff_Types.Prof_Level_1", "Supply_Types.Supply_Type_1", "Channels.Channels_2", DATE(2010,1,1)]|=0</t>
  </si>
  <si>
    <t>Expected Equity Cash Flow</t>
  </si>
  <si>
    <t>Sales_Lead_Hrs_Conv_pct_Yr["Sales_Lead_Quality.Lead_Qual_2", "Practice_Areas.Practice_2", "Prof_Staff_Types.Prof_Level_1", "Channels.Channels_2", DATE(2010,4,1)]|=H101</t>
  </si>
  <si>
    <t>Sales_Lead_Hrs_Conv_pct_Yr["Sales_Lead_Quality.Lead_Qual_2", "Practice_Areas.Practice_1", "Prof_Staff_Types.Prof_Level_1", "Channels.Channels_2", DATE(2011,3,1)]|=S97</t>
  </si>
  <si>
    <t>Sales_Lead_Hrs_Conv_pct_Yr["Sales_Lead_Quality.Lead_Qual_1", "Practice_Areas.Practice_2", "Prof_Staff_Types.Prof_Level_2", "Channels.Channels_1", DATE(2010,3,1)]|=G94</t>
  </si>
  <si>
    <t>Orders_Filled_Hrs_pct["Practice_Areas.Practice_2", "Prof_Staff_Types.Prof_Level_1", "Channels.Channels_2", DATE(2011,2,1)]|=R127</t>
  </si>
  <si>
    <t>Practice_Dev_Prof_Staff_Count["Practice_Areas.Practice_1", "Prof_Staff_Types.Prof_Level_1", DATE(2011,5,1)]|=U286</t>
  </si>
  <si>
    <t>Indirect Labor</t>
  </si>
  <si>
    <t>(Ranges)'!Revenue_Channel_Channels_Channels_1_Practice_Areas_Practice_2_Prof_Staff_Types</t>
  </si>
  <si>
    <t>Practice_Dev_Sup_Staff_Count["Practice_Areas.Practice_1", "Depts.Marketing", "Sup_Staff_Levels.Manager", DATE(2011,5,1)]|=U291</t>
  </si>
  <si>
    <t>Sales_Lead_Hrs_New["Sales_Lead_Quality.Lead_Qual_2", "Practice_Areas.Practice_1", "Prof_Staff_Types.Prof_Level_1", "Channels.Channels_2", DATE(2011,5,1)]|=2*U77-T77</t>
  </si>
  <si>
    <t>Office_Space_per_Person[DATE(2010,2,1)]|=F304</t>
  </si>
  <si>
    <t>Cost_Services_Supplies_Hr["Practice_Areas.Practice_2", "Prof_Staff_Types.Prof_Level_1", "Supply_Types.Supply_Type_2", "Channels.Channels_1", DATE(2011,3,1)]|=S171</t>
  </si>
  <si>
    <t>:D:1:OpExpType</t>
  </si>
  <si>
    <t>Cost_Services_Supplies_Hr["Practice_Areas.Practice_1", "Prof_Staff_Types.Prof_Level_1", "Supply_Types.Supply_Type_2", "Channels.Channels_1", DATE(2011,2,1)]|=R163</t>
  </si>
  <si>
    <t>Liabilities</t>
  </si>
  <si>
    <t>Chg_Short_Debt</t>
  </si>
  <si>
    <t>Sup_Staff_Count_Early["Depts.Sales", "Sup_Staff_Levels.Contributor", DATE(2010,9,1)]|=M200</t>
  </si>
  <si>
    <t>Sales_Lead_Hrs_New["Sales_Lead_Quality.Lead_Qual_2", "Practice_Areas.Practice_1", "Prof_Staff_Types.Prof_Level_2", "Channels.Channels_2", DATE(2010,5,1)]|=2*I79-H79</t>
  </si>
  <si>
    <t>Recruit_pct_Positions_Prof</t>
  </si>
  <si>
    <t>Sales_Lead_Hrs_Conv_pct_Yr["Sales_Lead_Quality.Lead_Qual_1", "Practice_Areas.Practice_1", "Prof_Staff_Types.Prof_Level_1", "Channels.Channels_2", DATE(2010,2,1)]|=F89</t>
  </si>
  <si>
    <t>:A:-1:Tagged_Asset_Deprec_Period</t>
  </si>
  <si>
    <t>Practice_Dev_Sup_Staff_Count["Practice_Areas.Practice_2", "Depts.Sales", "Sup_Staff_Levels.Contributor", DATE(2011,5,1)]|=U298</t>
  </si>
  <si>
    <t>Long Term Loans</t>
  </si>
  <si>
    <t>Cash_Flow_Oper_Expected</t>
  </si>
  <si>
    <t>:D:0:Asset_Tags</t>
  </si>
  <si>
    <t>Cost_Services_TandE_Hr["Practice_Areas.Practice_1", "Prof_Staff_Types.Prof_Level_2", "Channels.Channels_2", DATE(2010,12,1)]|=P156</t>
  </si>
  <si>
    <t>:A:-1:Cash_Flow_Oper</t>
  </si>
  <si>
    <t xml:space="preserve">    AcctsPay</t>
  </si>
  <si>
    <t>:A:0:Cost_Services_TandE</t>
  </si>
  <si>
    <t>Sales_Lead_Hrs_New["Sales_Lead_Quality.Lead_Qual_1", "Practice_Areas.Practice_2", "Prof_Staff_Types.Prof_Level_2", "Channels.Channels_1", DATE(2010,6,1)]|=2*J74-I74</t>
  </si>
  <si>
    <t>Sales_Lead_Hrs_Expire_pct_Yr["Sales_Lead_Quality.Lead_Qual_2", "Practice_Areas.Practice_2", "Prof_Staff_Types.Prof_Level_1", "Channels.Channels_2", DATE(2010,3,1)]|=G118</t>
  </si>
  <si>
    <t>:A:-1:Prof_Staff_Cost_Unapplied</t>
  </si>
  <si>
    <t>Cost_Services_Supplies_Hr["Practice_Areas.Practice_2", "Prof_Staff_Types.Prof_Level_2", "Supply_Types.Supply_Type_1", "Channels.Channels_1", DATE(2011,1,1)]|=Q173</t>
  </si>
  <si>
    <t>(Ranges)'!Liabilities_Liabilities_Long</t>
  </si>
  <si>
    <t>:A:0:Income_Tax</t>
  </si>
  <si>
    <t>Support Staff Benefits %</t>
  </si>
  <si>
    <t>(Ranges)'!Revenue_Channel_Channels_Channels_2_Practice_Areas_Practice_2</t>
  </si>
  <si>
    <t>Per_Prof_Staff_Exp_Yr["Prof_Staff_Types.Prof_Level_2", "Empl_Rel_Exp_Type.Supplies", DATE(2010,4,1)]|=H322</t>
  </si>
  <si>
    <t>(Ranges)'!Gross_Margin_Practice_Areas</t>
  </si>
  <si>
    <t>Recruit_pct_Pos_Prof_Init["Practice_Areas.Practice_2", "Prof_Staff_Types.Prof_Level_1"]|=0.15</t>
  </si>
  <si>
    <t>Sup_Staff_Wage_incr_pct["Sup_Staff_Levels.Manager", DATE(2011,3,1)]|=S230</t>
  </si>
  <si>
    <t>Cost_Services_TandE_Hr["Practice_Areas.Practice_1", "Prof_Staff_Types.Prof_Level_1", "Channels.Channels_1", DATE(2010,5,1)]|=I153</t>
  </si>
  <si>
    <t>Cost_Services_Supplies_Hr*Prof_Staff_Hrs_Engage</t>
  </si>
  <si>
    <t>:D:0:Prof_Staff_Types.Prof_Level_2</t>
  </si>
  <si>
    <t>(Ranges)'!Revenue_Practice_Areas_Practice_1_Prof_Staff_Types_Prof_Level_1_Channels</t>
  </si>
  <si>
    <t>Cost_Services_Supplies_Hr["Practice_Areas.Practice_1", "Prof_Staff_Types.Prof_Level_1", "Supply_Types.Supply_Type_1", "Channels.Channels_1", DATE(2010,7,1)]|=K161</t>
  </si>
  <si>
    <t>Dividend[DATE(2011,4,1)]|=0</t>
  </si>
  <si>
    <t>Professional Staff Bonus</t>
  </si>
  <si>
    <t>Sales_Lead_Hrs_New["Sales_Lead_Quality.Lead_Qual_2", "Practice_Areas.Practice_1", "Prof_Staff_Types.Prof_Level_2", "Channels.Channels_2", DATE(2011,2,1)]|=2*R79-Q79</t>
  </si>
  <si>
    <t>Cost_Services_Supplies_Hr["Practice_Areas.Practice_1", "Prof_Staff_Types.Prof_Level_1", "Supply_Types.Supply_Type_1", "Channels.Channels_1", DATE(2011,1,1)]|=Q161</t>
  </si>
  <si>
    <t>Cost_Services_TandE_Hr["Practice_Areas.Practice_1", "Prof_Staff_Types.Prof_Level_2", "Channels.Channels_1", DATE(2011,3,1)]|=S155</t>
  </si>
  <si>
    <t>Prof_Staff_Targ_Util_pct["Practice_Areas.Practice_1", "Prof_Staff_Types.Prof_Level_1", DATE(2010,2,1)]|=F189</t>
  </si>
  <si>
    <t>Orders_Filled_Hrs_pct["Practice_Areas.Practice_1", "Prof_Staff_Types.Prof_Level_1", "Channels.Channels_2", DATE(2011,1,1)]|=Q123</t>
  </si>
  <si>
    <t>:A:0:Dev_Capd_Asset</t>
  </si>
  <si>
    <t>:A:0:Cash_Flow</t>
  </si>
  <si>
    <t>Cost_Services_Supplies_Hr["Practice_Areas.Practice_1", "Prof_Staff_Types.Prof_Level_1", "Supply_Types.Supply_Type_2", "Channels.Channels_2", DATE(2011,4,1)]|=T164</t>
  </si>
  <si>
    <t>Cost_Services_Supplies_Hr["Practice_Areas.Practice_1", "Prof_Staff_Types.Prof_Level_1", "Supply_Types.Supply_Type_1", "Channels.Channels_2", DATE(2011,6,1)]|=V162</t>
  </si>
  <si>
    <t>Cost_Services_Supplies_Hr["Practice_Areas.Practice_1", "Prof_Staff_Types.Prof_Level_1", "Supply_Types.Supply_Type_1", "Channels.Channels_2", DATE(2011,3,1)]|=S162</t>
  </si>
  <si>
    <t>Sales_Lead_Hrs_New["Sales_Lead_Quality.Lead_Qual_1", "Practice_Areas.Practice_1", "Prof_Staff_Types.Prof_Level_2", "Channels.Channels_2", DATE(2010,8,1)]|=2*L71-K71</t>
  </si>
  <si>
    <t>Mktg_Pgms_Exp_Early["Mktg_Pgms.Seminars", "Practice_Areas.Practice_2", DATE(2010,9,1)]|=M277</t>
  </si>
  <si>
    <t>Sup_Staff_Recruited*Sup_Staff_Wage_Avg*periods_per("year")*Recruit_Exp_pct_Comp_Sup</t>
  </si>
  <si>
    <t>Cost_Services_Supplies_Hr["Practice_Areas.Practice_2", "Prof_Staff_Types.Prof_Level_1", "Supply_Types.Supply_Type_2", "Channels.Channels_2", DATE(2010,10,1)]|=N172</t>
  </si>
  <si>
    <t>Sales_Lead_Hrs_Conv_pct_Yr["Sales_Lead_Quality.Lead_Qual_2", "Practice_Areas.Practice_2", "Prof_Staff_Types.Prof_Level_2", "Channels.Channels_1", DATE(2011,5,1)]|=U102</t>
  </si>
  <si>
    <t>Cash Target Days</t>
  </si>
  <si>
    <t>Practice_Dev_pct_Capd["Practice_Areas.Practice_1", DATE(2010,11,1)]|=O395</t>
  </si>
  <si>
    <t>(Ranges)'!Gross_Margin_Practice_Areas_Practice_1</t>
  </si>
  <si>
    <t>Cash_Flow_Expect_Factor[DATE(2011,2,1)]|=R439</t>
  </si>
  <si>
    <t>Sup_Staff_Count*Sup_Staff_Wage_Avg</t>
  </si>
  <si>
    <t>Sales_Lead_Hrs_Conv_pct_Yr["Sales_Lead_Quality.Lead_Qual_1", "Practice_Areas.Practice_2", "Prof_Staff_Types.Prof_Level_2", "Channels.Channels_1", DATE(2010,12,1)]|=P94</t>
  </si>
  <si>
    <t>Engage!Engage_Hrs_Billed_Engagements_Engage_1</t>
  </si>
  <si>
    <t>(Ranges)'!Gross_Margin_Practice_Areas_Practice_2_Prof_Staff_Types_Prof_Level_1_Channels_Channels_1</t>
  </si>
  <si>
    <t>Average Billing Rates</t>
  </si>
  <si>
    <t>Per_Prof_Staff_Exp_Yr["Prof_Staff_Types.Prof_Level_1", "Empl_Rel_Exp_Type.Other", DATE(2010,11,1)]|=O321</t>
  </si>
  <si>
    <t>Sales_Lead_Hrs_New["Sales_Lead_Quality.Lead_Qual_1", "Practice_Areas.Practice_2", "Prof_Staff_Types.Prof_Level_1", "Channels.Channels_1", DATE(2010,10,1)]|=2*N72-M72</t>
  </si>
  <si>
    <t>Engage!Engage_Gross_Margin_pct_Engagements_Engage_1</t>
  </si>
  <si>
    <t>:A:-1:Prof_Staff_Rel_Exp</t>
  </si>
  <si>
    <t>(Ranges)'!Prof_Staff_Hrs_Unbilled_Practice_Areas_Practice_2_Prof_Staff_Types_Prof_Level_2</t>
  </si>
  <si>
    <t>:A:-1:Engage_Hrs_Billed</t>
  </si>
  <si>
    <t>Sales_Lead_Hrs_Conv_pct_Yr["Sales_Lead_Quality.Lead_Qual_1", "Practice_Areas.Practice_1", "Prof_Staff_Types.Prof_Level_2", "Channels.Channels_1", DATE(2011,3,1)]|=S90</t>
  </si>
  <si>
    <t>Accts_Receivable-prev(Accts_Receivable)</t>
  </si>
  <si>
    <t>Per_Prof_Staff_Exp_Yr["Prof_Staff_Types.Prof_Level_1", "Empl_Rel_Exp_Type.Other", DATE(2010,7,1)]|=K321</t>
  </si>
  <si>
    <t>if(iserror(irr(ranget(IRR_CF_no_Tail, model_date(1, -1), model_date(2)), (1+IRR_Guess_no_Tail_Yr)^(1/periods_per("year"))-1)), " ", (1+irr(ranget(IRR_CF_no_Tail, model_date(1, -1), model_date(2)), (1+IRR_Guess_no_Tail_Yr)^(1/periods_per("year"))-1))^periods_per("year")-1)</t>
  </si>
  <si>
    <t>Sup_Staff_Count_Early["Depts.Marketing", "Sup_Staff_Levels.Manager", DATE(2011,2,1)]|=R197</t>
  </si>
  <si>
    <t>:A:0:Dividend_Yield</t>
  </si>
  <si>
    <t>Sales_Lead_Hrs_Expire_pct_Yr["Sales_Lead_Quality.Lead_Qual_1", "Practice_Areas.Practice_1", "Prof_Staff_Types.Prof_Level_2", "Channels.Channels_2", DATE(2010,4,1)]|=H108</t>
  </si>
  <si>
    <t>Sales_Lead_Hrs_Conv_pct_Yr["Sales_Lead_Quality.Lead_Qual_1", "Practice_Areas.Practice_1", "Prof_Staff_Types.Prof_Level_1", "Channels.Channels_2", DATE(2011,5,1)]|=U89</t>
  </si>
  <si>
    <t>Cost_Services_Supplies_Hr["Practice_Areas.Practice_1", "Prof_Staff_Types.Prof_Level_1", "Supply_Types.Supply_Type_1", "Channels.Channels_2", DATE(2010,9,1)]|=M162</t>
  </si>
  <si>
    <t>Per_Prof_Staff_Exp_Yr["Prof_Staff_Types.Prof_Level_1", "Empl_Rel_Exp_Type.Travel_Entertain", DATE(2011,6,1)]|=V320</t>
  </si>
  <si>
    <t>:A:0:Prof_Staff_Count_plt</t>
  </si>
  <si>
    <t>:A:-1:Per_Sup_Staff_Exp_Yr</t>
  </si>
  <si>
    <t>Sales_Lead_Hrs_Conv_pct_Yr["Sales_Lead_Quality.Lead_Qual_1", "Practice_Areas.Practice_1", "Prof_Staff_Types.Prof_Level_2", "Channels.Channels_2", DATE(2010,1,1)]|=0.50</t>
  </si>
  <si>
    <t>Office_Rent_Rate_Yr[DATE(2010,8,1)]|=L305</t>
  </si>
  <si>
    <t>:A:0:Gross_Margin_Channel</t>
  </si>
  <si>
    <t>:D:-1:Channels</t>
  </si>
  <si>
    <t>Prof_Fee_Discount_pct["Practice_Areas.Practice_2", "Prof_Staff_Types.Prof_Level_2", DATE(2010,6,1)]|=J146</t>
  </si>
  <si>
    <t>(Ranges)'!Gross_Margin_Channel_Channels</t>
  </si>
  <si>
    <t>Oper_Exp_Ratio</t>
  </si>
  <si>
    <t>Practice_Dev_Sup_Staff_Count["Practice_Areas.Practice_1", "Depts.Sales", "Sup_Staff_Levels.Manager", DATE(2010,1,1)]|=0</t>
  </si>
  <si>
    <t>Mktg_Pgms_Exp_Early["Mktg_Pgms.Publications", "Practice_Areas.Practice_2", DATE(2010,12,1)]|=P279</t>
  </si>
  <si>
    <t>:A:0:Discount_Rate_Direct_Yr</t>
  </si>
  <si>
    <t>Engage!Engage_Cost_Supplies_Engagements_Engage_2_Prof_Staff_Types_Prof_Level_1_Supply_Types_Supply_Type_2</t>
  </si>
  <si>
    <t>Sales_Lead_Hrs_New["Sales_Lead_Quality.Lead_Qual_1", "Practice_Areas.Practice_1", "Prof_Staff_Types.Prof_Level_2", "Channels.Channels_1", DATE(2010,6,1)]|=2*J70-I70</t>
  </si>
  <si>
    <t>Sales_Lead_Hrs_Expire_pct_Yr["Sales_Lead_Quality.Lead_Qual_2", "Practice_Areas.Practice_2", "Prof_Staff_Types.Prof_Level_2", "Channels.Channels_2", DATE(2010,12,1)]|=P120</t>
  </si>
  <si>
    <t>Engage!Engage_Cost_TandE_Engagements_Engage_2_Prof_Staff_Types_Prof_Level_1_Supply_Types</t>
  </si>
  <si>
    <t>Per_Sup_Staff_Exp_Yr["Depts.Sales", "Empl_Rel_Exp_Type.Supplies", DATE(2010,12,1)]|=P329</t>
  </si>
  <si>
    <t>Interest_Rate_Long_Yr[DATE(2010,12,1)]|=P340</t>
  </si>
  <si>
    <t>Engage_Gross_Margin_pct</t>
  </si>
  <si>
    <t xml:space="preserve">  Seminars</t>
  </si>
  <si>
    <t>Prof_Fee_Discount_pct["Practice_Areas.Practice_2", "Prof_Staff_Types.Prof_Level_1", DATE(2010,4,1)]|=H145</t>
  </si>
  <si>
    <t>Amount of development spending that is capitalized in each time period. This includes a fixed amount (per year, allocated to each time period) plus a percentage of remaining development spending.</t>
  </si>
  <si>
    <t>The discount rate per time period for computing present values</t>
  </si>
  <si>
    <t>:D:-1:Engagements</t>
  </si>
  <si>
    <t>Sup_Staff_Count_Early["Depts.Sales", "Sup_Staff_Levels.Manager", DATE(2010,12,1)]|=P199</t>
  </si>
  <si>
    <t>Prof_Fee_Discount_pct["Practice_Areas.Practice_2", "Prof_Staff_Types.Prof_Level_2", DATE(2010,7,1)]|=K146</t>
  </si>
  <si>
    <t>Interest_Exp_Net</t>
  </si>
  <si>
    <t>Facil_Other_Exp_Yr[DATE(2010,8,1)]|=L308</t>
  </si>
  <si>
    <t>Per_Prof_Staff_Exp_Yr["Prof_Staff_Types.Prof_Level_1", "Empl_Rel_Exp_Type.Travel_Entertain", DATE(2011,2,1)]|=R320</t>
  </si>
  <si>
    <t>Cost_Services_Supplies_Hr["Practice_Areas.Practice_1", "Prof_Staff_Types.Prof_Level_1", "Supply_Types.Supply_Type_1", "Channels.Channels_1", DATE(2010,9,1)]|=M161</t>
  </si>
  <si>
    <t>Cost_Services_Supplies_Hr["Practice_Areas.Practice_1", "Prof_Staff_Types.Prof_Level_2", "Supply_Types.Supply_Type_2", "Channels.Channels_2", DATE(2011,4,1)]|=T168</t>
  </si>
  <si>
    <t>Cost_Services_TandE_Hr["Practice_Areas.Practice_2", "Prof_Staff_Types.Prof_Level_2", "Channels.Channels_2", DATE(2010,3,1)]|=G160</t>
  </si>
  <si>
    <t>:A:0:Paid_In_Capital</t>
  </si>
  <si>
    <t>Sales_Lead_Hrs_Conv_pct_Yr["Sales_Lead_Quality.Lead_Qual_1", "Practice_Areas.Practice_1", "Prof_Staff_Types.Prof_Level_2", "Channels.Channels_1", DATE(2010,4,1)]|=H90</t>
  </si>
  <si>
    <t>Office_Rent_Rate_Yr[DATE(2010,4,1)]|=H305</t>
  </si>
  <si>
    <t>Prof_Fee_Discount_pct["Practice_Areas.Practice_2", "Prof_Staff_Types.Prof_Level_1", DATE(2010,10,1)]|=N145</t>
  </si>
  <si>
    <t>if(iserror(irr(ranget(IRR_CF_w_Tail, model_date(1, -1), model_date(2)), (1+IRR_Guess_w_Tail_Yr)^(1/periods_per("year"))-1)), " ", (1+irr(ranget(IRR_CF_w_Tail, model_date(1, -1), model_date(2)), (1+IRR_Guess_w_Tail_Yr)^(1/periods_per("year"))-1))^periods_per("year")-1)</t>
  </si>
  <si>
    <t>Practice_Dev_Sup_Staff_Count["Practice_Areas.Practice_1", "Depts.Sales", "Sup_Staff_Levels.Contributor", DATE(2010,7,1)]|=K294</t>
  </si>
  <si>
    <t>Sales_Lead_Hrs_Expire_pct_Yr["Sales_Lead_Quality.Lead_Qual_1", "Practice_Areas.Practice_1", "Prof_Staff_Types.Prof_Level_1", "Channels.Channels_2", DATE(2010,3,1)]|=G106</t>
  </si>
  <si>
    <t>Prof_Fee_Discount_pct["Practice_Areas.Practice_1", "Prof_Staff_Types.Prof_Level_2", DATE(2011,3,1)]|=S144</t>
  </si>
  <si>
    <t>Sales_Lead_Hrs_Expire_pct_Yr["Sales_Lead_Quality.Lead_Qual_2", "Practice_Areas.Practice_2", "Prof_Staff_Types.Prof_Level_1", "Channels.Channels_2", DATE(2010,9,1)]|=M118</t>
  </si>
  <si>
    <t>:A:0:Purchases_Short_Term</t>
  </si>
  <si>
    <t>(Ranges)'!Prof_Staff_Hrs_Unbilled_Practice_Areas_Practice_2</t>
  </si>
  <si>
    <t>Sales_Commis_Rev_Share[DATE(2010,5,1)]|=I247</t>
  </si>
  <si>
    <t>Discount_Rate_Direct_Yr[DATE(2010,3,1)]|=G348</t>
  </si>
  <si>
    <t>var(Engage_Hrs_Billed*index(ranged("Practice_Areas", Prof_Fees_per_Hr_Avg), match(Practice_Area, ranged("Practice_Areas", Practice_Area), 0))*(1-matmult(Ident_Engage_Practice, Prof_Fee_Discount_pct, "Practice_Areas", "Practice_Areas")))</t>
  </si>
  <si>
    <t>Practice_Dev_Sup_Staff_Count["Practice_Areas.Practice_1", "Depts.Sales", "Sup_Staff_Levels.Manager", DATE(2011,4,1)]|=T293</t>
  </si>
  <si>
    <t>:A:-1:Sales_Lead_Hrs_Expire_pct</t>
  </si>
  <si>
    <t>Sales_Lead_Hrs_New["Sales_Lead_Quality.Lead_Qual_1", "Practice_Areas.Practice_1", "Prof_Staff_Types.Prof_Level_1", "Channels.Channels_2", DATE(2010,11,1)]|=2*O69-N69</t>
  </si>
  <si>
    <t>Sup_Staff_Benefits_pct[DATE(2011,3,1)]|=S238</t>
  </si>
  <si>
    <t>Sales_Lead_Hrs_Conv_pct_Yr["Sales_Lead_Quality.Lead_Qual_2", "Practice_Areas.Practice_2", "Prof_Staff_Types.Prof_Level_1", "Channels.Channels_2", DATE(2010,5,1)]|=I101</t>
  </si>
  <si>
    <t>Staff hours from order backlog (from small engagements in the the sales funnel) that are fulfilled and billed in each time period, segmented by Practice Area and Professional Staff Type</t>
  </si>
  <si>
    <t>Practice_Dev_Sup_Staff_Count["Practice_Areas.Practice_1", "Depts.Sales", "Sup_Staff_Levels.Contributor", DATE(2011,5,1)]|=U294</t>
  </si>
  <si>
    <t>Sales_Lead_Hrs_Conv_pct_Yr["Sales_Lead_Quality.Lead_Qual_2", "Practice_Areas.Practice_2", "Prof_Staff_Types.Prof_Level_2", "Channels.Channels_2", DATE(2011,3,1)]|=S103</t>
  </si>
  <si>
    <t>Sales_Lead_Hrs_Expire_pct_Yr["Sales_Lead_Quality.Lead_Qual_2", "Practice_Areas.Practice_1", "Prof_Staff_Types.Prof_Level_1", "Channels.Channels_1", DATE(2011,6,1)]|=V113</t>
  </si>
  <si>
    <t>:D:-1:GA_Exp</t>
  </si>
  <si>
    <t>if(Prof_Staff_Hrs_Capacity=0, " ", Prof_Staff_Hrs_Applied/Prof_Staff_Hrs_Capacity)</t>
  </si>
  <si>
    <t>:A:-1:Current_Ratio</t>
  </si>
  <si>
    <t>max(0, Prof_Staff_Hrs_Applied-Practice_Dev_Prof_Staff_Hrs-Prof_Staff_Hrs_Billed)</t>
  </si>
  <si>
    <t>Engage!Engage_Billings_Engagements_Engage_2_Prof_Staff_Types_Prof_Level_2</t>
  </si>
  <si>
    <t>Orders_Filled_Hrs_pct["Practice_Areas.Practice_2", "Prof_Staff_Types.Prof_Level_2", "Channels.Channels_2", DATE(2010,5,1)]|=I129</t>
  </si>
  <si>
    <t>Engage_Hrs_Applied_ET["Engagements.Engage_2", "Prof_Staff_Types.Prof_Level_2", "Engage_Time.Period_4"]|=if('(Tables)'!B45&lt;=G21, F27*F21*1/G21+F27*F21*min(1, max(-1, G27))*2*'(Tables)'!B45/G21/G21+F27*F21*min(1, max(-1, G27))*(-1)/G21/G21+F27*F21*min(1, max(-1, G27))*(-1)/G21, 0*F21/G21)</t>
  </si>
  <si>
    <t>Sup_Staff_Bonus_pct["Depts.Sales", "Sup_Staff_Levels.Manager", DATE(2010,9,1)]|=M235</t>
  </si>
  <si>
    <t>Accts_Pay_Targ_Days["Accts_Pay_Type.Vendor_Pay", DATE(2011,3,1)]|=T410</t>
  </si>
  <si>
    <t>(Tables)'!Engage_Rev_Nominal_Fees_Engagements_Engage_1_Prof_Staff_Types_Prof_Level_1</t>
  </si>
  <si>
    <t>Mktg_Pgms_K["Mktg_Pgms.Publications", "Practice_Areas.Practice_2", "Konst.K2"]|=1</t>
  </si>
  <si>
    <t>Prof_Staff_Salary_incr_pct["Prof_Staff_Types.Prof_Level_1", DATE(2010,3,1)]|=G212</t>
  </si>
  <si>
    <t>Practice_Dev_pct_Capd["Practice_Areas.Practice_2", DATE(2010,1,1)]|=0</t>
  </si>
  <si>
    <t>:A:0:Price_Earnings_Ratio</t>
  </si>
  <si>
    <t>Per_Sup_Staff_Exp_Yr["Depts.Marketing", "Empl_Rel_Exp_Type.Other", DATE(2011,1,1)]|=Q328</t>
  </si>
  <si>
    <t>Orders_Filled_Hrs_pct["Practice_Areas.Practice_1", "Prof_Staff_Types.Prof_Level_1", "Channels.Channels_1", DATE(2011,2,1)]|=R122</t>
  </si>
  <si>
    <t>Per_Prof_Staff_Exp_Yr["Prof_Staff_Types.Prof_Level_1", "Empl_Rel_Exp_Type.Supplies", DATE(2010,7,1)]|=K319</t>
  </si>
  <si>
    <t>Practice_Areas, Channels, Dir_Cost_Types.Travel_and_Entertain</t>
  </si>
  <si>
    <t>Size (Hrs)</t>
  </si>
  <si>
    <t>Mktg Pgms Exp Early</t>
  </si>
  <si>
    <t>Mktg_Pgms_Exp_Early["Mktg_Pgms.Seminars", "Practice_Areas.Practice_2", DATE(2010,8,1)]|=L277</t>
  </si>
  <si>
    <t>Sup_Staff_Count_Early["Depts.Sales", "Sup_Staff_Levels.Contributor", DATE(2011,5,1)]|=U200</t>
  </si>
  <si>
    <t>Per_Sup_Staff_Exp_Yr["Depts.Marketing", "Empl_Rel_Exp_Type.Supplies", DATE(2010,11,1)]|=O326</t>
  </si>
  <si>
    <t>G_A_Exp_K["Depts.Sales", "GA_Exp.GA_Exp_1", "Konst.K0"]|=0</t>
  </si>
  <si>
    <t>Value of accounts payable at the start of model time, segmented by payables type</t>
  </si>
  <si>
    <t>:D:2:Empl_Rel_Exp_Type</t>
  </si>
  <si>
    <t>Cash_Uses</t>
  </si>
  <si>
    <t>Sup_Staff_Bonus_pct["Depts.Marketing", "Sup_Staff_Levels.Manager", DATE(2011,6,1)]|=V233</t>
  </si>
  <si>
    <t>Sales_Lead_Hrs_Conv_pct_Yr["Sales_Lead_Quality.Lead_Qual_1", "Practice_Areas.Practice_1", "Prof_Staff_Types.Prof_Level_2", "Channels.Channels_2", DATE(2010,7,1)]|=K91</t>
  </si>
  <si>
    <t>Sales_Lead_Hrs_New["Sales_Lead_Quality.Lead_Qual_2", "Practice_Areas.Practice_2", "Prof_Staff_Types.Prof_Level_2", "Channels.Channels_2", DATE(2010,3,1)]|=2*G83-F83</t>
  </si>
  <si>
    <t>Interest_Rate_Earned_Cash_Yr[DATE(2010,12,1)]|=P341</t>
  </si>
  <si>
    <t>Sales_Lead_Hrs_New["Sales_Lead_Quality.Lead_Qual_2", "Practice_Areas.Practice_2", "Prof_Staff_Types.Prof_Level_1", "Channels.Channels_2", DATE(2011,4,1)]|=2*T81-S81</t>
  </si>
  <si>
    <t>Cost_Services_Supplies_Hr["Practice_Areas.Practice_2", "Prof_Staff_Types.Prof_Level_1", "Supply_Types.Supply_Type_1", "Channels.Channels_1", DATE(2011,6,1)]|=V169</t>
  </si>
  <si>
    <t>:D:0:Untagged_Asset_Purch_Params.Per_Old_Prof_Staff</t>
  </si>
  <si>
    <t>Prof Staff Recruited</t>
  </si>
  <si>
    <t>Net_Stock_Issue[DATE(2010,12,1)]|=0</t>
  </si>
  <si>
    <t>Sales_Lead_Hrs_New["Sales_Lead_Quality.Lead_Qual_2", "Practice_Areas.Practice_2", "Prof_Staff_Types.Prof_Level_1", "Channels.Channels_1", DATE(2011,4,1)]|=2*T80-S80</t>
  </si>
  <si>
    <t>Applied Hours % Billed</t>
  </si>
  <si>
    <t>Sup_Staff_Count_K["Depts.Marketing", "Sup_Staff_Levels.Manager", "Konst.K2"]|=1</t>
  </si>
  <si>
    <t>G_A_Exp_K["Depts.Sales", "GA_Exp.GA_Exp_1", "Konst.K1"]|=0</t>
  </si>
  <si>
    <t>Practice_Dev_Sup_Staff_Count["Practice_Areas.Practice_2", "Depts.Marketing", "Sup_Staff_Levels.Manager", DATE(2011,4,1)]|=T295</t>
  </si>
  <si>
    <t>:A:-1:Sales_Leads</t>
  </si>
  <si>
    <t>:A:-1:Bad_Debt_pct</t>
  </si>
  <si>
    <t>Capitalized Dev Deprec</t>
  </si>
  <si>
    <t>:A:0:Sup_Staff_Benefits_pct</t>
  </si>
  <si>
    <t>Support staff headcount, segmented by department and job level, by time period. The formula allows nonlinear growth of headcount with revenue. Each headcount number is later rounded to half-integers.</t>
  </si>
  <si>
    <t>Cost_Services_Supplies_Hr["Practice_Areas.Practice_2", "Prof_Staff_Types.Prof_Level_2", "Supply_Types.Supply_Type_2", "Channels.Channels_2", DATE(2011,5,1)]|=U176</t>
  </si>
  <si>
    <t>Cash_Flow_Expect_Factor[DATE(2010,7,1)]|=K439</t>
  </si>
  <si>
    <t>:A:0:Recruit_Exp_Sup</t>
  </si>
  <si>
    <t>Wage_Tax_pct[DATE(2010,1,1)]|=0.10</t>
  </si>
  <si>
    <t>Taxable Income</t>
  </si>
  <si>
    <t>(Ranges)'!Operating_Exp_Depts</t>
  </si>
  <si>
    <t>Prof_Staff_Types</t>
  </si>
  <si>
    <t>Office_Utilities_Rate_Yr[DATE(2010,11,1)]|=O306</t>
  </si>
  <si>
    <t>Cost_Services_TandE_Hr["Practice_Areas.Practice_1", "Prof_Staff_Types.Prof_Level_2", "Channels.Channels_2", DATE(2010,3,1)]|=G156</t>
  </si>
  <si>
    <t>:A:-1:Tail_Growth_Rate_Yr</t>
  </si>
  <si>
    <t>Support Staff Constants</t>
  </si>
  <si>
    <t>:A:-1:Facil_Util_Exp</t>
  </si>
  <si>
    <t>Per_Prof_Staff_Exp_Yr</t>
  </si>
  <si>
    <t>(Ranges)'!Gross_Margin_Channel_Channels_Channels_2_Practice_Areas</t>
  </si>
  <si>
    <t>Annual interest rate on long-term debt, quoted for each time period. The model expresses all input interest rates in annual terms.</t>
  </si>
  <si>
    <t>Depts, OpExpType.Programs</t>
  </si>
  <si>
    <t>Mktg Prog K</t>
  </si>
  <si>
    <t>Sales_Lead_Hrs_Init["Practice_Areas.Practice_1", "Prof_Staff_Types.Prof_Level_1", "Channels.Channels_1", "Sales_Lead_Quality.Lead_Qual_2"]|=0</t>
  </si>
  <si>
    <t>:A:0:Asset_Turnover</t>
  </si>
  <si>
    <t>Professional staff hours applied on major Engagements but not billed to clients, segmented by major Engagement, by Professional Staff Type, and by time period.</t>
  </si>
  <si>
    <t>Per_Sup_Staff_Exp_Yr["Depts.Marketing", "Empl_Rel_Exp_Type.Supplies", DATE(2010,9,1)]|=M326</t>
  </si>
  <si>
    <t xml:space="preserve">  K2</t>
  </si>
  <si>
    <t>(Ranges)'!Assets_Assets_Short</t>
  </si>
  <si>
    <t>Loss_Forward</t>
  </si>
  <si>
    <t>:A:-1:Prof_Fees_per_Hr_Nominal</t>
  </si>
  <si>
    <t>Sales_Lead_Hrs_Expire_pct_Yr["Sales_Lead_Quality.Lead_Qual_2", "Practice_Areas.Practice_1", "Prof_Staff_Types.Prof_Level_1", "Channels.Channels_2", DATE(2011,6,1)]|=V114</t>
  </si>
  <si>
    <t>Accts_Pay_Targ_Days["Accts_Pay_Type.Payroll_Pay", DATE(2010,6,1)]|=K411</t>
  </si>
  <si>
    <t>Per_Prof_Staff_Exp_Yr["Prof_Staff_Types.Prof_Level_1", "Empl_Rel_Exp_Type.Supplies", DATE(2011,6,1)]|=V319</t>
  </si>
  <si>
    <t>Theoretical staff billings, if billed at nominal fees, segmented by Practice Area, Professional Staff Type, Channel, and time period. Fee discounts for Practice Area and Prof Staff Type are applied, but not discounts for each major Engagement. Used to compute fee discount % and nominal fees averaged over types of billed hours.</t>
  </si>
  <si>
    <t>Sup_Staff_Count_Early["Depts.Marketing", "Sup_Staff_Levels.Manager", DATE(2010,5,1)]|=I197</t>
  </si>
  <si>
    <t>Office_Utilities_Rate_Yr[DATE(2010,12,1)]|=P306</t>
  </si>
  <si>
    <t>Sales_Commis_Rev_Share[DATE(2010,2,1)]|=F247</t>
  </si>
  <si>
    <t>Practice_Dev_pct_Capd["Practice_Areas.Practice_2", DATE(2010,2,1)]|=F396</t>
  </si>
  <si>
    <t>Cost_Services_Supplies_Hr["Practice_Areas.Practice_1", "Prof_Staff_Types.Prof_Level_1", "Supply_Types.Supply_Type_1", "Channels.Channels_1", DATE(2011,5,1)]|=U161</t>
  </si>
  <si>
    <t>ifm(Time&lt;=0.001, Untagged_Asset_Purch_Params["Untagged_Asset_Purch_Params.Initial_Purchase"], Untagged_Asset_Purch_Params["Untagged_Asset_Purch_Params.Per_New_Sup_Staff"]*(Sup_Staff_Count-preve(0, Sup_Staff_Count))+Untagged_Asset_Purch_Params["Untagged_Asset_Purch_Params.Per_New_Prof_Staff"]*(Prof_Staff_Count-preve(0, Prof_Staff_Count))+Untagged_Asset_Purch_Params["Untagged_Asset_Purch_Params.Per_Old_Sup_Staff"]*preve(0, Sup_Staff_Count)+Untagged_Asset_Purch_Params["Untagged_Asset_Purch_Params.Per_Old_Prof_Staff"]*preve(0, Prof_Staff_Count)/periods_per("year"))</t>
  </si>
  <si>
    <t>Practice_Dev_pct_Capd["Practice_Areas.Practice_2", DATE(2010,11,1)]|=O396</t>
  </si>
  <si>
    <t>Bad_Debt_pct[DATE(2011,6,1)]|=V342</t>
  </si>
  <si>
    <t>(Ranges)'!Practice_Dev_Prof_Staff_Hrs_Practice_Areas_Practice_1_Prof_Staff_Types_Prof_Level_2</t>
  </si>
  <si>
    <t>Sup_Staff_Count_Cutover[]|=round(12.00000/2, 0)</t>
  </si>
  <si>
    <t>Prof_Fee_Discount_pct["Practice_Areas.Practice_1", "Prof_Staff_Types.Prof_Level_1", DATE(2011,2,1)]|=R143</t>
  </si>
  <si>
    <t>Prof_Staff_Count_Early["Practice_Areas.Practice_1", "Prof_Staff_Types.Prof_Level_1", DATE(2011,4,1)]|=T184</t>
  </si>
  <si>
    <t>Sales_Lead_Hrs_Conv_pct_Yr["Sales_Lead_Quality.Lead_Qual_1", "Practice_Areas.Practice_2", "Prof_Staff_Types.Prof_Level_1", "Channels.Channels_2", DATE(2010,9,1)]|=M93</t>
  </si>
  <si>
    <t>Discount_Rate_Direct_Yr[DATE(2010,2,1)]|=F348</t>
  </si>
  <si>
    <t>Billings for each major Engagement, segmented by Professional Staff Type, in each time period. Fee discount rates by Practice Area and Prof Staff Level are applied, but not Engagement discount rates. Excludes billings for small engagemenets from the sales funnel.</t>
  </si>
  <si>
    <t>Sales_Lead_Hrs_New["Sales_Lead_Quality.Lead_Qual_1", "Practice_Areas.Practice_1", "Prof_Staff_Types.Prof_Level_1", "Channels.Channels_2", DATE(2011,6,1)]|=2*V69-U69</t>
  </si>
  <si>
    <t>:A:-1:Sup_Staff_Count1_K_on</t>
  </si>
  <si>
    <t>var(if(diminfo("Practice_Areas")=index(ranged("Engagements", Practice_Area), dimitemnum("Engagements")), 1, 0))</t>
  </si>
  <si>
    <t>Prof_Staff_Bonus_pct["Practice_Areas.Practice_2", "Prof_Staff_Types.Prof_Level_1", DATE(2011,1,1)]|=Q217</t>
  </si>
  <si>
    <t>:A:-1:Cash</t>
  </si>
  <si>
    <t>Practice_Dev_Sup_Staff_Count["Practice_Areas.Practice_2", "Depts.Sales", "Sup_Staff_Levels.Manager", DATE(2010,5,1)]|=I297</t>
  </si>
  <si>
    <t>Sup_Staff_Benefits_pct[DATE(2011,6,1)]|=V238</t>
  </si>
  <si>
    <t>Office utilities expense ($/sqft/Yr), by time period</t>
  </si>
  <si>
    <t>Tagged_Asset_Purch_Date["Asset_Tags.Building_B"]|='(FnCalls 1)'!A59</t>
  </si>
  <si>
    <t>Engage_Size_Hrs["Engagements.Engage_2"]|=1000+100*2</t>
  </si>
  <si>
    <t>Plot Support'!Engage_Hrs_Applied_Plot_Prof_Staff_Types</t>
  </si>
  <si>
    <t>Sup_Staff_Count_Early["Depts.Sales", "Sup_Staff_Levels.Contributor", DATE(2010,8,1)]|=L200</t>
  </si>
  <si>
    <t>Support staff headcount, segmented by department and job level, by time period. The support staff count is rounded to half-integers.
Headcount is determined by explicit input data, and may be determined by a revenue-driven formula for later time periods.</t>
  </si>
  <si>
    <t>Marketing</t>
  </si>
  <si>
    <t>Recruit_pct_Positions_Prof["Practice_Areas.Practice_2", "Prof_Staff_Types.Prof_Level_1"]|=H257</t>
  </si>
  <si>
    <t>Per_Prof_Staff_Exp_Yr["Prof_Staff_Types.Prof_Level_1", "Empl_Rel_Exp_Type.Other", DATE(2011,2,1)]|=R321</t>
  </si>
  <si>
    <t>Sales_Lead_Hrs_Expire_pct_Yr["Sales_Lead_Quality.Lead_Qual_2", "Practice_Areas.Practice_2", "Prof_Staff_Types.Prof_Level_1", "Channels.Channels_1", DATE(2011,2,1)]|=R117</t>
  </si>
  <si>
    <t>(Ranges)'!Gross_Margin_Channel_Channels_Channels_2_Practice_Areas_Practice_2_Prof_Staff_Types_Prof_Level_2</t>
  </si>
  <si>
    <t>Prof_Staff_Count_Early["Practice_Areas.Practice_2", "Prof_Staff_Types.Prof_Level_1", DATE(2010,11,1)]|=O186</t>
  </si>
  <si>
    <t>Per_Prof_Staff_Exp_Yr["Prof_Staff_Types.Prof_Level_2", "Empl_Rel_Exp_Type.Other", DATE(2010,6,1)]|=J324</t>
  </si>
  <si>
    <t>Prof_Fee_Discount_pct["Practice_Areas.Practice_2", "Prof_Staff_Types.Prof_Level_1", DATE(2010,12,1)]|=P145</t>
  </si>
  <si>
    <t>Sales_Lead_Hrs_New["Sales_Lead_Quality.Lead_Qual_1", "Practice_Areas.Practice_2", "Prof_Staff_Types.Prof_Level_1", "Channels.Channels_1", DATE(2010,1,1)]|=2*0-0</t>
  </si>
  <si>
    <t>Cost_Services_TandE_Hr["Practice_Areas.Practice_2", "Prof_Staff_Types.Prof_Level_2", "Channels.Channels_2", DATE(2010,2,1)]|=F160</t>
  </si>
  <si>
    <t>Orders (Billed Hrs)</t>
  </si>
  <si>
    <t>(Tables)'!Engage_Hrs_pct_Billed_ET_Engage_Time_Period_3_Engagements_Engage_2_Prof_Staff_Types</t>
  </si>
  <si>
    <t>Sales_Lead_Hrs_Expire_pct_Yr["Sales_Lead_Quality.Lead_Qual_1", "Practice_Areas.Practice_2", "Prof_Staff_Types.Prof_Level_1", "Channels.Channels_2", DATE(2011,5,1)]|=U110</t>
  </si>
  <si>
    <t>if(Prof_Staff_Hrs_Billed=0, 0, Prof_Staff_Billings_Nom_Fees/Prof_Staff_Hrs_Billed)</t>
  </si>
  <si>
    <t>Sales_Lead_Hrs_Conv_pct_Yr["Sales_Lead_Quality.Lead_Qual_2", "Practice_Areas.Practice_2", "Prof_Staff_Types.Prof_Level_1", "Channels.Channels_1", DATE(2010,7,1)]|=K100</t>
  </si>
  <si>
    <t>Practice_Dev_Prof_Staff_Count["Practice_Areas.Practice_1", "Prof_Staff_Types.Prof_Level_1", DATE(2010,1,1)]|=0</t>
  </si>
  <si>
    <t>Cash Flow Check</t>
  </si>
  <si>
    <t>Orders_Filled_Hrs_pct["Practice_Areas.Practice_1", "Prof_Staff_Types.Prof_Level_2", "Channels.Channels_1", DATE(2010,2,1)]|=F124</t>
  </si>
  <si>
    <t>Sup_Staff_Turnover_pct_Yr["Depts.Sales", "Sup_Staff_Levels.Contributor"]|=F267</t>
  </si>
  <si>
    <t>Sales_Lead_Hrs_New["Sales_Lead_Quality.Lead_Qual_2", "Practice_Areas.Practice_1", "Prof_Staff_Types.Prof_Level_2", "Channels.Channels_1", DATE(2011,4,1)]|=2*T78-S78</t>
  </si>
  <si>
    <t>Duration</t>
  </si>
  <si>
    <t>Sales_Lead_Hrs_New["Sales_Lead_Quality.Lead_Qual_2", "Practice_Areas.Practice_2", "Prof_Staff_Types.Prof_Level_1", "Channels.Channels_1", DATE(2010,3,1)]|=2*G80-F80</t>
  </si>
  <si>
    <t>Practice_Dev_Sup_Staff_Count["Practice_Areas.Practice_1", "Depts.Sales", "Sup_Staff_Levels.Manager", DATE(2010,4,1)]|=H293</t>
  </si>
  <si>
    <t>Prof_Staff_Targ_Util_pct["Practice_Areas.Practice_2", "Prof_Staff_Types.Prof_Level_2", DATE(2010,8,1)]|=L192</t>
  </si>
  <si>
    <t>Cost_Services_Supplies_Hr["Practice_Areas.Practice_2", "Prof_Staff_Types.Prof_Level_1", "Supply_Types.Supply_Type_1", "Channels.Channels_1", DATE(2010,11,1)]|=O169</t>
  </si>
  <si>
    <t>Sup_Staff_Benefits_pct[DATE(2010,9,1)]|=M238</t>
  </si>
  <si>
    <t>:A:-1:Prof_Staff_Hrs_Unapplied</t>
  </si>
  <si>
    <t>(Ranges)'!Prof_Staff_Cost_Unapplied_Practice_Areas_Practice_1_Prof_Staff_Types_Prof_Level_1</t>
  </si>
  <si>
    <t>Interest % Earned on Cash (Yr)</t>
  </si>
  <si>
    <t>Prof_Staff_Cost_Applied</t>
  </si>
  <si>
    <t>Cost_Services_TandE_Hr*Prof_Staff_Hrs_Engage</t>
  </si>
  <si>
    <t>The accounting current ratio, equal to current assets / current liabilities</t>
  </si>
  <si>
    <t>if("Direct"="Direct", (1+Discount_Rate_Direct_Yr)^(1/periods_per("year"))-1, if("Direct"="CAPM", (1+(0+0*0)*(1-Debt_Ratio)+Interest_Rate_Long_Yr*(1-Income_Tax_Rate)*Debt_Ratio)^(1/periods_per("year"))-1, 0))</t>
  </si>
  <si>
    <t>Cost_Services_Supplies_Hr["Practice_Areas.Practice_2", "Prof_Staff_Types.Prof_Level_2", "Supply_Types.Supply_Type_1", "Channels.Channels_1", DATE(2010,5,1)]|=I173</t>
  </si>
  <si>
    <t>Cost_Services_Supplies_Hr["Practice_Areas.Practice_2", "Prof_Staff_Types.Prof_Level_1", "Supply_Types.Supply_Type_1", "Channels.Channels_2", DATE(2011,3,1)]|=S170</t>
  </si>
  <si>
    <t>Prof_Fee_Discount_pct["Practice_Areas.Practice_1", "Prof_Staff_Types.Prof_Level_2", DATE(2010,3,1)]|=G144</t>
  </si>
  <si>
    <t>Sales_Lead_Hrs_Expire_pct_Yr["Sales_Lead_Quality.Lead_Qual_2", "Practice_Areas.Practice_1", "Prof_Staff_Types.Prof_Level_2", "Channels.Channels_1", DATE(2011,5,1)]|=U115</t>
  </si>
  <si>
    <t>Practice_Dev_Sup_Staff_Count["Practice_Areas.Practice_2", "Depts.Marketing", "Sup_Staff_Levels.Contributor", DATE(2011,3,1)]|=S296</t>
  </si>
  <si>
    <t>:A:0:Engage_Hrs_Billed_ET</t>
  </si>
  <si>
    <t>Sales_Lead_Hrs_New["Sales_Lead_Quality.Lead_Qual_2", "Practice_Areas.Practice_1", "Prof_Staff_Types.Prof_Level_1", "Channels.Channels_1", DATE(2011,2,1)]|=2*R76-Q76</t>
  </si>
  <si>
    <t>Sales_Lead_Hrs_Expire_pct_Yr["Sales_Lead_Quality.Lead_Qual_1", "Practice_Areas.Practice_2", "Prof_Staff_Types.Prof_Level_1", "Channels.Channels_1", DATE(2010,11,1)]|=O109</t>
  </si>
  <si>
    <t>:A:-1:Cash_Sources</t>
  </si>
  <si>
    <t>Equity.RetainedEarnings</t>
  </si>
  <si>
    <t>Tail_Discount_Rate_Yr[]|</t>
  </si>
  <si>
    <t>Cost_Services_TandE_Hr["Practice_Areas.Practice_2", "Prof_Staff_Types.Prof_Level_2", "Channels.Channels_1", DATE(2010,9,1)]|=M159</t>
  </si>
  <si>
    <t>The total assets of the company at the end of each time period</t>
  </si>
  <si>
    <t>:A:0:Practice_Dev_Spend</t>
  </si>
  <si>
    <t>(Tables)'!Engage_Gross_Margin_Engagements_Engage_2_Prof_Staff_Types_Prof_Level_2</t>
  </si>
  <si>
    <t>Prof_Staff_Bonus_pct["Practice_Areas.Practice_1", "Prof_Staff_Types.Prof_Level_1", DATE(2011,6,1)]|=V215</t>
  </si>
  <si>
    <t>Operating Margin</t>
  </si>
  <si>
    <t>The cash dividend payment in each accounting period.
The formula in this variable expresses a dividend policy, based on the relationship between cash balances and revenue, and previous dividends.</t>
  </si>
  <si>
    <t>:A:0:Revenue</t>
  </si>
  <si>
    <t>Inputs!Engage_Hrs_pct_Billed_ET_Engage_Time_Period_4_Engagements_Engage_2_Prof_Staff_Types_Prof_Level_1</t>
  </si>
  <si>
    <t>Recruit_pct_Positions_Prof["Practice_Areas.Practice_1", "Prof_Staff_Types.Prof_Level_2"]|=0</t>
  </si>
  <si>
    <t>Practice_Dev_pct_Capd["Practice_Areas.Practice_1", DATE(2010,4,1)]|=H395</t>
  </si>
  <si>
    <t>(Tables)'!Engage_Hrs_pct_Billed_ET_Engage_Time_Period_3</t>
  </si>
  <si>
    <t>Sales_Lead_Hrs_Conv_pct_Yr["Sales_Lead_Quality.Lead_Qual_1", "Practice_Areas.Practice_1", "Prof_Staff_Types.Prof_Level_1", "Channels.Channels_2", DATE(2010,6,1)]|=J89</t>
  </si>
  <si>
    <t>Interest_Rate_Earned_Cash_Yr[DATE(2011,3,1)]|=S341</t>
  </si>
  <si>
    <t>Sup_Staff_Wage_incr_pct["Sup_Staff_Levels.Manager", DATE(2010,5,1)]|=I230</t>
  </si>
  <si>
    <t>Inputs!Engage_Hrs_Applied_ET_Engage_Time_Period_2_Engagements_Engage_1_Prof_Staff_Types_Prof_Level_2</t>
  </si>
  <si>
    <t>(Compute)'!Engage_Hrs_Billed_Time_Period</t>
  </si>
  <si>
    <t>:A:-1:Asset_Turnover</t>
  </si>
  <si>
    <t>Sup_Staff_Turnover_pct_Yr["Depts.Marketing", "Sup_Staff_Levels.Contributor"]|=F265</t>
  </si>
  <si>
    <t>:A:-1:Sup_Staff_Count</t>
  </si>
  <si>
    <t>(Tables)'!Engage_Rev_Nominal_Fees_Engagements_Engage_1_Prof_Staff_Types_Prof_Level_2</t>
  </si>
  <si>
    <t>ifm(Time&lt;0.99, 0, if(iserror(Dividend/Valuation_Equity), " ", Dividend/Valuation_Equity))</t>
  </si>
  <si>
    <t>Prof_Staff_Cost_per_Hr*Prof_Staff_Hrs_Unapplied</t>
  </si>
  <si>
    <t>:A:-1:Net_Stock_Issue</t>
  </si>
  <si>
    <t>Per_Sup_Staff_Exp_Yr["Depts.Marketing", "Empl_Rel_Exp_Type.Travel_Entertain", DATE(2010,7,1)]|=K327</t>
  </si>
  <si>
    <t>Tagged_Asset_Life_Depr_Yr["Asset_Tags.Building_A"]|=10</t>
  </si>
  <si>
    <t>Engage!Engage_Cost_TandE_Engagements_Engage_2_Prof_Staff_Types_Prof_Level_1_Supply_Types_Supply_Type_2</t>
  </si>
  <si>
    <t>Accts_Pay_Targ_Days["Accts_Pay_Type.Vendor_Pay", DATE(2010,7,1)]|=L410</t>
  </si>
  <si>
    <t>Prof_Staff_Benefits_pct["Prof_Staff_Types.Prof_Level_2", DATE(2010,3,1)]|=G221</t>
  </si>
  <si>
    <t>:A:0:Tail_Growth_Rate_Yr</t>
  </si>
  <si>
    <t>Facil_Other_Exp_Yr[DATE(2011,4,1)]|=T308</t>
  </si>
  <si>
    <t>IRR_Guess_no_Tail_Yr</t>
  </si>
  <si>
    <t>Prof_Staff_Hrs_Billed</t>
  </si>
  <si>
    <t>Sales_Lead_Hrs_New["Sales_Lead_Quality.Lead_Qual_2", "Practice_Areas.Practice_2", "Prof_Staff_Types.Prof_Level_2", "Channels.Channels_2", DATE(2010,4,1)]|=2*H83-G83</t>
  </si>
  <si>
    <t>Per Prof Staff Exp (Yr)</t>
  </si>
  <si>
    <t>Prof_Staff_Bonus_pct["Practice_Areas.Practice_2", "Prof_Staff_Types.Prof_Level_1", DATE(2010,6,1)]|=J217</t>
  </si>
  <si>
    <t>Sales_Lead_Hrs_Expire_pct_Yr["Sales_Lead_Quality.Lead_Qual_1", "Practice_Areas.Practice_1", "Prof_Staff_Types.Prof_Level_2", "Channels.Channels_2", DATE(2010,11,1)]|=O108</t>
  </si>
  <si>
    <t>Sales_Lead_Hrs_Conv_pct_Yr["Sales_Lead_Quality.Lead_Qual_2", "Practice_Areas.Practice_1", "Prof_Staff_Types.Prof_Level_1", "Channels.Channels_1", DATE(2010,8,1)]|=L96</t>
  </si>
  <si>
    <t>Engage_Hrs_Applied_ET*Engage_Hrs_pct_Billed_ET</t>
  </si>
  <si>
    <t>Company_Name</t>
  </si>
  <si>
    <t>GA Exp 1</t>
  </si>
  <si>
    <t>:A:0:Engage_Gross_Margin_pct</t>
  </si>
  <si>
    <t>Depts</t>
  </si>
  <si>
    <t>Income_Tax_Rate[DATE(2010,2,1)]|=F345</t>
  </si>
  <si>
    <t>Practice_Dev_Sup_Staff_Count["Practice_Areas.Practice_2", "Depts.Marketing", "Sup_Staff_Levels.Manager", DATE(2010,1,1)]|=0</t>
  </si>
  <si>
    <t>Cost_Services_Supplies_Hr["Practice_Areas.Practice_1", "Prof_Staff_Types.Prof_Level_2", "Supply_Types.Supply_Type_2", "Channels.Channels_1", DATE(2010,8,1)]|=L167</t>
  </si>
  <si>
    <t>(Tables)'!Engage_Hrs_Applied_ET_Engage_Time_Period_4_Engagements_Engage_2_Prof_Staff_Types</t>
  </si>
  <si>
    <t>if(var(Tagged_Asset_Purch_Date&lt;=addperiods(current_date(-1), -Tagged_Asset_Life_Depr_Period)), -2, if(var(current_date(-1)&lt;=Tagged_Asset_Purch_Date), if(var(Tagged_Asset_Purch_Date&lt;=current_date(1)), 0, -1), preve(-1)+1))</t>
  </si>
  <si>
    <t>Sales_Lead_Hrs_New["Sales_Lead_Quality.Lead_Qual_2", "Practice_Areas.Practice_2", "Prof_Staff_Types.Prof_Level_2", "Channels.Channels_2", DATE(2011,2,1)]|=2*R83-Q83</t>
  </si>
  <si>
    <t>(Compute)'!Revenue_Time_Period</t>
  </si>
  <si>
    <t>:A:-1:Chg_Long_Debt</t>
  </si>
  <si>
    <t>Prof_Staff_Count_Cutover</t>
  </si>
  <si>
    <t>Practice_Dev_Sup_Staff_Count["Practice_Areas.Practice_2", "Depts.Marketing", "Sup_Staff_Levels.Manager", DATE(2010,8,1)]|=L295</t>
  </si>
  <si>
    <t>if(Tagged_Asset_Deprec_Period&lt;=0, 0, if(Tagged_Asset_Deprec_Method="None", 0, if(Tagged_Asset_Deprec_Method="SYD", syd(Tagged_Asset_Init_Value, Tagged_Asset_Salvage_Value, Tagged_Asset_Life_Depr_Yr*periods_per("year"), Tagged_Asset_Deprec_Period), min(preve(0, Tagged_Assets)-Tagged_Asset_Salvage_Value, max(sln(Tagged_Asset_Init_Value, Tagged_Asset_Salvage_Value, Tagged_Asset_Life_Depr_Yr*periods_per("year")))), if(Tagged_Asset_Deprec_Method="DDB", ddb(Tagged_Asset_Init_Value, Tagged_Asset_Salvage_Value, Tagged_Asset_Life_Depr_Yr*periods_per("year"), Tagged_Asset_Deprec_Period), sln(Tagged_Asset_Init_Value, Tagged_Asset_Salvage_Value, Tagged_Asset_Life_Depr_Yr*periods_per("year"))))))</t>
  </si>
  <si>
    <t>:A:0:Prof_Staff_Turnover</t>
  </si>
  <si>
    <t>Engage!Engage_Cost_TandE_Engagements_Engage_2_Prof_Staff_Types_Prof_Level_1</t>
  </si>
  <si>
    <t>Prof_Fee_Discount_pct["Practice_Areas.Practice_1", "Prof_Staff_Types.Prof_Level_2", DATE(2011,1,1)]|=Q144</t>
  </si>
  <si>
    <t>Sales_Lead_Hrs_Conv_pct_Yr["Sales_Lead_Quality.Lead_Qual_2", "Practice_Areas.Practice_1", "Prof_Staff_Types.Prof_Level_2", "Channels.Channels_2", DATE(2010,9,1)]|=M99</t>
  </si>
  <si>
    <t>Inputs!Engage_Hrs_pct_Billed_ET_Engage_Time_Period_2_Engagements_Engage_2_Prof_Staff_Types_Prof_Level_1</t>
  </si>
  <si>
    <t>(Compute)'!Prof_Staff_Cost_Applied_Time_Period</t>
  </si>
  <si>
    <t>:A:0:Cash_Flow_Oper</t>
  </si>
  <si>
    <t>Sales_Lead_Hrs_New["Sales_Lead_Quality.Lead_Qual_1", "Practice_Areas.Practice_2", "Prof_Staff_Types.Prof_Level_1", "Channels.Channels_1", DATE(2011,1,1)]|=2*Q72-P72</t>
  </si>
  <si>
    <t>Sup_Staff_Bonus_pct["Depts.Marketing", "Sup_Staff_Levels.Contributor", DATE(2010,7,1)]|=K234</t>
  </si>
  <si>
    <t>Sales_Lead_Hrs_Expire_pct_Yr["Sales_Lead_Quality.Lead_Qual_2", "Practice_Areas.Practice_2", "Prof_Staff_Types.Prof_Level_1", "Channels.Channels_1", DATE(2011,1,1)]|=Q117</t>
  </si>
  <si>
    <t>Practice_Area</t>
  </si>
  <si>
    <t>Cost_Services_Supplies_Hr["Practice_Areas.Practice_1", "Prof_Staff_Types.Prof_Level_1", "Supply_Types.Supply_Type_1", "Channels.Channels_1", DATE(2010,12,1)]|=P161</t>
  </si>
  <si>
    <t>Operating_Margin-Depreciation-Financial_Exp-Income_Tax</t>
  </si>
  <si>
    <t>Practice_Dev_pct_Capd["Practice_Areas.Practice_1", DATE(2010,1,1)]|=0</t>
  </si>
  <si>
    <t>:D:0:Accts_Pay_Type</t>
  </si>
  <si>
    <t>Sup Job Level</t>
  </si>
  <si>
    <t>:A:0:Untagged_Asset_Life_Yrs</t>
  </si>
  <si>
    <t>:A:-1:Chg_Accts_Rec</t>
  </si>
  <si>
    <t>Sales_Lead_Hrs_Expire_pct_Yr["Sales_Lead_Quality.Lead_Qual_2", "Practice_Areas.Practice_2", "Prof_Staff_Types.Prof_Level_2", "Channels.Channels_2", DATE(2011,1,1)]|=Q120</t>
  </si>
  <si>
    <t>Sales_Lead_Hrs_Expire_pct_Yr["Sales_Lead_Quality.Lead_Qual_1", "Practice_Areas.Practice_2", "Prof_Staff_Types.Prof_Level_2", "Channels.Channels_2", DATE(2010,10,1)]|=N112</t>
  </si>
  <si>
    <t>:A:-1:Prof_Staff_Cost_Unbilled</t>
  </si>
  <si>
    <t>Engage!Orders_Filled_Practice_Areas_Practice_1_Prof_Staff_Types_Prof_Level_2_Channels_Channels_1</t>
  </si>
  <si>
    <t>Office Maint ($/sqf/Yr)</t>
  </si>
  <si>
    <t>(Tables)'!Prof_Staff_Hrs_Engage_Practice_Areas_Practice_2_Prof_Staff_Types_Prof_Level_2_Channels</t>
  </si>
  <si>
    <t>Amount of order backlog that is fulfilled in each time period, expressed in currency, segmented by product. Backlog applies to products only, not support.</t>
  </si>
  <si>
    <t>:A:0:Practice_Dev_Prof_Staff_Hrs</t>
  </si>
  <si>
    <t>Per_Prof_Staff_Exp_Yr["Prof_Staff_Types.Prof_Level_1", "Empl_Rel_Exp_Type.Other", DATE(2010,3,1)]|=G321</t>
  </si>
  <si>
    <t>Sales_Lead_Hrs_Expire_pct_Yr["Sales_Lead_Quality.Lead_Qual_1", "Practice_Areas.Practice_2", "Prof_Staff_Types.Prof_Level_2", "Channels.Channels_1", DATE(2010,6,1)]|=J111</t>
  </si>
  <si>
    <t>(Compute)'!Engage_Cost_Staff_Date</t>
  </si>
  <si>
    <t>Sales_Lead_Hrs_Conv_pct_Yr["Sales_Lead_Quality.Lead_Qual_1", "Practice_Areas.Practice_2", "Prof_Staff_Types.Prof_Level_1", "Channels.Channels_1", DATE(2011,2,1)]|=R92</t>
  </si>
  <si>
    <t>Sales_Lead_Hrs_Conv_pct_Yr["Sales_Lead_Quality.Lead_Qual_2", "Practice_Areas.Practice_1", "Prof_Staff_Types.Prof_Level_1", "Channels.Channels_2", DATE(2010,8,1)]|=L97</t>
  </si>
  <si>
    <t>Office_Utilities_Rate_Yr[DATE(2010,8,1)]|=L306</t>
  </si>
  <si>
    <t>:A:0:Sup_Staff_Expense</t>
  </si>
  <si>
    <t>var(if(Time_Periods&lt;Engage_Start_Time-0.001, 0, if(Time_Periods&gt;Engage_Start_Time+Engage_Duration-0.99, 0, index(ranged("Engage_Time", Engage_Hrs_Applied_ET), min(lastd("Engage_Time", Engage_Time), Time_Periods-Engage_Start_Time+1)))))</t>
  </si>
  <si>
    <t>Sales_Lead_Hrs_New["Sales_Lead_Quality.Lead_Qual_2", "Practice_Areas.Practice_1", "Prof_Staff_Types.Prof_Level_2", "Channels.Channels_1", DATE(2010,12,1)]|=2*P78-O78</t>
  </si>
  <si>
    <t>Practice_Dev_Sup_Staff_Count["Practice_Areas.Practice_2", "Depts.Marketing", "Sup_Staff_Levels.Contributor", DATE(2010,10,1)]|=N296</t>
  </si>
  <si>
    <t>Per_Prof_Staff_Exp_Yr["Prof_Staff_Types.Prof_Level_2", "Empl_Rel_Exp_Type.Supplies", DATE(2010,3,1)]|=G322</t>
  </si>
  <si>
    <t>(Compute)'!Prof_Staff_Hrs_Unapplied_Time_Period</t>
  </si>
  <si>
    <t>Sales_Lead_Hrs_New["Sales_Lead_Quality.Lead_Qual_1", "Practice_Areas.Practice_2", "Prof_Staff_Types.Prof_Level_1", "Channels.Channels_2", DATE(2011,2,1)]|=2*R73-Q73</t>
  </si>
  <si>
    <t>(Ranges)'!Operating_Exp_Depts_Sales_OpExpType_Facil_Util_Exp</t>
  </si>
  <si>
    <t>Per_Prof_Staff_Exp_Yr["Prof_Staff_Types.Prof_Level_2", "Empl_Rel_Exp_Type.Supplies", DATE(2010,11,1)]|=O322</t>
  </si>
  <si>
    <t>Practice_Dev_Sup_Staff_Count["Practice_Areas.Practice_2", "Depts.Sales", "Sup_Staff_Levels.Manager", DATE(2011,3,1)]|=S297</t>
  </si>
  <si>
    <t>Practice_Dev_Sup_Staff_Count["Practice_Areas.Practice_1", "Depts.Marketing", "Sup_Staff_Levels.Manager", DATE(2010,7,1)]|=K291</t>
  </si>
  <si>
    <t>Sup_Staff_Benefits_pct[DATE(2010,4,1)]|=H238</t>
  </si>
  <si>
    <t>Per_Sup_Staff_Exp_Yr["Depts.Marketing", "Empl_Rel_Exp_Type.Other", DATE(2010,9,1)]|=M328</t>
  </si>
  <si>
    <t>Engage!Engage_Cost_Supplies_Engagements_Engage_1</t>
  </si>
  <si>
    <t>Sup_Staff_Wage_incr_pct["Sup_Staff_Levels.Contributor", DATE(2011,5,1)]|=U231</t>
  </si>
  <si>
    <t>:D:2:Konst.K0</t>
  </si>
  <si>
    <t>Engage!Orders_Filled_Practice_Areas_Practice_2_Prof_Staff_Types_Prof_Level_2</t>
  </si>
  <si>
    <t>Sales_Lead_Hrs_New["Sales_Lead_Quality.Lead_Qual_2", "Practice_Areas.Practice_1", "Prof_Staff_Types.Prof_Level_2", "Channels.Channels_1", DATE(2010,10,1)]|=2*N78-M78</t>
  </si>
  <si>
    <t>Sales_Lead_Hrs_New["Sales_Lead_Quality.Lead_Qual_1", "Practice_Areas.Practice_1", "Prof_Staff_Types.Prof_Level_1", "Channels.Channels_1", DATE(2010,11,1)]|=2*O68-N68</t>
  </si>
  <si>
    <t>Mktg_Pgms_Exp_Early["Mktg_Pgms.Publications", "Practice_Areas.Practice_2", DATE(2010,11,1)]|=O279</t>
  </si>
  <si>
    <t>Prof_Staff_Hrs_Billed_Growth</t>
  </si>
  <si>
    <t>:D:0:Empl_Rel_Exp_Type</t>
  </si>
  <si>
    <t>Practice_Areas</t>
  </si>
  <si>
    <t>Prof_Fee_Discount_pct["Practice_Areas.Practice_1", "Prof_Staff_Types.Prof_Level_1", DATE(2010,10,1)]|=N143</t>
  </si>
  <si>
    <t>(Tables)'!Engage_Hrs_Applied_ET_Engage_Time_Period_1_Engagements_Engage_1_Prof_Staff_Types</t>
  </si>
  <si>
    <t>Wage_Tax_pct[DATE(2011,6,1)]|=V244</t>
  </si>
  <si>
    <t>:D:0:Assets.Short.AcctsRec</t>
  </si>
  <si>
    <t xml:space="preserve">  Initial_Purchase</t>
  </si>
  <si>
    <t>Billable hours applied on major Engagements, for each Professional Staff Type, in each time period. This variable is used for plotting only.</t>
  </si>
  <si>
    <t>Professional Staff Headcount, segmented by Practice Area, by Profesisonal Staff Type, and by time period. The headcount is rounded to half-integers.
You can set the professional staff headcount explicitly for time periods before a cutoff time that you specify. After the cutoff time, headcount is determined by planned billed staff hours and professional staff target utilzation. 
If the cutoff time is 0, then the the formula determines Professional Staff Headcount for all time periods. If the cutoff time is past the end of model time, then you can specify Professional Staff Headcount for all time periods.</t>
  </si>
  <si>
    <t>Cost_Services_Supplies_Hr["Practice_Areas.Practice_2", "Prof_Staff_Types.Prof_Level_1", "Supply_Types.Supply_Type_2", "Channels.Channels_2", DATE(2010,2,1)]|=F172</t>
  </si>
  <si>
    <t>Cost_Services_Supplies_Hr["Practice_Areas.Practice_2", "Prof_Staff_Types.Prof_Level_2", "Supply_Types.Supply_Type_2", "Channels.Channels_2", DATE(2010,9,1)]|=M176</t>
  </si>
  <si>
    <t>Plot Support'!Prof_Staff_Hrs_Applied_Plot_Prof_Staff_Types_Prof_Level_1</t>
  </si>
  <si>
    <t>Facil_Other_Exp_Yr[DATE(2010,9,1)]|=M308</t>
  </si>
  <si>
    <t>Sales_Lead_Hrs_Conv_pct_Yr["Sales_Lead_Quality.Lead_Qual_1", "Practice_Areas.Practice_2", "Prof_Staff_Types.Prof_Level_2", "Channels.Channels_1", DATE(2010,2,1)]|=F94</t>
  </si>
  <si>
    <t xml:space="preserve">  Building_A</t>
  </si>
  <si>
    <t>Cost_Services_Supplies_Hr["Practice_Areas.Practice_2", "Prof_Staff_Types.Prof_Level_1", "Supply_Types.Supply_Type_1", "Channels.Channels_2", DATE(2010,12,1)]|=P170</t>
  </si>
  <si>
    <t>(Ranges)'!Gross_Margin_Channel_Channels_Channels_1_Practice_Areas_Practice_1</t>
  </si>
  <si>
    <t>Sup_Staff_Wage_incr_pct["Sup_Staff_Levels.Manager", DATE(2010,10,1)]|=N230</t>
  </si>
  <si>
    <t>Sales_Leads_New</t>
  </si>
  <si>
    <t>true</t>
  </si>
  <si>
    <t>Cost_Services_Supplies_Hr["Practice_Areas.Practice_2", "Prof_Staff_Types.Prof_Level_1", "Supply_Types.Supply_Type_2", "Channels.Channels_2", DATE(2010,6,1)]|=J172</t>
  </si>
  <si>
    <t>Bonus pool for support staff as a percentage of wages, by department and job level, by time period</t>
  </si>
  <si>
    <t>:A:0:Return_on_Equity</t>
  </si>
  <si>
    <t>:A:0:Interest_Rate_Earned_Cash_Yr</t>
  </si>
  <si>
    <t>Sales_Lead_Hrs_Conv_pct_Yr["Sales_Lead_Quality.Lead_Qual_1", "Practice_Areas.Practice_2", "Prof_Staff_Types.Prof_Level_1", "Channels.Channels_1", DATE(2010,9,1)]|=M92</t>
  </si>
  <si>
    <t>Engage_Hrs_pct_Billed_ET["Engagements.Engage_1", "Prof_Staff_Types.Prof_Level_2", "Engage_Time.Period_4"]|=1</t>
  </si>
  <si>
    <t>Operating_Margin</t>
  </si>
  <si>
    <t>Staff Hrs Billed</t>
  </si>
  <si>
    <t>Sales_Lead_Hrs_Conv_pct_Yr["Sales_Lead_Quality.Lead_Qual_1", "Practice_Areas.Practice_1", "Prof_Staff_Types.Prof_Level_1", "Channels.Channels_2", DATE(2010,3,1)]|=G89</t>
  </si>
  <si>
    <t>ifm(Time&lt;=0.001, Sales_Lead_Hrs_Init, prevde(0, "Sales_Lead_Quality", (preve(Sales_Lead_Hrs_Init)+Sales_Lead_Hrs_New)*Sales_Lead_Hrs_Conv_pct)+(preve(0)+Sales_Lead_Hrs_New)*(1-Sales_Lead_Hrs_Conv_pct-Sales_Lead_Hrs_Expire_pct))</t>
  </si>
  <si>
    <t>Engage 2</t>
  </si>
  <si>
    <t>Orders_Filled_Hrs_pct["Practice_Areas.Practice_2", "Prof_Staff_Types.Prof_Level_1", "Channels.Channels_2", DATE(2011,6,1)]|=V127</t>
  </si>
  <si>
    <t>Engage!Orders_Filled_Practice_Areas_Practice_1_Prof_Staff_Types_Prof_Level_1_Channels_Channels_2</t>
  </si>
  <si>
    <t>The ratio (valuation of equity) / (book value of equity), by time period</t>
  </si>
  <si>
    <t>Sales_Lead_Hrs_Expire_pct_Yr["Sales_Lead_Quality.Lead_Qual_2", "Practice_Areas.Practice_1", "Prof_Staff_Types.Prof_Level_1", "Channels.Channels_1", DATE(2011,5,1)]|=U113</t>
  </si>
  <si>
    <t>Prof_Staff_Count_Early["Practice_Areas.Practice_2", "Prof_Staff_Types.Prof_Level_1", DATE(2010,8,1)]|=L186</t>
  </si>
  <si>
    <t>Sup_Staff_Count_Early["Depts.Marketing", "Sup_Staff_Levels.Contributor", DATE(2010,4,1)]|=H198</t>
  </si>
  <si>
    <t>Valuation (equity)</t>
  </si>
  <si>
    <t>Engage_Hrs_pct_Billed_ET["Engagements.Engage_1", "Prof_Staff_Types.Prof_Level_2", "Engage_Time.Period_3"]|=1</t>
  </si>
  <si>
    <t>Sales_Commis_Rev_Share[DATE(2010,7,1)]|=K247</t>
  </si>
  <si>
    <t>:A:0:Prof_Staff_Salary_Avg_Initial_Yr</t>
  </si>
  <si>
    <t>Mktg_Pgms_K["Mktg_Pgms.Seminars", "Practice_Areas.Practice_2", "Konst.K1"]|=0</t>
  </si>
  <si>
    <t>(Ranges)'!Gross_Margin_Channel_Channels_Channels_2_Practice_Areas_Practice_1_Prof_Staff_Types_Prof_Level_2</t>
  </si>
  <si>
    <t>Sales_Lead_Hrs_Expire_pct_Yr["Sales_Lead_Quality.Lead_Qual_2", "Practice_Areas.Practice_1", "Prof_Staff_Types.Prof_Level_2", "Channels.Channels_1", DATE(2010,2,1)]|=F115</t>
  </si>
  <si>
    <t>Sales_Lead_Hrs_Conv_pct_Yr["Sales_Lead_Quality.Lead_Qual_2", "Practice_Areas.Practice_2", "Prof_Staff_Types.Prof_Level_2", "Channels.Channels_2", DATE(2010,4,1)]|=H103</t>
  </si>
  <si>
    <t>:A:0:Engage_Hrs_Unbilled</t>
  </si>
  <si>
    <t>Sup_Staff_Count_K["Depts.Marketing", "Sup_Staff_Levels.Contributor", "Konst.K0"]|=0</t>
  </si>
  <si>
    <t>(Tables)'!Engage_Hrs_pct_Billed_ET_Engage_Time_Period_3_Engagements_Engage_2</t>
  </si>
  <si>
    <t>Prof_Fee_Discount_pct["Practice_Areas.Practice_1", "Prof_Staff_Types.Prof_Level_2", DATE(2010,1,1)]|=0</t>
  </si>
  <si>
    <t>Engage_Channel["Engagements.Engage_1"]|='(Tables)'!B5</t>
  </si>
  <si>
    <t>Prof_Staff_Billings_Nom_Fees</t>
  </si>
  <si>
    <t>Gen &amp; Admin Exp 1</t>
  </si>
  <si>
    <t>Sales_Lead_Hrs_Expire_pct_Yr["Sales_Lead_Quality.Lead_Qual_2", "Practice_Areas.Practice_1", "Prof_Staff_Types.Prof_Level_2", "Channels.Channels_1", DATE(2010,8,1)]|=L115</t>
  </si>
  <si>
    <t>Channels 2</t>
  </si>
  <si>
    <t>Engage_Types</t>
  </si>
  <si>
    <t>Per_Sup_Staff_Exp_Yr["Depts.Marketing", "Empl_Rel_Exp_Type.Other", DATE(2010,10,1)]|=N328</t>
  </si>
  <si>
    <t>Recruit_pct_Pos_Sup_Init["Depts.Sales", "Sup_Staff_Levels.Contributor"]|=0.15</t>
  </si>
  <si>
    <t>Plot Support'!Prof_Staff_Hrs_Billed_Plot_Prof_Staff_Types_Prof_Level_1</t>
  </si>
  <si>
    <t>Sales_Commis_Rate[DATE(2010,4,1)]|=H246</t>
  </si>
  <si>
    <t>Cost_Services_TandE_Hr["Practice_Areas.Practice_2", "Prof_Staff_Types.Prof_Level_1", "Channels.Channels_1", DATE(2010,7,1)]|=K157</t>
  </si>
  <si>
    <t xml:space="preserve">The growth rate per time period assumed for the cash flow occurring after the end of model time. </t>
  </si>
  <si>
    <t>Sales_Leads_Hrs</t>
  </si>
  <si>
    <t>Practice_Dev_Sup_Staff_Count["Practice_Areas.Practice_1", "Depts.Sales", "Sup_Staff_Levels.Manager", DATE(2010,7,1)]|=K293</t>
  </si>
  <si>
    <t>Prof_Staff_Salary_incr_pct["Prof_Staff_Types.Prof_Level_2", DATE(2010,2,1)]|=F213</t>
  </si>
  <si>
    <t>:D:0:Depts.Marketing</t>
  </si>
  <si>
    <t>Practice_Dev_Sup_Spend</t>
  </si>
  <si>
    <t>Sup_Staff_Wage_Avg_Initial_Yr["Sup_Staff_Levels.Contributor", "Depts.Sales"]|=80000</t>
  </si>
  <si>
    <t>Orders_Filled_Hrs_pct["Practice_Areas.Practice_2", "Prof_Staff_Types.Prof_Level_1", "Channels.Channels_1", DATE(2010,8,1)]|=L126</t>
  </si>
  <si>
    <t>if(and(current_date(-1)&lt;=Tagged_Asset_Purch_Date, Tagged_Asset_Purch_Date&lt;=current_date(1)), Tagged_Asset_Init_Value, 0)</t>
  </si>
  <si>
    <t>Accts_Pay_Targ_Days["Accts_Pay_Type.Payroll_Pay", DATE(2010,7,1)]|=L411</t>
  </si>
  <si>
    <t>Sup_Staff_Wage_incr_pct["Sup_Staff_Levels.Contributor", DATE(2011,2,1)]|=R231</t>
  </si>
  <si>
    <t>Prof_Staff_Hrs_Unbilled</t>
  </si>
  <si>
    <t>(Ranges)'!Equity_Equity_PaidinCap</t>
  </si>
  <si>
    <t>(Tables)'!Engage_Rev_Nominal_Fees_Engagements_Engage_2_Prof_Staff_Types_Prof_Level_2</t>
  </si>
  <si>
    <t>Prof_Staff_Bonus_pct["Practice_Areas.Practice_1", "Prof_Staff_Types.Prof_Level_1", DATE(2010,3,1)]|=G215</t>
  </si>
  <si>
    <t>Engage_Hrs_Billed_ET</t>
  </si>
  <si>
    <t>Sup_Staff_Bonus_pct["Depts.Sales", "Sup_Staff_Levels.Contributor", DATE(2011,2,1)]|=R236</t>
  </si>
  <si>
    <t>Prof Staff Capacity (Hrs)</t>
  </si>
  <si>
    <t>Practice_Dev_Sup_Staff_Count["Practice_Areas.Practice_2", "Depts.Sales", "Sup_Staff_Levels.Manager", DATE(2010,11,1)]|=O297</t>
  </si>
  <si>
    <t>Orders_Filled_Hrs_pct["Practice_Areas.Practice_1", "Prof_Staff_Types.Prof_Level_1", "Channels.Channels_2", DATE(2011,5,1)]|=U123</t>
  </si>
  <si>
    <t>Prof Staff Cost Unbilled</t>
  </si>
  <si>
    <t>Per_Sup_Staff_Exp_Yr["Depts.Marketing", "Empl_Rel_Exp_Type.Other", DATE(2010,3,1)]|=G328</t>
  </si>
  <si>
    <t>Interest_Rate_Earned_Cash_Yr[DATE(2010,11,1)]|=O341</t>
  </si>
  <si>
    <t>The future cumulative product of the annualized cash flow expectation factor (expected cash flow)/(plan cash flow), for each time period. The factor for the last time period applies to the entire tail cash flow after the end of model time.</t>
  </si>
  <si>
    <t>Practice_Dev_Sup_Staff_Count["Practice_Areas.Practice_1", "Depts.Marketing", "Sup_Staff_Levels.Contributor", DATE(2010,2,1)]|=F292</t>
  </si>
  <si>
    <t>Support Staff Recruited</t>
  </si>
  <si>
    <t>Sales_Lead_Hrs_Expire_pct_Yr["Sales_Lead_Quality.Lead_Qual_2", "Practice_Areas.Practice_2", "Prof_Staff_Types.Prof_Level_2", "Channels.Channels_1", DATE(2011,3,1)]|=S119</t>
  </si>
  <si>
    <t>The bonus pool for support staff, segmented by department, by job level, by time period</t>
  </si>
  <si>
    <t>(Compute)'!Engage_Gross_Margin_pct_Date</t>
  </si>
  <si>
    <t>(Compute)'!Engage_Hrs_Applied_Plot_Time_Period</t>
  </si>
  <si>
    <t>Orders_Filled_Hrs_pct["Practice_Areas.Practice_1", "Prof_Staff_Types.Prof_Level_2", "Channels.Channels_1", DATE(2010,8,1)]|=L124</t>
  </si>
  <si>
    <t xml:space="preserve">  Prof_Level_1</t>
  </si>
  <si>
    <t>Practice_Dev_Prof_Staff_Count["Practice_Areas.Practice_2", "Prof_Staff_Types.Prof_Level_1", DATE(2010,2,1)]|=F288</t>
  </si>
  <si>
    <t>(Ranges)'!Revenue_Practice_Areas</t>
  </si>
  <si>
    <t>Cost_Services_TandE_Hr["Practice_Areas.Practice_1", "Prof_Staff_Types.Prof_Level_1", "Channels.Channels_1", DATE(2010,7,1)]|=K153</t>
  </si>
  <si>
    <t>Sales_Lead_Hrs_New["Sales_Lead_Quality.Lead_Qual_1", "Practice_Areas.Practice_1", "Prof_Staff_Types.Prof_Level_1", "Channels.Channels_2", DATE(2011,5,1)]|=2*U69-T69</t>
  </si>
  <si>
    <t>Cash_Targ_Days[DATE(2010,5,1)]|=I360</t>
  </si>
  <si>
    <t>Practice_Dev_Sup_Staff_Count["Practice_Areas.Practice_2", "Depts.Sales", "Sup_Staff_Levels.Contributor", DATE(2010,4,1)]|=H298</t>
  </si>
  <si>
    <t>:D:2:Channels</t>
  </si>
  <si>
    <t>Engage_Discount_pct["Engagements.Engage_2", DATE(2010,1,1)]|=0</t>
  </si>
  <si>
    <t>Prof_Staff_Salary_incr_pct["Prof_Staff_Types.Prof_Level_2", DATE(2010,1,1)]|=0.03</t>
  </si>
  <si>
    <t>Prof_Fees_per_Hr_Nominal["Practice_Areas.Practice_2", "Prof_Staff_Types.Prof_Level_2", DATE(2011,2,1)]|=R141</t>
  </si>
  <si>
    <t>:A:0:Prof_Staff_per_RevM</t>
  </si>
  <si>
    <t>Sales_Lead_Hrs_New["Sales_Lead_Quality.Lead_Qual_2", "Practice_Areas.Practice_1", "Prof_Staff_Types.Prof_Level_2", "Channels.Channels_2", DATE(2010,3,1)]|=2*G79-F79</t>
  </si>
  <si>
    <t>Cost_Services_Supplies_Hr["Practice_Areas.Practice_2", "Prof_Staff_Types.Prof_Level_2", "Supply_Types.Supply_Type_2", "Channels.Channels_1", DATE(2010,8,1)]|=L175</t>
  </si>
  <si>
    <t>Sup_Staff_Count_Early["Depts.Sales", "Sup_Staff_Levels.Manager", DATE(2010,8,1)]|=L199</t>
  </si>
  <si>
    <t>:A:0:Gross_Margin</t>
  </si>
  <si>
    <t>Wage_Incr_AnnualQ</t>
  </si>
  <si>
    <t>Untagged Asset</t>
  </si>
  <si>
    <t>Cost_Services_Supplies_Hr["Practice_Areas.Practice_1", "Prof_Staff_Types.Prof_Level_1", "Supply_Types.Supply_Type_2", "Channels.Channels_2", DATE(2010,12,1)]|=P164</t>
  </si>
  <si>
    <t>Cash_Targ_Days[DATE(2010,10,1)]|=N360</t>
  </si>
  <si>
    <t>:A:-1:Oper_Exp_Ratio</t>
  </si>
  <si>
    <t>Sales_Lead_Hrs_Conv_pct_Yr["Sales_Lead_Quality.Lead_Qual_2", "Practice_Areas.Practice_2", "Prof_Staff_Types.Prof_Level_1", "Channels.Channels_1", DATE(2010,12,1)]|=P100</t>
  </si>
  <si>
    <t>if(Prof_Staff_Hrs_Capacity=0, 0, Prof_Staff_Cost/Prof_Staff_Hrs_Capacity)</t>
  </si>
  <si>
    <t>(Tables)'!Prof_Staff_Hrs_Engage_Practice_Areas_Practice_1_Prof_Staff_Types_Prof_Level_2_Channels_Channels_1</t>
  </si>
  <si>
    <t>Purchases of direct supplies, by time period</t>
  </si>
  <si>
    <t>Orders_Filled_Hrs_pct["Practice_Areas.Practice_1", "Prof_Staff_Types.Prof_Level_1", "Channels.Channels_2", DATE(2010,8,1)]|=L123</t>
  </si>
  <si>
    <t>Orders_Filled_Hrs_pct["Practice_Areas.Practice_1", "Prof_Staff_Types.Prof_Level_1", "Channels.Channels_2", DATE(2010,11,1)]|=O123</t>
  </si>
  <si>
    <t>(Tables)'!Prof_Staff_Hrs_Engage_Practice_Areas_Practice_1_Prof_Staff_Types</t>
  </si>
  <si>
    <t>Sales_Lead_Hrs_Conv_pct_Yr["Sales_Lead_Quality.Lead_Qual_1", "Practice_Areas.Practice_1", "Prof_Staff_Types.Prof_Level_2", "Channels.Channels_2", DATE(2010,8,1)]|=L91</t>
  </si>
  <si>
    <t>Engagement Types that determine default values for attributes of major Engaeements. The attributes affected are duration, total professional hours, and the distribution of billable hours by Professional Staff Type within the engaagment duration.</t>
  </si>
  <si>
    <t>Cost_Services_TandE_Hr["Practice_Areas.Practice_1", "Prof_Staff_Types.Prof_Level_1", "Channels.Channels_2", DATE(2011,6,1)]|=V154</t>
  </si>
  <si>
    <t>Cost_Services_Supplies_Hr["Practice_Areas.Practice_1", "Prof_Staff_Types.Prof_Level_2", "Supply_Types.Supply_Type_1", "Channels.Channels_1", DATE(2010,12,1)]|=P165</t>
  </si>
  <si>
    <t>(Tables)'!Engage_Hrs_pct_Billed_ET_Engage_Time_Period_2_Engagements_Engage_2_Prof_Staff_Types</t>
  </si>
  <si>
    <t>Sales_Lead_Hrs_New["Sales_Lead_Quality.Lead_Qual_1", "Practice_Areas.Practice_2", "Prof_Staff_Types.Prof_Level_2", "Channels.Channels_2", DATE(2010,11,1)]|=2*O75-N75</t>
  </si>
  <si>
    <t>Bad Debt Expense</t>
  </si>
  <si>
    <t>Orders_Filled_Hrs_pct["Practice_Areas.Practice_2", "Prof_Staff_Types.Prof_Level_2", "Channels.Channels_1", DATE(2010,1,1)]|=0.5</t>
  </si>
  <si>
    <t>Orders_Filled_Hrs_pct["Practice_Areas.Practice_1", "Prof_Staff_Types.Prof_Level_1", "Channels.Channels_2", DATE(2010,12,1)]|=P123</t>
  </si>
  <si>
    <t>Orders_Filled_Hrs_pct["Practice_Areas.Practice_2", "Prof_Staff_Types.Prof_Level_1", "Channels.Channels_2", DATE(2010,4,1)]|=H127</t>
  </si>
  <si>
    <t>Interest_Rate_Short_Yr[DATE(2010,4,1)]|=H339</t>
  </si>
  <si>
    <t>Sales_Lead_Hrs_Conv_pct_Yr["Sales_Lead_Quality.Lead_Qual_1", "Practice_Areas.Practice_1", "Prof_Staff_Types.Prof_Level_2", "Channels.Channels_2", DATE(2011,2,1)]|=R91</t>
  </si>
  <si>
    <t>preve(0, Time+1/periods_per("year"))</t>
  </si>
  <si>
    <t>Sales_Lead_Hrs_Conv_pct_Yr["Sales_Lead_Quality.Lead_Qual_2", "Practice_Areas.Practice_1", "Prof_Staff_Types.Prof_Level_1", "Channels.Channels_2", DATE(2011,4,1)]|=T97</t>
  </si>
  <si>
    <t>Sales_Lead_Hrs_Expire_pct_Yr["Sales_Lead_Quality.Lead_Qual_1", "Practice_Areas.Practice_2", "Prof_Staff_Types.Prof_Level_1", "Channels.Channels_2", DATE(2010,9,1)]|=M110</t>
  </si>
  <si>
    <t>Sales_Lead_Hrs_Conv_pct_Yr["Sales_Lead_Quality.Lead_Qual_2", "Practice_Areas.Practice_1", "Prof_Staff_Types.Prof_Level_1", "Channels.Channels_2", DATE(2010,12,1)]|=P97</t>
  </si>
  <si>
    <t>Cost_Services_TandE_Hr["Practice_Areas.Practice_2", "Prof_Staff_Types.Prof_Level_1", "Channels.Channels_2", DATE(2011,1,1)]|=Q158</t>
  </si>
  <si>
    <t>Accts_Payable_Initial</t>
  </si>
  <si>
    <t>:A:0:Order_Backlog</t>
  </si>
  <si>
    <t>Sales_Lead_Hrs_New["Sales_Lead_Quality.Lead_Qual_2", "Practice_Areas.Practice_1", "Prof_Staff_Types.Prof_Level_2", "Channels.Channels_1", DATE(2010,9,1)]|=2*M78-L78</t>
  </si>
  <si>
    <t>(Ranges)'!Prof_Staff_Hrs_Unapplied_Practice_Areas_Practice_2_Prof_Staff_Types_Prof_Level_2</t>
  </si>
  <si>
    <t>Operating Margin %</t>
  </si>
  <si>
    <t>Prof_Fees_per_Hr_Nominal["Practice_Areas.Practice_2", "Prof_Staff_Types.Prof_Level_1", DATE(2010,2,1)]|=F140</t>
  </si>
  <si>
    <t>Prof_Staff_Targ_Util_pct["Practice_Areas.Practice_2", "Prof_Staff_Types.Prof_Level_2", DATE(2010,5,1)]|=I192</t>
  </si>
  <si>
    <t>(Ranges)'!Prof_Staff_Hrs_Capacity_Practice_Areas_Practice_1</t>
  </si>
  <si>
    <t>Mktg_Pgms_Exp_Early["Mktg_Pgms.Publications", "Practice_Areas.Practice_2", DATE(2011,5,1)]|=U279</t>
  </si>
  <si>
    <t>Sales_Lead_Hrs_Expire_pct_Yr["Sales_Lead_Quality.Lead_Qual_2", "Practice_Areas.Practice_1", "Prof_Staff_Types.Prof_Level_1", "Channels.Channels_2", DATE(2011,5,1)]|=U114</t>
  </si>
  <si>
    <t>Recruit_Exp_pct_Comp_Sup</t>
  </si>
  <si>
    <t>Office_Maint_Rate_Yr[DATE(2010,5,1)]|=I307</t>
  </si>
  <si>
    <t>Interest_Rate_Long_Yr[DATE(2010,6,1)]|=J340</t>
  </si>
  <si>
    <t>Prof_Staff_Count_Early["Practice_Areas.Practice_1", "Prof_Staff_Types.Prof_Level_1", DATE(2011,1,1)]|=Q184</t>
  </si>
  <si>
    <t>:A:-1:Tagged_Asset_Life_Depr_Yr</t>
  </si>
  <si>
    <t>Sup_Staff_Count_Early["Depts.Marketing", "Sup_Staff_Levels.Manager", DATE(2011,5,1)]|=U197</t>
  </si>
  <si>
    <t>(Ranges)'!Gross_Margin_Practice_Areas_Practice_2_Prof_Staff_Types_Prof_Level_1_Channels_Channels_2</t>
  </si>
  <si>
    <t>Engage_Labor_Slope["Engagements.Engage_1", "Prof_Staff_Types.Prof_Level_1"]|=0</t>
  </si>
  <si>
    <t>Sup_Staff_Bonus_pct["Depts.Marketing", "Sup_Staff_Levels.Contributor", DATE(2010,10,1)]|=N234</t>
  </si>
  <si>
    <t>Cost_Services_Supplies_Hr["Practice_Areas.Practice_2", "Prof_Staff_Types.Prof_Level_2", "Supply_Types.Supply_Type_1", "Channels.Channels_2", DATE(2010,11,1)]|=O174</t>
  </si>
  <si>
    <t>:A:-1:Accts_Payable_Initial</t>
  </si>
  <si>
    <t>Sales_Lead_Hrs_Conv_pct_Yr["Sales_Lead_Quality.Lead_Qual_1", "Practice_Areas.Practice_1", "Prof_Staff_Types.Prof_Level_1", "Channels.Channels_1", DATE(2010,6,1)]|=J88</t>
  </si>
  <si>
    <t>Sales_Lead_Hrs_Expire_pct_Yr["Sales_Lead_Quality.Lead_Qual_2", "Practice_Areas.Practice_1", "Prof_Staff_Types.Prof_Level_1", "Channels.Channels_2", DATE(2010,3,1)]|=G114</t>
  </si>
  <si>
    <t>Prof_Fees_per_Hr_Nominal["Practice_Areas.Practice_2", "Prof_Staff_Types.Prof_Level_1", DATE(2010,4,1)]|=H140</t>
  </si>
  <si>
    <t>:A:0:Prof_Staff_Cost_Applied</t>
  </si>
  <si>
    <t>Cost_Services_Supplies_Hr["Practice_Areas.Practice_2", "Prof_Staff_Types.Prof_Level_2", "Supply_Types.Supply_Type_2", "Channels.Channels_1", DATE(2010,11,1)]|=O175</t>
  </si>
  <si>
    <t>Gross_Margin_pct</t>
  </si>
  <si>
    <t>Sales_Lead_Hrs_Expire_pct_Yr["Sales_Lead_Quality.Lead_Qual_2", "Practice_Areas.Practice_1", "Prof_Staff_Types.Prof_Level_1", "Channels.Channels_2", DATE(2010,8,1)]|=L114</t>
  </si>
  <si>
    <t>:D:0:Assets</t>
  </si>
  <si>
    <t>Sup_Staff_Count_Early["Depts.Sales", "Sup_Staff_Levels.Contributor", DATE(2011,2,1)]|=R200</t>
  </si>
  <si>
    <t>(Ranges)'!Operating_Exp_Depts_Marketing_OpExpType_Dept_Exp_Accts</t>
  </si>
  <si>
    <t>Financial Plan for Professional Services</t>
  </si>
  <si>
    <t>You can customize this template by filling in a simple form, without editing a spreadsheet.</t>
  </si>
  <si>
    <t>This is a small and somewhat simplified working sample of the template.</t>
  </si>
  <si>
    <r>
      <t xml:space="preserve">A </t>
    </r>
    <r>
      <rPr>
        <b/>
        <i/>
        <sz val="10"/>
        <rFont val="Arial"/>
        <family val="2"/>
      </rPr>
      <t>customized</t>
    </r>
    <r>
      <rPr>
        <b/>
        <sz val="10"/>
        <rFont val="Arial"/>
        <family val="2"/>
      </rPr>
      <t xml:space="preserve"> template</t>
    </r>
    <r>
      <rPr>
        <sz val="10"/>
        <rFont val="Arial"/>
        <family val="2"/>
      </rPr>
      <t xml:space="preserve"> is a flexible model that you can adapt to your situation by filling in a simple form, without editing a spreadsheet or its formulas. For example, you can specify time range and time grain; number and names of items in a dimension (such as your products and product families); and include or exclude major features. The resulting spreadsheet matches your needs better than any standard template.</t>
    </r>
  </si>
  <si>
    <t>Get a customized version of this template on our website.</t>
  </si>
  <si>
    <t>ModelSheet provides you with customized templates in three ways.</t>
  </si>
  <si>
    <t>1. Order a customized version of this template.</t>
  </si>
  <si>
    <t>Click "+" for more information.</t>
  </si>
  <si>
    <r>
      <rPr>
        <sz val="10"/>
        <rFont val="Times New Roman"/>
        <family val="1"/>
      </rPr>
      <t>•</t>
    </r>
    <r>
      <rPr>
        <sz val="10"/>
        <rFont val="Arial"/>
        <family val="2"/>
      </rPr>
      <t xml:space="preserve"> You can specify custom features by filling out a simple form. (Click on "+" for more information.)</t>
    </r>
  </si>
  <si>
    <t>Precise customizations vary from template to template. Examples:</t>
  </si>
  <si>
    <r>
      <rPr>
        <sz val="10"/>
        <rFont val="Calibri"/>
        <family val="2"/>
      </rPr>
      <t>−</t>
    </r>
    <r>
      <rPr>
        <sz val="10"/>
        <rFont val="Arial"/>
        <family val="2"/>
      </rPr>
      <t xml:space="preserve"> Specify the starting time, time range, time grain and rollup time grains (such as annual sums).</t>
    </r>
  </si>
  <si>
    <r>
      <rPr>
        <sz val="10"/>
        <rFont val="Times New Roman"/>
        <family val="1"/>
      </rPr>
      <t>−</t>
    </r>
    <r>
      <rPr>
        <sz val="10"/>
        <rFont val="Arial"/>
        <family val="2"/>
      </rPr>
      <t xml:space="preserve"> Specify the items in a dimension and levels of hierarchy (such as product families and products).</t>
    </r>
  </si>
  <si>
    <r>
      <rPr>
        <sz val="10"/>
        <rFont val="Times New Roman"/>
        <family val="1"/>
      </rPr>
      <t>−</t>
    </r>
    <r>
      <rPr>
        <sz val="10"/>
        <rFont val="Arial"/>
        <family val="2"/>
      </rPr>
      <t xml:space="preserve"> Include or exclude entire sub-models in the template.</t>
    </r>
  </si>
  <si>
    <r>
      <rPr>
        <sz val="10"/>
        <rFont val="Calibri"/>
        <family val="2"/>
      </rPr>
      <t>−</t>
    </r>
    <r>
      <rPr>
        <sz val="10"/>
        <rFont val="Arial"/>
        <family val="2"/>
      </rPr>
      <t xml:space="preserve"> These features </t>
    </r>
    <r>
      <rPr>
        <sz val="10"/>
        <rFont val="Arial"/>
        <family val="2"/>
      </rPr>
      <t>address the most serious problem with conventional spreadsheet templates: You can
   customize a template in many ways without having to interpret and edit numerous cell formulas.</t>
    </r>
  </si>
  <si>
    <r>
      <rPr>
        <sz val="10"/>
        <rFont val="Times New Roman"/>
        <family val="1"/>
      </rPr>
      <t>•</t>
    </r>
    <r>
      <rPr>
        <sz val="10"/>
        <rFont val="Arial"/>
        <family val="2"/>
      </rPr>
      <t xml:space="preserve"> You can edit many aspects of your Excel template after receiving it. (Click on "+" for more information.)</t>
    </r>
  </si>
  <si>
    <r>
      <rPr>
        <sz val="10"/>
        <rFont val="Times New Roman"/>
        <family val="1"/>
      </rPr>
      <t>−</t>
    </r>
    <r>
      <rPr>
        <sz val="10"/>
        <rFont val="Arial"/>
        <family val="2"/>
      </rPr>
      <t xml:space="preserve"> Edit input data in clearly marked input cells.</t>
    </r>
  </si>
  <si>
    <r>
      <rPr>
        <sz val="10"/>
        <rFont val="Times New Roman"/>
        <family val="1"/>
      </rPr>
      <t>−</t>
    </r>
    <r>
      <rPr>
        <sz val="10"/>
        <rFont val="Arial"/>
        <family val="2"/>
      </rPr>
      <t xml:space="preserve"> Edit the model start date of a template, so your template is not out of date when the start date changes.</t>
    </r>
  </si>
  <si>
    <r>
      <rPr>
        <sz val="10"/>
        <rFont val="Times New Roman"/>
        <family val="1"/>
      </rPr>
      <t>−</t>
    </r>
    <r>
      <rPr>
        <sz val="10"/>
        <rFont val="Arial"/>
        <family val="2"/>
      </rPr>
      <t xml:space="preserve"> Edit names of dimension items in once place (such as products, departments, expense accounts).</t>
    </r>
  </si>
  <si>
    <r>
      <rPr>
        <sz val="10"/>
        <rFont val="Times New Roman"/>
        <family val="1"/>
      </rPr>
      <t>•</t>
    </r>
    <r>
      <rPr>
        <sz val="10"/>
        <rFont val="Arial"/>
        <family val="2"/>
      </rPr>
      <t xml:space="preserve"> ModelSheet Excel templates are easier to understand. (Click on "+" for more information.)</t>
    </r>
  </si>
  <si>
    <r>
      <rPr>
        <sz val="10"/>
        <rFont val="Calibri"/>
        <family val="2"/>
      </rPr>
      <t>−</t>
    </r>
    <r>
      <rPr>
        <sz val="10"/>
        <rFont val="Arial"/>
        <family val="2"/>
      </rPr>
      <t xml:space="preserve"> Each table has an Excel comment that provides a variable name and explains the variable. </t>
    </r>
  </si>
  <si>
    <r>
      <rPr>
        <sz val="10"/>
        <rFont val="Times New Roman"/>
        <family val="1"/>
      </rPr>
      <t>−</t>
    </r>
    <r>
      <rPr>
        <sz val="10"/>
        <rFont val="Arial"/>
        <family val="2"/>
      </rPr>
      <t xml:space="preserve"> Worksheet "Formulas" expresses the entire model with named variables and symbolic formulas. Although
   the symbolic formulas are not executable in Excel, they are what the model is made from in ModelSheet.</t>
    </r>
  </si>
  <si>
    <t>− You never need to read inscrutable cell formulas to understand a ModelSheet customized template.</t>
  </si>
  <si>
    <t>Explore our customized templates.</t>
  </si>
  <si>
    <t>2. If you want more customizations, retain ModelSheet Software to build them for you.</t>
  </si>
  <si>
    <r>
      <rPr>
        <sz val="10"/>
        <rFont val="Times New Roman"/>
        <family val="1"/>
      </rPr>
      <t>•</t>
    </r>
    <r>
      <rPr>
        <sz val="10"/>
        <rFont val="Arial"/>
        <family val="2"/>
      </rPr>
      <t xml:space="preserve"> </t>
    </r>
    <r>
      <rPr>
        <sz val="10"/>
        <rFont val="Arial"/>
        <family val="2"/>
      </rPr>
      <t>Our staff has extensive experience in many areas of business and engineering analysis.</t>
    </r>
  </si>
  <si>
    <t>• ModelSheet technology enables us to offer you more value for your consulting dollar.</t>
  </si>
  <si>
    <t>Learn more about consulting services.</t>
  </si>
  <si>
    <t>3. Use the ModelSheet Authoring Environment to build and customize your spreadsheet models.</t>
  </si>
  <si>
    <t>The ModelSheet Authoring Environment is a SaaS application for developing and maintaining business models and delivering them in conventional spreadsheets.</t>
  </si>
  <si>
    <t>Click "+" to learn more about ModelSheet technology that makes customized template possible.</t>
  </si>
  <si>
    <t>This Excel workbook was generated using ModelSheet, a revolutionary new spreadsheet technology. ModelSheet allows you to develop business models using readable formulas, while avoiding the details of cell addresses and hard-to-change sheet layouts. The end result is a conventional Excel workbook just like this one. We built ModelSheet because we believe that spreadsheets are a great way of communicating results but we think it's just too hard to use them to develop reliable, maintainable, expressive and collaborative models.</t>
  </si>
  <si>
    <t>You'll get a glimpse of ModelSheet's advantages when you take a look at the "Formulas" tab and realize how few separate, readable formulas are needed to produce all of the other worksheets. In addition to formulas, ModelSheet knows about the "dimensions" in your model (e.g., products, locations, departments) as well as the time series that you're using (e.g., 5 years in quarters.) ModelSheet raises the level of thinking and acting from individual cells to natural modeling concepts. It enhances model reliabilty, auditability and maintainability; it enables you to build models that better reflect your intentions; it allows easier collaboration between modelers, developers, and report users; and it improves productivity, especially when making changes to a model.</t>
  </si>
  <si>
    <t>The ModelSheet authoring environment raises the level of thinking and acting from individual cells to natural modeling concepts like variables, dimensions, time series and accounting types. It enhances model reliabilty, auditability and maintainability; it enables you to build models that better reflect your intentions; it allows easier collaboration between modelers, developers, and report users; and it improves productivity, especially when making changes to a model.</t>
  </si>
  <si>
    <t>We have more to tell you about ModelSheet and we'd like to hear about your needs for templates and models.</t>
  </si>
  <si>
    <t>Please visit our website at www.modelsheetsoft.com</t>
  </si>
  <si>
    <t>or contact us at info@modelsheetsoft.com.</t>
  </si>
  <si>
    <t>Description of the Financial Plan for Professional Services</t>
  </si>
  <si>
    <t xml:space="preserve">This workbook contains a financial plan for a business. The main reports are four financial statements: income statement, balance sheet, cash flow statement, and financial ratio report. </t>
  </si>
  <si>
    <t>The model contains detailed backup information in many sectors. Not all of these options are available in the Standard version.</t>
  </si>
  <si>
    <r>
      <t>• Client e</t>
    </r>
    <r>
      <rPr>
        <u/>
        <sz val="10"/>
        <rFont val="Arial"/>
        <family val="2"/>
      </rPr>
      <t>ngagement model of sales</t>
    </r>
    <r>
      <rPr>
        <sz val="10"/>
        <rFont val="Arial"/>
        <family val="2"/>
      </rPr>
      <t>: tracks client engagements by practice area and sales channel,
   including billable hours and revenue by professional staff type.</t>
    </r>
  </si>
  <si>
    <t>−  Tracks large engagements individually, with start date, duration, total billed hours by professional staff type,
    practice area, sales channel.</t>
  </si>
  <si>
    <t>−  Optional sales funnel tracks smaller engagements in aggregate: Includes qualified leads of varying quality, order backlog, and conversion rates, segmented by professional staff type and sales channel.</t>
  </si>
  <si>
    <r>
      <t xml:space="preserve">• </t>
    </r>
    <r>
      <rPr>
        <u/>
        <sz val="10"/>
        <rFont val="Arial"/>
        <family val="2"/>
      </rPr>
      <t>Staffing model</t>
    </r>
    <r>
      <rPr>
        <sz val="10"/>
        <rFont val="Arial"/>
        <family val="2"/>
      </rPr>
      <t xml:space="preserve">: Tracks </t>
    </r>
    <r>
      <rPr>
        <u/>
        <sz val="10"/>
        <rFont val="Arial"/>
        <family val="2"/>
      </rPr>
      <t>p</t>
    </r>
    <r>
      <rPr>
        <sz val="10"/>
        <rFont val="Arial"/>
        <family val="2"/>
      </rPr>
      <t>rofessional staff and support staff with separate models.</t>
    </r>
  </si>
  <si>
    <t>− Professsional staff: Tracks staff headcount, available hours, applied hours, billed hours, and utilzation,
   by Professional staff type. Includes benefits, payroll taxes, bonuses.</t>
  </si>
  <si>
    <t>− Support staff: Tracks support staff headcount and expense by job level and department with benefits,
   payroll taxes, bonuses.</t>
  </si>
  <si>
    <r>
      <t xml:space="preserve">• </t>
    </r>
    <r>
      <rPr>
        <u/>
        <sz val="10"/>
        <rFont val="Arial"/>
        <family val="2"/>
      </rPr>
      <t>Operating expense model</t>
    </r>
    <r>
      <rPr>
        <sz val="10"/>
        <rFont val="Arial"/>
        <family val="2"/>
      </rPr>
      <t xml:space="preserve">: tracks indirect labor expense, facilities expense, admin and other expenses.
  You explicitly specify expenses in the early quarters. </t>
    </r>
  </si>
  <si>
    <r>
      <t xml:space="preserve">• </t>
    </r>
    <r>
      <rPr>
        <u/>
        <sz val="10"/>
        <rFont val="Arial"/>
        <family val="2"/>
      </rPr>
      <t>Financial expense and tax model</t>
    </r>
    <r>
      <rPr>
        <sz val="10"/>
        <rFont val="Arial"/>
        <family val="2"/>
      </rPr>
      <t>: short and long-term debt and interest rates, interest on cash balances,
  income tax rates and tax loss carried forward.</t>
    </r>
  </si>
  <si>
    <r>
      <t xml:space="preserve">• </t>
    </r>
    <r>
      <rPr>
        <u/>
        <sz val="10"/>
        <rFont val="Arial"/>
        <family val="2"/>
      </rPr>
      <t>Asset model</t>
    </r>
    <r>
      <rPr>
        <sz val="10"/>
        <rFont val="Arial"/>
        <family val="2"/>
      </rPr>
      <t xml:space="preserve">: includes cash, accounts receivable, supplies inventory,debt, asset purchases and depreciation. </t>
    </r>
  </si>
  <si>
    <r>
      <t xml:space="preserve">• </t>
    </r>
    <r>
      <rPr>
        <u/>
        <sz val="10"/>
        <rFont val="Arial"/>
        <family val="2"/>
      </rPr>
      <t>Liability model</t>
    </r>
    <r>
      <rPr>
        <sz val="10"/>
        <rFont val="Arial"/>
        <family val="2"/>
      </rPr>
      <t>: includes accounts payable, short-term debt, leases, long-term loans, and bonds.</t>
    </r>
  </si>
  <si>
    <r>
      <t xml:space="preserve">• </t>
    </r>
    <r>
      <rPr>
        <u/>
        <sz val="10"/>
        <rFont val="Arial"/>
        <family val="2"/>
      </rPr>
      <t>Equity model</t>
    </r>
    <r>
      <rPr>
        <sz val="10"/>
        <rFont val="Arial"/>
        <family val="2"/>
      </rPr>
      <t>: includes paid-in capital, retained earnings, dividends, and internal rate of return.</t>
    </r>
  </si>
  <si>
    <r>
      <t xml:space="preserve">• </t>
    </r>
    <r>
      <rPr>
        <u/>
        <sz val="10"/>
        <rFont val="Arial"/>
        <family val="2"/>
      </rPr>
      <t>Valuation model</t>
    </r>
    <r>
      <rPr>
        <sz val="10"/>
        <rFont val="Arial"/>
        <family val="2"/>
      </rPr>
      <t>: values the business based on the present value of future net income, including a simple
   income model after the end of model time.</t>
    </r>
  </si>
  <si>
    <t>The model includes these software features.</t>
  </si>
  <si>
    <r>
      <rPr>
        <sz val="10"/>
        <rFont val="Times New Roman"/>
        <family val="1"/>
      </rPr>
      <t>•</t>
    </r>
    <r>
      <rPr>
        <sz val="10"/>
        <rFont val="Arial"/>
        <family val="2"/>
      </rPr>
      <t xml:space="preserve"> Time grains in most reports change over time: quarters with annual sums at early times and years later.</t>
    </r>
  </si>
  <si>
    <t>• Excel graphs of key variables. These graphs are integrated into the ModelSheet model from which they get
   their source data. You can add more graphs, and optionally import them into ModelSheet.</t>
  </si>
  <si>
    <t>Technical Notes</t>
  </si>
  <si>
    <t>Depreciation of long-term assets</t>
  </si>
  <si>
    <t>The model includes three kinds of long-term assets.</t>
  </si>
  <si>
    <r>
      <rPr>
        <sz val="10"/>
        <rFont val="Times New Roman"/>
        <family val="1"/>
      </rPr>
      <t>•</t>
    </r>
    <r>
      <rPr>
        <sz val="10"/>
        <rFont val="Arial"/>
        <family val="2"/>
      </rPr>
      <t xml:space="preserve"> Tagged assets are major assets that are individually tracked for depreciation purposes. Each asset has
  a name, initial value, purchase date, depreciation life, salvage value, and its own depreciation schedule.</t>
    </r>
  </si>
  <si>
    <r>
      <rPr>
        <sz val="10"/>
        <rFont val="Times New Roman"/>
        <family val="1"/>
      </rPr>
      <t>•</t>
    </r>
    <r>
      <rPr>
        <sz val="10"/>
        <rFont val="Arial"/>
        <family val="2"/>
      </rPr>
      <t xml:space="preserve"> Untagged assets are smaller more numerous assets, such as a personal computer or desk for each employee.
  These assets are grouped into asset types (hardware, software and equipment/furniture).
  Depreciation is computed for each asset type using a continuous declining balance formula that goes to zero in
  the last time period of asset life. </t>
    </r>
  </si>
  <si>
    <r>
      <rPr>
        <sz val="10"/>
        <rFont val="Times New Roman"/>
        <family val="1"/>
      </rPr>
      <t>•</t>
    </r>
    <r>
      <rPr>
        <sz val="10"/>
        <rFont val="Arial"/>
        <family val="2"/>
      </rPr>
      <t xml:space="preserve"> Capitalized product development.</t>
    </r>
  </si>
  <si>
    <t>Internal rate of return</t>
  </si>
  <si>
    <t>The internal rate of return is computed using the adjusted cash flow, augmented  by the negative of equity value at the start of the model time range, and optionally including the tail valuation beyond the end of the model time range.</t>
  </si>
  <si>
    <t>If this Spreadsheet Solution lacks some of the features you need…</t>
  </si>
  <si>
    <t>We offer custom development services to add features you want to our spreadsheet solutions, and to build new solutions from scratch. For more information about our consulting services, see:</t>
  </si>
  <si>
    <t>http://www.modelsheetsoft.com/consulting-business-analysis.aspx</t>
  </si>
  <si>
    <t>To discuss your specific needs, please contact us at:</t>
  </si>
  <si>
    <t>info@modelsheetsoft.com.</t>
  </si>
  <si>
    <t>This Excel workbook was generated by ModelSheet on December 2, 2010, except for this worksheet of comments.</t>
  </si>
  <si>
    <t>Copyright © 2009, 2010 ModelSheet Software, LLC</t>
  </si>
  <si>
    <t>ModelSheet and the ModelSheet logo are registered trademarks of ModelSheet Software, LLC.</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</si>
</sst>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64" formatCode="&quot;$&quot;#,##0_);[Red]\(&quot;$&quot;#,##0\)"/>
    <numFmt numFmtId="165" formatCode="&quot;$&quot;#,##0.00_);[Red]\(&quot;$&quot;#,##0.00\)"/>
    <numFmt numFmtId="166" formatCode="&quot;$&quot;#,##0.000_);[Red]\(&quot;$&quot;#,##0.000\)"/>
    <numFmt numFmtId="167" formatCode="#,##0.0%"/>
    <numFmt numFmtId="168" formatCode="#,##0%"/>
    <numFmt numFmtId="169" formatCode="#,##0.0"/>
    <numFmt numFmtId="170" formatCode="#,##0.000"/>
    <numFmt numFmtId="171" formatCode="m\/d\/yyyy"/>
    <numFmt numFmtId="172" formatCode="#,##0.00%"/>
    <numFmt numFmtId="173" formatCode="&quot;$&quot;#,##0.0_);[Red]\(&quot;$&quot;#,##0.0\)"/>
  </numFmts>
  <fonts count="44" x14ac:knownFonts="1">
    <font>
      <sz val="10"/>
      <name val="Arial"/>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b/>
      <sz val="8"/>
      <color indexed="8"/>
      <name val="Arial"/>
      <family val="2"/>
    </font>
    <font>
      <b/>
      <i/>
      <sz val="8"/>
      <color indexed="8"/>
      <name val="Arial"/>
      <family val="2"/>
    </font>
    <font>
      <i/>
      <sz val="8"/>
      <color indexed="8"/>
      <name val="Arial"/>
      <family val="2"/>
    </font>
    <font>
      <b/>
      <sz val="10"/>
      <color indexed="8"/>
      <name val="Arial"/>
      <family val="2"/>
    </font>
    <font>
      <sz val="8"/>
      <color indexed="8"/>
      <name val="Arial"/>
      <family val="2"/>
    </font>
    <font>
      <b/>
      <sz val="8"/>
      <color indexed="8"/>
      <name val="Arial"/>
      <family val="2"/>
    </font>
    <font>
      <b/>
      <u/>
      <sz val="9"/>
      <color indexed="8"/>
      <name val="Arial"/>
      <family val="2"/>
    </font>
    <font>
      <b/>
      <i/>
      <sz val="8"/>
      <color indexed="8"/>
      <name val="Arial"/>
      <family val="2"/>
    </font>
    <font>
      <i/>
      <sz val="8"/>
      <color indexed="8"/>
      <name val="Arial"/>
      <family val="2"/>
    </font>
    <font>
      <b/>
      <sz val="12"/>
      <color indexed="8"/>
      <name val="Arial"/>
      <family val="2"/>
    </font>
    <font>
      <b/>
      <u/>
      <sz val="8"/>
      <color indexed="8"/>
      <name val="Arial"/>
      <family val="2"/>
    </font>
    <font>
      <b/>
      <sz val="8"/>
      <name val="Arial"/>
      <family val="2"/>
    </font>
    <font>
      <b/>
      <sz val="12"/>
      <name val="Arial"/>
      <family val="2"/>
    </font>
    <font>
      <b/>
      <sz val="14"/>
      <name val="Arial"/>
      <family val="2"/>
    </font>
    <font>
      <b/>
      <sz val="11"/>
      <color rgb="FFFF0000"/>
      <name val="Arial"/>
      <family val="2"/>
    </font>
    <font>
      <sz val="10"/>
      <color rgb="FFFF0000"/>
      <name val="Arial"/>
      <family val="2"/>
    </font>
    <font>
      <b/>
      <i/>
      <sz val="10"/>
      <name val="Arial"/>
      <family val="2"/>
    </font>
    <font>
      <b/>
      <sz val="10"/>
      <name val="Arial"/>
      <family val="2"/>
    </font>
    <font>
      <u/>
      <sz val="10"/>
      <color theme="10"/>
      <name val="Arial"/>
      <family val="2"/>
    </font>
    <font>
      <b/>
      <sz val="11"/>
      <name val="Arial"/>
      <family val="2"/>
    </font>
    <font>
      <sz val="10"/>
      <name val="Times New Roman"/>
      <family val="1"/>
    </font>
    <font>
      <sz val="10"/>
      <name val="Calibri"/>
      <family val="2"/>
    </font>
    <font>
      <u/>
      <sz val="10"/>
      <name val="Arial"/>
      <family val="2"/>
    </font>
    <font>
      <i/>
      <sz val="10"/>
      <name val="Arial"/>
      <family val="2"/>
    </font>
  </fonts>
  <fills count="17">
    <fill>
      <patternFill patternType="none"/>
    </fill>
    <fill>
      <patternFill patternType="gray125"/>
    </fill>
    <fill>
      <patternFill patternType="solid">
        <fgColor indexed="28"/>
        <bgColor indexed="64"/>
      </patternFill>
    </fill>
    <fill>
      <patternFill patternType="solid">
        <fgColor indexed="47"/>
        <bgColor indexed="64"/>
      </patternFill>
    </fill>
    <fill>
      <patternFill patternType="solid">
        <fgColor indexed="43"/>
        <bgColor indexed="64"/>
      </patternFill>
    </fill>
    <fill>
      <patternFill patternType="solid">
        <fgColor indexed="31"/>
        <bgColor indexed="64"/>
      </patternFill>
    </fill>
    <fill>
      <patternFill patternType="solid">
        <fgColor indexed="22"/>
        <bgColor indexed="64"/>
      </patternFill>
    </fill>
    <fill>
      <patternFill patternType="solid">
        <fgColor indexed="49"/>
        <bgColor indexed="64"/>
      </patternFill>
    </fill>
    <fill>
      <patternFill patternType="solid">
        <fgColor indexed="10"/>
        <bgColor indexed="64"/>
      </patternFill>
    </fill>
    <fill>
      <patternFill patternType="solid">
        <fgColor indexed="57"/>
        <bgColor indexed="64"/>
      </patternFill>
    </fill>
    <fill>
      <patternFill patternType="solid">
        <fgColor indexed="54"/>
        <bgColor indexed="64"/>
      </patternFill>
    </fill>
    <fill>
      <patternFill patternType="solid">
        <fgColor indexed="53"/>
        <bgColor indexed="64"/>
      </patternFill>
    </fill>
    <fill>
      <patternFill patternType="solid">
        <fgColor indexed="29"/>
        <bgColor indexed="64"/>
      </patternFill>
    </fill>
    <fill>
      <patternFill patternType="solid">
        <fgColor indexed="55"/>
        <bgColor indexed="64"/>
      </patternFill>
    </fill>
    <fill>
      <patternFill patternType="solid">
        <fgColor indexed="9"/>
        <bgColor indexed="64"/>
      </patternFill>
    </fill>
    <fill>
      <patternFill patternType="solid">
        <fgColor indexed="27"/>
        <bgColor indexed="64"/>
      </patternFill>
    </fill>
    <fill>
      <patternFill patternType="solid">
        <fgColor rgb="FFCCCCFF"/>
        <bgColor indexed="64"/>
      </patternFill>
    </fill>
  </fills>
  <borders count="3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8"/>
      </bottom>
      <diagonal/>
    </border>
    <border>
      <left/>
      <right/>
      <top/>
      <bottom style="medium">
        <color indexed="28"/>
      </bottom>
      <diagonal/>
    </border>
    <border>
      <left/>
      <right/>
      <top/>
      <bottom style="double">
        <color indexed="5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9"/>
      </left>
      <right style="thin">
        <color indexed="9"/>
      </right>
      <top style="thin">
        <color indexed="9"/>
      </top>
      <bottom style="thin">
        <color indexed="9"/>
      </bottom>
      <diagonal/>
    </border>
    <border>
      <left style="thin">
        <color theme="0"/>
      </left>
      <right style="thin">
        <color theme="0"/>
      </right>
      <top style="thin">
        <color theme="0"/>
      </top>
      <bottom style="thin">
        <color theme="0"/>
      </bottom>
      <diagonal/>
    </border>
    <border>
      <left style="thin">
        <color indexed="9"/>
      </left>
      <right style="thin">
        <color indexed="9"/>
      </right>
      <top style="thin">
        <color indexed="9"/>
      </top>
      <bottom/>
      <diagonal/>
    </border>
    <border>
      <left/>
      <right style="thin">
        <color indexed="9"/>
      </right>
      <top style="thin">
        <color indexed="9"/>
      </top>
      <bottom style="thin">
        <color indexed="9"/>
      </bottom>
      <diagonal/>
    </border>
    <border>
      <left style="thin">
        <color indexed="9"/>
      </left>
      <right style="thin">
        <color indexed="9"/>
      </right>
      <top/>
      <bottom style="thin">
        <color indexed="9"/>
      </bottom>
      <diagonal/>
    </border>
  </borders>
  <cellStyleXfs count="504">
    <xf numFmtId="0" fontId="0" fillId="0" borderId="0">
      <alignment vertical="center"/>
    </xf>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6" borderId="0" applyNumberFormat="0" applyBorder="0" applyAlignment="0" applyProtection="0"/>
    <xf numFmtId="0" fontId="18" fillId="2" borderId="0" applyNumberFormat="0" applyBorder="0" applyAlignment="0" applyProtection="0"/>
    <xf numFmtId="0" fontId="18" fillId="3" borderId="0" applyNumberFormat="0" applyBorder="0" applyAlignment="0" applyProtection="0"/>
    <xf numFmtId="0" fontId="17" fillId="2" borderId="0" applyNumberFormat="0" applyBorder="0" applyAlignment="0" applyProtection="0"/>
    <xf numFmtId="0" fontId="17" fillId="3" borderId="0" applyNumberFormat="0" applyBorder="0" applyAlignment="0" applyProtection="0"/>
    <xf numFmtId="0" fontId="17" fillId="4" borderId="0" applyNumberFormat="0" applyBorder="0" applyAlignment="0" applyProtection="0"/>
    <xf numFmtId="0" fontId="17" fillId="6" borderId="0" applyNumberFormat="0" applyBorder="0" applyAlignment="0" applyProtection="0"/>
    <xf numFmtId="0" fontId="17" fillId="2" borderId="0" applyNumberFormat="0" applyBorder="0" applyAlignment="0" applyProtection="0"/>
    <xf numFmtId="0" fontId="17" fillId="3"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0" fontId="7" fillId="12" borderId="0" applyNumberFormat="0" applyBorder="0" applyAlignment="0" applyProtection="0"/>
    <xf numFmtId="0" fontId="11" fillId="5" borderId="1" applyNumberFormat="0" applyAlignment="0" applyProtection="0"/>
    <xf numFmtId="0" fontId="13" fillId="13" borderId="2" applyNumberFormat="0" applyAlignment="0" applyProtection="0"/>
    <xf numFmtId="0" fontId="15" fillId="0" borderId="0" applyNumberFormat="0" applyFill="0" applyBorder="0" applyAlignment="0" applyProtection="0"/>
    <xf numFmtId="0" fontId="6" fillId="2" borderId="0" applyNumberFormat="0" applyBorder="0" applyAlignment="0" applyProtection="0"/>
    <xf numFmtId="0" fontId="3" fillId="0" borderId="3" applyNumberFormat="0" applyFill="0" applyAlignment="0" applyProtection="0"/>
    <xf numFmtId="0" fontId="4" fillId="0" borderId="4" applyNumberFormat="0" applyFill="0" applyAlignment="0" applyProtection="0"/>
    <xf numFmtId="0" fontId="5" fillId="0" borderId="5" applyNumberFormat="0" applyFill="0" applyAlignment="0" applyProtection="0"/>
    <xf numFmtId="0" fontId="5" fillId="0" borderId="0" applyNumberFormat="0" applyFill="0" applyBorder="0" applyAlignment="0" applyProtection="0"/>
    <xf numFmtId="0" fontId="9" fillId="3" borderId="1" applyNumberFormat="0" applyAlignment="0" applyProtection="0"/>
    <xf numFmtId="0" fontId="12" fillId="0" borderId="6" applyNumberFormat="0" applyFill="0" applyAlignment="0" applyProtection="0"/>
    <xf numFmtId="0" fontId="23" fillId="14" borderId="0" applyBorder="0">
      <alignment vertical="top" shrinkToFit="1"/>
    </xf>
    <xf numFmtId="0" fontId="24" fillId="14" borderId="0" applyBorder="0">
      <alignment vertical="top" shrinkToFit="1"/>
    </xf>
    <xf numFmtId="0" fontId="25" fillId="14" borderId="7">
      <alignment vertical="top" shrinkToFit="1"/>
    </xf>
    <xf numFmtId="0" fontId="25" fillId="14" borderId="8">
      <alignment vertical="top" shrinkToFit="1"/>
    </xf>
    <xf numFmtId="0" fontId="25" fillId="14" borderId="9">
      <alignment vertical="top" shrinkToFit="1"/>
    </xf>
    <xf numFmtId="0" fontId="25" fillId="15" borderId="10">
      <alignment horizontal="left" vertical="top" shrinkToFit="1"/>
      <protection locked="0"/>
    </xf>
    <xf numFmtId="0" fontId="26" fillId="14" borderId="0" applyBorder="0">
      <alignment vertical="top" shrinkToFit="1"/>
    </xf>
    <xf numFmtId="0" fontId="25" fillId="14" borderId="7">
      <alignment horizontal="center" vertical="top" shrinkToFit="1"/>
    </xf>
    <xf numFmtId="0" fontId="25" fillId="14" borderId="8">
      <alignment horizontal="center" vertical="top" shrinkToFit="1"/>
    </xf>
    <xf numFmtId="0" fontId="25" fillId="14" borderId="9">
      <alignment horizontal="center" vertical="top" shrinkToFit="1"/>
    </xf>
    <xf numFmtId="0" fontId="25" fillId="14" borderId="11">
      <alignment vertical="top" shrinkToFit="1"/>
    </xf>
    <xf numFmtId="0" fontId="25" fillId="14" borderId="12">
      <alignment vertical="top" shrinkToFit="1"/>
    </xf>
    <xf numFmtId="0" fontId="25" fillId="14" borderId="13">
      <alignment vertical="top" shrinkToFit="1"/>
    </xf>
    <xf numFmtId="0" fontId="25" fillId="15" borderId="12">
      <alignment horizontal="left" vertical="top" shrinkToFit="1"/>
      <protection locked="0"/>
    </xf>
    <xf numFmtId="3" fontId="25" fillId="15" borderId="13">
      <alignment horizontal="right" vertical="top" shrinkToFit="1"/>
      <protection locked="0"/>
    </xf>
    <xf numFmtId="0" fontId="25" fillId="14" borderId="14">
      <alignment vertical="top" shrinkToFit="1"/>
    </xf>
    <xf numFmtId="0" fontId="25" fillId="14" borderId="15">
      <alignment vertical="top" shrinkToFit="1"/>
    </xf>
    <xf numFmtId="0" fontId="25" fillId="14" borderId="16">
      <alignment vertical="top" shrinkToFit="1"/>
    </xf>
    <xf numFmtId="0" fontId="25" fillId="15" borderId="15">
      <alignment horizontal="left" vertical="top" shrinkToFit="1"/>
      <protection locked="0"/>
    </xf>
    <xf numFmtId="3" fontId="25" fillId="15" borderId="16">
      <alignment horizontal="right" vertical="top" shrinkToFit="1"/>
      <protection locked="0"/>
    </xf>
    <xf numFmtId="0" fontId="25" fillId="14" borderId="0" applyBorder="0">
      <alignment vertical="top" shrinkToFit="1"/>
    </xf>
    <xf numFmtId="3" fontId="25" fillId="15" borderId="12">
      <alignment horizontal="right" vertical="top" shrinkToFit="1"/>
      <protection locked="0"/>
    </xf>
    <xf numFmtId="4" fontId="25" fillId="15" borderId="13">
      <alignment horizontal="right" vertical="top" shrinkToFit="1"/>
      <protection locked="0"/>
    </xf>
    <xf numFmtId="3" fontId="25" fillId="15" borderId="15">
      <alignment horizontal="right" vertical="top" shrinkToFit="1"/>
      <protection locked="0"/>
    </xf>
    <xf numFmtId="4" fontId="25" fillId="15" borderId="16">
      <alignment horizontal="right" vertical="top" shrinkToFit="1"/>
      <protection locked="0"/>
    </xf>
    <xf numFmtId="0" fontId="27" fillId="14" borderId="12">
      <alignment vertical="top" shrinkToFit="1"/>
    </xf>
    <xf numFmtId="0" fontId="27" fillId="14" borderId="13">
      <alignment vertical="top" shrinkToFit="1"/>
    </xf>
    <xf numFmtId="168" fontId="27" fillId="15" borderId="12">
      <alignment horizontal="right" vertical="top" shrinkToFit="1"/>
      <protection locked="0"/>
    </xf>
    <xf numFmtId="4" fontId="27" fillId="15" borderId="13">
      <alignment horizontal="right" vertical="top" shrinkToFit="1"/>
      <protection locked="0"/>
    </xf>
    <xf numFmtId="0" fontId="25" fillId="14" borderId="17">
      <alignment vertical="top" shrinkToFit="1"/>
    </xf>
    <xf numFmtId="0" fontId="27" fillId="14" borderId="0" applyBorder="0">
      <alignment vertical="top" shrinkToFit="1"/>
    </xf>
    <xf numFmtId="0" fontId="27" fillId="14" borderId="18">
      <alignment vertical="top" shrinkToFit="1"/>
    </xf>
    <xf numFmtId="168" fontId="27" fillId="15" borderId="0" applyBorder="0">
      <alignment horizontal="right" vertical="top" shrinkToFit="1"/>
      <protection locked="0"/>
    </xf>
    <xf numFmtId="4" fontId="27" fillId="15" borderId="18">
      <alignment horizontal="right" vertical="top" shrinkToFit="1"/>
      <protection locked="0"/>
    </xf>
    <xf numFmtId="0" fontId="27" fillId="14" borderId="15">
      <alignment vertical="top" shrinkToFit="1"/>
    </xf>
    <xf numFmtId="0" fontId="27" fillId="14" borderId="16">
      <alignment vertical="top" shrinkToFit="1"/>
    </xf>
    <xf numFmtId="168" fontId="27" fillId="15" borderId="15">
      <alignment horizontal="right" vertical="top" shrinkToFit="1"/>
      <protection locked="0"/>
    </xf>
    <xf numFmtId="4" fontId="27" fillId="15" borderId="16">
      <alignment horizontal="right" vertical="top" shrinkToFit="1"/>
      <protection locked="0"/>
    </xf>
    <xf numFmtId="0" fontId="28" fillId="14" borderId="12">
      <alignment vertical="top" shrinkToFit="1"/>
    </xf>
    <xf numFmtId="0" fontId="28" fillId="14" borderId="13">
      <alignment vertical="top" shrinkToFit="1"/>
    </xf>
    <xf numFmtId="169" fontId="28" fillId="15" borderId="12">
      <alignment horizontal="right" vertical="top" shrinkToFit="1"/>
      <protection locked="0"/>
    </xf>
    <xf numFmtId="169" fontId="28" fillId="15" borderId="13">
      <alignment horizontal="right" vertical="top" shrinkToFit="1"/>
      <protection locked="0"/>
    </xf>
    <xf numFmtId="0" fontId="28" fillId="14" borderId="0" applyBorder="0">
      <alignment vertical="top" shrinkToFit="1"/>
    </xf>
    <xf numFmtId="0" fontId="28" fillId="14" borderId="18">
      <alignment vertical="top" shrinkToFit="1"/>
    </xf>
    <xf numFmtId="169" fontId="28" fillId="15" borderId="0" applyBorder="0">
      <alignment horizontal="right" vertical="top" shrinkToFit="1"/>
      <protection locked="0"/>
    </xf>
    <xf numFmtId="169" fontId="28" fillId="15" borderId="18">
      <alignment horizontal="right" vertical="top" shrinkToFit="1"/>
      <protection locked="0"/>
    </xf>
    <xf numFmtId="0" fontId="28" fillId="14" borderId="15">
      <alignment vertical="top" shrinkToFit="1"/>
    </xf>
    <xf numFmtId="0" fontId="28" fillId="14" borderId="16">
      <alignment vertical="top" shrinkToFit="1"/>
    </xf>
    <xf numFmtId="169" fontId="28" fillId="15" borderId="15">
      <alignment horizontal="right" vertical="top" shrinkToFit="1"/>
      <protection locked="0"/>
    </xf>
    <xf numFmtId="169" fontId="28" fillId="15" borderId="16">
      <alignment horizontal="right" vertical="top" shrinkToFit="1"/>
      <protection locked="0"/>
    </xf>
    <xf numFmtId="167" fontId="28" fillId="15" borderId="12">
      <alignment horizontal="right" vertical="top" shrinkToFit="1"/>
      <protection locked="0"/>
    </xf>
    <xf numFmtId="167" fontId="28" fillId="15" borderId="13">
      <alignment horizontal="right" vertical="top" shrinkToFit="1"/>
      <protection locked="0"/>
    </xf>
    <xf numFmtId="167" fontId="28" fillId="15" borderId="0" applyBorder="0">
      <alignment horizontal="right" vertical="top" shrinkToFit="1"/>
      <protection locked="0"/>
    </xf>
    <xf numFmtId="167" fontId="28" fillId="15" borderId="18">
      <alignment horizontal="right" vertical="top" shrinkToFit="1"/>
      <protection locked="0"/>
    </xf>
    <xf numFmtId="167" fontId="28" fillId="15" borderId="15">
      <alignment horizontal="right" vertical="top" shrinkToFit="1"/>
      <protection locked="0"/>
    </xf>
    <xf numFmtId="167" fontId="28" fillId="15" borderId="16">
      <alignment horizontal="right" vertical="top" shrinkToFit="1"/>
      <protection locked="0"/>
    </xf>
    <xf numFmtId="0" fontId="25" fillId="15" borderId="10">
      <alignment horizontal="left" vertical="top" shrinkToFit="1"/>
      <protection locked="0"/>
    </xf>
    <xf numFmtId="3" fontId="28" fillId="15" borderId="12">
      <alignment horizontal="right" vertical="top" shrinkToFit="1"/>
      <protection locked="0"/>
    </xf>
    <xf numFmtId="3" fontId="28" fillId="15" borderId="13">
      <alignment horizontal="right" vertical="top" shrinkToFit="1"/>
      <protection locked="0"/>
    </xf>
    <xf numFmtId="3" fontId="28" fillId="15" borderId="0" applyBorder="0">
      <alignment horizontal="right" vertical="top" shrinkToFit="1"/>
      <protection locked="0"/>
    </xf>
    <xf numFmtId="3" fontId="28" fillId="15" borderId="18">
      <alignment horizontal="right" vertical="top" shrinkToFit="1"/>
      <protection locked="0"/>
    </xf>
    <xf numFmtId="3" fontId="28" fillId="15" borderId="15">
      <alignment horizontal="right" vertical="top" shrinkToFit="1"/>
      <protection locked="0"/>
    </xf>
    <xf numFmtId="3" fontId="28" fillId="15" borderId="16">
      <alignment horizontal="right" vertical="top" shrinkToFit="1"/>
      <protection locked="0"/>
    </xf>
    <xf numFmtId="3" fontId="25" fillId="15" borderId="19">
      <alignment horizontal="right" vertical="top" shrinkToFit="1"/>
      <protection locked="0"/>
    </xf>
    <xf numFmtId="3" fontId="25" fillId="15" borderId="20">
      <alignment horizontal="right" vertical="top" shrinkToFit="1"/>
      <protection locked="0"/>
    </xf>
    <xf numFmtId="3" fontId="25" fillId="15" borderId="21">
      <alignment horizontal="right" vertical="top" shrinkToFit="1"/>
      <protection locked="0"/>
    </xf>
    <xf numFmtId="3" fontId="24" fillId="15" borderId="12">
      <alignment horizontal="right" vertical="top" shrinkToFit="1"/>
      <protection locked="0"/>
    </xf>
    <xf numFmtId="3" fontId="24" fillId="15" borderId="13">
      <alignment horizontal="right" vertical="top" shrinkToFit="1"/>
      <protection locked="0"/>
    </xf>
    <xf numFmtId="3" fontId="24" fillId="15" borderId="0" applyBorder="0">
      <alignment horizontal="right" vertical="top" shrinkToFit="1"/>
      <protection locked="0"/>
    </xf>
    <xf numFmtId="3" fontId="24" fillId="15" borderId="18">
      <alignment horizontal="right" vertical="top" shrinkToFit="1"/>
      <protection locked="0"/>
    </xf>
    <xf numFmtId="3" fontId="24" fillId="15" borderId="15">
      <alignment horizontal="right" vertical="top" shrinkToFit="1"/>
      <protection locked="0"/>
    </xf>
    <xf numFmtId="3" fontId="24" fillId="15" borderId="16">
      <alignment horizontal="right" vertical="top" shrinkToFit="1"/>
      <protection locked="0"/>
    </xf>
    <xf numFmtId="168" fontId="24" fillId="15" borderId="12">
      <alignment horizontal="right" vertical="top" shrinkToFit="1"/>
      <protection locked="0"/>
    </xf>
    <xf numFmtId="168" fontId="24" fillId="15" borderId="13">
      <alignment horizontal="right" vertical="top" shrinkToFit="1"/>
      <protection locked="0"/>
    </xf>
    <xf numFmtId="168" fontId="24" fillId="15" borderId="0" applyBorder="0">
      <alignment horizontal="right" vertical="top" shrinkToFit="1"/>
      <protection locked="0"/>
    </xf>
    <xf numFmtId="168" fontId="24" fillId="15" borderId="18">
      <alignment horizontal="right" vertical="top" shrinkToFit="1"/>
      <protection locked="0"/>
    </xf>
    <xf numFmtId="168" fontId="28" fillId="15" borderId="0" applyBorder="0">
      <alignment horizontal="right" vertical="top" shrinkToFit="1"/>
      <protection locked="0"/>
    </xf>
    <xf numFmtId="168" fontId="28" fillId="15" borderId="18">
      <alignment horizontal="right" vertical="top" shrinkToFit="1"/>
      <protection locked="0"/>
    </xf>
    <xf numFmtId="168" fontId="28" fillId="15" borderId="15">
      <alignment horizontal="right" vertical="top" shrinkToFit="1"/>
      <protection locked="0"/>
    </xf>
    <xf numFmtId="168" fontId="28" fillId="15" borderId="16">
      <alignment horizontal="right" vertical="top" shrinkToFit="1"/>
      <protection locked="0"/>
    </xf>
    <xf numFmtId="164" fontId="28" fillId="15" borderId="12">
      <alignment horizontal="right" vertical="top" shrinkToFit="1"/>
      <protection locked="0"/>
    </xf>
    <xf numFmtId="164" fontId="28" fillId="15" borderId="13">
      <alignment horizontal="right" vertical="top" shrinkToFit="1"/>
      <protection locked="0"/>
    </xf>
    <xf numFmtId="164" fontId="28" fillId="15" borderId="0" applyBorder="0">
      <alignment horizontal="right" vertical="top" shrinkToFit="1"/>
      <protection locked="0"/>
    </xf>
    <xf numFmtId="164" fontId="28" fillId="15" borderId="18">
      <alignment horizontal="right" vertical="top" shrinkToFit="1"/>
      <protection locked="0"/>
    </xf>
    <xf numFmtId="167" fontId="27" fillId="15" borderId="0" applyBorder="0">
      <alignment horizontal="right" vertical="top" shrinkToFit="1"/>
      <protection locked="0"/>
    </xf>
    <xf numFmtId="167" fontId="27" fillId="15" borderId="18">
      <alignment horizontal="right" vertical="top" shrinkToFit="1"/>
      <protection locked="0"/>
    </xf>
    <xf numFmtId="167" fontId="27" fillId="15" borderId="15">
      <alignment horizontal="right" vertical="top" shrinkToFit="1"/>
      <protection locked="0"/>
    </xf>
    <xf numFmtId="167" fontId="27" fillId="15" borderId="16">
      <alignment horizontal="right" vertical="top" shrinkToFit="1"/>
      <protection locked="0"/>
    </xf>
    <xf numFmtId="165" fontId="28" fillId="15" borderId="12">
      <alignment horizontal="right" vertical="top" shrinkToFit="1"/>
      <protection locked="0"/>
    </xf>
    <xf numFmtId="165" fontId="28" fillId="15" borderId="13">
      <alignment horizontal="right" vertical="top" shrinkToFit="1"/>
      <protection locked="0"/>
    </xf>
    <xf numFmtId="165" fontId="28" fillId="15" borderId="0" applyBorder="0">
      <alignment horizontal="right" vertical="top" shrinkToFit="1"/>
      <protection locked="0"/>
    </xf>
    <xf numFmtId="165" fontId="28" fillId="15" borderId="18">
      <alignment horizontal="right" vertical="top" shrinkToFit="1"/>
      <protection locked="0"/>
    </xf>
    <xf numFmtId="165" fontId="24" fillId="15" borderId="0" applyBorder="0">
      <alignment horizontal="right" vertical="top" shrinkToFit="1"/>
      <protection locked="0"/>
    </xf>
    <xf numFmtId="165" fontId="24" fillId="15" borderId="18">
      <alignment horizontal="right" vertical="top" shrinkToFit="1"/>
      <protection locked="0"/>
    </xf>
    <xf numFmtId="165" fontId="24" fillId="15" borderId="15">
      <alignment horizontal="right" vertical="top" shrinkToFit="1"/>
      <protection locked="0"/>
    </xf>
    <xf numFmtId="165" fontId="24" fillId="15" borderId="16">
      <alignment horizontal="right" vertical="top" shrinkToFit="1"/>
      <protection locked="0"/>
    </xf>
    <xf numFmtId="0" fontId="25" fillId="14" borderId="10">
      <alignment vertical="top" shrinkToFit="1"/>
    </xf>
    <xf numFmtId="4" fontId="24" fillId="15" borderId="12">
      <alignment horizontal="right" vertical="top" shrinkToFit="1"/>
      <protection locked="0"/>
    </xf>
    <xf numFmtId="4" fontId="24" fillId="15" borderId="13">
      <alignment horizontal="right" vertical="top" shrinkToFit="1"/>
      <protection locked="0"/>
    </xf>
    <xf numFmtId="4" fontId="24" fillId="15" borderId="0" applyBorder="0">
      <alignment horizontal="right" vertical="top" shrinkToFit="1"/>
      <protection locked="0"/>
    </xf>
    <xf numFmtId="4" fontId="24" fillId="15" borderId="18">
      <alignment horizontal="right" vertical="top" shrinkToFit="1"/>
      <protection locked="0"/>
    </xf>
    <xf numFmtId="164" fontId="27" fillId="15" borderId="12">
      <alignment horizontal="right" vertical="top" shrinkToFit="1"/>
      <protection locked="0"/>
    </xf>
    <xf numFmtId="164" fontId="27" fillId="15" borderId="13">
      <alignment horizontal="right" vertical="top" shrinkToFit="1"/>
      <protection locked="0"/>
    </xf>
    <xf numFmtId="164" fontId="27" fillId="15" borderId="0" applyBorder="0">
      <alignment horizontal="right" vertical="top" shrinkToFit="1"/>
      <protection locked="0"/>
    </xf>
    <xf numFmtId="164" fontId="27" fillId="15" borderId="18">
      <alignment horizontal="right" vertical="top" shrinkToFit="1"/>
      <protection locked="0"/>
    </xf>
    <xf numFmtId="167" fontId="27" fillId="15" borderId="12">
      <alignment horizontal="right" vertical="top" shrinkToFit="1"/>
      <protection locked="0"/>
    </xf>
    <xf numFmtId="167" fontId="27" fillId="15" borderId="13">
      <alignment horizontal="right" vertical="top" shrinkToFit="1"/>
      <protection locked="0"/>
    </xf>
    <xf numFmtId="167" fontId="25" fillId="15" borderId="15">
      <alignment horizontal="right" vertical="top" shrinkToFit="1"/>
      <protection locked="0"/>
    </xf>
    <xf numFmtId="167" fontId="25" fillId="15" borderId="16">
      <alignment horizontal="right" vertical="top" shrinkToFit="1"/>
      <protection locked="0"/>
    </xf>
    <xf numFmtId="167" fontId="25" fillId="15" borderId="8">
      <alignment horizontal="right" vertical="top" shrinkToFit="1"/>
      <protection locked="0"/>
    </xf>
    <xf numFmtId="167" fontId="25" fillId="15" borderId="9">
      <alignment horizontal="right" vertical="top" shrinkToFit="1"/>
      <protection locked="0"/>
    </xf>
    <xf numFmtId="167" fontId="25" fillId="15" borderId="12">
      <alignment horizontal="right" vertical="top" shrinkToFit="1"/>
      <protection locked="0"/>
    </xf>
    <xf numFmtId="167" fontId="25" fillId="15" borderId="13">
      <alignment horizontal="right" vertical="top" shrinkToFit="1"/>
      <protection locked="0"/>
    </xf>
    <xf numFmtId="168" fontId="27" fillId="15" borderId="13">
      <alignment horizontal="right" vertical="top" shrinkToFit="1"/>
      <protection locked="0"/>
    </xf>
    <xf numFmtId="168" fontId="27" fillId="15" borderId="18">
      <alignment horizontal="right" vertical="top" shrinkToFit="1"/>
      <protection locked="0"/>
    </xf>
    <xf numFmtId="168" fontId="27" fillId="15" borderId="16">
      <alignment horizontal="right" vertical="top" shrinkToFit="1"/>
      <protection locked="0"/>
    </xf>
    <xf numFmtId="165" fontId="28" fillId="15" borderId="15">
      <alignment horizontal="right" vertical="top" shrinkToFit="1"/>
      <protection locked="0"/>
    </xf>
    <xf numFmtId="165" fontId="28" fillId="15" borderId="16">
      <alignment horizontal="right" vertical="top" shrinkToFit="1"/>
      <protection locked="0"/>
    </xf>
    <xf numFmtId="170" fontId="25" fillId="15" borderId="12">
      <alignment horizontal="right" vertical="top" shrinkToFit="1"/>
      <protection locked="0"/>
    </xf>
    <xf numFmtId="170" fontId="25" fillId="15" borderId="13">
      <alignment horizontal="right" vertical="top" shrinkToFit="1"/>
      <protection locked="0"/>
    </xf>
    <xf numFmtId="0" fontId="25" fillId="14" borderId="18">
      <alignment vertical="top" shrinkToFit="1"/>
    </xf>
    <xf numFmtId="165" fontId="25" fillId="15" borderId="0" applyBorder="0">
      <alignment horizontal="right" vertical="top" shrinkToFit="1"/>
      <protection locked="0"/>
    </xf>
    <xf numFmtId="165" fontId="25" fillId="15" borderId="18">
      <alignment horizontal="right" vertical="top" shrinkToFit="1"/>
      <protection locked="0"/>
    </xf>
    <xf numFmtId="166" fontId="25" fillId="15" borderId="0" applyBorder="0">
      <alignment horizontal="right" vertical="top" shrinkToFit="1"/>
      <protection locked="0"/>
    </xf>
    <xf numFmtId="166" fontId="25" fillId="15" borderId="18">
      <alignment horizontal="right" vertical="top" shrinkToFit="1"/>
      <protection locked="0"/>
    </xf>
    <xf numFmtId="164" fontId="25" fillId="15" borderId="15">
      <alignment horizontal="right" vertical="top" shrinkToFit="1"/>
      <protection locked="0"/>
    </xf>
    <xf numFmtId="164" fontId="25" fillId="15" borderId="16">
      <alignment horizontal="right" vertical="top" shrinkToFit="1"/>
      <protection locked="0"/>
    </xf>
    <xf numFmtId="4" fontId="28" fillId="15" borderId="12">
      <alignment horizontal="right" vertical="top" shrinkToFit="1"/>
      <protection locked="0"/>
    </xf>
    <xf numFmtId="4" fontId="28" fillId="15" borderId="13">
      <alignment horizontal="right" vertical="top" shrinkToFit="1"/>
      <protection locked="0"/>
    </xf>
    <xf numFmtId="4" fontId="28" fillId="15" borderId="15">
      <alignment horizontal="right" vertical="top" shrinkToFit="1"/>
      <protection locked="0"/>
    </xf>
    <xf numFmtId="4" fontId="28" fillId="15" borderId="16">
      <alignment horizontal="right" vertical="top" shrinkToFit="1"/>
      <protection locked="0"/>
    </xf>
    <xf numFmtId="164" fontId="28" fillId="15" borderId="15">
      <alignment horizontal="right" vertical="top" shrinkToFit="1"/>
      <protection locked="0"/>
    </xf>
    <xf numFmtId="164" fontId="28" fillId="15" borderId="16">
      <alignment horizontal="right" vertical="top" shrinkToFit="1"/>
      <protection locked="0"/>
    </xf>
    <xf numFmtId="167" fontId="25" fillId="15" borderId="0" applyBorder="0">
      <alignment horizontal="right" vertical="top" shrinkToFit="1"/>
      <protection locked="0"/>
    </xf>
    <xf numFmtId="167" fontId="25" fillId="15" borderId="18">
      <alignment horizontal="right" vertical="top" shrinkToFit="1"/>
      <protection locked="0"/>
    </xf>
    <xf numFmtId="165" fontId="25" fillId="15" borderId="19">
      <alignment horizontal="right" vertical="top" shrinkToFit="1"/>
      <protection locked="0"/>
    </xf>
    <xf numFmtId="3" fontId="25" fillId="15" borderId="8">
      <alignment horizontal="right" vertical="top" shrinkToFit="1"/>
      <protection locked="0"/>
    </xf>
    <xf numFmtId="3" fontId="25" fillId="15" borderId="9">
      <alignment horizontal="right" vertical="top" shrinkToFit="1"/>
      <protection locked="0"/>
    </xf>
    <xf numFmtId="165" fontId="25" fillId="15" borderId="10">
      <alignment horizontal="right" vertical="top" shrinkToFit="1"/>
      <protection locked="0"/>
    </xf>
    <xf numFmtId="169" fontId="25" fillId="15" borderId="8">
      <alignment horizontal="right" vertical="top" shrinkToFit="1"/>
      <protection locked="0"/>
    </xf>
    <xf numFmtId="169" fontId="25" fillId="15" borderId="9">
      <alignment horizontal="right" vertical="top" shrinkToFit="1"/>
      <protection locked="0"/>
    </xf>
    <xf numFmtId="171" fontId="25" fillId="15" borderId="12">
      <alignment horizontal="right" vertical="top" shrinkToFit="1"/>
      <protection locked="0"/>
    </xf>
    <xf numFmtId="165" fontId="25" fillId="15" borderId="12">
      <alignment horizontal="right" vertical="top" shrinkToFit="1"/>
      <protection locked="0"/>
    </xf>
    <xf numFmtId="4" fontId="25" fillId="15" borderId="12">
      <alignment horizontal="right" vertical="top" shrinkToFit="1"/>
      <protection locked="0"/>
    </xf>
    <xf numFmtId="165" fontId="25" fillId="15" borderId="13">
      <alignment horizontal="right" vertical="top" shrinkToFit="1"/>
      <protection locked="0"/>
    </xf>
    <xf numFmtId="171" fontId="25" fillId="15" borderId="15">
      <alignment horizontal="right" vertical="top" shrinkToFit="1"/>
      <protection locked="0"/>
    </xf>
    <xf numFmtId="165" fontId="25" fillId="15" borderId="15">
      <alignment horizontal="right" vertical="top" shrinkToFit="1"/>
      <protection locked="0"/>
    </xf>
    <xf numFmtId="4" fontId="25" fillId="15" borderId="15">
      <alignment horizontal="right" vertical="top" shrinkToFit="1"/>
      <protection locked="0"/>
    </xf>
    <xf numFmtId="165" fontId="25" fillId="15" borderId="16">
      <alignment horizontal="right" vertical="top" shrinkToFit="1"/>
      <protection locked="0"/>
    </xf>
    <xf numFmtId="3" fontId="25" fillId="14" borderId="13">
      <alignment horizontal="right" vertical="top" shrinkToFit="1"/>
    </xf>
    <xf numFmtId="3" fontId="25" fillId="14" borderId="16">
      <alignment horizontal="right" vertical="top" shrinkToFit="1"/>
    </xf>
    <xf numFmtId="165" fontId="27" fillId="15" borderId="12">
      <alignment horizontal="right" vertical="top" shrinkToFit="1"/>
      <protection locked="0"/>
    </xf>
    <xf numFmtId="165" fontId="27" fillId="15" borderId="13">
      <alignment horizontal="right" vertical="top" shrinkToFit="1"/>
      <protection locked="0"/>
    </xf>
    <xf numFmtId="165" fontId="27" fillId="15" borderId="0" applyBorder="0">
      <alignment horizontal="right" vertical="top" shrinkToFit="1"/>
      <protection locked="0"/>
    </xf>
    <xf numFmtId="165" fontId="27" fillId="15" borderId="18">
      <alignment horizontal="right" vertical="top" shrinkToFit="1"/>
      <protection locked="0"/>
    </xf>
    <xf numFmtId="165" fontId="27" fillId="15" borderId="15">
      <alignment horizontal="right" vertical="top" shrinkToFit="1"/>
      <protection locked="0"/>
    </xf>
    <xf numFmtId="165" fontId="27" fillId="15" borderId="16">
      <alignment horizontal="right" vertical="top" shrinkToFit="1"/>
      <protection locked="0"/>
    </xf>
    <xf numFmtId="164" fontId="27" fillId="15" borderId="19">
      <alignment horizontal="right" vertical="top" shrinkToFit="1"/>
      <protection locked="0"/>
    </xf>
    <xf numFmtId="164" fontId="27" fillId="15" borderId="21">
      <alignment horizontal="right" vertical="top" shrinkToFit="1"/>
      <protection locked="0"/>
    </xf>
    <xf numFmtId="165" fontId="27" fillId="15" borderId="19">
      <alignment horizontal="right" vertical="top" shrinkToFit="1"/>
      <protection locked="0"/>
    </xf>
    <xf numFmtId="165" fontId="27" fillId="15" borderId="20">
      <alignment horizontal="right" vertical="top" shrinkToFit="1"/>
      <protection locked="0"/>
    </xf>
    <xf numFmtId="165" fontId="27" fillId="15" borderId="21">
      <alignment horizontal="right" vertical="top" shrinkToFit="1"/>
      <protection locked="0"/>
    </xf>
    <xf numFmtId="169" fontId="27" fillId="14" borderId="12">
      <alignment horizontal="right" vertical="top" shrinkToFit="1"/>
    </xf>
    <xf numFmtId="169" fontId="27" fillId="15" borderId="12">
      <alignment horizontal="right" vertical="top" shrinkToFit="1"/>
      <protection locked="0"/>
    </xf>
    <xf numFmtId="169" fontId="27" fillId="15" borderId="13">
      <alignment horizontal="right" vertical="top" shrinkToFit="1"/>
      <protection locked="0"/>
    </xf>
    <xf numFmtId="169" fontId="27" fillId="14" borderId="0" applyBorder="0">
      <alignment horizontal="right" vertical="top" shrinkToFit="1"/>
    </xf>
    <xf numFmtId="169" fontId="27" fillId="15" borderId="0" applyBorder="0">
      <alignment horizontal="right" vertical="top" shrinkToFit="1"/>
      <protection locked="0"/>
    </xf>
    <xf numFmtId="169" fontId="27" fillId="15" borderId="18">
      <alignment horizontal="right" vertical="top" shrinkToFit="1"/>
      <protection locked="0"/>
    </xf>
    <xf numFmtId="169" fontId="27" fillId="14" borderId="15">
      <alignment horizontal="right" vertical="top" shrinkToFit="1"/>
    </xf>
    <xf numFmtId="169" fontId="27" fillId="15" borderId="15">
      <alignment horizontal="right" vertical="top" shrinkToFit="1"/>
      <protection locked="0"/>
    </xf>
    <xf numFmtId="169" fontId="27" fillId="15" borderId="16">
      <alignment horizontal="right" vertical="top" shrinkToFit="1"/>
      <protection locked="0"/>
    </xf>
    <xf numFmtId="164" fontId="25" fillId="15" borderId="8">
      <alignment horizontal="right" vertical="top" shrinkToFit="1"/>
      <protection locked="0"/>
    </xf>
    <xf numFmtId="164" fontId="25" fillId="15" borderId="9">
      <alignment horizontal="right" vertical="top" shrinkToFit="1"/>
      <protection locked="0"/>
    </xf>
    <xf numFmtId="164" fontId="25" fillId="15" borderId="12">
      <alignment horizontal="right" vertical="top" shrinkToFit="1"/>
      <protection locked="0"/>
    </xf>
    <xf numFmtId="164" fontId="25" fillId="15" borderId="13">
      <alignment horizontal="right" vertical="top" shrinkToFit="1"/>
      <protection locked="0"/>
    </xf>
    <xf numFmtId="164" fontId="25" fillId="14" borderId="15">
      <alignment horizontal="right" vertical="top" shrinkToFit="1"/>
    </xf>
    <xf numFmtId="4" fontId="25" fillId="15" borderId="8">
      <alignment horizontal="right" vertical="top" shrinkToFit="1"/>
      <protection locked="0"/>
    </xf>
    <xf numFmtId="4" fontId="25" fillId="15" borderId="9">
      <alignment horizontal="right" vertical="top" shrinkToFit="1"/>
      <protection locked="0"/>
    </xf>
    <xf numFmtId="167" fontId="25" fillId="15" borderId="19">
      <alignment horizontal="right" vertical="top" shrinkToFit="1"/>
      <protection locked="0"/>
    </xf>
    <xf numFmtId="167" fontId="25" fillId="15" borderId="21">
      <alignment horizontal="right" vertical="top" shrinkToFit="1"/>
      <protection locked="0"/>
    </xf>
    <xf numFmtId="0" fontId="25" fillId="14" borderId="10">
      <alignment horizontal="center" vertical="top" shrinkToFit="1"/>
    </xf>
    <xf numFmtId="0" fontId="25" fillId="14" borderId="19">
      <alignment vertical="top" shrinkToFit="1"/>
    </xf>
    <xf numFmtId="164" fontId="25" fillId="14" borderId="12">
      <alignment horizontal="right" vertical="top" shrinkToFit="1"/>
    </xf>
    <xf numFmtId="164" fontId="25" fillId="14" borderId="19">
      <alignment horizontal="right" vertical="top" shrinkToFit="1"/>
    </xf>
    <xf numFmtId="0" fontId="25" fillId="14" borderId="21">
      <alignment vertical="top" shrinkToFit="1"/>
    </xf>
    <xf numFmtId="167" fontId="25" fillId="14" borderId="15">
      <alignment horizontal="right" vertical="top" shrinkToFit="1"/>
    </xf>
    <xf numFmtId="167" fontId="25" fillId="14" borderId="21">
      <alignment horizontal="right" vertical="top" shrinkToFit="1"/>
    </xf>
    <xf numFmtId="0" fontId="27" fillId="14" borderId="20">
      <alignment vertical="top" shrinkToFit="1"/>
    </xf>
    <xf numFmtId="164" fontId="24" fillId="14" borderId="0" applyBorder="0">
      <alignment horizontal="right" vertical="top" shrinkToFit="1"/>
    </xf>
    <xf numFmtId="164" fontId="25" fillId="14" borderId="20">
      <alignment horizontal="right" vertical="top" shrinkToFit="1"/>
    </xf>
    <xf numFmtId="0" fontId="25" fillId="14" borderId="20">
      <alignment vertical="top" shrinkToFit="1"/>
    </xf>
    <xf numFmtId="164" fontId="25" fillId="14" borderId="0" applyBorder="0">
      <alignment horizontal="right" vertical="top" shrinkToFit="1"/>
    </xf>
    <xf numFmtId="164" fontId="25" fillId="14" borderId="21">
      <alignment horizontal="right" vertical="top" shrinkToFit="1"/>
    </xf>
    <xf numFmtId="164" fontId="25" fillId="14" borderId="8">
      <alignment horizontal="right" vertical="top" shrinkToFit="1"/>
    </xf>
    <xf numFmtId="164" fontId="25" fillId="14" borderId="10">
      <alignment horizontal="right" vertical="top" shrinkToFit="1"/>
    </xf>
    <xf numFmtId="164" fontId="27" fillId="14" borderId="0" applyBorder="0">
      <alignment horizontal="right" vertical="top" shrinkToFit="1"/>
    </xf>
    <xf numFmtId="164" fontId="27" fillId="14" borderId="20">
      <alignment horizontal="right" vertical="top" shrinkToFit="1"/>
    </xf>
    <xf numFmtId="0" fontId="28" fillId="14" borderId="20">
      <alignment vertical="top" shrinkToFit="1"/>
    </xf>
    <xf numFmtId="165" fontId="25" fillId="14" borderId="8">
      <alignment horizontal="right" vertical="top" shrinkToFit="1"/>
    </xf>
    <xf numFmtId="165" fontId="25" fillId="14" borderId="10">
      <alignment horizontal="right" vertical="top" shrinkToFit="1"/>
    </xf>
    <xf numFmtId="164" fontId="24" fillId="14" borderId="8">
      <alignment horizontal="right" vertical="top" shrinkToFit="1"/>
    </xf>
    <xf numFmtId="164" fontId="24" fillId="14" borderId="12">
      <alignment horizontal="right" vertical="top" shrinkToFit="1"/>
    </xf>
    <xf numFmtId="164" fontId="24" fillId="14" borderId="15">
      <alignment horizontal="right" vertical="top" shrinkToFit="1"/>
    </xf>
    <xf numFmtId="173" fontId="24" fillId="14" borderId="0" applyBorder="0">
      <alignment horizontal="right" vertical="top" shrinkToFit="1"/>
    </xf>
    <xf numFmtId="173" fontId="25" fillId="14" borderId="20">
      <alignment horizontal="right" vertical="top" shrinkToFit="1"/>
    </xf>
    <xf numFmtId="165" fontId="24" fillId="14" borderId="8">
      <alignment horizontal="right" vertical="top" shrinkToFit="1"/>
    </xf>
    <xf numFmtId="167" fontId="25" fillId="14" borderId="12">
      <alignment horizontal="right" vertical="top" shrinkToFit="1"/>
    </xf>
    <xf numFmtId="167" fontId="25" fillId="14" borderId="19">
      <alignment horizontal="right" vertical="top" shrinkToFit="1"/>
    </xf>
    <xf numFmtId="167" fontId="24" fillId="14" borderId="0" applyBorder="0">
      <alignment horizontal="right" vertical="top" shrinkToFit="1"/>
    </xf>
    <xf numFmtId="167" fontId="25" fillId="14" borderId="20">
      <alignment horizontal="right" vertical="top" shrinkToFit="1"/>
    </xf>
    <xf numFmtId="167" fontId="25" fillId="14" borderId="0" applyBorder="0">
      <alignment horizontal="right" vertical="top" shrinkToFit="1"/>
    </xf>
    <xf numFmtId="4" fontId="25" fillId="14" borderId="12">
      <alignment horizontal="right" vertical="top" shrinkToFit="1"/>
    </xf>
    <xf numFmtId="4" fontId="25" fillId="14" borderId="19">
      <alignment horizontal="right" vertical="top" shrinkToFit="1"/>
    </xf>
    <xf numFmtId="4" fontId="25" fillId="14" borderId="15">
      <alignment horizontal="right" vertical="top" shrinkToFit="1"/>
    </xf>
    <xf numFmtId="4" fontId="25" fillId="14" borderId="21">
      <alignment horizontal="right" vertical="top" shrinkToFit="1"/>
    </xf>
    <xf numFmtId="169" fontId="25" fillId="14" borderId="0" applyBorder="0">
      <alignment horizontal="right" vertical="top" shrinkToFit="1"/>
    </xf>
    <xf numFmtId="169" fontId="25" fillId="14" borderId="20">
      <alignment horizontal="right" vertical="top" shrinkToFit="1"/>
    </xf>
    <xf numFmtId="167" fontId="27" fillId="14" borderId="0" applyBorder="0">
      <alignment horizontal="right" vertical="top" shrinkToFit="1"/>
    </xf>
    <xf numFmtId="167" fontId="27" fillId="14" borderId="20">
      <alignment horizontal="right" vertical="top" shrinkToFit="1"/>
    </xf>
    <xf numFmtId="0" fontId="27" fillId="14" borderId="21">
      <alignment vertical="top" shrinkToFit="1"/>
    </xf>
    <xf numFmtId="167" fontId="27" fillId="14" borderId="15">
      <alignment horizontal="right" vertical="top" shrinkToFit="1"/>
    </xf>
    <xf numFmtId="167" fontId="27" fillId="14" borderId="21">
      <alignment horizontal="right" vertical="top" shrinkToFit="1"/>
    </xf>
    <xf numFmtId="169" fontId="25" fillId="14" borderId="12">
      <alignment horizontal="right" vertical="top" shrinkToFit="1"/>
    </xf>
    <xf numFmtId="169" fontId="25" fillId="14" borderId="19">
      <alignment horizontal="right" vertical="top" shrinkToFit="1"/>
    </xf>
    <xf numFmtId="169" fontId="27" fillId="14" borderId="20">
      <alignment horizontal="right" vertical="top" shrinkToFit="1"/>
    </xf>
    <xf numFmtId="164" fontId="28" fillId="14" borderId="0" applyBorder="0">
      <alignment horizontal="right" vertical="top" shrinkToFit="1"/>
    </xf>
    <xf numFmtId="164" fontId="28" fillId="14" borderId="20">
      <alignment horizontal="right" vertical="top" shrinkToFit="1"/>
    </xf>
    <xf numFmtId="164" fontId="27" fillId="14" borderId="15">
      <alignment horizontal="right" vertical="top" shrinkToFit="1"/>
    </xf>
    <xf numFmtId="164" fontId="27" fillId="14" borderId="21">
      <alignment horizontal="right" vertical="top" shrinkToFit="1"/>
    </xf>
    <xf numFmtId="0" fontId="28" fillId="14" borderId="21">
      <alignment vertical="top" shrinkToFit="1"/>
    </xf>
    <xf numFmtId="164" fontId="28" fillId="14" borderId="15">
      <alignment horizontal="right" vertical="top" shrinkToFit="1"/>
    </xf>
    <xf numFmtId="164" fontId="28" fillId="14" borderId="21">
      <alignment horizontal="right" vertical="top" shrinkToFit="1"/>
    </xf>
    <xf numFmtId="167" fontId="28" fillId="14" borderId="0" applyBorder="0">
      <alignment horizontal="right" vertical="top" shrinkToFit="1"/>
    </xf>
    <xf numFmtId="167" fontId="28" fillId="14" borderId="20">
      <alignment horizontal="right" vertical="top" shrinkToFit="1"/>
    </xf>
    <xf numFmtId="167" fontId="28" fillId="14" borderId="15">
      <alignment horizontal="right" vertical="top" shrinkToFit="1"/>
    </xf>
    <xf numFmtId="167" fontId="28" fillId="14" borderId="21">
      <alignment horizontal="right" vertical="top" shrinkToFit="1"/>
    </xf>
    <xf numFmtId="169" fontId="28" fillId="14" borderId="0" applyBorder="0">
      <alignment horizontal="right" vertical="top" shrinkToFit="1"/>
    </xf>
    <xf numFmtId="169" fontId="28" fillId="14" borderId="20">
      <alignment horizontal="right" vertical="top" shrinkToFit="1"/>
    </xf>
    <xf numFmtId="165" fontId="25" fillId="14" borderId="12">
      <alignment horizontal="right" vertical="top" shrinkToFit="1"/>
    </xf>
    <xf numFmtId="165" fontId="25" fillId="14" borderId="19">
      <alignment horizontal="right" vertical="top" shrinkToFit="1"/>
    </xf>
    <xf numFmtId="165" fontId="27" fillId="14" borderId="0" applyBorder="0">
      <alignment horizontal="right" vertical="top" shrinkToFit="1"/>
    </xf>
    <xf numFmtId="165" fontId="27" fillId="14" borderId="20">
      <alignment horizontal="right" vertical="top" shrinkToFit="1"/>
    </xf>
    <xf numFmtId="165" fontId="28" fillId="14" borderId="0" applyBorder="0">
      <alignment horizontal="right" vertical="top" shrinkToFit="1"/>
    </xf>
    <xf numFmtId="165" fontId="28" fillId="14" borderId="20">
      <alignment horizontal="right" vertical="top" shrinkToFit="1"/>
    </xf>
    <xf numFmtId="165" fontId="25" fillId="14" borderId="0" applyBorder="0">
      <alignment horizontal="right" vertical="top" shrinkToFit="1"/>
    </xf>
    <xf numFmtId="165" fontId="25" fillId="14" borderId="20">
      <alignment horizontal="right" vertical="top" shrinkToFit="1"/>
    </xf>
    <xf numFmtId="173" fontId="25" fillId="14" borderId="0" applyBorder="0">
      <alignment horizontal="right" vertical="top" shrinkToFit="1"/>
    </xf>
    <xf numFmtId="173" fontId="27" fillId="14" borderId="0" applyBorder="0">
      <alignment horizontal="right" vertical="top" shrinkToFit="1"/>
    </xf>
    <xf numFmtId="173" fontId="27" fillId="14" borderId="20">
      <alignment horizontal="right" vertical="top" shrinkToFit="1"/>
    </xf>
    <xf numFmtId="173" fontId="28" fillId="14" borderId="0" applyBorder="0">
      <alignment horizontal="right" vertical="top" shrinkToFit="1"/>
    </xf>
    <xf numFmtId="173" fontId="28" fillId="14" borderId="20">
      <alignment horizontal="right" vertical="top" shrinkToFit="1"/>
    </xf>
    <xf numFmtId="173" fontId="28" fillId="14" borderId="15">
      <alignment horizontal="right" vertical="top" shrinkToFit="1"/>
    </xf>
    <xf numFmtId="173" fontId="28" fillId="14" borderId="21">
      <alignment horizontal="right" vertical="top" shrinkToFit="1"/>
    </xf>
    <xf numFmtId="3" fontId="25" fillId="14" borderId="12">
      <alignment horizontal="right" vertical="top" shrinkToFit="1"/>
    </xf>
    <xf numFmtId="3" fontId="25" fillId="14" borderId="19">
      <alignment horizontal="right" vertical="top" shrinkToFit="1"/>
    </xf>
    <xf numFmtId="3" fontId="27" fillId="14" borderId="0" applyBorder="0">
      <alignment horizontal="right" vertical="top" shrinkToFit="1"/>
    </xf>
    <xf numFmtId="3" fontId="27" fillId="14" borderId="20">
      <alignment horizontal="right" vertical="top" shrinkToFit="1"/>
    </xf>
    <xf numFmtId="3" fontId="28" fillId="14" borderId="0" applyBorder="0">
      <alignment horizontal="right" vertical="top" shrinkToFit="1"/>
    </xf>
    <xf numFmtId="3" fontId="28" fillId="14" borderId="20">
      <alignment horizontal="right" vertical="top" shrinkToFit="1"/>
    </xf>
    <xf numFmtId="3" fontId="25" fillId="14" borderId="0" applyBorder="0">
      <alignment horizontal="right" vertical="top" shrinkToFit="1"/>
    </xf>
    <xf numFmtId="3" fontId="25" fillId="14" borderId="20">
      <alignment horizontal="right" vertical="top" shrinkToFit="1"/>
    </xf>
    <xf numFmtId="169" fontId="24" fillId="14" borderId="0" applyBorder="0">
      <alignment horizontal="right" vertical="top" shrinkToFit="1"/>
    </xf>
    <xf numFmtId="169" fontId="28" fillId="14" borderId="15">
      <alignment horizontal="right" vertical="top" shrinkToFit="1"/>
    </xf>
    <xf numFmtId="169" fontId="28" fillId="14" borderId="21">
      <alignment horizontal="right" vertical="top" shrinkToFit="1"/>
    </xf>
    <xf numFmtId="0" fontId="29" fillId="14" borderId="0" applyBorder="0">
      <alignment vertical="top" shrinkToFit="1"/>
    </xf>
    <xf numFmtId="164" fontId="25" fillId="14" borderId="13">
      <alignment horizontal="right" vertical="top" shrinkToFit="1"/>
    </xf>
    <xf numFmtId="164" fontId="27" fillId="14" borderId="18">
      <alignment horizontal="right" vertical="top" shrinkToFit="1"/>
    </xf>
    <xf numFmtId="164" fontId="25" fillId="14" borderId="16">
      <alignment horizontal="right" vertical="top" shrinkToFit="1"/>
    </xf>
    <xf numFmtId="173" fontId="25" fillId="14" borderId="12">
      <alignment horizontal="right" vertical="top" shrinkToFit="1"/>
    </xf>
    <xf numFmtId="173" fontId="25" fillId="14" borderId="13">
      <alignment horizontal="right" vertical="top" shrinkToFit="1"/>
    </xf>
    <xf numFmtId="173" fontId="27" fillId="14" borderId="18">
      <alignment horizontal="right" vertical="top" shrinkToFit="1"/>
    </xf>
    <xf numFmtId="173" fontId="25" fillId="14" borderId="18">
      <alignment horizontal="right" vertical="top" shrinkToFit="1"/>
    </xf>
    <xf numFmtId="173" fontId="25" fillId="14" borderId="15">
      <alignment horizontal="right" vertical="top" shrinkToFit="1"/>
    </xf>
    <xf numFmtId="173" fontId="25" fillId="14" borderId="16">
      <alignment horizontal="right" vertical="top" shrinkToFit="1"/>
    </xf>
    <xf numFmtId="168" fontId="27" fillId="14" borderId="0" applyBorder="0">
      <alignment horizontal="right" vertical="top" shrinkToFit="1"/>
    </xf>
    <xf numFmtId="168" fontId="27" fillId="14" borderId="18">
      <alignment horizontal="right" vertical="top" shrinkToFit="1"/>
    </xf>
    <xf numFmtId="168" fontId="27" fillId="14" borderId="15">
      <alignment horizontal="right" vertical="top" shrinkToFit="1"/>
    </xf>
    <xf numFmtId="168" fontId="27" fillId="14" borderId="16">
      <alignment horizontal="right" vertical="top" shrinkToFit="1"/>
    </xf>
    <xf numFmtId="164" fontId="28" fillId="14" borderId="18">
      <alignment horizontal="right" vertical="top" shrinkToFit="1"/>
    </xf>
    <xf numFmtId="164" fontId="25" fillId="14" borderId="18">
      <alignment horizontal="right" vertical="top" shrinkToFit="1"/>
    </xf>
    <xf numFmtId="164" fontId="27" fillId="14" borderId="16">
      <alignment horizontal="right" vertical="top" shrinkToFit="1"/>
    </xf>
    <xf numFmtId="173" fontId="28" fillId="14" borderId="18">
      <alignment horizontal="right" vertical="top" shrinkToFit="1"/>
    </xf>
    <xf numFmtId="173" fontId="28" fillId="14" borderId="16">
      <alignment horizontal="right" vertical="top" shrinkToFit="1"/>
    </xf>
    <xf numFmtId="169" fontId="25" fillId="14" borderId="13">
      <alignment horizontal="right" vertical="top" shrinkToFit="1"/>
    </xf>
    <xf numFmtId="169" fontId="27" fillId="14" borderId="18">
      <alignment horizontal="right" vertical="top" shrinkToFit="1"/>
    </xf>
    <xf numFmtId="169" fontId="28" fillId="14" borderId="18">
      <alignment horizontal="right" vertical="top" shrinkToFit="1"/>
    </xf>
    <xf numFmtId="169" fontId="25" fillId="14" borderId="18">
      <alignment horizontal="right" vertical="top" shrinkToFit="1"/>
    </xf>
    <xf numFmtId="169" fontId="27" fillId="14" borderId="16">
      <alignment horizontal="right" vertical="top" shrinkToFit="1"/>
    </xf>
    <xf numFmtId="3" fontId="25" fillId="14" borderId="18">
      <alignment horizontal="right" vertical="top" shrinkToFit="1"/>
    </xf>
    <xf numFmtId="3" fontId="27" fillId="14" borderId="18">
      <alignment horizontal="right" vertical="top" shrinkToFit="1"/>
    </xf>
    <xf numFmtId="3" fontId="28" fillId="14" borderId="18">
      <alignment horizontal="right" vertical="top" shrinkToFit="1"/>
    </xf>
    <xf numFmtId="3" fontId="28" fillId="14" borderId="15">
      <alignment horizontal="right" vertical="top" shrinkToFit="1"/>
    </xf>
    <xf numFmtId="3" fontId="28" fillId="14" borderId="16">
      <alignment horizontal="right" vertical="top" shrinkToFit="1"/>
    </xf>
    <xf numFmtId="164" fontId="24" fillId="14" borderId="18">
      <alignment horizontal="right" vertical="top" shrinkToFit="1"/>
    </xf>
    <xf numFmtId="3" fontId="24" fillId="14" borderId="0" applyBorder="0">
      <alignment horizontal="right" vertical="top" shrinkToFit="1"/>
    </xf>
    <xf numFmtId="3" fontId="24" fillId="14" borderId="18">
      <alignment horizontal="right" vertical="top" shrinkToFit="1"/>
    </xf>
    <xf numFmtId="169" fontId="25" fillId="14" borderId="15">
      <alignment horizontal="right" vertical="top" shrinkToFit="1"/>
    </xf>
    <xf numFmtId="169" fontId="25" fillId="14" borderId="21">
      <alignment horizontal="right" vertical="top" shrinkToFit="1"/>
    </xf>
    <xf numFmtId="169" fontId="27" fillId="14" borderId="21">
      <alignment horizontal="right" vertical="top" shrinkToFit="1"/>
    </xf>
    <xf numFmtId="168" fontId="25" fillId="14" borderId="0" applyBorder="0">
      <alignment horizontal="right" vertical="top" shrinkToFit="1"/>
    </xf>
    <xf numFmtId="168" fontId="25" fillId="14" borderId="20">
      <alignment horizontal="right" vertical="top" shrinkToFit="1"/>
    </xf>
    <xf numFmtId="168" fontId="27" fillId="14" borderId="20">
      <alignment horizontal="right" vertical="top" shrinkToFit="1"/>
    </xf>
    <xf numFmtId="168" fontId="28" fillId="14" borderId="0" applyBorder="0">
      <alignment horizontal="right" vertical="top" shrinkToFit="1"/>
    </xf>
    <xf numFmtId="168" fontId="28" fillId="14" borderId="20">
      <alignment horizontal="right" vertical="top" shrinkToFit="1"/>
    </xf>
    <xf numFmtId="168" fontId="27" fillId="14" borderId="21">
      <alignment horizontal="right" vertical="top" shrinkToFit="1"/>
    </xf>
    <xf numFmtId="166" fontId="25" fillId="14" borderId="0" applyBorder="0">
      <alignment horizontal="right" vertical="top" shrinkToFit="1"/>
    </xf>
    <xf numFmtId="166" fontId="25" fillId="14" borderId="20">
      <alignment horizontal="right" vertical="top" shrinkToFit="1"/>
    </xf>
    <xf numFmtId="166" fontId="27" fillId="14" borderId="0" applyBorder="0">
      <alignment horizontal="right" vertical="top" shrinkToFit="1"/>
    </xf>
    <xf numFmtId="166" fontId="27" fillId="14" borderId="20">
      <alignment horizontal="right" vertical="top" shrinkToFit="1"/>
    </xf>
    <xf numFmtId="166" fontId="28" fillId="14" borderId="0" applyBorder="0">
      <alignment horizontal="right" vertical="top" shrinkToFit="1"/>
    </xf>
    <xf numFmtId="166" fontId="28" fillId="14" borderId="20">
      <alignment horizontal="right" vertical="top" shrinkToFit="1"/>
    </xf>
    <xf numFmtId="166" fontId="27" fillId="14" borderId="15">
      <alignment horizontal="right" vertical="top" shrinkToFit="1"/>
    </xf>
    <xf numFmtId="166" fontId="27" fillId="14" borderId="21">
      <alignment horizontal="right" vertical="top" shrinkToFit="1"/>
    </xf>
    <xf numFmtId="4" fontId="25" fillId="14" borderId="0" applyBorder="0">
      <alignment horizontal="right" vertical="top" shrinkToFit="1"/>
    </xf>
    <xf numFmtId="4" fontId="25" fillId="14" borderId="20">
      <alignment horizontal="right" vertical="top" shrinkToFit="1"/>
    </xf>
    <xf numFmtId="4" fontId="27" fillId="14" borderId="0" applyBorder="0">
      <alignment horizontal="right" vertical="top" shrinkToFit="1"/>
    </xf>
    <xf numFmtId="4" fontId="27" fillId="14" borderId="20">
      <alignment horizontal="right" vertical="top" shrinkToFit="1"/>
    </xf>
    <xf numFmtId="4" fontId="28" fillId="14" borderId="0" applyBorder="0">
      <alignment horizontal="right" vertical="top" shrinkToFit="1"/>
    </xf>
    <xf numFmtId="4" fontId="28" fillId="14" borderId="20">
      <alignment horizontal="right" vertical="top" shrinkToFit="1"/>
    </xf>
    <xf numFmtId="165" fontId="27" fillId="14" borderId="15">
      <alignment horizontal="right" vertical="top" shrinkToFit="1"/>
    </xf>
    <xf numFmtId="165" fontId="27" fillId="14" borderId="21">
      <alignment horizontal="right" vertical="top" shrinkToFit="1"/>
    </xf>
    <xf numFmtId="0" fontId="30" fillId="14" borderId="0" applyBorder="0">
      <alignment vertical="top" shrinkToFit="1"/>
    </xf>
    <xf numFmtId="173" fontId="25" fillId="14" borderId="19">
      <alignment horizontal="right" vertical="top" shrinkToFit="1"/>
    </xf>
    <xf numFmtId="173" fontId="25" fillId="14" borderId="21">
      <alignment horizontal="right" vertical="top" shrinkToFit="1"/>
    </xf>
    <xf numFmtId="170" fontId="25" fillId="14" borderId="0" applyBorder="0">
      <alignment horizontal="right" vertical="top" shrinkToFit="1"/>
    </xf>
    <xf numFmtId="170" fontId="25" fillId="14" borderId="20">
      <alignment horizontal="right" vertical="top" shrinkToFit="1"/>
    </xf>
    <xf numFmtId="166" fontId="25" fillId="14" borderId="15">
      <alignment horizontal="right" vertical="top" shrinkToFit="1"/>
    </xf>
    <xf numFmtId="166" fontId="25" fillId="14" borderId="21">
      <alignment horizontal="right" vertical="top" shrinkToFit="1"/>
    </xf>
    <xf numFmtId="165" fontId="24" fillId="14" borderId="0" applyBorder="0">
      <alignment horizontal="right" vertical="top" shrinkToFit="1"/>
    </xf>
    <xf numFmtId="4" fontId="24" fillId="14" borderId="0" applyBorder="0">
      <alignment horizontal="right" vertical="top" shrinkToFit="1"/>
    </xf>
    <xf numFmtId="167" fontId="24" fillId="14" borderId="15">
      <alignment horizontal="right" vertical="top" shrinkToFit="1"/>
    </xf>
    <xf numFmtId="3" fontId="25" fillId="14" borderId="15">
      <alignment horizontal="right" vertical="top" shrinkToFit="1"/>
    </xf>
    <xf numFmtId="3" fontId="25" fillId="14" borderId="21">
      <alignment horizontal="right" vertical="top" shrinkToFit="1"/>
    </xf>
    <xf numFmtId="0" fontId="25" fillId="14" borderId="12">
      <alignment horizontal="left" vertical="top" shrinkToFit="1"/>
    </xf>
    <xf numFmtId="171" fontId="25" fillId="14" borderId="12">
      <alignment horizontal="right" vertical="top" shrinkToFit="1"/>
    </xf>
    <xf numFmtId="165" fontId="25" fillId="14" borderId="13">
      <alignment horizontal="right" vertical="top" shrinkToFit="1"/>
    </xf>
    <xf numFmtId="0" fontId="25" fillId="14" borderId="15">
      <alignment horizontal="left" vertical="top" shrinkToFit="1"/>
    </xf>
    <xf numFmtId="171" fontId="25" fillId="14" borderId="15">
      <alignment horizontal="right" vertical="top" shrinkToFit="1"/>
    </xf>
    <xf numFmtId="165" fontId="25" fillId="14" borderId="15">
      <alignment horizontal="right" vertical="top" shrinkToFit="1"/>
    </xf>
    <xf numFmtId="165" fontId="25" fillId="14" borderId="16">
      <alignment horizontal="right" vertical="top" shrinkToFit="1"/>
    </xf>
    <xf numFmtId="167" fontId="24" fillId="14" borderId="12">
      <alignment horizontal="right" vertical="top" shrinkToFit="1"/>
    </xf>
    <xf numFmtId="4" fontId="24" fillId="14" borderId="15">
      <alignment horizontal="right" vertical="top" shrinkToFit="1"/>
    </xf>
    <xf numFmtId="0" fontId="25" fillId="14" borderId="8">
      <alignment horizontal="left" vertical="top" shrinkToFit="1"/>
    </xf>
    <xf numFmtId="0" fontId="25" fillId="2" borderId="0" applyBorder="0">
      <alignment vertical="top" shrinkToFit="1"/>
    </xf>
    <xf numFmtId="0" fontId="28" fillId="2" borderId="0" applyBorder="0">
      <alignment vertical="top" shrinkToFit="1"/>
    </xf>
    <xf numFmtId="0" fontId="25" fillId="2" borderId="0" applyBorder="0">
      <alignment horizontal="right" vertical="top" shrinkToFit="1"/>
    </xf>
    <xf numFmtId="0" fontId="24" fillId="2" borderId="0" applyBorder="0">
      <alignment vertical="top" shrinkToFit="1"/>
    </xf>
    <xf numFmtId="0" fontId="28" fillId="14" borderId="8">
      <alignment vertical="top" shrinkToFit="1"/>
    </xf>
    <xf numFmtId="0" fontId="25" fillId="14" borderId="8">
      <alignment horizontal="right" vertical="top" shrinkToFit="1"/>
    </xf>
    <xf numFmtId="169" fontId="24" fillId="14" borderId="18">
      <alignment horizontal="right" vertical="top" shrinkToFit="1"/>
    </xf>
    <xf numFmtId="169" fontId="25" fillId="14" borderId="16">
      <alignment horizontal="right" vertical="top" shrinkToFit="1"/>
    </xf>
    <xf numFmtId="164" fontId="25" fillId="14" borderId="9">
      <alignment horizontal="right" vertical="top" shrinkToFit="1"/>
    </xf>
    <xf numFmtId="165" fontId="27" fillId="14" borderId="18">
      <alignment horizontal="right" vertical="top" shrinkToFit="1"/>
    </xf>
    <xf numFmtId="165" fontId="25" fillId="14" borderId="18">
      <alignment horizontal="right" vertical="top" shrinkToFit="1"/>
    </xf>
    <xf numFmtId="165" fontId="25" fillId="14" borderId="9">
      <alignment horizontal="right" vertical="top" shrinkToFit="1"/>
    </xf>
    <xf numFmtId="173" fontId="25" fillId="14" borderId="8">
      <alignment horizontal="right" vertical="top" shrinkToFit="1"/>
    </xf>
    <xf numFmtId="173" fontId="25" fillId="14" borderId="9">
      <alignment horizontal="right" vertical="top" shrinkToFit="1"/>
    </xf>
    <xf numFmtId="173" fontId="27" fillId="14" borderId="15">
      <alignment horizontal="right" vertical="top" shrinkToFit="1"/>
    </xf>
    <xf numFmtId="173" fontId="27" fillId="14" borderId="16">
      <alignment horizontal="right" vertical="top" shrinkToFit="1"/>
    </xf>
    <xf numFmtId="164" fontId="28" fillId="14" borderId="16">
      <alignment horizontal="right" vertical="top" shrinkToFit="1"/>
    </xf>
    <xf numFmtId="3" fontId="25" fillId="14" borderId="8">
      <alignment horizontal="right" vertical="top" shrinkToFit="1"/>
    </xf>
    <xf numFmtId="3" fontId="25" fillId="14" borderId="9">
      <alignment horizontal="right" vertical="top" shrinkToFit="1"/>
    </xf>
    <xf numFmtId="3" fontId="27" fillId="14" borderId="15">
      <alignment horizontal="right" vertical="top" shrinkToFit="1"/>
    </xf>
    <xf numFmtId="3" fontId="27" fillId="14" borderId="16">
      <alignment horizontal="right" vertical="top" shrinkToFit="1"/>
    </xf>
    <xf numFmtId="171" fontId="25" fillId="14" borderId="8">
      <alignment horizontal="right" vertical="top" shrinkToFit="1"/>
    </xf>
    <xf numFmtId="171" fontId="25" fillId="14" borderId="9">
      <alignment horizontal="right" vertical="top" shrinkToFit="1"/>
    </xf>
    <xf numFmtId="0" fontId="25" fillId="14" borderId="13">
      <alignment horizontal="left" vertical="top" shrinkToFit="1"/>
    </xf>
    <xf numFmtId="0" fontId="25" fillId="14" borderId="16">
      <alignment horizontal="left" vertical="top" shrinkToFit="1"/>
    </xf>
    <xf numFmtId="4" fontId="25" fillId="14" borderId="8">
      <alignment horizontal="right" vertical="top" shrinkToFit="1"/>
    </xf>
    <xf numFmtId="4" fontId="25" fillId="14" borderId="9">
      <alignment horizontal="right" vertical="top" shrinkToFit="1"/>
    </xf>
    <xf numFmtId="168" fontId="25" fillId="14" borderId="12">
      <alignment horizontal="right" vertical="top" shrinkToFit="1"/>
    </xf>
    <xf numFmtId="168" fontId="25" fillId="14" borderId="13">
      <alignment horizontal="right" vertical="top" shrinkToFit="1"/>
    </xf>
    <xf numFmtId="168" fontId="25" fillId="14" borderId="15">
      <alignment horizontal="right" vertical="top" shrinkToFit="1"/>
    </xf>
    <xf numFmtId="168" fontId="25" fillId="14" borderId="16">
      <alignment horizontal="right" vertical="top" shrinkToFit="1"/>
    </xf>
    <xf numFmtId="169" fontId="25" fillId="14" borderId="8">
      <alignment horizontal="right" vertical="top" shrinkToFit="1"/>
    </xf>
    <xf numFmtId="169" fontId="25" fillId="14" borderId="10">
      <alignment horizontal="right" vertical="top" shrinkToFit="1"/>
    </xf>
    <xf numFmtId="4" fontId="25" fillId="14" borderId="13">
      <alignment horizontal="right" vertical="top" shrinkToFit="1"/>
    </xf>
    <xf numFmtId="4" fontId="25" fillId="14" borderId="18">
      <alignment horizontal="right" vertical="top" shrinkToFit="1"/>
    </xf>
    <xf numFmtId="4" fontId="25" fillId="14" borderId="16">
      <alignment horizontal="right" vertical="top" shrinkToFit="1"/>
    </xf>
    <xf numFmtId="167" fontId="25" fillId="14" borderId="8">
      <alignment horizontal="right" vertical="top" shrinkToFit="1"/>
    </xf>
    <xf numFmtId="167" fontId="25" fillId="14" borderId="10">
      <alignment horizontal="right" vertical="top" shrinkToFit="1"/>
    </xf>
    <xf numFmtId="3" fontId="25" fillId="14" borderId="10">
      <alignment horizontal="right" vertical="top" shrinkToFit="1"/>
    </xf>
    <xf numFmtId="3" fontId="27" fillId="14" borderId="21">
      <alignment horizontal="right" vertical="top" shrinkToFit="1"/>
    </xf>
    <xf numFmtId="168" fontId="28" fillId="14" borderId="18">
      <alignment horizontal="right" vertical="top" shrinkToFit="1"/>
    </xf>
    <xf numFmtId="168" fontId="24" fillId="14" borderId="0" applyBorder="0">
      <alignment horizontal="right" vertical="top" shrinkToFit="1"/>
    </xf>
    <xf numFmtId="168" fontId="24" fillId="14" borderId="18">
      <alignment horizontal="right" vertical="top" shrinkToFit="1"/>
    </xf>
    <xf numFmtId="168" fontId="25" fillId="14" borderId="18">
      <alignment horizontal="right" vertical="top" shrinkToFit="1"/>
    </xf>
    <xf numFmtId="168" fontId="25" fillId="14" borderId="8">
      <alignment horizontal="right" vertical="top" shrinkToFit="1"/>
    </xf>
    <xf numFmtId="168" fontId="25" fillId="14" borderId="9">
      <alignment horizontal="right" vertical="top" shrinkToFit="1"/>
    </xf>
    <xf numFmtId="168" fontId="28" fillId="14" borderId="15">
      <alignment horizontal="right" vertical="top" shrinkToFit="1"/>
    </xf>
    <xf numFmtId="168" fontId="28" fillId="14" borderId="16">
      <alignment horizontal="right" vertical="top" shrinkToFit="1"/>
    </xf>
    <xf numFmtId="167" fontId="25" fillId="14" borderId="13">
      <alignment horizontal="right" vertical="top" shrinkToFit="1"/>
    </xf>
    <xf numFmtId="167" fontId="27" fillId="14" borderId="18">
      <alignment horizontal="right" vertical="top" shrinkToFit="1"/>
    </xf>
    <xf numFmtId="167" fontId="28" fillId="14" borderId="18">
      <alignment horizontal="right" vertical="top" shrinkToFit="1"/>
    </xf>
    <xf numFmtId="167" fontId="24" fillId="14" borderId="18">
      <alignment horizontal="right" vertical="top" shrinkToFit="1"/>
    </xf>
    <xf numFmtId="167" fontId="25" fillId="14" borderId="18">
      <alignment horizontal="right" vertical="top" shrinkToFit="1"/>
    </xf>
    <xf numFmtId="167" fontId="25" fillId="14" borderId="9">
      <alignment horizontal="right" vertical="top" shrinkToFit="1"/>
    </xf>
    <xf numFmtId="167" fontId="28" fillId="14" borderId="16">
      <alignment horizontal="right" vertical="top" shrinkToFit="1"/>
    </xf>
    <xf numFmtId="165" fontId="28" fillId="14" borderId="18">
      <alignment horizontal="right" vertical="top" shrinkToFit="1"/>
    </xf>
    <xf numFmtId="165" fontId="27" fillId="14" borderId="16">
      <alignment horizontal="right" vertical="top" shrinkToFit="1"/>
    </xf>
    <xf numFmtId="165" fontId="24" fillId="14" borderId="18">
      <alignment horizontal="right" vertical="top" shrinkToFit="1"/>
    </xf>
    <xf numFmtId="165" fontId="28" fillId="14" borderId="15">
      <alignment horizontal="right" vertical="top" shrinkToFit="1"/>
    </xf>
    <xf numFmtId="165" fontId="28" fillId="14" borderId="16">
      <alignment horizontal="right" vertical="top" shrinkToFit="1"/>
    </xf>
    <xf numFmtId="169" fontId="25" fillId="14" borderId="9">
      <alignment horizontal="right" vertical="top" shrinkToFit="1"/>
    </xf>
    <xf numFmtId="167" fontId="25" fillId="14" borderId="16">
      <alignment horizontal="right" vertical="top" shrinkToFit="1"/>
    </xf>
    <xf numFmtId="168" fontId="25" fillId="14" borderId="19">
      <alignment horizontal="right" vertical="top" shrinkToFit="1"/>
    </xf>
    <xf numFmtId="168" fontId="25" fillId="14" borderId="10">
      <alignment horizontal="right" vertical="top" shrinkToFit="1"/>
    </xf>
    <xf numFmtId="4" fontId="27" fillId="14" borderId="18">
      <alignment horizontal="right" vertical="top" shrinkToFit="1"/>
    </xf>
    <xf numFmtId="3" fontId="25" fillId="15" borderId="18">
      <alignment horizontal="right" vertical="top" shrinkToFit="1"/>
      <protection locked="0"/>
    </xf>
    <xf numFmtId="165" fontId="25" fillId="14" borderId="21">
      <alignment horizontal="right" vertical="top" shrinkToFit="1"/>
    </xf>
    <xf numFmtId="0" fontId="25" fillId="14" borderId="22">
      <alignment horizontal="left" vertical="top" shrinkToFit="1"/>
    </xf>
    <xf numFmtId="171" fontId="24" fillId="15" borderId="22">
      <alignment horizontal="right" vertical="top" shrinkToFit="1"/>
      <protection locked="0"/>
    </xf>
    <xf numFmtId="0" fontId="25" fillId="14" borderId="23">
      <alignment horizontal="left" vertical="top" shrinkToFit="1"/>
    </xf>
    <xf numFmtId="0" fontId="24" fillId="14" borderId="22">
      <alignment vertical="top" shrinkToFit="1"/>
    </xf>
    <xf numFmtId="0" fontId="24" fillId="15" borderId="22">
      <alignment vertical="top" shrinkToFit="1"/>
      <protection locked="0"/>
    </xf>
    <xf numFmtId="0" fontId="25" fillId="15" borderId="22">
      <alignment vertical="top" shrinkToFit="1"/>
      <protection locked="0"/>
    </xf>
    <xf numFmtId="0" fontId="27" fillId="15" borderId="22">
      <alignment vertical="top" shrinkToFit="1"/>
      <protection locked="0"/>
    </xf>
    <xf numFmtId="0" fontId="28" fillId="15" borderId="22">
      <alignment vertical="top" shrinkToFit="1"/>
      <protection locked="0"/>
    </xf>
    <xf numFmtId="168" fontId="20" fillId="14" borderId="9">
      <alignment horizontal="right" vertical="top" shrinkToFit="1"/>
    </xf>
    <xf numFmtId="167" fontId="20" fillId="14" borderId="13">
      <alignment horizontal="right" vertical="top" shrinkToFit="1"/>
    </xf>
    <xf numFmtId="167" fontId="21" fillId="14" borderId="18">
      <alignment horizontal="right" vertical="top" shrinkToFit="1"/>
    </xf>
    <xf numFmtId="167" fontId="22" fillId="14" borderId="18">
      <alignment horizontal="right" vertical="top" shrinkToFit="1"/>
    </xf>
    <xf numFmtId="167" fontId="19" fillId="14" borderId="18">
      <alignment horizontal="right" vertical="top" shrinkToFit="1"/>
    </xf>
    <xf numFmtId="167" fontId="20" fillId="14" borderId="18">
      <alignment horizontal="right" vertical="top" shrinkToFit="1"/>
    </xf>
    <xf numFmtId="167" fontId="20" fillId="14" borderId="9">
      <alignment horizontal="right" vertical="top" shrinkToFit="1"/>
    </xf>
    <xf numFmtId="167" fontId="22" fillId="14" borderId="16">
      <alignment horizontal="right" vertical="top" shrinkToFit="1"/>
    </xf>
    <xf numFmtId="168" fontId="19" fillId="14" borderId="0" applyBorder="0">
      <alignment horizontal="right" vertical="top" shrinkToFit="1"/>
    </xf>
    <xf numFmtId="168" fontId="19" fillId="14" borderId="18">
      <alignment horizontal="right" vertical="top" shrinkToFit="1"/>
    </xf>
    <xf numFmtId="168" fontId="22" fillId="14" borderId="15">
      <alignment horizontal="right" vertical="top" shrinkToFit="1"/>
    </xf>
    <xf numFmtId="168" fontId="22" fillId="14" borderId="16">
      <alignment horizontal="right" vertical="top" shrinkToFit="1"/>
    </xf>
    <xf numFmtId="165" fontId="22" fillId="14" borderId="18">
      <alignment horizontal="right" vertical="top" shrinkToFit="1"/>
    </xf>
    <xf numFmtId="165" fontId="21" fillId="14" borderId="16">
      <alignment horizontal="right" vertical="top" shrinkToFit="1"/>
    </xf>
    <xf numFmtId="169" fontId="20" fillId="14" borderId="9">
      <alignment horizontal="right" vertical="top" shrinkToFit="1"/>
    </xf>
    <xf numFmtId="167" fontId="20" fillId="14" borderId="16">
      <alignment horizontal="right" vertical="top" shrinkToFit="1"/>
    </xf>
    <xf numFmtId="168" fontId="20" fillId="14" borderId="19">
      <alignment horizontal="right" vertical="top" shrinkToFit="1"/>
    </xf>
    <xf numFmtId="168" fontId="20" fillId="14" borderId="10">
      <alignment horizontal="right" vertical="top" shrinkToFit="1"/>
    </xf>
    <xf numFmtId="171" fontId="20" fillId="14" borderId="13">
      <alignment horizontal="right" vertical="top" shrinkToFit="1"/>
    </xf>
    <xf numFmtId="171" fontId="20" fillId="14" borderId="16">
      <alignment horizontal="right" vertical="top" shrinkToFit="1"/>
    </xf>
    <xf numFmtId="172" fontId="20" fillId="14" borderId="13">
      <alignment horizontal="right" vertical="top" shrinkToFit="1"/>
    </xf>
    <xf numFmtId="172" fontId="20" fillId="14" borderId="18">
      <alignment horizontal="right" vertical="top" shrinkToFit="1"/>
    </xf>
    <xf numFmtId="172" fontId="20" fillId="14" borderId="9">
      <alignment horizontal="right" vertical="top" shrinkToFit="1"/>
    </xf>
    <xf numFmtId="0" fontId="20" fillId="14" borderId="22">
      <alignment horizontal="left" vertical="top" shrinkToFit="1"/>
    </xf>
    <xf numFmtId="171" fontId="19" fillId="15" borderId="22">
      <alignment vertical="top" shrinkToFit="1"/>
      <protection locked="0"/>
    </xf>
    <xf numFmtId="0" fontId="20" fillId="14" borderId="23">
      <alignment horizontal="left" vertical="top" shrinkToFit="1"/>
    </xf>
    <xf numFmtId="0" fontId="19" fillId="14" borderId="22">
      <alignment vertical="top" shrinkToFit="1"/>
    </xf>
    <xf numFmtId="0" fontId="19" fillId="15" borderId="22">
      <alignment vertical="top" shrinkToFit="1"/>
      <protection locked="0"/>
    </xf>
    <xf numFmtId="0" fontId="20" fillId="15" borderId="22">
      <alignment vertical="top" shrinkToFit="1"/>
      <protection locked="0"/>
    </xf>
    <xf numFmtId="0" fontId="21" fillId="15" borderId="22">
      <alignment vertical="top" shrinkToFit="1"/>
      <protection locked="0"/>
    </xf>
    <xf numFmtId="0" fontId="22" fillId="15" borderId="22">
      <alignment vertical="top" shrinkToFit="1"/>
      <protection locked="0"/>
    </xf>
    <xf numFmtId="172" fontId="20" fillId="14" borderId="13">
      <alignment horizontal="right" vertical="top" shrinkToFit="1"/>
    </xf>
    <xf numFmtId="172" fontId="20" fillId="14" borderId="18">
      <alignment horizontal="right" vertical="top" shrinkToFit="1"/>
    </xf>
    <xf numFmtId="172" fontId="20" fillId="14" borderId="9">
      <alignment horizontal="right" vertical="top" shrinkToFit="1"/>
    </xf>
    <xf numFmtId="0" fontId="20" fillId="14" borderId="22" applyNumberFormat="0" applyFont="0" applyFill="0" applyBorder="0" applyAlignment="0" applyProtection="0">
      <alignment horizontal="left" vertical="top" shrinkToFit="1"/>
    </xf>
    <xf numFmtId="171" fontId="19" fillId="15" borderId="22">
      <alignment vertical="top" shrinkToFit="1"/>
      <protection locked="0"/>
    </xf>
    <xf numFmtId="0" fontId="20" fillId="14" borderId="23" applyNumberFormat="0" applyFont="0" applyFill="0" applyBorder="0" applyAlignment="0" applyProtection="0">
      <alignment horizontal="left" vertical="top" shrinkToFit="1"/>
    </xf>
    <xf numFmtId="0" fontId="19" fillId="14" borderId="22" applyNumberFormat="0" applyFont="0" applyFill="0" applyBorder="0" applyAlignment="0" applyProtection="0">
      <alignment vertical="top" shrinkToFit="1"/>
    </xf>
    <xf numFmtId="0" fontId="19" fillId="15" borderId="22" applyNumberFormat="0" applyFont="0" applyFill="0" applyBorder="0" applyAlignment="0" applyProtection="0">
      <alignment vertical="top" shrinkToFit="1"/>
      <protection locked="0"/>
    </xf>
    <xf numFmtId="0" fontId="20" fillId="15" borderId="22" applyNumberFormat="0" applyFont="0" applyFill="0" applyBorder="0" applyAlignment="0" applyProtection="0">
      <alignment vertical="top" shrinkToFit="1"/>
      <protection locked="0"/>
    </xf>
    <xf numFmtId="0" fontId="21" fillId="15" borderId="22" applyNumberFormat="0" applyFont="0" applyFill="0" applyBorder="0" applyAlignment="0" applyProtection="0">
      <alignment vertical="top" shrinkToFit="1"/>
      <protection locked="0"/>
    </xf>
    <xf numFmtId="0" fontId="22" fillId="15" borderId="22" applyNumberFormat="0" applyFont="0" applyFill="0" applyBorder="0" applyAlignment="0" applyProtection="0">
      <alignment vertical="top" shrinkToFit="1"/>
      <protection locked="0"/>
    </xf>
    <xf numFmtId="0" fontId="8" fillId="4" borderId="0" applyNumberFormat="0" applyBorder="0" applyAlignment="0" applyProtection="0"/>
    <xf numFmtId="0" fontId="1" fillId="4" borderId="24" applyNumberFormat="0" applyFont="0" applyAlignment="0" applyProtection="0"/>
    <xf numFmtId="0" fontId="10" fillId="5" borderId="25" applyNumberFormat="0" applyAlignment="0" applyProtection="0"/>
    <xf numFmtId="0" fontId="2" fillId="0" borderId="0" applyNumberFormat="0" applyFill="0" applyBorder="0" applyAlignment="0" applyProtection="0"/>
    <xf numFmtId="0" fontId="16" fillId="0" borderId="26" applyNumberFormat="0" applyFill="0" applyAlignment="0" applyProtection="0"/>
    <xf numFmtId="0" fontId="14" fillId="0" borderId="0" applyNumberFormat="0" applyFill="0" applyBorder="0" applyAlignment="0" applyProtection="0"/>
    <xf numFmtId="0" fontId="38" fillId="0" borderId="0" applyNumberFormat="0" applyFill="0" applyBorder="0" applyAlignment="0" applyProtection="0">
      <alignment vertical="top"/>
      <protection locked="0"/>
    </xf>
    <xf numFmtId="0" fontId="1" fillId="0" borderId="28">
      <alignment vertical="center"/>
    </xf>
  </cellStyleXfs>
  <cellXfs count="467">
    <xf numFmtId="0" fontId="0" fillId="0" borderId="0" xfId="0">
      <alignment vertical="center"/>
    </xf>
    <xf numFmtId="0" fontId="24" fillId="14" borderId="0" xfId="37">
      <alignment vertical="top" shrinkToFit="1"/>
    </xf>
    <xf numFmtId="0" fontId="26" fillId="14" borderId="0" xfId="42">
      <alignment vertical="top" shrinkToFit="1"/>
    </xf>
    <xf numFmtId="0" fontId="25" fillId="14" borderId="0" xfId="56">
      <alignment vertical="top" shrinkToFit="1"/>
    </xf>
    <xf numFmtId="171" fontId="0" fillId="0" borderId="0" xfId="0" applyNumberFormat="1">
      <alignment vertical="center"/>
    </xf>
    <xf numFmtId="0" fontId="25" fillId="14" borderId="7" xfId="38">
      <alignment vertical="top" shrinkToFit="1"/>
    </xf>
    <xf numFmtId="0" fontId="25" fillId="14" borderId="8" xfId="39">
      <alignment vertical="top" shrinkToFit="1"/>
    </xf>
    <xf numFmtId="0" fontId="25" fillId="14" borderId="9" xfId="40">
      <alignment vertical="top" shrinkToFit="1"/>
    </xf>
    <xf numFmtId="0" fontId="25" fillId="15" borderId="10" xfId="41">
      <alignment horizontal="left" vertical="top" shrinkToFit="1"/>
      <protection locked="0"/>
    </xf>
    <xf numFmtId="0" fontId="25" fillId="14" borderId="7" xfId="43">
      <alignment horizontal="center" vertical="top" shrinkToFit="1"/>
    </xf>
    <xf numFmtId="0" fontId="25" fillId="14" borderId="8" xfId="44">
      <alignment horizontal="center" vertical="top" shrinkToFit="1"/>
    </xf>
    <xf numFmtId="0" fontId="25" fillId="14" borderId="9" xfId="45">
      <alignment horizontal="center" vertical="top" shrinkToFit="1"/>
    </xf>
    <xf numFmtId="0" fontId="25" fillId="14" borderId="11" xfId="46">
      <alignment vertical="top" shrinkToFit="1"/>
    </xf>
    <xf numFmtId="0" fontId="25" fillId="14" borderId="12" xfId="47">
      <alignment vertical="top" shrinkToFit="1"/>
    </xf>
    <xf numFmtId="0" fontId="25" fillId="14" borderId="13" xfId="48">
      <alignment vertical="top" shrinkToFit="1"/>
    </xf>
    <xf numFmtId="0" fontId="25" fillId="15" borderId="12" xfId="49">
      <alignment horizontal="left" vertical="top" shrinkToFit="1"/>
      <protection locked="0"/>
    </xf>
    <xf numFmtId="3" fontId="25" fillId="15" borderId="13" xfId="50">
      <alignment horizontal="right" vertical="top" shrinkToFit="1"/>
      <protection locked="0"/>
    </xf>
    <xf numFmtId="0" fontId="25" fillId="14" borderId="14" xfId="51">
      <alignment vertical="top" shrinkToFit="1"/>
    </xf>
    <xf numFmtId="0" fontId="25" fillId="14" borderId="15" xfId="52">
      <alignment vertical="top" shrinkToFit="1"/>
    </xf>
    <xf numFmtId="0" fontId="25" fillId="14" borderId="16" xfId="53">
      <alignment vertical="top" shrinkToFit="1"/>
    </xf>
    <xf numFmtId="0" fontId="25" fillId="15" borderId="15" xfId="54">
      <alignment horizontal="left" vertical="top" shrinkToFit="1"/>
      <protection locked="0"/>
    </xf>
    <xf numFmtId="3" fontId="25" fillId="15" borderId="16" xfId="55">
      <alignment horizontal="right" vertical="top" shrinkToFit="1"/>
      <protection locked="0"/>
    </xf>
    <xf numFmtId="3" fontId="25" fillId="15" borderId="12" xfId="57">
      <alignment horizontal="right" vertical="top" shrinkToFit="1"/>
      <protection locked="0"/>
    </xf>
    <xf numFmtId="4" fontId="25" fillId="15" borderId="13" xfId="58">
      <alignment horizontal="right" vertical="top" shrinkToFit="1"/>
      <protection locked="0"/>
    </xf>
    <xf numFmtId="3" fontId="25" fillId="15" borderId="15" xfId="59">
      <alignment horizontal="right" vertical="top" shrinkToFit="1"/>
      <protection locked="0"/>
    </xf>
    <xf numFmtId="4" fontId="25" fillId="15" borderId="16" xfId="60">
      <alignment horizontal="right" vertical="top" shrinkToFit="1"/>
      <protection locked="0"/>
    </xf>
    <xf numFmtId="0" fontId="27" fillId="14" borderId="12" xfId="61">
      <alignment vertical="top" shrinkToFit="1"/>
    </xf>
    <xf numFmtId="0" fontId="27" fillId="14" borderId="13" xfId="62">
      <alignment vertical="top" shrinkToFit="1"/>
    </xf>
    <xf numFmtId="168" fontId="27" fillId="15" borderId="12" xfId="63">
      <alignment horizontal="right" vertical="top" shrinkToFit="1"/>
      <protection locked="0"/>
    </xf>
    <xf numFmtId="4" fontId="27" fillId="15" borderId="13" xfId="64">
      <alignment horizontal="right" vertical="top" shrinkToFit="1"/>
      <protection locked="0"/>
    </xf>
    <xf numFmtId="0" fontId="25" fillId="14" borderId="17" xfId="65">
      <alignment vertical="top" shrinkToFit="1"/>
    </xf>
    <xf numFmtId="0" fontId="27" fillId="14" borderId="0" xfId="66">
      <alignment vertical="top" shrinkToFit="1"/>
    </xf>
    <xf numFmtId="0" fontId="27" fillId="14" borderId="18" xfId="67">
      <alignment vertical="top" shrinkToFit="1"/>
    </xf>
    <xf numFmtId="168" fontId="27" fillId="15" borderId="0" xfId="68">
      <alignment horizontal="right" vertical="top" shrinkToFit="1"/>
      <protection locked="0"/>
    </xf>
    <xf numFmtId="4" fontId="27" fillId="15" borderId="18" xfId="69">
      <alignment horizontal="right" vertical="top" shrinkToFit="1"/>
      <protection locked="0"/>
    </xf>
    <xf numFmtId="0" fontId="27" fillId="14" borderId="15" xfId="70">
      <alignment vertical="top" shrinkToFit="1"/>
    </xf>
    <xf numFmtId="0" fontId="27" fillId="14" borderId="16" xfId="71">
      <alignment vertical="top" shrinkToFit="1"/>
    </xf>
    <xf numFmtId="168" fontId="27" fillId="15" borderId="15" xfId="72">
      <alignment horizontal="right" vertical="top" shrinkToFit="1"/>
      <protection locked="0"/>
    </xf>
    <xf numFmtId="4" fontId="27" fillId="15" borderId="16" xfId="73">
      <alignment horizontal="right" vertical="top" shrinkToFit="1"/>
      <protection locked="0"/>
    </xf>
    <xf numFmtId="0" fontId="28" fillId="14" borderId="12" xfId="74">
      <alignment vertical="top" shrinkToFit="1"/>
    </xf>
    <xf numFmtId="0" fontId="28" fillId="14" borderId="13" xfId="75">
      <alignment vertical="top" shrinkToFit="1"/>
    </xf>
    <xf numFmtId="169" fontId="28" fillId="15" borderId="12" xfId="76">
      <alignment horizontal="right" vertical="top" shrinkToFit="1"/>
      <protection locked="0"/>
    </xf>
    <xf numFmtId="169" fontId="28" fillId="15" borderId="13" xfId="77">
      <alignment horizontal="right" vertical="top" shrinkToFit="1"/>
      <protection locked="0"/>
    </xf>
    <xf numFmtId="0" fontId="28" fillId="14" borderId="0" xfId="78">
      <alignment vertical="top" shrinkToFit="1"/>
    </xf>
    <xf numFmtId="0" fontId="28" fillId="14" borderId="18" xfId="79">
      <alignment vertical="top" shrinkToFit="1"/>
    </xf>
    <xf numFmtId="169" fontId="28" fillId="15" borderId="0" xfId="80">
      <alignment horizontal="right" vertical="top" shrinkToFit="1"/>
      <protection locked="0"/>
    </xf>
    <xf numFmtId="169" fontId="28" fillId="15" borderId="18" xfId="81">
      <alignment horizontal="right" vertical="top" shrinkToFit="1"/>
      <protection locked="0"/>
    </xf>
    <xf numFmtId="0" fontId="28" fillId="14" borderId="15" xfId="82">
      <alignment vertical="top" shrinkToFit="1"/>
    </xf>
    <xf numFmtId="0" fontId="28" fillId="14" borderId="16" xfId="83">
      <alignment vertical="top" shrinkToFit="1"/>
    </xf>
    <xf numFmtId="169" fontId="28" fillId="15" borderId="15" xfId="84">
      <alignment horizontal="right" vertical="top" shrinkToFit="1"/>
      <protection locked="0"/>
    </xf>
    <xf numFmtId="169" fontId="28" fillId="15" borderId="16" xfId="85">
      <alignment horizontal="right" vertical="top" shrinkToFit="1"/>
      <protection locked="0"/>
    </xf>
    <xf numFmtId="167" fontId="28" fillId="15" borderId="12" xfId="86">
      <alignment horizontal="right" vertical="top" shrinkToFit="1"/>
      <protection locked="0"/>
    </xf>
    <xf numFmtId="167" fontId="28" fillId="15" borderId="13" xfId="87">
      <alignment horizontal="right" vertical="top" shrinkToFit="1"/>
      <protection locked="0"/>
    </xf>
    <xf numFmtId="167" fontId="28" fillId="15" borderId="0" xfId="88">
      <alignment horizontal="right" vertical="top" shrinkToFit="1"/>
      <protection locked="0"/>
    </xf>
    <xf numFmtId="167" fontId="28" fillId="15" borderId="18" xfId="89">
      <alignment horizontal="right" vertical="top" shrinkToFit="1"/>
      <protection locked="0"/>
    </xf>
    <xf numFmtId="167" fontId="28" fillId="15" borderId="15" xfId="90">
      <alignment horizontal="right" vertical="top" shrinkToFit="1"/>
      <protection locked="0"/>
    </xf>
    <xf numFmtId="167" fontId="28" fillId="15" borderId="16" xfId="91">
      <alignment horizontal="right" vertical="top" shrinkToFit="1"/>
      <protection locked="0"/>
    </xf>
    <xf numFmtId="0" fontId="25" fillId="15" borderId="10" xfId="92">
      <alignment horizontal="left" vertical="top" shrinkToFit="1"/>
      <protection locked="0"/>
    </xf>
    <xf numFmtId="3" fontId="25" fillId="15" borderId="19" xfId="99">
      <alignment horizontal="right" vertical="top" shrinkToFit="1"/>
      <protection locked="0"/>
    </xf>
    <xf numFmtId="3" fontId="28" fillId="15" borderId="12" xfId="93">
      <alignment horizontal="right" vertical="top" shrinkToFit="1"/>
      <protection locked="0"/>
    </xf>
    <xf numFmtId="3" fontId="28" fillId="15" borderId="13" xfId="94">
      <alignment horizontal="right" vertical="top" shrinkToFit="1"/>
      <protection locked="0"/>
    </xf>
    <xf numFmtId="3" fontId="25" fillId="15" borderId="20" xfId="100">
      <alignment horizontal="right" vertical="top" shrinkToFit="1"/>
      <protection locked="0"/>
    </xf>
    <xf numFmtId="3" fontId="28" fillId="15" borderId="0" xfId="95">
      <alignment horizontal="right" vertical="top" shrinkToFit="1"/>
      <protection locked="0"/>
    </xf>
    <xf numFmtId="3" fontId="28" fillId="15" borderId="18" xfId="96">
      <alignment horizontal="right" vertical="top" shrinkToFit="1"/>
      <protection locked="0"/>
    </xf>
    <xf numFmtId="3" fontId="25" fillId="15" borderId="21" xfId="101">
      <alignment horizontal="right" vertical="top" shrinkToFit="1"/>
      <protection locked="0"/>
    </xf>
    <xf numFmtId="3" fontId="28" fillId="15" borderId="15" xfId="97">
      <alignment horizontal="right" vertical="top" shrinkToFit="1"/>
      <protection locked="0"/>
    </xf>
    <xf numFmtId="3" fontId="28" fillId="15" borderId="16" xfId="98">
      <alignment horizontal="right" vertical="top" shrinkToFit="1"/>
      <protection locked="0"/>
    </xf>
    <xf numFmtId="3" fontId="24" fillId="15" borderId="12" xfId="102">
      <alignment horizontal="right" vertical="top" shrinkToFit="1"/>
      <protection locked="0"/>
    </xf>
    <xf numFmtId="3" fontId="24" fillId="15" borderId="13" xfId="103">
      <alignment horizontal="right" vertical="top" shrinkToFit="1"/>
      <protection locked="0"/>
    </xf>
    <xf numFmtId="3" fontId="24" fillId="15" borderId="0" xfId="104">
      <alignment horizontal="right" vertical="top" shrinkToFit="1"/>
      <protection locked="0"/>
    </xf>
    <xf numFmtId="3" fontId="24" fillId="15" borderId="18" xfId="105">
      <alignment horizontal="right" vertical="top" shrinkToFit="1"/>
      <protection locked="0"/>
    </xf>
    <xf numFmtId="3" fontId="24" fillId="15" borderId="15" xfId="106">
      <alignment horizontal="right" vertical="top" shrinkToFit="1"/>
      <protection locked="0"/>
    </xf>
    <xf numFmtId="3" fontId="24" fillId="15" borderId="16" xfId="107">
      <alignment horizontal="right" vertical="top" shrinkToFit="1"/>
      <protection locked="0"/>
    </xf>
    <xf numFmtId="168" fontId="24" fillId="15" borderId="12" xfId="108">
      <alignment horizontal="right" vertical="top" shrinkToFit="1"/>
      <protection locked="0"/>
    </xf>
    <xf numFmtId="168" fontId="24" fillId="15" borderId="13" xfId="109">
      <alignment horizontal="right" vertical="top" shrinkToFit="1"/>
      <protection locked="0"/>
    </xf>
    <xf numFmtId="168" fontId="24" fillId="15" borderId="0" xfId="110">
      <alignment horizontal="right" vertical="top" shrinkToFit="1"/>
      <protection locked="0"/>
    </xf>
    <xf numFmtId="168" fontId="24" fillId="15" borderId="18" xfId="111">
      <alignment horizontal="right" vertical="top" shrinkToFit="1"/>
      <protection locked="0"/>
    </xf>
    <xf numFmtId="168" fontId="28" fillId="15" borderId="0" xfId="112">
      <alignment horizontal="right" vertical="top" shrinkToFit="1"/>
      <protection locked="0"/>
    </xf>
    <xf numFmtId="168" fontId="28" fillId="15" borderId="18" xfId="113">
      <alignment horizontal="right" vertical="top" shrinkToFit="1"/>
      <protection locked="0"/>
    </xf>
    <xf numFmtId="168" fontId="28" fillId="15" borderId="15" xfId="114">
      <alignment horizontal="right" vertical="top" shrinkToFit="1"/>
      <protection locked="0"/>
    </xf>
    <xf numFmtId="168" fontId="28" fillId="15" borderId="16" xfId="115">
      <alignment horizontal="right" vertical="top" shrinkToFit="1"/>
      <protection locked="0"/>
    </xf>
    <xf numFmtId="164" fontId="28" fillId="15" borderId="12" xfId="116">
      <alignment horizontal="right" vertical="top" shrinkToFit="1"/>
      <protection locked="0"/>
    </xf>
    <xf numFmtId="164" fontId="28" fillId="15" borderId="13" xfId="117">
      <alignment horizontal="right" vertical="top" shrinkToFit="1"/>
      <protection locked="0"/>
    </xf>
    <xf numFmtId="164" fontId="28" fillId="15" borderId="0" xfId="118">
      <alignment horizontal="right" vertical="top" shrinkToFit="1"/>
      <protection locked="0"/>
    </xf>
    <xf numFmtId="164" fontId="28" fillId="15" borderId="18" xfId="119">
      <alignment horizontal="right" vertical="top" shrinkToFit="1"/>
      <protection locked="0"/>
    </xf>
    <xf numFmtId="167" fontId="27" fillId="15" borderId="0" xfId="120">
      <alignment horizontal="right" vertical="top" shrinkToFit="1"/>
      <protection locked="0"/>
    </xf>
    <xf numFmtId="167" fontId="27" fillId="15" borderId="18" xfId="121">
      <alignment horizontal="right" vertical="top" shrinkToFit="1"/>
      <protection locked="0"/>
    </xf>
    <xf numFmtId="167" fontId="27" fillId="15" borderId="15" xfId="122">
      <alignment horizontal="right" vertical="top" shrinkToFit="1"/>
      <protection locked="0"/>
    </xf>
    <xf numFmtId="167" fontId="27" fillId="15" borderId="16" xfId="123">
      <alignment horizontal="right" vertical="top" shrinkToFit="1"/>
      <protection locked="0"/>
    </xf>
    <xf numFmtId="165" fontId="28" fillId="15" borderId="12" xfId="124">
      <alignment horizontal="right" vertical="top" shrinkToFit="1"/>
      <protection locked="0"/>
    </xf>
    <xf numFmtId="165" fontId="28" fillId="15" borderId="13" xfId="125">
      <alignment horizontal="right" vertical="top" shrinkToFit="1"/>
      <protection locked="0"/>
    </xf>
    <xf numFmtId="165" fontId="28" fillId="15" borderId="0" xfId="126">
      <alignment horizontal="right" vertical="top" shrinkToFit="1"/>
      <protection locked="0"/>
    </xf>
    <xf numFmtId="165" fontId="28" fillId="15" borderId="18" xfId="127">
      <alignment horizontal="right" vertical="top" shrinkToFit="1"/>
      <protection locked="0"/>
    </xf>
    <xf numFmtId="165" fontId="24" fillId="15" borderId="0" xfId="128">
      <alignment horizontal="right" vertical="top" shrinkToFit="1"/>
      <protection locked="0"/>
    </xf>
    <xf numFmtId="165" fontId="24" fillId="15" borderId="18" xfId="129">
      <alignment horizontal="right" vertical="top" shrinkToFit="1"/>
      <protection locked="0"/>
    </xf>
    <xf numFmtId="165" fontId="24" fillId="15" borderId="15" xfId="130">
      <alignment horizontal="right" vertical="top" shrinkToFit="1"/>
      <protection locked="0"/>
    </xf>
    <xf numFmtId="165" fontId="24" fillId="15" borderId="16" xfId="131">
      <alignment horizontal="right" vertical="top" shrinkToFit="1"/>
      <protection locked="0"/>
    </xf>
    <xf numFmtId="0" fontId="25" fillId="14" borderId="10" xfId="132">
      <alignment vertical="top" shrinkToFit="1"/>
    </xf>
    <xf numFmtId="4" fontId="24" fillId="15" borderId="12" xfId="133">
      <alignment horizontal="right" vertical="top" shrinkToFit="1"/>
      <protection locked="0"/>
    </xf>
    <xf numFmtId="4" fontId="24" fillId="15" borderId="13" xfId="134">
      <alignment horizontal="right" vertical="top" shrinkToFit="1"/>
      <protection locked="0"/>
    </xf>
    <xf numFmtId="4" fontId="24" fillId="15" borderId="0" xfId="135">
      <alignment horizontal="right" vertical="top" shrinkToFit="1"/>
      <protection locked="0"/>
    </xf>
    <xf numFmtId="4" fontId="24" fillId="15" borderId="18" xfId="136">
      <alignment horizontal="right" vertical="top" shrinkToFit="1"/>
      <protection locked="0"/>
    </xf>
    <xf numFmtId="164" fontId="27" fillId="15" borderId="12" xfId="137">
      <alignment horizontal="right" vertical="top" shrinkToFit="1"/>
      <protection locked="0"/>
    </xf>
    <xf numFmtId="164" fontId="27" fillId="15" borderId="13" xfId="138">
      <alignment horizontal="right" vertical="top" shrinkToFit="1"/>
      <protection locked="0"/>
    </xf>
    <xf numFmtId="164" fontId="27" fillId="15" borderId="0" xfId="139">
      <alignment horizontal="right" vertical="top" shrinkToFit="1"/>
      <protection locked="0"/>
    </xf>
    <xf numFmtId="164" fontId="27" fillId="15" borderId="18" xfId="140">
      <alignment horizontal="right" vertical="top" shrinkToFit="1"/>
      <protection locked="0"/>
    </xf>
    <xf numFmtId="167" fontId="27" fillId="15" borderId="12" xfId="141">
      <alignment horizontal="right" vertical="top" shrinkToFit="1"/>
      <protection locked="0"/>
    </xf>
    <xf numFmtId="167" fontId="27" fillId="15" borderId="13" xfId="142">
      <alignment horizontal="right" vertical="top" shrinkToFit="1"/>
      <protection locked="0"/>
    </xf>
    <xf numFmtId="167" fontId="25" fillId="15" borderId="15" xfId="143">
      <alignment horizontal="right" vertical="top" shrinkToFit="1"/>
      <protection locked="0"/>
    </xf>
    <xf numFmtId="167" fontId="25" fillId="15" borderId="16" xfId="144">
      <alignment horizontal="right" vertical="top" shrinkToFit="1"/>
      <protection locked="0"/>
    </xf>
    <xf numFmtId="167" fontId="25" fillId="15" borderId="8" xfId="145">
      <alignment horizontal="right" vertical="top" shrinkToFit="1"/>
      <protection locked="0"/>
    </xf>
    <xf numFmtId="167" fontId="25" fillId="15" borderId="9" xfId="146">
      <alignment horizontal="right" vertical="top" shrinkToFit="1"/>
      <protection locked="0"/>
    </xf>
    <xf numFmtId="167" fontId="25" fillId="15" borderId="12" xfId="147">
      <alignment horizontal="right" vertical="top" shrinkToFit="1"/>
      <protection locked="0"/>
    </xf>
    <xf numFmtId="167" fontId="25" fillId="15" borderId="13" xfId="148">
      <alignment horizontal="right" vertical="top" shrinkToFit="1"/>
      <protection locked="0"/>
    </xf>
    <xf numFmtId="168" fontId="27" fillId="15" borderId="13" xfId="149">
      <alignment horizontal="right" vertical="top" shrinkToFit="1"/>
      <protection locked="0"/>
    </xf>
    <xf numFmtId="168" fontId="27" fillId="15" borderId="18" xfId="150">
      <alignment horizontal="right" vertical="top" shrinkToFit="1"/>
      <protection locked="0"/>
    </xf>
    <xf numFmtId="168" fontId="27" fillId="15" borderId="16" xfId="151">
      <alignment horizontal="right" vertical="top" shrinkToFit="1"/>
      <protection locked="0"/>
    </xf>
    <xf numFmtId="165" fontId="28" fillId="15" borderId="15" xfId="152">
      <alignment horizontal="right" vertical="top" shrinkToFit="1"/>
      <protection locked="0"/>
    </xf>
    <xf numFmtId="165" fontId="28" fillId="15" borderId="16" xfId="153">
      <alignment horizontal="right" vertical="top" shrinkToFit="1"/>
      <protection locked="0"/>
    </xf>
    <xf numFmtId="170" fontId="25" fillId="15" borderId="12" xfId="154">
      <alignment horizontal="right" vertical="top" shrinkToFit="1"/>
      <protection locked="0"/>
    </xf>
    <xf numFmtId="170" fontId="25" fillId="15" borderId="13" xfId="155">
      <alignment horizontal="right" vertical="top" shrinkToFit="1"/>
      <protection locked="0"/>
    </xf>
    <xf numFmtId="0" fontId="25" fillId="14" borderId="18" xfId="156">
      <alignment vertical="top" shrinkToFit="1"/>
    </xf>
    <xf numFmtId="165" fontId="25" fillId="15" borderId="0" xfId="157">
      <alignment horizontal="right" vertical="top" shrinkToFit="1"/>
      <protection locked="0"/>
    </xf>
    <xf numFmtId="165" fontId="25" fillId="15" borderId="18" xfId="158">
      <alignment horizontal="right" vertical="top" shrinkToFit="1"/>
      <protection locked="0"/>
    </xf>
    <xf numFmtId="166" fontId="25" fillId="15" borderId="0" xfId="159">
      <alignment horizontal="right" vertical="top" shrinkToFit="1"/>
      <protection locked="0"/>
    </xf>
    <xf numFmtId="166" fontId="25" fillId="15" borderId="18" xfId="160">
      <alignment horizontal="right" vertical="top" shrinkToFit="1"/>
      <protection locked="0"/>
    </xf>
    <xf numFmtId="164" fontId="25" fillId="15" borderId="15" xfId="161">
      <alignment horizontal="right" vertical="top" shrinkToFit="1"/>
      <protection locked="0"/>
    </xf>
    <xf numFmtId="164" fontId="25" fillId="15" borderId="16" xfId="162">
      <alignment horizontal="right" vertical="top" shrinkToFit="1"/>
      <protection locked="0"/>
    </xf>
    <xf numFmtId="4" fontId="28" fillId="15" borderId="12" xfId="163">
      <alignment horizontal="right" vertical="top" shrinkToFit="1"/>
      <protection locked="0"/>
    </xf>
    <xf numFmtId="4" fontId="28" fillId="15" borderId="13" xfId="164">
      <alignment horizontal="right" vertical="top" shrinkToFit="1"/>
      <protection locked="0"/>
    </xf>
    <xf numFmtId="4" fontId="28" fillId="15" borderId="15" xfId="165">
      <alignment horizontal="right" vertical="top" shrinkToFit="1"/>
      <protection locked="0"/>
    </xf>
    <xf numFmtId="4" fontId="28" fillId="15" borderId="16" xfId="166">
      <alignment horizontal="right" vertical="top" shrinkToFit="1"/>
      <protection locked="0"/>
    </xf>
    <xf numFmtId="164" fontId="28" fillId="15" borderId="15" xfId="167">
      <alignment horizontal="right" vertical="top" shrinkToFit="1"/>
      <protection locked="0"/>
    </xf>
    <xf numFmtId="164" fontId="28" fillId="15" borderId="16" xfId="168">
      <alignment horizontal="right" vertical="top" shrinkToFit="1"/>
      <protection locked="0"/>
    </xf>
    <xf numFmtId="167" fontId="25" fillId="15" borderId="0" xfId="169">
      <alignment horizontal="right" vertical="top" shrinkToFit="1"/>
      <protection locked="0"/>
    </xf>
    <xf numFmtId="167" fontId="25" fillId="15" borderId="18" xfId="170">
      <alignment horizontal="right" vertical="top" shrinkToFit="1"/>
      <protection locked="0"/>
    </xf>
    <xf numFmtId="165" fontId="25" fillId="15" borderId="19" xfId="171">
      <alignment horizontal="right" vertical="top" shrinkToFit="1"/>
      <protection locked="0"/>
    </xf>
    <xf numFmtId="3" fontId="25" fillId="15" borderId="8" xfId="172">
      <alignment horizontal="right" vertical="top" shrinkToFit="1"/>
      <protection locked="0"/>
    </xf>
    <xf numFmtId="3" fontId="25" fillId="15" borderId="9" xfId="173">
      <alignment horizontal="right" vertical="top" shrinkToFit="1"/>
      <protection locked="0"/>
    </xf>
    <xf numFmtId="165" fontId="25" fillId="15" borderId="10" xfId="174">
      <alignment horizontal="right" vertical="top" shrinkToFit="1"/>
      <protection locked="0"/>
    </xf>
    <xf numFmtId="169" fontId="25" fillId="15" borderId="8" xfId="175">
      <alignment horizontal="right" vertical="top" shrinkToFit="1"/>
      <protection locked="0"/>
    </xf>
    <xf numFmtId="169" fontId="25" fillId="15" borderId="9" xfId="176">
      <alignment horizontal="right" vertical="top" shrinkToFit="1"/>
      <protection locked="0"/>
    </xf>
    <xf numFmtId="171" fontId="25" fillId="15" borderId="12" xfId="177">
      <alignment horizontal="right" vertical="top" shrinkToFit="1"/>
      <protection locked="0"/>
    </xf>
    <xf numFmtId="165" fontId="25" fillId="15" borderId="12" xfId="178">
      <alignment horizontal="right" vertical="top" shrinkToFit="1"/>
      <protection locked="0"/>
    </xf>
    <xf numFmtId="4" fontId="25" fillId="15" borderId="12" xfId="179">
      <alignment horizontal="right" vertical="top" shrinkToFit="1"/>
      <protection locked="0"/>
    </xf>
    <xf numFmtId="165" fontId="25" fillId="15" borderId="13" xfId="180">
      <alignment horizontal="right" vertical="top" shrinkToFit="1"/>
      <protection locked="0"/>
    </xf>
    <xf numFmtId="171" fontId="25" fillId="15" borderId="15" xfId="181">
      <alignment horizontal="right" vertical="top" shrinkToFit="1"/>
      <protection locked="0"/>
    </xf>
    <xf numFmtId="165" fontId="25" fillId="15" borderId="15" xfId="182">
      <alignment horizontal="right" vertical="top" shrinkToFit="1"/>
      <protection locked="0"/>
    </xf>
    <xf numFmtId="4" fontId="25" fillId="15" borderId="15" xfId="183">
      <alignment horizontal="right" vertical="top" shrinkToFit="1"/>
      <protection locked="0"/>
    </xf>
    <xf numFmtId="165" fontId="25" fillId="15" borderId="16" xfId="184">
      <alignment horizontal="right" vertical="top" shrinkToFit="1"/>
      <protection locked="0"/>
    </xf>
    <xf numFmtId="3" fontId="25" fillId="14" borderId="13" xfId="185">
      <alignment horizontal="right" vertical="top" shrinkToFit="1"/>
    </xf>
    <xf numFmtId="3" fontId="25" fillId="14" borderId="16" xfId="186">
      <alignment horizontal="right" vertical="top" shrinkToFit="1"/>
    </xf>
    <xf numFmtId="165" fontId="27" fillId="15" borderId="12" xfId="187">
      <alignment horizontal="right" vertical="top" shrinkToFit="1"/>
      <protection locked="0"/>
    </xf>
    <xf numFmtId="165" fontId="27" fillId="15" borderId="13" xfId="188">
      <alignment horizontal="right" vertical="top" shrinkToFit="1"/>
      <protection locked="0"/>
    </xf>
    <xf numFmtId="165" fontId="27" fillId="15" borderId="0" xfId="189">
      <alignment horizontal="right" vertical="top" shrinkToFit="1"/>
      <protection locked="0"/>
    </xf>
    <xf numFmtId="165" fontId="27" fillId="15" borderId="18" xfId="190">
      <alignment horizontal="right" vertical="top" shrinkToFit="1"/>
      <protection locked="0"/>
    </xf>
    <xf numFmtId="165" fontId="27" fillId="15" borderId="15" xfId="191">
      <alignment horizontal="right" vertical="top" shrinkToFit="1"/>
      <protection locked="0"/>
    </xf>
    <xf numFmtId="165" fontId="27" fillId="15" borderId="16" xfId="192">
      <alignment horizontal="right" vertical="top" shrinkToFit="1"/>
      <protection locked="0"/>
    </xf>
    <xf numFmtId="164" fontId="27" fillId="15" borderId="19" xfId="193">
      <alignment horizontal="right" vertical="top" shrinkToFit="1"/>
      <protection locked="0"/>
    </xf>
    <xf numFmtId="164" fontId="27" fillId="15" borderId="21" xfId="194">
      <alignment horizontal="right" vertical="top" shrinkToFit="1"/>
      <protection locked="0"/>
    </xf>
    <xf numFmtId="165" fontId="27" fillId="15" borderId="19" xfId="195">
      <alignment horizontal="right" vertical="top" shrinkToFit="1"/>
      <protection locked="0"/>
    </xf>
    <xf numFmtId="165" fontId="27" fillId="15" borderId="20" xfId="196">
      <alignment horizontal="right" vertical="top" shrinkToFit="1"/>
      <protection locked="0"/>
    </xf>
    <xf numFmtId="165" fontId="27" fillId="15" borderId="21" xfId="197">
      <alignment horizontal="right" vertical="top" shrinkToFit="1"/>
      <protection locked="0"/>
    </xf>
    <xf numFmtId="169" fontId="27" fillId="14" borderId="12" xfId="198">
      <alignment horizontal="right" vertical="top" shrinkToFit="1"/>
    </xf>
    <xf numFmtId="169" fontId="27" fillId="15" borderId="12" xfId="199">
      <alignment horizontal="right" vertical="top" shrinkToFit="1"/>
      <protection locked="0"/>
    </xf>
    <xf numFmtId="169" fontId="27" fillId="15" borderId="13" xfId="200">
      <alignment horizontal="right" vertical="top" shrinkToFit="1"/>
      <protection locked="0"/>
    </xf>
    <xf numFmtId="169" fontId="27" fillId="14" borderId="0" xfId="201">
      <alignment horizontal="right" vertical="top" shrinkToFit="1"/>
    </xf>
    <xf numFmtId="169" fontId="27" fillId="15" borderId="0" xfId="202">
      <alignment horizontal="right" vertical="top" shrinkToFit="1"/>
      <protection locked="0"/>
    </xf>
    <xf numFmtId="169" fontId="27" fillId="15" borderId="18" xfId="203">
      <alignment horizontal="right" vertical="top" shrinkToFit="1"/>
      <protection locked="0"/>
    </xf>
    <xf numFmtId="169" fontId="27" fillId="14" borderId="15" xfId="204">
      <alignment horizontal="right" vertical="top" shrinkToFit="1"/>
    </xf>
    <xf numFmtId="169" fontId="27" fillId="15" borderId="15" xfId="205">
      <alignment horizontal="right" vertical="top" shrinkToFit="1"/>
      <protection locked="0"/>
    </xf>
    <xf numFmtId="169" fontId="27" fillId="15" borderId="16" xfId="206">
      <alignment horizontal="right" vertical="top" shrinkToFit="1"/>
      <protection locked="0"/>
    </xf>
    <xf numFmtId="164" fontId="25" fillId="15" borderId="8" xfId="207">
      <alignment horizontal="right" vertical="top" shrinkToFit="1"/>
      <protection locked="0"/>
    </xf>
    <xf numFmtId="164" fontId="25" fillId="15" borderId="9" xfId="208">
      <alignment horizontal="right" vertical="top" shrinkToFit="1"/>
      <protection locked="0"/>
    </xf>
    <xf numFmtId="164" fontId="25" fillId="15" borderId="12" xfId="209">
      <alignment horizontal="right" vertical="top" shrinkToFit="1"/>
      <protection locked="0"/>
    </xf>
    <xf numFmtId="164" fontId="25" fillId="15" borderId="13" xfId="210">
      <alignment horizontal="right" vertical="top" shrinkToFit="1"/>
      <protection locked="0"/>
    </xf>
    <xf numFmtId="164" fontId="25" fillId="14" borderId="15" xfId="211">
      <alignment horizontal="right" vertical="top" shrinkToFit="1"/>
    </xf>
    <xf numFmtId="4" fontId="25" fillId="15" borderId="8" xfId="212">
      <alignment horizontal="right" vertical="top" shrinkToFit="1"/>
      <protection locked="0"/>
    </xf>
    <xf numFmtId="4" fontId="25" fillId="15" borderId="9" xfId="213">
      <alignment horizontal="right" vertical="top" shrinkToFit="1"/>
      <protection locked="0"/>
    </xf>
    <xf numFmtId="167" fontId="25" fillId="15" borderId="19" xfId="214">
      <alignment horizontal="right" vertical="top" shrinkToFit="1"/>
      <protection locked="0"/>
    </xf>
    <xf numFmtId="167" fontId="25" fillId="15" borderId="21" xfId="215">
      <alignment horizontal="right" vertical="top" shrinkToFit="1"/>
      <protection locked="0"/>
    </xf>
    <xf numFmtId="0" fontId="25" fillId="14" borderId="10" xfId="216">
      <alignment horizontal="center" vertical="top" shrinkToFit="1"/>
    </xf>
    <xf numFmtId="0" fontId="25" fillId="14" borderId="19" xfId="217">
      <alignment vertical="top" shrinkToFit="1"/>
    </xf>
    <xf numFmtId="164" fontId="25" fillId="14" borderId="12" xfId="218">
      <alignment horizontal="right" vertical="top" shrinkToFit="1"/>
    </xf>
    <xf numFmtId="164" fontId="25" fillId="14" borderId="19" xfId="219">
      <alignment horizontal="right" vertical="top" shrinkToFit="1"/>
    </xf>
    <xf numFmtId="0" fontId="25" fillId="14" borderId="21" xfId="220">
      <alignment vertical="top" shrinkToFit="1"/>
    </xf>
    <xf numFmtId="167" fontId="25" fillId="14" borderId="15" xfId="221">
      <alignment horizontal="right" vertical="top" shrinkToFit="1"/>
    </xf>
    <xf numFmtId="167" fontId="25" fillId="14" borderId="21" xfId="222">
      <alignment horizontal="right" vertical="top" shrinkToFit="1"/>
    </xf>
    <xf numFmtId="0" fontId="27" fillId="14" borderId="20" xfId="223">
      <alignment vertical="top" shrinkToFit="1"/>
    </xf>
    <xf numFmtId="164" fontId="24" fillId="14" borderId="0" xfId="224">
      <alignment horizontal="right" vertical="top" shrinkToFit="1"/>
    </xf>
    <xf numFmtId="164" fontId="25" fillId="14" borderId="20" xfId="225">
      <alignment horizontal="right" vertical="top" shrinkToFit="1"/>
    </xf>
    <xf numFmtId="0" fontId="25" fillId="14" borderId="20" xfId="226">
      <alignment vertical="top" shrinkToFit="1"/>
    </xf>
    <xf numFmtId="164" fontId="25" fillId="14" borderId="0" xfId="227">
      <alignment horizontal="right" vertical="top" shrinkToFit="1"/>
    </xf>
    <xf numFmtId="164" fontId="25" fillId="14" borderId="21" xfId="228">
      <alignment horizontal="right" vertical="top" shrinkToFit="1"/>
    </xf>
    <xf numFmtId="164" fontId="25" fillId="14" borderId="8" xfId="229">
      <alignment horizontal="right" vertical="top" shrinkToFit="1"/>
    </xf>
    <xf numFmtId="164" fontId="25" fillId="14" borderId="10" xfId="230">
      <alignment horizontal="right" vertical="top" shrinkToFit="1"/>
    </xf>
    <xf numFmtId="164" fontId="27" fillId="14" borderId="0" xfId="231">
      <alignment horizontal="right" vertical="top" shrinkToFit="1"/>
    </xf>
    <xf numFmtId="164" fontId="27" fillId="14" borderId="20" xfId="232">
      <alignment horizontal="right" vertical="top" shrinkToFit="1"/>
    </xf>
    <xf numFmtId="0" fontId="28" fillId="14" borderId="20" xfId="233">
      <alignment vertical="top" shrinkToFit="1"/>
    </xf>
    <xf numFmtId="165" fontId="25" fillId="14" borderId="8" xfId="234">
      <alignment horizontal="right" vertical="top" shrinkToFit="1"/>
    </xf>
    <xf numFmtId="165" fontId="25" fillId="14" borderId="10" xfId="235">
      <alignment horizontal="right" vertical="top" shrinkToFit="1"/>
    </xf>
    <xf numFmtId="164" fontId="24" fillId="14" borderId="8" xfId="236">
      <alignment horizontal="right" vertical="top" shrinkToFit="1"/>
    </xf>
    <xf numFmtId="164" fontId="24" fillId="14" borderId="12" xfId="237">
      <alignment horizontal="right" vertical="top" shrinkToFit="1"/>
    </xf>
    <xf numFmtId="164" fontId="24" fillId="14" borderId="15" xfId="238">
      <alignment horizontal="right" vertical="top" shrinkToFit="1"/>
    </xf>
    <xf numFmtId="173" fontId="24" fillId="14" borderId="0" xfId="239">
      <alignment horizontal="right" vertical="top" shrinkToFit="1"/>
    </xf>
    <xf numFmtId="173" fontId="25" fillId="14" borderId="20" xfId="240">
      <alignment horizontal="right" vertical="top" shrinkToFit="1"/>
    </xf>
    <xf numFmtId="165" fontId="24" fillId="14" borderId="8" xfId="241">
      <alignment horizontal="right" vertical="top" shrinkToFit="1"/>
    </xf>
    <xf numFmtId="167" fontId="25" fillId="14" borderId="12" xfId="242">
      <alignment horizontal="right" vertical="top" shrinkToFit="1"/>
    </xf>
    <xf numFmtId="167" fontId="25" fillId="14" borderId="19" xfId="243">
      <alignment horizontal="right" vertical="top" shrinkToFit="1"/>
    </xf>
    <xf numFmtId="167" fontId="24" fillId="14" borderId="0" xfId="244">
      <alignment horizontal="right" vertical="top" shrinkToFit="1"/>
    </xf>
    <xf numFmtId="167" fontId="25" fillId="14" borderId="20" xfId="245">
      <alignment horizontal="right" vertical="top" shrinkToFit="1"/>
    </xf>
    <xf numFmtId="167" fontId="25" fillId="14" borderId="0" xfId="246">
      <alignment horizontal="right" vertical="top" shrinkToFit="1"/>
    </xf>
    <xf numFmtId="4" fontId="25" fillId="14" borderId="12" xfId="247">
      <alignment horizontal="right" vertical="top" shrinkToFit="1"/>
    </xf>
    <xf numFmtId="4" fontId="25" fillId="14" borderId="19" xfId="248">
      <alignment horizontal="right" vertical="top" shrinkToFit="1"/>
    </xf>
    <xf numFmtId="4" fontId="25" fillId="14" borderId="15" xfId="249">
      <alignment horizontal="right" vertical="top" shrinkToFit="1"/>
    </xf>
    <xf numFmtId="4" fontId="25" fillId="14" borderId="21" xfId="250">
      <alignment horizontal="right" vertical="top" shrinkToFit="1"/>
    </xf>
    <xf numFmtId="169" fontId="25" fillId="14" borderId="0" xfId="251">
      <alignment horizontal="right" vertical="top" shrinkToFit="1"/>
    </xf>
    <xf numFmtId="169" fontId="25" fillId="14" borderId="20" xfId="252">
      <alignment horizontal="right" vertical="top" shrinkToFit="1"/>
    </xf>
    <xf numFmtId="167" fontId="27" fillId="14" borderId="0" xfId="253">
      <alignment horizontal="right" vertical="top" shrinkToFit="1"/>
    </xf>
    <xf numFmtId="167" fontId="27" fillId="14" borderId="20" xfId="254">
      <alignment horizontal="right" vertical="top" shrinkToFit="1"/>
    </xf>
    <xf numFmtId="0" fontId="27" fillId="14" borderId="21" xfId="255">
      <alignment vertical="top" shrinkToFit="1"/>
    </xf>
    <xf numFmtId="167" fontId="27" fillId="14" borderId="15" xfId="256">
      <alignment horizontal="right" vertical="top" shrinkToFit="1"/>
    </xf>
    <xf numFmtId="167" fontId="27" fillId="14" borderId="21" xfId="257">
      <alignment horizontal="right" vertical="top" shrinkToFit="1"/>
    </xf>
    <xf numFmtId="169" fontId="25" fillId="14" borderId="12" xfId="258">
      <alignment horizontal="right" vertical="top" shrinkToFit="1"/>
    </xf>
    <xf numFmtId="169" fontId="25" fillId="14" borderId="19" xfId="259">
      <alignment horizontal="right" vertical="top" shrinkToFit="1"/>
    </xf>
    <xf numFmtId="169" fontId="27" fillId="14" borderId="20" xfId="260">
      <alignment horizontal="right" vertical="top" shrinkToFit="1"/>
    </xf>
    <xf numFmtId="164" fontId="28" fillId="14" borderId="0" xfId="261">
      <alignment horizontal="right" vertical="top" shrinkToFit="1"/>
    </xf>
    <xf numFmtId="164" fontId="28" fillId="14" borderId="20" xfId="262">
      <alignment horizontal="right" vertical="top" shrinkToFit="1"/>
    </xf>
    <xf numFmtId="164" fontId="27" fillId="14" borderId="15" xfId="263">
      <alignment horizontal="right" vertical="top" shrinkToFit="1"/>
    </xf>
    <xf numFmtId="164" fontId="27" fillId="14" borderId="21" xfId="264">
      <alignment horizontal="right" vertical="top" shrinkToFit="1"/>
    </xf>
    <xf numFmtId="0" fontId="28" fillId="14" borderId="21" xfId="265">
      <alignment vertical="top" shrinkToFit="1"/>
    </xf>
    <xf numFmtId="164" fontId="28" fillId="14" borderId="15" xfId="266">
      <alignment horizontal="right" vertical="top" shrinkToFit="1"/>
    </xf>
    <xf numFmtId="164" fontId="28" fillId="14" borderId="21" xfId="267">
      <alignment horizontal="right" vertical="top" shrinkToFit="1"/>
    </xf>
    <xf numFmtId="167" fontId="28" fillId="14" borderId="0" xfId="268">
      <alignment horizontal="right" vertical="top" shrinkToFit="1"/>
    </xf>
    <xf numFmtId="167" fontId="28" fillId="14" borderId="20" xfId="269">
      <alignment horizontal="right" vertical="top" shrinkToFit="1"/>
    </xf>
    <xf numFmtId="167" fontId="28" fillId="14" borderId="15" xfId="270">
      <alignment horizontal="right" vertical="top" shrinkToFit="1"/>
    </xf>
    <xf numFmtId="167" fontId="28" fillId="14" borderId="21" xfId="271">
      <alignment horizontal="right" vertical="top" shrinkToFit="1"/>
    </xf>
    <xf numFmtId="169" fontId="28" fillId="14" borderId="0" xfId="272">
      <alignment horizontal="right" vertical="top" shrinkToFit="1"/>
    </xf>
    <xf numFmtId="169" fontId="28" fillId="14" borderId="20" xfId="273">
      <alignment horizontal="right" vertical="top" shrinkToFit="1"/>
    </xf>
    <xf numFmtId="165" fontId="25" fillId="14" borderId="12" xfId="274">
      <alignment horizontal="right" vertical="top" shrinkToFit="1"/>
    </xf>
    <xf numFmtId="165" fontId="25" fillId="14" borderId="19" xfId="275">
      <alignment horizontal="right" vertical="top" shrinkToFit="1"/>
    </xf>
    <xf numFmtId="165" fontId="27" fillId="14" borderId="0" xfId="276">
      <alignment horizontal="right" vertical="top" shrinkToFit="1"/>
    </xf>
    <xf numFmtId="165" fontId="27" fillId="14" borderId="20" xfId="277">
      <alignment horizontal="right" vertical="top" shrinkToFit="1"/>
    </xf>
    <xf numFmtId="165" fontId="28" fillId="14" borderId="0" xfId="278">
      <alignment horizontal="right" vertical="top" shrinkToFit="1"/>
    </xf>
    <xf numFmtId="165" fontId="28" fillId="14" borderId="20" xfId="279">
      <alignment horizontal="right" vertical="top" shrinkToFit="1"/>
    </xf>
    <xf numFmtId="165" fontId="25" fillId="14" borderId="0" xfId="280">
      <alignment horizontal="right" vertical="top" shrinkToFit="1"/>
    </xf>
    <xf numFmtId="165" fontId="25" fillId="14" borderId="20" xfId="281">
      <alignment horizontal="right" vertical="top" shrinkToFit="1"/>
    </xf>
    <xf numFmtId="173" fontId="25" fillId="14" borderId="0" xfId="282">
      <alignment horizontal="right" vertical="top" shrinkToFit="1"/>
    </xf>
    <xf numFmtId="173" fontId="27" fillId="14" borderId="0" xfId="283">
      <alignment horizontal="right" vertical="top" shrinkToFit="1"/>
    </xf>
    <xf numFmtId="173" fontId="27" fillId="14" borderId="20" xfId="284">
      <alignment horizontal="right" vertical="top" shrinkToFit="1"/>
    </xf>
    <xf numFmtId="173" fontId="28" fillId="14" borderId="0" xfId="285">
      <alignment horizontal="right" vertical="top" shrinkToFit="1"/>
    </xf>
    <xf numFmtId="173" fontId="28" fillId="14" borderId="20" xfId="286">
      <alignment horizontal="right" vertical="top" shrinkToFit="1"/>
    </xf>
    <xf numFmtId="173" fontId="28" fillId="14" borderId="15" xfId="287">
      <alignment horizontal="right" vertical="top" shrinkToFit="1"/>
    </xf>
    <xf numFmtId="173" fontId="28" fillId="14" borderId="21" xfId="288">
      <alignment horizontal="right" vertical="top" shrinkToFit="1"/>
    </xf>
    <xf numFmtId="3" fontId="25" fillId="14" borderId="12" xfId="289">
      <alignment horizontal="right" vertical="top" shrinkToFit="1"/>
    </xf>
    <xf numFmtId="3" fontId="25" fillId="14" borderId="19" xfId="290">
      <alignment horizontal="right" vertical="top" shrinkToFit="1"/>
    </xf>
    <xf numFmtId="3" fontId="27" fillId="14" borderId="0" xfId="291">
      <alignment horizontal="right" vertical="top" shrinkToFit="1"/>
    </xf>
    <xf numFmtId="3" fontId="27" fillId="14" borderId="20" xfId="292">
      <alignment horizontal="right" vertical="top" shrinkToFit="1"/>
    </xf>
    <xf numFmtId="3" fontId="28" fillId="14" borderId="0" xfId="293">
      <alignment horizontal="right" vertical="top" shrinkToFit="1"/>
    </xf>
    <xf numFmtId="3" fontId="28" fillId="14" borderId="20" xfId="294">
      <alignment horizontal="right" vertical="top" shrinkToFit="1"/>
    </xf>
    <xf numFmtId="3" fontId="25" fillId="14" borderId="0" xfId="295">
      <alignment horizontal="right" vertical="top" shrinkToFit="1"/>
    </xf>
    <xf numFmtId="3" fontId="25" fillId="14" borderId="20" xfId="296">
      <alignment horizontal="right" vertical="top" shrinkToFit="1"/>
    </xf>
    <xf numFmtId="169" fontId="24" fillId="14" borderId="0" xfId="297">
      <alignment horizontal="right" vertical="top" shrinkToFit="1"/>
    </xf>
    <xf numFmtId="169" fontId="28" fillId="14" borderId="15" xfId="298">
      <alignment horizontal="right" vertical="top" shrinkToFit="1"/>
    </xf>
    <xf numFmtId="169" fontId="28" fillId="14" borderId="21" xfId="299">
      <alignment horizontal="right" vertical="top" shrinkToFit="1"/>
    </xf>
    <xf numFmtId="0" fontId="29" fillId="14" borderId="0" xfId="300">
      <alignment vertical="top" shrinkToFit="1"/>
    </xf>
    <xf numFmtId="164" fontId="25" fillId="14" borderId="13" xfId="301">
      <alignment horizontal="right" vertical="top" shrinkToFit="1"/>
    </xf>
    <xf numFmtId="164" fontId="27" fillId="14" borderId="18" xfId="302">
      <alignment horizontal="right" vertical="top" shrinkToFit="1"/>
    </xf>
    <xf numFmtId="164" fontId="25" fillId="14" borderId="16" xfId="303">
      <alignment horizontal="right" vertical="top" shrinkToFit="1"/>
    </xf>
    <xf numFmtId="173" fontId="25" fillId="14" borderId="12" xfId="304">
      <alignment horizontal="right" vertical="top" shrinkToFit="1"/>
    </xf>
    <xf numFmtId="173" fontId="25" fillId="14" borderId="13" xfId="305">
      <alignment horizontal="right" vertical="top" shrinkToFit="1"/>
    </xf>
    <xf numFmtId="173" fontId="27" fillId="14" borderId="18" xfId="306">
      <alignment horizontal="right" vertical="top" shrinkToFit="1"/>
    </xf>
    <xf numFmtId="173" fontId="25" fillId="14" borderId="18" xfId="307">
      <alignment horizontal="right" vertical="top" shrinkToFit="1"/>
    </xf>
    <xf numFmtId="173" fontId="25" fillId="14" borderId="15" xfId="308">
      <alignment horizontal="right" vertical="top" shrinkToFit="1"/>
    </xf>
    <xf numFmtId="173" fontId="25" fillId="14" borderId="16" xfId="309">
      <alignment horizontal="right" vertical="top" shrinkToFit="1"/>
    </xf>
    <xf numFmtId="168" fontId="27" fillId="14" borderId="0" xfId="310">
      <alignment horizontal="right" vertical="top" shrinkToFit="1"/>
    </xf>
    <xf numFmtId="168" fontId="27" fillId="14" borderId="18" xfId="311">
      <alignment horizontal="right" vertical="top" shrinkToFit="1"/>
    </xf>
    <xf numFmtId="168" fontId="27" fillId="14" borderId="15" xfId="312">
      <alignment horizontal="right" vertical="top" shrinkToFit="1"/>
    </xf>
    <xf numFmtId="168" fontId="27" fillId="14" borderId="16" xfId="313">
      <alignment horizontal="right" vertical="top" shrinkToFit="1"/>
    </xf>
    <xf numFmtId="164" fontId="28" fillId="14" borderId="18" xfId="314">
      <alignment horizontal="right" vertical="top" shrinkToFit="1"/>
    </xf>
    <xf numFmtId="164" fontId="25" fillId="14" borderId="18" xfId="315">
      <alignment horizontal="right" vertical="top" shrinkToFit="1"/>
    </xf>
    <xf numFmtId="164" fontId="27" fillId="14" borderId="16" xfId="316">
      <alignment horizontal="right" vertical="top" shrinkToFit="1"/>
    </xf>
    <xf numFmtId="173" fontId="28" fillId="14" borderId="18" xfId="317">
      <alignment horizontal="right" vertical="top" shrinkToFit="1"/>
    </xf>
    <xf numFmtId="173" fontId="28" fillId="14" borderId="16" xfId="318">
      <alignment horizontal="right" vertical="top" shrinkToFit="1"/>
    </xf>
    <xf numFmtId="169" fontId="25" fillId="14" borderId="13" xfId="319">
      <alignment horizontal="right" vertical="top" shrinkToFit="1"/>
    </xf>
    <xf numFmtId="169" fontId="27" fillId="14" borderId="18" xfId="320">
      <alignment horizontal="right" vertical="top" shrinkToFit="1"/>
    </xf>
    <xf numFmtId="169" fontId="28" fillId="14" borderId="18" xfId="321">
      <alignment horizontal="right" vertical="top" shrinkToFit="1"/>
    </xf>
    <xf numFmtId="169" fontId="25" fillId="14" borderId="18" xfId="322">
      <alignment horizontal="right" vertical="top" shrinkToFit="1"/>
    </xf>
    <xf numFmtId="169" fontId="27" fillId="14" borderId="16" xfId="323">
      <alignment horizontal="right" vertical="top" shrinkToFit="1"/>
    </xf>
    <xf numFmtId="3" fontId="25" fillId="14" borderId="18" xfId="324">
      <alignment horizontal="right" vertical="top" shrinkToFit="1"/>
    </xf>
    <xf numFmtId="3" fontId="27" fillId="14" borderId="18" xfId="325">
      <alignment horizontal="right" vertical="top" shrinkToFit="1"/>
    </xf>
    <xf numFmtId="3" fontId="28" fillId="14" borderId="18" xfId="326">
      <alignment horizontal="right" vertical="top" shrinkToFit="1"/>
    </xf>
    <xf numFmtId="3" fontId="28" fillId="14" borderId="15" xfId="327">
      <alignment horizontal="right" vertical="top" shrinkToFit="1"/>
    </xf>
    <xf numFmtId="3" fontId="28" fillId="14" borderId="16" xfId="328">
      <alignment horizontal="right" vertical="top" shrinkToFit="1"/>
    </xf>
    <xf numFmtId="164" fontId="24" fillId="14" borderId="18" xfId="329">
      <alignment horizontal="right" vertical="top" shrinkToFit="1"/>
    </xf>
    <xf numFmtId="3" fontId="24" fillId="14" borderId="0" xfId="330">
      <alignment horizontal="right" vertical="top" shrinkToFit="1"/>
    </xf>
    <xf numFmtId="3" fontId="24" fillId="14" borderId="18" xfId="331">
      <alignment horizontal="right" vertical="top" shrinkToFit="1"/>
    </xf>
    <xf numFmtId="169" fontId="25" fillId="14" borderId="15" xfId="332">
      <alignment horizontal="right" vertical="top" shrinkToFit="1"/>
    </xf>
    <xf numFmtId="169" fontId="25" fillId="14" borderId="21" xfId="333">
      <alignment horizontal="right" vertical="top" shrinkToFit="1"/>
    </xf>
    <xf numFmtId="169" fontId="27" fillId="14" borderId="21" xfId="334">
      <alignment horizontal="right" vertical="top" shrinkToFit="1"/>
    </xf>
    <xf numFmtId="168" fontId="25" fillId="14" borderId="0" xfId="335">
      <alignment horizontal="right" vertical="top" shrinkToFit="1"/>
    </xf>
    <xf numFmtId="168" fontId="25" fillId="14" borderId="20" xfId="336">
      <alignment horizontal="right" vertical="top" shrinkToFit="1"/>
    </xf>
    <xf numFmtId="168" fontId="27" fillId="14" borderId="20" xfId="337">
      <alignment horizontal="right" vertical="top" shrinkToFit="1"/>
    </xf>
    <xf numFmtId="168" fontId="28" fillId="14" borderId="0" xfId="338">
      <alignment horizontal="right" vertical="top" shrinkToFit="1"/>
    </xf>
    <xf numFmtId="168" fontId="28" fillId="14" borderId="20" xfId="339">
      <alignment horizontal="right" vertical="top" shrinkToFit="1"/>
    </xf>
    <xf numFmtId="168" fontId="27" fillId="14" borderId="21" xfId="340">
      <alignment horizontal="right" vertical="top" shrinkToFit="1"/>
    </xf>
    <xf numFmtId="166" fontId="25" fillId="14" borderId="0" xfId="341">
      <alignment horizontal="right" vertical="top" shrinkToFit="1"/>
    </xf>
    <xf numFmtId="166" fontId="25" fillId="14" borderId="20" xfId="342">
      <alignment horizontal="right" vertical="top" shrinkToFit="1"/>
    </xf>
    <xf numFmtId="166" fontId="27" fillId="14" borderId="0" xfId="343">
      <alignment horizontal="right" vertical="top" shrinkToFit="1"/>
    </xf>
    <xf numFmtId="166" fontId="27" fillId="14" borderId="20" xfId="344">
      <alignment horizontal="right" vertical="top" shrinkToFit="1"/>
    </xf>
    <xf numFmtId="166" fontId="28" fillId="14" borderId="0" xfId="345">
      <alignment horizontal="right" vertical="top" shrinkToFit="1"/>
    </xf>
    <xf numFmtId="166" fontId="28" fillId="14" borderId="20" xfId="346">
      <alignment horizontal="right" vertical="top" shrinkToFit="1"/>
    </xf>
    <xf numFmtId="166" fontId="27" fillId="14" borderId="15" xfId="347">
      <alignment horizontal="right" vertical="top" shrinkToFit="1"/>
    </xf>
    <xf numFmtId="166" fontId="27" fillId="14" borderId="21" xfId="348">
      <alignment horizontal="right" vertical="top" shrinkToFit="1"/>
    </xf>
    <xf numFmtId="4" fontId="25" fillId="14" borderId="0" xfId="349">
      <alignment horizontal="right" vertical="top" shrinkToFit="1"/>
    </xf>
    <xf numFmtId="4" fontId="25" fillId="14" borderId="20" xfId="350">
      <alignment horizontal="right" vertical="top" shrinkToFit="1"/>
    </xf>
    <xf numFmtId="4" fontId="27" fillId="14" borderId="0" xfId="351">
      <alignment horizontal="right" vertical="top" shrinkToFit="1"/>
    </xf>
    <xf numFmtId="4" fontId="27" fillId="14" borderId="20" xfId="352">
      <alignment horizontal="right" vertical="top" shrinkToFit="1"/>
    </xf>
    <xf numFmtId="4" fontId="28" fillId="14" borderId="0" xfId="353">
      <alignment horizontal="right" vertical="top" shrinkToFit="1"/>
    </xf>
    <xf numFmtId="4" fontId="28" fillId="14" borderId="20" xfId="354">
      <alignment horizontal="right" vertical="top" shrinkToFit="1"/>
    </xf>
    <xf numFmtId="165" fontId="27" fillId="14" borderId="15" xfId="355">
      <alignment horizontal="right" vertical="top" shrinkToFit="1"/>
    </xf>
    <xf numFmtId="165" fontId="27" fillId="14" borderId="21" xfId="356">
      <alignment horizontal="right" vertical="top" shrinkToFit="1"/>
    </xf>
    <xf numFmtId="173" fontId="25" fillId="14" borderId="19" xfId="358">
      <alignment horizontal="right" vertical="top" shrinkToFit="1"/>
    </xf>
    <xf numFmtId="173" fontId="25" fillId="14" borderId="21" xfId="359">
      <alignment horizontal="right" vertical="top" shrinkToFit="1"/>
    </xf>
    <xf numFmtId="170" fontId="25" fillId="14" borderId="0" xfId="360">
      <alignment horizontal="right" vertical="top" shrinkToFit="1"/>
    </xf>
    <xf numFmtId="170" fontId="25" fillId="14" borderId="20" xfId="361">
      <alignment horizontal="right" vertical="top" shrinkToFit="1"/>
    </xf>
    <xf numFmtId="166" fontId="25" fillId="14" borderId="15" xfId="362">
      <alignment horizontal="right" vertical="top" shrinkToFit="1"/>
    </xf>
    <xf numFmtId="166" fontId="25" fillId="14" borderId="21" xfId="363">
      <alignment horizontal="right" vertical="top" shrinkToFit="1"/>
    </xf>
    <xf numFmtId="165" fontId="24" fillId="14" borderId="0" xfId="364">
      <alignment horizontal="right" vertical="top" shrinkToFit="1"/>
    </xf>
    <xf numFmtId="4" fontId="24" fillId="14" borderId="0" xfId="365">
      <alignment horizontal="right" vertical="top" shrinkToFit="1"/>
    </xf>
    <xf numFmtId="167" fontId="24" fillId="14" borderId="15" xfId="366">
      <alignment horizontal="right" vertical="top" shrinkToFit="1"/>
    </xf>
    <xf numFmtId="3" fontId="25" fillId="14" borderId="15" xfId="367">
      <alignment horizontal="right" vertical="top" shrinkToFit="1"/>
    </xf>
    <xf numFmtId="3" fontId="25" fillId="14" borderId="21" xfId="368">
      <alignment horizontal="right" vertical="top" shrinkToFit="1"/>
    </xf>
    <xf numFmtId="0" fontId="25" fillId="14" borderId="12" xfId="369">
      <alignment horizontal="left" vertical="top" shrinkToFit="1"/>
    </xf>
    <xf numFmtId="171" fontId="25" fillId="14" borderId="12" xfId="370">
      <alignment horizontal="right" vertical="top" shrinkToFit="1"/>
    </xf>
    <xf numFmtId="165" fontId="25" fillId="14" borderId="13" xfId="371">
      <alignment horizontal="right" vertical="top" shrinkToFit="1"/>
    </xf>
    <xf numFmtId="0" fontId="25" fillId="14" borderId="15" xfId="372">
      <alignment horizontal="left" vertical="top" shrinkToFit="1"/>
    </xf>
    <xf numFmtId="171" fontId="25" fillId="14" borderId="15" xfId="373">
      <alignment horizontal="right" vertical="top" shrinkToFit="1"/>
    </xf>
    <xf numFmtId="165" fontId="25" fillId="14" borderId="15" xfId="374">
      <alignment horizontal="right" vertical="top" shrinkToFit="1"/>
    </xf>
    <xf numFmtId="165" fontId="25" fillId="14" borderId="16" xfId="375">
      <alignment horizontal="right" vertical="top" shrinkToFit="1"/>
    </xf>
    <xf numFmtId="167" fontId="24" fillId="14" borderId="12" xfId="376">
      <alignment horizontal="right" vertical="top" shrinkToFit="1"/>
    </xf>
    <xf numFmtId="4" fontId="24" fillId="14" borderId="15" xfId="377">
      <alignment horizontal="right" vertical="top" shrinkToFit="1"/>
    </xf>
    <xf numFmtId="0" fontId="25" fillId="14" borderId="8" xfId="378">
      <alignment horizontal="left" vertical="top" shrinkToFit="1"/>
    </xf>
    <xf numFmtId="0" fontId="25" fillId="2" borderId="0" xfId="379">
      <alignment vertical="top" shrinkToFit="1"/>
    </xf>
    <xf numFmtId="0" fontId="28" fillId="2" borderId="0" xfId="380">
      <alignment vertical="top" shrinkToFit="1"/>
    </xf>
    <xf numFmtId="0" fontId="25" fillId="2" borderId="0" xfId="381">
      <alignment horizontal="right" vertical="top" shrinkToFit="1"/>
    </xf>
    <xf numFmtId="0" fontId="24" fillId="2" borderId="0" xfId="382">
      <alignment vertical="top" shrinkToFit="1"/>
    </xf>
    <xf numFmtId="0" fontId="28" fillId="14" borderId="8" xfId="383">
      <alignment vertical="top" shrinkToFit="1"/>
    </xf>
    <xf numFmtId="0" fontId="25" fillId="14" borderId="8" xfId="384">
      <alignment horizontal="right" vertical="top" shrinkToFit="1"/>
    </xf>
    <xf numFmtId="169" fontId="24" fillId="14" borderId="18" xfId="385">
      <alignment horizontal="right" vertical="top" shrinkToFit="1"/>
    </xf>
    <xf numFmtId="169" fontId="25" fillId="14" borderId="16" xfId="386">
      <alignment horizontal="right" vertical="top" shrinkToFit="1"/>
    </xf>
    <xf numFmtId="164" fontId="25" fillId="14" borderId="9" xfId="387">
      <alignment horizontal="right" vertical="top" shrinkToFit="1"/>
    </xf>
    <xf numFmtId="165" fontId="27" fillId="14" borderId="18" xfId="388">
      <alignment horizontal="right" vertical="top" shrinkToFit="1"/>
    </xf>
    <xf numFmtId="165" fontId="25" fillId="14" borderId="18" xfId="389">
      <alignment horizontal="right" vertical="top" shrinkToFit="1"/>
    </xf>
    <xf numFmtId="165" fontId="25" fillId="14" borderId="9" xfId="390">
      <alignment horizontal="right" vertical="top" shrinkToFit="1"/>
    </xf>
    <xf numFmtId="173" fontId="25" fillId="14" borderId="8" xfId="391">
      <alignment horizontal="right" vertical="top" shrinkToFit="1"/>
    </xf>
    <xf numFmtId="173" fontId="25" fillId="14" borderId="9" xfId="392">
      <alignment horizontal="right" vertical="top" shrinkToFit="1"/>
    </xf>
    <xf numFmtId="173" fontId="27" fillId="14" borderId="15" xfId="393">
      <alignment horizontal="right" vertical="top" shrinkToFit="1"/>
    </xf>
    <xf numFmtId="173" fontId="27" fillId="14" borderId="16" xfId="394">
      <alignment horizontal="right" vertical="top" shrinkToFit="1"/>
    </xf>
    <xf numFmtId="164" fontId="28" fillId="14" borderId="16" xfId="395">
      <alignment horizontal="right" vertical="top" shrinkToFit="1"/>
    </xf>
    <xf numFmtId="3" fontId="25" fillId="14" borderId="8" xfId="396">
      <alignment horizontal="right" vertical="top" shrinkToFit="1"/>
    </xf>
    <xf numFmtId="3" fontId="25" fillId="14" borderId="9" xfId="397">
      <alignment horizontal="right" vertical="top" shrinkToFit="1"/>
    </xf>
    <xf numFmtId="3" fontId="27" fillId="14" borderId="15" xfId="398">
      <alignment horizontal="right" vertical="top" shrinkToFit="1"/>
    </xf>
    <xf numFmtId="3" fontId="27" fillId="14" borderId="16" xfId="399">
      <alignment horizontal="right" vertical="top" shrinkToFit="1"/>
    </xf>
    <xf numFmtId="171" fontId="25" fillId="14" borderId="8" xfId="400">
      <alignment horizontal="right" vertical="top" shrinkToFit="1"/>
    </xf>
    <xf numFmtId="171" fontId="25" fillId="14" borderId="9" xfId="401">
      <alignment horizontal="right" vertical="top" shrinkToFit="1"/>
    </xf>
    <xf numFmtId="0" fontId="25" fillId="14" borderId="13" xfId="402">
      <alignment horizontal="left" vertical="top" shrinkToFit="1"/>
    </xf>
    <xf numFmtId="0" fontId="25" fillId="14" borderId="16" xfId="403">
      <alignment horizontal="left" vertical="top" shrinkToFit="1"/>
    </xf>
    <xf numFmtId="4" fontId="25" fillId="14" borderId="8" xfId="404">
      <alignment horizontal="right" vertical="top" shrinkToFit="1"/>
    </xf>
    <xf numFmtId="4" fontId="25" fillId="14" borderId="9" xfId="405">
      <alignment horizontal="right" vertical="top" shrinkToFit="1"/>
    </xf>
    <xf numFmtId="168" fontId="25" fillId="14" borderId="12" xfId="406">
      <alignment horizontal="right" vertical="top" shrinkToFit="1"/>
    </xf>
    <xf numFmtId="168" fontId="25" fillId="14" borderId="13" xfId="407">
      <alignment horizontal="right" vertical="top" shrinkToFit="1"/>
    </xf>
    <xf numFmtId="168" fontId="25" fillId="14" borderId="15" xfId="408">
      <alignment horizontal="right" vertical="top" shrinkToFit="1"/>
    </xf>
    <xf numFmtId="168" fontId="25" fillId="14" borderId="16" xfId="409">
      <alignment horizontal="right" vertical="top" shrinkToFit="1"/>
    </xf>
    <xf numFmtId="169" fontId="25" fillId="14" borderId="8" xfId="410">
      <alignment horizontal="right" vertical="top" shrinkToFit="1"/>
    </xf>
    <xf numFmtId="169" fontId="25" fillId="14" borderId="10" xfId="411">
      <alignment horizontal="right" vertical="top" shrinkToFit="1"/>
    </xf>
    <xf numFmtId="4" fontId="25" fillId="14" borderId="13" xfId="412">
      <alignment horizontal="right" vertical="top" shrinkToFit="1"/>
    </xf>
    <xf numFmtId="4" fontId="25" fillId="14" borderId="18" xfId="413">
      <alignment horizontal="right" vertical="top" shrinkToFit="1"/>
    </xf>
    <xf numFmtId="4" fontId="25" fillId="14" borderId="16" xfId="414">
      <alignment horizontal="right" vertical="top" shrinkToFit="1"/>
    </xf>
    <xf numFmtId="167" fontId="25" fillId="14" borderId="8" xfId="415">
      <alignment horizontal="right" vertical="top" shrinkToFit="1"/>
    </xf>
    <xf numFmtId="167" fontId="25" fillId="14" borderId="10" xfId="416">
      <alignment horizontal="right" vertical="top" shrinkToFit="1"/>
    </xf>
    <xf numFmtId="3" fontId="25" fillId="14" borderId="10" xfId="417">
      <alignment horizontal="right" vertical="top" shrinkToFit="1"/>
    </xf>
    <xf numFmtId="3" fontId="27" fillId="14" borderId="21" xfId="418">
      <alignment horizontal="right" vertical="top" shrinkToFit="1"/>
    </xf>
    <xf numFmtId="168" fontId="28" fillId="14" borderId="18" xfId="419">
      <alignment horizontal="right" vertical="top" shrinkToFit="1"/>
    </xf>
    <xf numFmtId="168" fontId="24" fillId="14" borderId="0" xfId="420">
      <alignment horizontal="right" vertical="top" shrinkToFit="1"/>
    </xf>
    <xf numFmtId="168" fontId="24" fillId="14" borderId="18" xfId="421">
      <alignment horizontal="right" vertical="top" shrinkToFit="1"/>
    </xf>
    <xf numFmtId="168" fontId="25" fillId="14" borderId="18" xfId="422">
      <alignment horizontal="right" vertical="top" shrinkToFit="1"/>
    </xf>
    <xf numFmtId="168" fontId="25" fillId="14" borderId="8" xfId="423">
      <alignment horizontal="right" vertical="top" shrinkToFit="1"/>
    </xf>
    <xf numFmtId="168" fontId="25" fillId="14" borderId="9" xfId="424">
      <alignment horizontal="right" vertical="top" shrinkToFit="1"/>
    </xf>
    <xf numFmtId="168" fontId="28" fillId="14" borderId="15" xfId="425">
      <alignment horizontal="right" vertical="top" shrinkToFit="1"/>
    </xf>
    <xf numFmtId="168" fontId="28" fillId="14" borderId="16" xfId="426">
      <alignment horizontal="right" vertical="top" shrinkToFit="1"/>
    </xf>
    <xf numFmtId="167" fontId="25" fillId="14" borderId="13" xfId="427">
      <alignment horizontal="right" vertical="top" shrinkToFit="1"/>
    </xf>
    <xf numFmtId="167" fontId="27" fillId="14" borderId="18" xfId="428">
      <alignment horizontal="right" vertical="top" shrinkToFit="1"/>
    </xf>
    <xf numFmtId="167" fontId="28" fillId="14" borderId="18" xfId="429">
      <alignment horizontal="right" vertical="top" shrinkToFit="1"/>
    </xf>
    <xf numFmtId="167" fontId="24" fillId="14" borderId="18" xfId="430">
      <alignment horizontal="right" vertical="top" shrinkToFit="1"/>
    </xf>
    <xf numFmtId="167" fontId="25" fillId="14" borderId="18" xfId="431">
      <alignment horizontal="right" vertical="top" shrinkToFit="1"/>
    </xf>
    <xf numFmtId="167" fontId="25" fillId="14" borderId="9" xfId="432">
      <alignment horizontal="right" vertical="top" shrinkToFit="1"/>
    </xf>
    <xf numFmtId="167" fontId="28" fillId="14" borderId="16" xfId="433">
      <alignment horizontal="right" vertical="top" shrinkToFit="1"/>
    </xf>
    <xf numFmtId="165" fontId="28" fillId="14" borderId="18" xfId="434">
      <alignment horizontal="right" vertical="top" shrinkToFit="1"/>
    </xf>
    <xf numFmtId="165" fontId="27" fillId="14" borderId="16" xfId="435">
      <alignment horizontal="right" vertical="top" shrinkToFit="1"/>
    </xf>
    <xf numFmtId="165" fontId="24" fillId="14" borderId="18" xfId="436">
      <alignment horizontal="right" vertical="top" shrinkToFit="1"/>
    </xf>
    <xf numFmtId="165" fontId="28" fillId="14" borderId="15" xfId="437">
      <alignment horizontal="right" vertical="top" shrinkToFit="1"/>
    </xf>
    <xf numFmtId="165" fontId="28" fillId="14" borderId="16" xfId="438">
      <alignment horizontal="right" vertical="top" shrinkToFit="1"/>
    </xf>
    <xf numFmtId="169" fontId="25" fillId="14" borderId="9" xfId="439">
      <alignment horizontal="right" vertical="top" shrinkToFit="1"/>
    </xf>
    <xf numFmtId="167" fontId="25" fillId="14" borderId="16" xfId="440">
      <alignment horizontal="right" vertical="top" shrinkToFit="1"/>
    </xf>
    <xf numFmtId="168" fontId="25" fillId="14" borderId="19" xfId="441">
      <alignment horizontal="right" vertical="top" shrinkToFit="1"/>
    </xf>
    <xf numFmtId="168" fontId="25" fillId="14" borderId="10" xfId="442">
      <alignment horizontal="right" vertical="top" shrinkToFit="1"/>
    </xf>
    <xf numFmtId="4" fontId="27" fillId="14" borderId="18" xfId="443">
      <alignment horizontal="right" vertical="top" shrinkToFit="1"/>
    </xf>
    <xf numFmtId="3" fontId="25" fillId="15" borderId="18" xfId="444">
      <alignment horizontal="right" vertical="top" shrinkToFit="1"/>
      <protection locked="0"/>
    </xf>
    <xf numFmtId="165" fontId="25" fillId="14" borderId="21" xfId="445">
      <alignment horizontal="right" vertical="top" shrinkToFit="1"/>
    </xf>
    <xf numFmtId="0" fontId="25" fillId="14" borderId="22" xfId="446">
      <alignment horizontal="left" vertical="top" shrinkToFit="1"/>
    </xf>
    <xf numFmtId="171" fontId="24" fillId="15" borderId="22" xfId="447">
      <alignment horizontal="right" vertical="top" shrinkToFit="1"/>
      <protection locked="0"/>
    </xf>
    <xf numFmtId="0" fontId="25" fillId="14" borderId="23" xfId="448">
      <alignment horizontal="left" vertical="top" shrinkToFit="1"/>
    </xf>
    <xf numFmtId="0" fontId="24" fillId="15" borderId="22" xfId="450">
      <alignment vertical="top" shrinkToFit="1"/>
      <protection locked="0"/>
    </xf>
    <xf numFmtId="0" fontId="24" fillId="14" borderId="22" xfId="449">
      <alignment vertical="top" shrinkToFit="1"/>
    </xf>
    <xf numFmtId="0" fontId="25" fillId="15" borderId="22" xfId="451">
      <alignment vertical="top" shrinkToFit="1"/>
      <protection locked="0"/>
    </xf>
    <xf numFmtId="0" fontId="27" fillId="15" borderId="22" xfId="452">
      <alignment vertical="top" shrinkToFit="1"/>
      <protection locked="0"/>
    </xf>
    <xf numFmtId="0" fontId="28" fillId="15" borderId="22" xfId="453">
      <alignment vertical="top" shrinkToFit="1"/>
      <protection locked="0"/>
    </xf>
    <xf numFmtId="164" fontId="0" fillId="0" borderId="0" xfId="0" applyNumberFormat="1">
      <alignment vertical="center"/>
    </xf>
    <xf numFmtId="165" fontId="0" fillId="0" borderId="0" xfId="0" applyNumberFormat="1">
      <alignment vertical="center"/>
    </xf>
    <xf numFmtId="0" fontId="0" fillId="0" borderId="0" xfId="0" applyNumberFormat="1">
      <alignment vertical="center"/>
    </xf>
    <xf numFmtId="173" fontId="0" fillId="0" borderId="0" xfId="0" applyNumberFormat="1">
      <alignment vertical="center"/>
    </xf>
    <xf numFmtId="169" fontId="0" fillId="0" borderId="0" xfId="0" applyNumberFormat="1">
      <alignment vertical="center"/>
    </xf>
    <xf numFmtId="3" fontId="0" fillId="0" borderId="0" xfId="0" applyNumberFormat="1">
      <alignment vertical="center"/>
    </xf>
    <xf numFmtId="0" fontId="0" fillId="0" borderId="0" xfId="0" quotePrefix="1">
      <alignment vertical="center"/>
    </xf>
    <xf numFmtId="0" fontId="25" fillId="14" borderId="23" xfId="448" applyAlignment="1">
      <alignment horizontal="left" vertical="top" wrapText="1" shrinkToFit="1"/>
    </xf>
    <xf numFmtId="0" fontId="24" fillId="15" borderId="22" xfId="450" applyAlignment="1">
      <alignment vertical="top" wrapText="1" shrinkToFit="1"/>
      <protection locked="0"/>
    </xf>
    <xf numFmtId="0" fontId="0" fillId="0" borderId="0" xfId="0" applyAlignment="1">
      <alignment vertical="center" wrapText="1"/>
    </xf>
    <xf numFmtId="0" fontId="32" fillId="0" borderId="27" xfId="0" applyFont="1" applyBorder="1" applyAlignment="1">
      <alignment horizontal="left" vertical="center" wrapText="1" indent="4"/>
    </xf>
    <xf numFmtId="0" fontId="0" fillId="0" borderId="27" xfId="0" applyBorder="1">
      <alignment vertical="center"/>
    </xf>
    <xf numFmtId="0" fontId="33" fillId="0" borderId="27" xfId="0" applyFont="1" applyBorder="1" applyAlignment="1">
      <alignment horizontal="center" vertical="center" wrapText="1"/>
    </xf>
    <xf numFmtId="0" fontId="34" fillId="0" borderId="27" xfId="0" applyFont="1" applyBorder="1" applyAlignment="1">
      <alignment vertical="center" wrapText="1"/>
    </xf>
    <xf numFmtId="0" fontId="35" fillId="0" borderId="27" xfId="0" applyFont="1" applyBorder="1" applyAlignment="1">
      <alignment vertical="center" wrapText="1"/>
    </xf>
    <xf numFmtId="0" fontId="0" fillId="0" borderId="27" xfId="0" applyFont="1" applyBorder="1">
      <alignment vertical="center"/>
    </xf>
    <xf numFmtId="0" fontId="0" fillId="0" borderId="27" xfId="0" applyFont="1" applyBorder="1" applyAlignment="1">
      <alignment vertical="center" wrapText="1"/>
    </xf>
    <xf numFmtId="0" fontId="0" fillId="0" borderId="27" xfId="0" applyBorder="1" applyAlignment="1">
      <alignment vertical="center" wrapText="1"/>
    </xf>
    <xf numFmtId="0" fontId="38" fillId="0" borderId="27" xfId="502" applyBorder="1" applyAlignment="1" applyProtection="1">
      <alignment vertical="center" wrapText="1"/>
    </xf>
    <xf numFmtId="0" fontId="39" fillId="0" borderId="27" xfId="0" applyFont="1" applyBorder="1" applyAlignment="1">
      <alignment vertical="center" wrapText="1"/>
    </xf>
    <xf numFmtId="0" fontId="37" fillId="0" borderId="27" xfId="0" applyFont="1" applyBorder="1" applyAlignment="1">
      <alignment vertical="center" wrapText="1"/>
    </xf>
    <xf numFmtId="0" fontId="0" fillId="0" borderId="27" xfId="0" applyBorder="1" applyAlignment="1">
      <alignment horizontal="left" vertical="center" wrapText="1" indent="1"/>
    </xf>
    <xf numFmtId="0" fontId="0" fillId="0" borderId="27" xfId="0" applyBorder="1" applyAlignment="1">
      <alignment horizontal="left" vertical="center" wrapText="1" indent="2"/>
    </xf>
    <xf numFmtId="0" fontId="38" fillId="0" borderId="27" xfId="502" applyBorder="1" applyAlignment="1" applyProtection="1">
      <alignment horizontal="left" vertical="center" wrapText="1" indent="1"/>
    </xf>
    <xf numFmtId="0" fontId="1" fillId="0" borderId="27" xfId="503" applyFont="1" applyBorder="1" applyAlignment="1">
      <alignment horizontal="left" vertical="center" wrapText="1" indent="1"/>
    </xf>
    <xf numFmtId="0" fontId="0" fillId="0" borderId="0" xfId="0" applyBorder="1" applyAlignment="1">
      <alignment vertical="center" wrapText="1"/>
    </xf>
    <xf numFmtId="0" fontId="1" fillId="0" borderId="27" xfId="503" applyNumberFormat="1" applyFont="1" applyBorder="1" applyAlignment="1">
      <alignment vertical="center" wrapText="1"/>
    </xf>
    <xf numFmtId="0" fontId="1" fillId="0" borderId="27" xfId="503" applyFont="1" applyBorder="1" applyAlignment="1">
      <alignment vertical="center" wrapText="1"/>
    </xf>
    <xf numFmtId="0" fontId="1" fillId="0" borderId="27" xfId="503" applyFont="1" applyBorder="1" applyAlignment="1">
      <alignment vertical="top" wrapText="1"/>
    </xf>
    <xf numFmtId="0" fontId="0" fillId="0" borderId="27" xfId="0" applyNumberFormat="1" applyBorder="1" applyAlignment="1">
      <alignment horizontal="left" vertical="center" wrapText="1"/>
    </xf>
    <xf numFmtId="0" fontId="38" fillId="0" borderId="0" xfId="502" applyBorder="1" applyAlignment="1" applyProtection="1">
      <alignment vertical="center" wrapText="1"/>
    </xf>
    <xf numFmtId="0" fontId="0" fillId="16" borderId="10" xfId="0" applyFill="1" applyBorder="1" applyAlignment="1">
      <alignment vertical="center" wrapText="1"/>
    </xf>
    <xf numFmtId="0" fontId="0" fillId="0" borderId="29" xfId="0" applyBorder="1" applyAlignment="1">
      <alignment vertical="center" wrapText="1"/>
    </xf>
    <xf numFmtId="0" fontId="0" fillId="0" borderId="30" xfId="0" applyBorder="1" applyAlignment="1">
      <alignment horizontal="left" vertical="center" wrapText="1" indent="1"/>
    </xf>
    <xf numFmtId="0" fontId="0" fillId="0" borderId="30" xfId="0" applyBorder="1" applyAlignment="1">
      <alignment vertical="center" wrapText="1"/>
    </xf>
    <xf numFmtId="0" fontId="43" fillId="0" borderId="27" xfId="0" applyFont="1" applyBorder="1" applyAlignment="1">
      <alignment horizontal="left" vertical="center" wrapText="1" indent="1"/>
    </xf>
    <xf numFmtId="0" fontId="0" fillId="0" borderId="31" xfId="0" applyBorder="1" applyAlignment="1">
      <alignment vertical="center" wrapText="1"/>
    </xf>
    <xf numFmtId="0" fontId="42" fillId="0" borderId="27" xfId="0" applyFont="1" applyBorder="1" applyAlignment="1">
      <alignment vertical="center" wrapText="1"/>
    </xf>
    <xf numFmtId="0" fontId="0" fillId="0" borderId="0" xfId="0" applyBorder="1">
      <alignment vertical="center"/>
    </xf>
    <xf numFmtId="0" fontId="39" fillId="0" borderId="28" xfId="0" applyFont="1" applyBorder="1" applyAlignment="1">
      <alignment vertical="center" wrapText="1"/>
    </xf>
    <xf numFmtId="0" fontId="0" fillId="0" borderId="28" xfId="0" applyBorder="1">
      <alignment vertical="center"/>
    </xf>
    <xf numFmtId="0" fontId="0" fillId="0" borderId="28" xfId="0" applyBorder="1" applyAlignment="1">
      <alignment vertical="center" wrapText="1"/>
    </xf>
    <xf numFmtId="0" fontId="38" fillId="0" borderId="0" xfId="502" applyAlignment="1" applyProtection="1">
      <alignment horizontal="center" vertical="center"/>
    </xf>
    <xf numFmtId="0" fontId="38" fillId="0" borderId="27" xfId="502" applyBorder="1" applyAlignment="1" applyProtection="1">
      <alignment horizontal="center" vertical="center" wrapText="1"/>
    </xf>
    <xf numFmtId="0" fontId="24" fillId="14" borderId="0" xfId="37">
      <alignment vertical="top" shrinkToFit="1"/>
    </xf>
    <xf numFmtId="0" fontId="23" fillId="14" borderId="0" xfId="36">
      <alignment vertical="top" shrinkToFit="1"/>
    </xf>
    <xf numFmtId="0" fontId="26" fillId="14" borderId="0" xfId="42">
      <alignment vertical="top" shrinkToFit="1"/>
    </xf>
    <xf numFmtId="0" fontId="25" fillId="14" borderId="0" xfId="56">
      <alignment vertical="top" shrinkToFit="1"/>
    </xf>
    <xf numFmtId="0" fontId="30" fillId="14" borderId="0" xfId="357">
      <alignment vertical="top" shrinkToFit="1"/>
    </xf>
  </cellXfs>
  <cellStyles count="504">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Hyperlink" xfId="502" builtinId="8"/>
    <cellStyle name="Input" xfId="34" builtinId="20" customBuiltin="1"/>
    <cellStyle name="Linked Cell" xfId="35" builtinId="24" customBuiltin="1"/>
    <cellStyle name="MSSStyle001" xfId="36"/>
    <cellStyle name="MSSStyle002" xfId="37"/>
    <cellStyle name="MSSStyle003" xfId="38"/>
    <cellStyle name="MSSStyle004" xfId="39"/>
    <cellStyle name="MSSStyle005" xfId="40"/>
    <cellStyle name="MSSStyle006" xfId="41"/>
    <cellStyle name="MSSStyle007" xfId="42"/>
    <cellStyle name="MSSStyle008" xfId="43"/>
    <cellStyle name="MSSStyle009" xfId="44"/>
    <cellStyle name="MSSStyle010" xfId="45"/>
    <cellStyle name="MSSStyle011" xfId="46"/>
    <cellStyle name="MSSStyle012" xfId="47"/>
    <cellStyle name="MSSStyle013" xfId="48"/>
    <cellStyle name="MSSStyle014" xfId="49"/>
    <cellStyle name="MSSStyle015" xfId="50"/>
    <cellStyle name="MSSStyle016" xfId="51"/>
    <cellStyle name="MSSStyle017" xfId="52"/>
    <cellStyle name="MSSStyle018" xfId="53"/>
    <cellStyle name="MSSStyle019" xfId="54"/>
    <cellStyle name="MSSStyle020" xfId="55"/>
    <cellStyle name="MSSStyle021" xfId="56"/>
    <cellStyle name="MSSStyle022" xfId="57"/>
    <cellStyle name="MSSStyle023" xfId="58"/>
    <cellStyle name="MSSStyle024" xfId="59"/>
    <cellStyle name="MSSStyle025" xfId="60"/>
    <cellStyle name="MSSStyle026" xfId="61"/>
    <cellStyle name="MSSStyle027" xfId="62"/>
    <cellStyle name="MSSStyle028" xfId="63"/>
    <cellStyle name="MSSStyle029" xfId="64"/>
    <cellStyle name="MSSStyle030" xfId="65"/>
    <cellStyle name="MSSStyle031" xfId="66"/>
    <cellStyle name="MSSStyle032" xfId="67"/>
    <cellStyle name="MSSStyle033" xfId="68"/>
    <cellStyle name="MSSStyle034" xfId="69"/>
    <cellStyle name="MSSStyle035" xfId="70"/>
    <cellStyle name="MSSStyle036" xfId="71"/>
    <cellStyle name="MSSStyle037" xfId="72"/>
    <cellStyle name="MSSStyle038" xfId="73"/>
    <cellStyle name="MSSStyle039" xfId="74"/>
    <cellStyle name="MSSStyle040" xfId="75"/>
    <cellStyle name="MSSStyle041" xfId="76"/>
    <cellStyle name="MSSStyle042" xfId="77"/>
    <cellStyle name="MSSStyle043" xfId="78"/>
    <cellStyle name="MSSStyle044" xfId="79"/>
    <cellStyle name="MSSStyle045" xfId="80"/>
    <cellStyle name="MSSStyle046" xfId="81"/>
    <cellStyle name="MSSStyle047" xfId="82"/>
    <cellStyle name="MSSStyle048" xfId="83"/>
    <cellStyle name="MSSStyle049" xfId="84"/>
    <cellStyle name="MSSStyle050" xfId="85"/>
    <cellStyle name="MSSStyle051" xfId="86"/>
    <cellStyle name="MSSStyle052" xfId="87"/>
    <cellStyle name="MSSStyle053" xfId="88"/>
    <cellStyle name="MSSStyle054" xfId="89"/>
    <cellStyle name="MSSStyle055" xfId="90"/>
    <cellStyle name="MSSStyle056" xfId="91"/>
    <cellStyle name="MSSStyle057" xfId="92"/>
    <cellStyle name="MSSStyle058" xfId="93"/>
    <cellStyle name="MSSStyle059" xfId="94"/>
    <cellStyle name="MSSStyle060" xfId="95"/>
    <cellStyle name="MSSStyle061" xfId="96"/>
    <cellStyle name="MSSStyle062" xfId="97"/>
    <cellStyle name="MSSStyle063" xfId="98"/>
    <cellStyle name="MSSStyle064" xfId="99"/>
    <cellStyle name="MSSStyle065" xfId="100"/>
    <cellStyle name="MSSStyle066" xfId="101"/>
    <cellStyle name="MSSStyle067" xfId="102"/>
    <cellStyle name="MSSStyle068" xfId="103"/>
    <cellStyle name="MSSStyle069" xfId="104"/>
    <cellStyle name="MSSStyle070" xfId="105"/>
    <cellStyle name="MSSStyle071" xfId="106"/>
    <cellStyle name="MSSStyle072" xfId="107"/>
    <cellStyle name="MSSStyle073" xfId="108"/>
    <cellStyle name="MSSStyle074" xfId="109"/>
    <cellStyle name="MSSStyle075" xfId="110"/>
    <cellStyle name="MSSStyle076" xfId="111"/>
    <cellStyle name="MSSStyle077" xfId="112"/>
    <cellStyle name="MSSStyle078" xfId="113"/>
    <cellStyle name="MSSStyle079" xfId="114"/>
    <cellStyle name="MSSStyle080" xfId="115"/>
    <cellStyle name="MSSStyle081" xfId="116"/>
    <cellStyle name="MSSStyle082" xfId="117"/>
    <cellStyle name="MSSStyle083" xfId="118"/>
    <cellStyle name="MSSStyle084" xfId="119"/>
    <cellStyle name="MSSStyle085" xfId="120"/>
    <cellStyle name="MSSStyle086" xfId="121"/>
    <cellStyle name="MSSStyle087" xfId="122"/>
    <cellStyle name="MSSStyle088" xfId="123"/>
    <cellStyle name="MSSStyle089" xfId="124"/>
    <cellStyle name="MSSStyle090" xfId="125"/>
    <cellStyle name="MSSStyle091" xfId="126"/>
    <cellStyle name="MSSStyle092" xfId="127"/>
    <cellStyle name="MSSStyle093" xfId="128"/>
    <cellStyle name="MSSStyle094" xfId="129"/>
    <cellStyle name="MSSStyle095" xfId="130"/>
    <cellStyle name="MSSStyle096" xfId="131"/>
    <cellStyle name="MSSStyle097" xfId="132"/>
    <cellStyle name="MSSStyle098" xfId="133"/>
    <cellStyle name="MSSStyle099" xfId="134"/>
    <cellStyle name="MSSStyle100" xfId="135"/>
    <cellStyle name="MSSStyle101" xfId="136"/>
    <cellStyle name="MSSStyle102" xfId="137"/>
    <cellStyle name="MSSStyle103" xfId="138"/>
    <cellStyle name="MSSStyle104" xfId="139"/>
    <cellStyle name="MSSStyle105" xfId="140"/>
    <cellStyle name="MSSStyle106" xfId="141"/>
    <cellStyle name="MSSStyle107" xfId="142"/>
    <cellStyle name="MSSStyle108" xfId="143"/>
    <cellStyle name="MSSStyle109" xfId="144"/>
    <cellStyle name="MSSStyle110" xfId="145"/>
    <cellStyle name="MSSStyle111" xfId="146"/>
    <cellStyle name="MSSStyle112" xfId="147"/>
    <cellStyle name="MSSStyle113" xfId="148"/>
    <cellStyle name="MSSStyle114" xfId="149"/>
    <cellStyle name="MSSStyle115" xfId="150"/>
    <cellStyle name="MSSStyle116" xfId="151"/>
    <cellStyle name="MSSStyle117" xfId="152"/>
    <cellStyle name="MSSStyle118" xfId="153"/>
    <cellStyle name="MSSStyle119" xfId="154"/>
    <cellStyle name="MSSStyle120" xfId="155"/>
    <cellStyle name="MSSStyle121" xfId="156"/>
    <cellStyle name="MSSStyle122" xfId="157"/>
    <cellStyle name="MSSStyle123" xfId="158"/>
    <cellStyle name="MSSStyle124" xfId="159"/>
    <cellStyle name="MSSStyle125" xfId="160"/>
    <cellStyle name="MSSStyle126" xfId="161"/>
    <cellStyle name="MSSStyle127" xfId="162"/>
    <cellStyle name="MSSStyle128" xfId="163"/>
    <cellStyle name="MSSStyle129" xfId="164"/>
    <cellStyle name="MSSStyle130" xfId="165"/>
    <cellStyle name="MSSStyle131" xfId="166"/>
    <cellStyle name="MSSStyle132" xfId="167"/>
    <cellStyle name="MSSStyle133" xfId="168"/>
    <cellStyle name="MSSStyle134" xfId="169"/>
    <cellStyle name="MSSStyle135" xfId="170"/>
    <cellStyle name="MSSStyle136" xfId="171"/>
    <cellStyle name="MSSStyle137" xfId="172"/>
    <cellStyle name="MSSStyle138" xfId="173"/>
    <cellStyle name="MSSStyle139" xfId="174"/>
    <cellStyle name="MSSStyle140" xfId="175"/>
    <cellStyle name="MSSStyle141" xfId="176"/>
    <cellStyle name="MSSStyle142" xfId="177"/>
    <cellStyle name="MSSStyle143" xfId="178"/>
    <cellStyle name="MSSStyle144" xfId="179"/>
    <cellStyle name="MSSStyle145" xfId="180"/>
    <cellStyle name="MSSStyle146" xfId="181"/>
    <cellStyle name="MSSStyle147" xfId="182"/>
    <cellStyle name="MSSStyle148" xfId="183"/>
    <cellStyle name="MSSStyle149" xfId="184"/>
    <cellStyle name="MSSStyle150" xfId="185"/>
    <cellStyle name="MSSStyle151" xfId="186"/>
    <cellStyle name="MSSStyle152" xfId="187"/>
    <cellStyle name="MSSStyle153" xfId="188"/>
    <cellStyle name="MSSStyle154" xfId="189"/>
    <cellStyle name="MSSStyle155" xfId="190"/>
    <cellStyle name="MSSStyle156" xfId="191"/>
    <cellStyle name="MSSStyle157" xfId="192"/>
    <cellStyle name="MSSStyle158" xfId="193"/>
    <cellStyle name="MSSStyle159" xfId="194"/>
    <cellStyle name="MSSStyle160" xfId="195"/>
    <cellStyle name="MSSStyle161" xfId="196"/>
    <cellStyle name="MSSStyle162" xfId="197"/>
    <cellStyle name="MSSStyle163" xfId="198"/>
    <cellStyle name="MSSStyle164" xfId="199"/>
    <cellStyle name="MSSStyle165" xfId="200"/>
    <cellStyle name="MSSStyle166" xfId="201"/>
    <cellStyle name="MSSStyle167" xfId="202"/>
    <cellStyle name="MSSStyle168" xfId="203"/>
    <cellStyle name="MSSStyle169" xfId="204"/>
    <cellStyle name="MSSStyle170" xfId="205"/>
    <cellStyle name="MSSStyle171" xfId="206"/>
    <cellStyle name="MSSStyle172" xfId="207"/>
    <cellStyle name="MSSStyle173" xfId="208"/>
    <cellStyle name="MSSStyle174" xfId="209"/>
    <cellStyle name="MSSStyle175" xfId="210"/>
    <cellStyle name="MSSStyle176" xfId="211"/>
    <cellStyle name="MSSStyle177" xfId="212"/>
    <cellStyle name="MSSStyle178" xfId="213"/>
    <cellStyle name="MSSStyle179" xfId="214"/>
    <cellStyle name="MSSStyle180" xfId="215"/>
    <cellStyle name="MSSStyle181" xfId="216"/>
    <cellStyle name="MSSStyle182" xfId="217"/>
    <cellStyle name="MSSStyle183" xfId="218"/>
    <cellStyle name="MSSStyle184" xfId="219"/>
    <cellStyle name="MSSStyle185" xfId="220"/>
    <cellStyle name="MSSStyle186" xfId="221"/>
    <cellStyle name="MSSStyle187" xfId="222"/>
    <cellStyle name="MSSStyle188" xfId="223"/>
    <cellStyle name="MSSStyle189" xfId="224"/>
    <cellStyle name="MSSStyle190" xfId="225"/>
    <cellStyle name="MSSStyle191" xfId="226"/>
    <cellStyle name="MSSStyle192" xfId="227"/>
    <cellStyle name="MSSStyle193" xfId="228"/>
    <cellStyle name="MSSStyle194" xfId="229"/>
    <cellStyle name="MSSStyle195" xfId="230"/>
    <cellStyle name="MSSStyle196" xfId="231"/>
    <cellStyle name="MSSStyle197" xfId="232"/>
    <cellStyle name="MSSStyle198" xfId="233"/>
    <cellStyle name="MSSStyle199" xfId="234"/>
    <cellStyle name="MSSStyle200" xfId="235"/>
    <cellStyle name="MSSStyle201" xfId="236"/>
    <cellStyle name="MSSStyle202" xfId="237"/>
    <cellStyle name="MSSStyle203" xfId="238"/>
    <cellStyle name="MSSStyle204" xfId="239"/>
    <cellStyle name="MSSStyle205" xfId="240"/>
    <cellStyle name="MSSStyle206" xfId="241"/>
    <cellStyle name="MSSStyle207" xfId="242"/>
    <cellStyle name="MSSStyle208" xfId="243"/>
    <cellStyle name="MSSStyle209" xfId="244"/>
    <cellStyle name="MSSStyle210" xfId="245"/>
    <cellStyle name="MSSStyle211" xfId="246"/>
    <cellStyle name="MSSStyle212" xfId="247"/>
    <cellStyle name="MSSStyle213" xfId="248"/>
    <cellStyle name="MSSStyle214" xfId="249"/>
    <cellStyle name="MSSStyle215" xfId="250"/>
    <cellStyle name="MSSStyle216" xfId="251"/>
    <cellStyle name="MSSStyle217" xfId="252"/>
    <cellStyle name="MSSStyle218" xfId="253"/>
    <cellStyle name="MSSStyle219" xfId="254"/>
    <cellStyle name="MSSStyle220" xfId="255"/>
    <cellStyle name="MSSStyle221" xfId="256"/>
    <cellStyle name="MSSStyle222" xfId="257"/>
    <cellStyle name="MSSStyle223" xfId="258"/>
    <cellStyle name="MSSStyle224" xfId="259"/>
    <cellStyle name="MSSStyle225" xfId="260"/>
    <cellStyle name="MSSStyle226" xfId="261"/>
    <cellStyle name="MSSStyle227" xfId="262"/>
    <cellStyle name="MSSStyle228" xfId="263"/>
    <cellStyle name="MSSStyle229" xfId="264"/>
    <cellStyle name="MSSStyle230" xfId="265"/>
    <cellStyle name="MSSStyle231" xfId="266"/>
    <cellStyle name="MSSStyle232" xfId="267"/>
    <cellStyle name="MSSStyle233" xfId="268"/>
    <cellStyle name="MSSStyle234" xfId="269"/>
    <cellStyle name="MSSStyle235" xfId="270"/>
    <cellStyle name="MSSStyle236" xfId="271"/>
    <cellStyle name="MSSStyle237" xfId="272"/>
    <cellStyle name="MSSStyle238" xfId="273"/>
    <cellStyle name="MSSStyle239" xfId="274"/>
    <cellStyle name="MSSStyle240" xfId="275"/>
    <cellStyle name="MSSStyle241" xfId="276"/>
    <cellStyle name="MSSStyle242" xfId="277"/>
    <cellStyle name="MSSStyle243" xfId="278"/>
    <cellStyle name="MSSStyle244" xfId="279"/>
    <cellStyle name="MSSStyle245" xfId="280"/>
    <cellStyle name="MSSStyle246" xfId="281"/>
    <cellStyle name="MSSStyle247" xfId="282"/>
    <cellStyle name="MSSStyle248" xfId="283"/>
    <cellStyle name="MSSStyle249" xfId="284"/>
    <cellStyle name="MSSStyle250" xfId="285"/>
    <cellStyle name="MSSStyle251" xfId="286"/>
    <cellStyle name="MSSStyle252" xfId="287"/>
    <cellStyle name="MSSStyle253" xfId="288"/>
    <cellStyle name="MSSStyle254" xfId="289"/>
    <cellStyle name="MSSStyle255" xfId="290"/>
    <cellStyle name="MSSStyle256" xfId="291"/>
    <cellStyle name="MSSStyle257" xfId="292"/>
    <cellStyle name="MSSStyle258" xfId="293"/>
    <cellStyle name="MSSStyle259" xfId="294"/>
    <cellStyle name="MSSStyle260" xfId="295"/>
    <cellStyle name="MSSStyle261" xfId="296"/>
    <cellStyle name="MSSStyle262" xfId="297"/>
    <cellStyle name="MSSStyle263" xfId="298"/>
    <cellStyle name="MSSStyle264" xfId="299"/>
    <cellStyle name="MSSStyle265" xfId="300"/>
    <cellStyle name="MSSStyle266" xfId="301"/>
    <cellStyle name="MSSStyle267" xfId="302"/>
    <cellStyle name="MSSStyle268" xfId="303"/>
    <cellStyle name="MSSStyle269" xfId="304"/>
    <cellStyle name="MSSStyle270" xfId="305"/>
    <cellStyle name="MSSStyle271" xfId="306"/>
    <cellStyle name="MSSStyle272" xfId="307"/>
    <cellStyle name="MSSStyle273" xfId="308"/>
    <cellStyle name="MSSStyle274" xfId="309"/>
    <cellStyle name="MSSStyle275" xfId="310"/>
    <cellStyle name="MSSStyle276" xfId="311"/>
    <cellStyle name="MSSStyle277" xfId="312"/>
    <cellStyle name="MSSStyle278" xfId="313"/>
    <cellStyle name="MSSStyle279" xfId="314"/>
    <cellStyle name="MSSStyle280" xfId="315"/>
    <cellStyle name="MSSStyle281" xfId="316"/>
    <cellStyle name="MSSStyle282" xfId="317"/>
    <cellStyle name="MSSStyle283" xfId="318"/>
    <cellStyle name="MSSStyle284" xfId="319"/>
    <cellStyle name="MSSStyle285" xfId="320"/>
    <cellStyle name="MSSStyle286" xfId="321"/>
    <cellStyle name="MSSStyle287" xfId="322"/>
    <cellStyle name="MSSStyle288" xfId="323"/>
    <cellStyle name="MSSStyle289" xfId="324"/>
    <cellStyle name="MSSStyle290" xfId="325"/>
    <cellStyle name="MSSStyle291" xfId="326"/>
    <cellStyle name="MSSStyle292" xfId="327"/>
    <cellStyle name="MSSStyle293" xfId="328"/>
    <cellStyle name="MSSStyle294" xfId="329"/>
    <cellStyle name="MSSStyle295" xfId="330"/>
    <cellStyle name="MSSStyle296" xfId="331"/>
    <cellStyle name="MSSStyle297" xfId="332"/>
    <cellStyle name="MSSStyle298" xfId="333"/>
    <cellStyle name="MSSStyle299" xfId="334"/>
    <cellStyle name="MSSStyle300" xfId="335"/>
    <cellStyle name="MSSStyle301" xfId="336"/>
    <cellStyle name="MSSStyle302" xfId="337"/>
    <cellStyle name="MSSStyle303" xfId="338"/>
    <cellStyle name="MSSStyle304" xfId="339"/>
    <cellStyle name="MSSStyle305" xfId="340"/>
    <cellStyle name="MSSStyle306" xfId="341"/>
    <cellStyle name="MSSStyle307" xfId="342"/>
    <cellStyle name="MSSStyle308" xfId="343"/>
    <cellStyle name="MSSStyle309" xfId="344"/>
    <cellStyle name="MSSStyle310" xfId="345"/>
    <cellStyle name="MSSStyle311" xfId="346"/>
    <cellStyle name="MSSStyle312" xfId="347"/>
    <cellStyle name="MSSStyle313" xfId="348"/>
    <cellStyle name="MSSStyle314" xfId="349"/>
    <cellStyle name="MSSStyle315" xfId="350"/>
    <cellStyle name="MSSStyle316" xfId="351"/>
    <cellStyle name="MSSStyle317" xfId="352"/>
    <cellStyle name="MSSStyle318" xfId="353"/>
    <cellStyle name="MSSStyle319" xfId="354"/>
    <cellStyle name="MSSStyle320" xfId="355"/>
    <cellStyle name="MSSStyle321" xfId="356"/>
    <cellStyle name="MSSStyle322" xfId="357"/>
    <cellStyle name="MSSStyle323" xfId="358"/>
    <cellStyle name="MSSStyle324" xfId="359"/>
    <cellStyle name="MSSStyle325" xfId="360"/>
    <cellStyle name="MSSStyle326" xfId="361"/>
    <cellStyle name="MSSStyle327" xfId="362"/>
    <cellStyle name="MSSStyle328" xfId="363"/>
    <cellStyle name="MSSStyle329" xfId="364"/>
    <cellStyle name="MSSStyle330" xfId="365"/>
    <cellStyle name="MSSStyle331" xfId="366"/>
    <cellStyle name="MSSStyle332" xfId="367"/>
    <cellStyle name="MSSStyle333" xfId="368"/>
    <cellStyle name="MSSStyle334" xfId="369"/>
    <cellStyle name="MSSStyle335" xfId="370"/>
    <cellStyle name="MSSStyle336" xfId="371"/>
    <cellStyle name="MSSStyle337" xfId="372"/>
    <cellStyle name="MSSStyle338" xfId="373"/>
    <cellStyle name="MSSStyle339" xfId="374"/>
    <cellStyle name="MSSStyle340" xfId="375"/>
    <cellStyle name="MSSStyle341" xfId="376"/>
    <cellStyle name="MSSStyle342" xfId="377"/>
    <cellStyle name="MSSStyle343" xfId="378"/>
    <cellStyle name="MSSStyle344" xfId="379"/>
    <cellStyle name="MSSStyle345" xfId="380"/>
    <cellStyle name="MSSStyle346" xfId="381"/>
    <cellStyle name="MSSStyle347" xfId="382"/>
    <cellStyle name="MSSStyle348" xfId="383"/>
    <cellStyle name="MSSStyle349" xfId="384"/>
    <cellStyle name="MSSStyle350" xfId="385"/>
    <cellStyle name="MSSStyle351" xfId="386"/>
    <cellStyle name="MSSStyle352" xfId="387"/>
    <cellStyle name="MSSStyle353" xfId="388"/>
    <cellStyle name="MSSStyle354" xfId="389"/>
    <cellStyle name="MSSStyle355" xfId="390"/>
    <cellStyle name="MSSStyle356" xfId="391"/>
    <cellStyle name="MSSStyle357" xfId="392"/>
    <cellStyle name="MSSStyle358" xfId="393"/>
    <cellStyle name="MSSStyle359" xfId="394"/>
    <cellStyle name="MSSStyle360" xfId="395"/>
    <cellStyle name="MSSStyle361" xfId="396"/>
    <cellStyle name="MSSStyle362" xfId="397"/>
    <cellStyle name="MSSStyle363" xfId="398"/>
    <cellStyle name="MSSStyle364" xfId="399"/>
    <cellStyle name="MSSStyle365" xfId="400"/>
    <cellStyle name="MSSStyle366" xfId="401"/>
    <cellStyle name="MSSStyle367" xfId="402"/>
    <cellStyle name="MSSStyle368" xfId="403"/>
    <cellStyle name="MSSStyle369" xfId="404"/>
    <cellStyle name="MSSStyle370" xfId="405"/>
    <cellStyle name="MSSStyle371" xfId="406"/>
    <cellStyle name="MSSStyle372" xfId="407"/>
    <cellStyle name="MSSStyle373" xfId="408"/>
    <cellStyle name="MSSStyle374" xfId="409"/>
    <cellStyle name="MSSStyle375" xfId="410"/>
    <cellStyle name="MSSStyle376" xfId="411"/>
    <cellStyle name="MSSStyle377" xfId="412"/>
    <cellStyle name="MSSStyle378" xfId="413"/>
    <cellStyle name="MSSStyle379" xfId="414"/>
    <cellStyle name="MSSStyle380" xfId="415"/>
    <cellStyle name="MSSStyle381" xfId="416"/>
    <cellStyle name="MSSStyle382" xfId="417"/>
    <cellStyle name="MSSStyle383" xfId="418"/>
    <cellStyle name="MSSStyle384" xfId="419"/>
    <cellStyle name="MSSStyle385" xfId="420"/>
    <cellStyle name="MSSStyle386" xfId="421"/>
    <cellStyle name="MSSStyle387" xfId="422"/>
    <cellStyle name="MSSStyle388" xfId="423"/>
    <cellStyle name="MSSStyle389" xfId="424"/>
    <cellStyle name="MSSStyle390" xfId="425"/>
    <cellStyle name="MSSStyle391" xfId="426"/>
    <cellStyle name="MSSStyle392" xfId="427"/>
    <cellStyle name="MSSStyle393" xfId="428"/>
    <cellStyle name="MSSStyle394" xfId="429"/>
    <cellStyle name="MSSStyle395" xfId="430"/>
    <cellStyle name="MSSStyle396" xfId="431"/>
    <cellStyle name="MSSStyle397" xfId="432"/>
    <cellStyle name="MSSStyle398" xfId="433"/>
    <cellStyle name="MSSStyle399" xfId="434"/>
    <cellStyle name="MSSStyle400" xfId="435"/>
    <cellStyle name="MSSStyle401" xfId="436"/>
    <cellStyle name="MSSStyle402" xfId="437"/>
    <cellStyle name="MSSStyle403" xfId="438"/>
    <cellStyle name="MSSStyle404" xfId="439"/>
    <cellStyle name="MSSStyle405" xfId="440"/>
    <cellStyle name="MSSStyle406" xfId="441"/>
    <cellStyle name="MSSStyle407" xfId="442"/>
    <cellStyle name="MSSStyle408" xfId="443"/>
    <cellStyle name="MSSStyle409" xfId="444"/>
    <cellStyle name="MSSStyle410" xfId="445"/>
    <cellStyle name="MSSStyle411" xfId="446"/>
    <cellStyle name="MSSStyle412" xfId="447"/>
    <cellStyle name="MSSStyle413" xfId="448"/>
    <cellStyle name="MSSStyle414" xfId="449"/>
    <cellStyle name="MSSStyle415" xfId="450"/>
    <cellStyle name="MSSStyle416" xfId="451"/>
    <cellStyle name="MSSStyle417" xfId="452"/>
    <cellStyle name="MSSStyle418" xfId="453"/>
    <cellStyle name="MSSStyle419" xfId="454"/>
    <cellStyle name="MSSStyle420" xfId="455"/>
    <cellStyle name="MSSStyle421" xfId="456"/>
    <cellStyle name="MSSStyle422" xfId="457"/>
    <cellStyle name="MSSStyle423" xfId="458"/>
    <cellStyle name="MSSStyle424" xfId="459"/>
    <cellStyle name="MSSStyle425" xfId="460"/>
    <cellStyle name="MSSStyle426" xfId="461"/>
    <cellStyle name="MSSStyle427" xfId="462"/>
    <cellStyle name="MSSStyle428" xfId="463"/>
    <cellStyle name="MSSStyle429" xfId="464"/>
    <cellStyle name="MSSStyle430" xfId="465"/>
    <cellStyle name="MSSStyle431" xfId="466"/>
    <cellStyle name="MSSStyle432" xfId="467"/>
    <cellStyle name="MSSStyle433" xfId="468"/>
    <cellStyle name="MSSStyle434" xfId="469"/>
    <cellStyle name="MSSStyle435" xfId="470"/>
    <cellStyle name="MSSStyle436" xfId="471"/>
    <cellStyle name="MSSStyle437" xfId="472"/>
    <cellStyle name="MSSStyle438" xfId="473"/>
    <cellStyle name="MSSStyle439" xfId="474"/>
    <cellStyle name="MSSStyle440" xfId="475"/>
    <cellStyle name="MSSStyle441" xfId="476"/>
    <cellStyle name="MSSStyle442" xfId="477"/>
    <cellStyle name="MSSStyle443" xfId="478"/>
    <cellStyle name="MSSStyle444" xfId="479"/>
    <cellStyle name="MSSStyle445" xfId="480"/>
    <cellStyle name="MSSStyle446" xfId="481"/>
    <cellStyle name="MSSStyle447" xfId="482"/>
    <cellStyle name="MSSStyle448" xfId="483"/>
    <cellStyle name="MSSStyle449" xfId="484"/>
    <cellStyle name="MSSStyle450" xfId="485"/>
    <cellStyle name="MSSStyle451" xfId="486"/>
    <cellStyle name="MSSStyle452" xfId="487"/>
    <cellStyle name="MSSStyle453" xfId="488"/>
    <cellStyle name="MSSStyle454" xfId="489"/>
    <cellStyle name="MSSStyle455" xfId="490"/>
    <cellStyle name="MSSStyle456" xfId="491"/>
    <cellStyle name="MSSStyle457" xfId="492"/>
    <cellStyle name="MSSStyle458" xfId="493"/>
    <cellStyle name="MSSStyle459" xfId="494"/>
    <cellStyle name="MSSStyle460" xfId="495"/>
    <cellStyle name="Neutral" xfId="496" builtinId="28" customBuiltin="1"/>
    <cellStyle name="Normal" xfId="0" builtinId="0"/>
    <cellStyle name="Normal 2" xfId="503"/>
    <cellStyle name="Note" xfId="497" builtinId="10" customBuiltin="1"/>
    <cellStyle name="Output" xfId="498" builtinId="21" customBuiltin="1"/>
    <cellStyle name="Title" xfId="499" builtinId="15" customBuiltin="1"/>
    <cellStyle name="Total" xfId="500" builtinId="25" customBuiltin="1"/>
    <cellStyle name="Warning Text" xfId="501" builtinId="11" customBuiltin="1"/>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000000"/>
      <rgbColor rgb="00FFFFFF"/>
      <rgbColor rgb="00ADD8E6"/>
      <rgbColor rgb="00F0F0F0"/>
      <rgbColor rgb="00FFE0EC"/>
      <rgbColor rgb="00E0FFFF"/>
      <rgbColor rgb="00F0F0F0"/>
      <rgbColor rgb="00E6E6FA"/>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Assets</a:t>
            </a:r>
          </a:p>
        </c:rich>
      </c:tx>
      <c:layout>
        <c:manualLayout>
          <c:xMode val="edge"/>
          <c:yMode val="edge"/>
          <c:x val="0.48611166055372512"/>
          <c:y val="2.9761991263227955E-2"/>
        </c:manualLayout>
      </c:layout>
      <c:overlay val="0"/>
      <c:spPr>
        <a:solidFill>
          <a:srgbClr val="FFFFFF"/>
        </a:solidFill>
        <a:ln w="25400">
          <a:noFill/>
        </a:ln>
      </c:spPr>
    </c:title>
    <c:autoTitleDeleted val="0"/>
    <c:plotArea>
      <c:layout>
        <c:manualLayout>
          <c:layoutTarget val="inner"/>
          <c:xMode val="edge"/>
          <c:yMode val="edge"/>
          <c:x val="0.13425941101007646"/>
          <c:y val="4.7619186021164731E-2"/>
          <c:w val="0.86342690184066417"/>
          <c:h val="0.52976344448545765"/>
        </c:manualLayout>
      </c:layout>
      <c:lineChart>
        <c:grouping val="standard"/>
        <c:varyColors val="0"/>
        <c:ser>
          <c:idx val="0"/>
          <c:order val="0"/>
          <c:tx>
            <c:v>Cash</c:v>
          </c:tx>
          <c:spPr>
            <a:ln w="25400">
              <a:solidFill>
                <a:srgbClr val="339966"/>
              </a:solidFill>
              <a:prstDash val="solid"/>
            </a:ln>
          </c:spPr>
          <c:marker>
            <c:symbol val="none"/>
          </c:marker>
          <c:cat>
            <c:strRef>
              <c:f>[0]!Assets_Time_Period</c:f>
              <c:strCache>
                <c:ptCount val="19"/>
                <c:pt idx="0">
                  <c:v>MMM 2009</c:v>
                </c:pt>
                <c:pt idx="1">
                  <c:v>MMM 2010</c:v>
                </c:pt>
                <c:pt idx="2">
                  <c:v>MMM 2010</c:v>
                </c:pt>
                <c:pt idx="3">
                  <c:v>MMM 2010</c:v>
                </c:pt>
                <c:pt idx="4">
                  <c:v>MMM 2010</c:v>
                </c:pt>
                <c:pt idx="5">
                  <c:v>MMM 2010</c:v>
                </c:pt>
                <c:pt idx="6">
                  <c:v>MMM 2010</c:v>
                </c:pt>
                <c:pt idx="7">
                  <c:v>MMM 2010</c:v>
                </c:pt>
                <c:pt idx="8">
                  <c:v>MMM 2010</c:v>
                </c:pt>
                <c:pt idx="9">
                  <c:v>MMM 2010</c:v>
                </c:pt>
                <c:pt idx="10">
                  <c:v>MMM 2010</c:v>
                </c:pt>
                <c:pt idx="11">
                  <c:v>MMM 2010</c:v>
                </c:pt>
                <c:pt idx="12">
                  <c:v>MMM 2010</c:v>
                </c:pt>
                <c:pt idx="13">
                  <c:v>MMM 2011</c:v>
                </c:pt>
                <c:pt idx="14">
                  <c:v>MMM 2011</c:v>
                </c:pt>
                <c:pt idx="15">
                  <c:v>MMM 2011</c:v>
                </c:pt>
                <c:pt idx="16">
                  <c:v>MMM 2011</c:v>
                </c:pt>
                <c:pt idx="17">
                  <c:v>MMM 2011</c:v>
                </c:pt>
                <c:pt idx="18">
                  <c:v>MMM 2011</c:v>
                </c:pt>
              </c:strCache>
            </c:strRef>
          </c:cat>
          <c:val>
            <c:numRef>
              <c:f>[0]!Assets_Assets_Short_Cash</c:f>
              <c:numCache>
                <c:formatCode>"$"#,##0_);[Red]\("$"#,##0\)</c:formatCode>
                <c:ptCount val="19"/>
                <c:pt idx="0">
                  <c:v>0</c:v>
                </c:pt>
                <c:pt idx="1">
                  <c:v>0</c:v>
                </c:pt>
                <c:pt idx="2">
                  <c:v>0</c:v>
                </c:pt>
                <c:pt idx="3">
                  <c:v>109112.90322580645</c:v>
                </c:pt>
                <c:pt idx="4">
                  <c:v>112750</c:v>
                </c:pt>
                <c:pt idx="5">
                  <c:v>220000</c:v>
                </c:pt>
                <c:pt idx="6">
                  <c:v>136000</c:v>
                </c:pt>
                <c:pt idx="7">
                  <c:v>193029.42960958515</c:v>
                </c:pt>
                <c:pt idx="8">
                  <c:v>230533.54167388589</c:v>
                </c:pt>
                <c:pt idx="9">
                  <c:v>389243.21909324074</c:v>
                </c:pt>
                <c:pt idx="10">
                  <c:v>389243.21909324074</c:v>
                </c:pt>
                <c:pt idx="11">
                  <c:v>389243.21909324074</c:v>
                </c:pt>
                <c:pt idx="12">
                  <c:v>389243.21909324074</c:v>
                </c:pt>
                <c:pt idx="13">
                  <c:v>389243.21909324074</c:v>
                </c:pt>
                <c:pt idx="14">
                  <c:v>389243.21909324074</c:v>
                </c:pt>
                <c:pt idx="15">
                  <c:v>389243.21909324074</c:v>
                </c:pt>
                <c:pt idx="16">
                  <c:v>389243.21909324074</c:v>
                </c:pt>
                <c:pt idx="17">
                  <c:v>389243.21909324074</c:v>
                </c:pt>
                <c:pt idx="18">
                  <c:v>389243.21909324074</c:v>
                </c:pt>
              </c:numCache>
            </c:numRef>
          </c:val>
          <c:smooth val="0"/>
        </c:ser>
        <c:ser>
          <c:idx val="1"/>
          <c:order val="1"/>
          <c:tx>
            <c:v>Accts Receivable</c:v>
          </c:tx>
          <c:spPr>
            <a:ln w="25400">
              <a:solidFill>
                <a:srgbClr val="3366FF"/>
              </a:solidFill>
              <a:prstDash val="solid"/>
            </a:ln>
          </c:spPr>
          <c:marker>
            <c:symbol val="none"/>
          </c:marker>
          <c:cat>
            <c:strRef>
              <c:f>[0]!Assets_Time_Period</c:f>
              <c:strCache>
                <c:ptCount val="19"/>
                <c:pt idx="0">
                  <c:v>MMM 2009</c:v>
                </c:pt>
                <c:pt idx="1">
                  <c:v>MMM 2010</c:v>
                </c:pt>
                <c:pt idx="2">
                  <c:v>MMM 2010</c:v>
                </c:pt>
                <c:pt idx="3">
                  <c:v>MMM 2010</c:v>
                </c:pt>
                <c:pt idx="4">
                  <c:v>MMM 2010</c:v>
                </c:pt>
                <c:pt idx="5">
                  <c:v>MMM 2010</c:v>
                </c:pt>
                <c:pt idx="6">
                  <c:v>MMM 2010</c:v>
                </c:pt>
                <c:pt idx="7">
                  <c:v>MMM 2010</c:v>
                </c:pt>
                <c:pt idx="8">
                  <c:v>MMM 2010</c:v>
                </c:pt>
                <c:pt idx="9">
                  <c:v>MMM 2010</c:v>
                </c:pt>
                <c:pt idx="10">
                  <c:v>MMM 2010</c:v>
                </c:pt>
                <c:pt idx="11">
                  <c:v>MMM 2010</c:v>
                </c:pt>
                <c:pt idx="12">
                  <c:v>MMM 2010</c:v>
                </c:pt>
                <c:pt idx="13">
                  <c:v>MMM 2011</c:v>
                </c:pt>
                <c:pt idx="14">
                  <c:v>MMM 2011</c:v>
                </c:pt>
                <c:pt idx="15">
                  <c:v>MMM 2011</c:v>
                </c:pt>
                <c:pt idx="16">
                  <c:v>MMM 2011</c:v>
                </c:pt>
                <c:pt idx="17">
                  <c:v>MMM 2011</c:v>
                </c:pt>
                <c:pt idx="18">
                  <c:v>MMM 2011</c:v>
                </c:pt>
              </c:strCache>
            </c:strRef>
          </c:cat>
          <c:val>
            <c:numRef>
              <c:f>[0]!Assets_Assets_Short_AcctsRec</c:f>
              <c:numCache>
                <c:formatCode>"$"#,##0_);[Red]\("$"#,##0\)</c:formatCode>
                <c:ptCount val="19"/>
                <c:pt idx="0">
                  <c:v>0</c:v>
                </c:pt>
                <c:pt idx="1">
                  <c:v>0</c:v>
                </c:pt>
                <c:pt idx="2">
                  <c:v>0</c:v>
                </c:pt>
                <c:pt idx="3">
                  <c:v>218225.80645161291</c:v>
                </c:pt>
                <c:pt idx="4">
                  <c:v>225500</c:v>
                </c:pt>
                <c:pt idx="5">
                  <c:v>0</c:v>
                </c:pt>
                <c:pt idx="6">
                  <c:v>164000</c:v>
                </c:pt>
                <c:pt idx="7">
                  <c:v>158709.67741935485</c:v>
                </c:pt>
                <c:pt idx="8">
                  <c:v>158709.67741935485</c:v>
                </c:pt>
                <c:pt idx="9">
                  <c:v>0</c:v>
                </c:pt>
                <c:pt idx="10">
                  <c:v>0</c:v>
                </c:pt>
                <c:pt idx="11">
                  <c:v>0</c:v>
                </c:pt>
                <c:pt idx="12">
                  <c:v>0</c:v>
                </c:pt>
                <c:pt idx="13">
                  <c:v>0</c:v>
                </c:pt>
                <c:pt idx="14">
                  <c:v>0</c:v>
                </c:pt>
                <c:pt idx="15">
                  <c:v>0</c:v>
                </c:pt>
                <c:pt idx="16">
                  <c:v>0</c:v>
                </c:pt>
                <c:pt idx="17">
                  <c:v>0</c:v>
                </c:pt>
                <c:pt idx="18">
                  <c:v>0</c:v>
                </c:pt>
              </c:numCache>
            </c:numRef>
          </c:val>
          <c:smooth val="0"/>
        </c:ser>
        <c:ser>
          <c:idx val="2"/>
          <c:order val="2"/>
          <c:tx>
            <c:v>Inventory</c:v>
          </c:tx>
          <c:spPr>
            <a:ln w="25400">
              <a:solidFill>
                <a:srgbClr val="FF0000"/>
              </a:solidFill>
              <a:prstDash val="solid"/>
            </a:ln>
          </c:spPr>
          <c:marker>
            <c:symbol val="none"/>
          </c:marker>
          <c:cat>
            <c:strRef>
              <c:f>[0]!Assets_Time_Period</c:f>
              <c:strCache>
                <c:ptCount val="19"/>
                <c:pt idx="0">
                  <c:v>MMM 2009</c:v>
                </c:pt>
                <c:pt idx="1">
                  <c:v>MMM 2010</c:v>
                </c:pt>
                <c:pt idx="2">
                  <c:v>MMM 2010</c:v>
                </c:pt>
                <c:pt idx="3">
                  <c:v>MMM 2010</c:v>
                </c:pt>
                <c:pt idx="4">
                  <c:v>MMM 2010</c:v>
                </c:pt>
                <c:pt idx="5">
                  <c:v>MMM 2010</c:v>
                </c:pt>
                <c:pt idx="6">
                  <c:v>MMM 2010</c:v>
                </c:pt>
                <c:pt idx="7">
                  <c:v>MMM 2010</c:v>
                </c:pt>
                <c:pt idx="8">
                  <c:v>MMM 2010</c:v>
                </c:pt>
                <c:pt idx="9">
                  <c:v>MMM 2010</c:v>
                </c:pt>
                <c:pt idx="10">
                  <c:v>MMM 2010</c:v>
                </c:pt>
                <c:pt idx="11">
                  <c:v>MMM 2010</c:v>
                </c:pt>
                <c:pt idx="12">
                  <c:v>MMM 2010</c:v>
                </c:pt>
                <c:pt idx="13">
                  <c:v>MMM 2011</c:v>
                </c:pt>
                <c:pt idx="14">
                  <c:v>MMM 2011</c:v>
                </c:pt>
                <c:pt idx="15">
                  <c:v>MMM 2011</c:v>
                </c:pt>
                <c:pt idx="16">
                  <c:v>MMM 2011</c:v>
                </c:pt>
                <c:pt idx="17">
                  <c:v>MMM 2011</c:v>
                </c:pt>
                <c:pt idx="18">
                  <c:v>MMM 2011</c:v>
                </c:pt>
              </c:strCache>
            </c:strRef>
          </c:cat>
          <c:val>
            <c:numRef>
              <c:f>[0]!Assets_Assets_Short_Inventory</c:f>
              <c:numCache>
                <c:formatCode>"$"#,##0_);[Red]\("$"#,##0\)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mooth val="0"/>
        </c:ser>
        <c:ser>
          <c:idx val="3"/>
          <c:order val="3"/>
          <c:tx>
            <c:v>Long-Term Assets</c:v>
          </c:tx>
          <c:spPr>
            <a:ln w="25400">
              <a:solidFill>
                <a:srgbClr val="000000"/>
              </a:solidFill>
              <a:prstDash val="lgDash"/>
            </a:ln>
          </c:spPr>
          <c:marker>
            <c:symbol val="none"/>
          </c:marker>
          <c:cat>
            <c:strRef>
              <c:f>[0]!Assets_Time_Period</c:f>
              <c:strCache>
                <c:ptCount val="19"/>
                <c:pt idx="0">
                  <c:v>MMM 2009</c:v>
                </c:pt>
                <c:pt idx="1">
                  <c:v>MMM 2010</c:v>
                </c:pt>
                <c:pt idx="2">
                  <c:v>MMM 2010</c:v>
                </c:pt>
                <c:pt idx="3">
                  <c:v>MMM 2010</c:v>
                </c:pt>
                <c:pt idx="4">
                  <c:v>MMM 2010</c:v>
                </c:pt>
                <c:pt idx="5">
                  <c:v>MMM 2010</c:v>
                </c:pt>
                <c:pt idx="6">
                  <c:v>MMM 2010</c:v>
                </c:pt>
                <c:pt idx="7">
                  <c:v>MMM 2010</c:v>
                </c:pt>
                <c:pt idx="8">
                  <c:v>MMM 2010</c:v>
                </c:pt>
                <c:pt idx="9">
                  <c:v>MMM 2010</c:v>
                </c:pt>
                <c:pt idx="10">
                  <c:v>MMM 2010</c:v>
                </c:pt>
                <c:pt idx="11">
                  <c:v>MMM 2010</c:v>
                </c:pt>
                <c:pt idx="12">
                  <c:v>MMM 2010</c:v>
                </c:pt>
                <c:pt idx="13">
                  <c:v>MMM 2011</c:v>
                </c:pt>
                <c:pt idx="14">
                  <c:v>MMM 2011</c:v>
                </c:pt>
                <c:pt idx="15">
                  <c:v>MMM 2011</c:v>
                </c:pt>
                <c:pt idx="16">
                  <c:v>MMM 2011</c:v>
                </c:pt>
                <c:pt idx="17">
                  <c:v>MMM 2011</c:v>
                </c:pt>
                <c:pt idx="18">
                  <c:v>MMM 2011</c:v>
                </c:pt>
              </c:strCache>
            </c:strRef>
          </c:cat>
          <c:val>
            <c:numRef>
              <c:f>[0]!Assets_Assets_Long</c:f>
              <c:numCache>
                <c:formatCode>"$"#,##0_);[Red]\("$"#,##0\)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mooth val="0"/>
        </c:ser>
        <c:dLbls>
          <c:showLegendKey val="0"/>
          <c:showVal val="0"/>
          <c:showCatName val="0"/>
          <c:showSerName val="0"/>
          <c:showPercent val="0"/>
          <c:showBubbleSize val="0"/>
        </c:dLbls>
        <c:smooth val="0"/>
        <c:axId val="264092440"/>
        <c:axId val="264095968"/>
      </c:lineChart>
      <c:catAx>
        <c:axId val="264092440"/>
        <c:scaling>
          <c:orientation val="minMax"/>
        </c:scaling>
        <c:delete val="0"/>
        <c:axPos val="b"/>
        <c:numFmt formatCode="General" sourceLinked="1"/>
        <c:majorTickMark val="out"/>
        <c:minorTickMark val="none"/>
        <c:tickLblPos val="low"/>
        <c:spPr>
          <a:ln w="3175">
            <a:solidFill>
              <a:srgbClr val="808080"/>
            </a:solidFill>
            <a:prstDash val="solid"/>
          </a:ln>
        </c:spPr>
        <c:txPr>
          <a:bodyPr rot="-5400000" vert="horz"/>
          <a:lstStyle/>
          <a:p>
            <a:pPr>
              <a:defRPr sz="800" b="0" i="0" u="none" strike="noStrike" baseline="0">
                <a:solidFill>
                  <a:srgbClr val="000000"/>
                </a:solidFill>
                <a:latin typeface="Calibri"/>
                <a:ea typeface="Calibri"/>
                <a:cs typeface="Calibri"/>
              </a:defRPr>
            </a:pPr>
            <a:endParaRPr lang="tr-TR"/>
          </a:p>
        </c:txPr>
        <c:crossAx val="264095968"/>
        <c:crosses val="autoZero"/>
        <c:auto val="0"/>
        <c:lblAlgn val="ctr"/>
        <c:lblOffset val="100"/>
        <c:tickLblSkip val="1"/>
        <c:tickMarkSkip val="1"/>
        <c:noMultiLvlLbl val="0"/>
      </c:catAx>
      <c:valAx>
        <c:axId val="264095968"/>
        <c:scaling>
          <c:orientation val="minMax"/>
        </c:scaling>
        <c:delete val="0"/>
        <c:axPos val="l"/>
        <c:majorGridlines>
          <c:spPr>
            <a:ln w="3175">
              <a:solidFill>
                <a:srgbClr val="808080"/>
              </a:solidFill>
              <a:prstDash val="solid"/>
            </a:ln>
          </c:spPr>
        </c:majorGridlines>
        <c:numFmt formatCode="&quot;$&quot;#,##0_);[Red]\(&quot;$&quot;#,##0\)"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tr-TR"/>
          </a:p>
        </c:txPr>
        <c:crossAx val="264092440"/>
        <c:crossesAt val="1"/>
        <c:crossBetween val="between"/>
      </c:valAx>
      <c:spPr>
        <a:solidFill>
          <a:srgbClr val="FFFFFF"/>
        </a:solidFill>
        <a:ln w="25400">
          <a:noFill/>
        </a:ln>
      </c:spPr>
    </c:plotArea>
    <c:legend>
      <c:legendPos val="r"/>
      <c:layout>
        <c:manualLayout>
          <c:xMode val="edge"/>
          <c:yMode val="edge"/>
          <c:x val="0.13194459357886826"/>
          <c:y val="0.87202634401257906"/>
          <c:w val="0.79051015275760539"/>
          <c:h val="8.6309774663361066E-2"/>
        </c:manualLayout>
      </c:layout>
      <c:overlay val="0"/>
      <c:spPr>
        <a:noFill/>
        <a:ln w="25400">
          <a:noFill/>
        </a:ln>
      </c:spPr>
      <c:txPr>
        <a:bodyPr/>
        <a:lstStyle/>
        <a:p>
          <a:pPr>
            <a:defRPr sz="920" b="0" i="0" u="none" strike="noStrike" baseline="0">
              <a:solidFill>
                <a:srgbClr val="000000"/>
              </a:solidFill>
              <a:latin typeface="Calibri"/>
              <a:ea typeface="Calibri"/>
              <a:cs typeface="Calibri"/>
            </a:defRPr>
          </a:pPr>
          <a:endParaRPr lang="tr-TR"/>
        </a:p>
      </c:txPr>
    </c:legend>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tr-TR"/>
    </a:p>
  </c:txPr>
  <c:printSettings>
    <c:headerFooter alignWithMargins="0">
      <c:oddFooter>&amp;C</c:oddFooter>
    </c:headerFooter>
    <c:pageMargins b="0.75000000000000044" l="0.7000000000000004" r="0.7000000000000004" t="0.75000000000000044" header="0.30000000000000021" footer="0.30000000000000021"/>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Liabilities</a:t>
            </a:r>
          </a:p>
        </c:rich>
      </c:tx>
      <c:layout>
        <c:manualLayout>
          <c:xMode val="edge"/>
          <c:yMode val="edge"/>
          <c:x val="0.47222275596647584"/>
          <c:y val="2.9761991263227955E-2"/>
        </c:manualLayout>
      </c:layout>
      <c:overlay val="0"/>
      <c:spPr>
        <a:solidFill>
          <a:srgbClr val="FFFFFF"/>
        </a:solidFill>
        <a:ln w="25400">
          <a:noFill/>
        </a:ln>
      </c:spPr>
    </c:title>
    <c:autoTitleDeleted val="0"/>
    <c:plotArea>
      <c:layout>
        <c:manualLayout>
          <c:layoutTarget val="inner"/>
          <c:xMode val="edge"/>
          <c:yMode val="edge"/>
          <c:x val="0.16435203761578326"/>
          <c:y val="6.5476380779101506E-2"/>
          <c:w val="0.8333342752349574"/>
          <c:h val="0.50000145322222966"/>
        </c:manualLayout>
      </c:layout>
      <c:lineChart>
        <c:grouping val="standard"/>
        <c:varyColors val="0"/>
        <c:ser>
          <c:idx val="0"/>
          <c:order val="0"/>
          <c:tx>
            <c:v>Accts Payable</c:v>
          </c:tx>
          <c:spPr>
            <a:ln w="25400">
              <a:solidFill>
                <a:srgbClr val="0000FF"/>
              </a:solidFill>
              <a:prstDash val="solid"/>
            </a:ln>
          </c:spPr>
          <c:marker>
            <c:symbol val="none"/>
          </c:marker>
          <c:cat>
            <c:strRef>
              <c:f>[0]!Liabilities_Time_Period</c:f>
              <c:strCache>
                <c:ptCount val="19"/>
                <c:pt idx="0">
                  <c:v>MMM 2009</c:v>
                </c:pt>
                <c:pt idx="1">
                  <c:v>MMM 2010</c:v>
                </c:pt>
                <c:pt idx="2">
                  <c:v>MMM 2010</c:v>
                </c:pt>
                <c:pt idx="3">
                  <c:v>MMM 2010</c:v>
                </c:pt>
                <c:pt idx="4">
                  <c:v>MMM 2010</c:v>
                </c:pt>
                <c:pt idx="5">
                  <c:v>MMM 2010</c:v>
                </c:pt>
                <c:pt idx="6">
                  <c:v>MMM 2010</c:v>
                </c:pt>
                <c:pt idx="7">
                  <c:v>MMM 2010</c:v>
                </c:pt>
                <c:pt idx="8">
                  <c:v>MMM 2010</c:v>
                </c:pt>
                <c:pt idx="9">
                  <c:v>MMM 2010</c:v>
                </c:pt>
                <c:pt idx="10">
                  <c:v>MMM 2010</c:v>
                </c:pt>
                <c:pt idx="11">
                  <c:v>MMM 2010</c:v>
                </c:pt>
                <c:pt idx="12">
                  <c:v>MMM 2010</c:v>
                </c:pt>
                <c:pt idx="13">
                  <c:v>MMM 2011</c:v>
                </c:pt>
                <c:pt idx="14">
                  <c:v>MMM 2011</c:v>
                </c:pt>
                <c:pt idx="15">
                  <c:v>MMM 2011</c:v>
                </c:pt>
                <c:pt idx="16">
                  <c:v>MMM 2011</c:v>
                </c:pt>
                <c:pt idx="17">
                  <c:v>MMM 2011</c:v>
                </c:pt>
                <c:pt idx="18">
                  <c:v>MMM 2011</c:v>
                </c:pt>
              </c:strCache>
            </c:strRef>
          </c:cat>
          <c:val>
            <c:numRef>
              <c:f>[0]!Liabilities_Liabilities_Short_AcctsPay</c:f>
              <c:numCache>
                <c:formatCode>"$"#,##0_);[Red]\("$"#,##0\)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mooth val="0"/>
        </c:ser>
        <c:ser>
          <c:idx val="1"/>
          <c:order val="1"/>
          <c:tx>
            <c:v>Short-Term Debt</c:v>
          </c:tx>
          <c:spPr>
            <a:ln w="25400">
              <a:solidFill>
                <a:srgbClr val="FF0000"/>
              </a:solidFill>
              <a:prstDash val="solid"/>
            </a:ln>
          </c:spPr>
          <c:marker>
            <c:symbol val="none"/>
          </c:marker>
          <c:cat>
            <c:strRef>
              <c:f>[0]!Liabilities_Time_Period</c:f>
              <c:strCache>
                <c:ptCount val="19"/>
                <c:pt idx="0">
                  <c:v>MMM 2009</c:v>
                </c:pt>
                <c:pt idx="1">
                  <c:v>MMM 2010</c:v>
                </c:pt>
                <c:pt idx="2">
                  <c:v>MMM 2010</c:v>
                </c:pt>
                <c:pt idx="3">
                  <c:v>MMM 2010</c:v>
                </c:pt>
                <c:pt idx="4">
                  <c:v>MMM 2010</c:v>
                </c:pt>
                <c:pt idx="5">
                  <c:v>MMM 2010</c:v>
                </c:pt>
                <c:pt idx="6">
                  <c:v>MMM 2010</c:v>
                </c:pt>
                <c:pt idx="7">
                  <c:v>MMM 2010</c:v>
                </c:pt>
                <c:pt idx="8">
                  <c:v>MMM 2010</c:v>
                </c:pt>
                <c:pt idx="9">
                  <c:v>MMM 2010</c:v>
                </c:pt>
                <c:pt idx="10">
                  <c:v>MMM 2010</c:v>
                </c:pt>
                <c:pt idx="11">
                  <c:v>MMM 2010</c:v>
                </c:pt>
                <c:pt idx="12">
                  <c:v>MMM 2010</c:v>
                </c:pt>
                <c:pt idx="13">
                  <c:v>MMM 2011</c:v>
                </c:pt>
                <c:pt idx="14">
                  <c:v>MMM 2011</c:v>
                </c:pt>
                <c:pt idx="15">
                  <c:v>MMM 2011</c:v>
                </c:pt>
                <c:pt idx="16">
                  <c:v>MMM 2011</c:v>
                </c:pt>
                <c:pt idx="17">
                  <c:v>MMM 2011</c:v>
                </c:pt>
                <c:pt idx="18">
                  <c:v>MMM 2011</c:v>
                </c:pt>
              </c:strCache>
            </c:strRef>
          </c:cat>
          <c:val>
            <c:numRef>
              <c:f>[0]!Liabilities_Liabilities_Short_ShortDebt</c:f>
              <c:numCache>
                <c:formatCode>"$"#,##0_);[Red]\("$"#,##0\)</c:formatCode>
                <c:ptCount val="19"/>
                <c:pt idx="0">
                  <c:v>0</c:v>
                </c:pt>
                <c:pt idx="1">
                  <c:v>0</c:v>
                </c:pt>
                <c:pt idx="2">
                  <c:v>0</c:v>
                </c:pt>
                <c:pt idx="3">
                  <c:v>217338.70967741936</c:v>
                </c:pt>
                <c:pt idx="4">
                  <c:v>118250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mooth val="0"/>
        </c:ser>
        <c:ser>
          <c:idx val="3"/>
          <c:order val="2"/>
          <c:tx>
            <c:v>Long-Term Loans</c:v>
          </c:tx>
          <c:spPr>
            <a:ln w="25400">
              <a:solidFill>
                <a:srgbClr val="008000"/>
              </a:solidFill>
              <a:prstDash val="lgDash"/>
            </a:ln>
          </c:spPr>
          <c:marker>
            <c:symbol val="none"/>
          </c:marker>
          <c:cat>
            <c:strRef>
              <c:f>[0]!Liabilities_Time_Period</c:f>
              <c:strCache>
                <c:ptCount val="19"/>
                <c:pt idx="0">
                  <c:v>MMM 2009</c:v>
                </c:pt>
                <c:pt idx="1">
                  <c:v>MMM 2010</c:v>
                </c:pt>
                <c:pt idx="2">
                  <c:v>MMM 2010</c:v>
                </c:pt>
                <c:pt idx="3">
                  <c:v>MMM 2010</c:v>
                </c:pt>
                <c:pt idx="4">
                  <c:v>MMM 2010</c:v>
                </c:pt>
                <c:pt idx="5">
                  <c:v>MMM 2010</c:v>
                </c:pt>
                <c:pt idx="6">
                  <c:v>MMM 2010</c:v>
                </c:pt>
                <c:pt idx="7">
                  <c:v>MMM 2010</c:v>
                </c:pt>
                <c:pt idx="8">
                  <c:v>MMM 2010</c:v>
                </c:pt>
                <c:pt idx="9">
                  <c:v>MMM 2010</c:v>
                </c:pt>
                <c:pt idx="10">
                  <c:v>MMM 2010</c:v>
                </c:pt>
                <c:pt idx="11">
                  <c:v>MMM 2010</c:v>
                </c:pt>
                <c:pt idx="12">
                  <c:v>MMM 2010</c:v>
                </c:pt>
                <c:pt idx="13">
                  <c:v>MMM 2011</c:v>
                </c:pt>
                <c:pt idx="14">
                  <c:v>MMM 2011</c:v>
                </c:pt>
                <c:pt idx="15">
                  <c:v>MMM 2011</c:v>
                </c:pt>
                <c:pt idx="16">
                  <c:v>MMM 2011</c:v>
                </c:pt>
                <c:pt idx="17">
                  <c:v>MMM 2011</c:v>
                </c:pt>
                <c:pt idx="18">
                  <c:v>MMM 2011</c:v>
                </c:pt>
              </c:strCache>
            </c:strRef>
          </c:cat>
          <c:val>
            <c:numRef>
              <c:f>[0]!Liabilities_Liabilities_Long_Long_Term_Loans</c:f>
              <c:numCache>
                <c:formatCode>"$"#,##0_);[Red]\("$"#,##0\)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mooth val="0"/>
        </c:ser>
        <c:ser>
          <c:idx val="4"/>
          <c:order val="3"/>
          <c:tx>
            <c:v>Bonds</c:v>
          </c:tx>
          <c:spPr>
            <a:ln w="25400">
              <a:solidFill>
                <a:srgbClr val="000000"/>
              </a:solidFill>
              <a:prstDash val="lgDash"/>
            </a:ln>
          </c:spPr>
          <c:marker>
            <c:symbol val="none"/>
          </c:marker>
          <c:cat>
            <c:strRef>
              <c:f>[0]!Liabilities_Time_Period</c:f>
              <c:strCache>
                <c:ptCount val="19"/>
                <c:pt idx="0">
                  <c:v>MMM 2009</c:v>
                </c:pt>
                <c:pt idx="1">
                  <c:v>MMM 2010</c:v>
                </c:pt>
                <c:pt idx="2">
                  <c:v>MMM 2010</c:v>
                </c:pt>
                <c:pt idx="3">
                  <c:v>MMM 2010</c:v>
                </c:pt>
                <c:pt idx="4">
                  <c:v>MMM 2010</c:v>
                </c:pt>
                <c:pt idx="5">
                  <c:v>MMM 2010</c:v>
                </c:pt>
                <c:pt idx="6">
                  <c:v>MMM 2010</c:v>
                </c:pt>
                <c:pt idx="7">
                  <c:v>MMM 2010</c:v>
                </c:pt>
                <c:pt idx="8">
                  <c:v>MMM 2010</c:v>
                </c:pt>
                <c:pt idx="9">
                  <c:v>MMM 2010</c:v>
                </c:pt>
                <c:pt idx="10">
                  <c:v>MMM 2010</c:v>
                </c:pt>
                <c:pt idx="11">
                  <c:v>MMM 2010</c:v>
                </c:pt>
                <c:pt idx="12">
                  <c:v>MMM 2010</c:v>
                </c:pt>
                <c:pt idx="13">
                  <c:v>MMM 2011</c:v>
                </c:pt>
                <c:pt idx="14">
                  <c:v>MMM 2011</c:v>
                </c:pt>
                <c:pt idx="15">
                  <c:v>MMM 2011</c:v>
                </c:pt>
                <c:pt idx="16">
                  <c:v>MMM 2011</c:v>
                </c:pt>
                <c:pt idx="17">
                  <c:v>MMM 2011</c:v>
                </c:pt>
                <c:pt idx="18">
                  <c:v>MMM 2011</c:v>
                </c:pt>
              </c:strCache>
            </c:strRef>
          </c:cat>
          <c:val>
            <c:numRef>
              <c:f>[0]!Liabilities_Liabilities_Long_Bonds</c:f>
              <c:numCache>
                <c:formatCode>"$"#,##0_);[Red]\("$"#,##0\)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mooth val="0"/>
        </c:ser>
        <c:dLbls>
          <c:showLegendKey val="0"/>
          <c:showVal val="0"/>
          <c:showCatName val="0"/>
          <c:showSerName val="0"/>
          <c:showPercent val="0"/>
          <c:showBubbleSize val="0"/>
        </c:dLbls>
        <c:smooth val="0"/>
        <c:axId val="420098504"/>
        <c:axId val="420098896"/>
      </c:lineChart>
      <c:catAx>
        <c:axId val="420098504"/>
        <c:scaling>
          <c:orientation val="minMax"/>
        </c:scaling>
        <c:delete val="0"/>
        <c:axPos val="b"/>
        <c:numFmt formatCode="General" sourceLinked="1"/>
        <c:majorTickMark val="out"/>
        <c:minorTickMark val="none"/>
        <c:tickLblPos val="nextTo"/>
        <c:spPr>
          <a:ln w="3175">
            <a:solidFill>
              <a:srgbClr val="808080"/>
            </a:solidFill>
            <a:prstDash val="solid"/>
          </a:ln>
        </c:spPr>
        <c:txPr>
          <a:bodyPr rot="-5400000" vert="horz"/>
          <a:lstStyle/>
          <a:p>
            <a:pPr>
              <a:defRPr sz="800" b="0" i="0" u="none" strike="noStrike" baseline="0">
                <a:solidFill>
                  <a:srgbClr val="000000"/>
                </a:solidFill>
                <a:latin typeface="Calibri"/>
                <a:ea typeface="Calibri"/>
                <a:cs typeface="Calibri"/>
              </a:defRPr>
            </a:pPr>
            <a:endParaRPr lang="tr-TR"/>
          </a:p>
        </c:txPr>
        <c:crossAx val="420098896"/>
        <c:crosses val="autoZero"/>
        <c:auto val="0"/>
        <c:lblAlgn val="ctr"/>
        <c:lblOffset val="100"/>
        <c:tickLblSkip val="1"/>
        <c:tickMarkSkip val="1"/>
        <c:noMultiLvlLbl val="0"/>
      </c:catAx>
      <c:valAx>
        <c:axId val="420098896"/>
        <c:scaling>
          <c:orientation val="minMax"/>
        </c:scaling>
        <c:delete val="0"/>
        <c:axPos val="l"/>
        <c:majorGridlines>
          <c:spPr>
            <a:ln w="3175">
              <a:solidFill>
                <a:srgbClr val="808080"/>
              </a:solidFill>
              <a:prstDash val="solid"/>
            </a:ln>
          </c:spPr>
        </c:majorGridlines>
        <c:numFmt formatCode="&quot;$&quot;#,##0_);[Red]\(&quot;$&quot;#,##0\)"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tr-TR"/>
          </a:p>
        </c:txPr>
        <c:crossAx val="420098504"/>
        <c:crossesAt val="1"/>
        <c:crossBetween val="between"/>
      </c:valAx>
      <c:spPr>
        <a:solidFill>
          <a:srgbClr val="FFFFFF"/>
        </a:solidFill>
        <a:ln w="25400">
          <a:noFill/>
        </a:ln>
      </c:spPr>
    </c:plotArea>
    <c:legend>
      <c:legendPos val="r"/>
      <c:layout>
        <c:manualLayout>
          <c:xMode val="edge"/>
          <c:yMode val="edge"/>
          <c:x val="0.18287057706544899"/>
          <c:y val="0.87500254313890191"/>
          <c:w val="0.70023227294048496"/>
          <c:h val="9.8214571168652259E-2"/>
        </c:manualLayout>
      </c:layout>
      <c:overlay val="0"/>
      <c:spPr>
        <a:noFill/>
        <a:ln w="25400">
          <a:noFill/>
        </a:ln>
      </c:spPr>
      <c:txPr>
        <a:bodyPr/>
        <a:lstStyle/>
        <a:p>
          <a:pPr>
            <a:defRPr sz="920" b="0" i="0" u="none" strike="noStrike" baseline="0">
              <a:solidFill>
                <a:srgbClr val="000000"/>
              </a:solidFill>
              <a:latin typeface="Calibri"/>
              <a:ea typeface="Calibri"/>
              <a:cs typeface="Calibri"/>
            </a:defRPr>
          </a:pPr>
          <a:endParaRPr lang="tr-TR"/>
        </a:p>
      </c:txPr>
    </c:legend>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tr-TR"/>
    </a:p>
  </c:txPr>
  <c:printSettings>
    <c:headerFooter alignWithMargins="0">
      <c:oddFooter>&amp;C</c:oddFooter>
    </c:headerFooter>
    <c:pageMargins b="0.75000000000000078" l="0.70000000000000062" r="0.70000000000000062" t="0.75000000000000078" header="0.30000000000000032" footer="0.30000000000000032"/>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Equity</a:t>
            </a:r>
          </a:p>
        </c:rich>
      </c:tx>
      <c:layout>
        <c:manualLayout>
          <c:xMode val="edge"/>
          <c:yMode val="edge"/>
          <c:x val="0.46412089495724707"/>
          <c:y val="2.678579213690516E-2"/>
        </c:manualLayout>
      </c:layout>
      <c:overlay val="0"/>
      <c:spPr>
        <a:solidFill>
          <a:srgbClr val="FFFFFF"/>
        </a:solidFill>
        <a:ln w="25400">
          <a:noFill/>
        </a:ln>
      </c:spPr>
    </c:title>
    <c:autoTitleDeleted val="0"/>
    <c:plotArea>
      <c:layout>
        <c:manualLayout>
          <c:layoutTarget val="inner"/>
          <c:xMode val="edge"/>
          <c:yMode val="edge"/>
          <c:x val="0.22222247339598863"/>
          <c:y val="7.1428779031747089E-2"/>
          <c:w val="0.77546383945475195"/>
          <c:h val="0.5148824488538436"/>
        </c:manualLayout>
      </c:layout>
      <c:lineChart>
        <c:grouping val="standard"/>
        <c:varyColors val="0"/>
        <c:ser>
          <c:idx val="0"/>
          <c:order val="0"/>
          <c:tx>
            <c:v>Paid-in capital</c:v>
          </c:tx>
          <c:spPr>
            <a:ln w="25400">
              <a:solidFill>
                <a:srgbClr val="3366FF"/>
              </a:solidFill>
              <a:prstDash val="solid"/>
            </a:ln>
          </c:spPr>
          <c:marker>
            <c:symbol val="none"/>
          </c:marker>
          <c:cat>
            <c:strRef>
              <c:f>[0]!Assets_Time_Period</c:f>
              <c:strCache>
                <c:ptCount val="19"/>
                <c:pt idx="0">
                  <c:v>MMM 2009</c:v>
                </c:pt>
                <c:pt idx="1">
                  <c:v>MMM 2010</c:v>
                </c:pt>
                <c:pt idx="2">
                  <c:v>MMM 2010</c:v>
                </c:pt>
                <c:pt idx="3">
                  <c:v>MMM 2010</c:v>
                </c:pt>
                <c:pt idx="4">
                  <c:v>MMM 2010</c:v>
                </c:pt>
                <c:pt idx="5">
                  <c:v>MMM 2010</c:v>
                </c:pt>
                <c:pt idx="6">
                  <c:v>MMM 2010</c:v>
                </c:pt>
                <c:pt idx="7">
                  <c:v>MMM 2010</c:v>
                </c:pt>
                <c:pt idx="8">
                  <c:v>MMM 2010</c:v>
                </c:pt>
                <c:pt idx="9">
                  <c:v>MMM 2010</c:v>
                </c:pt>
                <c:pt idx="10">
                  <c:v>MMM 2010</c:v>
                </c:pt>
                <c:pt idx="11">
                  <c:v>MMM 2010</c:v>
                </c:pt>
                <c:pt idx="12">
                  <c:v>MMM 2010</c:v>
                </c:pt>
                <c:pt idx="13">
                  <c:v>MMM 2011</c:v>
                </c:pt>
                <c:pt idx="14">
                  <c:v>MMM 2011</c:v>
                </c:pt>
                <c:pt idx="15">
                  <c:v>MMM 2011</c:v>
                </c:pt>
                <c:pt idx="16">
                  <c:v>MMM 2011</c:v>
                </c:pt>
                <c:pt idx="17">
                  <c:v>MMM 2011</c:v>
                </c:pt>
                <c:pt idx="18">
                  <c:v>MMM 2011</c:v>
                </c:pt>
              </c:strCache>
            </c:strRef>
          </c:cat>
          <c:val>
            <c:numRef>
              <c:f>[0]!Equity_Equity_PaidinCap</c:f>
              <c:numCache>
                <c:formatCode>"$"#,##0_);[Red]\("$"#,##0\)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mooth val="0"/>
        </c:ser>
        <c:ser>
          <c:idx val="1"/>
          <c:order val="1"/>
          <c:tx>
            <c:v>Retained Earnings</c:v>
          </c:tx>
          <c:spPr>
            <a:ln w="25400">
              <a:solidFill>
                <a:srgbClr val="000000"/>
              </a:solidFill>
              <a:prstDash val="lgDash"/>
            </a:ln>
          </c:spPr>
          <c:marker>
            <c:symbol val="none"/>
          </c:marker>
          <c:val>
            <c:numRef>
              <c:f>[0]!Equity_Equity_RetainedEarnings</c:f>
              <c:numCache>
                <c:formatCode>"$"#,##0_);[Red]\("$"#,##0\)</c:formatCode>
                <c:ptCount val="19"/>
                <c:pt idx="0">
                  <c:v>0</c:v>
                </c:pt>
                <c:pt idx="1">
                  <c:v>0</c:v>
                </c:pt>
                <c:pt idx="2">
                  <c:v>0</c:v>
                </c:pt>
                <c:pt idx="3">
                  <c:v>110000</c:v>
                </c:pt>
                <c:pt idx="4">
                  <c:v>220000</c:v>
                </c:pt>
                <c:pt idx="5">
                  <c:v>220000</c:v>
                </c:pt>
                <c:pt idx="6">
                  <c:v>300000</c:v>
                </c:pt>
                <c:pt idx="7">
                  <c:v>351739.10702893999</c:v>
                </c:pt>
                <c:pt idx="8">
                  <c:v>389243.21909324074</c:v>
                </c:pt>
                <c:pt idx="9">
                  <c:v>389243.21909324074</c:v>
                </c:pt>
                <c:pt idx="10">
                  <c:v>389243.21909324074</c:v>
                </c:pt>
                <c:pt idx="11">
                  <c:v>389243.21909324074</c:v>
                </c:pt>
                <c:pt idx="12">
                  <c:v>389243.21909324074</c:v>
                </c:pt>
                <c:pt idx="13">
                  <c:v>389243.21909324074</c:v>
                </c:pt>
                <c:pt idx="14">
                  <c:v>389243.21909324074</c:v>
                </c:pt>
                <c:pt idx="15">
                  <c:v>389243.21909324074</c:v>
                </c:pt>
                <c:pt idx="16">
                  <c:v>389243.21909324074</c:v>
                </c:pt>
                <c:pt idx="17">
                  <c:v>389243.21909324074</c:v>
                </c:pt>
                <c:pt idx="18">
                  <c:v>389243.21909324074</c:v>
                </c:pt>
              </c:numCache>
            </c:numRef>
          </c:val>
          <c:smooth val="0"/>
        </c:ser>
        <c:dLbls>
          <c:showLegendKey val="0"/>
          <c:showVal val="0"/>
          <c:showCatName val="0"/>
          <c:showSerName val="0"/>
          <c:showPercent val="0"/>
          <c:showBubbleSize val="0"/>
        </c:dLbls>
        <c:smooth val="0"/>
        <c:axId val="420099288"/>
        <c:axId val="420100072"/>
      </c:lineChart>
      <c:catAx>
        <c:axId val="420099288"/>
        <c:scaling>
          <c:orientation val="minMax"/>
        </c:scaling>
        <c:delete val="0"/>
        <c:axPos val="b"/>
        <c:numFmt formatCode="General" sourceLinked="1"/>
        <c:majorTickMark val="out"/>
        <c:minorTickMark val="none"/>
        <c:tickLblPos val="low"/>
        <c:spPr>
          <a:ln w="3175">
            <a:solidFill>
              <a:srgbClr val="808080"/>
            </a:solidFill>
            <a:prstDash val="solid"/>
          </a:ln>
        </c:spPr>
        <c:txPr>
          <a:bodyPr rot="-5400000" vert="horz"/>
          <a:lstStyle/>
          <a:p>
            <a:pPr>
              <a:defRPr sz="800" b="0" i="0" u="none" strike="noStrike" baseline="0">
                <a:solidFill>
                  <a:srgbClr val="000000"/>
                </a:solidFill>
                <a:latin typeface="Calibri"/>
                <a:ea typeface="Calibri"/>
                <a:cs typeface="Calibri"/>
              </a:defRPr>
            </a:pPr>
            <a:endParaRPr lang="tr-TR"/>
          </a:p>
        </c:txPr>
        <c:crossAx val="420100072"/>
        <c:crosses val="autoZero"/>
        <c:auto val="0"/>
        <c:lblAlgn val="ctr"/>
        <c:lblOffset val="100"/>
        <c:tickLblSkip val="1"/>
        <c:tickMarkSkip val="1"/>
        <c:noMultiLvlLbl val="0"/>
      </c:catAx>
      <c:valAx>
        <c:axId val="420100072"/>
        <c:scaling>
          <c:orientation val="minMax"/>
        </c:scaling>
        <c:delete val="0"/>
        <c:axPos val="l"/>
        <c:majorGridlines>
          <c:spPr>
            <a:ln w="3175">
              <a:solidFill>
                <a:srgbClr val="808080"/>
              </a:solidFill>
              <a:prstDash val="solid"/>
            </a:ln>
          </c:spPr>
        </c:majorGridlines>
        <c:numFmt formatCode="&quot;$&quot;#,##0_);[Red]\(&quot;$&quot;#,##0\)" sourceLinked="1"/>
        <c:majorTickMark val="out"/>
        <c:minorTickMark val="none"/>
        <c:tickLblPos val="low"/>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tr-TR"/>
          </a:p>
        </c:txPr>
        <c:crossAx val="420099288"/>
        <c:crossesAt val="1"/>
        <c:crossBetween val="between"/>
      </c:valAx>
      <c:spPr>
        <a:solidFill>
          <a:srgbClr val="FFFFFF"/>
        </a:solidFill>
        <a:ln w="25400">
          <a:noFill/>
        </a:ln>
      </c:spPr>
    </c:plotArea>
    <c:legend>
      <c:legendPos val="r"/>
      <c:layout>
        <c:manualLayout>
          <c:xMode val="edge"/>
          <c:yMode val="edge"/>
          <c:x val="0.34143557110321171"/>
          <c:y val="0.88095494139154751"/>
          <c:w val="0.40393564174583352"/>
          <c:h val="7.7381177284392685E-2"/>
        </c:manualLayout>
      </c:layout>
      <c:overlay val="0"/>
      <c:spPr>
        <a:noFill/>
        <a:ln w="25400">
          <a:noFill/>
        </a:ln>
      </c:spPr>
      <c:txPr>
        <a:bodyPr/>
        <a:lstStyle/>
        <a:p>
          <a:pPr>
            <a:defRPr sz="920" b="0" i="0" u="none" strike="noStrike" baseline="0">
              <a:solidFill>
                <a:srgbClr val="000000"/>
              </a:solidFill>
              <a:latin typeface="Calibri"/>
              <a:ea typeface="Calibri"/>
              <a:cs typeface="Calibri"/>
            </a:defRPr>
          </a:pPr>
          <a:endParaRPr lang="tr-TR"/>
        </a:p>
      </c:txPr>
    </c:legend>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tr-TR"/>
    </a:p>
  </c:txPr>
  <c:printSettings>
    <c:headerFooter alignWithMargins="0">
      <c:oddFooter>&amp;C</c:oddFooter>
    </c:headerFooter>
    <c:pageMargins b="0.750000000000001" l="0.70000000000000062" r="0.70000000000000062" t="0.750000000000001" header="0.30000000000000032" footer="0.30000000000000032"/>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Margins</a:t>
            </a:r>
          </a:p>
        </c:rich>
      </c:tx>
      <c:layout>
        <c:manualLayout>
          <c:xMode val="edge"/>
          <c:yMode val="edge"/>
          <c:x val="0.44444494679197727"/>
          <c:y val="2.3809593010582365E-2"/>
        </c:manualLayout>
      </c:layout>
      <c:overlay val="0"/>
      <c:spPr>
        <a:solidFill>
          <a:srgbClr val="FFFFFF"/>
        </a:solidFill>
        <a:ln w="25400">
          <a:noFill/>
        </a:ln>
      </c:spPr>
    </c:title>
    <c:autoTitleDeleted val="0"/>
    <c:plotArea>
      <c:layout>
        <c:manualLayout>
          <c:layoutTarget val="inner"/>
          <c:xMode val="edge"/>
          <c:yMode val="edge"/>
          <c:x val="0.14583349816611754"/>
          <c:y val="2.678579213690516E-2"/>
          <c:w val="0.77777865688596015"/>
          <c:h val="0.51190624972752086"/>
        </c:manualLayout>
      </c:layout>
      <c:lineChart>
        <c:grouping val="standard"/>
        <c:varyColors val="0"/>
        <c:ser>
          <c:idx val="0"/>
          <c:order val="0"/>
          <c:tx>
            <c:v>Revenue</c:v>
          </c:tx>
          <c:spPr>
            <a:ln w="25400">
              <a:solidFill>
                <a:srgbClr val="0000FF"/>
              </a:solidFill>
              <a:prstDash val="solid"/>
            </a:ln>
          </c:spPr>
          <c:marker>
            <c:symbol val="none"/>
          </c:marker>
          <c:cat>
            <c:strRef>
              <c:f>[0]!Revenue_Time_Period</c:f>
              <c:strCache>
                <c:ptCount val="18"/>
                <c:pt idx="0">
                  <c:v>MMM 2010</c:v>
                </c:pt>
                <c:pt idx="1">
                  <c:v>MMM 2010</c:v>
                </c:pt>
                <c:pt idx="2">
                  <c:v>MMM 2010</c:v>
                </c:pt>
                <c:pt idx="3">
                  <c:v>MMM 2010</c:v>
                </c:pt>
                <c:pt idx="4">
                  <c:v>MMM 2010</c:v>
                </c:pt>
                <c:pt idx="5">
                  <c:v>MMM 2010</c:v>
                </c:pt>
                <c:pt idx="6">
                  <c:v>MMM 2010</c:v>
                </c:pt>
                <c:pt idx="7">
                  <c:v>MMM 2010</c:v>
                </c:pt>
                <c:pt idx="8">
                  <c:v>MMM 2010</c:v>
                </c:pt>
                <c:pt idx="9">
                  <c:v>MMM 2010</c:v>
                </c:pt>
                <c:pt idx="10">
                  <c:v>MMM 2010</c:v>
                </c:pt>
                <c:pt idx="11">
                  <c:v>MMM 2010</c:v>
                </c:pt>
                <c:pt idx="12">
                  <c:v>MMM 2011</c:v>
                </c:pt>
                <c:pt idx="13">
                  <c:v>MMM 2011</c:v>
                </c:pt>
                <c:pt idx="14">
                  <c:v>MMM 2011</c:v>
                </c:pt>
                <c:pt idx="15">
                  <c:v>MMM 2011</c:v>
                </c:pt>
                <c:pt idx="16">
                  <c:v>MMM 2011</c:v>
                </c:pt>
                <c:pt idx="17">
                  <c:v>MMM 2011</c:v>
                </c:pt>
              </c:strCache>
            </c:strRef>
          </c:cat>
          <c:val>
            <c:numRef>
              <c:f>[0]!Revenue_Practice_Areas</c:f>
              <c:numCache>
                <c:formatCode>"$"#,##0_);[Red]\("$"#,##0\)</c:formatCode>
                <c:ptCount val="18"/>
                <c:pt idx="0">
                  <c:v>0</c:v>
                </c:pt>
                <c:pt idx="1">
                  <c:v>0</c:v>
                </c:pt>
                <c:pt idx="2">
                  <c:v>112750</c:v>
                </c:pt>
                <c:pt idx="3">
                  <c:v>112750</c:v>
                </c:pt>
                <c:pt idx="4">
                  <c:v>0</c:v>
                </c:pt>
                <c:pt idx="5">
                  <c:v>82000</c:v>
                </c:pt>
                <c:pt idx="6">
                  <c:v>82000</c:v>
                </c:pt>
                <c:pt idx="7">
                  <c:v>82000</c:v>
                </c:pt>
                <c:pt idx="8">
                  <c:v>0</c:v>
                </c:pt>
                <c:pt idx="9">
                  <c:v>0</c:v>
                </c:pt>
                <c:pt idx="10">
                  <c:v>0</c:v>
                </c:pt>
                <c:pt idx="11">
                  <c:v>0</c:v>
                </c:pt>
                <c:pt idx="12">
                  <c:v>0</c:v>
                </c:pt>
                <c:pt idx="13">
                  <c:v>0</c:v>
                </c:pt>
                <c:pt idx="14">
                  <c:v>0</c:v>
                </c:pt>
                <c:pt idx="15">
                  <c:v>0</c:v>
                </c:pt>
                <c:pt idx="16">
                  <c:v>0</c:v>
                </c:pt>
                <c:pt idx="17">
                  <c:v>0</c:v>
                </c:pt>
              </c:numCache>
            </c:numRef>
          </c:val>
          <c:smooth val="0"/>
        </c:ser>
        <c:ser>
          <c:idx val="1"/>
          <c:order val="1"/>
          <c:tx>
            <c:v>Gross Margin</c:v>
          </c:tx>
          <c:spPr>
            <a:ln w="25400">
              <a:solidFill>
                <a:srgbClr val="FF0000"/>
              </a:solidFill>
              <a:prstDash val="solid"/>
            </a:ln>
          </c:spPr>
          <c:marker>
            <c:symbol val="none"/>
          </c:marker>
          <c:val>
            <c:numRef>
              <c:f>[0]!Gross_Margin_Practice_Areas</c:f>
              <c:numCache>
                <c:formatCode>"$"#,##0_);[Red]\("$"#,##0\)</c:formatCode>
                <c:ptCount val="18"/>
                <c:pt idx="0">
                  <c:v>0</c:v>
                </c:pt>
                <c:pt idx="1">
                  <c:v>0</c:v>
                </c:pt>
                <c:pt idx="2">
                  <c:v>110000</c:v>
                </c:pt>
                <c:pt idx="3">
                  <c:v>110000</c:v>
                </c:pt>
                <c:pt idx="4">
                  <c:v>0</c:v>
                </c:pt>
                <c:pt idx="5">
                  <c:v>80000</c:v>
                </c:pt>
                <c:pt idx="6">
                  <c:v>51739.107028939994</c:v>
                </c:pt>
                <c:pt idx="7">
                  <c:v>37504.112064300745</c:v>
                </c:pt>
                <c:pt idx="8">
                  <c:v>0</c:v>
                </c:pt>
                <c:pt idx="9">
                  <c:v>0</c:v>
                </c:pt>
                <c:pt idx="10">
                  <c:v>0</c:v>
                </c:pt>
                <c:pt idx="11">
                  <c:v>0</c:v>
                </c:pt>
                <c:pt idx="12">
                  <c:v>0</c:v>
                </c:pt>
                <c:pt idx="13">
                  <c:v>0</c:v>
                </c:pt>
                <c:pt idx="14">
                  <c:v>0</c:v>
                </c:pt>
                <c:pt idx="15">
                  <c:v>0</c:v>
                </c:pt>
                <c:pt idx="16">
                  <c:v>0</c:v>
                </c:pt>
                <c:pt idx="17">
                  <c:v>0</c:v>
                </c:pt>
              </c:numCache>
            </c:numRef>
          </c:val>
          <c:smooth val="0"/>
        </c:ser>
        <c:ser>
          <c:idx val="2"/>
          <c:order val="2"/>
          <c:tx>
            <c:v>Operating Margin</c:v>
          </c:tx>
          <c:spPr>
            <a:ln w="25400">
              <a:solidFill>
                <a:srgbClr val="339966"/>
              </a:solidFill>
              <a:prstDash val="solid"/>
            </a:ln>
          </c:spPr>
          <c:marker>
            <c:symbol val="none"/>
          </c:marker>
          <c:val>
            <c:numRef>
              <c:f>[0]!Operating_Margin</c:f>
              <c:numCache>
                <c:formatCode>"$"#,##0_);[Red]\("$"#,##0\)</c:formatCode>
                <c:ptCount val="18"/>
                <c:pt idx="0">
                  <c:v>0</c:v>
                </c:pt>
                <c:pt idx="1">
                  <c:v>0</c:v>
                </c:pt>
                <c:pt idx="2">
                  <c:v>110000</c:v>
                </c:pt>
                <c:pt idx="3">
                  <c:v>110000</c:v>
                </c:pt>
                <c:pt idx="4">
                  <c:v>0</c:v>
                </c:pt>
                <c:pt idx="5">
                  <c:v>80000</c:v>
                </c:pt>
                <c:pt idx="6">
                  <c:v>51739.107028939994</c:v>
                </c:pt>
                <c:pt idx="7">
                  <c:v>37504.112064300745</c:v>
                </c:pt>
                <c:pt idx="8">
                  <c:v>0</c:v>
                </c:pt>
                <c:pt idx="9">
                  <c:v>0</c:v>
                </c:pt>
                <c:pt idx="10">
                  <c:v>0</c:v>
                </c:pt>
                <c:pt idx="11">
                  <c:v>0</c:v>
                </c:pt>
                <c:pt idx="12">
                  <c:v>0</c:v>
                </c:pt>
                <c:pt idx="13">
                  <c:v>0</c:v>
                </c:pt>
                <c:pt idx="14">
                  <c:v>0</c:v>
                </c:pt>
                <c:pt idx="15">
                  <c:v>0</c:v>
                </c:pt>
                <c:pt idx="16">
                  <c:v>0</c:v>
                </c:pt>
                <c:pt idx="17">
                  <c:v>0</c:v>
                </c:pt>
              </c:numCache>
            </c:numRef>
          </c:val>
          <c:smooth val="0"/>
        </c:ser>
        <c:ser>
          <c:idx val="3"/>
          <c:order val="3"/>
          <c:tx>
            <c:v>Net Income</c:v>
          </c:tx>
          <c:spPr>
            <a:ln w="25400">
              <a:solidFill>
                <a:srgbClr val="000000"/>
              </a:solidFill>
              <a:prstDash val="lgDash"/>
            </a:ln>
          </c:spPr>
          <c:marker>
            <c:symbol val="none"/>
          </c:marker>
          <c:val>
            <c:numRef>
              <c:f>[0]!Net_Income</c:f>
              <c:numCache>
                <c:formatCode>"$"#,##0_);[Red]\("$"#,##0\)</c:formatCode>
                <c:ptCount val="18"/>
                <c:pt idx="0">
                  <c:v>0</c:v>
                </c:pt>
                <c:pt idx="1">
                  <c:v>0</c:v>
                </c:pt>
                <c:pt idx="2">
                  <c:v>110000</c:v>
                </c:pt>
                <c:pt idx="3">
                  <c:v>110000</c:v>
                </c:pt>
                <c:pt idx="4">
                  <c:v>0</c:v>
                </c:pt>
                <c:pt idx="5">
                  <c:v>80000</c:v>
                </c:pt>
                <c:pt idx="6">
                  <c:v>51739.107028939994</c:v>
                </c:pt>
                <c:pt idx="7">
                  <c:v>37504.112064300745</c:v>
                </c:pt>
                <c:pt idx="8">
                  <c:v>0</c:v>
                </c:pt>
                <c:pt idx="9">
                  <c:v>0</c:v>
                </c:pt>
                <c:pt idx="10">
                  <c:v>0</c:v>
                </c:pt>
                <c:pt idx="11">
                  <c:v>0</c:v>
                </c:pt>
                <c:pt idx="12">
                  <c:v>0</c:v>
                </c:pt>
                <c:pt idx="13">
                  <c:v>0</c:v>
                </c:pt>
                <c:pt idx="14">
                  <c:v>0</c:v>
                </c:pt>
                <c:pt idx="15">
                  <c:v>0</c:v>
                </c:pt>
                <c:pt idx="16">
                  <c:v>0</c:v>
                </c:pt>
                <c:pt idx="17">
                  <c:v>0</c:v>
                </c:pt>
              </c:numCache>
            </c:numRef>
          </c:val>
          <c:smooth val="0"/>
        </c:ser>
        <c:dLbls>
          <c:showLegendKey val="0"/>
          <c:showVal val="0"/>
          <c:showCatName val="0"/>
          <c:showSerName val="0"/>
          <c:showPercent val="0"/>
          <c:showBubbleSize val="0"/>
        </c:dLbls>
        <c:smooth val="0"/>
        <c:axId val="420100856"/>
        <c:axId val="420099680"/>
      </c:lineChart>
      <c:catAx>
        <c:axId val="420100856"/>
        <c:scaling>
          <c:orientation val="minMax"/>
        </c:scaling>
        <c:delete val="0"/>
        <c:axPos val="b"/>
        <c:numFmt formatCode="General" sourceLinked="1"/>
        <c:majorTickMark val="out"/>
        <c:minorTickMark val="none"/>
        <c:tickLblPos val="low"/>
        <c:spPr>
          <a:ln w="3175">
            <a:solidFill>
              <a:srgbClr val="808080"/>
            </a:solidFill>
            <a:prstDash val="solid"/>
          </a:ln>
        </c:spPr>
        <c:txPr>
          <a:bodyPr rot="-5400000" vert="horz"/>
          <a:lstStyle/>
          <a:p>
            <a:pPr>
              <a:defRPr sz="800" b="0" i="0" u="none" strike="noStrike" baseline="0">
                <a:solidFill>
                  <a:srgbClr val="000000"/>
                </a:solidFill>
                <a:latin typeface="Calibri"/>
                <a:ea typeface="Calibri"/>
                <a:cs typeface="Calibri"/>
              </a:defRPr>
            </a:pPr>
            <a:endParaRPr lang="tr-TR"/>
          </a:p>
        </c:txPr>
        <c:crossAx val="420099680"/>
        <c:crosses val="autoZero"/>
        <c:auto val="0"/>
        <c:lblAlgn val="ctr"/>
        <c:lblOffset val="100"/>
        <c:tickLblSkip val="1"/>
        <c:tickMarkSkip val="1"/>
        <c:noMultiLvlLbl val="0"/>
      </c:catAx>
      <c:valAx>
        <c:axId val="420099680"/>
        <c:scaling>
          <c:orientation val="minMax"/>
        </c:scaling>
        <c:delete val="0"/>
        <c:axPos val="l"/>
        <c:majorGridlines>
          <c:spPr>
            <a:ln w="3175">
              <a:solidFill>
                <a:srgbClr val="808080"/>
              </a:solidFill>
              <a:prstDash val="solid"/>
            </a:ln>
          </c:spPr>
        </c:majorGridlines>
        <c:numFmt formatCode="&quot;$&quot;#,##0_);[Red]\(&quot;$&quot;#,##0\)"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tr-TR"/>
          </a:p>
        </c:txPr>
        <c:crossAx val="420100856"/>
        <c:crossesAt val="1"/>
        <c:crossBetween val="between"/>
      </c:valAx>
      <c:spPr>
        <a:solidFill>
          <a:srgbClr val="FFFFFF"/>
        </a:solidFill>
        <a:ln w="25400">
          <a:noFill/>
        </a:ln>
      </c:spPr>
    </c:plotArea>
    <c:legend>
      <c:legendPos val="r"/>
      <c:layout>
        <c:manualLayout>
          <c:xMode val="edge"/>
          <c:yMode val="edge"/>
          <c:x val="0.13541681972568057"/>
          <c:y val="0.86607394575993346"/>
          <c:w val="0.78703792661079308"/>
          <c:h val="8.6309774663361066E-2"/>
        </c:manualLayout>
      </c:layout>
      <c:overlay val="0"/>
      <c:spPr>
        <a:noFill/>
        <a:ln w="25400">
          <a:noFill/>
        </a:ln>
      </c:spPr>
      <c:txPr>
        <a:bodyPr/>
        <a:lstStyle/>
        <a:p>
          <a:pPr>
            <a:defRPr sz="920" b="0" i="0" u="none" strike="noStrike" baseline="0">
              <a:solidFill>
                <a:srgbClr val="000000"/>
              </a:solidFill>
              <a:latin typeface="Calibri"/>
              <a:ea typeface="Calibri"/>
              <a:cs typeface="Calibri"/>
            </a:defRPr>
          </a:pPr>
          <a:endParaRPr lang="tr-TR"/>
        </a:p>
      </c:txPr>
    </c:legend>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tr-TR"/>
    </a:p>
  </c:txPr>
  <c:printSettings>
    <c:headerFooter alignWithMargins="0">
      <c:oddFooter>&amp;C</c:oddFooter>
    </c:headerFooter>
    <c:pageMargins b="0.75000000000000078" l="0.70000000000000062" r="0.70000000000000062" t="0.75000000000000078" header="0.30000000000000032" footer="0.30000000000000032"/>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Operating Expense</a:t>
            </a:r>
          </a:p>
        </c:rich>
      </c:tx>
      <c:layout>
        <c:manualLayout>
          <c:xMode val="edge"/>
          <c:yMode val="edge"/>
          <c:x val="0.37500042385573079"/>
          <c:y val="2.3809593010582365E-2"/>
        </c:manualLayout>
      </c:layout>
      <c:overlay val="0"/>
      <c:spPr>
        <a:solidFill>
          <a:srgbClr val="FFFFFF"/>
        </a:solidFill>
        <a:ln w="25400">
          <a:noFill/>
        </a:ln>
      </c:spPr>
    </c:title>
    <c:autoTitleDeleted val="0"/>
    <c:plotArea>
      <c:layout>
        <c:manualLayout>
          <c:layoutTarget val="inner"/>
          <c:xMode val="edge"/>
          <c:yMode val="edge"/>
          <c:x val="0.13657422844128467"/>
          <c:y val="5.952398252645591E-2"/>
          <c:w val="0.82754723165693678"/>
          <c:h val="0.60714462176985029"/>
        </c:manualLayout>
      </c:layout>
      <c:lineChart>
        <c:grouping val="standard"/>
        <c:varyColors val="0"/>
        <c:ser>
          <c:idx val="0"/>
          <c:order val="0"/>
          <c:tx>
            <c:v>Total</c:v>
          </c:tx>
          <c:spPr>
            <a:ln w="25400">
              <a:solidFill>
                <a:srgbClr val="000000"/>
              </a:solidFill>
              <a:prstDash val="solid"/>
            </a:ln>
          </c:spPr>
          <c:marker>
            <c:symbol val="none"/>
          </c:marker>
          <c:cat>
            <c:strRef>
              <c:f>[0]!Operating_Exp_Time_Period</c:f>
              <c:strCache>
                <c:ptCount val="18"/>
                <c:pt idx="0">
                  <c:v>MMM 2010</c:v>
                </c:pt>
                <c:pt idx="1">
                  <c:v>MMM 2010</c:v>
                </c:pt>
                <c:pt idx="2">
                  <c:v>MMM 2010</c:v>
                </c:pt>
                <c:pt idx="3">
                  <c:v>MMM 2010</c:v>
                </c:pt>
                <c:pt idx="4">
                  <c:v>MMM 2010</c:v>
                </c:pt>
                <c:pt idx="5">
                  <c:v>MMM 2010</c:v>
                </c:pt>
                <c:pt idx="6">
                  <c:v>MMM 2010</c:v>
                </c:pt>
                <c:pt idx="7">
                  <c:v>MMM 2010</c:v>
                </c:pt>
                <c:pt idx="8">
                  <c:v>MMM 2010</c:v>
                </c:pt>
                <c:pt idx="9">
                  <c:v>MMM 2010</c:v>
                </c:pt>
                <c:pt idx="10">
                  <c:v>MMM 2010</c:v>
                </c:pt>
                <c:pt idx="11">
                  <c:v>MMM 2010</c:v>
                </c:pt>
                <c:pt idx="12">
                  <c:v>MMM 2011</c:v>
                </c:pt>
                <c:pt idx="13">
                  <c:v>MMM 2011</c:v>
                </c:pt>
                <c:pt idx="14">
                  <c:v>MMM 2011</c:v>
                </c:pt>
                <c:pt idx="15">
                  <c:v>MMM 2011</c:v>
                </c:pt>
                <c:pt idx="16">
                  <c:v>MMM 2011</c:v>
                </c:pt>
                <c:pt idx="17">
                  <c:v>MMM 2011</c:v>
                </c:pt>
              </c:strCache>
            </c:strRef>
          </c:cat>
          <c:val>
            <c:numRef>
              <c:f>[0]!Operating_Exp_Depts</c:f>
              <c:numCache>
                <c:formatCode>"$"#,##0_);[Red]\("$"#,##0\)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ser>
        <c:dLbls>
          <c:showLegendKey val="0"/>
          <c:showVal val="0"/>
          <c:showCatName val="0"/>
          <c:showSerName val="0"/>
          <c:showPercent val="0"/>
          <c:showBubbleSize val="0"/>
        </c:dLbls>
        <c:smooth val="0"/>
        <c:axId val="420101640"/>
        <c:axId val="525842160"/>
      </c:lineChart>
      <c:catAx>
        <c:axId val="420101640"/>
        <c:scaling>
          <c:orientation val="minMax"/>
        </c:scaling>
        <c:delete val="0"/>
        <c:axPos val="b"/>
        <c:numFmt formatCode="General" sourceLinked="1"/>
        <c:majorTickMark val="out"/>
        <c:minorTickMark val="none"/>
        <c:tickLblPos val="nextTo"/>
        <c:spPr>
          <a:ln w="3175">
            <a:solidFill>
              <a:srgbClr val="808080"/>
            </a:solidFill>
            <a:prstDash val="solid"/>
          </a:ln>
        </c:spPr>
        <c:txPr>
          <a:bodyPr rot="-5400000" vert="horz"/>
          <a:lstStyle/>
          <a:p>
            <a:pPr>
              <a:defRPr sz="800" b="0" i="0" u="none" strike="noStrike" baseline="0">
                <a:solidFill>
                  <a:srgbClr val="000000"/>
                </a:solidFill>
                <a:latin typeface="Calibri"/>
                <a:ea typeface="Calibri"/>
                <a:cs typeface="Calibri"/>
              </a:defRPr>
            </a:pPr>
            <a:endParaRPr lang="tr-TR"/>
          </a:p>
        </c:txPr>
        <c:crossAx val="525842160"/>
        <c:crosses val="autoZero"/>
        <c:auto val="0"/>
        <c:lblAlgn val="ctr"/>
        <c:lblOffset val="100"/>
        <c:tickLblSkip val="1"/>
        <c:tickMarkSkip val="1"/>
        <c:noMultiLvlLbl val="0"/>
      </c:catAx>
      <c:valAx>
        <c:axId val="525842160"/>
        <c:scaling>
          <c:orientation val="minMax"/>
        </c:scaling>
        <c:delete val="0"/>
        <c:axPos val="l"/>
        <c:majorGridlines>
          <c:spPr>
            <a:ln w="3175">
              <a:solidFill>
                <a:srgbClr val="808080"/>
              </a:solidFill>
              <a:prstDash val="solid"/>
            </a:ln>
          </c:spPr>
        </c:majorGridlines>
        <c:numFmt formatCode="&quot;$&quot;#,##0_);[Red]\(&quot;$&quot;#,##0\)"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tr-TR"/>
          </a:p>
        </c:txPr>
        <c:crossAx val="420101640"/>
        <c:crossesAt val="1"/>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tr-TR"/>
    </a:p>
  </c:txPr>
  <c:printSettings>
    <c:headerFooter alignWithMargins="0">
      <c:oddFooter>&amp;C</c:oddFooter>
    </c:headerFooter>
    <c:pageMargins b="0.750000000000001" l="0.70000000000000062" r="0.70000000000000062" t="0.750000000000001" header="0.30000000000000032" footer="0.30000000000000032"/>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Employee Count</a:t>
            </a:r>
          </a:p>
        </c:rich>
      </c:tx>
      <c:layout>
        <c:manualLayout>
          <c:xMode val="edge"/>
          <c:yMode val="edge"/>
          <c:x val="0.40972268532385403"/>
          <c:y val="4.1666787768519134E-2"/>
        </c:manualLayout>
      </c:layout>
      <c:overlay val="0"/>
      <c:spPr>
        <a:solidFill>
          <a:srgbClr val="FFFFFF"/>
        </a:solidFill>
        <a:ln w="25400">
          <a:noFill/>
        </a:ln>
      </c:spPr>
    </c:title>
    <c:autoTitleDeleted val="0"/>
    <c:plotArea>
      <c:layout>
        <c:manualLayout>
          <c:layoutTarget val="inner"/>
          <c:xMode val="edge"/>
          <c:yMode val="edge"/>
          <c:x val="6.8287114220642334E-2"/>
          <c:y val="6.8452579905424291E-2"/>
          <c:w val="0.915510294042849"/>
          <c:h val="0.48809665671693847"/>
        </c:manualLayout>
      </c:layout>
      <c:lineChart>
        <c:grouping val="standard"/>
        <c:varyColors val="0"/>
        <c:ser>
          <c:idx val="0"/>
          <c:order val="0"/>
          <c:tx>
            <c:v>Professional Staff</c:v>
          </c:tx>
          <c:spPr>
            <a:ln w="25400">
              <a:solidFill>
                <a:srgbClr val="0000FF"/>
              </a:solidFill>
              <a:prstDash val="lgDash"/>
            </a:ln>
          </c:spPr>
          <c:marker>
            <c:symbol val="none"/>
          </c:marker>
          <c:cat>
            <c:strRef>
              <c:f>[0]!Sup_Staff_Count_Time_Period</c:f>
              <c:strCache>
                <c:ptCount val="18"/>
                <c:pt idx="0">
                  <c:v>MMM 2010</c:v>
                </c:pt>
                <c:pt idx="1">
                  <c:v>MMM 2010</c:v>
                </c:pt>
                <c:pt idx="2">
                  <c:v>MMM 2010</c:v>
                </c:pt>
                <c:pt idx="3">
                  <c:v>MMM 2010</c:v>
                </c:pt>
                <c:pt idx="4">
                  <c:v>MMM 2010</c:v>
                </c:pt>
                <c:pt idx="5">
                  <c:v>MMM 2010</c:v>
                </c:pt>
                <c:pt idx="6">
                  <c:v>MMM 2010</c:v>
                </c:pt>
                <c:pt idx="7">
                  <c:v>MMM 2010</c:v>
                </c:pt>
                <c:pt idx="8">
                  <c:v>MMM 2010</c:v>
                </c:pt>
                <c:pt idx="9">
                  <c:v>MMM 2010</c:v>
                </c:pt>
                <c:pt idx="10">
                  <c:v>MMM 2010</c:v>
                </c:pt>
                <c:pt idx="11">
                  <c:v>MMM 2010</c:v>
                </c:pt>
                <c:pt idx="12">
                  <c:v>MMM 2011</c:v>
                </c:pt>
                <c:pt idx="13">
                  <c:v>MMM 2011</c:v>
                </c:pt>
                <c:pt idx="14">
                  <c:v>MMM 2011</c:v>
                </c:pt>
                <c:pt idx="15">
                  <c:v>MMM 2011</c:v>
                </c:pt>
                <c:pt idx="16">
                  <c:v>MMM 2011</c:v>
                </c:pt>
                <c:pt idx="17">
                  <c:v>MMM 2011</c:v>
                </c:pt>
              </c:strCache>
            </c:strRef>
          </c:cat>
          <c:val>
            <c:numRef>
              <c:f>[0]!Prof_Staff_Count_plt</c:f>
              <c:numCache>
                <c:formatCode>#,##0.0</c:formatCode>
                <c:ptCount val="18"/>
                <c:pt idx="0">
                  <c:v>0</c:v>
                </c:pt>
                <c:pt idx="1">
                  <c:v>0</c:v>
                </c:pt>
                <c:pt idx="2">
                  <c:v>0</c:v>
                </c:pt>
                <c:pt idx="3">
                  <c:v>0</c:v>
                </c:pt>
                <c:pt idx="4">
                  <c:v>0</c:v>
                </c:pt>
                <c:pt idx="5">
                  <c:v>0</c:v>
                </c:pt>
                <c:pt idx="6">
                  <c:v>2</c:v>
                </c:pt>
                <c:pt idx="7">
                  <c:v>4</c:v>
                </c:pt>
                <c:pt idx="8">
                  <c:v>0</c:v>
                </c:pt>
                <c:pt idx="9">
                  <c:v>0</c:v>
                </c:pt>
                <c:pt idx="10">
                  <c:v>0</c:v>
                </c:pt>
                <c:pt idx="11">
                  <c:v>0</c:v>
                </c:pt>
                <c:pt idx="12">
                  <c:v>0</c:v>
                </c:pt>
                <c:pt idx="13">
                  <c:v>0</c:v>
                </c:pt>
                <c:pt idx="14">
                  <c:v>0</c:v>
                </c:pt>
                <c:pt idx="15">
                  <c:v>0</c:v>
                </c:pt>
                <c:pt idx="16">
                  <c:v>0</c:v>
                </c:pt>
                <c:pt idx="17">
                  <c:v>0</c:v>
                </c:pt>
              </c:numCache>
            </c:numRef>
          </c:val>
          <c:smooth val="0"/>
        </c:ser>
        <c:ser>
          <c:idx val="1"/>
          <c:order val="1"/>
          <c:tx>
            <c:v>Support Staff</c:v>
          </c:tx>
          <c:spPr>
            <a:ln w="25400">
              <a:solidFill>
                <a:srgbClr val="FF0000"/>
              </a:solidFill>
              <a:prstDash val="solid"/>
            </a:ln>
          </c:spPr>
          <c:marker>
            <c:symbol val="none"/>
          </c:marker>
          <c:cat>
            <c:strRef>
              <c:f>[0]!Sup_Staff_Count_Time_Period</c:f>
              <c:strCache>
                <c:ptCount val="18"/>
                <c:pt idx="0">
                  <c:v>MMM 2010</c:v>
                </c:pt>
                <c:pt idx="1">
                  <c:v>MMM 2010</c:v>
                </c:pt>
                <c:pt idx="2">
                  <c:v>MMM 2010</c:v>
                </c:pt>
                <c:pt idx="3">
                  <c:v>MMM 2010</c:v>
                </c:pt>
                <c:pt idx="4">
                  <c:v>MMM 2010</c:v>
                </c:pt>
                <c:pt idx="5">
                  <c:v>MMM 2010</c:v>
                </c:pt>
                <c:pt idx="6">
                  <c:v>MMM 2010</c:v>
                </c:pt>
                <c:pt idx="7">
                  <c:v>MMM 2010</c:v>
                </c:pt>
                <c:pt idx="8">
                  <c:v>MMM 2010</c:v>
                </c:pt>
                <c:pt idx="9">
                  <c:v>MMM 2010</c:v>
                </c:pt>
                <c:pt idx="10">
                  <c:v>MMM 2010</c:v>
                </c:pt>
                <c:pt idx="11">
                  <c:v>MMM 2010</c:v>
                </c:pt>
                <c:pt idx="12">
                  <c:v>MMM 2011</c:v>
                </c:pt>
                <c:pt idx="13">
                  <c:v>MMM 2011</c:v>
                </c:pt>
                <c:pt idx="14">
                  <c:v>MMM 2011</c:v>
                </c:pt>
                <c:pt idx="15">
                  <c:v>MMM 2011</c:v>
                </c:pt>
                <c:pt idx="16">
                  <c:v>MMM 2011</c:v>
                </c:pt>
                <c:pt idx="17">
                  <c:v>MMM 2011</c:v>
                </c:pt>
              </c:strCache>
            </c:strRef>
          </c:cat>
          <c:val>
            <c:numRef>
              <c:f>[0]!Sup_Staff_Count_Depts</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ser>
        <c:dLbls>
          <c:showLegendKey val="0"/>
          <c:showVal val="0"/>
          <c:showCatName val="0"/>
          <c:showSerName val="0"/>
          <c:showPercent val="0"/>
          <c:showBubbleSize val="0"/>
        </c:dLbls>
        <c:smooth val="0"/>
        <c:axId val="525840200"/>
        <c:axId val="525843336"/>
      </c:lineChart>
      <c:catAx>
        <c:axId val="525840200"/>
        <c:scaling>
          <c:orientation val="minMax"/>
        </c:scaling>
        <c:delete val="0"/>
        <c:axPos val="b"/>
        <c:numFmt formatCode="General" sourceLinked="1"/>
        <c:majorTickMark val="out"/>
        <c:minorTickMark val="none"/>
        <c:tickLblPos val="nextTo"/>
        <c:spPr>
          <a:ln w="3175">
            <a:solidFill>
              <a:srgbClr val="808080"/>
            </a:solidFill>
            <a:prstDash val="solid"/>
          </a:ln>
        </c:spPr>
        <c:txPr>
          <a:bodyPr rot="-5400000" vert="horz"/>
          <a:lstStyle/>
          <a:p>
            <a:pPr>
              <a:defRPr sz="800" b="0" i="0" u="none" strike="noStrike" baseline="0">
                <a:solidFill>
                  <a:srgbClr val="000000"/>
                </a:solidFill>
                <a:latin typeface="Calibri"/>
                <a:ea typeface="Calibri"/>
                <a:cs typeface="Calibri"/>
              </a:defRPr>
            </a:pPr>
            <a:endParaRPr lang="tr-TR"/>
          </a:p>
        </c:txPr>
        <c:crossAx val="525843336"/>
        <c:crosses val="autoZero"/>
        <c:auto val="0"/>
        <c:lblAlgn val="ctr"/>
        <c:lblOffset val="100"/>
        <c:tickLblSkip val="1"/>
        <c:tickMarkSkip val="1"/>
        <c:noMultiLvlLbl val="0"/>
      </c:catAx>
      <c:valAx>
        <c:axId val="525843336"/>
        <c:scaling>
          <c:orientation val="minMax"/>
        </c:scaling>
        <c:delete val="0"/>
        <c:axPos val="l"/>
        <c:majorGridlines>
          <c:spPr>
            <a:ln w="3175">
              <a:solidFill>
                <a:srgbClr val="808080"/>
              </a:solidFill>
              <a:prstDash val="solid"/>
            </a:ln>
          </c:spPr>
        </c:majorGridlines>
        <c:numFmt formatCode="#,##0" sourceLinked="0"/>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tr-TR"/>
          </a:p>
        </c:txPr>
        <c:crossAx val="525840200"/>
        <c:crossesAt val="1"/>
        <c:crossBetween val="between"/>
      </c:valAx>
      <c:spPr>
        <a:solidFill>
          <a:srgbClr val="FFFFFF"/>
        </a:solidFill>
        <a:ln w="25400">
          <a:noFill/>
        </a:ln>
      </c:spPr>
    </c:plotArea>
    <c:legend>
      <c:legendPos val="r"/>
      <c:layout>
        <c:manualLayout>
          <c:xMode val="edge"/>
          <c:yMode val="edge"/>
          <c:x val="0.30787071835069257"/>
          <c:y val="0.90178833527580704"/>
          <c:w val="0.37963005871814726"/>
          <c:h val="7.4404978158069887E-2"/>
        </c:manualLayout>
      </c:layout>
      <c:overlay val="0"/>
      <c:spPr>
        <a:noFill/>
        <a:ln w="25400">
          <a:noFill/>
        </a:ln>
      </c:spPr>
      <c:txPr>
        <a:bodyPr/>
        <a:lstStyle/>
        <a:p>
          <a:pPr>
            <a:defRPr sz="920" b="0" i="0" u="none" strike="noStrike" baseline="0">
              <a:solidFill>
                <a:srgbClr val="000000"/>
              </a:solidFill>
              <a:latin typeface="Calibri"/>
              <a:ea typeface="Calibri"/>
              <a:cs typeface="Calibri"/>
            </a:defRPr>
          </a:pPr>
          <a:endParaRPr lang="tr-TR"/>
        </a:p>
      </c:txPr>
    </c:legend>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tr-TR"/>
    </a:p>
  </c:txPr>
  <c:printSettings>
    <c:headerFooter alignWithMargins="0">
      <c:oddFooter>&amp;C</c:oddFooter>
    </c:headerFooter>
    <c:pageMargins b="0.75000000000000122" l="0.70000000000000062" r="0.70000000000000062" t="0.75000000000000122" header="0.30000000000000032" footer="0.30000000000000032"/>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Professional Staff Hours</a:t>
            </a:r>
          </a:p>
        </c:rich>
      </c:tx>
      <c:layout>
        <c:manualLayout>
          <c:xMode val="edge"/>
          <c:yMode val="edge"/>
          <c:x val="0.3564818844060651"/>
          <c:y val="2.3809593010582365E-2"/>
        </c:manualLayout>
      </c:layout>
      <c:overlay val="0"/>
      <c:spPr>
        <a:solidFill>
          <a:srgbClr val="FFFFFF"/>
        </a:solidFill>
        <a:ln w="25400">
          <a:noFill/>
        </a:ln>
      </c:spPr>
    </c:title>
    <c:autoTitleDeleted val="0"/>
    <c:plotArea>
      <c:layout>
        <c:manualLayout>
          <c:layoutTarget val="inner"/>
          <c:xMode val="edge"/>
          <c:yMode val="edge"/>
          <c:x val="9.3750105963932698E-2"/>
          <c:y val="8.0357376410715484E-2"/>
          <c:w val="0.88773248486835044"/>
          <c:h val="0.46726326283267888"/>
        </c:manualLayout>
      </c:layout>
      <c:lineChart>
        <c:grouping val="standard"/>
        <c:varyColors val="0"/>
        <c:ser>
          <c:idx val="1"/>
          <c:order val="0"/>
          <c:tx>
            <c:v>Capacity</c:v>
          </c:tx>
          <c:spPr>
            <a:ln w="25400">
              <a:solidFill>
                <a:srgbClr val="808080"/>
              </a:solidFill>
              <a:prstDash val="lgDash"/>
            </a:ln>
          </c:spPr>
          <c:marker>
            <c:symbol val="none"/>
          </c:marker>
          <c:cat>
            <c:strRef>
              <c:f>[0]!Prof_Staff_Hrs_Capacity_Time_Period</c:f>
              <c:strCache>
                <c:ptCount val="18"/>
                <c:pt idx="0">
                  <c:v>MMM 2010</c:v>
                </c:pt>
                <c:pt idx="1">
                  <c:v>MMM 2010</c:v>
                </c:pt>
                <c:pt idx="2">
                  <c:v>MMM 2010</c:v>
                </c:pt>
                <c:pt idx="3">
                  <c:v>MMM 2010</c:v>
                </c:pt>
                <c:pt idx="4">
                  <c:v>MMM 2010</c:v>
                </c:pt>
                <c:pt idx="5">
                  <c:v>MMM 2010</c:v>
                </c:pt>
                <c:pt idx="6">
                  <c:v>MMM 2010</c:v>
                </c:pt>
                <c:pt idx="7">
                  <c:v>MMM 2010</c:v>
                </c:pt>
                <c:pt idx="8">
                  <c:v>MMM 2010</c:v>
                </c:pt>
                <c:pt idx="9">
                  <c:v>MMM 2010</c:v>
                </c:pt>
                <c:pt idx="10">
                  <c:v>MMM 2010</c:v>
                </c:pt>
                <c:pt idx="11">
                  <c:v>MMM 2010</c:v>
                </c:pt>
                <c:pt idx="12">
                  <c:v>MMM 2011</c:v>
                </c:pt>
                <c:pt idx="13">
                  <c:v>MMM 2011</c:v>
                </c:pt>
                <c:pt idx="14">
                  <c:v>MMM 2011</c:v>
                </c:pt>
                <c:pt idx="15">
                  <c:v>MMM 2011</c:v>
                </c:pt>
                <c:pt idx="16">
                  <c:v>MMM 2011</c:v>
                </c:pt>
                <c:pt idx="17">
                  <c:v>MMM 2011</c:v>
                </c:pt>
              </c:strCache>
            </c:strRef>
          </c:cat>
          <c:val>
            <c:numRef>
              <c:f>[0]!Prof_Staff_Hrs_Capacity_Practice_Areas</c:f>
              <c:numCache>
                <c:formatCode>#,##0</c:formatCode>
                <c:ptCount val="18"/>
                <c:pt idx="0">
                  <c:v>0</c:v>
                </c:pt>
                <c:pt idx="1">
                  <c:v>0</c:v>
                </c:pt>
                <c:pt idx="2">
                  <c:v>0</c:v>
                </c:pt>
                <c:pt idx="3">
                  <c:v>0</c:v>
                </c:pt>
                <c:pt idx="4">
                  <c:v>0</c:v>
                </c:pt>
                <c:pt idx="5">
                  <c:v>0</c:v>
                </c:pt>
                <c:pt idx="6">
                  <c:v>300</c:v>
                </c:pt>
                <c:pt idx="7">
                  <c:v>600</c:v>
                </c:pt>
                <c:pt idx="8">
                  <c:v>0</c:v>
                </c:pt>
                <c:pt idx="9">
                  <c:v>0</c:v>
                </c:pt>
                <c:pt idx="10">
                  <c:v>0</c:v>
                </c:pt>
                <c:pt idx="11">
                  <c:v>0</c:v>
                </c:pt>
                <c:pt idx="12">
                  <c:v>0</c:v>
                </c:pt>
                <c:pt idx="13">
                  <c:v>0</c:v>
                </c:pt>
                <c:pt idx="14">
                  <c:v>0</c:v>
                </c:pt>
                <c:pt idx="15">
                  <c:v>0</c:v>
                </c:pt>
                <c:pt idx="16">
                  <c:v>0</c:v>
                </c:pt>
                <c:pt idx="17">
                  <c:v>0</c:v>
                </c:pt>
              </c:numCache>
            </c:numRef>
          </c:val>
          <c:smooth val="0"/>
        </c:ser>
        <c:ser>
          <c:idx val="0"/>
          <c:order val="1"/>
          <c:tx>
            <c:v>Time Applied</c:v>
          </c:tx>
          <c:spPr>
            <a:ln w="25400">
              <a:solidFill>
                <a:srgbClr val="0000FF"/>
              </a:solidFill>
              <a:prstDash val="lgDash"/>
            </a:ln>
          </c:spPr>
          <c:marker>
            <c:symbol val="none"/>
          </c:marker>
          <c:cat>
            <c:strRef>
              <c:f>[0]!Prof_Staff_Hrs_Capacity_Time_Period</c:f>
              <c:strCache>
                <c:ptCount val="18"/>
                <c:pt idx="0">
                  <c:v>MMM 2010</c:v>
                </c:pt>
                <c:pt idx="1">
                  <c:v>MMM 2010</c:v>
                </c:pt>
                <c:pt idx="2">
                  <c:v>MMM 2010</c:v>
                </c:pt>
                <c:pt idx="3">
                  <c:v>MMM 2010</c:v>
                </c:pt>
                <c:pt idx="4">
                  <c:v>MMM 2010</c:v>
                </c:pt>
                <c:pt idx="5">
                  <c:v>MMM 2010</c:v>
                </c:pt>
                <c:pt idx="6">
                  <c:v>MMM 2010</c:v>
                </c:pt>
                <c:pt idx="7">
                  <c:v>MMM 2010</c:v>
                </c:pt>
                <c:pt idx="8">
                  <c:v>MMM 2010</c:v>
                </c:pt>
                <c:pt idx="9">
                  <c:v>MMM 2010</c:v>
                </c:pt>
                <c:pt idx="10">
                  <c:v>MMM 2010</c:v>
                </c:pt>
                <c:pt idx="11">
                  <c:v>MMM 2010</c:v>
                </c:pt>
                <c:pt idx="12">
                  <c:v>MMM 2011</c:v>
                </c:pt>
                <c:pt idx="13">
                  <c:v>MMM 2011</c:v>
                </c:pt>
                <c:pt idx="14">
                  <c:v>MMM 2011</c:v>
                </c:pt>
                <c:pt idx="15">
                  <c:v>MMM 2011</c:v>
                </c:pt>
                <c:pt idx="16">
                  <c:v>MMM 2011</c:v>
                </c:pt>
                <c:pt idx="17">
                  <c:v>MMM 2011</c:v>
                </c:pt>
              </c:strCache>
            </c:strRef>
          </c:cat>
          <c:val>
            <c:numRef>
              <c:f>[0]!Prof_Staff_Hrs_Applied_Plot_Prof_Staff_Types</c:f>
              <c:numCache>
                <c:formatCode>#,##0</c:formatCode>
                <c:ptCount val="18"/>
                <c:pt idx="0">
                  <c:v>0</c:v>
                </c:pt>
                <c:pt idx="1">
                  <c:v>0</c:v>
                </c:pt>
                <c:pt idx="2">
                  <c:v>550</c:v>
                </c:pt>
                <c:pt idx="3">
                  <c:v>550</c:v>
                </c:pt>
                <c:pt idx="4">
                  <c:v>0</c:v>
                </c:pt>
                <c:pt idx="5">
                  <c:v>400</c:v>
                </c:pt>
                <c:pt idx="6">
                  <c:v>400</c:v>
                </c:pt>
                <c:pt idx="7">
                  <c:v>400</c:v>
                </c:pt>
                <c:pt idx="8">
                  <c:v>0</c:v>
                </c:pt>
                <c:pt idx="9">
                  <c:v>0</c:v>
                </c:pt>
                <c:pt idx="10">
                  <c:v>0</c:v>
                </c:pt>
                <c:pt idx="11">
                  <c:v>0</c:v>
                </c:pt>
                <c:pt idx="12">
                  <c:v>0</c:v>
                </c:pt>
                <c:pt idx="13">
                  <c:v>0</c:v>
                </c:pt>
                <c:pt idx="14">
                  <c:v>0</c:v>
                </c:pt>
                <c:pt idx="15">
                  <c:v>0</c:v>
                </c:pt>
                <c:pt idx="16">
                  <c:v>0</c:v>
                </c:pt>
                <c:pt idx="17">
                  <c:v>0</c:v>
                </c:pt>
              </c:numCache>
            </c:numRef>
          </c:val>
          <c:smooth val="0"/>
        </c:ser>
        <c:ser>
          <c:idx val="4"/>
          <c:order val="2"/>
          <c:tx>
            <c:v>Time Billed</c:v>
          </c:tx>
          <c:spPr>
            <a:ln w="25400">
              <a:solidFill>
                <a:srgbClr val="33CCCC"/>
              </a:solidFill>
              <a:prstDash val="solid"/>
            </a:ln>
          </c:spPr>
          <c:marker>
            <c:symbol val="star"/>
            <c:size val="7"/>
            <c:spPr>
              <a:solidFill>
                <a:srgbClr val="4198AF"/>
              </a:solidFill>
              <a:ln>
                <a:solidFill>
                  <a:srgbClr val="33CCCC"/>
                </a:solidFill>
                <a:prstDash val="solid"/>
              </a:ln>
            </c:spPr>
          </c:marker>
          <c:cat>
            <c:strRef>
              <c:f>[0]!Prof_Staff_Hrs_Capacity_Time_Period</c:f>
              <c:strCache>
                <c:ptCount val="18"/>
                <c:pt idx="0">
                  <c:v>MMM 2010</c:v>
                </c:pt>
                <c:pt idx="1">
                  <c:v>MMM 2010</c:v>
                </c:pt>
                <c:pt idx="2">
                  <c:v>MMM 2010</c:v>
                </c:pt>
                <c:pt idx="3">
                  <c:v>MMM 2010</c:v>
                </c:pt>
                <c:pt idx="4">
                  <c:v>MMM 2010</c:v>
                </c:pt>
                <c:pt idx="5">
                  <c:v>MMM 2010</c:v>
                </c:pt>
                <c:pt idx="6">
                  <c:v>MMM 2010</c:v>
                </c:pt>
                <c:pt idx="7">
                  <c:v>MMM 2010</c:v>
                </c:pt>
                <c:pt idx="8">
                  <c:v>MMM 2010</c:v>
                </c:pt>
                <c:pt idx="9">
                  <c:v>MMM 2010</c:v>
                </c:pt>
                <c:pt idx="10">
                  <c:v>MMM 2010</c:v>
                </c:pt>
                <c:pt idx="11">
                  <c:v>MMM 2010</c:v>
                </c:pt>
                <c:pt idx="12">
                  <c:v>MMM 2011</c:v>
                </c:pt>
                <c:pt idx="13">
                  <c:v>MMM 2011</c:v>
                </c:pt>
                <c:pt idx="14">
                  <c:v>MMM 2011</c:v>
                </c:pt>
                <c:pt idx="15">
                  <c:v>MMM 2011</c:v>
                </c:pt>
                <c:pt idx="16">
                  <c:v>MMM 2011</c:v>
                </c:pt>
                <c:pt idx="17">
                  <c:v>MMM 2011</c:v>
                </c:pt>
              </c:strCache>
            </c:strRef>
          </c:cat>
          <c:val>
            <c:numRef>
              <c:f>[0]!Engage_Hrs_Billed_Engagements</c:f>
            </c:numRef>
          </c:val>
          <c:smooth val="0"/>
        </c:ser>
        <c:ser>
          <c:idx val="2"/>
          <c:order val="3"/>
          <c:tx>
            <c:v>Applied, Major Engage</c:v>
          </c:tx>
          <c:spPr>
            <a:ln w="25400">
              <a:solidFill>
                <a:srgbClr val="FF0000"/>
              </a:solidFill>
              <a:prstDash val="lgDash"/>
            </a:ln>
          </c:spPr>
          <c:marker>
            <c:symbol val="none"/>
          </c:marker>
          <c:cat>
            <c:strRef>
              <c:f>[0]!Prof_Staff_Hrs_Capacity_Time_Period</c:f>
              <c:strCache>
                <c:ptCount val="18"/>
                <c:pt idx="0">
                  <c:v>MMM 2010</c:v>
                </c:pt>
                <c:pt idx="1">
                  <c:v>MMM 2010</c:v>
                </c:pt>
                <c:pt idx="2">
                  <c:v>MMM 2010</c:v>
                </c:pt>
                <c:pt idx="3">
                  <c:v>MMM 2010</c:v>
                </c:pt>
                <c:pt idx="4">
                  <c:v>MMM 2010</c:v>
                </c:pt>
                <c:pt idx="5">
                  <c:v>MMM 2010</c:v>
                </c:pt>
                <c:pt idx="6">
                  <c:v>MMM 2010</c:v>
                </c:pt>
                <c:pt idx="7">
                  <c:v>MMM 2010</c:v>
                </c:pt>
                <c:pt idx="8">
                  <c:v>MMM 2010</c:v>
                </c:pt>
                <c:pt idx="9">
                  <c:v>MMM 2010</c:v>
                </c:pt>
                <c:pt idx="10">
                  <c:v>MMM 2010</c:v>
                </c:pt>
                <c:pt idx="11">
                  <c:v>MMM 2010</c:v>
                </c:pt>
                <c:pt idx="12">
                  <c:v>MMM 2011</c:v>
                </c:pt>
                <c:pt idx="13">
                  <c:v>MMM 2011</c:v>
                </c:pt>
                <c:pt idx="14">
                  <c:v>MMM 2011</c:v>
                </c:pt>
                <c:pt idx="15">
                  <c:v>MMM 2011</c:v>
                </c:pt>
                <c:pt idx="16">
                  <c:v>MMM 2011</c:v>
                </c:pt>
                <c:pt idx="17">
                  <c:v>MMM 2011</c:v>
                </c:pt>
              </c:strCache>
            </c:strRef>
          </c:cat>
          <c:val>
            <c:numRef>
              <c:f>[0]!Engage_Hrs_Applied_Plot_Prof_Staff_Types</c:f>
              <c:numCache>
                <c:formatCode>#,##0.0</c:formatCode>
                <c:ptCount val="18"/>
                <c:pt idx="0">
                  <c:v>0</c:v>
                </c:pt>
                <c:pt idx="1">
                  <c:v>0</c:v>
                </c:pt>
                <c:pt idx="2">
                  <c:v>550</c:v>
                </c:pt>
                <c:pt idx="3">
                  <c:v>550</c:v>
                </c:pt>
                <c:pt idx="4">
                  <c:v>0</c:v>
                </c:pt>
                <c:pt idx="5">
                  <c:v>400</c:v>
                </c:pt>
                <c:pt idx="6">
                  <c:v>400</c:v>
                </c:pt>
                <c:pt idx="7">
                  <c:v>400</c:v>
                </c:pt>
                <c:pt idx="8">
                  <c:v>0</c:v>
                </c:pt>
                <c:pt idx="9">
                  <c:v>0</c:v>
                </c:pt>
                <c:pt idx="10">
                  <c:v>0</c:v>
                </c:pt>
                <c:pt idx="11">
                  <c:v>0</c:v>
                </c:pt>
                <c:pt idx="12">
                  <c:v>0</c:v>
                </c:pt>
                <c:pt idx="13">
                  <c:v>0</c:v>
                </c:pt>
                <c:pt idx="14">
                  <c:v>0</c:v>
                </c:pt>
                <c:pt idx="15">
                  <c:v>0</c:v>
                </c:pt>
                <c:pt idx="16">
                  <c:v>0</c:v>
                </c:pt>
                <c:pt idx="17">
                  <c:v>0</c:v>
                </c:pt>
              </c:numCache>
            </c:numRef>
          </c:val>
          <c:smooth val="0"/>
        </c:ser>
        <c:ser>
          <c:idx val="3"/>
          <c:order val="4"/>
          <c:tx>
            <c:v>Applied, Minor Engage</c:v>
          </c:tx>
          <c:spPr>
            <a:ln w="25400">
              <a:solidFill>
                <a:srgbClr val="800080"/>
              </a:solidFill>
              <a:prstDash val="lgDash"/>
            </a:ln>
          </c:spPr>
          <c:marker>
            <c:symbol val="none"/>
          </c:marker>
          <c:cat>
            <c:strRef>
              <c:f>[0]!Prof_Staff_Hrs_Capacity_Time_Period</c:f>
              <c:strCache>
                <c:ptCount val="18"/>
                <c:pt idx="0">
                  <c:v>MMM 2010</c:v>
                </c:pt>
                <c:pt idx="1">
                  <c:v>MMM 2010</c:v>
                </c:pt>
                <c:pt idx="2">
                  <c:v>MMM 2010</c:v>
                </c:pt>
                <c:pt idx="3">
                  <c:v>MMM 2010</c:v>
                </c:pt>
                <c:pt idx="4">
                  <c:v>MMM 2010</c:v>
                </c:pt>
                <c:pt idx="5">
                  <c:v>MMM 2010</c:v>
                </c:pt>
                <c:pt idx="6">
                  <c:v>MMM 2010</c:v>
                </c:pt>
                <c:pt idx="7">
                  <c:v>MMM 2010</c:v>
                </c:pt>
                <c:pt idx="8">
                  <c:v>MMM 2010</c:v>
                </c:pt>
                <c:pt idx="9">
                  <c:v>MMM 2010</c:v>
                </c:pt>
                <c:pt idx="10">
                  <c:v>MMM 2010</c:v>
                </c:pt>
                <c:pt idx="11">
                  <c:v>MMM 2010</c:v>
                </c:pt>
                <c:pt idx="12">
                  <c:v>MMM 2011</c:v>
                </c:pt>
                <c:pt idx="13">
                  <c:v>MMM 2011</c:v>
                </c:pt>
                <c:pt idx="14">
                  <c:v>MMM 2011</c:v>
                </c:pt>
                <c:pt idx="15">
                  <c:v>MMM 2011</c:v>
                </c:pt>
                <c:pt idx="16">
                  <c:v>MMM 2011</c:v>
                </c:pt>
                <c:pt idx="17">
                  <c:v>MMM 2011</c:v>
                </c:pt>
              </c:strCache>
            </c:strRef>
          </c:cat>
          <c:val>
            <c:numRef>
              <c:f>[0]!Orders_Filled_Hrs_Plot_Prof_Staff_Types</c:f>
              <c:numCache>
                <c:formatCode>#,##0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ser>
        <c:ser>
          <c:idx val="5"/>
          <c:order val="5"/>
          <c:tx>
            <c:v>Billed</c:v>
          </c:tx>
          <c:spPr>
            <a:ln w="25400">
              <a:solidFill>
                <a:srgbClr val="008000"/>
              </a:solidFill>
              <a:prstDash val="lgDash"/>
            </a:ln>
          </c:spPr>
          <c:marker>
            <c:symbol val="none"/>
          </c:marker>
          <c:val>
            <c:numRef>
              <c:f>[0]!Prof_Staff_Hrs_Billed_Plot_Prof_Staff_Types</c:f>
              <c:numCache>
                <c:formatCode>#,##0.0</c:formatCode>
                <c:ptCount val="18"/>
                <c:pt idx="0">
                  <c:v>0</c:v>
                </c:pt>
                <c:pt idx="1">
                  <c:v>0</c:v>
                </c:pt>
                <c:pt idx="2">
                  <c:v>550</c:v>
                </c:pt>
                <c:pt idx="3">
                  <c:v>550</c:v>
                </c:pt>
                <c:pt idx="4">
                  <c:v>0</c:v>
                </c:pt>
                <c:pt idx="5">
                  <c:v>400</c:v>
                </c:pt>
                <c:pt idx="6">
                  <c:v>400</c:v>
                </c:pt>
                <c:pt idx="7">
                  <c:v>400</c:v>
                </c:pt>
                <c:pt idx="8">
                  <c:v>0</c:v>
                </c:pt>
                <c:pt idx="9">
                  <c:v>0</c:v>
                </c:pt>
                <c:pt idx="10">
                  <c:v>0</c:v>
                </c:pt>
                <c:pt idx="11">
                  <c:v>0</c:v>
                </c:pt>
                <c:pt idx="12">
                  <c:v>0</c:v>
                </c:pt>
                <c:pt idx="13">
                  <c:v>0</c:v>
                </c:pt>
                <c:pt idx="14">
                  <c:v>0</c:v>
                </c:pt>
                <c:pt idx="15">
                  <c:v>0</c:v>
                </c:pt>
                <c:pt idx="16">
                  <c:v>0</c:v>
                </c:pt>
                <c:pt idx="17">
                  <c:v>0</c:v>
                </c:pt>
              </c:numCache>
            </c:numRef>
          </c:val>
          <c:smooth val="0"/>
        </c:ser>
        <c:ser>
          <c:idx val="6"/>
          <c:order val="6"/>
          <c:tx>
            <c:v>Practice Development</c:v>
          </c:tx>
          <c:spPr>
            <a:ln w="25400">
              <a:solidFill>
                <a:srgbClr val="FF9900"/>
              </a:solidFill>
              <a:prstDash val="lgDash"/>
            </a:ln>
          </c:spPr>
          <c:marker>
            <c:symbol val="none"/>
          </c:marker>
          <c:val>
            <c:numRef>
              <c:f>[0]!Practice_Dev_Prof_Staff_Hrs_Practice_Areas</c:f>
              <c:numCache>
                <c:formatCode>#,##0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ser>
        <c:dLbls>
          <c:showLegendKey val="0"/>
          <c:showVal val="0"/>
          <c:showCatName val="0"/>
          <c:showSerName val="0"/>
          <c:showPercent val="0"/>
          <c:showBubbleSize val="0"/>
        </c:dLbls>
        <c:smooth val="0"/>
        <c:axId val="525840984"/>
        <c:axId val="525842944"/>
      </c:lineChart>
      <c:catAx>
        <c:axId val="525840984"/>
        <c:scaling>
          <c:orientation val="minMax"/>
        </c:scaling>
        <c:delete val="0"/>
        <c:axPos val="b"/>
        <c:numFmt formatCode="General" sourceLinked="1"/>
        <c:majorTickMark val="out"/>
        <c:minorTickMark val="none"/>
        <c:tickLblPos val="low"/>
        <c:spPr>
          <a:ln w="3175">
            <a:solidFill>
              <a:srgbClr val="808080"/>
            </a:solidFill>
            <a:prstDash val="solid"/>
          </a:ln>
        </c:spPr>
        <c:txPr>
          <a:bodyPr rot="-5400000" vert="horz"/>
          <a:lstStyle/>
          <a:p>
            <a:pPr>
              <a:defRPr sz="800" b="0" i="0" u="none" strike="noStrike" baseline="0">
                <a:solidFill>
                  <a:srgbClr val="000000"/>
                </a:solidFill>
                <a:latin typeface="Calibri"/>
                <a:ea typeface="Calibri"/>
                <a:cs typeface="Calibri"/>
              </a:defRPr>
            </a:pPr>
            <a:endParaRPr lang="tr-TR"/>
          </a:p>
        </c:txPr>
        <c:crossAx val="525842944"/>
        <c:crosses val="autoZero"/>
        <c:auto val="0"/>
        <c:lblAlgn val="ctr"/>
        <c:lblOffset val="100"/>
        <c:tickLblSkip val="1"/>
        <c:tickMarkSkip val="1"/>
        <c:noMultiLvlLbl val="0"/>
      </c:catAx>
      <c:valAx>
        <c:axId val="525842944"/>
        <c:scaling>
          <c:orientation val="minMax"/>
        </c:scaling>
        <c:delete val="0"/>
        <c:axPos val="l"/>
        <c:majorGridlines>
          <c:spPr>
            <a:ln w="3175">
              <a:solidFill>
                <a:srgbClr val="808080"/>
              </a:solidFill>
              <a:prstDash val="solid"/>
            </a:ln>
          </c:spPr>
        </c:majorGridlines>
        <c:numFmt formatCode="#,##0"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tr-TR"/>
          </a:p>
        </c:txPr>
        <c:crossAx val="525840984"/>
        <c:crossesAt val="1"/>
        <c:crossBetween val="between"/>
      </c:valAx>
      <c:spPr>
        <a:solidFill>
          <a:srgbClr val="FFFFFF"/>
        </a:solidFill>
        <a:ln w="25400">
          <a:noFill/>
        </a:ln>
      </c:spPr>
    </c:plotArea>
    <c:legend>
      <c:legendPos val="r"/>
      <c:layout>
        <c:manualLayout>
          <c:xMode val="edge"/>
          <c:yMode val="edge"/>
          <c:x val="2.3148174312082149E-2"/>
          <c:y val="0.85416914925464227"/>
          <c:w val="0.96875109496063794"/>
          <c:h val="8.6309774663361066E-2"/>
        </c:manualLayout>
      </c:layout>
      <c:overlay val="0"/>
      <c:spPr>
        <a:noFill/>
        <a:ln w="25400">
          <a:noFill/>
        </a:ln>
      </c:spPr>
      <c:txPr>
        <a:bodyPr/>
        <a:lstStyle/>
        <a:p>
          <a:pPr>
            <a:defRPr sz="825" b="0" i="0" u="none" strike="noStrike" baseline="0">
              <a:solidFill>
                <a:srgbClr val="000000"/>
              </a:solidFill>
              <a:latin typeface="Calibri"/>
              <a:ea typeface="Calibri"/>
              <a:cs typeface="Calibri"/>
            </a:defRPr>
          </a:pPr>
          <a:endParaRPr lang="tr-TR"/>
        </a:p>
      </c:txPr>
    </c:legend>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tr-TR"/>
    </a:p>
  </c:txPr>
  <c:printSettings>
    <c:headerFooter alignWithMargins="0">
      <c:oddFooter>&amp;C</c:oddFooter>
    </c:headerFooter>
    <c:pageMargins b="0.750000000000001" l="0.70000000000000062" r="0.70000000000000062" t="0.750000000000001" header="0.30000000000000032" footer="0.30000000000000032"/>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4371975</xdr:colOff>
      <xdr:row>0</xdr:row>
      <xdr:rowOff>28575</xdr:rowOff>
    </xdr:from>
    <xdr:to>
      <xdr:col>0</xdr:col>
      <xdr:colOff>6534150</xdr:colOff>
      <xdr:row>1</xdr:row>
      <xdr:rowOff>85725</xdr:rowOff>
    </xdr:to>
    <xdr:pic>
      <xdr:nvPicPr>
        <xdr:cNvPr id="2" name="Picture 3" descr="Logo_R_Wide302x30_081224.gif"/>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71975" y="28575"/>
          <a:ext cx="21621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1704975</xdr:colOff>
      <xdr:row>46</xdr:row>
      <xdr:rowOff>123825</xdr:rowOff>
    </xdr:from>
    <xdr:to>
      <xdr:col>0</xdr:col>
      <xdr:colOff>4914900</xdr:colOff>
      <xdr:row>46</xdr:row>
      <xdr:rowOff>1590675</xdr:rowOff>
    </xdr:to>
    <xdr:pic>
      <xdr:nvPicPr>
        <xdr:cNvPr id="3" name="Picture 2" descr="workflow"/>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04975" y="4695825"/>
          <a:ext cx="3209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14</xdr:col>
      <xdr:colOff>66675</xdr:colOff>
      <xdr:row>1</xdr:row>
      <xdr:rowOff>9525</xdr:rowOff>
    </xdr:from>
    <xdr:to>
      <xdr:col>27</xdr:col>
      <xdr:colOff>371475</xdr:colOff>
      <xdr:row>20</xdr:row>
      <xdr:rowOff>133350</xdr:rowOff>
    </xdr:to>
    <xdr:graphicFrame macro="">
      <xdr:nvGraphicFramePr>
        <xdr:cNvPr id="177270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66675</xdr:colOff>
      <xdr:row>22</xdr:row>
      <xdr:rowOff>9525</xdr:rowOff>
    </xdr:from>
    <xdr:to>
      <xdr:col>27</xdr:col>
      <xdr:colOff>371475</xdr:colOff>
      <xdr:row>41</xdr:row>
      <xdr:rowOff>133350</xdr:rowOff>
    </xdr:to>
    <xdr:graphicFrame macro="">
      <xdr:nvGraphicFramePr>
        <xdr:cNvPr id="1772710"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47625</xdr:colOff>
      <xdr:row>43</xdr:row>
      <xdr:rowOff>152400</xdr:rowOff>
    </xdr:from>
    <xdr:to>
      <xdr:col>27</xdr:col>
      <xdr:colOff>352425</xdr:colOff>
      <xdr:row>63</xdr:row>
      <xdr:rowOff>114300</xdr:rowOff>
    </xdr:to>
    <xdr:graphicFrame macro="">
      <xdr:nvGraphicFramePr>
        <xdr:cNvPr id="1772711"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xdr:row>
      <xdr:rowOff>0</xdr:rowOff>
    </xdr:from>
    <xdr:to>
      <xdr:col>13</xdr:col>
      <xdr:colOff>304800</xdr:colOff>
      <xdr:row>20</xdr:row>
      <xdr:rowOff>123825</xdr:rowOff>
    </xdr:to>
    <xdr:graphicFrame macro="">
      <xdr:nvGraphicFramePr>
        <xdr:cNvPr id="1772712"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44</xdr:row>
      <xdr:rowOff>0</xdr:rowOff>
    </xdr:from>
    <xdr:to>
      <xdr:col>13</xdr:col>
      <xdr:colOff>304800</xdr:colOff>
      <xdr:row>63</xdr:row>
      <xdr:rowOff>123825</xdr:rowOff>
    </xdr:to>
    <xdr:graphicFrame macro="">
      <xdr:nvGraphicFramePr>
        <xdr:cNvPr id="1772713"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9525</xdr:colOff>
      <xdr:row>66</xdr:row>
      <xdr:rowOff>9525</xdr:rowOff>
    </xdr:from>
    <xdr:to>
      <xdr:col>13</xdr:col>
      <xdr:colOff>314325</xdr:colOff>
      <xdr:row>85</xdr:row>
      <xdr:rowOff>133350</xdr:rowOff>
    </xdr:to>
    <xdr:graphicFrame macro="">
      <xdr:nvGraphicFramePr>
        <xdr:cNvPr id="1772714"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9525</xdr:colOff>
      <xdr:row>22</xdr:row>
      <xdr:rowOff>9525</xdr:rowOff>
    </xdr:from>
    <xdr:to>
      <xdr:col>13</xdr:col>
      <xdr:colOff>314325</xdr:colOff>
      <xdr:row>41</xdr:row>
      <xdr:rowOff>133350</xdr:rowOff>
    </xdr:to>
    <xdr:graphicFrame macro="">
      <xdr:nvGraphicFramePr>
        <xdr:cNvPr id="1772715"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templates.modelsheetsoft.com/browser/browse.aspx?s=finplanps.xls" TargetMode="External"/><Relationship Id="rId7" Type="http://schemas.openxmlformats.org/officeDocument/2006/relationships/hyperlink" Target="mailto:info@modelsheetsoft.com." TargetMode="External"/><Relationship Id="rId2" Type="http://schemas.openxmlformats.org/officeDocument/2006/relationships/hyperlink" Target="mailto:info@modelsheetsoft.com" TargetMode="External"/><Relationship Id="rId1" Type="http://schemas.openxmlformats.org/officeDocument/2006/relationships/hyperlink" Target="http://www.modelsheetsoft.com/refer.aspx?s=finplanps.xls" TargetMode="External"/><Relationship Id="rId6" Type="http://schemas.openxmlformats.org/officeDocument/2006/relationships/hyperlink" Target="http://www.modelsheetsoft.com/consulting-business-analysis.aspx" TargetMode="External"/><Relationship Id="rId5" Type="http://schemas.openxmlformats.org/officeDocument/2006/relationships/hyperlink" Target="http://templates.modelsheetsoft.com/modelsheettemplates/financial-plan-professional-services-templates.aspx?s=finplanps.xls" TargetMode="External"/><Relationship Id="rId4" Type="http://schemas.openxmlformats.org/officeDocument/2006/relationships/hyperlink" Target="http://www.modelsheetsoft.com/consulting-business-analysis.aspx?s=finplanps.xls" TargetMode="External"/><Relationship Id="rId9"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5.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16.vml"/></Relationships>
</file>

<file path=xl/worksheets/_rels/sheet19.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17.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18.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19.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0.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1.v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2:A108"/>
  <sheetViews>
    <sheetView tabSelected="1" workbookViewId="0">
      <selection activeCell="B1" sqref="B1"/>
    </sheetView>
  </sheetViews>
  <sheetFormatPr defaultRowHeight="12.75" outlineLevelRow="2" x14ac:dyDescent="0.2"/>
  <cols>
    <col min="1" max="1" width="98.7109375" style="435" customWidth="1"/>
    <col min="2" max="16384" width="9.140625" style="429"/>
  </cols>
  <sheetData>
    <row r="2" spans="1:1" ht="15.75" x14ac:dyDescent="0.2">
      <c r="A2" s="428"/>
    </row>
    <row r="3" spans="1:1" ht="18" x14ac:dyDescent="0.2">
      <c r="A3" s="430" t="s">
        <v>5918</v>
      </c>
    </row>
    <row r="5" spans="1:1" ht="15" x14ac:dyDescent="0.2">
      <c r="A5" s="431" t="s">
        <v>5919</v>
      </c>
    </row>
    <row r="6" spans="1:1" s="433" customFormat="1" x14ac:dyDescent="0.2">
      <c r="A6" s="432" t="s">
        <v>5920</v>
      </c>
    </row>
    <row r="7" spans="1:1" x14ac:dyDescent="0.2">
      <c r="A7" s="434"/>
    </row>
    <row r="8" spans="1:1" ht="51" x14ac:dyDescent="0.2">
      <c r="A8" s="435" t="s">
        <v>5921</v>
      </c>
    </row>
    <row r="9" spans="1:1" x14ac:dyDescent="0.2">
      <c r="A9" s="436" t="s">
        <v>5922</v>
      </c>
    </row>
    <row r="10" spans="1:1" x14ac:dyDescent="0.2">
      <c r="A10" s="434"/>
    </row>
    <row r="11" spans="1:1" ht="15" x14ac:dyDescent="0.2">
      <c r="A11" s="437" t="s">
        <v>5923</v>
      </c>
    </row>
    <row r="12" spans="1:1" x14ac:dyDescent="0.2">
      <c r="A12" s="434"/>
    </row>
    <row r="13" spans="1:1" x14ac:dyDescent="0.2">
      <c r="A13" s="438" t="s">
        <v>5924</v>
      </c>
    </row>
    <row r="14" spans="1:1" collapsed="1" x14ac:dyDescent="0.2">
      <c r="A14" s="439" t="s">
        <v>5925</v>
      </c>
    </row>
    <row r="15" spans="1:1" hidden="1" outlineLevel="1" collapsed="1" x14ac:dyDescent="0.2">
      <c r="A15" s="439" t="s">
        <v>5926</v>
      </c>
    </row>
    <row r="16" spans="1:1" hidden="1" outlineLevel="2" x14ac:dyDescent="0.2">
      <c r="A16" s="440" t="s">
        <v>5927</v>
      </c>
    </row>
    <row r="17" spans="1:1" hidden="1" outlineLevel="2" x14ac:dyDescent="0.2">
      <c r="A17" s="440" t="s">
        <v>5928</v>
      </c>
    </row>
    <row r="18" spans="1:1" hidden="1" outlineLevel="2" x14ac:dyDescent="0.2">
      <c r="A18" s="440" t="s">
        <v>5929</v>
      </c>
    </row>
    <row r="19" spans="1:1" hidden="1" outlineLevel="2" x14ac:dyDescent="0.2">
      <c r="A19" s="440" t="s">
        <v>5930</v>
      </c>
    </row>
    <row r="20" spans="1:1" ht="25.5" hidden="1" outlineLevel="2" x14ac:dyDescent="0.2">
      <c r="A20" s="440" t="s">
        <v>5931</v>
      </c>
    </row>
    <row r="21" spans="1:1" hidden="1" outlineLevel="2" x14ac:dyDescent="0.2">
      <c r="A21" s="439"/>
    </row>
    <row r="22" spans="1:1" hidden="1" outlineLevel="1" collapsed="1" x14ac:dyDescent="0.2">
      <c r="A22" s="439" t="s">
        <v>5932</v>
      </c>
    </row>
    <row r="23" spans="1:1" hidden="1" outlineLevel="2" x14ac:dyDescent="0.2">
      <c r="A23" s="440" t="s">
        <v>5933</v>
      </c>
    </row>
    <row r="24" spans="1:1" hidden="1" outlineLevel="2" x14ac:dyDescent="0.2">
      <c r="A24" s="440" t="s">
        <v>5934</v>
      </c>
    </row>
    <row r="25" spans="1:1" hidden="1" outlineLevel="2" x14ac:dyDescent="0.2">
      <c r="A25" s="440" t="s">
        <v>5935</v>
      </c>
    </row>
    <row r="26" spans="1:1" hidden="1" outlineLevel="2" x14ac:dyDescent="0.2">
      <c r="A26" s="434"/>
    </row>
    <row r="27" spans="1:1" hidden="1" outlineLevel="1" collapsed="1" x14ac:dyDescent="0.2">
      <c r="A27" s="439" t="s">
        <v>5936</v>
      </c>
    </row>
    <row r="28" spans="1:1" hidden="1" outlineLevel="2" x14ac:dyDescent="0.2">
      <c r="A28" s="440" t="s">
        <v>5937</v>
      </c>
    </row>
    <row r="29" spans="1:1" ht="25.5" hidden="1" outlineLevel="2" x14ac:dyDescent="0.2">
      <c r="A29" s="440" t="s">
        <v>5938</v>
      </c>
    </row>
    <row r="30" spans="1:1" hidden="1" outlineLevel="2" x14ac:dyDescent="0.2">
      <c r="A30" s="440" t="s">
        <v>5939</v>
      </c>
    </row>
    <row r="31" spans="1:1" hidden="1" outlineLevel="1" x14ac:dyDescent="0.2">
      <c r="A31" s="440"/>
    </row>
    <row r="32" spans="1:1" x14ac:dyDescent="0.2">
      <c r="A32" s="441" t="s">
        <v>5940</v>
      </c>
    </row>
    <row r="33" spans="1:1" x14ac:dyDescent="0.2">
      <c r="A33" s="434"/>
    </row>
    <row r="34" spans="1:1" x14ac:dyDescent="0.2">
      <c r="A34" s="438" t="s">
        <v>5941</v>
      </c>
    </row>
    <row r="35" spans="1:1" collapsed="1" x14ac:dyDescent="0.2">
      <c r="A35" s="439" t="s">
        <v>5925</v>
      </c>
    </row>
    <row r="36" spans="1:1" hidden="1" outlineLevel="1" x14ac:dyDescent="0.2">
      <c r="A36" s="439" t="s">
        <v>5942</v>
      </c>
    </row>
    <row r="37" spans="1:1" hidden="1" outlineLevel="1" x14ac:dyDescent="0.2">
      <c r="A37" s="439" t="s">
        <v>5943</v>
      </c>
    </row>
    <row r="38" spans="1:1" hidden="1" outlineLevel="1" x14ac:dyDescent="0.2">
      <c r="A38" s="439"/>
    </row>
    <row r="39" spans="1:1" x14ac:dyDescent="0.2">
      <c r="A39" s="441" t="s">
        <v>5944</v>
      </c>
    </row>
    <row r="40" spans="1:1" x14ac:dyDescent="0.2">
      <c r="A40" s="434"/>
    </row>
    <row r="41" spans="1:1" x14ac:dyDescent="0.2">
      <c r="A41" s="438" t="s">
        <v>5945</v>
      </c>
    </row>
    <row r="42" spans="1:1" x14ac:dyDescent="0.2">
      <c r="A42" s="434"/>
    </row>
    <row r="43" spans="1:1" ht="25.5" x14ac:dyDescent="0.2">
      <c r="A43" s="442" t="s">
        <v>5946</v>
      </c>
    </row>
    <row r="44" spans="1:1" collapsed="1" x14ac:dyDescent="0.2">
      <c r="A44" s="439" t="s">
        <v>5947</v>
      </c>
    </row>
    <row r="45" spans="1:1" hidden="1" outlineLevel="1" x14ac:dyDescent="0.2">
      <c r="A45" s="443"/>
    </row>
    <row r="46" spans="1:1" ht="63.75" hidden="1" outlineLevel="1" x14ac:dyDescent="0.2">
      <c r="A46" s="444" t="s">
        <v>5948</v>
      </c>
    </row>
    <row r="47" spans="1:1" ht="140.1" hidden="1" customHeight="1" outlineLevel="1" x14ac:dyDescent="0.2">
      <c r="A47" s="445"/>
    </row>
    <row r="48" spans="1:1" ht="89.25" hidden="1" outlineLevel="1" x14ac:dyDescent="0.2">
      <c r="A48" s="446" t="s">
        <v>5949</v>
      </c>
    </row>
    <row r="49" spans="1:1" hidden="1" outlineLevel="1" x14ac:dyDescent="0.2">
      <c r="A49" s="446"/>
    </row>
    <row r="50" spans="1:1" ht="63.75" hidden="1" outlineLevel="1" x14ac:dyDescent="0.2">
      <c r="A50" s="447" t="s">
        <v>5950</v>
      </c>
    </row>
    <row r="51" spans="1:1" x14ac:dyDescent="0.2">
      <c r="A51" s="434"/>
    </row>
    <row r="52" spans="1:1" x14ac:dyDescent="0.2">
      <c r="A52" s="445" t="s">
        <v>5951</v>
      </c>
    </row>
    <row r="53" spans="1:1" x14ac:dyDescent="0.2">
      <c r="A53" s="436" t="s">
        <v>5952</v>
      </c>
    </row>
    <row r="54" spans="1:1" x14ac:dyDescent="0.2">
      <c r="A54" s="436" t="s">
        <v>5953</v>
      </c>
    </row>
    <row r="55" spans="1:1" x14ac:dyDescent="0.2">
      <c r="A55" s="448"/>
    </row>
    <row r="56" spans="1:1" x14ac:dyDescent="0.2">
      <c r="A56" s="449"/>
    </row>
    <row r="57" spans="1:1" x14ac:dyDescent="0.2">
      <c r="A57" s="450"/>
    </row>
    <row r="58" spans="1:1" ht="15" x14ac:dyDescent="0.2">
      <c r="A58" s="437" t="s">
        <v>5954</v>
      </c>
    </row>
    <row r="60" spans="1:1" ht="25.5" x14ac:dyDescent="0.2">
      <c r="A60" s="435" t="s">
        <v>5955</v>
      </c>
    </row>
    <row r="62" spans="1:1" ht="25.5" x14ac:dyDescent="0.2">
      <c r="A62" s="435" t="s">
        <v>5956</v>
      </c>
    </row>
    <row r="64" spans="1:1" ht="25.5" x14ac:dyDescent="0.2">
      <c r="A64" s="439" t="s">
        <v>5957</v>
      </c>
    </row>
    <row r="65" spans="1:1" ht="25.5" x14ac:dyDescent="0.2">
      <c r="A65" s="440" t="s">
        <v>5958</v>
      </c>
    </row>
    <row r="66" spans="1:1" ht="25.5" x14ac:dyDescent="0.2">
      <c r="A66" s="440" t="s">
        <v>5959</v>
      </c>
    </row>
    <row r="67" spans="1:1" x14ac:dyDescent="0.2">
      <c r="A67" s="439" t="s">
        <v>5960</v>
      </c>
    </row>
    <row r="68" spans="1:1" ht="25.5" x14ac:dyDescent="0.2">
      <c r="A68" s="440" t="s">
        <v>5961</v>
      </c>
    </row>
    <row r="69" spans="1:1" ht="25.5" x14ac:dyDescent="0.2">
      <c r="A69" s="440" t="s">
        <v>5962</v>
      </c>
    </row>
    <row r="70" spans="1:1" ht="25.5" x14ac:dyDescent="0.2">
      <c r="A70" s="439" t="s">
        <v>5963</v>
      </c>
    </row>
    <row r="71" spans="1:1" ht="25.5" x14ac:dyDescent="0.2">
      <c r="A71" s="439" t="s">
        <v>5964</v>
      </c>
    </row>
    <row r="72" spans="1:1" x14ac:dyDescent="0.2">
      <c r="A72" s="439" t="s">
        <v>5965</v>
      </c>
    </row>
    <row r="73" spans="1:1" x14ac:dyDescent="0.2">
      <c r="A73" s="439" t="s">
        <v>5966</v>
      </c>
    </row>
    <row r="74" spans="1:1" x14ac:dyDescent="0.2">
      <c r="A74" s="439" t="s">
        <v>5967</v>
      </c>
    </row>
    <row r="75" spans="1:1" ht="25.5" x14ac:dyDescent="0.2">
      <c r="A75" s="439" t="s">
        <v>5968</v>
      </c>
    </row>
    <row r="77" spans="1:1" x14ac:dyDescent="0.2">
      <c r="A77" s="435" t="s">
        <v>5969</v>
      </c>
    </row>
    <row r="79" spans="1:1" x14ac:dyDescent="0.2">
      <c r="A79" s="451" t="s">
        <v>5970</v>
      </c>
    </row>
    <row r="80" spans="1:1" ht="25.5" x14ac:dyDescent="0.2">
      <c r="A80" s="439" t="s">
        <v>5971</v>
      </c>
    </row>
    <row r="81" spans="1:1" x14ac:dyDescent="0.2">
      <c r="A81" s="452"/>
    </row>
    <row r="82" spans="1:1" x14ac:dyDescent="0.2">
      <c r="A82" s="453"/>
    </row>
    <row r="83" spans="1:1" x14ac:dyDescent="0.2">
      <c r="A83" s="449"/>
    </row>
    <row r="84" spans="1:1" x14ac:dyDescent="0.2">
      <c r="A84" s="454"/>
    </row>
    <row r="85" spans="1:1" x14ac:dyDescent="0.2">
      <c r="A85" s="438" t="s">
        <v>5972</v>
      </c>
    </row>
    <row r="87" spans="1:1" x14ac:dyDescent="0.2">
      <c r="A87" s="455" t="s">
        <v>5973</v>
      </c>
    </row>
    <row r="88" spans="1:1" x14ac:dyDescent="0.2">
      <c r="A88" s="435" t="s">
        <v>5974</v>
      </c>
    </row>
    <row r="89" spans="1:1" ht="25.5" x14ac:dyDescent="0.2">
      <c r="A89" s="435" t="s">
        <v>5975</v>
      </c>
    </row>
    <row r="90" spans="1:1" ht="51" x14ac:dyDescent="0.2">
      <c r="A90" s="435" t="s">
        <v>5976</v>
      </c>
    </row>
    <row r="91" spans="1:1" x14ac:dyDescent="0.2">
      <c r="A91" s="435" t="s">
        <v>5977</v>
      </c>
    </row>
    <row r="93" spans="1:1" x14ac:dyDescent="0.2">
      <c r="A93" s="455" t="s">
        <v>5978</v>
      </c>
    </row>
    <row r="94" spans="1:1" ht="38.25" x14ac:dyDescent="0.2">
      <c r="A94" s="435" t="s">
        <v>5979</v>
      </c>
    </row>
    <row r="96" spans="1:1" s="456" customFormat="1" x14ac:dyDescent="0.2">
      <c r="A96" s="443"/>
    </row>
    <row r="97" spans="1:1" s="458" customFormat="1" ht="15" x14ac:dyDescent="0.2">
      <c r="A97" s="457" t="s">
        <v>5980</v>
      </c>
    </row>
    <row r="98" spans="1:1" s="458" customFormat="1" x14ac:dyDescent="0.2">
      <c r="A98" s="459"/>
    </row>
    <row r="99" spans="1:1" s="458" customFormat="1" ht="25.5" x14ac:dyDescent="0.2">
      <c r="A99" s="459" t="s">
        <v>5981</v>
      </c>
    </row>
    <row r="100" spans="1:1" s="458" customFormat="1" x14ac:dyDescent="0.2">
      <c r="A100" s="460" t="s">
        <v>5982</v>
      </c>
    </row>
    <row r="101" spans="1:1" s="458" customFormat="1" x14ac:dyDescent="0.2">
      <c r="A101" s="459" t="s">
        <v>5983</v>
      </c>
    </row>
    <row r="102" spans="1:1" s="458" customFormat="1" x14ac:dyDescent="0.2">
      <c r="A102" s="461" t="s">
        <v>5984</v>
      </c>
    </row>
    <row r="103" spans="1:1" s="458" customFormat="1" x14ac:dyDescent="0.2">
      <c r="A103" s="459"/>
    </row>
    <row r="105" spans="1:1" x14ac:dyDescent="0.2">
      <c r="A105" s="435" t="s">
        <v>5985</v>
      </c>
    </row>
    <row r="107" spans="1:1" x14ac:dyDescent="0.2">
      <c r="A107" s="435" t="s">
        <v>5986</v>
      </c>
    </row>
    <row r="108" spans="1:1" x14ac:dyDescent="0.2">
      <c r="A108" s="435" t="s">
        <v>5987</v>
      </c>
    </row>
  </sheetData>
  <hyperlinks>
    <hyperlink ref="A53" r:id="rId1"/>
    <hyperlink ref="A54" r:id="rId2"/>
    <hyperlink ref="A32" r:id="rId3"/>
    <hyperlink ref="A39" r:id="rId4"/>
    <hyperlink ref="A9" r:id="rId5"/>
    <hyperlink ref="A100" r:id="rId6"/>
    <hyperlink ref="A102" r:id="rId7"/>
  </hyperlinks>
  <printOptions horizontalCentered="1"/>
  <pageMargins left="0.45" right="0.45" top="0.5" bottom="0.5" header="0.3" footer="0.3"/>
  <pageSetup orientation="portrait" r:id="rId8"/>
  <headerFooter>
    <oddFooter>&amp;LModelSheet is a trademark of ModelSheet Software, LLC&amp;Rpage &amp;P of &amp;N</oddFooter>
  </headerFooter>
  <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pageSetUpPr fitToPage="1"/>
  </sheetPr>
  <dimension ref="A1:T869"/>
  <sheetViews>
    <sheetView zoomScaleNormal="100" workbookViewId="0">
      <selection sqref="A1:C1"/>
    </sheetView>
  </sheetViews>
  <sheetFormatPr defaultRowHeight="12.75" customHeight="1" outlineLevelRow="2" x14ac:dyDescent="0.2"/>
  <cols>
    <col min="1" max="1" width="23.85546875" customWidth="1"/>
    <col min="2" max="20" width="12.42578125" customWidth="1"/>
  </cols>
  <sheetData>
    <row r="1" spans="1:19" ht="12.75" customHeight="1" x14ac:dyDescent="0.2">
      <c r="A1" s="463" t="str">
        <f>Inputs!F7</f>
        <v xml:space="preserve"> </v>
      </c>
      <c r="B1" s="463"/>
      <c r="C1" s="463"/>
    </row>
    <row r="2" spans="1:19" ht="12.75" customHeight="1" x14ac:dyDescent="0.2">
      <c r="A2" s="463" t="e">
        <f>TEXT('(FnCalls 1)'!A41,"m/d/yyyy")&amp;" to "&amp;TEXT('(FnCalls 1)'!A59-1,"m/d/yyyy")</f>
        <v>#VALUE!</v>
      </c>
      <c r="B2" s="463"/>
      <c r="C2" s="463"/>
    </row>
    <row r="3" spans="1:19" ht="12.75" customHeight="1" x14ac:dyDescent="0.2">
      <c r="A3" s="463" t="str">
        <f>"Engagements"</f>
        <v>Engagements</v>
      </c>
      <c r="B3" s="463"/>
      <c r="C3" s="463"/>
    </row>
    <row r="4" spans="1:19" ht="12.75" customHeight="1" x14ac:dyDescent="0.2">
      <c r="A4" s="463" t="str">
        <f>" "</f>
        <v xml:space="preserve"> </v>
      </c>
      <c r="B4" s="463"/>
      <c r="C4" s="463"/>
    </row>
    <row r="5" spans="1:19" ht="15.75" customHeight="1" x14ac:dyDescent="0.2">
      <c r="A5" s="265" t="str">
        <f>"Major Engagements"</f>
        <v>Major Engagements</v>
      </c>
    </row>
    <row r="8" spans="1:19" ht="12.75" customHeight="1" collapsed="1" x14ac:dyDescent="0.2">
      <c r="A8" s="464" t="str">
        <f>"Summary - Major Engagements"</f>
        <v>Summary - Major Engagements</v>
      </c>
      <c r="B8" s="464"/>
    </row>
    <row r="9" spans="1:19" ht="12.75" hidden="1" customHeight="1" outlineLevel="1" x14ac:dyDescent="0.2">
      <c r="A9" s="1" t="str">
        <f>" "</f>
        <v xml:space="preserve"> </v>
      </c>
    </row>
    <row r="10" spans="1:19" ht="12.75" hidden="1" customHeight="1" outlineLevel="1" x14ac:dyDescent="0.2">
      <c r="B10" s="9" t="str">
        <f>'(FnCalls 1)'!F41</f>
        <v>MMM 2010</v>
      </c>
      <c r="C10" s="10" t="str">
        <f>'(FnCalls 1)'!F42</f>
        <v>MMM 2010</v>
      </c>
      <c r="D10" s="10" t="str">
        <f>'(FnCalls 1)'!F43</f>
        <v>MMM 2010</v>
      </c>
      <c r="E10" s="10" t="str">
        <f>'(FnCalls 1)'!F44</f>
        <v>MMM 2010</v>
      </c>
      <c r="F10" s="10" t="str">
        <f>'(FnCalls 1)'!F45</f>
        <v>MMM 2010</v>
      </c>
      <c r="G10" s="10" t="str">
        <f>'(FnCalls 1)'!F46</f>
        <v>MMM 2010</v>
      </c>
      <c r="H10" s="10" t="str">
        <f>'(FnCalls 1)'!F47</f>
        <v>MMM 2010</v>
      </c>
      <c r="I10" s="10" t="str">
        <f>'(FnCalls 1)'!F48</f>
        <v>MMM 2010</v>
      </c>
      <c r="J10" s="10" t="str">
        <f>'(FnCalls 1)'!F49</f>
        <v>MMM 2010</v>
      </c>
      <c r="K10" s="10" t="str">
        <f>'(FnCalls 1)'!F50</f>
        <v>MMM 2010</v>
      </c>
      <c r="L10" s="10" t="str">
        <f>'(FnCalls 1)'!F51</f>
        <v>MMM 2010</v>
      </c>
      <c r="M10" s="10" t="str">
        <f>'(FnCalls 1)'!F52</f>
        <v>MMM 2010</v>
      </c>
      <c r="N10" s="10" t="str">
        <f>'(FnCalls 1)'!F53</f>
        <v>MMM 2011</v>
      </c>
      <c r="O10" s="10" t="str">
        <f>'(FnCalls 1)'!F54</f>
        <v>MMM 2011</v>
      </c>
      <c r="P10" s="10" t="str">
        <f>'(FnCalls 1)'!F55</f>
        <v>MMM 2011</v>
      </c>
      <c r="Q10" s="10" t="str">
        <f>'(FnCalls 1)'!F56</f>
        <v>MMM 2011</v>
      </c>
      <c r="R10" s="10" t="str">
        <f>'(FnCalls 1)'!F57</f>
        <v>MMM 2011</v>
      </c>
      <c r="S10" s="11" t="str">
        <f>'(FnCalls 1)'!F58</f>
        <v>MMM 2011</v>
      </c>
    </row>
    <row r="11" spans="1:19" ht="12.75" hidden="1" customHeight="1" outlineLevel="1" x14ac:dyDescent="0.2">
      <c r="A11" s="182" t="str">
        <f>Labels!B66</f>
        <v>Billings</v>
      </c>
      <c r="B11" s="183"/>
      <c r="C11" s="183"/>
      <c r="D11" s="183"/>
      <c r="E11" s="183"/>
      <c r="F11" s="183"/>
      <c r="G11" s="183"/>
      <c r="H11" s="183"/>
      <c r="I11" s="183"/>
      <c r="J11" s="183"/>
      <c r="K11" s="183"/>
      <c r="L11" s="183"/>
      <c r="M11" s="183"/>
      <c r="N11" s="183"/>
      <c r="O11" s="183"/>
      <c r="P11" s="183"/>
      <c r="Q11" s="183"/>
      <c r="R11" s="183"/>
      <c r="S11" s="266"/>
    </row>
    <row r="12" spans="1:19" ht="12.75" hidden="1" customHeight="1" outlineLevel="1" x14ac:dyDescent="0.2">
      <c r="A12" s="188" t="str">
        <f>"   "&amp;Labels!B345</f>
        <v xml:space="preserve">   Engage 1</v>
      </c>
      <c r="B12" s="196">
        <f t="shared" ref="B12:S12" si="0">SUM(B48:B49)</f>
        <v>0</v>
      </c>
      <c r="C12" s="196">
        <f t="shared" si="0"/>
        <v>0</v>
      </c>
      <c r="D12" s="196">
        <f t="shared" si="0"/>
        <v>110000</v>
      </c>
      <c r="E12" s="196">
        <f t="shared" si="0"/>
        <v>110000</v>
      </c>
      <c r="F12" s="196">
        <f t="shared" si="0"/>
        <v>0</v>
      </c>
      <c r="G12" s="196">
        <f t="shared" si="0"/>
        <v>0</v>
      </c>
      <c r="H12" s="196">
        <f t="shared" si="0"/>
        <v>0</v>
      </c>
      <c r="I12" s="196">
        <f t="shared" si="0"/>
        <v>0</v>
      </c>
      <c r="J12" s="196">
        <f t="shared" si="0"/>
        <v>0</v>
      </c>
      <c r="K12" s="196">
        <f t="shared" si="0"/>
        <v>0</v>
      </c>
      <c r="L12" s="196">
        <f t="shared" si="0"/>
        <v>0</v>
      </c>
      <c r="M12" s="196">
        <f t="shared" si="0"/>
        <v>0</v>
      </c>
      <c r="N12" s="196">
        <f t="shared" si="0"/>
        <v>0</v>
      </c>
      <c r="O12" s="196">
        <f t="shared" si="0"/>
        <v>0</v>
      </c>
      <c r="P12" s="196">
        <f t="shared" si="0"/>
        <v>0</v>
      </c>
      <c r="Q12" s="196">
        <f t="shared" si="0"/>
        <v>0</v>
      </c>
      <c r="R12" s="196">
        <f t="shared" si="0"/>
        <v>0</v>
      </c>
      <c r="S12" s="267">
        <f t="shared" si="0"/>
        <v>0</v>
      </c>
    </row>
    <row r="13" spans="1:19" ht="12.75" hidden="1" customHeight="1" outlineLevel="1" x14ac:dyDescent="0.2">
      <c r="A13" s="188" t="str">
        <f>"   "&amp;Labels!B346</f>
        <v xml:space="preserve">   Engage 2</v>
      </c>
      <c r="B13" s="196">
        <f t="shared" ref="B13:S13" si="1">SUM(B52:B53)</f>
        <v>0</v>
      </c>
      <c r="C13" s="196">
        <f t="shared" si="1"/>
        <v>0</v>
      </c>
      <c r="D13" s="196">
        <f t="shared" si="1"/>
        <v>0</v>
      </c>
      <c r="E13" s="196">
        <f t="shared" si="1"/>
        <v>0</v>
      </c>
      <c r="F13" s="196">
        <f t="shared" si="1"/>
        <v>0</v>
      </c>
      <c r="G13" s="196">
        <f t="shared" si="1"/>
        <v>80000</v>
      </c>
      <c r="H13" s="196">
        <f t="shared" si="1"/>
        <v>80000</v>
      </c>
      <c r="I13" s="196">
        <f t="shared" si="1"/>
        <v>80000</v>
      </c>
      <c r="J13" s="196">
        <f t="shared" si="1"/>
        <v>0</v>
      </c>
      <c r="K13" s="196">
        <f t="shared" si="1"/>
        <v>0</v>
      </c>
      <c r="L13" s="196">
        <f t="shared" si="1"/>
        <v>0</v>
      </c>
      <c r="M13" s="196">
        <f t="shared" si="1"/>
        <v>0</v>
      </c>
      <c r="N13" s="196">
        <f t="shared" si="1"/>
        <v>0</v>
      </c>
      <c r="O13" s="196">
        <f t="shared" si="1"/>
        <v>0</v>
      </c>
      <c r="P13" s="196">
        <f t="shared" si="1"/>
        <v>0</v>
      </c>
      <c r="Q13" s="196">
        <f t="shared" si="1"/>
        <v>0</v>
      </c>
      <c r="R13" s="196">
        <f t="shared" si="1"/>
        <v>0</v>
      </c>
      <c r="S13" s="267">
        <f t="shared" si="1"/>
        <v>0</v>
      </c>
    </row>
    <row r="14" spans="1:19" ht="12.75" hidden="1" customHeight="1" outlineLevel="1" x14ac:dyDescent="0.2">
      <c r="A14" s="185" t="str">
        <f>"   "&amp;Labels!C344</f>
        <v xml:space="preserve">   Total</v>
      </c>
      <c r="B14" s="176">
        <f t="shared" ref="B14:S14" si="2">SUM(B12:B13)</f>
        <v>0</v>
      </c>
      <c r="C14" s="176">
        <f t="shared" si="2"/>
        <v>0</v>
      </c>
      <c r="D14" s="176">
        <f t="shared" si="2"/>
        <v>110000</v>
      </c>
      <c r="E14" s="176">
        <f t="shared" si="2"/>
        <v>110000</v>
      </c>
      <c r="F14" s="176">
        <f t="shared" si="2"/>
        <v>0</v>
      </c>
      <c r="G14" s="176">
        <f t="shared" si="2"/>
        <v>80000</v>
      </c>
      <c r="H14" s="176">
        <f t="shared" si="2"/>
        <v>80000</v>
      </c>
      <c r="I14" s="176">
        <f t="shared" si="2"/>
        <v>80000</v>
      </c>
      <c r="J14" s="176">
        <f t="shared" si="2"/>
        <v>0</v>
      </c>
      <c r="K14" s="176">
        <f t="shared" si="2"/>
        <v>0</v>
      </c>
      <c r="L14" s="176">
        <f t="shared" si="2"/>
        <v>0</v>
      </c>
      <c r="M14" s="176">
        <f t="shared" si="2"/>
        <v>0</v>
      </c>
      <c r="N14" s="176">
        <f t="shared" si="2"/>
        <v>0</v>
      </c>
      <c r="O14" s="176">
        <f t="shared" si="2"/>
        <v>0</v>
      </c>
      <c r="P14" s="176">
        <f t="shared" si="2"/>
        <v>0</v>
      </c>
      <c r="Q14" s="176">
        <f t="shared" si="2"/>
        <v>0</v>
      </c>
      <c r="R14" s="176">
        <f t="shared" si="2"/>
        <v>0</v>
      </c>
      <c r="S14" s="268">
        <f t="shared" si="2"/>
        <v>0</v>
      </c>
    </row>
    <row r="15" spans="1:19" ht="12.75" hidden="1" customHeight="1" outlineLevel="1" x14ac:dyDescent="0.2"/>
    <row r="16" spans="1:19" ht="12.75" hidden="1" customHeight="1" outlineLevel="1" x14ac:dyDescent="0.2">
      <c r="A16" s="182" t="str">
        <f>Labels!B69</f>
        <v>Cost - Staff</v>
      </c>
      <c r="B16" s="269"/>
      <c r="C16" s="269"/>
      <c r="D16" s="269"/>
      <c r="E16" s="269"/>
      <c r="F16" s="269"/>
      <c r="G16" s="269"/>
      <c r="H16" s="269"/>
      <c r="I16" s="269"/>
      <c r="J16" s="269"/>
      <c r="K16" s="269"/>
      <c r="L16" s="269"/>
      <c r="M16" s="269"/>
      <c r="N16" s="269"/>
      <c r="O16" s="269"/>
      <c r="P16" s="269"/>
      <c r="Q16" s="269"/>
      <c r="R16" s="269"/>
      <c r="S16" s="270"/>
    </row>
    <row r="17" spans="1:19" ht="12.75" hidden="1" customHeight="1" outlineLevel="1" x14ac:dyDescent="0.2">
      <c r="A17" s="188" t="str">
        <f>"   "&amp;Labels!B345</f>
        <v xml:space="preserve">   Engage 1</v>
      </c>
      <c r="B17" s="248">
        <f t="shared" ref="B17:S17" si="3">SUM(B62:B63)</f>
        <v>0</v>
      </c>
      <c r="C17" s="248">
        <f t="shared" si="3"/>
        <v>0</v>
      </c>
      <c r="D17" s="248">
        <f t="shared" si="3"/>
        <v>0</v>
      </c>
      <c r="E17" s="248">
        <f t="shared" si="3"/>
        <v>0</v>
      </c>
      <c r="F17" s="248">
        <f t="shared" si="3"/>
        <v>0</v>
      </c>
      <c r="G17" s="248">
        <f t="shared" si="3"/>
        <v>0</v>
      </c>
      <c r="H17" s="248">
        <f t="shared" si="3"/>
        <v>0</v>
      </c>
      <c r="I17" s="248">
        <f t="shared" si="3"/>
        <v>0</v>
      </c>
      <c r="J17" s="248">
        <f t="shared" si="3"/>
        <v>0</v>
      </c>
      <c r="K17" s="248">
        <f t="shared" si="3"/>
        <v>0</v>
      </c>
      <c r="L17" s="248">
        <f t="shared" si="3"/>
        <v>0</v>
      </c>
      <c r="M17" s="248">
        <f t="shared" si="3"/>
        <v>0</v>
      </c>
      <c r="N17" s="248">
        <f t="shared" si="3"/>
        <v>0</v>
      </c>
      <c r="O17" s="248">
        <f t="shared" si="3"/>
        <v>0</v>
      </c>
      <c r="P17" s="248">
        <f t="shared" si="3"/>
        <v>0</v>
      </c>
      <c r="Q17" s="248">
        <f t="shared" si="3"/>
        <v>0</v>
      </c>
      <c r="R17" s="248">
        <f t="shared" si="3"/>
        <v>0</v>
      </c>
      <c r="S17" s="271">
        <f t="shared" si="3"/>
        <v>0</v>
      </c>
    </row>
    <row r="18" spans="1:19" ht="12.75" hidden="1" customHeight="1" outlineLevel="1" x14ac:dyDescent="0.2">
      <c r="A18" s="188" t="str">
        <f>"   "&amp;Labels!B346</f>
        <v xml:space="preserve">   Engage 2</v>
      </c>
      <c r="B18" s="248">
        <f t="shared" ref="B18:S18" si="4">SUM(B66:B67)</f>
        <v>0</v>
      </c>
      <c r="C18" s="248">
        <f t="shared" si="4"/>
        <v>0</v>
      </c>
      <c r="D18" s="248">
        <f t="shared" si="4"/>
        <v>0</v>
      </c>
      <c r="E18" s="248">
        <f t="shared" si="4"/>
        <v>0</v>
      </c>
      <c r="F18" s="248">
        <f t="shared" si="4"/>
        <v>0</v>
      </c>
      <c r="G18" s="248">
        <f t="shared" si="4"/>
        <v>0</v>
      </c>
      <c r="H18" s="248">
        <f t="shared" si="4"/>
        <v>28260.89297106001</v>
      </c>
      <c r="I18" s="248">
        <f t="shared" si="4"/>
        <v>28330.591957132838</v>
      </c>
      <c r="J18" s="248">
        <f t="shared" si="4"/>
        <v>0</v>
      </c>
      <c r="K18" s="248">
        <f t="shared" si="4"/>
        <v>0</v>
      </c>
      <c r="L18" s="248">
        <f t="shared" si="4"/>
        <v>0</v>
      </c>
      <c r="M18" s="248">
        <f t="shared" si="4"/>
        <v>0</v>
      </c>
      <c r="N18" s="248">
        <f t="shared" si="4"/>
        <v>0</v>
      </c>
      <c r="O18" s="248">
        <f t="shared" si="4"/>
        <v>0</v>
      </c>
      <c r="P18" s="248">
        <f t="shared" si="4"/>
        <v>0</v>
      </c>
      <c r="Q18" s="248">
        <f t="shared" si="4"/>
        <v>0</v>
      </c>
      <c r="R18" s="248">
        <f t="shared" si="4"/>
        <v>0</v>
      </c>
      <c r="S18" s="271">
        <f t="shared" si="4"/>
        <v>0</v>
      </c>
    </row>
    <row r="19" spans="1:19" ht="12.75" hidden="1" customHeight="1" outlineLevel="1" x14ac:dyDescent="0.2">
      <c r="A19" s="191" t="str">
        <f>"   "&amp;Labels!C344</f>
        <v xml:space="preserve">   Total</v>
      </c>
      <c r="B19" s="247">
        <f t="shared" ref="B19:S19" si="5">SUM(B17:B18)</f>
        <v>0</v>
      </c>
      <c r="C19" s="247">
        <f t="shared" si="5"/>
        <v>0</v>
      </c>
      <c r="D19" s="247">
        <f t="shared" si="5"/>
        <v>0</v>
      </c>
      <c r="E19" s="247">
        <f t="shared" si="5"/>
        <v>0</v>
      </c>
      <c r="F19" s="247">
        <f t="shared" si="5"/>
        <v>0</v>
      </c>
      <c r="G19" s="247">
        <f t="shared" si="5"/>
        <v>0</v>
      </c>
      <c r="H19" s="247">
        <f t="shared" si="5"/>
        <v>28260.89297106001</v>
      </c>
      <c r="I19" s="247">
        <f t="shared" si="5"/>
        <v>28330.591957132838</v>
      </c>
      <c r="J19" s="247">
        <f t="shared" si="5"/>
        <v>0</v>
      </c>
      <c r="K19" s="247">
        <f t="shared" si="5"/>
        <v>0</v>
      </c>
      <c r="L19" s="247">
        <f t="shared" si="5"/>
        <v>0</v>
      </c>
      <c r="M19" s="247">
        <f t="shared" si="5"/>
        <v>0</v>
      </c>
      <c r="N19" s="247">
        <f t="shared" si="5"/>
        <v>0</v>
      </c>
      <c r="O19" s="247">
        <f t="shared" si="5"/>
        <v>0</v>
      </c>
      <c r="P19" s="247">
        <f t="shared" si="5"/>
        <v>0</v>
      </c>
      <c r="Q19" s="247">
        <f t="shared" si="5"/>
        <v>0</v>
      </c>
      <c r="R19" s="247">
        <f t="shared" si="5"/>
        <v>0</v>
      </c>
      <c r="S19" s="272">
        <f t="shared" si="5"/>
        <v>0</v>
      </c>
    </row>
    <row r="20" spans="1:19" ht="12.75" hidden="1" customHeight="1" outlineLevel="1" x14ac:dyDescent="0.2">
      <c r="A20" s="97"/>
      <c r="B20" s="6"/>
      <c r="C20" s="6"/>
      <c r="D20" s="6"/>
      <c r="E20" s="6"/>
      <c r="F20" s="6"/>
      <c r="G20" s="6"/>
      <c r="H20" s="6"/>
      <c r="I20" s="6"/>
      <c r="J20" s="6"/>
      <c r="K20" s="6"/>
      <c r="L20" s="6"/>
      <c r="M20" s="6"/>
      <c r="N20" s="6"/>
      <c r="O20" s="6"/>
      <c r="P20" s="6"/>
      <c r="Q20" s="6"/>
      <c r="R20" s="6"/>
      <c r="S20" s="7"/>
    </row>
    <row r="21" spans="1:19" ht="12.75" hidden="1" customHeight="1" outlineLevel="1" x14ac:dyDescent="0.2">
      <c r="A21" s="191" t="str">
        <f>Labels!B71</f>
        <v>Cost - Travel &amp; Entertain</v>
      </c>
      <c r="B21" s="247"/>
      <c r="C21" s="247"/>
      <c r="D21" s="247"/>
      <c r="E21" s="247"/>
      <c r="F21" s="247"/>
      <c r="G21" s="247"/>
      <c r="H21" s="247"/>
      <c r="I21" s="247"/>
      <c r="J21" s="247"/>
      <c r="K21" s="247"/>
      <c r="L21" s="247"/>
      <c r="M21" s="247"/>
      <c r="N21" s="247"/>
      <c r="O21" s="247"/>
      <c r="P21" s="247"/>
      <c r="Q21" s="247"/>
      <c r="R21" s="247"/>
      <c r="S21" s="272"/>
    </row>
    <row r="22" spans="1:19" ht="12.75" hidden="1" customHeight="1" outlineLevel="1" x14ac:dyDescent="0.2">
      <c r="A22" s="188" t="str">
        <f>"   "&amp;Labels!B345</f>
        <v xml:space="preserve">   Engage 1</v>
      </c>
      <c r="B22" s="248">
        <f t="shared" ref="B22:S22" si="6">SUM(B79,B83)</f>
        <v>0</v>
      </c>
      <c r="C22" s="248">
        <f t="shared" si="6"/>
        <v>0</v>
      </c>
      <c r="D22" s="248">
        <f t="shared" si="6"/>
        <v>5500</v>
      </c>
      <c r="E22" s="248">
        <f t="shared" si="6"/>
        <v>5500</v>
      </c>
      <c r="F22" s="248">
        <f t="shared" si="6"/>
        <v>0</v>
      </c>
      <c r="G22" s="248">
        <f t="shared" si="6"/>
        <v>0</v>
      </c>
      <c r="H22" s="248">
        <f t="shared" si="6"/>
        <v>0</v>
      </c>
      <c r="I22" s="248">
        <f t="shared" si="6"/>
        <v>0</v>
      </c>
      <c r="J22" s="248">
        <f t="shared" si="6"/>
        <v>0</v>
      </c>
      <c r="K22" s="248">
        <f t="shared" si="6"/>
        <v>0</v>
      </c>
      <c r="L22" s="248">
        <f t="shared" si="6"/>
        <v>0</v>
      </c>
      <c r="M22" s="248">
        <f t="shared" si="6"/>
        <v>0</v>
      </c>
      <c r="N22" s="248">
        <f t="shared" si="6"/>
        <v>0</v>
      </c>
      <c r="O22" s="248">
        <f t="shared" si="6"/>
        <v>0</v>
      </c>
      <c r="P22" s="248">
        <f t="shared" si="6"/>
        <v>0</v>
      </c>
      <c r="Q22" s="248">
        <f t="shared" si="6"/>
        <v>0</v>
      </c>
      <c r="R22" s="248">
        <f t="shared" si="6"/>
        <v>0</v>
      </c>
      <c r="S22" s="271">
        <f t="shared" si="6"/>
        <v>0</v>
      </c>
    </row>
    <row r="23" spans="1:19" ht="12.75" hidden="1" customHeight="1" outlineLevel="1" x14ac:dyDescent="0.2">
      <c r="A23" s="188" t="str">
        <f>"   "&amp;Labels!B346</f>
        <v xml:space="preserve">   Engage 2</v>
      </c>
      <c r="B23" s="248">
        <f t="shared" ref="B23:S23" si="7">SUM(B92,B96)</f>
        <v>0</v>
      </c>
      <c r="C23" s="248">
        <f t="shared" si="7"/>
        <v>0</v>
      </c>
      <c r="D23" s="248">
        <f t="shared" si="7"/>
        <v>0</v>
      </c>
      <c r="E23" s="248">
        <f t="shared" si="7"/>
        <v>0</v>
      </c>
      <c r="F23" s="248">
        <f t="shared" si="7"/>
        <v>0</v>
      </c>
      <c r="G23" s="248">
        <f t="shared" si="7"/>
        <v>4000</v>
      </c>
      <c r="H23" s="248">
        <f t="shared" si="7"/>
        <v>4000</v>
      </c>
      <c r="I23" s="248">
        <f t="shared" si="7"/>
        <v>4000</v>
      </c>
      <c r="J23" s="248">
        <f t="shared" si="7"/>
        <v>0</v>
      </c>
      <c r="K23" s="248">
        <f t="shared" si="7"/>
        <v>0</v>
      </c>
      <c r="L23" s="248">
        <f t="shared" si="7"/>
        <v>0</v>
      </c>
      <c r="M23" s="248">
        <f t="shared" si="7"/>
        <v>0</v>
      </c>
      <c r="N23" s="248">
        <f t="shared" si="7"/>
        <v>0</v>
      </c>
      <c r="O23" s="248">
        <f t="shared" si="7"/>
        <v>0</v>
      </c>
      <c r="P23" s="248">
        <f t="shared" si="7"/>
        <v>0</v>
      </c>
      <c r="Q23" s="248">
        <f t="shared" si="7"/>
        <v>0</v>
      </c>
      <c r="R23" s="248">
        <f t="shared" si="7"/>
        <v>0</v>
      </c>
      <c r="S23" s="271">
        <f t="shared" si="7"/>
        <v>0</v>
      </c>
    </row>
    <row r="24" spans="1:19" ht="12.75" hidden="1" customHeight="1" outlineLevel="1" x14ac:dyDescent="0.2">
      <c r="A24" s="191" t="str">
        <f>"   "&amp;Labels!C344</f>
        <v xml:space="preserve">   Total</v>
      </c>
      <c r="B24" s="247">
        <f t="shared" ref="B24:S24" si="8">SUM(B22:B23)</f>
        <v>0</v>
      </c>
      <c r="C24" s="247">
        <f t="shared" si="8"/>
        <v>0</v>
      </c>
      <c r="D24" s="247">
        <f t="shared" si="8"/>
        <v>5500</v>
      </c>
      <c r="E24" s="247">
        <f t="shared" si="8"/>
        <v>5500</v>
      </c>
      <c r="F24" s="247">
        <f t="shared" si="8"/>
        <v>0</v>
      </c>
      <c r="G24" s="247">
        <f t="shared" si="8"/>
        <v>4000</v>
      </c>
      <c r="H24" s="247">
        <f t="shared" si="8"/>
        <v>4000</v>
      </c>
      <c r="I24" s="247">
        <f t="shared" si="8"/>
        <v>4000</v>
      </c>
      <c r="J24" s="247">
        <f t="shared" si="8"/>
        <v>0</v>
      </c>
      <c r="K24" s="247">
        <f t="shared" si="8"/>
        <v>0</v>
      </c>
      <c r="L24" s="247">
        <f t="shared" si="8"/>
        <v>0</v>
      </c>
      <c r="M24" s="247">
        <f t="shared" si="8"/>
        <v>0</v>
      </c>
      <c r="N24" s="247">
        <f t="shared" si="8"/>
        <v>0</v>
      </c>
      <c r="O24" s="247">
        <f t="shared" si="8"/>
        <v>0</v>
      </c>
      <c r="P24" s="247">
        <f t="shared" si="8"/>
        <v>0</v>
      </c>
      <c r="Q24" s="247">
        <f t="shared" si="8"/>
        <v>0</v>
      </c>
      <c r="R24" s="247">
        <f t="shared" si="8"/>
        <v>0</v>
      </c>
      <c r="S24" s="272">
        <f t="shared" si="8"/>
        <v>0</v>
      </c>
    </row>
    <row r="25" spans="1:19" ht="12.75" hidden="1" customHeight="1" outlineLevel="1" x14ac:dyDescent="0.2">
      <c r="A25" s="97"/>
      <c r="B25" s="6"/>
      <c r="C25" s="6"/>
      <c r="D25" s="6"/>
      <c r="E25" s="6"/>
      <c r="F25" s="6"/>
      <c r="G25" s="6"/>
      <c r="H25" s="6"/>
      <c r="I25" s="6"/>
      <c r="J25" s="6"/>
      <c r="K25" s="6"/>
      <c r="L25" s="6"/>
      <c r="M25" s="6"/>
      <c r="N25" s="6"/>
      <c r="O25" s="6"/>
      <c r="P25" s="6"/>
      <c r="Q25" s="6"/>
      <c r="R25" s="6"/>
      <c r="S25" s="7"/>
    </row>
    <row r="26" spans="1:19" ht="12.75" hidden="1" customHeight="1" outlineLevel="1" x14ac:dyDescent="0.2">
      <c r="A26" s="191" t="str">
        <f>Labels!B70</f>
        <v>Cost - Supplies</v>
      </c>
      <c r="B26" s="247"/>
      <c r="C26" s="247"/>
      <c r="D26" s="247"/>
      <c r="E26" s="247"/>
      <c r="F26" s="247"/>
      <c r="G26" s="247"/>
      <c r="H26" s="247"/>
      <c r="I26" s="247"/>
      <c r="J26" s="247"/>
      <c r="K26" s="247"/>
      <c r="L26" s="247"/>
      <c r="M26" s="247"/>
      <c r="N26" s="247"/>
      <c r="O26" s="247"/>
      <c r="P26" s="247"/>
      <c r="Q26" s="247"/>
      <c r="R26" s="247"/>
      <c r="S26" s="272"/>
    </row>
    <row r="27" spans="1:19" ht="12.75" hidden="1" customHeight="1" outlineLevel="1" x14ac:dyDescent="0.2">
      <c r="A27" s="188" t="str">
        <f>"   "&amp;Labels!B345</f>
        <v xml:space="preserve">   Engage 1</v>
      </c>
      <c r="B27" s="248">
        <f t="shared" ref="B27:S27" si="9">SUM(B120,B124)</f>
        <v>0</v>
      </c>
      <c r="C27" s="248">
        <f t="shared" si="9"/>
        <v>0</v>
      </c>
      <c r="D27" s="248">
        <f t="shared" si="9"/>
        <v>0</v>
      </c>
      <c r="E27" s="248">
        <f t="shared" si="9"/>
        <v>0</v>
      </c>
      <c r="F27" s="248">
        <f t="shared" si="9"/>
        <v>0</v>
      </c>
      <c r="G27" s="248">
        <f t="shared" si="9"/>
        <v>0</v>
      </c>
      <c r="H27" s="248">
        <f t="shared" si="9"/>
        <v>0</v>
      </c>
      <c r="I27" s="248">
        <f t="shared" si="9"/>
        <v>0</v>
      </c>
      <c r="J27" s="248">
        <f t="shared" si="9"/>
        <v>0</v>
      </c>
      <c r="K27" s="248">
        <f t="shared" si="9"/>
        <v>0</v>
      </c>
      <c r="L27" s="248">
        <f t="shared" si="9"/>
        <v>0</v>
      </c>
      <c r="M27" s="248">
        <f t="shared" si="9"/>
        <v>0</v>
      </c>
      <c r="N27" s="248">
        <f t="shared" si="9"/>
        <v>0</v>
      </c>
      <c r="O27" s="248">
        <f t="shared" si="9"/>
        <v>0</v>
      </c>
      <c r="P27" s="248">
        <f t="shared" si="9"/>
        <v>0</v>
      </c>
      <c r="Q27" s="248">
        <f t="shared" si="9"/>
        <v>0</v>
      </c>
      <c r="R27" s="248">
        <f t="shared" si="9"/>
        <v>0</v>
      </c>
      <c r="S27" s="271">
        <f t="shared" si="9"/>
        <v>0</v>
      </c>
    </row>
    <row r="28" spans="1:19" ht="12.75" hidden="1" customHeight="1" outlineLevel="1" x14ac:dyDescent="0.2">
      <c r="A28" s="188" t="str">
        <f>"   "&amp;Labels!B346</f>
        <v xml:space="preserve">   Engage 2</v>
      </c>
      <c r="B28" s="248">
        <f t="shared" ref="B28:S28" si="10">SUM(B133,B137)</f>
        <v>0</v>
      </c>
      <c r="C28" s="248">
        <f t="shared" si="10"/>
        <v>0</v>
      </c>
      <c r="D28" s="248">
        <f t="shared" si="10"/>
        <v>0</v>
      </c>
      <c r="E28" s="248">
        <f t="shared" si="10"/>
        <v>0</v>
      </c>
      <c r="F28" s="248">
        <f t="shared" si="10"/>
        <v>0</v>
      </c>
      <c r="G28" s="248">
        <f t="shared" si="10"/>
        <v>0</v>
      </c>
      <c r="H28" s="248">
        <f t="shared" si="10"/>
        <v>0</v>
      </c>
      <c r="I28" s="248">
        <f t="shared" si="10"/>
        <v>0</v>
      </c>
      <c r="J28" s="248">
        <f t="shared" si="10"/>
        <v>0</v>
      </c>
      <c r="K28" s="248">
        <f t="shared" si="10"/>
        <v>0</v>
      </c>
      <c r="L28" s="248">
        <f t="shared" si="10"/>
        <v>0</v>
      </c>
      <c r="M28" s="248">
        <f t="shared" si="10"/>
        <v>0</v>
      </c>
      <c r="N28" s="248">
        <f t="shared" si="10"/>
        <v>0</v>
      </c>
      <c r="O28" s="248">
        <f t="shared" si="10"/>
        <v>0</v>
      </c>
      <c r="P28" s="248">
        <f t="shared" si="10"/>
        <v>0</v>
      </c>
      <c r="Q28" s="248">
        <f t="shared" si="10"/>
        <v>0</v>
      </c>
      <c r="R28" s="248">
        <f t="shared" si="10"/>
        <v>0</v>
      </c>
      <c r="S28" s="271">
        <f t="shared" si="10"/>
        <v>0</v>
      </c>
    </row>
    <row r="29" spans="1:19" ht="12.75" hidden="1" customHeight="1" outlineLevel="1" x14ac:dyDescent="0.2">
      <c r="A29" s="185" t="str">
        <f>"   "&amp;Labels!C344</f>
        <v xml:space="preserve">   Total</v>
      </c>
      <c r="B29" s="273">
        <f t="shared" ref="B29:S29" si="11">SUM(B27:B28)</f>
        <v>0</v>
      </c>
      <c r="C29" s="273">
        <f t="shared" si="11"/>
        <v>0</v>
      </c>
      <c r="D29" s="273">
        <f t="shared" si="11"/>
        <v>0</v>
      </c>
      <c r="E29" s="273">
        <f t="shared" si="11"/>
        <v>0</v>
      </c>
      <c r="F29" s="273">
        <f t="shared" si="11"/>
        <v>0</v>
      </c>
      <c r="G29" s="273">
        <f t="shared" si="11"/>
        <v>0</v>
      </c>
      <c r="H29" s="273">
        <f t="shared" si="11"/>
        <v>0</v>
      </c>
      <c r="I29" s="273">
        <f t="shared" si="11"/>
        <v>0</v>
      </c>
      <c r="J29" s="273">
        <f t="shared" si="11"/>
        <v>0</v>
      </c>
      <c r="K29" s="273">
        <f t="shared" si="11"/>
        <v>0</v>
      </c>
      <c r="L29" s="273">
        <f t="shared" si="11"/>
        <v>0</v>
      </c>
      <c r="M29" s="273">
        <f t="shared" si="11"/>
        <v>0</v>
      </c>
      <c r="N29" s="273">
        <f t="shared" si="11"/>
        <v>0</v>
      </c>
      <c r="O29" s="273">
        <f t="shared" si="11"/>
        <v>0</v>
      </c>
      <c r="P29" s="273">
        <f t="shared" si="11"/>
        <v>0</v>
      </c>
      <c r="Q29" s="273">
        <f t="shared" si="11"/>
        <v>0</v>
      </c>
      <c r="R29" s="273">
        <f t="shared" si="11"/>
        <v>0</v>
      </c>
      <c r="S29" s="274">
        <f t="shared" si="11"/>
        <v>0</v>
      </c>
    </row>
    <row r="30" spans="1:19" ht="12.75" hidden="1" customHeight="1" outlineLevel="1" x14ac:dyDescent="0.2"/>
    <row r="31" spans="1:19" ht="12.75" hidden="1" customHeight="1" outlineLevel="1" x14ac:dyDescent="0.2">
      <c r="A31" s="182" t="str">
        <f>Labels!B345</f>
        <v>Engage 1</v>
      </c>
      <c r="B31" s="13"/>
      <c r="C31" s="13"/>
      <c r="D31" s="13"/>
      <c r="E31" s="13"/>
      <c r="F31" s="13"/>
      <c r="G31" s="13"/>
      <c r="H31" s="13"/>
      <c r="I31" s="13"/>
      <c r="J31" s="13"/>
      <c r="K31" s="13"/>
      <c r="L31" s="13"/>
      <c r="M31" s="13"/>
      <c r="N31" s="13"/>
      <c r="O31" s="13"/>
      <c r="P31" s="13"/>
      <c r="Q31" s="13"/>
      <c r="R31" s="13"/>
      <c r="S31" s="14"/>
    </row>
    <row r="32" spans="1:19" ht="12.75" hidden="1" customHeight="1" outlineLevel="1" x14ac:dyDescent="0.2">
      <c r="A32" s="188" t="str">
        <f>"   "&amp;Labels!B74</f>
        <v xml:space="preserve">   Gross Margin</v>
      </c>
      <c r="B32" s="196">
        <f>SUM('(Tables)'!B1469:B1470)</f>
        <v>0</v>
      </c>
      <c r="C32" s="196">
        <f>SUM('(Tables)'!C1469:C1470)</f>
        <v>0</v>
      </c>
      <c r="D32" s="196">
        <f>SUM('(Tables)'!D1469:D1470)</f>
        <v>110000</v>
      </c>
      <c r="E32" s="196">
        <f>SUM('(Tables)'!E1469:E1470)</f>
        <v>110000</v>
      </c>
      <c r="F32" s="196">
        <f>SUM('(Tables)'!F1469:F1470)</f>
        <v>0</v>
      </c>
      <c r="G32" s="196">
        <f>SUM('(Tables)'!G1469:G1470)</f>
        <v>0</v>
      </c>
      <c r="H32" s="196">
        <f>SUM('(Tables)'!H1469:H1470)</f>
        <v>0</v>
      </c>
      <c r="I32" s="196">
        <f>SUM('(Tables)'!I1469:I1470)</f>
        <v>0</v>
      </c>
      <c r="J32" s="196">
        <f>SUM('(Tables)'!J1469:J1470)</f>
        <v>0</v>
      </c>
      <c r="K32" s="196">
        <f>SUM('(Tables)'!K1469:K1470)</f>
        <v>0</v>
      </c>
      <c r="L32" s="196">
        <f>SUM('(Tables)'!L1469:L1470)</f>
        <v>0</v>
      </c>
      <c r="M32" s="196">
        <f>SUM('(Tables)'!M1469:M1470)</f>
        <v>0</v>
      </c>
      <c r="N32" s="196">
        <f>SUM('(Tables)'!N1469:N1470)</f>
        <v>0</v>
      </c>
      <c r="O32" s="196">
        <f>SUM('(Tables)'!O1469:O1470)</f>
        <v>0</v>
      </c>
      <c r="P32" s="196">
        <f>SUM('(Tables)'!P1469:P1470)</f>
        <v>0</v>
      </c>
      <c r="Q32" s="196">
        <f>SUM('(Tables)'!Q1469:Q1470)</f>
        <v>0</v>
      </c>
      <c r="R32" s="196">
        <f>SUM('(Tables)'!R1469:R1470)</f>
        <v>0</v>
      </c>
      <c r="S32" s="267">
        <f>SUM('(Tables)'!S1469:S1470)</f>
        <v>0</v>
      </c>
    </row>
    <row r="33" spans="1:19" ht="12.75" hidden="1" customHeight="1" outlineLevel="1" x14ac:dyDescent="0.2">
      <c r="A33" s="188" t="str">
        <f>"   "&amp;Labels!B75</f>
        <v xml:space="preserve">   Gross Margin %</v>
      </c>
      <c r="B33" s="275">
        <f>AVERAGE('(Tables)'!B1483:B1484)</f>
        <v>0</v>
      </c>
      <c r="C33" s="275">
        <f>AVERAGE('(Tables)'!C1483:C1484)</f>
        <v>0</v>
      </c>
      <c r="D33" s="275">
        <f>AVERAGE('(Tables)'!D1483:D1484)</f>
        <v>1</v>
      </c>
      <c r="E33" s="275">
        <f>AVERAGE('(Tables)'!E1483:E1484)</f>
        <v>1</v>
      </c>
      <c r="F33" s="275">
        <f>AVERAGE('(Tables)'!F1483:F1484)</f>
        <v>0</v>
      </c>
      <c r="G33" s="275">
        <f>AVERAGE('(Tables)'!G1483:G1484)</f>
        <v>0</v>
      </c>
      <c r="H33" s="275">
        <f>AVERAGE('(Tables)'!H1483:H1484)</f>
        <v>0</v>
      </c>
      <c r="I33" s="275">
        <f>AVERAGE('(Tables)'!I1483:I1484)</f>
        <v>0</v>
      </c>
      <c r="J33" s="275">
        <f>AVERAGE('(Tables)'!J1483:J1484)</f>
        <v>0</v>
      </c>
      <c r="K33" s="275">
        <f>AVERAGE('(Tables)'!K1483:K1484)</f>
        <v>0</v>
      </c>
      <c r="L33" s="275">
        <f>AVERAGE('(Tables)'!L1483:L1484)</f>
        <v>0</v>
      </c>
      <c r="M33" s="275">
        <f>AVERAGE('(Tables)'!M1483:M1484)</f>
        <v>0</v>
      </c>
      <c r="N33" s="275">
        <f>AVERAGE('(Tables)'!N1483:N1484)</f>
        <v>0</v>
      </c>
      <c r="O33" s="275">
        <f>AVERAGE('(Tables)'!O1483:O1484)</f>
        <v>0</v>
      </c>
      <c r="P33" s="275">
        <f>AVERAGE('(Tables)'!P1483:P1484)</f>
        <v>0</v>
      </c>
      <c r="Q33" s="275">
        <f>AVERAGE('(Tables)'!Q1483:Q1484)</f>
        <v>0</v>
      </c>
      <c r="R33" s="275">
        <f>AVERAGE('(Tables)'!R1483:R1484)</f>
        <v>0</v>
      </c>
      <c r="S33" s="276">
        <f>AVERAGE('(Tables)'!S1483:S1484)</f>
        <v>0</v>
      </c>
    </row>
    <row r="34" spans="1:19" ht="12.75" hidden="1" customHeight="1" outlineLevel="1" x14ac:dyDescent="0.2">
      <c r="A34" s="191" t="str">
        <f>Labels!B346</f>
        <v>Engage 2</v>
      </c>
      <c r="B34" s="3"/>
      <c r="C34" s="3"/>
      <c r="D34" s="3"/>
      <c r="E34" s="3"/>
      <c r="F34" s="3"/>
      <c r="G34" s="3"/>
      <c r="H34" s="3"/>
      <c r="I34" s="3"/>
      <c r="J34" s="3"/>
      <c r="K34" s="3"/>
      <c r="L34" s="3"/>
      <c r="M34" s="3"/>
      <c r="N34" s="3"/>
      <c r="O34" s="3"/>
      <c r="P34" s="3"/>
      <c r="Q34" s="3"/>
      <c r="R34" s="3"/>
      <c r="S34" s="121"/>
    </row>
    <row r="35" spans="1:19" ht="12.75" hidden="1" customHeight="1" outlineLevel="1" x14ac:dyDescent="0.2">
      <c r="A35" s="188" t="str">
        <f>"   "&amp;Labels!B74</f>
        <v xml:space="preserve">   Gross Margin</v>
      </c>
      <c r="B35" s="196">
        <f>SUM('(Tables)'!B1473:B1474)</f>
        <v>0</v>
      </c>
      <c r="C35" s="196">
        <f>SUM('(Tables)'!C1473:C1474)</f>
        <v>0</v>
      </c>
      <c r="D35" s="196">
        <f>SUM('(Tables)'!D1473:D1474)</f>
        <v>0</v>
      </c>
      <c r="E35" s="196">
        <f>SUM('(Tables)'!E1473:E1474)</f>
        <v>0</v>
      </c>
      <c r="F35" s="196">
        <f>SUM('(Tables)'!F1473:F1474)</f>
        <v>0</v>
      </c>
      <c r="G35" s="196">
        <f>SUM('(Tables)'!G1473:G1474)</f>
        <v>80000</v>
      </c>
      <c r="H35" s="196">
        <f>SUM('(Tables)'!H1473:H1474)</f>
        <v>51739.107028939994</v>
      </c>
      <c r="I35" s="196">
        <f>SUM('(Tables)'!I1473:I1474)</f>
        <v>51669.408042867159</v>
      </c>
      <c r="J35" s="196">
        <f>SUM('(Tables)'!J1473:J1474)</f>
        <v>0</v>
      </c>
      <c r="K35" s="196">
        <f>SUM('(Tables)'!K1473:K1474)</f>
        <v>0</v>
      </c>
      <c r="L35" s="196">
        <f>SUM('(Tables)'!L1473:L1474)</f>
        <v>0</v>
      </c>
      <c r="M35" s="196">
        <f>SUM('(Tables)'!M1473:M1474)</f>
        <v>0</v>
      </c>
      <c r="N35" s="196">
        <f>SUM('(Tables)'!N1473:N1474)</f>
        <v>0</v>
      </c>
      <c r="O35" s="196">
        <f>SUM('(Tables)'!O1473:O1474)</f>
        <v>0</v>
      </c>
      <c r="P35" s="196">
        <f>SUM('(Tables)'!P1473:P1474)</f>
        <v>0</v>
      </c>
      <c r="Q35" s="196">
        <f>SUM('(Tables)'!Q1473:Q1474)</f>
        <v>0</v>
      </c>
      <c r="R35" s="196">
        <f>SUM('(Tables)'!R1473:R1474)</f>
        <v>0</v>
      </c>
      <c r="S35" s="267">
        <f>SUM('(Tables)'!S1473:S1474)</f>
        <v>0</v>
      </c>
    </row>
    <row r="36" spans="1:19" ht="12.75" hidden="1" customHeight="1" outlineLevel="1" x14ac:dyDescent="0.2">
      <c r="A36" s="188" t="str">
        <f>"   "&amp;Labels!B75</f>
        <v xml:space="preserve">   Gross Margin %</v>
      </c>
      <c r="B36" s="275">
        <f>AVERAGE('(Tables)'!B1487:B1488)</f>
        <v>0</v>
      </c>
      <c r="C36" s="275">
        <f>AVERAGE('(Tables)'!C1487:C1488)</f>
        <v>0</v>
      </c>
      <c r="D36" s="275">
        <f>AVERAGE('(Tables)'!D1487:D1488)</f>
        <v>0</v>
      </c>
      <c r="E36" s="275">
        <f>AVERAGE('(Tables)'!E1487:E1488)</f>
        <v>0</v>
      </c>
      <c r="F36" s="275">
        <f>AVERAGE('(Tables)'!F1487:F1488)</f>
        <v>0</v>
      </c>
      <c r="G36" s="275">
        <f>AVERAGE('(Tables)'!G1487:G1488)</f>
        <v>1</v>
      </c>
      <c r="H36" s="275">
        <f>AVERAGE('(Tables)'!H1487:H1488)</f>
        <v>0.6467388378617499</v>
      </c>
      <c r="I36" s="275">
        <f>AVERAGE('(Tables)'!I1487:I1488)</f>
        <v>0.64586760053583947</v>
      </c>
      <c r="J36" s="275">
        <f>AVERAGE('(Tables)'!J1487:J1488)</f>
        <v>0</v>
      </c>
      <c r="K36" s="275">
        <f>AVERAGE('(Tables)'!K1487:K1488)</f>
        <v>0</v>
      </c>
      <c r="L36" s="275">
        <f>AVERAGE('(Tables)'!L1487:L1488)</f>
        <v>0</v>
      </c>
      <c r="M36" s="275">
        <f>AVERAGE('(Tables)'!M1487:M1488)</f>
        <v>0</v>
      </c>
      <c r="N36" s="275">
        <f>AVERAGE('(Tables)'!N1487:N1488)</f>
        <v>0</v>
      </c>
      <c r="O36" s="275">
        <f>AVERAGE('(Tables)'!O1487:O1488)</f>
        <v>0</v>
      </c>
      <c r="P36" s="275">
        <f>AVERAGE('(Tables)'!P1487:P1488)</f>
        <v>0</v>
      </c>
      <c r="Q36" s="275">
        <f>AVERAGE('(Tables)'!Q1487:Q1488)</f>
        <v>0</v>
      </c>
      <c r="R36" s="275">
        <f>AVERAGE('(Tables)'!R1487:R1488)</f>
        <v>0</v>
      </c>
      <c r="S36" s="276">
        <f>AVERAGE('(Tables)'!S1487:S1488)</f>
        <v>0</v>
      </c>
    </row>
    <row r="37" spans="1:19" ht="12.75" hidden="1" customHeight="1" outlineLevel="1" x14ac:dyDescent="0.2">
      <c r="A37" s="97" t="str">
        <f>Labels!C344</f>
        <v>Total</v>
      </c>
      <c r="B37" s="6"/>
      <c r="C37" s="6"/>
      <c r="D37" s="6"/>
      <c r="E37" s="6"/>
      <c r="F37" s="6"/>
      <c r="G37" s="6"/>
      <c r="H37" s="6"/>
      <c r="I37" s="6"/>
      <c r="J37" s="6"/>
      <c r="K37" s="6"/>
      <c r="L37" s="6"/>
      <c r="M37" s="6"/>
      <c r="N37" s="6"/>
      <c r="O37" s="6"/>
      <c r="P37" s="6"/>
      <c r="Q37" s="6"/>
      <c r="R37" s="6"/>
      <c r="S37" s="7"/>
    </row>
    <row r="38" spans="1:19" ht="12.75" hidden="1" customHeight="1" outlineLevel="1" x14ac:dyDescent="0.2">
      <c r="A38" s="188" t="str">
        <f>"   "&amp;Labels!B74</f>
        <v xml:space="preserve">   Gross Margin</v>
      </c>
      <c r="B38" s="196">
        <f t="shared" ref="B38:S38" si="12">SUM(B32,B35)</f>
        <v>0</v>
      </c>
      <c r="C38" s="196">
        <f t="shared" si="12"/>
        <v>0</v>
      </c>
      <c r="D38" s="196">
        <f t="shared" si="12"/>
        <v>110000</v>
      </c>
      <c r="E38" s="196">
        <f t="shared" si="12"/>
        <v>110000</v>
      </c>
      <c r="F38" s="196">
        <f t="shared" si="12"/>
        <v>0</v>
      </c>
      <c r="G38" s="196">
        <f t="shared" si="12"/>
        <v>80000</v>
      </c>
      <c r="H38" s="196">
        <f t="shared" si="12"/>
        <v>51739.107028939994</v>
      </c>
      <c r="I38" s="196">
        <f t="shared" si="12"/>
        <v>51669.408042867159</v>
      </c>
      <c r="J38" s="196">
        <f t="shared" si="12"/>
        <v>0</v>
      </c>
      <c r="K38" s="196">
        <f t="shared" si="12"/>
        <v>0</v>
      </c>
      <c r="L38" s="196">
        <f t="shared" si="12"/>
        <v>0</v>
      </c>
      <c r="M38" s="196">
        <f t="shared" si="12"/>
        <v>0</v>
      </c>
      <c r="N38" s="196">
        <f t="shared" si="12"/>
        <v>0</v>
      </c>
      <c r="O38" s="196">
        <f t="shared" si="12"/>
        <v>0</v>
      </c>
      <c r="P38" s="196">
        <f t="shared" si="12"/>
        <v>0</v>
      </c>
      <c r="Q38" s="196">
        <f t="shared" si="12"/>
        <v>0</v>
      </c>
      <c r="R38" s="196">
        <f t="shared" si="12"/>
        <v>0</v>
      </c>
      <c r="S38" s="267">
        <f t="shared" si="12"/>
        <v>0</v>
      </c>
    </row>
    <row r="39" spans="1:19" ht="12.75" hidden="1" customHeight="1" outlineLevel="1" x14ac:dyDescent="0.2">
      <c r="A39" s="220" t="str">
        <f>"   "&amp;Labels!B75</f>
        <v xml:space="preserve">   Gross Margin %</v>
      </c>
      <c r="B39" s="277">
        <f t="shared" ref="B39:S39" si="13">AVERAGE(B33,B36)</f>
        <v>0</v>
      </c>
      <c r="C39" s="277">
        <f t="shared" si="13"/>
        <v>0</v>
      </c>
      <c r="D39" s="277">
        <f t="shared" si="13"/>
        <v>0.5</v>
      </c>
      <c r="E39" s="277">
        <f t="shared" si="13"/>
        <v>0.5</v>
      </c>
      <c r="F39" s="277">
        <f t="shared" si="13"/>
        <v>0</v>
      </c>
      <c r="G39" s="277">
        <f t="shared" si="13"/>
        <v>0.5</v>
      </c>
      <c r="H39" s="277">
        <f t="shared" si="13"/>
        <v>0.32336941893087495</v>
      </c>
      <c r="I39" s="277">
        <f t="shared" si="13"/>
        <v>0.32293380026791974</v>
      </c>
      <c r="J39" s="277">
        <f t="shared" si="13"/>
        <v>0</v>
      </c>
      <c r="K39" s="277">
        <f t="shared" si="13"/>
        <v>0</v>
      </c>
      <c r="L39" s="277">
        <f t="shared" si="13"/>
        <v>0</v>
      </c>
      <c r="M39" s="277">
        <f t="shared" si="13"/>
        <v>0</v>
      </c>
      <c r="N39" s="277">
        <f t="shared" si="13"/>
        <v>0</v>
      </c>
      <c r="O39" s="277">
        <f t="shared" si="13"/>
        <v>0</v>
      </c>
      <c r="P39" s="277">
        <f t="shared" si="13"/>
        <v>0</v>
      </c>
      <c r="Q39" s="277">
        <f t="shared" si="13"/>
        <v>0</v>
      </c>
      <c r="R39" s="277">
        <f t="shared" si="13"/>
        <v>0</v>
      </c>
      <c r="S39" s="278">
        <f t="shared" si="13"/>
        <v>0</v>
      </c>
    </row>
    <row r="40" spans="1:19" ht="12.75" hidden="1" customHeight="1" outlineLevel="1" x14ac:dyDescent="0.2"/>
    <row r="41" spans="1:19" ht="12.75" hidden="1" customHeight="1" outlineLevel="1" collapsed="1" x14ac:dyDescent="0.2"/>
    <row r="42" spans="1:19" ht="12.75" customHeight="1" collapsed="1" x14ac:dyDescent="0.2"/>
    <row r="43" spans="1:19" ht="12.75" customHeight="1" collapsed="1" x14ac:dyDescent="0.2">
      <c r="A43" s="464" t="str">
        <f>"Professional Staff - Major Engagements"</f>
        <v>Professional Staff - Major Engagements</v>
      </c>
      <c r="B43" s="464"/>
      <c r="C43" s="464"/>
    </row>
    <row r="44" spans="1:19" ht="12.75" hidden="1" customHeight="1" outlineLevel="1" x14ac:dyDescent="0.2">
      <c r="A44" s="1" t="str">
        <f>" "</f>
        <v xml:space="preserve"> </v>
      </c>
    </row>
    <row r="45" spans="1:19" ht="12.75" hidden="1" customHeight="1" outlineLevel="1" x14ac:dyDescent="0.2">
      <c r="B45" s="9" t="str">
        <f>'(FnCalls 1)'!F41</f>
        <v>MMM 2010</v>
      </c>
      <c r="C45" s="10" t="str">
        <f>'(FnCalls 1)'!F42</f>
        <v>MMM 2010</v>
      </c>
      <c r="D45" s="10" t="str">
        <f>'(FnCalls 1)'!F43</f>
        <v>MMM 2010</v>
      </c>
      <c r="E45" s="10" t="str">
        <f>'(FnCalls 1)'!F44</f>
        <v>MMM 2010</v>
      </c>
      <c r="F45" s="10" t="str">
        <f>'(FnCalls 1)'!F45</f>
        <v>MMM 2010</v>
      </c>
      <c r="G45" s="10" t="str">
        <f>'(FnCalls 1)'!F46</f>
        <v>MMM 2010</v>
      </c>
      <c r="H45" s="10" t="str">
        <f>'(FnCalls 1)'!F47</f>
        <v>MMM 2010</v>
      </c>
      <c r="I45" s="10" t="str">
        <f>'(FnCalls 1)'!F48</f>
        <v>MMM 2010</v>
      </c>
      <c r="J45" s="10" t="str">
        <f>'(FnCalls 1)'!F49</f>
        <v>MMM 2010</v>
      </c>
      <c r="K45" s="10" t="str">
        <f>'(FnCalls 1)'!F50</f>
        <v>MMM 2010</v>
      </c>
      <c r="L45" s="10" t="str">
        <f>'(FnCalls 1)'!F51</f>
        <v>MMM 2010</v>
      </c>
      <c r="M45" s="10" t="str">
        <f>'(FnCalls 1)'!F52</f>
        <v>MMM 2010</v>
      </c>
      <c r="N45" s="10" t="str">
        <f>'(FnCalls 1)'!F53</f>
        <v>MMM 2011</v>
      </c>
      <c r="O45" s="10" t="str">
        <f>'(FnCalls 1)'!F54</f>
        <v>MMM 2011</v>
      </c>
      <c r="P45" s="10" t="str">
        <f>'(FnCalls 1)'!F55</f>
        <v>MMM 2011</v>
      </c>
      <c r="Q45" s="10" t="str">
        <f>'(FnCalls 1)'!F56</f>
        <v>MMM 2011</v>
      </c>
      <c r="R45" s="10" t="str">
        <f>'(FnCalls 1)'!F57</f>
        <v>MMM 2011</v>
      </c>
      <c r="S45" s="11" t="str">
        <f>'(FnCalls 1)'!F58</f>
        <v>MMM 2011</v>
      </c>
    </row>
    <row r="46" spans="1:19" ht="12.75" hidden="1" customHeight="1" outlineLevel="1" x14ac:dyDescent="0.2">
      <c r="A46" s="182" t="str">
        <f>Labels!B66</f>
        <v>Billings</v>
      </c>
      <c r="B46" s="183"/>
      <c r="C46" s="183"/>
      <c r="D46" s="183"/>
      <c r="E46" s="183"/>
      <c r="F46" s="183"/>
      <c r="G46" s="183"/>
      <c r="H46" s="183"/>
      <c r="I46" s="183"/>
      <c r="J46" s="183"/>
      <c r="K46" s="183"/>
      <c r="L46" s="183"/>
      <c r="M46" s="183"/>
      <c r="N46" s="183"/>
      <c r="O46" s="183"/>
      <c r="P46" s="183"/>
      <c r="Q46" s="183"/>
      <c r="R46" s="183"/>
      <c r="S46" s="266"/>
    </row>
    <row r="47" spans="1:19" ht="12.75" hidden="1" customHeight="1" outlineLevel="1" x14ac:dyDescent="0.2">
      <c r="A47" s="188" t="str">
        <f>"   "&amp;Labels!B345</f>
        <v xml:space="preserve">   Engage 1</v>
      </c>
      <c r="B47" s="196"/>
      <c r="C47" s="196"/>
      <c r="D47" s="196"/>
      <c r="E47" s="196"/>
      <c r="F47" s="196"/>
      <c r="G47" s="196"/>
      <c r="H47" s="196"/>
      <c r="I47" s="196"/>
      <c r="J47" s="196"/>
      <c r="K47" s="196"/>
      <c r="L47" s="196"/>
      <c r="M47" s="196"/>
      <c r="N47" s="196"/>
      <c r="O47" s="196"/>
      <c r="P47" s="196"/>
      <c r="Q47" s="196"/>
      <c r="R47" s="196"/>
      <c r="S47" s="267"/>
    </row>
    <row r="48" spans="1:19" ht="12.75" hidden="1" customHeight="1" outlineLevel="1" x14ac:dyDescent="0.2">
      <c r="A48" s="198" t="str">
        <f>"      "&amp;Labels!B385</f>
        <v xml:space="preserve">      Prof Level 1</v>
      </c>
      <c r="B48" s="226">
        <f>'(Tables)'!B810*(1-Inputs!F148)*(1-('(Tables)'!B410*Inputs!F143+'(Tables)'!C410*Inputs!F145))</f>
        <v>0</v>
      </c>
      <c r="C48" s="226">
        <f>'(Tables)'!C810*(1-Inputs!G148)*(1-('(Tables)'!B410*Inputs!G143+'(Tables)'!C410*Inputs!G145))</f>
        <v>0</v>
      </c>
      <c r="D48" s="226">
        <f>'(Tables)'!D810*(1-Inputs!H148)*(1-('(Tables)'!B410*Inputs!H143+'(Tables)'!C410*Inputs!H145))</f>
        <v>55000</v>
      </c>
      <c r="E48" s="226">
        <f>'(Tables)'!E810*(1-Inputs!I148)*(1-('(Tables)'!B410*Inputs!I143+'(Tables)'!C410*Inputs!I145))</f>
        <v>55000</v>
      </c>
      <c r="F48" s="226">
        <f>'(Tables)'!F810*(1-Inputs!J148)*(1-('(Tables)'!B410*Inputs!J143+'(Tables)'!C410*Inputs!J145))</f>
        <v>0</v>
      </c>
      <c r="G48" s="226">
        <f>'(Tables)'!G810*(1-Inputs!K148)*(1-('(Tables)'!B410*Inputs!K143+'(Tables)'!C410*Inputs!K145))</f>
        <v>0</v>
      </c>
      <c r="H48" s="226">
        <f>'(Tables)'!H810*(1-Inputs!L148)*(1-('(Tables)'!B410*Inputs!L143+'(Tables)'!C410*Inputs!L145))</f>
        <v>0</v>
      </c>
      <c r="I48" s="226">
        <f>'(Tables)'!I810*(1-Inputs!M148)*(1-('(Tables)'!B410*Inputs!M143+'(Tables)'!C410*Inputs!M145))</f>
        <v>0</v>
      </c>
      <c r="J48" s="226">
        <f>'(Tables)'!J810*(1-Inputs!N148)*(1-('(Tables)'!B410*Inputs!N143+'(Tables)'!C410*Inputs!N145))</f>
        <v>0</v>
      </c>
      <c r="K48" s="226">
        <f>'(Tables)'!K810*(1-Inputs!O148)*(1-('(Tables)'!B410*Inputs!O143+'(Tables)'!C410*Inputs!O145))</f>
        <v>0</v>
      </c>
      <c r="L48" s="226">
        <f>'(Tables)'!L810*(1-Inputs!P148)*(1-('(Tables)'!B410*Inputs!P143+'(Tables)'!C410*Inputs!P145))</f>
        <v>0</v>
      </c>
      <c r="M48" s="226">
        <f>'(Tables)'!M810*(1-Inputs!Q148)*(1-('(Tables)'!B410*Inputs!Q143+'(Tables)'!C410*Inputs!Q145))</f>
        <v>0</v>
      </c>
      <c r="N48" s="226">
        <f>'(Tables)'!N810*(1-Inputs!R148)*(1-('(Tables)'!B410*Inputs!R143+'(Tables)'!C410*Inputs!R145))</f>
        <v>0</v>
      </c>
      <c r="O48" s="226">
        <f>'(Tables)'!O810*(1-Inputs!S148)*(1-('(Tables)'!B410*Inputs!S143+'(Tables)'!C410*Inputs!S145))</f>
        <v>0</v>
      </c>
      <c r="P48" s="226">
        <f>'(Tables)'!P810*(1-Inputs!T148)*(1-('(Tables)'!B410*Inputs!T143+'(Tables)'!C410*Inputs!T145))</f>
        <v>0</v>
      </c>
      <c r="Q48" s="226">
        <f>'(Tables)'!Q810*(1-Inputs!U148)*(1-('(Tables)'!B410*Inputs!U143+'(Tables)'!C410*Inputs!U145))</f>
        <v>0</v>
      </c>
      <c r="R48" s="226">
        <f>'(Tables)'!R810*(1-Inputs!V148)*(1-('(Tables)'!B410*Inputs!V143+'(Tables)'!C410*Inputs!V145))</f>
        <v>0</v>
      </c>
      <c r="S48" s="279">
        <f>'(Tables)'!S810*(1-Inputs!W148)*(1-('(Tables)'!B410*Inputs!W143+'(Tables)'!C410*Inputs!W145))</f>
        <v>0</v>
      </c>
    </row>
    <row r="49" spans="1:19" ht="12.75" hidden="1" customHeight="1" outlineLevel="1" x14ac:dyDescent="0.2">
      <c r="A49" s="198" t="str">
        <f>"      "&amp;Labels!B386</f>
        <v xml:space="preserve">      Prof Level 2</v>
      </c>
      <c r="B49" s="226">
        <f>'(Tables)'!B811*(1-Inputs!F148)*(1-('(Tables)'!B410*Inputs!F144+'(Tables)'!C410*Inputs!F146))</f>
        <v>0</v>
      </c>
      <c r="C49" s="226">
        <f>'(Tables)'!C811*(1-Inputs!G148)*(1-('(Tables)'!B410*Inputs!G144+'(Tables)'!C410*Inputs!G146))</f>
        <v>0</v>
      </c>
      <c r="D49" s="226">
        <f>'(Tables)'!D811*(1-Inputs!H148)*(1-('(Tables)'!B410*Inputs!H144+'(Tables)'!C410*Inputs!H146))</f>
        <v>55000</v>
      </c>
      <c r="E49" s="226">
        <f>'(Tables)'!E811*(1-Inputs!I148)*(1-('(Tables)'!B410*Inputs!I144+'(Tables)'!C410*Inputs!I146))</f>
        <v>55000</v>
      </c>
      <c r="F49" s="226">
        <f>'(Tables)'!F811*(1-Inputs!J148)*(1-('(Tables)'!B410*Inputs!J144+'(Tables)'!C410*Inputs!J146))</f>
        <v>0</v>
      </c>
      <c r="G49" s="226">
        <f>'(Tables)'!G811*(1-Inputs!K148)*(1-('(Tables)'!B410*Inputs!K144+'(Tables)'!C410*Inputs!K146))</f>
        <v>0</v>
      </c>
      <c r="H49" s="226">
        <f>'(Tables)'!H811*(1-Inputs!L148)*(1-('(Tables)'!B410*Inputs!L144+'(Tables)'!C410*Inputs!L146))</f>
        <v>0</v>
      </c>
      <c r="I49" s="226">
        <f>'(Tables)'!I811*(1-Inputs!M148)*(1-('(Tables)'!B410*Inputs!M144+'(Tables)'!C410*Inputs!M146))</f>
        <v>0</v>
      </c>
      <c r="J49" s="226">
        <f>'(Tables)'!J811*(1-Inputs!N148)*(1-('(Tables)'!B410*Inputs!N144+'(Tables)'!C410*Inputs!N146))</f>
        <v>0</v>
      </c>
      <c r="K49" s="226">
        <f>'(Tables)'!K811*(1-Inputs!O148)*(1-('(Tables)'!B410*Inputs!O144+'(Tables)'!C410*Inputs!O146))</f>
        <v>0</v>
      </c>
      <c r="L49" s="226">
        <f>'(Tables)'!L811*(1-Inputs!P148)*(1-('(Tables)'!B410*Inputs!P144+'(Tables)'!C410*Inputs!P146))</f>
        <v>0</v>
      </c>
      <c r="M49" s="226">
        <f>'(Tables)'!M811*(1-Inputs!Q148)*(1-('(Tables)'!B410*Inputs!Q144+'(Tables)'!C410*Inputs!Q146))</f>
        <v>0</v>
      </c>
      <c r="N49" s="226">
        <f>'(Tables)'!N811*(1-Inputs!R148)*(1-('(Tables)'!B410*Inputs!R144+'(Tables)'!C410*Inputs!R146))</f>
        <v>0</v>
      </c>
      <c r="O49" s="226">
        <f>'(Tables)'!O811*(1-Inputs!S148)*(1-('(Tables)'!B410*Inputs!S144+'(Tables)'!C410*Inputs!S146))</f>
        <v>0</v>
      </c>
      <c r="P49" s="226">
        <f>'(Tables)'!P811*(1-Inputs!T148)*(1-('(Tables)'!B410*Inputs!T144+'(Tables)'!C410*Inputs!T146))</f>
        <v>0</v>
      </c>
      <c r="Q49" s="226">
        <f>'(Tables)'!Q811*(1-Inputs!U148)*(1-('(Tables)'!B410*Inputs!U144+'(Tables)'!C410*Inputs!U146))</f>
        <v>0</v>
      </c>
      <c r="R49" s="226">
        <f>'(Tables)'!R811*(1-Inputs!V148)*(1-('(Tables)'!B410*Inputs!V144+'(Tables)'!C410*Inputs!V146))</f>
        <v>0</v>
      </c>
      <c r="S49" s="279">
        <f>'(Tables)'!S811*(1-Inputs!W148)*(1-('(Tables)'!B410*Inputs!W144+'(Tables)'!C410*Inputs!W146))</f>
        <v>0</v>
      </c>
    </row>
    <row r="50" spans="1:19" ht="12.75" hidden="1" customHeight="1" outlineLevel="1" x14ac:dyDescent="0.2">
      <c r="A50" s="188" t="str">
        <f>"      "&amp;Labels!C384</f>
        <v xml:space="preserve">      Total</v>
      </c>
      <c r="B50" s="196">
        <f t="shared" ref="B50:S50" si="14">SUM(B48:B49)</f>
        <v>0</v>
      </c>
      <c r="C50" s="196">
        <f t="shared" si="14"/>
        <v>0</v>
      </c>
      <c r="D50" s="196">
        <f t="shared" si="14"/>
        <v>110000</v>
      </c>
      <c r="E50" s="196">
        <f t="shared" si="14"/>
        <v>110000</v>
      </c>
      <c r="F50" s="196">
        <f t="shared" si="14"/>
        <v>0</v>
      </c>
      <c r="G50" s="196">
        <f t="shared" si="14"/>
        <v>0</v>
      </c>
      <c r="H50" s="196">
        <f t="shared" si="14"/>
        <v>0</v>
      </c>
      <c r="I50" s="196">
        <f t="shared" si="14"/>
        <v>0</v>
      </c>
      <c r="J50" s="196">
        <f t="shared" si="14"/>
        <v>0</v>
      </c>
      <c r="K50" s="196">
        <f t="shared" si="14"/>
        <v>0</v>
      </c>
      <c r="L50" s="196">
        <f t="shared" si="14"/>
        <v>0</v>
      </c>
      <c r="M50" s="196">
        <f t="shared" si="14"/>
        <v>0</v>
      </c>
      <c r="N50" s="196">
        <f t="shared" si="14"/>
        <v>0</v>
      </c>
      <c r="O50" s="196">
        <f t="shared" si="14"/>
        <v>0</v>
      </c>
      <c r="P50" s="196">
        <f t="shared" si="14"/>
        <v>0</v>
      </c>
      <c r="Q50" s="196">
        <f t="shared" si="14"/>
        <v>0</v>
      </c>
      <c r="R50" s="196">
        <f t="shared" si="14"/>
        <v>0</v>
      </c>
      <c r="S50" s="267">
        <f t="shared" si="14"/>
        <v>0</v>
      </c>
    </row>
    <row r="51" spans="1:19" ht="12.75" hidden="1" customHeight="1" outlineLevel="1" x14ac:dyDescent="0.2">
      <c r="A51" s="188" t="str">
        <f>"   "&amp;Labels!B346</f>
        <v xml:space="preserve">   Engage 2</v>
      </c>
      <c r="B51" s="196"/>
      <c r="C51" s="196"/>
      <c r="D51" s="196"/>
      <c r="E51" s="196"/>
      <c r="F51" s="196"/>
      <c r="G51" s="196"/>
      <c r="H51" s="196"/>
      <c r="I51" s="196"/>
      <c r="J51" s="196"/>
      <c r="K51" s="196"/>
      <c r="L51" s="196"/>
      <c r="M51" s="196"/>
      <c r="N51" s="196"/>
      <c r="O51" s="196"/>
      <c r="P51" s="196"/>
      <c r="Q51" s="196"/>
      <c r="R51" s="196"/>
      <c r="S51" s="267"/>
    </row>
    <row r="52" spans="1:19" ht="12.75" hidden="1" customHeight="1" outlineLevel="1" x14ac:dyDescent="0.2">
      <c r="A52" s="198" t="str">
        <f>"      "&amp;Labels!B385</f>
        <v xml:space="preserve">      Prof Level 1</v>
      </c>
      <c r="B52" s="226">
        <f>'(Tables)'!B814*(1-Inputs!F149)*(1-('(Tables)'!B411*Inputs!F143+'(Tables)'!C411*Inputs!F145))</f>
        <v>0</v>
      </c>
      <c r="C52" s="226">
        <f>'(Tables)'!C814*(1-Inputs!G149)*(1-('(Tables)'!B411*Inputs!G143+'(Tables)'!C411*Inputs!G145))</f>
        <v>0</v>
      </c>
      <c r="D52" s="226">
        <f>'(Tables)'!D814*(1-Inputs!H149)*(1-('(Tables)'!B411*Inputs!H143+'(Tables)'!C411*Inputs!H145))</f>
        <v>0</v>
      </c>
      <c r="E52" s="226">
        <f>'(Tables)'!E814*(1-Inputs!I149)*(1-('(Tables)'!B411*Inputs!I143+'(Tables)'!C411*Inputs!I145))</f>
        <v>0</v>
      </c>
      <c r="F52" s="226">
        <f>'(Tables)'!F814*(1-Inputs!J149)*(1-('(Tables)'!B411*Inputs!J143+'(Tables)'!C411*Inputs!J145))</f>
        <v>0</v>
      </c>
      <c r="G52" s="226">
        <f>'(Tables)'!G814*(1-Inputs!K149)*(1-('(Tables)'!B411*Inputs!K143+'(Tables)'!C411*Inputs!K145))</f>
        <v>40000</v>
      </c>
      <c r="H52" s="226">
        <f>'(Tables)'!H814*(1-Inputs!L149)*(1-('(Tables)'!B411*Inputs!L143+'(Tables)'!C411*Inputs!L145))</f>
        <v>40000</v>
      </c>
      <c r="I52" s="226">
        <f>'(Tables)'!I814*(1-Inputs!M149)*(1-('(Tables)'!B411*Inputs!M143+'(Tables)'!C411*Inputs!M145))</f>
        <v>40000</v>
      </c>
      <c r="J52" s="226">
        <f>'(Tables)'!J814*(1-Inputs!N149)*(1-('(Tables)'!B411*Inputs!N143+'(Tables)'!C411*Inputs!N145))</f>
        <v>0</v>
      </c>
      <c r="K52" s="226">
        <f>'(Tables)'!K814*(1-Inputs!O149)*(1-('(Tables)'!B411*Inputs!O143+'(Tables)'!C411*Inputs!O145))</f>
        <v>0</v>
      </c>
      <c r="L52" s="226">
        <f>'(Tables)'!L814*(1-Inputs!P149)*(1-('(Tables)'!B411*Inputs!P143+'(Tables)'!C411*Inputs!P145))</f>
        <v>0</v>
      </c>
      <c r="M52" s="226">
        <f>'(Tables)'!M814*(1-Inputs!Q149)*(1-('(Tables)'!B411*Inputs!Q143+'(Tables)'!C411*Inputs!Q145))</f>
        <v>0</v>
      </c>
      <c r="N52" s="226">
        <f>'(Tables)'!N814*(1-Inputs!R149)*(1-('(Tables)'!B411*Inputs!R143+'(Tables)'!C411*Inputs!R145))</f>
        <v>0</v>
      </c>
      <c r="O52" s="226">
        <f>'(Tables)'!O814*(1-Inputs!S149)*(1-('(Tables)'!B411*Inputs!S143+'(Tables)'!C411*Inputs!S145))</f>
        <v>0</v>
      </c>
      <c r="P52" s="226">
        <f>'(Tables)'!P814*(1-Inputs!T149)*(1-('(Tables)'!B411*Inputs!T143+'(Tables)'!C411*Inputs!T145))</f>
        <v>0</v>
      </c>
      <c r="Q52" s="226">
        <f>'(Tables)'!Q814*(1-Inputs!U149)*(1-('(Tables)'!B411*Inputs!U143+'(Tables)'!C411*Inputs!U145))</f>
        <v>0</v>
      </c>
      <c r="R52" s="226">
        <f>'(Tables)'!R814*(1-Inputs!V149)*(1-('(Tables)'!B411*Inputs!V143+'(Tables)'!C411*Inputs!V145))</f>
        <v>0</v>
      </c>
      <c r="S52" s="279">
        <f>'(Tables)'!S814*(1-Inputs!W149)*(1-('(Tables)'!B411*Inputs!W143+'(Tables)'!C411*Inputs!W145))</f>
        <v>0</v>
      </c>
    </row>
    <row r="53" spans="1:19" ht="12.75" hidden="1" customHeight="1" outlineLevel="1" x14ac:dyDescent="0.2">
      <c r="A53" s="198" t="str">
        <f>"      "&amp;Labels!B386</f>
        <v xml:space="preserve">      Prof Level 2</v>
      </c>
      <c r="B53" s="226">
        <f>'(Tables)'!B815*(1-Inputs!F149)*(1-('(Tables)'!B411*Inputs!F144+'(Tables)'!C411*Inputs!F146))</f>
        <v>0</v>
      </c>
      <c r="C53" s="226">
        <f>'(Tables)'!C815*(1-Inputs!G149)*(1-('(Tables)'!B411*Inputs!G144+'(Tables)'!C411*Inputs!G146))</f>
        <v>0</v>
      </c>
      <c r="D53" s="226">
        <f>'(Tables)'!D815*(1-Inputs!H149)*(1-('(Tables)'!B411*Inputs!H144+'(Tables)'!C411*Inputs!H146))</f>
        <v>0</v>
      </c>
      <c r="E53" s="226">
        <f>'(Tables)'!E815*(1-Inputs!I149)*(1-('(Tables)'!B411*Inputs!I144+'(Tables)'!C411*Inputs!I146))</f>
        <v>0</v>
      </c>
      <c r="F53" s="226">
        <f>'(Tables)'!F815*(1-Inputs!J149)*(1-('(Tables)'!B411*Inputs!J144+'(Tables)'!C411*Inputs!J146))</f>
        <v>0</v>
      </c>
      <c r="G53" s="226">
        <f>'(Tables)'!G815*(1-Inputs!K149)*(1-('(Tables)'!B411*Inputs!K144+'(Tables)'!C411*Inputs!K146))</f>
        <v>40000</v>
      </c>
      <c r="H53" s="226">
        <f>'(Tables)'!H815*(1-Inputs!L149)*(1-('(Tables)'!B411*Inputs!L144+'(Tables)'!C411*Inputs!L146))</f>
        <v>40000</v>
      </c>
      <c r="I53" s="226">
        <f>'(Tables)'!I815*(1-Inputs!M149)*(1-('(Tables)'!B411*Inputs!M144+'(Tables)'!C411*Inputs!M146))</f>
        <v>40000</v>
      </c>
      <c r="J53" s="226">
        <f>'(Tables)'!J815*(1-Inputs!N149)*(1-('(Tables)'!B411*Inputs!N144+'(Tables)'!C411*Inputs!N146))</f>
        <v>0</v>
      </c>
      <c r="K53" s="226">
        <f>'(Tables)'!K815*(1-Inputs!O149)*(1-('(Tables)'!B411*Inputs!O144+'(Tables)'!C411*Inputs!O146))</f>
        <v>0</v>
      </c>
      <c r="L53" s="226">
        <f>'(Tables)'!L815*(1-Inputs!P149)*(1-('(Tables)'!B411*Inputs!P144+'(Tables)'!C411*Inputs!P146))</f>
        <v>0</v>
      </c>
      <c r="M53" s="226">
        <f>'(Tables)'!M815*(1-Inputs!Q149)*(1-('(Tables)'!B411*Inputs!Q144+'(Tables)'!C411*Inputs!Q146))</f>
        <v>0</v>
      </c>
      <c r="N53" s="226">
        <f>'(Tables)'!N815*(1-Inputs!R149)*(1-('(Tables)'!B411*Inputs!R144+'(Tables)'!C411*Inputs!R146))</f>
        <v>0</v>
      </c>
      <c r="O53" s="226">
        <f>'(Tables)'!O815*(1-Inputs!S149)*(1-('(Tables)'!B411*Inputs!S144+'(Tables)'!C411*Inputs!S146))</f>
        <v>0</v>
      </c>
      <c r="P53" s="226">
        <f>'(Tables)'!P815*(1-Inputs!T149)*(1-('(Tables)'!B411*Inputs!T144+'(Tables)'!C411*Inputs!T146))</f>
        <v>0</v>
      </c>
      <c r="Q53" s="226">
        <f>'(Tables)'!Q815*(1-Inputs!U149)*(1-('(Tables)'!B411*Inputs!U144+'(Tables)'!C411*Inputs!U146))</f>
        <v>0</v>
      </c>
      <c r="R53" s="226">
        <f>'(Tables)'!R815*(1-Inputs!V149)*(1-('(Tables)'!B411*Inputs!V144+'(Tables)'!C411*Inputs!V146))</f>
        <v>0</v>
      </c>
      <c r="S53" s="279">
        <f>'(Tables)'!S815*(1-Inputs!W149)*(1-('(Tables)'!B411*Inputs!W144+'(Tables)'!C411*Inputs!W146))</f>
        <v>0</v>
      </c>
    </row>
    <row r="54" spans="1:19" ht="12.75" hidden="1" customHeight="1" outlineLevel="1" x14ac:dyDescent="0.2">
      <c r="A54" s="188" t="str">
        <f>"      "&amp;Labels!C384</f>
        <v xml:space="preserve">      Total</v>
      </c>
      <c r="B54" s="196">
        <f t="shared" ref="B54:S54" si="15">SUM(B52:B53)</f>
        <v>0</v>
      </c>
      <c r="C54" s="196">
        <f t="shared" si="15"/>
        <v>0</v>
      </c>
      <c r="D54" s="196">
        <f t="shared" si="15"/>
        <v>0</v>
      </c>
      <c r="E54" s="196">
        <f t="shared" si="15"/>
        <v>0</v>
      </c>
      <c r="F54" s="196">
        <f t="shared" si="15"/>
        <v>0</v>
      </c>
      <c r="G54" s="196">
        <f t="shared" si="15"/>
        <v>80000</v>
      </c>
      <c r="H54" s="196">
        <f t="shared" si="15"/>
        <v>80000</v>
      </c>
      <c r="I54" s="196">
        <f t="shared" si="15"/>
        <v>80000</v>
      </c>
      <c r="J54" s="196">
        <f t="shared" si="15"/>
        <v>0</v>
      </c>
      <c r="K54" s="196">
        <f t="shared" si="15"/>
        <v>0</v>
      </c>
      <c r="L54" s="196">
        <f t="shared" si="15"/>
        <v>0</v>
      </c>
      <c r="M54" s="196">
        <f t="shared" si="15"/>
        <v>0</v>
      </c>
      <c r="N54" s="196">
        <f t="shared" si="15"/>
        <v>0</v>
      </c>
      <c r="O54" s="196">
        <f t="shared" si="15"/>
        <v>0</v>
      </c>
      <c r="P54" s="196">
        <f t="shared" si="15"/>
        <v>0</v>
      </c>
      <c r="Q54" s="196">
        <f t="shared" si="15"/>
        <v>0</v>
      </c>
      <c r="R54" s="196">
        <f t="shared" si="15"/>
        <v>0</v>
      </c>
      <c r="S54" s="267">
        <f t="shared" si="15"/>
        <v>0</v>
      </c>
    </row>
    <row r="55" spans="1:19" ht="12.75" hidden="1" customHeight="1" outlineLevel="1" x14ac:dyDescent="0.2">
      <c r="A55" s="191" t="str">
        <f>"   "&amp;Labels!C344</f>
        <v xml:space="preserve">   Total</v>
      </c>
      <c r="B55" s="192">
        <f t="shared" ref="B55:S55" si="16">SUM(B50,B54)</f>
        <v>0</v>
      </c>
      <c r="C55" s="192">
        <f t="shared" si="16"/>
        <v>0</v>
      </c>
      <c r="D55" s="192">
        <f t="shared" si="16"/>
        <v>110000</v>
      </c>
      <c r="E55" s="192">
        <f t="shared" si="16"/>
        <v>110000</v>
      </c>
      <c r="F55" s="192">
        <f t="shared" si="16"/>
        <v>0</v>
      </c>
      <c r="G55" s="192">
        <f t="shared" si="16"/>
        <v>80000</v>
      </c>
      <c r="H55" s="192">
        <f t="shared" si="16"/>
        <v>80000</v>
      </c>
      <c r="I55" s="192">
        <f t="shared" si="16"/>
        <v>80000</v>
      </c>
      <c r="J55" s="192">
        <f t="shared" si="16"/>
        <v>0</v>
      </c>
      <c r="K55" s="192">
        <f t="shared" si="16"/>
        <v>0</v>
      </c>
      <c r="L55" s="192">
        <f t="shared" si="16"/>
        <v>0</v>
      </c>
      <c r="M55" s="192">
        <f t="shared" si="16"/>
        <v>0</v>
      </c>
      <c r="N55" s="192">
        <f t="shared" si="16"/>
        <v>0</v>
      </c>
      <c r="O55" s="192">
        <f t="shared" si="16"/>
        <v>0</v>
      </c>
      <c r="P55" s="192">
        <f t="shared" si="16"/>
        <v>0</v>
      </c>
      <c r="Q55" s="192">
        <f t="shared" si="16"/>
        <v>0</v>
      </c>
      <c r="R55" s="192">
        <f t="shared" si="16"/>
        <v>0</v>
      </c>
      <c r="S55" s="280">
        <f t="shared" si="16"/>
        <v>0</v>
      </c>
    </row>
    <row r="56" spans="1:19" ht="12.75" hidden="1" customHeight="1" outlineLevel="1" x14ac:dyDescent="0.2">
      <c r="A56" s="198" t="str">
        <f>"      "&amp;Labels!B385</f>
        <v xml:space="preserve">      Prof Level 1</v>
      </c>
      <c r="B56" s="226">
        <f t="shared" ref="B56:S56" si="17">SUM(B48,B52)</f>
        <v>0</v>
      </c>
      <c r="C56" s="226">
        <f t="shared" si="17"/>
        <v>0</v>
      </c>
      <c r="D56" s="226">
        <f t="shared" si="17"/>
        <v>55000</v>
      </c>
      <c r="E56" s="226">
        <f t="shared" si="17"/>
        <v>55000</v>
      </c>
      <c r="F56" s="226">
        <f t="shared" si="17"/>
        <v>0</v>
      </c>
      <c r="G56" s="226">
        <f t="shared" si="17"/>
        <v>40000</v>
      </c>
      <c r="H56" s="226">
        <f t="shared" si="17"/>
        <v>40000</v>
      </c>
      <c r="I56" s="226">
        <f t="shared" si="17"/>
        <v>40000</v>
      </c>
      <c r="J56" s="226">
        <f t="shared" si="17"/>
        <v>0</v>
      </c>
      <c r="K56" s="226">
        <f t="shared" si="17"/>
        <v>0</v>
      </c>
      <c r="L56" s="226">
        <f t="shared" si="17"/>
        <v>0</v>
      </c>
      <c r="M56" s="226">
        <f t="shared" si="17"/>
        <v>0</v>
      </c>
      <c r="N56" s="226">
        <f t="shared" si="17"/>
        <v>0</v>
      </c>
      <c r="O56" s="226">
        <f t="shared" si="17"/>
        <v>0</v>
      </c>
      <c r="P56" s="226">
        <f t="shared" si="17"/>
        <v>0</v>
      </c>
      <c r="Q56" s="226">
        <f t="shared" si="17"/>
        <v>0</v>
      </c>
      <c r="R56" s="226">
        <f t="shared" si="17"/>
        <v>0</v>
      </c>
      <c r="S56" s="279">
        <f t="shared" si="17"/>
        <v>0</v>
      </c>
    </row>
    <row r="57" spans="1:19" ht="12.75" hidden="1" customHeight="1" outlineLevel="1" x14ac:dyDescent="0.2">
      <c r="A57" s="198" t="str">
        <f>"      "&amp;Labels!B386</f>
        <v xml:space="preserve">      Prof Level 2</v>
      </c>
      <c r="B57" s="226">
        <f t="shared" ref="B57:S57" si="18">SUM(B49,B53)</f>
        <v>0</v>
      </c>
      <c r="C57" s="226">
        <f t="shared" si="18"/>
        <v>0</v>
      </c>
      <c r="D57" s="226">
        <f t="shared" si="18"/>
        <v>55000</v>
      </c>
      <c r="E57" s="226">
        <f t="shared" si="18"/>
        <v>55000</v>
      </c>
      <c r="F57" s="226">
        <f t="shared" si="18"/>
        <v>0</v>
      </c>
      <c r="G57" s="226">
        <f t="shared" si="18"/>
        <v>40000</v>
      </c>
      <c r="H57" s="226">
        <f t="shared" si="18"/>
        <v>40000</v>
      </c>
      <c r="I57" s="226">
        <f t="shared" si="18"/>
        <v>40000</v>
      </c>
      <c r="J57" s="226">
        <f t="shared" si="18"/>
        <v>0</v>
      </c>
      <c r="K57" s="226">
        <f t="shared" si="18"/>
        <v>0</v>
      </c>
      <c r="L57" s="226">
        <f t="shared" si="18"/>
        <v>0</v>
      </c>
      <c r="M57" s="226">
        <f t="shared" si="18"/>
        <v>0</v>
      </c>
      <c r="N57" s="226">
        <f t="shared" si="18"/>
        <v>0</v>
      </c>
      <c r="O57" s="226">
        <f t="shared" si="18"/>
        <v>0</v>
      </c>
      <c r="P57" s="226">
        <f t="shared" si="18"/>
        <v>0</v>
      </c>
      <c r="Q57" s="226">
        <f t="shared" si="18"/>
        <v>0</v>
      </c>
      <c r="R57" s="226">
        <f t="shared" si="18"/>
        <v>0</v>
      </c>
      <c r="S57" s="279">
        <f t="shared" si="18"/>
        <v>0</v>
      </c>
    </row>
    <row r="58" spans="1:19" ht="12.75" hidden="1" customHeight="1" outlineLevel="1" x14ac:dyDescent="0.2">
      <c r="A58" s="220" t="str">
        <f>"      "&amp;Labels!C384</f>
        <v xml:space="preserve">      Total</v>
      </c>
      <c r="B58" s="228">
        <f t="shared" ref="B58:S58" si="19">SUM(B50,B54)</f>
        <v>0</v>
      </c>
      <c r="C58" s="228">
        <f t="shared" si="19"/>
        <v>0</v>
      </c>
      <c r="D58" s="228">
        <f t="shared" si="19"/>
        <v>110000</v>
      </c>
      <c r="E58" s="228">
        <f t="shared" si="19"/>
        <v>110000</v>
      </c>
      <c r="F58" s="228">
        <f t="shared" si="19"/>
        <v>0</v>
      </c>
      <c r="G58" s="228">
        <f t="shared" si="19"/>
        <v>80000</v>
      </c>
      <c r="H58" s="228">
        <f t="shared" si="19"/>
        <v>80000</v>
      </c>
      <c r="I58" s="228">
        <f t="shared" si="19"/>
        <v>80000</v>
      </c>
      <c r="J58" s="228">
        <f t="shared" si="19"/>
        <v>0</v>
      </c>
      <c r="K58" s="228">
        <f t="shared" si="19"/>
        <v>0</v>
      </c>
      <c r="L58" s="228">
        <f t="shared" si="19"/>
        <v>0</v>
      </c>
      <c r="M58" s="228">
        <f t="shared" si="19"/>
        <v>0</v>
      </c>
      <c r="N58" s="228">
        <f t="shared" si="19"/>
        <v>0</v>
      </c>
      <c r="O58" s="228">
        <f t="shared" si="19"/>
        <v>0</v>
      </c>
      <c r="P58" s="228">
        <f t="shared" si="19"/>
        <v>0</v>
      </c>
      <c r="Q58" s="228">
        <f t="shared" si="19"/>
        <v>0</v>
      </c>
      <c r="R58" s="228">
        <f t="shared" si="19"/>
        <v>0</v>
      </c>
      <c r="S58" s="281">
        <f t="shared" si="19"/>
        <v>0</v>
      </c>
    </row>
    <row r="59" spans="1:19" ht="12.75" hidden="1" customHeight="1" outlineLevel="1" x14ac:dyDescent="0.2"/>
    <row r="60" spans="1:19" ht="12.75" hidden="1" customHeight="1" outlineLevel="1" x14ac:dyDescent="0.2">
      <c r="A60" s="182" t="str">
        <f>Labels!B69</f>
        <v>Cost - Staff</v>
      </c>
      <c r="B60" s="269"/>
      <c r="C60" s="269"/>
      <c r="D60" s="269"/>
      <c r="E60" s="269"/>
      <c r="F60" s="269"/>
      <c r="G60" s="269"/>
      <c r="H60" s="269"/>
      <c r="I60" s="269"/>
      <c r="J60" s="269"/>
      <c r="K60" s="269"/>
      <c r="L60" s="269"/>
      <c r="M60" s="269"/>
      <c r="N60" s="269"/>
      <c r="O60" s="269"/>
      <c r="P60" s="269"/>
      <c r="Q60" s="269"/>
      <c r="R60" s="269"/>
      <c r="S60" s="270"/>
    </row>
    <row r="61" spans="1:19" ht="12.75" hidden="1" customHeight="1" outlineLevel="1" x14ac:dyDescent="0.2">
      <c r="A61" s="188" t="str">
        <f>"   "&amp;Labels!B345</f>
        <v xml:space="preserve">   Engage 1</v>
      </c>
      <c r="B61" s="248"/>
      <c r="C61" s="248"/>
      <c r="D61" s="248"/>
      <c r="E61" s="248"/>
      <c r="F61" s="248"/>
      <c r="G61" s="248"/>
      <c r="H61" s="248"/>
      <c r="I61" s="248"/>
      <c r="J61" s="248"/>
      <c r="K61" s="248"/>
      <c r="L61" s="248"/>
      <c r="M61" s="248"/>
      <c r="N61" s="248"/>
      <c r="O61" s="248"/>
      <c r="P61" s="248"/>
      <c r="Q61" s="248"/>
      <c r="R61" s="248"/>
      <c r="S61" s="271"/>
    </row>
    <row r="62" spans="1:19" ht="12.75" hidden="1" customHeight="1" outlineLevel="1" x14ac:dyDescent="0.2">
      <c r="A62" s="198" t="str">
        <f>"      "&amp;Labels!B385</f>
        <v xml:space="preserve">      Prof Level 1</v>
      </c>
      <c r="B62" s="250">
        <f>B163*('(Tables)'!B410*'GM CostSvcs'!B462+'(Tables)'!C410*'GM CostSvcs'!B466)</f>
        <v>0</v>
      </c>
      <c r="C62" s="250">
        <f>C163*('(Tables)'!B410*'GM CostSvcs'!C462+'(Tables)'!C410*'GM CostSvcs'!C466)</f>
        <v>0</v>
      </c>
      <c r="D62" s="250">
        <f>D163*('(Tables)'!B410*'GM CostSvcs'!D462+'(Tables)'!C410*'GM CostSvcs'!D466)</f>
        <v>0</v>
      </c>
      <c r="E62" s="250">
        <f>E163*('(Tables)'!B410*'GM CostSvcs'!F462+'(Tables)'!C410*'GM CostSvcs'!F466)</f>
        <v>0</v>
      </c>
      <c r="F62" s="250">
        <f>F163*('(Tables)'!B410*'GM CostSvcs'!G462+'(Tables)'!C410*'GM CostSvcs'!G466)</f>
        <v>0</v>
      </c>
      <c r="G62" s="250">
        <f>G163*('(Tables)'!B410*'GM CostSvcs'!H462+'(Tables)'!C410*'GM CostSvcs'!H466)</f>
        <v>0</v>
      </c>
      <c r="H62" s="250">
        <f>H163*('(Tables)'!B410*'GM CostSvcs'!J462+'(Tables)'!C410*'GM CostSvcs'!J466)</f>
        <v>0</v>
      </c>
      <c r="I62" s="250">
        <f>I163*('(Tables)'!B410*'GM CostSvcs'!K462+'(Tables)'!C410*'GM CostSvcs'!K466)</f>
        <v>0</v>
      </c>
      <c r="J62" s="250">
        <f>J163*('(Tables)'!B410*'GM CostSvcs'!L462+'(Tables)'!C410*'GM CostSvcs'!L466)</f>
        <v>0</v>
      </c>
      <c r="K62" s="250">
        <f>K163*('(Tables)'!B410*'GM CostSvcs'!N462+'(Tables)'!C410*'GM CostSvcs'!N466)</f>
        <v>0</v>
      </c>
      <c r="L62" s="250">
        <f>L163*('(Tables)'!B410*'GM CostSvcs'!O462+'(Tables)'!C410*'GM CostSvcs'!O466)</f>
        <v>0</v>
      </c>
      <c r="M62" s="250">
        <f>M163*('(Tables)'!B410*'GM CostSvcs'!P462+'(Tables)'!C410*'GM CostSvcs'!P466)</f>
        <v>0</v>
      </c>
      <c r="N62" s="250">
        <f>N163*('(Tables)'!B410*'GM CostSvcs'!R462+'(Tables)'!C410*'GM CostSvcs'!R466)</f>
        <v>0</v>
      </c>
      <c r="O62" s="250">
        <f>O163*('(Tables)'!B410*'GM CostSvcs'!S462+'(Tables)'!C410*'GM CostSvcs'!S466)</f>
        <v>0</v>
      </c>
      <c r="P62" s="250">
        <f>P163*('(Tables)'!B410*'GM CostSvcs'!T462+'(Tables)'!C410*'GM CostSvcs'!T466)</f>
        <v>0</v>
      </c>
      <c r="Q62" s="250">
        <f>Q163*('(Tables)'!B410*'GM CostSvcs'!V462+'(Tables)'!C410*'GM CostSvcs'!V466)</f>
        <v>0</v>
      </c>
      <c r="R62" s="250">
        <f>R163*('(Tables)'!B410*'GM CostSvcs'!W462+'(Tables)'!C410*'GM CostSvcs'!W466)</f>
        <v>0</v>
      </c>
      <c r="S62" s="282">
        <f>S163*('(Tables)'!B410*'GM CostSvcs'!X462+'(Tables)'!C410*'GM CostSvcs'!X466)</f>
        <v>0</v>
      </c>
    </row>
    <row r="63" spans="1:19" ht="12.75" hidden="1" customHeight="1" outlineLevel="1" x14ac:dyDescent="0.2">
      <c r="A63" s="198" t="str">
        <f>"      "&amp;Labels!B386</f>
        <v xml:space="preserve">      Prof Level 2</v>
      </c>
      <c r="B63" s="250">
        <f>B164*('(Tables)'!B410*'GM CostSvcs'!B463+'(Tables)'!C410*'GM CostSvcs'!B467)</f>
        <v>0</v>
      </c>
      <c r="C63" s="250">
        <f>C164*('(Tables)'!B410*'GM CostSvcs'!C463+'(Tables)'!C410*'GM CostSvcs'!C467)</f>
        <v>0</v>
      </c>
      <c r="D63" s="250">
        <f>D164*('(Tables)'!B410*'GM CostSvcs'!D463+'(Tables)'!C410*'GM CostSvcs'!D467)</f>
        <v>0</v>
      </c>
      <c r="E63" s="250">
        <f>E164*('(Tables)'!B410*'GM CostSvcs'!F463+'(Tables)'!C410*'GM CostSvcs'!F467)</f>
        <v>0</v>
      </c>
      <c r="F63" s="250">
        <f>F164*('(Tables)'!B410*'GM CostSvcs'!G463+'(Tables)'!C410*'GM CostSvcs'!G467)</f>
        <v>0</v>
      </c>
      <c r="G63" s="250">
        <f>G164*('(Tables)'!B410*'GM CostSvcs'!H463+'(Tables)'!C410*'GM CostSvcs'!H467)</f>
        <v>0</v>
      </c>
      <c r="H63" s="250">
        <f>H164*('(Tables)'!B410*'GM CostSvcs'!J463+'(Tables)'!C410*'GM CostSvcs'!J467)</f>
        <v>0</v>
      </c>
      <c r="I63" s="250">
        <f>I164*('(Tables)'!B410*'GM CostSvcs'!K463+'(Tables)'!C410*'GM CostSvcs'!K467)</f>
        <v>0</v>
      </c>
      <c r="J63" s="250">
        <f>J164*('(Tables)'!B410*'GM CostSvcs'!L463+'(Tables)'!C410*'GM CostSvcs'!L467)</f>
        <v>0</v>
      </c>
      <c r="K63" s="250">
        <f>K164*('(Tables)'!B410*'GM CostSvcs'!N463+'(Tables)'!C410*'GM CostSvcs'!N467)</f>
        <v>0</v>
      </c>
      <c r="L63" s="250">
        <f>L164*('(Tables)'!B410*'GM CostSvcs'!O463+'(Tables)'!C410*'GM CostSvcs'!O467)</f>
        <v>0</v>
      </c>
      <c r="M63" s="250">
        <f>M164*('(Tables)'!B410*'GM CostSvcs'!P463+'(Tables)'!C410*'GM CostSvcs'!P467)</f>
        <v>0</v>
      </c>
      <c r="N63" s="250">
        <f>N164*('(Tables)'!B410*'GM CostSvcs'!R463+'(Tables)'!C410*'GM CostSvcs'!R467)</f>
        <v>0</v>
      </c>
      <c r="O63" s="250">
        <f>O164*('(Tables)'!B410*'GM CostSvcs'!S463+'(Tables)'!C410*'GM CostSvcs'!S467)</f>
        <v>0</v>
      </c>
      <c r="P63" s="250">
        <f>P164*('(Tables)'!B410*'GM CostSvcs'!T463+'(Tables)'!C410*'GM CostSvcs'!T467)</f>
        <v>0</v>
      </c>
      <c r="Q63" s="250">
        <f>Q164*('(Tables)'!B410*'GM CostSvcs'!V463+'(Tables)'!C410*'GM CostSvcs'!V467)</f>
        <v>0</v>
      </c>
      <c r="R63" s="250">
        <f>R164*('(Tables)'!B410*'GM CostSvcs'!W463+'(Tables)'!C410*'GM CostSvcs'!W467)</f>
        <v>0</v>
      </c>
      <c r="S63" s="282">
        <f>S164*('(Tables)'!B410*'GM CostSvcs'!X463+'(Tables)'!C410*'GM CostSvcs'!X467)</f>
        <v>0</v>
      </c>
    </row>
    <row r="64" spans="1:19" ht="12.75" hidden="1" customHeight="1" outlineLevel="1" x14ac:dyDescent="0.2">
      <c r="A64" s="188" t="str">
        <f>"      "&amp;Labels!C384</f>
        <v xml:space="preserve">      Total</v>
      </c>
      <c r="B64" s="248">
        <f t="shared" ref="B64:S64" si="20">SUM(B62:B63)</f>
        <v>0</v>
      </c>
      <c r="C64" s="248">
        <f t="shared" si="20"/>
        <v>0</v>
      </c>
      <c r="D64" s="248">
        <f t="shared" si="20"/>
        <v>0</v>
      </c>
      <c r="E64" s="248">
        <f t="shared" si="20"/>
        <v>0</v>
      </c>
      <c r="F64" s="248">
        <f t="shared" si="20"/>
        <v>0</v>
      </c>
      <c r="G64" s="248">
        <f t="shared" si="20"/>
        <v>0</v>
      </c>
      <c r="H64" s="248">
        <f t="shared" si="20"/>
        <v>0</v>
      </c>
      <c r="I64" s="248">
        <f t="shared" si="20"/>
        <v>0</v>
      </c>
      <c r="J64" s="248">
        <f t="shared" si="20"/>
        <v>0</v>
      </c>
      <c r="K64" s="248">
        <f t="shared" si="20"/>
        <v>0</v>
      </c>
      <c r="L64" s="248">
        <f t="shared" si="20"/>
        <v>0</v>
      </c>
      <c r="M64" s="248">
        <f t="shared" si="20"/>
        <v>0</v>
      </c>
      <c r="N64" s="248">
        <f t="shared" si="20"/>
        <v>0</v>
      </c>
      <c r="O64" s="248">
        <f t="shared" si="20"/>
        <v>0</v>
      </c>
      <c r="P64" s="248">
        <f t="shared" si="20"/>
        <v>0</v>
      </c>
      <c r="Q64" s="248">
        <f t="shared" si="20"/>
        <v>0</v>
      </c>
      <c r="R64" s="248">
        <f t="shared" si="20"/>
        <v>0</v>
      </c>
      <c r="S64" s="271">
        <f t="shared" si="20"/>
        <v>0</v>
      </c>
    </row>
    <row r="65" spans="1:19" ht="12.75" hidden="1" customHeight="1" outlineLevel="1" x14ac:dyDescent="0.2">
      <c r="A65" s="188" t="str">
        <f>"   "&amp;Labels!B346</f>
        <v xml:space="preserve">   Engage 2</v>
      </c>
      <c r="B65" s="248"/>
      <c r="C65" s="248"/>
      <c r="D65" s="248"/>
      <c r="E65" s="248"/>
      <c r="F65" s="248"/>
      <c r="G65" s="248"/>
      <c r="H65" s="248"/>
      <c r="I65" s="248"/>
      <c r="J65" s="248"/>
      <c r="K65" s="248"/>
      <c r="L65" s="248"/>
      <c r="M65" s="248"/>
      <c r="N65" s="248"/>
      <c r="O65" s="248"/>
      <c r="P65" s="248"/>
      <c r="Q65" s="248"/>
      <c r="R65" s="248"/>
      <c r="S65" s="271"/>
    </row>
    <row r="66" spans="1:19" ht="12.75" hidden="1" customHeight="1" outlineLevel="1" x14ac:dyDescent="0.2">
      <c r="A66" s="198" t="str">
        <f>"      "&amp;Labels!B385</f>
        <v xml:space="preserve">      Prof Level 1</v>
      </c>
      <c r="B66" s="250">
        <f>B167*('(Tables)'!B411*'GM CostSvcs'!B462+'(Tables)'!C411*'GM CostSvcs'!B466)</f>
        <v>0</v>
      </c>
      <c r="C66" s="250">
        <f>C167*('(Tables)'!B411*'GM CostSvcs'!C462+'(Tables)'!C411*'GM CostSvcs'!C466)</f>
        <v>0</v>
      </c>
      <c r="D66" s="250">
        <f>D167*('(Tables)'!B411*'GM CostSvcs'!D462+'(Tables)'!C411*'GM CostSvcs'!D466)</f>
        <v>0</v>
      </c>
      <c r="E66" s="250">
        <f>E167*('(Tables)'!B411*'GM CostSvcs'!F462+'(Tables)'!C411*'GM CostSvcs'!F466)</f>
        <v>0</v>
      </c>
      <c r="F66" s="250">
        <f>F167*('(Tables)'!B411*'GM CostSvcs'!G462+'(Tables)'!C411*'GM CostSvcs'!G466)</f>
        <v>0</v>
      </c>
      <c r="G66" s="250">
        <f>G167*('(Tables)'!B411*'GM CostSvcs'!H462+'(Tables)'!C411*'GM CostSvcs'!H466)</f>
        <v>0</v>
      </c>
      <c r="H66" s="250">
        <f>H167*('(Tables)'!B411*'GM CostSvcs'!J462+'(Tables)'!C411*'GM CostSvcs'!J466)</f>
        <v>14130.446485530005</v>
      </c>
      <c r="I66" s="250">
        <f>I167*('(Tables)'!B411*'GM CostSvcs'!K462+'(Tables)'!C411*'GM CostSvcs'!K466)</f>
        <v>14165.295978566419</v>
      </c>
      <c r="J66" s="250">
        <f>J167*('(Tables)'!B411*'GM CostSvcs'!L462+'(Tables)'!C411*'GM CostSvcs'!L466)</f>
        <v>0</v>
      </c>
      <c r="K66" s="250">
        <f>K167*('(Tables)'!B411*'GM CostSvcs'!N462+'(Tables)'!C411*'GM CostSvcs'!N466)</f>
        <v>0</v>
      </c>
      <c r="L66" s="250">
        <f>L167*('(Tables)'!B411*'GM CostSvcs'!O462+'(Tables)'!C411*'GM CostSvcs'!O466)</f>
        <v>0</v>
      </c>
      <c r="M66" s="250">
        <f>M167*('(Tables)'!B411*'GM CostSvcs'!P462+'(Tables)'!C411*'GM CostSvcs'!P466)</f>
        <v>0</v>
      </c>
      <c r="N66" s="250">
        <f>N167*('(Tables)'!B411*'GM CostSvcs'!R462+'(Tables)'!C411*'GM CostSvcs'!R466)</f>
        <v>0</v>
      </c>
      <c r="O66" s="250">
        <f>O167*('(Tables)'!B411*'GM CostSvcs'!S462+'(Tables)'!C411*'GM CostSvcs'!S466)</f>
        <v>0</v>
      </c>
      <c r="P66" s="250">
        <f>P167*('(Tables)'!B411*'GM CostSvcs'!T462+'(Tables)'!C411*'GM CostSvcs'!T466)</f>
        <v>0</v>
      </c>
      <c r="Q66" s="250">
        <f>Q167*('(Tables)'!B411*'GM CostSvcs'!V462+'(Tables)'!C411*'GM CostSvcs'!V466)</f>
        <v>0</v>
      </c>
      <c r="R66" s="250">
        <f>R167*('(Tables)'!B411*'GM CostSvcs'!W462+'(Tables)'!C411*'GM CostSvcs'!W466)</f>
        <v>0</v>
      </c>
      <c r="S66" s="282">
        <f>S167*('(Tables)'!B411*'GM CostSvcs'!X462+'(Tables)'!C411*'GM CostSvcs'!X466)</f>
        <v>0</v>
      </c>
    </row>
    <row r="67" spans="1:19" ht="12.75" hidden="1" customHeight="1" outlineLevel="1" x14ac:dyDescent="0.2">
      <c r="A67" s="198" t="str">
        <f>"      "&amp;Labels!B386</f>
        <v xml:space="preserve">      Prof Level 2</v>
      </c>
      <c r="B67" s="250">
        <f>B168*('(Tables)'!B411*'GM CostSvcs'!B463+'(Tables)'!C411*'GM CostSvcs'!B467)</f>
        <v>0</v>
      </c>
      <c r="C67" s="250">
        <f>C168*('(Tables)'!B411*'GM CostSvcs'!C463+'(Tables)'!C411*'GM CostSvcs'!C467)</f>
        <v>0</v>
      </c>
      <c r="D67" s="250">
        <f>D168*('(Tables)'!B411*'GM CostSvcs'!D463+'(Tables)'!C411*'GM CostSvcs'!D467)</f>
        <v>0</v>
      </c>
      <c r="E67" s="250">
        <f>E168*('(Tables)'!B411*'GM CostSvcs'!F463+'(Tables)'!C411*'GM CostSvcs'!F467)</f>
        <v>0</v>
      </c>
      <c r="F67" s="250">
        <f>F168*('(Tables)'!B411*'GM CostSvcs'!G463+'(Tables)'!C411*'GM CostSvcs'!G467)</f>
        <v>0</v>
      </c>
      <c r="G67" s="250">
        <f>G168*('(Tables)'!B411*'GM CostSvcs'!H463+'(Tables)'!C411*'GM CostSvcs'!H467)</f>
        <v>0</v>
      </c>
      <c r="H67" s="250">
        <f>H168*('(Tables)'!B411*'GM CostSvcs'!J463+'(Tables)'!C411*'GM CostSvcs'!J467)</f>
        <v>14130.446485530005</v>
      </c>
      <c r="I67" s="250">
        <f>I168*('(Tables)'!B411*'GM CostSvcs'!K463+'(Tables)'!C411*'GM CostSvcs'!K467)</f>
        <v>14165.295978566419</v>
      </c>
      <c r="J67" s="250">
        <f>J168*('(Tables)'!B411*'GM CostSvcs'!L463+'(Tables)'!C411*'GM CostSvcs'!L467)</f>
        <v>0</v>
      </c>
      <c r="K67" s="250">
        <f>K168*('(Tables)'!B411*'GM CostSvcs'!N463+'(Tables)'!C411*'GM CostSvcs'!N467)</f>
        <v>0</v>
      </c>
      <c r="L67" s="250">
        <f>L168*('(Tables)'!B411*'GM CostSvcs'!O463+'(Tables)'!C411*'GM CostSvcs'!O467)</f>
        <v>0</v>
      </c>
      <c r="M67" s="250">
        <f>M168*('(Tables)'!B411*'GM CostSvcs'!P463+'(Tables)'!C411*'GM CostSvcs'!P467)</f>
        <v>0</v>
      </c>
      <c r="N67" s="250">
        <f>N168*('(Tables)'!B411*'GM CostSvcs'!R463+'(Tables)'!C411*'GM CostSvcs'!R467)</f>
        <v>0</v>
      </c>
      <c r="O67" s="250">
        <f>O168*('(Tables)'!B411*'GM CostSvcs'!S463+'(Tables)'!C411*'GM CostSvcs'!S467)</f>
        <v>0</v>
      </c>
      <c r="P67" s="250">
        <f>P168*('(Tables)'!B411*'GM CostSvcs'!T463+'(Tables)'!C411*'GM CostSvcs'!T467)</f>
        <v>0</v>
      </c>
      <c r="Q67" s="250">
        <f>Q168*('(Tables)'!B411*'GM CostSvcs'!V463+'(Tables)'!C411*'GM CostSvcs'!V467)</f>
        <v>0</v>
      </c>
      <c r="R67" s="250">
        <f>R168*('(Tables)'!B411*'GM CostSvcs'!W463+'(Tables)'!C411*'GM CostSvcs'!W467)</f>
        <v>0</v>
      </c>
      <c r="S67" s="282">
        <f>S168*('(Tables)'!B411*'GM CostSvcs'!X463+'(Tables)'!C411*'GM CostSvcs'!X467)</f>
        <v>0</v>
      </c>
    </row>
    <row r="68" spans="1:19" ht="12.75" hidden="1" customHeight="1" outlineLevel="1" x14ac:dyDescent="0.2">
      <c r="A68" s="188" t="str">
        <f>"      "&amp;Labels!C384</f>
        <v xml:space="preserve">      Total</v>
      </c>
      <c r="B68" s="248">
        <f t="shared" ref="B68:S68" si="21">SUM(B66:B67)</f>
        <v>0</v>
      </c>
      <c r="C68" s="248">
        <f t="shared" si="21"/>
        <v>0</v>
      </c>
      <c r="D68" s="248">
        <f t="shared" si="21"/>
        <v>0</v>
      </c>
      <c r="E68" s="248">
        <f t="shared" si="21"/>
        <v>0</v>
      </c>
      <c r="F68" s="248">
        <f t="shared" si="21"/>
        <v>0</v>
      </c>
      <c r="G68" s="248">
        <f t="shared" si="21"/>
        <v>0</v>
      </c>
      <c r="H68" s="248">
        <f t="shared" si="21"/>
        <v>28260.89297106001</v>
      </c>
      <c r="I68" s="248">
        <f t="shared" si="21"/>
        <v>28330.591957132838</v>
      </c>
      <c r="J68" s="248">
        <f t="shared" si="21"/>
        <v>0</v>
      </c>
      <c r="K68" s="248">
        <f t="shared" si="21"/>
        <v>0</v>
      </c>
      <c r="L68" s="248">
        <f t="shared" si="21"/>
        <v>0</v>
      </c>
      <c r="M68" s="248">
        <f t="shared" si="21"/>
        <v>0</v>
      </c>
      <c r="N68" s="248">
        <f t="shared" si="21"/>
        <v>0</v>
      </c>
      <c r="O68" s="248">
        <f t="shared" si="21"/>
        <v>0</v>
      </c>
      <c r="P68" s="248">
        <f t="shared" si="21"/>
        <v>0</v>
      </c>
      <c r="Q68" s="248">
        <f t="shared" si="21"/>
        <v>0</v>
      </c>
      <c r="R68" s="248">
        <f t="shared" si="21"/>
        <v>0</v>
      </c>
      <c r="S68" s="271">
        <f t="shared" si="21"/>
        <v>0</v>
      </c>
    </row>
    <row r="69" spans="1:19" ht="12.75" hidden="1" customHeight="1" outlineLevel="1" x14ac:dyDescent="0.2">
      <c r="A69" s="191" t="str">
        <f>"   "&amp;Labels!C344</f>
        <v xml:space="preserve">   Total</v>
      </c>
      <c r="B69" s="247">
        <f t="shared" ref="B69:S69" si="22">SUM(B64,B68)</f>
        <v>0</v>
      </c>
      <c r="C69" s="247">
        <f t="shared" si="22"/>
        <v>0</v>
      </c>
      <c r="D69" s="247">
        <f t="shared" si="22"/>
        <v>0</v>
      </c>
      <c r="E69" s="247">
        <f t="shared" si="22"/>
        <v>0</v>
      </c>
      <c r="F69" s="247">
        <f t="shared" si="22"/>
        <v>0</v>
      </c>
      <c r="G69" s="247">
        <f t="shared" si="22"/>
        <v>0</v>
      </c>
      <c r="H69" s="247">
        <f t="shared" si="22"/>
        <v>28260.89297106001</v>
      </c>
      <c r="I69" s="247">
        <f t="shared" si="22"/>
        <v>28330.591957132838</v>
      </c>
      <c r="J69" s="247">
        <f t="shared" si="22"/>
        <v>0</v>
      </c>
      <c r="K69" s="247">
        <f t="shared" si="22"/>
        <v>0</v>
      </c>
      <c r="L69" s="247">
        <f t="shared" si="22"/>
        <v>0</v>
      </c>
      <c r="M69" s="247">
        <f t="shared" si="22"/>
        <v>0</v>
      </c>
      <c r="N69" s="247">
        <f t="shared" si="22"/>
        <v>0</v>
      </c>
      <c r="O69" s="247">
        <f t="shared" si="22"/>
        <v>0</v>
      </c>
      <c r="P69" s="247">
        <f t="shared" si="22"/>
        <v>0</v>
      </c>
      <c r="Q69" s="247">
        <f t="shared" si="22"/>
        <v>0</v>
      </c>
      <c r="R69" s="247">
        <f t="shared" si="22"/>
        <v>0</v>
      </c>
      <c r="S69" s="272">
        <f t="shared" si="22"/>
        <v>0</v>
      </c>
    </row>
    <row r="70" spans="1:19" ht="12.75" hidden="1" customHeight="1" outlineLevel="1" x14ac:dyDescent="0.2">
      <c r="A70" s="198" t="str">
        <f>"      "&amp;Labels!B385</f>
        <v xml:space="preserve">      Prof Level 1</v>
      </c>
      <c r="B70" s="250">
        <f t="shared" ref="B70:S70" si="23">SUM(B62,B66)</f>
        <v>0</v>
      </c>
      <c r="C70" s="250">
        <f t="shared" si="23"/>
        <v>0</v>
      </c>
      <c r="D70" s="250">
        <f t="shared" si="23"/>
        <v>0</v>
      </c>
      <c r="E70" s="250">
        <f t="shared" si="23"/>
        <v>0</v>
      </c>
      <c r="F70" s="250">
        <f t="shared" si="23"/>
        <v>0</v>
      </c>
      <c r="G70" s="250">
        <f t="shared" si="23"/>
        <v>0</v>
      </c>
      <c r="H70" s="250">
        <f t="shared" si="23"/>
        <v>14130.446485530005</v>
      </c>
      <c r="I70" s="250">
        <f t="shared" si="23"/>
        <v>14165.295978566419</v>
      </c>
      <c r="J70" s="250">
        <f t="shared" si="23"/>
        <v>0</v>
      </c>
      <c r="K70" s="250">
        <f t="shared" si="23"/>
        <v>0</v>
      </c>
      <c r="L70" s="250">
        <f t="shared" si="23"/>
        <v>0</v>
      </c>
      <c r="M70" s="250">
        <f t="shared" si="23"/>
        <v>0</v>
      </c>
      <c r="N70" s="250">
        <f t="shared" si="23"/>
        <v>0</v>
      </c>
      <c r="O70" s="250">
        <f t="shared" si="23"/>
        <v>0</v>
      </c>
      <c r="P70" s="250">
        <f t="shared" si="23"/>
        <v>0</v>
      </c>
      <c r="Q70" s="250">
        <f t="shared" si="23"/>
        <v>0</v>
      </c>
      <c r="R70" s="250">
        <f t="shared" si="23"/>
        <v>0</v>
      </c>
      <c r="S70" s="282">
        <f t="shared" si="23"/>
        <v>0</v>
      </c>
    </row>
    <row r="71" spans="1:19" ht="12.75" hidden="1" customHeight="1" outlineLevel="1" x14ac:dyDescent="0.2">
      <c r="A71" s="198" t="str">
        <f>"      "&amp;Labels!B386</f>
        <v xml:space="preserve">      Prof Level 2</v>
      </c>
      <c r="B71" s="250">
        <f t="shared" ref="B71:S71" si="24">SUM(B63,B67)</f>
        <v>0</v>
      </c>
      <c r="C71" s="250">
        <f t="shared" si="24"/>
        <v>0</v>
      </c>
      <c r="D71" s="250">
        <f t="shared" si="24"/>
        <v>0</v>
      </c>
      <c r="E71" s="250">
        <f t="shared" si="24"/>
        <v>0</v>
      </c>
      <c r="F71" s="250">
        <f t="shared" si="24"/>
        <v>0</v>
      </c>
      <c r="G71" s="250">
        <f t="shared" si="24"/>
        <v>0</v>
      </c>
      <c r="H71" s="250">
        <f t="shared" si="24"/>
        <v>14130.446485530005</v>
      </c>
      <c r="I71" s="250">
        <f t="shared" si="24"/>
        <v>14165.295978566419</v>
      </c>
      <c r="J71" s="250">
        <f t="shared" si="24"/>
        <v>0</v>
      </c>
      <c r="K71" s="250">
        <f t="shared" si="24"/>
        <v>0</v>
      </c>
      <c r="L71" s="250">
        <f t="shared" si="24"/>
        <v>0</v>
      </c>
      <c r="M71" s="250">
        <f t="shared" si="24"/>
        <v>0</v>
      </c>
      <c r="N71" s="250">
        <f t="shared" si="24"/>
        <v>0</v>
      </c>
      <c r="O71" s="250">
        <f t="shared" si="24"/>
        <v>0</v>
      </c>
      <c r="P71" s="250">
        <f t="shared" si="24"/>
        <v>0</v>
      </c>
      <c r="Q71" s="250">
        <f t="shared" si="24"/>
        <v>0</v>
      </c>
      <c r="R71" s="250">
        <f t="shared" si="24"/>
        <v>0</v>
      </c>
      <c r="S71" s="282">
        <f t="shared" si="24"/>
        <v>0</v>
      </c>
    </row>
    <row r="72" spans="1:19" ht="12.75" hidden="1" customHeight="1" outlineLevel="1" x14ac:dyDescent="0.2">
      <c r="A72" s="188" t="str">
        <f>"      "&amp;Labels!C384</f>
        <v xml:space="preserve">      Total</v>
      </c>
      <c r="B72" s="248">
        <f t="shared" ref="B72:S72" si="25">SUM(B64,B68)</f>
        <v>0</v>
      </c>
      <c r="C72" s="248">
        <f t="shared" si="25"/>
        <v>0</v>
      </c>
      <c r="D72" s="248">
        <f t="shared" si="25"/>
        <v>0</v>
      </c>
      <c r="E72" s="248">
        <f t="shared" si="25"/>
        <v>0</v>
      </c>
      <c r="F72" s="248">
        <f t="shared" si="25"/>
        <v>0</v>
      </c>
      <c r="G72" s="248">
        <f t="shared" si="25"/>
        <v>0</v>
      </c>
      <c r="H72" s="248">
        <f t="shared" si="25"/>
        <v>28260.89297106001</v>
      </c>
      <c r="I72" s="248">
        <f t="shared" si="25"/>
        <v>28330.591957132838</v>
      </c>
      <c r="J72" s="248">
        <f t="shared" si="25"/>
        <v>0</v>
      </c>
      <c r="K72" s="248">
        <f t="shared" si="25"/>
        <v>0</v>
      </c>
      <c r="L72" s="248">
        <f t="shared" si="25"/>
        <v>0</v>
      </c>
      <c r="M72" s="248">
        <f t="shared" si="25"/>
        <v>0</v>
      </c>
      <c r="N72" s="248">
        <f t="shared" si="25"/>
        <v>0</v>
      </c>
      <c r="O72" s="248">
        <f t="shared" si="25"/>
        <v>0</v>
      </c>
      <c r="P72" s="248">
        <f t="shared" si="25"/>
        <v>0</v>
      </c>
      <c r="Q72" s="248">
        <f t="shared" si="25"/>
        <v>0</v>
      </c>
      <c r="R72" s="248">
        <f t="shared" si="25"/>
        <v>0</v>
      </c>
      <c r="S72" s="271">
        <f t="shared" si="25"/>
        <v>0</v>
      </c>
    </row>
    <row r="73" spans="1:19" ht="12.75" hidden="1" customHeight="1" outlineLevel="1" x14ac:dyDescent="0.2">
      <c r="A73" s="97"/>
      <c r="B73" s="6"/>
      <c r="C73" s="6"/>
      <c r="D73" s="6"/>
      <c r="E73" s="6"/>
      <c r="F73" s="6"/>
      <c r="G73" s="6"/>
      <c r="H73" s="6"/>
      <c r="I73" s="6"/>
      <c r="J73" s="6"/>
      <c r="K73" s="6"/>
      <c r="L73" s="6"/>
      <c r="M73" s="6"/>
      <c r="N73" s="6"/>
      <c r="O73" s="6"/>
      <c r="P73" s="6"/>
      <c r="Q73" s="6"/>
      <c r="R73" s="6"/>
      <c r="S73" s="7"/>
    </row>
    <row r="74" spans="1:19" ht="12.75" hidden="1" customHeight="1" outlineLevel="1" x14ac:dyDescent="0.2">
      <c r="A74" s="191" t="str">
        <f>Labels!B71</f>
        <v>Cost - Travel &amp; Entertain</v>
      </c>
      <c r="B74" s="247"/>
      <c r="C74" s="247"/>
      <c r="D74" s="247"/>
      <c r="E74" s="247"/>
      <c r="F74" s="247"/>
      <c r="G74" s="247"/>
      <c r="H74" s="247"/>
      <c r="I74" s="247"/>
      <c r="J74" s="247"/>
      <c r="K74" s="247"/>
      <c r="L74" s="247"/>
      <c r="M74" s="247"/>
      <c r="N74" s="247"/>
      <c r="O74" s="247"/>
      <c r="P74" s="247"/>
      <c r="Q74" s="247"/>
      <c r="R74" s="247"/>
      <c r="S74" s="272"/>
    </row>
    <row r="75" spans="1:19" ht="12.75" hidden="1" customHeight="1" outlineLevel="1" x14ac:dyDescent="0.2">
      <c r="A75" s="188" t="str">
        <f>"   "&amp;Labels!B345</f>
        <v xml:space="preserve">   Engage 1</v>
      </c>
      <c r="B75" s="248"/>
      <c r="C75" s="248"/>
      <c r="D75" s="248"/>
      <c r="E75" s="248"/>
      <c r="F75" s="248"/>
      <c r="G75" s="248"/>
      <c r="H75" s="248"/>
      <c r="I75" s="248"/>
      <c r="J75" s="248"/>
      <c r="K75" s="248"/>
      <c r="L75" s="248"/>
      <c r="M75" s="248"/>
      <c r="N75" s="248"/>
      <c r="O75" s="248"/>
      <c r="P75" s="248"/>
      <c r="Q75" s="248"/>
      <c r="R75" s="248"/>
      <c r="S75" s="271"/>
    </row>
    <row r="76" spans="1:19" ht="12.75" hidden="1" customHeight="1" outlineLevel="1" x14ac:dyDescent="0.2">
      <c r="A76" s="198" t="str">
        <f>"      "&amp;Labels!B385</f>
        <v xml:space="preserve">      Prof Level 1</v>
      </c>
      <c r="B76" s="250"/>
      <c r="C76" s="250"/>
      <c r="D76" s="250"/>
      <c r="E76" s="250"/>
      <c r="F76" s="250"/>
      <c r="G76" s="250"/>
      <c r="H76" s="250"/>
      <c r="I76" s="250"/>
      <c r="J76" s="250"/>
      <c r="K76" s="250"/>
      <c r="L76" s="250"/>
      <c r="M76" s="250"/>
      <c r="N76" s="250"/>
      <c r="O76" s="250"/>
      <c r="P76" s="250"/>
      <c r="Q76" s="250"/>
      <c r="R76" s="250"/>
      <c r="S76" s="282"/>
    </row>
    <row r="77" spans="1:19" ht="12.75" hidden="1" customHeight="1" outlineLevel="1" x14ac:dyDescent="0.2">
      <c r="A77" s="198" t="str">
        <f>"         "&amp;Labels!B397</f>
        <v xml:space="preserve">         Supply Type 1</v>
      </c>
      <c r="B77" s="250">
        <f>'(Compute)'!B735/2</f>
        <v>0</v>
      </c>
      <c r="C77" s="250">
        <f>'(Compute)'!C735/2</f>
        <v>0</v>
      </c>
      <c r="D77" s="250">
        <f>'(Compute)'!D735/2</f>
        <v>1375</v>
      </c>
      <c r="E77" s="250">
        <f>'(Compute)'!E735/2</f>
        <v>1375</v>
      </c>
      <c r="F77" s="250">
        <f>'(Compute)'!F735/2</f>
        <v>0</v>
      </c>
      <c r="G77" s="250">
        <f>'(Compute)'!G735/2</f>
        <v>0</v>
      </c>
      <c r="H77" s="250">
        <f>'(Compute)'!H735/2</f>
        <v>0</v>
      </c>
      <c r="I77" s="250">
        <f>'(Compute)'!I735/2</f>
        <v>0</v>
      </c>
      <c r="J77" s="250">
        <f>'(Compute)'!J735/2</f>
        <v>0</v>
      </c>
      <c r="K77" s="250">
        <f>'(Compute)'!K735/2</f>
        <v>0</v>
      </c>
      <c r="L77" s="250">
        <f>'(Compute)'!L735/2</f>
        <v>0</v>
      </c>
      <c r="M77" s="250">
        <f>'(Compute)'!M735/2</f>
        <v>0</v>
      </c>
      <c r="N77" s="250">
        <f>'(Compute)'!N735/2</f>
        <v>0</v>
      </c>
      <c r="O77" s="250">
        <f>'(Compute)'!O735/2</f>
        <v>0</v>
      </c>
      <c r="P77" s="250">
        <f>'(Compute)'!P735/2</f>
        <v>0</v>
      </c>
      <c r="Q77" s="250">
        <f>'(Compute)'!Q735/2</f>
        <v>0</v>
      </c>
      <c r="R77" s="250">
        <f>'(Compute)'!R735/2</f>
        <v>0</v>
      </c>
      <c r="S77" s="282">
        <f>'(Compute)'!S735/2</f>
        <v>0</v>
      </c>
    </row>
    <row r="78" spans="1:19" ht="12.75" hidden="1" customHeight="1" outlineLevel="1" x14ac:dyDescent="0.2">
      <c r="A78" s="198" t="str">
        <f>"         "&amp;Labels!B398</f>
        <v xml:space="preserve">         Supply Type 2</v>
      </c>
      <c r="B78" s="250">
        <f>'(Compute)'!B735/2</f>
        <v>0</v>
      </c>
      <c r="C78" s="250">
        <f>'(Compute)'!C735/2</f>
        <v>0</v>
      </c>
      <c r="D78" s="250">
        <f>'(Compute)'!D735/2</f>
        <v>1375</v>
      </c>
      <c r="E78" s="250">
        <f>'(Compute)'!E735/2</f>
        <v>1375</v>
      </c>
      <c r="F78" s="250">
        <f>'(Compute)'!F735/2</f>
        <v>0</v>
      </c>
      <c r="G78" s="250">
        <f>'(Compute)'!G735/2</f>
        <v>0</v>
      </c>
      <c r="H78" s="250">
        <f>'(Compute)'!H735/2</f>
        <v>0</v>
      </c>
      <c r="I78" s="250">
        <f>'(Compute)'!I735/2</f>
        <v>0</v>
      </c>
      <c r="J78" s="250">
        <f>'(Compute)'!J735/2</f>
        <v>0</v>
      </c>
      <c r="K78" s="250">
        <f>'(Compute)'!K735/2</f>
        <v>0</v>
      </c>
      <c r="L78" s="250">
        <f>'(Compute)'!L735/2</f>
        <v>0</v>
      </c>
      <c r="M78" s="250">
        <f>'(Compute)'!M735/2</f>
        <v>0</v>
      </c>
      <c r="N78" s="250">
        <f>'(Compute)'!N735/2</f>
        <v>0</v>
      </c>
      <c r="O78" s="250">
        <f>'(Compute)'!O735/2</f>
        <v>0</v>
      </c>
      <c r="P78" s="250">
        <f>'(Compute)'!P735/2</f>
        <v>0</v>
      </c>
      <c r="Q78" s="250">
        <f>'(Compute)'!Q735/2</f>
        <v>0</v>
      </c>
      <c r="R78" s="250">
        <f>'(Compute)'!R735/2</f>
        <v>0</v>
      </c>
      <c r="S78" s="282">
        <f>'(Compute)'!S735/2</f>
        <v>0</v>
      </c>
    </row>
    <row r="79" spans="1:19" ht="12.75" hidden="1" customHeight="1" outlineLevel="1" x14ac:dyDescent="0.2">
      <c r="A79" s="198" t="str">
        <f>"         "&amp;Labels!C396</f>
        <v xml:space="preserve">         Total</v>
      </c>
      <c r="B79" s="250">
        <f t="shared" ref="B79:S79" si="26">SUM(B77:B78)</f>
        <v>0</v>
      </c>
      <c r="C79" s="250">
        <f t="shared" si="26"/>
        <v>0</v>
      </c>
      <c r="D79" s="250">
        <f t="shared" si="26"/>
        <v>2750</v>
      </c>
      <c r="E79" s="250">
        <f t="shared" si="26"/>
        <v>2750</v>
      </c>
      <c r="F79" s="250">
        <f t="shared" si="26"/>
        <v>0</v>
      </c>
      <c r="G79" s="250">
        <f t="shared" si="26"/>
        <v>0</v>
      </c>
      <c r="H79" s="250">
        <f t="shared" si="26"/>
        <v>0</v>
      </c>
      <c r="I79" s="250">
        <f t="shared" si="26"/>
        <v>0</v>
      </c>
      <c r="J79" s="250">
        <f t="shared" si="26"/>
        <v>0</v>
      </c>
      <c r="K79" s="250">
        <f t="shared" si="26"/>
        <v>0</v>
      </c>
      <c r="L79" s="250">
        <f t="shared" si="26"/>
        <v>0</v>
      </c>
      <c r="M79" s="250">
        <f t="shared" si="26"/>
        <v>0</v>
      </c>
      <c r="N79" s="250">
        <f t="shared" si="26"/>
        <v>0</v>
      </c>
      <c r="O79" s="250">
        <f t="shared" si="26"/>
        <v>0</v>
      </c>
      <c r="P79" s="250">
        <f t="shared" si="26"/>
        <v>0</v>
      </c>
      <c r="Q79" s="250">
        <f t="shared" si="26"/>
        <v>0</v>
      </c>
      <c r="R79" s="250">
        <f t="shared" si="26"/>
        <v>0</v>
      </c>
      <c r="S79" s="282">
        <f t="shared" si="26"/>
        <v>0</v>
      </c>
    </row>
    <row r="80" spans="1:19" ht="12.75" hidden="1" customHeight="1" outlineLevel="1" x14ac:dyDescent="0.2">
      <c r="A80" s="198" t="str">
        <f>"      "&amp;Labels!B386</f>
        <v xml:space="preserve">      Prof Level 2</v>
      </c>
      <c r="B80" s="250"/>
      <c r="C80" s="250"/>
      <c r="D80" s="250"/>
      <c r="E80" s="250"/>
      <c r="F80" s="250"/>
      <c r="G80" s="250"/>
      <c r="H80" s="250"/>
      <c r="I80" s="250"/>
      <c r="J80" s="250"/>
      <c r="K80" s="250"/>
      <c r="L80" s="250"/>
      <c r="M80" s="250"/>
      <c r="N80" s="250"/>
      <c r="O80" s="250"/>
      <c r="P80" s="250"/>
      <c r="Q80" s="250"/>
      <c r="R80" s="250"/>
      <c r="S80" s="282"/>
    </row>
    <row r="81" spans="1:19" ht="12.75" hidden="1" customHeight="1" outlineLevel="1" x14ac:dyDescent="0.2">
      <c r="A81" s="198" t="str">
        <f>"         "&amp;Labels!B397</f>
        <v xml:space="preserve">         Supply Type 1</v>
      </c>
      <c r="B81" s="250">
        <f>'(Compute)'!B739/2</f>
        <v>0</v>
      </c>
      <c r="C81" s="250">
        <f>'(Compute)'!C739/2</f>
        <v>0</v>
      </c>
      <c r="D81" s="250">
        <f>'(Compute)'!D739/2</f>
        <v>1375</v>
      </c>
      <c r="E81" s="250">
        <f>'(Compute)'!E739/2</f>
        <v>1375</v>
      </c>
      <c r="F81" s="250">
        <f>'(Compute)'!F739/2</f>
        <v>0</v>
      </c>
      <c r="G81" s="250">
        <f>'(Compute)'!G739/2</f>
        <v>0</v>
      </c>
      <c r="H81" s="250">
        <f>'(Compute)'!H739/2</f>
        <v>0</v>
      </c>
      <c r="I81" s="250">
        <f>'(Compute)'!I739/2</f>
        <v>0</v>
      </c>
      <c r="J81" s="250">
        <f>'(Compute)'!J739/2</f>
        <v>0</v>
      </c>
      <c r="K81" s="250">
        <f>'(Compute)'!K739/2</f>
        <v>0</v>
      </c>
      <c r="L81" s="250">
        <f>'(Compute)'!L739/2</f>
        <v>0</v>
      </c>
      <c r="M81" s="250">
        <f>'(Compute)'!M739/2</f>
        <v>0</v>
      </c>
      <c r="N81" s="250">
        <f>'(Compute)'!N739/2</f>
        <v>0</v>
      </c>
      <c r="O81" s="250">
        <f>'(Compute)'!O739/2</f>
        <v>0</v>
      </c>
      <c r="P81" s="250">
        <f>'(Compute)'!P739/2</f>
        <v>0</v>
      </c>
      <c r="Q81" s="250">
        <f>'(Compute)'!Q739/2</f>
        <v>0</v>
      </c>
      <c r="R81" s="250">
        <f>'(Compute)'!R739/2</f>
        <v>0</v>
      </c>
      <c r="S81" s="282">
        <f>'(Compute)'!S739/2</f>
        <v>0</v>
      </c>
    </row>
    <row r="82" spans="1:19" ht="12.75" hidden="1" customHeight="1" outlineLevel="1" x14ac:dyDescent="0.2">
      <c r="A82" s="198" t="str">
        <f>"         "&amp;Labels!B398</f>
        <v xml:space="preserve">         Supply Type 2</v>
      </c>
      <c r="B82" s="250">
        <f>'(Compute)'!B739/2</f>
        <v>0</v>
      </c>
      <c r="C82" s="250">
        <f>'(Compute)'!C739/2</f>
        <v>0</v>
      </c>
      <c r="D82" s="250">
        <f>'(Compute)'!D739/2</f>
        <v>1375</v>
      </c>
      <c r="E82" s="250">
        <f>'(Compute)'!E739/2</f>
        <v>1375</v>
      </c>
      <c r="F82" s="250">
        <f>'(Compute)'!F739/2</f>
        <v>0</v>
      </c>
      <c r="G82" s="250">
        <f>'(Compute)'!G739/2</f>
        <v>0</v>
      </c>
      <c r="H82" s="250">
        <f>'(Compute)'!H739/2</f>
        <v>0</v>
      </c>
      <c r="I82" s="250">
        <f>'(Compute)'!I739/2</f>
        <v>0</v>
      </c>
      <c r="J82" s="250">
        <f>'(Compute)'!J739/2</f>
        <v>0</v>
      </c>
      <c r="K82" s="250">
        <f>'(Compute)'!K739/2</f>
        <v>0</v>
      </c>
      <c r="L82" s="250">
        <f>'(Compute)'!L739/2</f>
        <v>0</v>
      </c>
      <c r="M82" s="250">
        <f>'(Compute)'!M739/2</f>
        <v>0</v>
      </c>
      <c r="N82" s="250">
        <f>'(Compute)'!N739/2</f>
        <v>0</v>
      </c>
      <c r="O82" s="250">
        <f>'(Compute)'!O739/2</f>
        <v>0</v>
      </c>
      <c r="P82" s="250">
        <f>'(Compute)'!P739/2</f>
        <v>0</v>
      </c>
      <c r="Q82" s="250">
        <f>'(Compute)'!Q739/2</f>
        <v>0</v>
      </c>
      <c r="R82" s="250">
        <f>'(Compute)'!R739/2</f>
        <v>0</v>
      </c>
      <c r="S82" s="282">
        <f>'(Compute)'!S739/2</f>
        <v>0</v>
      </c>
    </row>
    <row r="83" spans="1:19" ht="12.75" hidden="1" customHeight="1" outlineLevel="1" x14ac:dyDescent="0.2">
      <c r="A83" s="198" t="str">
        <f>"         "&amp;Labels!C396</f>
        <v xml:space="preserve">         Total</v>
      </c>
      <c r="B83" s="250">
        <f t="shared" ref="B83:S83" si="27">SUM(B81:B82)</f>
        <v>0</v>
      </c>
      <c r="C83" s="250">
        <f t="shared" si="27"/>
        <v>0</v>
      </c>
      <c r="D83" s="250">
        <f t="shared" si="27"/>
        <v>2750</v>
      </c>
      <c r="E83" s="250">
        <f t="shared" si="27"/>
        <v>2750</v>
      </c>
      <c r="F83" s="250">
        <f t="shared" si="27"/>
        <v>0</v>
      </c>
      <c r="G83" s="250">
        <f t="shared" si="27"/>
        <v>0</v>
      </c>
      <c r="H83" s="250">
        <f t="shared" si="27"/>
        <v>0</v>
      </c>
      <c r="I83" s="250">
        <f t="shared" si="27"/>
        <v>0</v>
      </c>
      <c r="J83" s="250">
        <f t="shared" si="27"/>
        <v>0</v>
      </c>
      <c r="K83" s="250">
        <f t="shared" si="27"/>
        <v>0</v>
      </c>
      <c r="L83" s="250">
        <f t="shared" si="27"/>
        <v>0</v>
      </c>
      <c r="M83" s="250">
        <f t="shared" si="27"/>
        <v>0</v>
      </c>
      <c r="N83" s="250">
        <f t="shared" si="27"/>
        <v>0</v>
      </c>
      <c r="O83" s="250">
        <f t="shared" si="27"/>
        <v>0</v>
      </c>
      <c r="P83" s="250">
        <f t="shared" si="27"/>
        <v>0</v>
      </c>
      <c r="Q83" s="250">
        <f t="shared" si="27"/>
        <v>0</v>
      </c>
      <c r="R83" s="250">
        <f t="shared" si="27"/>
        <v>0</v>
      </c>
      <c r="S83" s="282">
        <f t="shared" si="27"/>
        <v>0</v>
      </c>
    </row>
    <row r="84" spans="1:19" ht="12.75" hidden="1" customHeight="1" outlineLevel="1" x14ac:dyDescent="0.2">
      <c r="A84" s="188" t="str">
        <f>"      "&amp;Labels!C384</f>
        <v xml:space="preserve">      Total</v>
      </c>
      <c r="B84" s="248">
        <f t="shared" ref="B84:S84" si="28">SUM(B79,B83)</f>
        <v>0</v>
      </c>
      <c r="C84" s="248">
        <f t="shared" si="28"/>
        <v>0</v>
      </c>
      <c r="D84" s="248">
        <f t="shared" si="28"/>
        <v>5500</v>
      </c>
      <c r="E84" s="248">
        <f t="shared" si="28"/>
        <v>5500</v>
      </c>
      <c r="F84" s="248">
        <f t="shared" si="28"/>
        <v>0</v>
      </c>
      <c r="G84" s="248">
        <f t="shared" si="28"/>
        <v>0</v>
      </c>
      <c r="H84" s="248">
        <f t="shared" si="28"/>
        <v>0</v>
      </c>
      <c r="I84" s="248">
        <f t="shared" si="28"/>
        <v>0</v>
      </c>
      <c r="J84" s="248">
        <f t="shared" si="28"/>
        <v>0</v>
      </c>
      <c r="K84" s="248">
        <f t="shared" si="28"/>
        <v>0</v>
      </c>
      <c r="L84" s="248">
        <f t="shared" si="28"/>
        <v>0</v>
      </c>
      <c r="M84" s="248">
        <f t="shared" si="28"/>
        <v>0</v>
      </c>
      <c r="N84" s="248">
        <f t="shared" si="28"/>
        <v>0</v>
      </c>
      <c r="O84" s="248">
        <f t="shared" si="28"/>
        <v>0</v>
      </c>
      <c r="P84" s="248">
        <f t="shared" si="28"/>
        <v>0</v>
      </c>
      <c r="Q84" s="248">
        <f t="shared" si="28"/>
        <v>0</v>
      </c>
      <c r="R84" s="248">
        <f t="shared" si="28"/>
        <v>0</v>
      </c>
      <c r="S84" s="271">
        <f t="shared" si="28"/>
        <v>0</v>
      </c>
    </row>
    <row r="85" spans="1:19" ht="12.75" hidden="1" customHeight="1" outlineLevel="1" x14ac:dyDescent="0.2">
      <c r="A85" s="198" t="str">
        <f>"         "&amp;Labels!B397</f>
        <v xml:space="preserve">         Supply Type 1</v>
      </c>
      <c r="B85" s="250">
        <f t="shared" ref="B85:S85" si="29">SUM(B77,B81)</f>
        <v>0</v>
      </c>
      <c r="C85" s="250">
        <f t="shared" si="29"/>
        <v>0</v>
      </c>
      <c r="D85" s="250">
        <f t="shared" si="29"/>
        <v>2750</v>
      </c>
      <c r="E85" s="250">
        <f t="shared" si="29"/>
        <v>2750</v>
      </c>
      <c r="F85" s="250">
        <f t="shared" si="29"/>
        <v>0</v>
      </c>
      <c r="G85" s="250">
        <f t="shared" si="29"/>
        <v>0</v>
      </c>
      <c r="H85" s="250">
        <f t="shared" si="29"/>
        <v>0</v>
      </c>
      <c r="I85" s="250">
        <f t="shared" si="29"/>
        <v>0</v>
      </c>
      <c r="J85" s="250">
        <f t="shared" si="29"/>
        <v>0</v>
      </c>
      <c r="K85" s="250">
        <f t="shared" si="29"/>
        <v>0</v>
      </c>
      <c r="L85" s="250">
        <f t="shared" si="29"/>
        <v>0</v>
      </c>
      <c r="M85" s="250">
        <f t="shared" si="29"/>
        <v>0</v>
      </c>
      <c r="N85" s="250">
        <f t="shared" si="29"/>
        <v>0</v>
      </c>
      <c r="O85" s="250">
        <f t="shared" si="29"/>
        <v>0</v>
      </c>
      <c r="P85" s="250">
        <f t="shared" si="29"/>
        <v>0</v>
      </c>
      <c r="Q85" s="250">
        <f t="shared" si="29"/>
        <v>0</v>
      </c>
      <c r="R85" s="250">
        <f t="shared" si="29"/>
        <v>0</v>
      </c>
      <c r="S85" s="282">
        <f t="shared" si="29"/>
        <v>0</v>
      </c>
    </row>
    <row r="86" spans="1:19" ht="12.75" hidden="1" customHeight="1" outlineLevel="1" x14ac:dyDescent="0.2">
      <c r="A86" s="198" t="str">
        <f>"         "&amp;Labels!B398</f>
        <v xml:space="preserve">         Supply Type 2</v>
      </c>
      <c r="B86" s="250">
        <f t="shared" ref="B86:S86" si="30">SUM(B78,B82)</f>
        <v>0</v>
      </c>
      <c r="C86" s="250">
        <f t="shared" si="30"/>
        <v>0</v>
      </c>
      <c r="D86" s="250">
        <f t="shared" si="30"/>
        <v>2750</v>
      </c>
      <c r="E86" s="250">
        <f t="shared" si="30"/>
        <v>2750</v>
      </c>
      <c r="F86" s="250">
        <f t="shared" si="30"/>
        <v>0</v>
      </c>
      <c r="G86" s="250">
        <f t="shared" si="30"/>
        <v>0</v>
      </c>
      <c r="H86" s="250">
        <f t="shared" si="30"/>
        <v>0</v>
      </c>
      <c r="I86" s="250">
        <f t="shared" si="30"/>
        <v>0</v>
      </c>
      <c r="J86" s="250">
        <f t="shared" si="30"/>
        <v>0</v>
      </c>
      <c r="K86" s="250">
        <f t="shared" si="30"/>
        <v>0</v>
      </c>
      <c r="L86" s="250">
        <f t="shared" si="30"/>
        <v>0</v>
      </c>
      <c r="M86" s="250">
        <f t="shared" si="30"/>
        <v>0</v>
      </c>
      <c r="N86" s="250">
        <f t="shared" si="30"/>
        <v>0</v>
      </c>
      <c r="O86" s="250">
        <f t="shared" si="30"/>
        <v>0</v>
      </c>
      <c r="P86" s="250">
        <f t="shared" si="30"/>
        <v>0</v>
      </c>
      <c r="Q86" s="250">
        <f t="shared" si="30"/>
        <v>0</v>
      </c>
      <c r="R86" s="250">
        <f t="shared" si="30"/>
        <v>0</v>
      </c>
      <c r="S86" s="282">
        <f t="shared" si="30"/>
        <v>0</v>
      </c>
    </row>
    <row r="87" spans="1:19" ht="12.75" hidden="1" customHeight="1" outlineLevel="1" x14ac:dyDescent="0.2">
      <c r="A87" s="198" t="str">
        <f>"         "&amp;Labels!C396</f>
        <v xml:space="preserve">         Total</v>
      </c>
      <c r="B87" s="250">
        <f t="shared" ref="B87:S87" si="31">SUM(B79,B83)</f>
        <v>0</v>
      </c>
      <c r="C87" s="250">
        <f t="shared" si="31"/>
        <v>0</v>
      </c>
      <c r="D87" s="250">
        <f t="shared" si="31"/>
        <v>5500</v>
      </c>
      <c r="E87" s="250">
        <f t="shared" si="31"/>
        <v>5500</v>
      </c>
      <c r="F87" s="250">
        <f t="shared" si="31"/>
        <v>0</v>
      </c>
      <c r="G87" s="250">
        <f t="shared" si="31"/>
        <v>0</v>
      </c>
      <c r="H87" s="250">
        <f t="shared" si="31"/>
        <v>0</v>
      </c>
      <c r="I87" s="250">
        <f t="shared" si="31"/>
        <v>0</v>
      </c>
      <c r="J87" s="250">
        <f t="shared" si="31"/>
        <v>0</v>
      </c>
      <c r="K87" s="250">
        <f t="shared" si="31"/>
        <v>0</v>
      </c>
      <c r="L87" s="250">
        <f t="shared" si="31"/>
        <v>0</v>
      </c>
      <c r="M87" s="250">
        <f t="shared" si="31"/>
        <v>0</v>
      </c>
      <c r="N87" s="250">
        <f t="shared" si="31"/>
        <v>0</v>
      </c>
      <c r="O87" s="250">
        <f t="shared" si="31"/>
        <v>0</v>
      </c>
      <c r="P87" s="250">
        <f t="shared" si="31"/>
        <v>0</v>
      </c>
      <c r="Q87" s="250">
        <f t="shared" si="31"/>
        <v>0</v>
      </c>
      <c r="R87" s="250">
        <f t="shared" si="31"/>
        <v>0</v>
      </c>
      <c r="S87" s="282">
        <f t="shared" si="31"/>
        <v>0</v>
      </c>
    </row>
    <row r="88" spans="1:19" ht="12.75" hidden="1" customHeight="1" outlineLevel="1" x14ac:dyDescent="0.2">
      <c r="A88" s="188" t="str">
        <f>"   "&amp;Labels!B346</f>
        <v xml:space="preserve">   Engage 2</v>
      </c>
      <c r="B88" s="248"/>
      <c r="C88" s="248"/>
      <c r="D88" s="248"/>
      <c r="E88" s="248"/>
      <c r="F88" s="248"/>
      <c r="G88" s="248"/>
      <c r="H88" s="248"/>
      <c r="I88" s="248"/>
      <c r="J88" s="248"/>
      <c r="K88" s="248"/>
      <c r="L88" s="248"/>
      <c r="M88" s="248"/>
      <c r="N88" s="248"/>
      <c r="O88" s="248"/>
      <c r="P88" s="248"/>
      <c r="Q88" s="248"/>
      <c r="R88" s="248"/>
      <c r="S88" s="271"/>
    </row>
    <row r="89" spans="1:19" ht="12.75" hidden="1" customHeight="1" outlineLevel="1" x14ac:dyDescent="0.2">
      <c r="A89" s="198" t="str">
        <f>"      "&amp;Labels!B385</f>
        <v xml:space="preserve">      Prof Level 1</v>
      </c>
      <c r="B89" s="250"/>
      <c r="C89" s="250"/>
      <c r="D89" s="250"/>
      <c r="E89" s="250"/>
      <c r="F89" s="250"/>
      <c r="G89" s="250"/>
      <c r="H89" s="250"/>
      <c r="I89" s="250"/>
      <c r="J89" s="250"/>
      <c r="K89" s="250"/>
      <c r="L89" s="250"/>
      <c r="M89" s="250"/>
      <c r="N89" s="250"/>
      <c r="O89" s="250"/>
      <c r="P89" s="250"/>
      <c r="Q89" s="250"/>
      <c r="R89" s="250"/>
      <c r="S89" s="282"/>
    </row>
    <row r="90" spans="1:19" ht="12.75" hidden="1" customHeight="1" outlineLevel="1" x14ac:dyDescent="0.2">
      <c r="A90" s="198" t="str">
        <f>"         "&amp;Labels!B397</f>
        <v xml:space="preserve">         Supply Type 1</v>
      </c>
      <c r="B90" s="250">
        <f>'(Compute)'!B748/2</f>
        <v>0</v>
      </c>
      <c r="C90" s="250">
        <f>'(Compute)'!C748/2</f>
        <v>0</v>
      </c>
      <c r="D90" s="250">
        <f>'(Compute)'!D748/2</f>
        <v>0</v>
      </c>
      <c r="E90" s="250">
        <f>'(Compute)'!E748/2</f>
        <v>0</v>
      </c>
      <c r="F90" s="250">
        <f>'(Compute)'!F748/2</f>
        <v>0</v>
      </c>
      <c r="G90" s="250">
        <f>'(Compute)'!G748/2</f>
        <v>1000</v>
      </c>
      <c r="H90" s="250">
        <f>'(Compute)'!H748/2</f>
        <v>1000</v>
      </c>
      <c r="I90" s="250">
        <f>'(Compute)'!I748/2</f>
        <v>1000</v>
      </c>
      <c r="J90" s="250">
        <f>'(Compute)'!J748/2</f>
        <v>0</v>
      </c>
      <c r="K90" s="250">
        <f>'(Compute)'!K748/2</f>
        <v>0</v>
      </c>
      <c r="L90" s="250">
        <f>'(Compute)'!L748/2</f>
        <v>0</v>
      </c>
      <c r="M90" s="250">
        <f>'(Compute)'!M748/2</f>
        <v>0</v>
      </c>
      <c r="N90" s="250">
        <f>'(Compute)'!N748/2</f>
        <v>0</v>
      </c>
      <c r="O90" s="250">
        <f>'(Compute)'!O748/2</f>
        <v>0</v>
      </c>
      <c r="P90" s="250">
        <f>'(Compute)'!P748/2</f>
        <v>0</v>
      </c>
      <c r="Q90" s="250">
        <f>'(Compute)'!Q748/2</f>
        <v>0</v>
      </c>
      <c r="R90" s="250">
        <f>'(Compute)'!R748/2</f>
        <v>0</v>
      </c>
      <c r="S90" s="282">
        <f>'(Compute)'!S748/2</f>
        <v>0</v>
      </c>
    </row>
    <row r="91" spans="1:19" ht="12.75" hidden="1" customHeight="1" outlineLevel="1" x14ac:dyDescent="0.2">
      <c r="A91" s="198" t="str">
        <f>"         "&amp;Labels!B398</f>
        <v xml:space="preserve">         Supply Type 2</v>
      </c>
      <c r="B91" s="250">
        <f>'(Compute)'!B748/2</f>
        <v>0</v>
      </c>
      <c r="C91" s="250">
        <f>'(Compute)'!C748/2</f>
        <v>0</v>
      </c>
      <c r="D91" s="250">
        <f>'(Compute)'!D748/2</f>
        <v>0</v>
      </c>
      <c r="E91" s="250">
        <f>'(Compute)'!E748/2</f>
        <v>0</v>
      </c>
      <c r="F91" s="250">
        <f>'(Compute)'!F748/2</f>
        <v>0</v>
      </c>
      <c r="G91" s="250">
        <f>'(Compute)'!G748/2</f>
        <v>1000</v>
      </c>
      <c r="H91" s="250">
        <f>'(Compute)'!H748/2</f>
        <v>1000</v>
      </c>
      <c r="I91" s="250">
        <f>'(Compute)'!I748/2</f>
        <v>1000</v>
      </c>
      <c r="J91" s="250">
        <f>'(Compute)'!J748/2</f>
        <v>0</v>
      </c>
      <c r="K91" s="250">
        <f>'(Compute)'!K748/2</f>
        <v>0</v>
      </c>
      <c r="L91" s="250">
        <f>'(Compute)'!L748/2</f>
        <v>0</v>
      </c>
      <c r="M91" s="250">
        <f>'(Compute)'!M748/2</f>
        <v>0</v>
      </c>
      <c r="N91" s="250">
        <f>'(Compute)'!N748/2</f>
        <v>0</v>
      </c>
      <c r="O91" s="250">
        <f>'(Compute)'!O748/2</f>
        <v>0</v>
      </c>
      <c r="P91" s="250">
        <f>'(Compute)'!P748/2</f>
        <v>0</v>
      </c>
      <c r="Q91" s="250">
        <f>'(Compute)'!Q748/2</f>
        <v>0</v>
      </c>
      <c r="R91" s="250">
        <f>'(Compute)'!R748/2</f>
        <v>0</v>
      </c>
      <c r="S91" s="282">
        <f>'(Compute)'!S748/2</f>
        <v>0</v>
      </c>
    </row>
    <row r="92" spans="1:19" ht="12.75" hidden="1" customHeight="1" outlineLevel="1" x14ac:dyDescent="0.2">
      <c r="A92" s="198" t="str">
        <f>"         "&amp;Labels!C396</f>
        <v xml:space="preserve">         Total</v>
      </c>
      <c r="B92" s="250">
        <f t="shared" ref="B92:S92" si="32">SUM(B90:B91)</f>
        <v>0</v>
      </c>
      <c r="C92" s="250">
        <f t="shared" si="32"/>
        <v>0</v>
      </c>
      <c r="D92" s="250">
        <f t="shared" si="32"/>
        <v>0</v>
      </c>
      <c r="E92" s="250">
        <f t="shared" si="32"/>
        <v>0</v>
      </c>
      <c r="F92" s="250">
        <f t="shared" si="32"/>
        <v>0</v>
      </c>
      <c r="G92" s="250">
        <f t="shared" si="32"/>
        <v>2000</v>
      </c>
      <c r="H92" s="250">
        <f t="shared" si="32"/>
        <v>2000</v>
      </c>
      <c r="I92" s="250">
        <f t="shared" si="32"/>
        <v>2000</v>
      </c>
      <c r="J92" s="250">
        <f t="shared" si="32"/>
        <v>0</v>
      </c>
      <c r="K92" s="250">
        <f t="shared" si="32"/>
        <v>0</v>
      </c>
      <c r="L92" s="250">
        <f t="shared" si="32"/>
        <v>0</v>
      </c>
      <c r="M92" s="250">
        <f t="shared" si="32"/>
        <v>0</v>
      </c>
      <c r="N92" s="250">
        <f t="shared" si="32"/>
        <v>0</v>
      </c>
      <c r="O92" s="250">
        <f t="shared" si="32"/>
        <v>0</v>
      </c>
      <c r="P92" s="250">
        <f t="shared" si="32"/>
        <v>0</v>
      </c>
      <c r="Q92" s="250">
        <f t="shared" si="32"/>
        <v>0</v>
      </c>
      <c r="R92" s="250">
        <f t="shared" si="32"/>
        <v>0</v>
      </c>
      <c r="S92" s="282">
        <f t="shared" si="32"/>
        <v>0</v>
      </c>
    </row>
    <row r="93" spans="1:19" ht="12.75" hidden="1" customHeight="1" outlineLevel="1" x14ac:dyDescent="0.2">
      <c r="A93" s="198" t="str">
        <f>"      "&amp;Labels!B386</f>
        <v xml:space="preserve">      Prof Level 2</v>
      </c>
      <c r="B93" s="250"/>
      <c r="C93" s="250"/>
      <c r="D93" s="250"/>
      <c r="E93" s="250"/>
      <c r="F93" s="250"/>
      <c r="G93" s="250"/>
      <c r="H93" s="250"/>
      <c r="I93" s="250"/>
      <c r="J93" s="250"/>
      <c r="K93" s="250"/>
      <c r="L93" s="250"/>
      <c r="M93" s="250"/>
      <c r="N93" s="250"/>
      <c r="O93" s="250"/>
      <c r="P93" s="250"/>
      <c r="Q93" s="250"/>
      <c r="R93" s="250"/>
      <c r="S93" s="282"/>
    </row>
    <row r="94" spans="1:19" ht="12.75" hidden="1" customHeight="1" outlineLevel="1" x14ac:dyDescent="0.2">
      <c r="A94" s="198" t="str">
        <f>"         "&amp;Labels!B397</f>
        <v xml:space="preserve">         Supply Type 1</v>
      </c>
      <c r="B94" s="250">
        <f>'(Compute)'!B752/2</f>
        <v>0</v>
      </c>
      <c r="C94" s="250">
        <f>'(Compute)'!C752/2</f>
        <v>0</v>
      </c>
      <c r="D94" s="250">
        <f>'(Compute)'!D752/2</f>
        <v>0</v>
      </c>
      <c r="E94" s="250">
        <f>'(Compute)'!E752/2</f>
        <v>0</v>
      </c>
      <c r="F94" s="250">
        <f>'(Compute)'!F752/2</f>
        <v>0</v>
      </c>
      <c r="G94" s="250">
        <f>'(Compute)'!G752/2</f>
        <v>1000</v>
      </c>
      <c r="H94" s="250">
        <f>'(Compute)'!H752/2</f>
        <v>1000</v>
      </c>
      <c r="I94" s="250">
        <f>'(Compute)'!I752/2</f>
        <v>1000</v>
      </c>
      <c r="J94" s="250">
        <f>'(Compute)'!J752/2</f>
        <v>0</v>
      </c>
      <c r="K94" s="250">
        <f>'(Compute)'!K752/2</f>
        <v>0</v>
      </c>
      <c r="L94" s="250">
        <f>'(Compute)'!L752/2</f>
        <v>0</v>
      </c>
      <c r="M94" s="250">
        <f>'(Compute)'!M752/2</f>
        <v>0</v>
      </c>
      <c r="N94" s="250">
        <f>'(Compute)'!N752/2</f>
        <v>0</v>
      </c>
      <c r="O94" s="250">
        <f>'(Compute)'!O752/2</f>
        <v>0</v>
      </c>
      <c r="P94" s="250">
        <f>'(Compute)'!P752/2</f>
        <v>0</v>
      </c>
      <c r="Q94" s="250">
        <f>'(Compute)'!Q752/2</f>
        <v>0</v>
      </c>
      <c r="R94" s="250">
        <f>'(Compute)'!R752/2</f>
        <v>0</v>
      </c>
      <c r="S94" s="282">
        <f>'(Compute)'!S752/2</f>
        <v>0</v>
      </c>
    </row>
    <row r="95" spans="1:19" ht="12.75" hidden="1" customHeight="1" outlineLevel="1" x14ac:dyDescent="0.2">
      <c r="A95" s="198" t="str">
        <f>"         "&amp;Labels!B398</f>
        <v xml:space="preserve">         Supply Type 2</v>
      </c>
      <c r="B95" s="250">
        <f>'(Compute)'!B752/2</f>
        <v>0</v>
      </c>
      <c r="C95" s="250">
        <f>'(Compute)'!C752/2</f>
        <v>0</v>
      </c>
      <c r="D95" s="250">
        <f>'(Compute)'!D752/2</f>
        <v>0</v>
      </c>
      <c r="E95" s="250">
        <f>'(Compute)'!E752/2</f>
        <v>0</v>
      </c>
      <c r="F95" s="250">
        <f>'(Compute)'!F752/2</f>
        <v>0</v>
      </c>
      <c r="G95" s="250">
        <f>'(Compute)'!G752/2</f>
        <v>1000</v>
      </c>
      <c r="H95" s="250">
        <f>'(Compute)'!H752/2</f>
        <v>1000</v>
      </c>
      <c r="I95" s="250">
        <f>'(Compute)'!I752/2</f>
        <v>1000</v>
      </c>
      <c r="J95" s="250">
        <f>'(Compute)'!J752/2</f>
        <v>0</v>
      </c>
      <c r="K95" s="250">
        <f>'(Compute)'!K752/2</f>
        <v>0</v>
      </c>
      <c r="L95" s="250">
        <f>'(Compute)'!L752/2</f>
        <v>0</v>
      </c>
      <c r="M95" s="250">
        <f>'(Compute)'!M752/2</f>
        <v>0</v>
      </c>
      <c r="N95" s="250">
        <f>'(Compute)'!N752/2</f>
        <v>0</v>
      </c>
      <c r="O95" s="250">
        <f>'(Compute)'!O752/2</f>
        <v>0</v>
      </c>
      <c r="P95" s="250">
        <f>'(Compute)'!P752/2</f>
        <v>0</v>
      </c>
      <c r="Q95" s="250">
        <f>'(Compute)'!Q752/2</f>
        <v>0</v>
      </c>
      <c r="R95" s="250">
        <f>'(Compute)'!R752/2</f>
        <v>0</v>
      </c>
      <c r="S95" s="282">
        <f>'(Compute)'!S752/2</f>
        <v>0</v>
      </c>
    </row>
    <row r="96" spans="1:19" ht="12.75" hidden="1" customHeight="1" outlineLevel="1" x14ac:dyDescent="0.2">
      <c r="A96" s="198" t="str">
        <f>"         "&amp;Labels!C396</f>
        <v xml:space="preserve">         Total</v>
      </c>
      <c r="B96" s="250">
        <f t="shared" ref="B96:S96" si="33">SUM(B94:B95)</f>
        <v>0</v>
      </c>
      <c r="C96" s="250">
        <f t="shared" si="33"/>
        <v>0</v>
      </c>
      <c r="D96" s="250">
        <f t="shared" si="33"/>
        <v>0</v>
      </c>
      <c r="E96" s="250">
        <f t="shared" si="33"/>
        <v>0</v>
      </c>
      <c r="F96" s="250">
        <f t="shared" si="33"/>
        <v>0</v>
      </c>
      <c r="G96" s="250">
        <f t="shared" si="33"/>
        <v>2000</v>
      </c>
      <c r="H96" s="250">
        <f t="shared" si="33"/>
        <v>2000</v>
      </c>
      <c r="I96" s="250">
        <f t="shared" si="33"/>
        <v>2000</v>
      </c>
      <c r="J96" s="250">
        <f t="shared" si="33"/>
        <v>0</v>
      </c>
      <c r="K96" s="250">
        <f t="shared" si="33"/>
        <v>0</v>
      </c>
      <c r="L96" s="250">
        <f t="shared" si="33"/>
        <v>0</v>
      </c>
      <c r="M96" s="250">
        <f t="shared" si="33"/>
        <v>0</v>
      </c>
      <c r="N96" s="250">
        <f t="shared" si="33"/>
        <v>0</v>
      </c>
      <c r="O96" s="250">
        <f t="shared" si="33"/>
        <v>0</v>
      </c>
      <c r="P96" s="250">
        <f t="shared" si="33"/>
        <v>0</v>
      </c>
      <c r="Q96" s="250">
        <f t="shared" si="33"/>
        <v>0</v>
      </c>
      <c r="R96" s="250">
        <f t="shared" si="33"/>
        <v>0</v>
      </c>
      <c r="S96" s="282">
        <f t="shared" si="33"/>
        <v>0</v>
      </c>
    </row>
    <row r="97" spans="1:19" ht="12.75" hidden="1" customHeight="1" outlineLevel="1" x14ac:dyDescent="0.2">
      <c r="A97" s="188" t="str">
        <f>"      "&amp;Labels!C384</f>
        <v xml:space="preserve">      Total</v>
      </c>
      <c r="B97" s="248">
        <f t="shared" ref="B97:S97" si="34">SUM(B92,B96)</f>
        <v>0</v>
      </c>
      <c r="C97" s="248">
        <f t="shared" si="34"/>
        <v>0</v>
      </c>
      <c r="D97" s="248">
        <f t="shared" si="34"/>
        <v>0</v>
      </c>
      <c r="E97" s="248">
        <f t="shared" si="34"/>
        <v>0</v>
      </c>
      <c r="F97" s="248">
        <f t="shared" si="34"/>
        <v>0</v>
      </c>
      <c r="G97" s="248">
        <f t="shared" si="34"/>
        <v>4000</v>
      </c>
      <c r="H97" s="248">
        <f t="shared" si="34"/>
        <v>4000</v>
      </c>
      <c r="I97" s="248">
        <f t="shared" si="34"/>
        <v>4000</v>
      </c>
      <c r="J97" s="248">
        <f t="shared" si="34"/>
        <v>0</v>
      </c>
      <c r="K97" s="248">
        <f t="shared" si="34"/>
        <v>0</v>
      </c>
      <c r="L97" s="248">
        <f t="shared" si="34"/>
        <v>0</v>
      </c>
      <c r="M97" s="248">
        <f t="shared" si="34"/>
        <v>0</v>
      </c>
      <c r="N97" s="248">
        <f t="shared" si="34"/>
        <v>0</v>
      </c>
      <c r="O97" s="248">
        <f t="shared" si="34"/>
        <v>0</v>
      </c>
      <c r="P97" s="248">
        <f t="shared" si="34"/>
        <v>0</v>
      </c>
      <c r="Q97" s="248">
        <f t="shared" si="34"/>
        <v>0</v>
      </c>
      <c r="R97" s="248">
        <f t="shared" si="34"/>
        <v>0</v>
      </c>
      <c r="S97" s="271">
        <f t="shared" si="34"/>
        <v>0</v>
      </c>
    </row>
    <row r="98" spans="1:19" ht="12.75" hidden="1" customHeight="1" outlineLevel="1" x14ac:dyDescent="0.2">
      <c r="A98" s="198" t="str">
        <f>"         "&amp;Labels!B397</f>
        <v xml:space="preserve">         Supply Type 1</v>
      </c>
      <c r="B98" s="250">
        <f t="shared" ref="B98:S98" si="35">SUM(B90,B94)</f>
        <v>0</v>
      </c>
      <c r="C98" s="250">
        <f t="shared" si="35"/>
        <v>0</v>
      </c>
      <c r="D98" s="250">
        <f t="shared" si="35"/>
        <v>0</v>
      </c>
      <c r="E98" s="250">
        <f t="shared" si="35"/>
        <v>0</v>
      </c>
      <c r="F98" s="250">
        <f t="shared" si="35"/>
        <v>0</v>
      </c>
      <c r="G98" s="250">
        <f t="shared" si="35"/>
        <v>2000</v>
      </c>
      <c r="H98" s="250">
        <f t="shared" si="35"/>
        <v>2000</v>
      </c>
      <c r="I98" s="250">
        <f t="shared" si="35"/>
        <v>2000</v>
      </c>
      <c r="J98" s="250">
        <f t="shared" si="35"/>
        <v>0</v>
      </c>
      <c r="K98" s="250">
        <f t="shared" si="35"/>
        <v>0</v>
      </c>
      <c r="L98" s="250">
        <f t="shared" si="35"/>
        <v>0</v>
      </c>
      <c r="M98" s="250">
        <f t="shared" si="35"/>
        <v>0</v>
      </c>
      <c r="N98" s="250">
        <f t="shared" si="35"/>
        <v>0</v>
      </c>
      <c r="O98" s="250">
        <f t="shared" si="35"/>
        <v>0</v>
      </c>
      <c r="P98" s="250">
        <f t="shared" si="35"/>
        <v>0</v>
      </c>
      <c r="Q98" s="250">
        <f t="shared" si="35"/>
        <v>0</v>
      </c>
      <c r="R98" s="250">
        <f t="shared" si="35"/>
        <v>0</v>
      </c>
      <c r="S98" s="282">
        <f t="shared" si="35"/>
        <v>0</v>
      </c>
    </row>
    <row r="99" spans="1:19" ht="12.75" hidden="1" customHeight="1" outlineLevel="1" x14ac:dyDescent="0.2">
      <c r="A99" s="198" t="str">
        <f>"         "&amp;Labels!B398</f>
        <v xml:space="preserve">         Supply Type 2</v>
      </c>
      <c r="B99" s="250">
        <f t="shared" ref="B99:S99" si="36">SUM(B91,B95)</f>
        <v>0</v>
      </c>
      <c r="C99" s="250">
        <f t="shared" si="36"/>
        <v>0</v>
      </c>
      <c r="D99" s="250">
        <f t="shared" si="36"/>
        <v>0</v>
      </c>
      <c r="E99" s="250">
        <f t="shared" si="36"/>
        <v>0</v>
      </c>
      <c r="F99" s="250">
        <f t="shared" si="36"/>
        <v>0</v>
      </c>
      <c r="G99" s="250">
        <f t="shared" si="36"/>
        <v>2000</v>
      </c>
      <c r="H99" s="250">
        <f t="shared" si="36"/>
        <v>2000</v>
      </c>
      <c r="I99" s="250">
        <f t="shared" si="36"/>
        <v>2000</v>
      </c>
      <c r="J99" s="250">
        <f t="shared" si="36"/>
        <v>0</v>
      </c>
      <c r="K99" s="250">
        <f t="shared" si="36"/>
        <v>0</v>
      </c>
      <c r="L99" s="250">
        <f t="shared" si="36"/>
        <v>0</v>
      </c>
      <c r="M99" s="250">
        <f t="shared" si="36"/>
        <v>0</v>
      </c>
      <c r="N99" s="250">
        <f t="shared" si="36"/>
        <v>0</v>
      </c>
      <c r="O99" s="250">
        <f t="shared" si="36"/>
        <v>0</v>
      </c>
      <c r="P99" s="250">
        <f t="shared" si="36"/>
        <v>0</v>
      </c>
      <c r="Q99" s="250">
        <f t="shared" si="36"/>
        <v>0</v>
      </c>
      <c r="R99" s="250">
        <f t="shared" si="36"/>
        <v>0</v>
      </c>
      <c r="S99" s="282">
        <f t="shared" si="36"/>
        <v>0</v>
      </c>
    </row>
    <row r="100" spans="1:19" ht="12.75" hidden="1" customHeight="1" outlineLevel="1" x14ac:dyDescent="0.2">
      <c r="A100" s="198" t="str">
        <f>"         "&amp;Labels!C396</f>
        <v xml:space="preserve">         Total</v>
      </c>
      <c r="B100" s="250">
        <f t="shared" ref="B100:S100" si="37">SUM(B92,B96)</f>
        <v>0</v>
      </c>
      <c r="C100" s="250">
        <f t="shared" si="37"/>
        <v>0</v>
      </c>
      <c r="D100" s="250">
        <f t="shared" si="37"/>
        <v>0</v>
      </c>
      <c r="E100" s="250">
        <f t="shared" si="37"/>
        <v>0</v>
      </c>
      <c r="F100" s="250">
        <f t="shared" si="37"/>
        <v>0</v>
      </c>
      <c r="G100" s="250">
        <f t="shared" si="37"/>
        <v>4000</v>
      </c>
      <c r="H100" s="250">
        <f t="shared" si="37"/>
        <v>4000</v>
      </c>
      <c r="I100" s="250">
        <f t="shared" si="37"/>
        <v>4000</v>
      </c>
      <c r="J100" s="250">
        <f t="shared" si="37"/>
        <v>0</v>
      </c>
      <c r="K100" s="250">
        <f t="shared" si="37"/>
        <v>0</v>
      </c>
      <c r="L100" s="250">
        <f t="shared" si="37"/>
        <v>0</v>
      </c>
      <c r="M100" s="250">
        <f t="shared" si="37"/>
        <v>0</v>
      </c>
      <c r="N100" s="250">
        <f t="shared" si="37"/>
        <v>0</v>
      </c>
      <c r="O100" s="250">
        <f t="shared" si="37"/>
        <v>0</v>
      </c>
      <c r="P100" s="250">
        <f t="shared" si="37"/>
        <v>0</v>
      </c>
      <c r="Q100" s="250">
        <f t="shared" si="37"/>
        <v>0</v>
      </c>
      <c r="R100" s="250">
        <f t="shared" si="37"/>
        <v>0</v>
      </c>
      <c r="S100" s="282">
        <f t="shared" si="37"/>
        <v>0</v>
      </c>
    </row>
    <row r="101" spans="1:19" ht="12.75" hidden="1" customHeight="1" outlineLevel="1" x14ac:dyDescent="0.2">
      <c r="A101" s="191" t="str">
        <f>"   "&amp;Labels!C344</f>
        <v xml:space="preserve">   Total</v>
      </c>
      <c r="B101" s="247">
        <f t="shared" ref="B101:S101" si="38">SUM(B84,B97)</f>
        <v>0</v>
      </c>
      <c r="C101" s="247">
        <f t="shared" si="38"/>
        <v>0</v>
      </c>
      <c r="D101" s="247">
        <f t="shared" si="38"/>
        <v>5500</v>
      </c>
      <c r="E101" s="247">
        <f t="shared" si="38"/>
        <v>5500</v>
      </c>
      <c r="F101" s="247">
        <f t="shared" si="38"/>
        <v>0</v>
      </c>
      <c r="G101" s="247">
        <f t="shared" si="38"/>
        <v>4000</v>
      </c>
      <c r="H101" s="247">
        <f t="shared" si="38"/>
        <v>4000</v>
      </c>
      <c r="I101" s="247">
        <f t="shared" si="38"/>
        <v>4000</v>
      </c>
      <c r="J101" s="247">
        <f t="shared" si="38"/>
        <v>0</v>
      </c>
      <c r="K101" s="247">
        <f t="shared" si="38"/>
        <v>0</v>
      </c>
      <c r="L101" s="247">
        <f t="shared" si="38"/>
        <v>0</v>
      </c>
      <c r="M101" s="247">
        <f t="shared" si="38"/>
        <v>0</v>
      </c>
      <c r="N101" s="247">
        <f t="shared" si="38"/>
        <v>0</v>
      </c>
      <c r="O101" s="247">
        <f t="shared" si="38"/>
        <v>0</v>
      </c>
      <c r="P101" s="247">
        <f t="shared" si="38"/>
        <v>0</v>
      </c>
      <c r="Q101" s="247">
        <f t="shared" si="38"/>
        <v>0</v>
      </c>
      <c r="R101" s="247">
        <f t="shared" si="38"/>
        <v>0</v>
      </c>
      <c r="S101" s="272">
        <f t="shared" si="38"/>
        <v>0</v>
      </c>
    </row>
    <row r="102" spans="1:19" ht="12.75" hidden="1" customHeight="1" outlineLevel="1" x14ac:dyDescent="0.2">
      <c r="A102" s="198" t="str">
        <f>"      "&amp;Labels!B385</f>
        <v xml:space="preserve">      Prof Level 1</v>
      </c>
      <c r="B102" s="250"/>
      <c r="C102" s="250"/>
      <c r="D102" s="250"/>
      <c r="E102" s="250"/>
      <c r="F102" s="250"/>
      <c r="G102" s="250"/>
      <c r="H102" s="250"/>
      <c r="I102" s="250"/>
      <c r="J102" s="250"/>
      <c r="K102" s="250"/>
      <c r="L102" s="250"/>
      <c r="M102" s="250"/>
      <c r="N102" s="250"/>
      <c r="O102" s="250"/>
      <c r="P102" s="250"/>
      <c r="Q102" s="250"/>
      <c r="R102" s="250"/>
      <c r="S102" s="282"/>
    </row>
    <row r="103" spans="1:19" ht="12.75" hidden="1" customHeight="1" outlineLevel="1" x14ac:dyDescent="0.2">
      <c r="A103" s="198" t="str">
        <f>"         "&amp;Labels!B397</f>
        <v xml:space="preserve">         Supply Type 1</v>
      </c>
      <c r="B103" s="250">
        <f t="shared" ref="B103:S103" si="39">SUM(B77,B90)</f>
        <v>0</v>
      </c>
      <c r="C103" s="250">
        <f t="shared" si="39"/>
        <v>0</v>
      </c>
      <c r="D103" s="250">
        <f t="shared" si="39"/>
        <v>1375</v>
      </c>
      <c r="E103" s="250">
        <f t="shared" si="39"/>
        <v>1375</v>
      </c>
      <c r="F103" s="250">
        <f t="shared" si="39"/>
        <v>0</v>
      </c>
      <c r="G103" s="250">
        <f t="shared" si="39"/>
        <v>1000</v>
      </c>
      <c r="H103" s="250">
        <f t="shared" si="39"/>
        <v>1000</v>
      </c>
      <c r="I103" s="250">
        <f t="shared" si="39"/>
        <v>1000</v>
      </c>
      <c r="J103" s="250">
        <f t="shared" si="39"/>
        <v>0</v>
      </c>
      <c r="K103" s="250">
        <f t="shared" si="39"/>
        <v>0</v>
      </c>
      <c r="L103" s="250">
        <f t="shared" si="39"/>
        <v>0</v>
      </c>
      <c r="M103" s="250">
        <f t="shared" si="39"/>
        <v>0</v>
      </c>
      <c r="N103" s="250">
        <f t="shared" si="39"/>
        <v>0</v>
      </c>
      <c r="O103" s="250">
        <f t="shared" si="39"/>
        <v>0</v>
      </c>
      <c r="P103" s="250">
        <f t="shared" si="39"/>
        <v>0</v>
      </c>
      <c r="Q103" s="250">
        <f t="shared" si="39"/>
        <v>0</v>
      </c>
      <c r="R103" s="250">
        <f t="shared" si="39"/>
        <v>0</v>
      </c>
      <c r="S103" s="282">
        <f t="shared" si="39"/>
        <v>0</v>
      </c>
    </row>
    <row r="104" spans="1:19" ht="12.75" hidden="1" customHeight="1" outlineLevel="1" x14ac:dyDescent="0.2">
      <c r="A104" s="198" t="str">
        <f>"         "&amp;Labels!B398</f>
        <v xml:space="preserve">         Supply Type 2</v>
      </c>
      <c r="B104" s="250">
        <f t="shared" ref="B104:S104" si="40">SUM(B78,B91)</f>
        <v>0</v>
      </c>
      <c r="C104" s="250">
        <f t="shared" si="40"/>
        <v>0</v>
      </c>
      <c r="D104" s="250">
        <f t="shared" si="40"/>
        <v>1375</v>
      </c>
      <c r="E104" s="250">
        <f t="shared" si="40"/>
        <v>1375</v>
      </c>
      <c r="F104" s="250">
        <f t="shared" si="40"/>
        <v>0</v>
      </c>
      <c r="G104" s="250">
        <f t="shared" si="40"/>
        <v>1000</v>
      </c>
      <c r="H104" s="250">
        <f t="shared" si="40"/>
        <v>1000</v>
      </c>
      <c r="I104" s="250">
        <f t="shared" si="40"/>
        <v>1000</v>
      </c>
      <c r="J104" s="250">
        <f t="shared" si="40"/>
        <v>0</v>
      </c>
      <c r="K104" s="250">
        <f t="shared" si="40"/>
        <v>0</v>
      </c>
      <c r="L104" s="250">
        <f t="shared" si="40"/>
        <v>0</v>
      </c>
      <c r="M104" s="250">
        <f t="shared" si="40"/>
        <v>0</v>
      </c>
      <c r="N104" s="250">
        <f t="shared" si="40"/>
        <v>0</v>
      </c>
      <c r="O104" s="250">
        <f t="shared" si="40"/>
        <v>0</v>
      </c>
      <c r="P104" s="250">
        <f t="shared" si="40"/>
        <v>0</v>
      </c>
      <c r="Q104" s="250">
        <f t="shared" si="40"/>
        <v>0</v>
      </c>
      <c r="R104" s="250">
        <f t="shared" si="40"/>
        <v>0</v>
      </c>
      <c r="S104" s="282">
        <f t="shared" si="40"/>
        <v>0</v>
      </c>
    </row>
    <row r="105" spans="1:19" ht="12.75" hidden="1" customHeight="1" outlineLevel="1" x14ac:dyDescent="0.2">
      <c r="A105" s="198" t="str">
        <f>"         "&amp;Labels!C396</f>
        <v xml:space="preserve">         Total</v>
      </c>
      <c r="B105" s="250">
        <f t="shared" ref="B105:S105" si="41">SUM(B79,B92)</f>
        <v>0</v>
      </c>
      <c r="C105" s="250">
        <f t="shared" si="41"/>
        <v>0</v>
      </c>
      <c r="D105" s="250">
        <f t="shared" si="41"/>
        <v>2750</v>
      </c>
      <c r="E105" s="250">
        <f t="shared" si="41"/>
        <v>2750</v>
      </c>
      <c r="F105" s="250">
        <f t="shared" si="41"/>
        <v>0</v>
      </c>
      <c r="G105" s="250">
        <f t="shared" si="41"/>
        <v>2000</v>
      </c>
      <c r="H105" s="250">
        <f t="shared" si="41"/>
        <v>2000</v>
      </c>
      <c r="I105" s="250">
        <f t="shared" si="41"/>
        <v>2000</v>
      </c>
      <c r="J105" s="250">
        <f t="shared" si="41"/>
        <v>0</v>
      </c>
      <c r="K105" s="250">
        <f t="shared" si="41"/>
        <v>0</v>
      </c>
      <c r="L105" s="250">
        <f t="shared" si="41"/>
        <v>0</v>
      </c>
      <c r="M105" s="250">
        <f t="shared" si="41"/>
        <v>0</v>
      </c>
      <c r="N105" s="250">
        <f t="shared" si="41"/>
        <v>0</v>
      </c>
      <c r="O105" s="250">
        <f t="shared" si="41"/>
        <v>0</v>
      </c>
      <c r="P105" s="250">
        <f t="shared" si="41"/>
        <v>0</v>
      </c>
      <c r="Q105" s="250">
        <f t="shared" si="41"/>
        <v>0</v>
      </c>
      <c r="R105" s="250">
        <f t="shared" si="41"/>
        <v>0</v>
      </c>
      <c r="S105" s="282">
        <f t="shared" si="41"/>
        <v>0</v>
      </c>
    </row>
    <row r="106" spans="1:19" ht="12.75" hidden="1" customHeight="1" outlineLevel="1" x14ac:dyDescent="0.2">
      <c r="A106" s="198" t="str">
        <f>"      "&amp;Labels!B386</f>
        <v xml:space="preserve">      Prof Level 2</v>
      </c>
      <c r="B106" s="250"/>
      <c r="C106" s="250"/>
      <c r="D106" s="250"/>
      <c r="E106" s="250"/>
      <c r="F106" s="250"/>
      <c r="G106" s="250"/>
      <c r="H106" s="250"/>
      <c r="I106" s="250"/>
      <c r="J106" s="250"/>
      <c r="K106" s="250"/>
      <c r="L106" s="250"/>
      <c r="M106" s="250"/>
      <c r="N106" s="250"/>
      <c r="O106" s="250"/>
      <c r="P106" s="250"/>
      <c r="Q106" s="250"/>
      <c r="R106" s="250"/>
      <c r="S106" s="282"/>
    </row>
    <row r="107" spans="1:19" ht="12.75" hidden="1" customHeight="1" outlineLevel="1" x14ac:dyDescent="0.2">
      <c r="A107" s="198" t="str">
        <f>"         "&amp;Labels!B397</f>
        <v xml:space="preserve">         Supply Type 1</v>
      </c>
      <c r="B107" s="250">
        <f t="shared" ref="B107:S107" si="42">SUM(B81,B94)</f>
        <v>0</v>
      </c>
      <c r="C107" s="250">
        <f t="shared" si="42"/>
        <v>0</v>
      </c>
      <c r="D107" s="250">
        <f t="shared" si="42"/>
        <v>1375</v>
      </c>
      <c r="E107" s="250">
        <f t="shared" si="42"/>
        <v>1375</v>
      </c>
      <c r="F107" s="250">
        <f t="shared" si="42"/>
        <v>0</v>
      </c>
      <c r="G107" s="250">
        <f t="shared" si="42"/>
        <v>1000</v>
      </c>
      <c r="H107" s="250">
        <f t="shared" si="42"/>
        <v>1000</v>
      </c>
      <c r="I107" s="250">
        <f t="shared" si="42"/>
        <v>1000</v>
      </c>
      <c r="J107" s="250">
        <f t="shared" si="42"/>
        <v>0</v>
      </c>
      <c r="K107" s="250">
        <f t="shared" si="42"/>
        <v>0</v>
      </c>
      <c r="L107" s="250">
        <f t="shared" si="42"/>
        <v>0</v>
      </c>
      <c r="M107" s="250">
        <f t="shared" si="42"/>
        <v>0</v>
      </c>
      <c r="N107" s="250">
        <f t="shared" si="42"/>
        <v>0</v>
      </c>
      <c r="O107" s="250">
        <f t="shared" si="42"/>
        <v>0</v>
      </c>
      <c r="P107" s="250">
        <f t="shared" si="42"/>
        <v>0</v>
      </c>
      <c r="Q107" s="250">
        <f t="shared" si="42"/>
        <v>0</v>
      </c>
      <c r="R107" s="250">
        <f t="shared" si="42"/>
        <v>0</v>
      </c>
      <c r="S107" s="282">
        <f t="shared" si="42"/>
        <v>0</v>
      </c>
    </row>
    <row r="108" spans="1:19" ht="12.75" hidden="1" customHeight="1" outlineLevel="1" x14ac:dyDescent="0.2">
      <c r="A108" s="198" t="str">
        <f>"         "&amp;Labels!B398</f>
        <v xml:space="preserve">         Supply Type 2</v>
      </c>
      <c r="B108" s="250">
        <f t="shared" ref="B108:S108" si="43">SUM(B82,B95)</f>
        <v>0</v>
      </c>
      <c r="C108" s="250">
        <f t="shared" si="43"/>
        <v>0</v>
      </c>
      <c r="D108" s="250">
        <f t="shared" si="43"/>
        <v>1375</v>
      </c>
      <c r="E108" s="250">
        <f t="shared" si="43"/>
        <v>1375</v>
      </c>
      <c r="F108" s="250">
        <f t="shared" si="43"/>
        <v>0</v>
      </c>
      <c r="G108" s="250">
        <f t="shared" si="43"/>
        <v>1000</v>
      </c>
      <c r="H108" s="250">
        <f t="shared" si="43"/>
        <v>1000</v>
      </c>
      <c r="I108" s="250">
        <f t="shared" si="43"/>
        <v>1000</v>
      </c>
      <c r="J108" s="250">
        <f t="shared" si="43"/>
        <v>0</v>
      </c>
      <c r="K108" s="250">
        <f t="shared" si="43"/>
        <v>0</v>
      </c>
      <c r="L108" s="250">
        <f t="shared" si="43"/>
        <v>0</v>
      </c>
      <c r="M108" s="250">
        <f t="shared" si="43"/>
        <v>0</v>
      </c>
      <c r="N108" s="250">
        <f t="shared" si="43"/>
        <v>0</v>
      </c>
      <c r="O108" s="250">
        <f t="shared" si="43"/>
        <v>0</v>
      </c>
      <c r="P108" s="250">
        <f t="shared" si="43"/>
        <v>0</v>
      </c>
      <c r="Q108" s="250">
        <f t="shared" si="43"/>
        <v>0</v>
      </c>
      <c r="R108" s="250">
        <f t="shared" si="43"/>
        <v>0</v>
      </c>
      <c r="S108" s="282">
        <f t="shared" si="43"/>
        <v>0</v>
      </c>
    </row>
    <row r="109" spans="1:19" ht="12.75" hidden="1" customHeight="1" outlineLevel="1" x14ac:dyDescent="0.2">
      <c r="A109" s="198" t="str">
        <f>"         "&amp;Labels!C396</f>
        <v xml:space="preserve">         Total</v>
      </c>
      <c r="B109" s="250">
        <f t="shared" ref="B109:S109" si="44">SUM(B83,B96)</f>
        <v>0</v>
      </c>
      <c r="C109" s="250">
        <f t="shared" si="44"/>
        <v>0</v>
      </c>
      <c r="D109" s="250">
        <f t="shared" si="44"/>
        <v>2750</v>
      </c>
      <c r="E109" s="250">
        <f t="shared" si="44"/>
        <v>2750</v>
      </c>
      <c r="F109" s="250">
        <f t="shared" si="44"/>
        <v>0</v>
      </c>
      <c r="G109" s="250">
        <f t="shared" si="44"/>
        <v>2000</v>
      </c>
      <c r="H109" s="250">
        <f t="shared" si="44"/>
        <v>2000</v>
      </c>
      <c r="I109" s="250">
        <f t="shared" si="44"/>
        <v>2000</v>
      </c>
      <c r="J109" s="250">
        <f t="shared" si="44"/>
        <v>0</v>
      </c>
      <c r="K109" s="250">
        <f t="shared" si="44"/>
        <v>0</v>
      </c>
      <c r="L109" s="250">
        <f t="shared" si="44"/>
        <v>0</v>
      </c>
      <c r="M109" s="250">
        <f t="shared" si="44"/>
        <v>0</v>
      </c>
      <c r="N109" s="250">
        <f t="shared" si="44"/>
        <v>0</v>
      </c>
      <c r="O109" s="250">
        <f t="shared" si="44"/>
        <v>0</v>
      </c>
      <c r="P109" s="250">
        <f t="shared" si="44"/>
        <v>0</v>
      </c>
      <c r="Q109" s="250">
        <f t="shared" si="44"/>
        <v>0</v>
      </c>
      <c r="R109" s="250">
        <f t="shared" si="44"/>
        <v>0</v>
      </c>
      <c r="S109" s="282">
        <f t="shared" si="44"/>
        <v>0</v>
      </c>
    </row>
    <row r="110" spans="1:19" ht="12.75" hidden="1" customHeight="1" outlineLevel="1" x14ac:dyDescent="0.2">
      <c r="A110" s="188" t="str">
        <f>"      "&amp;Labels!C384</f>
        <v xml:space="preserve">      Total</v>
      </c>
      <c r="B110" s="248">
        <f t="shared" ref="B110:S110" si="45">SUM(B84,B97)</f>
        <v>0</v>
      </c>
      <c r="C110" s="248">
        <f t="shared" si="45"/>
        <v>0</v>
      </c>
      <c r="D110" s="248">
        <f t="shared" si="45"/>
        <v>5500</v>
      </c>
      <c r="E110" s="248">
        <f t="shared" si="45"/>
        <v>5500</v>
      </c>
      <c r="F110" s="248">
        <f t="shared" si="45"/>
        <v>0</v>
      </c>
      <c r="G110" s="248">
        <f t="shared" si="45"/>
        <v>4000</v>
      </c>
      <c r="H110" s="248">
        <f t="shared" si="45"/>
        <v>4000</v>
      </c>
      <c r="I110" s="248">
        <f t="shared" si="45"/>
        <v>4000</v>
      </c>
      <c r="J110" s="248">
        <f t="shared" si="45"/>
        <v>0</v>
      </c>
      <c r="K110" s="248">
        <f t="shared" si="45"/>
        <v>0</v>
      </c>
      <c r="L110" s="248">
        <f t="shared" si="45"/>
        <v>0</v>
      </c>
      <c r="M110" s="248">
        <f t="shared" si="45"/>
        <v>0</v>
      </c>
      <c r="N110" s="248">
        <f t="shared" si="45"/>
        <v>0</v>
      </c>
      <c r="O110" s="248">
        <f t="shared" si="45"/>
        <v>0</v>
      </c>
      <c r="P110" s="248">
        <f t="shared" si="45"/>
        <v>0</v>
      </c>
      <c r="Q110" s="248">
        <f t="shared" si="45"/>
        <v>0</v>
      </c>
      <c r="R110" s="248">
        <f t="shared" si="45"/>
        <v>0</v>
      </c>
      <c r="S110" s="271">
        <f t="shared" si="45"/>
        <v>0</v>
      </c>
    </row>
    <row r="111" spans="1:19" ht="12.75" hidden="1" customHeight="1" outlineLevel="1" x14ac:dyDescent="0.2">
      <c r="A111" s="198" t="str">
        <f>"         "&amp;Labels!B397</f>
        <v xml:space="preserve">         Supply Type 1</v>
      </c>
      <c r="B111" s="250">
        <f t="shared" ref="B111:S111" si="46">SUM(B85,B98)</f>
        <v>0</v>
      </c>
      <c r="C111" s="250">
        <f t="shared" si="46"/>
        <v>0</v>
      </c>
      <c r="D111" s="250">
        <f t="shared" si="46"/>
        <v>2750</v>
      </c>
      <c r="E111" s="250">
        <f t="shared" si="46"/>
        <v>2750</v>
      </c>
      <c r="F111" s="250">
        <f t="shared" si="46"/>
        <v>0</v>
      </c>
      <c r="G111" s="250">
        <f t="shared" si="46"/>
        <v>2000</v>
      </c>
      <c r="H111" s="250">
        <f t="shared" si="46"/>
        <v>2000</v>
      </c>
      <c r="I111" s="250">
        <f t="shared" si="46"/>
        <v>2000</v>
      </c>
      <c r="J111" s="250">
        <f t="shared" si="46"/>
        <v>0</v>
      </c>
      <c r="K111" s="250">
        <f t="shared" si="46"/>
        <v>0</v>
      </c>
      <c r="L111" s="250">
        <f t="shared" si="46"/>
        <v>0</v>
      </c>
      <c r="M111" s="250">
        <f t="shared" si="46"/>
        <v>0</v>
      </c>
      <c r="N111" s="250">
        <f t="shared" si="46"/>
        <v>0</v>
      </c>
      <c r="O111" s="250">
        <f t="shared" si="46"/>
        <v>0</v>
      </c>
      <c r="P111" s="250">
        <f t="shared" si="46"/>
        <v>0</v>
      </c>
      <c r="Q111" s="250">
        <f t="shared" si="46"/>
        <v>0</v>
      </c>
      <c r="R111" s="250">
        <f t="shared" si="46"/>
        <v>0</v>
      </c>
      <c r="S111" s="282">
        <f t="shared" si="46"/>
        <v>0</v>
      </c>
    </row>
    <row r="112" spans="1:19" ht="12.75" hidden="1" customHeight="1" outlineLevel="1" x14ac:dyDescent="0.2">
      <c r="A112" s="198" t="str">
        <f>"         "&amp;Labels!B398</f>
        <v xml:space="preserve">         Supply Type 2</v>
      </c>
      <c r="B112" s="250">
        <f t="shared" ref="B112:S112" si="47">SUM(B86,B99)</f>
        <v>0</v>
      </c>
      <c r="C112" s="250">
        <f t="shared" si="47"/>
        <v>0</v>
      </c>
      <c r="D112" s="250">
        <f t="shared" si="47"/>
        <v>2750</v>
      </c>
      <c r="E112" s="250">
        <f t="shared" si="47"/>
        <v>2750</v>
      </c>
      <c r="F112" s="250">
        <f t="shared" si="47"/>
        <v>0</v>
      </c>
      <c r="G112" s="250">
        <f t="shared" si="47"/>
        <v>2000</v>
      </c>
      <c r="H112" s="250">
        <f t="shared" si="47"/>
        <v>2000</v>
      </c>
      <c r="I112" s="250">
        <f t="shared" si="47"/>
        <v>2000</v>
      </c>
      <c r="J112" s="250">
        <f t="shared" si="47"/>
        <v>0</v>
      </c>
      <c r="K112" s="250">
        <f t="shared" si="47"/>
        <v>0</v>
      </c>
      <c r="L112" s="250">
        <f t="shared" si="47"/>
        <v>0</v>
      </c>
      <c r="M112" s="250">
        <f t="shared" si="47"/>
        <v>0</v>
      </c>
      <c r="N112" s="250">
        <f t="shared" si="47"/>
        <v>0</v>
      </c>
      <c r="O112" s="250">
        <f t="shared" si="47"/>
        <v>0</v>
      </c>
      <c r="P112" s="250">
        <f t="shared" si="47"/>
        <v>0</v>
      </c>
      <c r="Q112" s="250">
        <f t="shared" si="47"/>
        <v>0</v>
      </c>
      <c r="R112" s="250">
        <f t="shared" si="47"/>
        <v>0</v>
      </c>
      <c r="S112" s="282">
        <f t="shared" si="47"/>
        <v>0</v>
      </c>
    </row>
    <row r="113" spans="1:19" ht="12.75" hidden="1" customHeight="1" outlineLevel="1" x14ac:dyDescent="0.2">
      <c r="A113" s="198" t="str">
        <f>"         "&amp;Labels!C396</f>
        <v xml:space="preserve">         Total</v>
      </c>
      <c r="B113" s="250">
        <f t="shared" ref="B113:S113" si="48">SUM(B84,B97)</f>
        <v>0</v>
      </c>
      <c r="C113" s="250">
        <f t="shared" si="48"/>
        <v>0</v>
      </c>
      <c r="D113" s="250">
        <f t="shared" si="48"/>
        <v>5500</v>
      </c>
      <c r="E113" s="250">
        <f t="shared" si="48"/>
        <v>5500</v>
      </c>
      <c r="F113" s="250">
        <f t="shared" si="48"/>
        <v>0</v>
      </c>
      <c r="G113" s="250">
        <f t="shared" si="48"/>
        <v>4000</v>
      </c>
      <c r="H113" s="250">
        <f t="shared" si="48"/>
        <v>4000</v>
      </c>
      <c r="I113" s="250">
        <f t="shared" si="48"/>
        <v>4000</v>
      </c>
      <c r="J113" s="250">
        <f t="shared" si="48"/>
        <v>0</v>
      </c>
      <c r="K113" s="250">
        <f t="shared" si="48"/>
        <v>0</v>
      </c>
      <c r="L113" s="250">
        <f t="shared" si="48"/>
        <v>0</v>
      </c>
      <c r="M113" s="250">
        <f t="shared" si="48"/>
        <v>0</v>
      </c>
      <c r="N113" s="250">
        <f t="shared" si="48"/>
        <v>0</v>
      </c>
      <c r="O113" s="250">
        <f t="shared" si="48"/>
        <v>0</v>
      </c>
      <c r="P113" s="250">
        <f t="shared" si="48"/>
        <v>0</v>
      </c>
      <c r="Q113" s="250">
        <f t="shared" si="48"/>
        <v>0</v>
      </c>
      <c r="R113" s="250">
        <f t="shared" si="48"/>
        <v>0</v>
      </c>
      <c r="S113" s="282">
        <f t="shared" si="48"/>
        <v>0</v>
      </c>
    </row>
    <row r="114" spans="1:19" ht="12.75" hidden="1" customHeight="1" outlineLevel="1" x14ac:dyDescent="0.2">
      <c r="A114" s="97"/>
      <c r="B114" s="6"/>
      <c r="C114" s="6"/>
      <c r="D114" s="6"/>
      <c r="E114" s="6"/>
      <c r="F114" s="6"/>
      <c r="G114" s="6"/>
      <c r="H114" s="6"/>
      <c r="I114" s="6"/>
      <c r="J114" s="6"/>
      <c r="K114" s="6"/>
      <c r="L114" s="6"/>
      <c r="M114" s="6"/>
      <c r="N114" s="6"/>
      <c r="O114" s="6"/>
      <c r="P114" s="6"/>
      <c r="Q114" s="6"/>
      <c r="R114" s="6"/>
      <c r="S114" s="7"/>
    </row>
    <row r="115" spans="1:19" ht="12.75" hidden="1" customHeight="1" outlineLevel="1" x14ac:dyDescent="0.2">
      <c r="A115" s="191" t="str">
        <f>Labels!B70</f>
        <v>Cost - Supplies</v>
      </c>
      <c r="B115" s="247"/>
      <c r="C115" s="247"/>
      <c r="D115" s="247"/>
      <c r="E115" s="247"/>
      <c r="F115" s="247"/>
      <c r="G115" s="247"/>
      <c r="H115" s="247"/>
      <c r="I115" s="247"/>
      <c r="J115" s="247"/>
      <c r="K115" s="247"/>
      <c r="L115" s="247"/>
      <c r="M115" s="247"/>
      <c r="N115" s="247"/>
      <c r="O115" s="247"/>
      <c r="P115" s="247"/>
      <c r="Q115" s="247"/>
      <c r="R115" s="247"/>
      <c r="S115" s="272"/>
    </row>
    <row r="116" spans="1:19" ht="12.75" hidden="1" customHeight="1" outlineLevel="1" x14ac:dyDescent="0.2">
      <c r="A116" s="188" t="str">
        <f>"   "&amp;Labels!B345</f>
        <v xml:space="preserve">   Engage 1</v>
      </c>
      <c r="B116" s="248"/>
      <c r="C116" s="248"/>
      <c r="D116" s="248"/>
      <c r="E116" s="248"/>
      <c r="F116" s="248"/>
      <c r="G116" s="248"/>
      <c r="H116" s="248"/>
      <c r="I116" s="248"/>
      <c r="J116" s="248"/>
      <c r="K116" s="248"/>
      <c r="L116" s="248"/>
      <c r="M116" s="248"/>
      <c r="N116" s="248"/>
      <c r="O116" s="248"/>
      <c r="P116" s="248"/>
      <c r="Q116" s="248"/>
      <c r="R116" s="248"/>
      <c r="S116" s="271"/>
    </row>
    <row r="117" spans="1:19" ht="12.75" hidden="1" customHeight="1" outlineLevel="1" x14ac:dyDescent="0.2">
      <c r="A117" s="198" t="str">
        <f>"      "&amp;Labels!B385</f>
        <v xml:space="preserve">      Prof Level 1</v>
      </c>
      <c r="B117" s="250"/>
      <c r="C117" s="250"/>
      <c r="D117" s="250"/>
      <c r="E117" s="250"/>
      <c r="F117" s="250"/>
      <c r="G117" s="250"/>
      <c r="H117" s="250"/>
      <c r="I117" s="250"/>
      <c r="J117" s="250"/>
      <c r="K117" s="250"/>
      <c r="L117" s="250"/>
      <c r="M117" s="250"/>
      <c r="N117" s="250"/>
      <c r="O117" s="250"/>
      <c r="P117" s="250"/>
      <c r="Q117" s="250"/>
      <c r="R117" s="250"/>
      <c r="S117" s="282"/>
    </row>
    <row r="118" spans="1:19" ht="12.75" hidden="1" customHeight="1" outlineLevel="1" x14ac:dyDescent="0.2">
      <c r="A118" s="198" t="str">
        <f>"         "&amp;Labels!B397</f>
        <v xml:space="preserve">         Supply Type 1</v>
      </c>
      <c r="B118" s="250">
        <f>'(Compute)'!B777</f>
        <v>0</v>
      </c>
      <c r="C118" s="250">
        <f>'(Compute)'!C777</f>
        <v>0</v>
      </c>
      <c r="D118" s="250">
        <f>'(Compute)'!D777</f>
        <v>0</v>
      </c>
      <c r="E118" s="250">
        <f>'(Compute)'!E777</f>
        <v>0</v>
      </c>
      <c r="F118" s="250">
        <f>'(Compute)'!F777</f>
        <v>0</v>
      </c>
      <c r="G118" s="250">
        <f>'(Compute)'!G777</f>
        <v>0</v>
      </c>
      <c r="H118" s="250">
        <f>'(Compute)'!H777</f>
        <v>0</v>
      </c>
      <c r="I118" s="250">
        <f>'(Compute)'!I777</f>
        <v>0</v>
      </c>
      <c r="J118" s="250">
        <f>'(Compute)'!J777</f>
        <v>0</v>
      </c>
      <c r="K118" s="250">
        <f>'(Compute)'!K777</f>
        <v>0</v>
      </c>
      <c r="L118" s="250">
        <f>'(Compute)'!L777</f>
        <v>0</v>
      </c>
      <c r="M118" s="250">
        <f>'(Compute)'!M777</f>
        <v>0</v>
      </c>
      <c r="N118" s="250">
        <f>'(Compute)'!N777</f>
        <v>0</v>
      </c>
      <c r="O118" s="250">
        <f>'(Compute)'!O777</f>
        <v>0</v>
      </c>
      <c r="P118" s="250">
        <f>'(Compute)'!P777</f>
        <v>0</v>
      </c>
      <c r="Q118" s="250">
        <f>'(Compute)'!Q777</f>
        <v>0</v>
      </c>
      <c r="R118" s="250">
        <f>'(Compute)'!R777</f>
        <v>0</v>
      </c>
      <c r="S118" s="282">
        <f>'(Compute)'!S777</f>
        <v>0</v>
      </c>
    </row>
    <row r="119" spans="1:19" ht="12.75" hidden="1" customHeight="1" outlineLevel="1" x14ac:dyDescent="0.2">
      <c r="A119" s="198" t="str">
        <f>"         "&amp;Labels!B398</f>
        <v xml:space="preserve">         Supply Type 2</v>
      </c>
      <c r="B119" s="250">
        <f>'(Compute)'!B781</f>
        <v>0</v>
      </c>
      <c r="C119" s="250">
        <f>'(Compute)'!C781</f>
        <v>0</v>
      </c>
      <c r="D119" s="250">
        <f>'(Compute)'!D781</f>
        <v>0</v>
      </c>
      <c r="E119" s="250">
        <f>'(Compute)'!E781</f>
        <v>0</v>
      </c>
      <c r="F119" s="250">
        <f>'(Compute)'!F781</f>
        <v>0</v>
      </c>
      <c r="G119" s="250">
        <f>'(Compute)'!G781</f>
        <v>0</v>
      </c>
      <c r="H119" s="250">
        <f>'(Compute)'!H781</f>
        <v>0</v>
      </c>
      <c r="I119" s="250">
        <f>'(Compute)'!I781</f>
        <v>0</v>
      </c>
      <c r="J119" s="250">
        <f>'(Compute)'!J781</f>
        <v>0</v>
      </c>
      <c r="K119" s="250">
        <f>'(Compute)'!K781</f>
        <v>0</v>
      </c>
      <c r="L119" s="250">
        <f>'(Compute)'!L781</f>
        <v>0</v>
      </c>
      <c r="M119" s="250">
        <f>'(Compute)'!M781</f>
        <v>0</v>
      </c>
      <c r="N119" s="250">
        <f>'(Compute)'!N781</f>
        <v>0</v>
      </c>
      <c r="O119" s="250">
        <f>'(Compute)'!O781</f>
        <v>0</v>
      </c>
      <c r="P119" s="250">
        <f>'(Compute)'!P781</f>
        <v>0</v>
      </c>
      <c r="Q119" s="250">
        <f>'(Compute)'!Q781</f>
        <v>0</v>
      </c>
      <c r="R119" s="250">
        <f>'(Compute)'!R781</f>
        <v>0</v>
      </c>
      <c r="S119" s="282">
        <f>'(Compute)'!S781</f>
        <v>0</v>
      </c>
    </row>
    <row r="120" spans="1:19" ht="12.75" hidden="1" customHeight="1" outlineLevel="1" x14ac:dyDescent="0.2">
      <c r="A120" s="198" t="str">
        <f>"         "&amp;Labels!C396</f>
        <v xml:space="preserve">         Total</v>
      </c>
      <c r="B120" s="250">
        <f t="shared" ref="B120:S120" si="49">SUM(B118:B119)</f>
        <v>0</v>
      </c>
      <c r="C120" s="250">
        <f t="shared" si="49"/>
        <v>0</v>
      </c>
      <c r="D120" s="250">
        <f t="shared" si="49"/>
        <v>0</v>
      </c>
      <c r="E120" s="250">
        <f t="shared" si="49"/>
        <v>0</v>
      </c>
      <c r="F120" s="250">
        <f t="shared" si="49"/>
        <v>0</v>
      </c>
      <c r="G120" s="250">
        <f t="shared" si="49"/>
        <v>0</v>
      </c>
      <c r="H120" s="250">
        <f t="shared" si="49"/>
        <v>0</v>
      </c>
      <c r="I120" s="250">
        <f t="shared" si="49"/>
        <v>0</v>
      </c>
      <c r="J120" s="250">
        <f t="shared" si="49"/>
        <v>0</v>
      </c>
      <c r="K120" s="250">
        <f t="shared" si="49"/>
        <v>0</v>
      </c>
      <c r="L120" s="250">
        <f t="shared" si="49"/>
        <v>0</v>
      </c>
      <c r="M120" s="250">
        <f t="shared" si="49"/>
        <v>0</v>
      </c>
      <c r="N120" s="250">
        <f t="shared" si="49"/>
        <v>0</v>
      </c>
      <c r="O120" s="250">
        <f t="shared" si="49"/>
        <v>0</v>
      </c>
      <c r="P120" s="250">
        <f t="shared" si="49"/>
        <v>0</v>
      </c>
      <c r="Q120" s="250">
        <f t="shared" si="49"/>
        <v>0</v>
      </c>
      <c r="R120" s="250">
        <f t="shared" si="49"/>
        <v>0</v>
      </c>
      <c r="S120" s="282">
        <f t="shared" si="49"/>
        <v>0</v>
      </c>
    </row>
    <row r="121" spans="1:19" ht="12.75" hidden="1" customHeight="1" outlineLevel="1" x14ac:dyDescent="0.2">
      <c r="A121" s="198" t="str">
        <f>"      "&amp;Labels!B386</f>
        <v xml:space="preserve">      Prof Level 2</v>
      </c>
      <c r="B121" s="250"/>
      <c r="C121" s="250"/>
      <c r="D121" s="250"/>
      <c r="E121" s="250"/>
      <c r="F121" s="250"/>
      <c r="G121" s="250"/>
      <c r="H121" s="250"/>
      <c r="I121" s="250"/>
      <c r="J121" s="250"/>
      <c r="K121" s="250"/>
      <c r="L121" s="250"/>
      <c r="M121" s="250"/>
      <c r="N121" s="250"/>
      <c r="O121" s="250"/>
      <c r="P121" s="250"/>
      <c r="Q121" s="250"/>
      <c r="R121" s="250"/>
      <c r="S121" s="282"/>
    </row>
    <row r="122" spans="1:19" ht="12.75" hidden="1" customHeight="1" outlineLevel="1" x14ac:dyDescent="0.2">
      <c r="A122" s="198" t="str">
        <f>"         "&amp;Labels!B397</f>
        <v xml:space="preserve">         Supply Type 1</v>
      </c>
      <c r="B122" s="250">
        <f>'(Compute)'!B790</f>
        <v>0</v>
      </c>
      <c r="C122" s="250">
        <f>'(Compute)'!C790</f>
        <v>0</v>
      </c>
      <c r="D122" s="250">
        <f>'(Compute)'!D790</f>
        <v>0</v>
      </c>
      <c r="E122" s="250">
        <f>'(Compute)'!E790</f>
        <v>0</v>
      </c>
      <c r="F122" s="250">
        <f>'(Compute)'!F790</f>
        <v>0</v>
      </c>
      <c r="G122" s="250">
        <f>'(Compute)'!G790</f>
        <v>0</v>
      </c>
      <c r="H122" s="250">
        <f>'(Compute)'!H790</f>
        <v>0</v>
      </c>
      <c r="I122" s="250">
        <f>'(Compute)'!I790</f>
        <v>0</v>
      </c>
      <c r="J122" s="250">
        <f>'(Compute)'!J790</f>
        <v>0</v>
      </c>
      <c r="K122" s="250">
        <f>'(Compute)'!K790</f>
        <v>0</v>
      </c>
      <c r="L122" s="250">
        <f>'(Compute)'!L790</f>
        <v>0</v>
      </c>
      <c r="M122" s="250">
        <f>'(Compute)'!M790</f>
        <v>0</v>
      </c>
      <c r="N122" s="250">
        <f>'(Compute)'!N790</f>
        <v>0</v>
      </c>
      <c r="O122" s="250">
        <f>'(Compute)'!O790</f>
        <v>0</v>
      </c>
      <c r="P122" s="250">
        <f>'(Compute)'!P790</f>
        <v>0</v>
      </c>
      <c r="Q122" s="250">
        <f>'(Compute)'!Q790</f>
        <v>0</v>
      </c>
      <c r="R122" s="250">
        <f>'(Compute)'!R790</f>
        <v>0</v>
      </c>
      <c r="S122" s="282">
        <f>'(Compute)'!S790</f>
        <v>0</v>
      </c>
    </row>
    <row r="123" spans="1:19" ht="12.75" hidden="1" customHeight="1" outlineLevel="1" x14ac:dyDescent="0.2">
      <c r="A123" s="198" t="str">
        <f>"         "&amp;Labels!B398</f>
        <v xml:space="preserve">         Supply Type 2</v>
      </c>
      <c r="B123" s="250">
        <f>'(Compute)'!B794</f>
        <v>0</v>
      </c>
      <c r="C123" s="250">
        <f>'(Compute)'!C794</f>
        <v>0</v>
      </c>
      <c r="D123" s="250">
        <f>'(Compute)'!D794</f>
        <v>0</v>
      </c>
      <c r="E123" s="250">
        <f>'(Compute)'!E794</f>
        <v>0</v>
      </c>
      <c r="F123" s="250">
        <f>'(Compute)'!F794</f>
        <v>0</v>
      </c>
      <c r="G123" s="250">
        <f>'(Compute)'!G794</f>
        <v>0</v>
      </c>
      <c r="H123" s="250">
        <f>'(Compute)'!H794</f>
        <v>0</v>
      </c>
      <c r="I123" s="250">
        <f>'(Compute)'!I794</f>
        <v>0</v>
      </c>
      <c r="J123" s="250">
        <f>'(Compute)'!J794</f>
        <v>0</v>
      </c>
      <c r="K123" s="250">
        <f>'(Compute)'!K794</f>
        <v>0</v>
      </c>
      <c r="L123" s="250">
        <f>'(Compute)'!L794</f>
        <v>0</v>
      </c>
      <c r="M123" s="250">
        <f>'(Compute)'!M794</f>
        <v>0</v>
      </c>
      <c r="N123" s="250">
        <f>'(Compute)'!N794</f>
        <v>0</v>
      </c>
      <c r="O123" s="250">
        <f>'(Compute)'!O794</f>
        <v>0</v>
      </c>
      <c r="P123" s="250">
        <f>'(Compute)'!P794</f>
        <v>0</v>
      </c>
      <c r="Q123" s="250">
        <f>'(Compute)'!Q794</f>
        <v>0</v>
      </c>
      <c r="R123" s="250">
        <f>'(Compute)'!R794</f>
        <v>0</v>
      </c>
      <c r="S123" s="282">
        <f>'(Compute)'!S794</f>
        <v>0</v>
      </c>
    </row>
    <row r="124" spans="1:19" ht="12.75" hidden="1" customHeight="1" outlineLevel="1" x14ac:dyDescent="0.2">
      <c r="A124" s="198" t="str">
        <f>"         "&amp;Labels!C396</f>
        <v xml:space="preserve">         Total</v>
      </c>
      <c r="B124" s="250">
        <f t="shared" ref="B124:S124" si="50">SUM(B122:B123)</f>
        <v>0</v>
      </c>
      <c r="C124" s="250">
        <f t="shared" si="50"/>
        <v>0</v>
      </c>
      <c r="D124" s="250">
        <f t="shared" si="50"/>
        <v>0</v>
      </c>
      <c r="E124" s="250">
        <f t="shared" si="50"/>
        <v>0</v>
      </c>
      <c r="F124" s="250">
        <f t="shared" si="50"/>
        <v>0</v>
      </c>
      <c r="G124" s="250">
        <f t="shared" si="50"/>
        <v>0</v>
      </c>
      <c r="H124" s="250">
        <f t="shared" si="50"/>
        <v>0</v>
      </c>
      <c r="I124" s="250">
        <f t="shared" si="50"/>
        <v>0</v>
      </c>
      <c r="J124" s="250">
        <f t="shared" si="50"/>
        <v>0</v>
      </c>
      <c r="K124" s="250">
        <f t="shared" si="50"/>
        <v>0</v>
      </c>
      <c r="L124" s="250">
        <f t="shared" si="50"/>
        <v>0</v>
      </c>
      <c r="M124" s="250">
        <f t="shared" si="50"/>
        <v>0</v>
      </c>
      <c r="N124" s="250">
        <f t="shared" si="50"/>
        <v>0</v>
      </c>
      <c r="O124" s="250">
        <f t="shared" si="50"/>
        <v>0</v>
      </c>
      <c r="P124" s="250">
        <f t="shared" si="50"/>
        <v>0</v>
      </c>
      <c r="Q124" s="250">
        <f t="shared" si="50"/>
        <v>0</v>
      </c>
      <c r="R124" s="250">
        <f t="shared" si="50"/>
        <v>0</v>
      </c>
      <c r="S124" s="282">
        <f t="shared" si="50"/>
        <v>0</v>
      </c>
    </row>
    <row r="125" spans="1:19" ht="12.75" hidden="1" customHeight="1" outlineLevel="1" x14ac:dyDescent="0.2">
      <c r="A125" s="188" t="str">
        <f>"      "&amp;Labels!C384</f>
        <v xml:space="preserve">      Total</v>
      </c>
      <c r="B125" s="248">
        <f t="shared" ref="B125:S125" si="51">SUM(B120,B124)</f>
        <v>0</v>
      </c>
      <c r="C125" s="248">
        <f t="shared" si="51"/>
        <v>0</v>
      </c>
      <c r="D125" s="248">
        <f t="shared" si="51"/>
        <v>0</v>
      </c>
      <c r="E125" s="248">
        <f t="shared" si="51"/>
        <v>0</v>
      </c>
      <c r="F125" s="248">
        <f t="shared" si="51"/>
        <v>0</v>
      </c>
      <c r="G125" s="248">
        <f t="shared" si="51"/>
        <v>0</v>
      </c>
      <c r="H125" s="248">
        <f t="shared" si="51"/>
        <v>0</v>
      </c>
      <c r="I125" s="248">
        <f t="shared" si="51"/>
        <v>0</v>
      </c>
      <c r="J125" s="248">
        <f t="shared" si="51"/>
        <v>0</v>
      </c>
      <c r="K125" s="248">
        <f t="shared" si="51"/>
        <v>0</v>
      </c>
      <c r="L125" s="248">
        <f t="shared" si="51"/>
        <v>0</v>
      </c>
      <c r="M125" s="248">
        <f t="shared" si="51"/>
        <v>0</v>
      </c>
      <c r="N125" s="248">
        <f t="shared" si="51"/>
        <v>0</v>
      </c>
      <c r="O125" s="248">
        <f t="shared" si="51"/>
        <v>0</v>
      </c>
      <c r="P125" s="248">
        <f t="shared" si="51"/>
        <v>0</v>
      </c>
      <c r="Q125" s="248">
        <f t="shared" si="51"/>
        <v>0</v>
      </c>
      <c r="R125" s="248">
        <f t="shared" si="51"/>
        <v>0</v>
      </c>
      <c r="S125" s="271">
        <f t="shared" si="51"/>
        <v>0</v>
      </c>
    </row>
    <row r="126" spans="1:19" ht="12.75" hidden="1" customHeight="1" outlineLevel="1" x14ac:dyDescent="0.2">
      <c r="A126" s="198" t="str">
        <f>"         "&amp;Labels!B397</f>
        <v xml:space="preserve">         Supply Type 1</v>
      </c>
      <c r="B126" s="250">
        <f t="shared" ref="B126:S126" si="52">SUM(B118,B122)</f>
        <v>0</v>
      </c>
      <c r="C126" s="250">
        <f t="shared" si="52"/>
        <v>0</v>
      </c>
      <c r="D126" s="250">
        <f t="shared" si="52"/>
        <v>0</v>
      </c>
      <c r="E126" s="250">
        <f t="shared" si="52"/>
        <v>0</v>
      </c>
      <c r="F126" s="250">
        <f t="shared" si="52"/>
        <v>0</v>
      </c>
      <c r="G126" s="250">
        <f t="shared" si="52"/>
        <v>0</v>
      </c>
      <c r="H126" s="250">
        <f t="shared" si="52"/>
        <v>0</v>
      </c>
      <c r="I126" s="250">
        <f t="shared" si="52"/>
        <v>0</v>
      </c>
      <c r="J126" s="250">
        <f t="shared" si="52"/>
        <v>0</v>
      </c>
      <c r="K126" s="250">
        <f t="shared" si="52"/>
        <v>0</v>
      </c>
      <c r="L126" s="250">
        <f t="shared" si="52"/>
        <v>0</v>
      </c>
      <c r="M126" s="250">
        <f t="shared" si="52"/>
        <v>0</v>
      </c>
      <c r="N126" s="250">
        <f t="shared" si="52"/>
        <v>0</v>
      </c>
      <c r="O126" s="250">
        <f t="shared" si="52"/>
        <v>0</v>
      </c>
      <c r="P126" s="250">
        <f t="shared" si="52"/>
        <v>0</v>
      </c>
      <c r="Q126" s="250">
        <f t="shared" si="52"/>
        <v>0</v>
      </c>
      <c r="R126" s="250">
        <f t="shared" si="52"/>
        <v>0</v>
      </c>
      <c r="S126" s="282">
        <f t="shared" si="52"/>
        <v>0</v>
      </c>
    </row>
    <row r="127" spans="1:19" ht="12.75" hidden="1" customHeight="1" outlineLevel="1" x14ac:dyDescent="0.2">
      <c r="A127" s="198" t="str">
        <f>"         "&amp;Labels!B398</f>
        <v xml:space="preserve">         Supply Type 2</v>
      </c>
      <c r="B127" s="250">
        <f t="shared" ref="B127:S127" si="53">SUM(B119,B123)</f>
        <v>0</v>
      </c>
      <c r="C127" s="250">
        <f t="shared" si="53"/>
        <v>0</v>
      </c>
      <c r="D127" s="250">
        <f t="shared" si="53"/>
        <v>0</v>
      </c>
      <c r="E127" s="250">
        <f t="shared" si="53"/>
        <v>0</v>
      </c>
      <c r="F127" s="250">
        <f t="shared" si="53"/>
        <v>0</v>
      </c>
      <c r="G127" s="250">
        <f t="shared" si="53"/>
        <v>0</v>
      </c>
      <c r="H127" s="250">
        <f t="shared" si="53"/>
        <v>0</v>
      </c>
      <c r="I127" s="250">
        <f t="shared" si="53"/>
        <v>0</v>
      </c>
      <c r="J127" s="250">
        <f t="shared" si="53"/>
        <v>0</v>
      </c>
      <c r="K127" s="250">
        <f t="shared" si="53"/>
        <v>0</v>
      </c>
      <c r="L127" s="250">
        <f t="shared" si="53"/>
        <v>0</v>
      </c>
      <c r="M127" s="250">
        <f t="shared" si="53"/>
        <v>0</v>
      </c>
      <c r="N127" s="250">
        <f t="shared" si="53"/>
        <v>0</v>
      </c>
      <c r="O127" s="250">
        <f t="shared" si="53"/>
        <v>0</v>
      </c>
      <c r="P127" s="250">
        <f t="shared" si="53"/>
        <v>0</v>
      </c>
      <c r="Q127" s="250">
        <f t="shared" si="53"/>
        <v>0</v>
      </c>
      <c r="R127" s="250">
        <f t="shared" si="53"/>
        <v>0</v>
      </c>
      <c r="S127" s="282">
        <f t="shared" si="53"/>
        <v>0</v>
      </c>
    </row>
    <row r="128" spans="1:19" ht="12.75" hidden="1" customHeight="1" outlineLevel="1" x14ac:dyDescent="0.2">
      <c r="A128" s="198" t="str">
        <f>"         "&amp;Labels!C396</f>
        <v xml:space="preserve">         Total</v>
      </c>
      <c r="B128" s="250">
        <f t="shared" ref="B128:S128" si="54">SUM(B120,B124)</f>
        <v>0</v>
      </c>
      <c r="C128" s="250">
        <f t="shared" si="54"/>
        <v>0</v>
      </c>
      <c r="D128" s="250">
        <f t="shared" si="54"/>
        <v>0</v>
      </c>
      <c r="E128" s="250">
        <f t="shared" si="54"/>
        <v>0</v>
      </c>
      <c r="F128" s="250">
        <f t="shared" si="54"/>
        <v>0</v>
      </c>
      <c r="G128" s="250">
        <f t="shared" si="54"/>
        <v>0</v>
      </c>
      <c r="H128" s="250">
        <f t="shared" si="54"/>
        <v>0</v>
      </c>
      <c r="I128" s="250">
        <f t="shared" si="54"/>
        <v>0</v>
      </c>
      <c r="J128" s="250">
        <f t="shared" si="54"/>
        <v>0</v>
      </c>
      <c r="K128" s="250">
        <f t="shared" si="54"/>
        <v>0</v>
      </c>
      <c r="L128" s="250">
        <f t="shared" si="54"/>
        <v>0</v>
      </c>
      <c r="M128" s="250">
        <f t="shared" si="54"/>
        <v>0</v>
      </c>
      <c r="N128" s="250">
        <f t="shared" si="54"/>
        <v>0</v>
      </c>
      <c r="O128" s="250">
        <f t="shared" si="54"/>
        <v>0</v>
      </c>
      <c r="P128" s="250">
        <f t="shared" si="54"/>
        <v>0</v>
      </c>
      <c r="Q128" s="250">
        <f t="shared" si="54"/>
        <v>0</v>
      </c>
      <c r="R128" s="250">
        <f t="shared" si="54"/>
        <v>0</v>
      </c>
      <c r="S128" s="282">
        <f t="shared" si="54"/>
        <v>0</v>
      </c>
    </row>
    <row r="129" spans="1:19" ht="12.75" hidden="1" customHeight="1" outlineLevel="1" x14ac:dyDescent="0.2">
      <c r="A129" s="188" t="str">
        <f>"   "&amp;Labels!B346</f>
        <v xml:space="preserve">   Engage 2</v>
      </c>
      <c r="B129" s="248"/>
      <c r="C129" s="248"/>
      <c r="D129" s="248"/>
      <c r="E129" s="248"/>
      <c r="F129" s="248"/>
      <c r="G129" s="248"/>
      <c r="H129" s="248"/>
      <c r="I129" s="248"/>
      <c r="J129" s="248"/>
      <c r="K129" s="248"/>
      <c r="L129" s="248"/>
      <c r="M129" s="248"/>
      <c r="N129" s="248"/>
      <c r="O129" s="248"/>
      <c r="P129" s="248"/>
      <c r="Q129" s="248"/>
      <c r="R129" s="248"/>
      <c r="S129" s="271"/>
    </row>
    <row r="130" spans="1:19" ht="12.75" hidden="1" customHeight="1" outlineLevel="1" x14ac:dyDescent="0.2">
      <c r="A130" s="198" t="str">
        <f>"      "&amp;Labels!B385</f>
        <v xml:space="preserve">      Prof Level 1</v>
      </c>
      <c r="B130" s="250"/>
      <c r="C130" s="250"/>
      <c r="D130" s="250"/>
      <c r="E130" s="250"/>
      <c r="F130" s="250"/>
      <c r="G130" s="250"/>
      <c r="H130" s="250"/>
      <c r="I130" s="250"/>
      <c r="J130" s="250"/>
      <c r="K130" s="250"/>
      <c r="L130" s="250"/>
      <c r="M130" s="250"/>
      <c r="N130" s="250"/>
      <c r="O130" s="250"/>
      <c r="P130" s="250"/>
      <c r="Q130" s="250"/>
      <c r="R130" s="250"/>
      <c r="S130" s="282"/>
    </row>
    <row r="131" spans="1:19" ht="12.75" hidden="1" customHeight="1" outlineLevel="1" x14ac:dyDescent="0.2">
      <c r="A131" s="198" t="str">
        <f>"         "&amp;Labels!B397</f>
        <v xml:space="preserve">         Supply Type 1</v>
      </c>
      <c r="B131" s="250">
        <f>'(Compute)'!B817</f>
        <v>0</v>
      </c>
      <c r="C131" s="250">
        <f>'(Compute)'!C817</f>
        <v>0</v>
      </c>
      <c r="D131" s="250">
        <f>'(Compute)'!D817</f>
        <v>0</v>
      </c>
      <c r="E131" s="250">
        <f>'(Compute)'!E817</f>
        <v>0</v>
      </c>
      <c r="F131" s="250">
        <f>'(Compute)'!F817</f>
        <v>0</v>
      </c>
      <c r="G131" s="250">
        <f>'(Compute)'!G817</f>
        <v>0</v>
      </c>
      <c r="H131" s="250">
        <f>'(Compute)'!H817</f>
        <v>0</v>
      </c>
      <c r="I131" s="250">
        <f>'(Compute)'!I817</f>
        <v>0</v>
      </c>
      <c r="J131" s="250">
        <f>'(Compute)'!J817</f>
        <v>0</v>
      </c>
      <c r="K131" s="250">
        <f>'(Compute)'!K817</f>
        <v>0</v>
      </c>
      <c r="L131" s="250">
        <f>'(Compute)'!L817</f>
        <v>0</v>
      </c>
      <c r="M131" s="250">
        <f>'(Compute)'!M817</f>
        <v>0</v>
      </c>
      <c r="N131" s="250">
        <f>'(Compute)'!N817</f>
        <v>0</v>
      </c>
      <c r="O131" s="250">
        <f>'(Compute)'!O817</f>
        <v>0</v>
      </c>
      <c r="P131" s="250">
        <f>'(Compute)'!P817</f>
        <v>0</v>
      </c>
      <c r="Q131" s="250">
        <f>'(Compute)'!Q817</f>
        <v>0</v>
      </c>
      <c r="R131" s="250">
        <f>'(Compute)'!R817</f>
        <v>0</v>
      </c>
      <c r="S131" s="282">
        <f>'(Compute)'!S817</f>
        <v>0</v>
      </c>
    </row>
    <row r="132" spans="1:19" ht="12.75" hidden="1" customHeight="1" outlineLevel="1" x14ac:dyDescent="0.2">
      <c r="A132" s="198" t="str">
        <f>"         "&amp;Labels!B398</f>
        <v xml:space="preserve">         Supply Type 2</v>
      </c>
      <c r="B132" s="250">
        <f>'(Compute)'!B821</f>
        <v>0</v>
      </c>
      <c r="C132" s="250">
        <f>'(Compute)'!C821</f>
        <v>0</v>
      </c>
      <c r="D132" s="250">
        <f>'(Compute)'!D821</f>
        <v>0</v>
      </c>
      <c r="E132" s="250">
        <f>'(Compute)'!E821</f>
        <v>0</v>
      </c>
      <c r="F132" s="250">
        <f>'(Compute)'!F821</f>
        <v>0</v>
      </c>
      <c r="G132" s="250">
        <f>'(Compute)'!G821</f>
        <v>0</v>
      </c>
      <c r="H132" s="250">
        <f>'(Compute)'!H821</f>
        <v>0</v>
      </c>
      <c r="I132" s="250">
        <f>'(Compute)'!I821</f>
        <v>0</v>
      </c>
      <c r="J132" s="250">
        <f>'(Compute)'!J821</f>
        <v>0</v>
      </c>
      <c r="K132" s="250">
        <f>'(Compute)'!K821</f>
        <v>0</v>
      </c>
      <c r="L132" s="250">
        <f>'(Compute)'!L821</f>
        <v>0</v>
      </c>
      <c r="M132" s="250">
        <f>'(Compute)'!M821</f>
        <v>0</v>
      </c>
      <c r="N132" s="250">
        <f>'(Compute)'!N821</f>
        <v>0</v>
      </c>
      <c r="O132" s="250">
        <f>'(Compute)'!O821</f>
        <v>0</v>
      </c>
      <c r="P132" s="250">
        <f>'(Compute)'!P821</f>
        <v>0</v>
      </c>
      <c r="Q132" s="250">
        <f>'(Compute)'!Q821</f>
        <v>0</v>
      </c>
      <c r="R132" s="250">
        <f>'(Compute)'!R821</f>
        <v>0</v>
      </c>
      <c r="S132" s="282">
        <f>'(Compute)'!S821</f>
        <v>0</v>
      </c>
    </row>
    <row r="133" spans="1:19" ht="12.75" hidden="1" customHeight="1" outlineLevel="1" x14ac:dyDescent="0.2">
      <c r="A133" s="198" t="str">
        <f>"         "&amp;Labels!C396</f>
        <v xml:space="preserve">         Total</v>
      </c>
      <c r="B133" s="250">
        <f t="shared" ref="B133:S133" si="55">SUM(B131:B132)</f>
        <v>0</v>
      </c>
      <c r="C133" s="250">
        <f t="shared" si="55"/>
        <v>0</v>
      </c>
      <c r="D133" s="250">
        <f t="shared" si="55"/>
        <v>0</v>
      </c>
      <c r="E133" s="250">
        <f t="shared" si="55"/>
        <v>0</v>
      </c>
      <c r="F133" s="250">
        <f t="shared" si="55"/>
        <v>0</v>
      </c>
      <c r="G133" s="250">
        <f t="shared" si="55"/>
        <v>0</v>
      </c>
      <c r="H133" s="250">
        <f t="shared" si="55"/>
        <v>0</v>
      </c>
      <c r="I133" s="250">
        <f t="shared" si="55"/>
        <v>0</v>
      </c>
      <c r="J133" s="250">
        <f t="shared" si="55"/>
        <v>0</v>
      </c>
      <c r="K133" s="250">
        <f t="shared" si="55"/>
        <v>0</v>
      </c>
      <c r="L133" s="250">
        <f t="shared" si="55"/>
        <v>0</v>
      </c>
      <c r="M133" s="250">
        <f t="shared" si="55"/>
        <v>0</v>
      </c>
      <c r="N133" s="250">
        <f t="shared" si="55"/>
        <v>0</v>
      </c>
      <c r="O133" s="250">
        <f t="shared" si="55"/>
        <v>0</v>
      </c>
      <c r="P133" s="250">
        <f t="shared" si="55"/>
        <v>0</v>
      </c>
      <c r="Q133" s="250">
        <f t="shared" si="55"/>
        <v>0</v>
      </c>
      <c r="R133" s="250">
        <f t="shared" si="55"/>
        <v>0</v>
      </c>
      <c r="S133" s="282">
        <f t="shared" si="55"/>
        <v>0</v>
      </c>
    </row>
    <row r="134" spans="1:19" ht="12.75" hidden="1" customHeight="1" outlineLevel="1" x14ac:dyDescent="0.2">
      <c r="A134" s="198" t="str">
        <f>"      "&amp;Labels!B386</f>
        <v xml:space="preserve">      Prof Level 2</v>
      </c>
      <c r="B134" s="250"/>
      <c r="C134" s="250"/>
      <c r="D134" s="250"/>
      <c r="E134" s="250"/>
      <c r="F134" s="250"/>
      <c r="G134" s="250"/>
      <c r="H134" s="250"/>
      <c r="I134" s="250"/>
      <c r="J134" s="250"/>
      <c r="K134" s="250"/>
      <c r="L134" s="250"/>
      <c r="M134" s="250"/>
      <c r="N134" s="250"/>
      <c r="O134" s="250"/>
      <c r="P134" s="250"/>
      <c r="Q134" s="250"/>
      <c r="R134" s="250"/>
      <c r="S134" s="282"/>
    </row>
    <row r="135" spans="1:19" ht="12.75" hidden="1" customHeight="1" outlineLevel="1" x14ac:dyDescent="0.2">
      <c r="A135" s="198" t="str">
        <f>"         "&amp;Labels!B397</f>
        <v xml:space="preserve">         Supply Type 1</v>
      </c>
      <c r="B135" s="250">
        <f>'(Compute)'!B830</f>
        <v>0</v>
      </c>
      <c r="C135" s="250">
        <f>'(Compute)'!C830</f>
        <v>0</v>
      </c>
      <c r="D135" s="250">
        <f>'(Compute)'!D830</f>
        <v>0</v>
      </c>
      <c r="E135" s="250">
        <f>'(Compute)'!E830</f>
        <v>0</v>
      </c>
      <c r="F135" s="250">
        <f>'(Compute)'!F830</f>
        <v>0</v>
      </c>
      <c r="G135" s="250">
        <f>'(Compute)'!G830</f>
        <v>0</v>
      </c>
      <c r="H135" s="250">
        <f>'(Compute)'!H830</f>
        <v>0</v>
      </c>
      <c r="I135" s="250">
        <f>'(Compute)'!I830</f>
        <v>0</v>
      </c>
      <c r="J135" s="250">
        <f>'(Compute)'!J830</f>
        <v>0</v>
      </c>
      <c r="K135" s="250">
        <f>'(Compute)'!K830</f>
        <v>0</v>
      </c>
      <c r="L135" s="250">
        <f>'(Compute)'!L830</f>
        <v>0</v>
      </c>
      <c r="M135" s="250">
        <f>'(Compute)'!M830</f>
        <v>0</v>
      </c>
      <c r="N135" s="250">
        <f>'(Compute)'!N830</f>
        <v>0</v>
      </c>
      <c r="O135" s="250">
        <f>'(Compute)'!O830</f>
        <v>0</v>
      </c>
      <c r="P135" s="250">
        <f>'(Compute)'!P830</f>
        <v>0</v>
      </c>
      <c r="Q135" s="250">
        <f>'(Compute)'!Q830</f>
        <v>0</v>
      </c>
      <c r="R135" s="250">
        <f>'(Compute)'!R830</f>
        <v>0</v>
      </c>
      <c r="S135" s="282">
        <f>'(Compute)'!S830</f>
        <v>0</v>
      </c>
    </row>
    <row r="136" spans="1:19" ht="12.75" hidden="1" customHeight="1" outlineLevel="1" x14ac:dyDescent="0.2">
      <c r="A136" s="198" t="str">
        <f>"         "&amp;Labels!B398</f>
        <v xml:space="preserve">         Supply Type 2</v>
      </c>
      <c r="B136" s="250">
        <f>'(Compute)'!B834</f>
        <v>0</v>
      </c>
      <c r="C136" s="250">
        <f>'(Compute)'!C834</f>
        <v>0</v>
      </c>
      <c r="D136" s="250">
        <f>'(Compute)'!D834</f>
        <v>0</v>
      </c>
      <c r="E136" s="250">
        <f>'(Compute)'!E834</f>
        <v>0</v>
      </c>
      <c r="F136" s="250">
        <f>'(Compute)'!F834</f>
        <v>0</v>
      </c>
      <c r="G136" s="250">
        <f>'(Compute)'!G834</f>
        <v>0</v>
      </c>
      <c r="H136" s="250">
        <f>'(Compute)'!H834</f>
        <v>0</v>
      </c>
      <c r="I136" s="250">
        <f>'(Compute)'!I834</f>
        <v>0</v>
      </c>
      <c r="J136" s="250">
        <f>'(Compute)'!J834</f>
        <v>0</v>
      </c>
      <c r="K136" s="250">
        <f>'(Compute)'!K834</f>
        <v>0</v>
      </c>
      <c r="L136" s="250">
        <f>'(Compute)'!L834</f>
        <v>0</v>
      </c>
      <c r="M136" s="250">
        <f>'(Compute)'!M834</f>
        <v>0</v>
      </c>
      <c r="N136" s="250">
        <f>'(Compute)'!N834</f>
        <v>0</v>
      </c>
      <c r="O136" s="250">
        <f>'(Compute)'!O834</f>
        <v>0</v>
      </c>
      <c r="P136" s="250">
        <f>'(Compute)'!P834</f>
        <v>0</v>
      </c>
      <c r="Q136" s="250">
        <f>'(Compute)'!Q834</f>
        <v>0</v>
      </c>
      <c r="R136" s="250">
        <f>'(Compute)'!R834</f>
        <v>0</v>
      </c>
      <c r="S136" s="282">
        <f>'(Compute)'!S834</f>
        <v>0</v>
      </c>
    </row>
    <row r="137" spans="1:19" ht="12.75" hidden="1" customHeight="1" outlineLevel="1" x14ac:dyDescent="0.2">
      <c r="A137" s="198" t="str">
        <f>"         "&amp;Labels!C396</f>
        <v xml:space="preserve">         Total</v>
      </c>
      <c r="B137" s="250">
        <f t="shared" ref="B137:S137" si="56">SUM(B135:B136)</f>
        <v>0</v>
      </c>
      <c r="C137" s="250">
        <f t="shared" si="56"/>
        <v>0</v>
      </c>
      <c r="D137" s="250">
        <f t="shared" si="56"/>
        <v>0</v>
      </c>
      <c r="E137" s="250">
        <f t="shared" si="56"/>
        <v>0</v>
      </c>
      <c r="F137" s="250">
        <f t="shared" si="56"/>
        <v>0</v>
      </c>
      <c r="G137" s="250">
        <f t="shared" si="56"/>
        <v>0</v>
      </c>
      <c r="H137" s="250">
        <f t="shared" si="56"/>
        <v>0</v>
      </c>
      <c r="I137" s="250">
        <f t="shared" si="56"/>
        <v>0</v>
      </c>
      <c r="J137" s="250">
        <f t="shared" si="56"/>
        <v>0</v>
      </c>
      <c r="K137" s="250">
        <f t="shared" si="56"/>
        <v>0</v>
      </c>
      <c r="L137" s="250">
        <f t="shared" si="56"/>
        <v>0</v>
      </c>
      <c r="M137" s="250">
        <f t="shared" si="56"/>
        <v>0</v>
      </c>
      <c r="N137" s="250">
        <f t="shared" si="56"/>
        <v>0</v>
      </c>
      <c r="O137" s="250">
        <f t="shared" si="56"/>
        <v>0</v>
      </c>
      <c r="P137" s="250">
        <f t="shared" si="56"/>
        <v>0</v>
      </c>
      <c r="Q137" s="250">
        <f t="shared" si="56"/>
        <v>0</v>
      </c>
      <c r="R137" s="250">
        <f t="shared" si="56"/>
        <v>0</v>
      </c>
      <c r="S137" s="282">
        <f t="shared" si="56"/>
        <v>0</v>
      </c>
    </row>
    <row r="138" spans="1:19" ht="12.75" hidden="1" customHeight="1" outlineLevel="1" x14ac:dyDescent="0.2">
      <c r="A138" s="188" t="str">
        <f>"      "&amp;Labels!C384</f>
        <v xml:space="preserve">      Total</v>
      </c>
      <c r="B138" s="248">
        <f t="shared" ref="B138:S138" si="57">SUM(B133,B137)</f>
        <v>0</v>
      </c>
      <c r="C138" s="248">
        <f t="shared" si="57"/>
        <v>0</v>
      </c>
      <c r="D138" s="248">
        <f t="shared" si="57"/>
        <v>0</v>
      </c>
      <c r="E138" s="248">
        <f t="shared" si="57"/>
        <v>0</v>
      </c>
      <c r="F138" s="248">
        <f t="shared" si="57"/>
        <v>0</v>
      </c>
      <c r="G138" s="248">
        <f t="shared" si="57"/>
        <v>0</v>
      </c>
      <c r="H138" s="248">
        <f t="shared" si="57"/>
        <v>0</v>
      </c>
      <c r="I138" s="248">
        <f t="shared" si="57"/>
        <v>0</v>
      </c>
      <c r="J138" s="248">
        <f t="shared" si="57"/>
        <v>0</v>
      </c>
      <c r="K138" s="248">
        <f t="shared" si="57"/>
        <v>0</v>
      </c>
      <c r="L138" s="248">
        <f t="shared" si="57"/>
        <v>0</v>
      </c>
      <c r="M138" s="248">
        <f t="shared" si="57"/>
        <v>0</v>
      </c>
      <c r="N138" s="248">
        <f t="shared" si="57"/>
        <v>0</v>
      </c>
      <c r="O138" s="248">
        <f t="shared" si="57"/>
        <v>0</v>
      </c>
      <c r="P138" s="248">
        <f t="shared" si="57"/>
        <v>0</v>
      </c>
      <c r="Q138" s="248">
        <f t="shared" si="57"/>
        <v>0</v>
      </c>
      <c r="R138" s="248">
        <f t="shared" si="57"/>
        <v>0</v>
      </c>
      <c r="S138" s="271">
        <f t="shared" si="57"/>
        <v>0</v>
      </c>
    </row>
    <row r="139" spans="1:19" ht="12.75" hidden="1" customHeight="1" outlineLevel="1" x14ac:dyDescent="0.2">
      <c r="A139" s="198" t="str">
        <f>"         "&amp;Labels!B397</f>
        <v xml:space="preserve">         Supply Type 1</v>
      </c>
      <c r="B139" s="250">
        <f t="shared" ref="B139:S139" si="58">SUM(B131,B135)</f>
        <v>0</v>
      </c>
      <c r="C139" s="250">
        <f t="shared" si="58"/>
        <v>0</v>
      </c>
      <c r="D139" s="250">
        <f t="shared" si="58"/>
        <v>0</v>
      </c>
      <c r="E139" s="250">
        <f t="shared" si="58"/>
        <v>0</v>
      </c>
      <c r="F139" s="250">
        <f t="shared" si="58"/>
        <v>0</v>
      </c>
      <c r="G139" s="250">
        <f t="shared" si="58"/>
        <v>0</v>
      </c>
      <c r="H139" s="250">
        <f t="shared" si="58"/>
        <v>0</v>
      </c>
      <c r="I139" s="250">
        <f t="shared" si="58"/>
        <v>0</v>
      </c>
      <c r="J139" s="250">
        <f t="shared" si="58"/>
        <v>0</v>
      </c>
      <c r="K139" s="250">
        <f t="shared" si="58"/>
        <v>0</v>
      </c>
      <c r="L139" s="250">
        <f t="shared" si="58"/>
        <v>0</v>
      </c>
      <c r="M139" s="250">
        <f t="shared" si="58"/>
        <v>0</v>
      </c>
      <c r="N139" s="250">
        <f t="shared" si="58"/>
        <v>0</v>
      </c>
      <c r="O139" s="250">
        <f t="shared" si="58"/>
        <v>0</v>
      </c>
      <c r="P139" s="250">
        <f t="shared" si="58"/>
        <v>0</v>
      </c>
      <c r="Q139" s="250">
        <f t="shared" si="58"/>
        <v>0</v>
      </c>
      <c r="R139" s="250">
        <f t="shared" si="58"/>
        <v>0</v>
      </c>
      <c r="S139" s="282">
        <f t="shared" si="58"/>
        <v>0</v>
      </c>
    </row>
    <row r="140" spans="1:19" ht="12.75" hidden="1" customHeight="1" outlineLevel="1" x14ac:dyDescent="0.2">
      <c r="A140" s="198" t="str">
        <f>"         "&amp;Labels!B398</f>
        <v xml:space="preserve">         Supply Type 2</v>
      </c>
      <c r="B140" s="250">
        <f t="shared" ref="B140:S140" si="59">SUM(B132,B136)</f>
        <v>0</v>
      </c>
      <c r="C140" s="250">
        <f t="shared" si="59"/>
        <v>0</v>
      </c>
      <c r="D140" s="250">
        <f t="shared" si="59"/>
        <v>0</v>
      </c>
      <c r="E140" s="250">
        <f t="shared" si="59"/>
        <v>0</v>
      </c>
      <c r="F140" s="250">
        <f t="shared" si="59"/>
        <v>0</v>
      </c>
      <c r="G140" s="250">
        <f t="shared" si="59"/>
        <v>0</v>
      </c>
      <c r="H140" s="250">
        <f t="shared" si="59"/>
        <v>0</v>
      </c>
      <c r="I140" s="250">
        <f t="shared" si="59"/>
        <v>0</v>
      </c>
      <c r="J140" s="250">
        <f t="shared" si="59"/>
        <v>0</v>
      </c>
      <c r="K140" s="250">
        <f t="shared" si="59"/>
        <v>0</v>
      </c>
      <c r="L140" s="250">
        <f t="shared" si="59"/>
        <v>0</v>
      </c>
      <c r="M140" s="250">
        <f t="shared" si="59"/>
        <v>0</v>
      </c>
      <c r="N140" s="250">
        <f t="shared" si="59"/>
        <v>0</v>
      </c>
      <c r="O140" s="250">
        <f t="shared" si="59"/>
        <v>0</v>
      </c>
      <c r="P140" s="250">
        <f t="shared" si="59"/>
        <v>0</v>
      </c>
      <c r="Q140" s="250">
        <f t="shared" si="59"/>
        <v>0</v>
      </c>
      <c r="R140" s="250">
        <f t="shared" si="59"/>
        <v>0</v>
      </c>
      <c r="S140" s="282">
        <f t="shared" si="59"/>
        <v>0</v>
      </c>
    </row>
    <row r="141" spans="1:19" ht="12.75" hidden="1" customHeight="1" outlineLevel="1" x14ac:dyDescent="0.2">
      <c r="A141" s="198" t="str">
        <f>"         "&amp;Labels!C396</f>
        <v xml:space="preserve">         Total</v>
      </c>
      <c r="B141" s="250">
        <f t="shared" ref="B141:S141" si="60">SUM(B133,B137)</f>
        <v>0</v>
      </c>
      <c r="C141" s="250">
        <f t="shared" si="60"/>
        <v>0</v>
      </c>
      <c r="D141" s="250">
        <f t="shared" si="60"/>
        <v>0</v>
      </c>
      <c r="E141" s="250">
        <f t="shared" si="60"/>
        <v>0</v>
      </c>
      <c r="F141" s="250">
        <f t="shared" si="60"/>
        <v>0</v>
      </c>
      <c r="G141" s="250">
        <f t="shared" si="60"/>
        <v>0</v>
      </c>
      <c r="H141" s="250">
        <f t="shared" si="60"/>
        <v>0</v>
      </c>
      <c r="I141" s="250">
        <f t="shared" si="60"/>
        <v>0</v>
      </c>
      <c r="J141" s="250">
        <f t="shared" si="60"/>
        <v>0</v>
      </c>
      <c r="K141" s="250">
        <f t="shared" si="60"/>
        <v>0</v>
      </c>
      <c r="L141" s="250">
        <f t="shared" si="60"/>
        <v>0</v>
      </c>
      <c r="M141" s="250">
        <f t="shared" si="60"/>
        <v>0</v>
      </c>
      <c r="N141" s="250">
        <f t="shared" si="60"/>
        <v>0</v>
      </c>
      <c r="O141" s="250">
        <f t="shared" si="60"/>
        <v>0</v>
      </c>
      <c r="P141" s="250">
        <f t="shared" si="60"/>
        <v>0</v>
      </c>
      <c r="Q141" s="250">
        <f t="shared" si="60"/>
        <v>0</v>
      </c>
      <c r="R141" s="250">
        <f t="shared" si="60"/>
        <v>0</v>
      </c>
      <c r="S141" s="282">
        <f t="shared" si="60"/>
        <v>0</v>
      </c>
    </row>
    <row r="142" spans="1:19" ht="12.75" hidden="1" customHeight="1" outlineLevel="1" x14ac:dyDescent="0.2">
      <c r="A142" s="191" t="str">
        <f>"   "&amp;Labels!C344</f>
        <v xml:space="preserve">   Total</v>
      </c>
      <c r="B142" s="247">
        <f t="shared" ref="B142:S142" si="61">SUM(B125,B138)</f>
        <v>0</v>
      </c>
      <c r="C142" s="247">
        <f t="shared" si="61"/>
        <v>0</v>
      </c>
      <c r="D142" s="247">
        <f t="shared" si="61"/>
        <v>0</v>
      </c>
      <c r="E142" s="247">
        <f t="shared" si="61"/>
        <v>0</v>
      </c>
      <c r="F142" s="247">
        <f t="shared" si="61"/>
        <v>0</v>
      </c>
      <c r="G142" s="247">
        <f t="shared" si="61"/>
        <v>0</v>
      </c>
      <c r="H142" s="247">
        <f t="shared" si="61"/>
        <v>0</v>
      </c>
      <c r="I142" s="247">
        <f t="shared" si="61"/>
        <v>0</v>
      </c>
      <c r="J142" s="247">
        <f t="shared" si="61"/>
        <v>0</v>
      </c>
      <c r="K142" s="247">
        <f t="shared" si="61"/>
        <v>0</v>
      </c>
      <c r="L142" s="247">
        <f t="shared" si="61"/>
        <v>0</v>
      </c>
      <c r="M142" s="247">
        <f t="shared" si="61"/>
        <v>0</v>
      </c>
      <c r="N142" s="247">
        <f t="shared" si="61"/>
        <v>0</v>
      </c>
      <c r="O142" s="247">
        <f t="shared" si="61"/>
        <v>0</v>
      </c>
      <c r="P142" s="247">
        <f t="shared" si="61"/>
        <v>0</v>
      </c>
      <c r="Q142" s="247">
        <f t="shared" si="61"/>
        <v>0</v>
      </c>
      <c r="R142" s="247">
        <f t="shared" si="61"/>
        <v>0</v>
      </c>
      <c r="S142" s="272">
        <f t="shared" si="61"/>
        <v>0</v>
      </c>
    </row>
    <row r="143" spans="1:19" ht="12.75" hidden="1" customHeight="1" outlineLevel="1" x14ac:dyDescent="0.2">
      <c r="A143" s="198" t="str">
        <f>"      "&amp;Labels!B385</f>
        <v xml:space="preserve">      Prof Level 1</v>
      </c>
      <c r="B143" s="250"/>
      <c r="C143" s="250"/>
      <c r="D143" s="250"/>
      <c r="E143" s="250"/>
      <c r="F143" s="250"/>
      <c r="G143" s="250"/>
      <c r="H143" s="250"/>
      <c r="I143" s="250"/>
      <c r="J143" s="250"/>
      <c r="K143" s="250"/>
      <c r="L143" s="250"/>
      <c r="M143" s="250"/>
      <c r="N143" s="250"/>
      <c r="O143" s="250"/>
      <c r="P143" s="250"/>
      <c r="Q143" s="250"/>
      <c r="R143" s="250"/>
      <c r="S143" s="282"/>
    </row>
    <row r="144" spans="1:19" ht="12.75" hidden="1" customHeight="1" outlineLevel="1" x14ac:dyDescent="0.2">
      <c r="A144" s="198" t="str">
        <f>"         "&amp;Labels!B397</f>
        <v xml:space="preserve">         Supply Type 1</v>
      </c>
      <c r="B144" s="250">
        <f t="shared" ref="B144:S144" si="62">SUM(B118,B131)</f>
        <v>0</v>
      </c>
      <c r="C144" s="250">
        <f t="shared" si="62"/>
        <v>0</v>
      </c>
      <c r="D144" s="250">
        <f t="shared" si="62"/>
        <v>0</v>
      </c>
      <c r="E144" s="250">
        <f t="shared" si="62"/>
        <v>0</v>
      </c>
      <c r="F144" s="250">
        <f t="shared" si="62"/>
        <v>0</v>
      </c>
      <c r="G144" s="250">
        <f t="shared" si="62"/>
        <v>0</v>
      </c>
      <c r="H144" s="250">
        <f t="shared" si="62"/>
        <v>0</v>
      </c>
      <c r="I144" s="250">
        <f t="shared" si="62"/>
        <v>0</v>
      </c>
      <c r="J144" s="250">
        <f t="shared" si="62"/>
        <v>0</v>
      </c>
      <c r="K144" s="250">
        <f t="shared" si="62"/>
        <v>0</v>
      </c>
      <c r="L144" s="250">
        <f t="shared" si="62"/>
        <v>0</v>
      </c>
      <c r="M144" s="250">
        <f t="shared" si="62"/>
        <v>0</v>
      </c>
      <c r="N144" s="250">
        <f t="shared" si="62"/>
        <v>0</v>
      </c>
      <c r="O144" s="250">
        <f t="shared" si="62"/>
        <v>0</v>
      </c>
      <c r="P144" s="250">
        <f t="shared" si="62"/>
        <v>0</v>
      </c>
      <c r="Q144" s="250">
        <f t="shared" si="62"/>
        <v>0</v>
      </c>
      <c r="R144" s="250">
        <f t="shared" si="62"/>
        <v>0</v>
      </c>
      <c r="S144" s="282">
        <f t="shared" si="62"/>
        <v>0</v>
      </c>
    </row>
    <row r="145" spans="1:19" ht="12.75" hidden="1" customHeight="1" outlineLevel="1" x14ac:dyDescent="0.2">
      <c r="A145" s="198" t="str">
        <f>"         "&amp;Labels!B398</f>
        <v xml:space="preserve">         Supply Type 2</v>
      </c>
      <c r="B145" s="250">
        <f t="shared" ref="B145:S145" si="63">SUM(B119,B132)</f>
        <v>0</v>
      </c>
      <c r="C145" s="250">
        <f t="shared" si="63"/>
        <v>0</v>
      </c>
      <c r="D145" s="250">
        <f t="shared" si="63"/>
        <v>0</v>
      </c>
      <c r="E145" s="250">
        <f t="shared" si="63"/>
        <v>0</v>
      </c>
      <c r="F145" s="250">
        <f t="shared" si="63"/>
        <v>0</v>
      </c>
      <c r="G145" s="250">
        <f t="shared" si="63"/>
        <v>0</v>
      </c>
      <c r="H145" s="250">
        <f t="shared" si="63"/>
        <v>0</v>
      </c>
      <c r="I145" s="250">
        <f t="shared" si="63"/>
        <v>0</v>
      </c>
      <c r="J145" s="250">
        <f t="shared" si="63"/>
        <v>0</v>
      </c>
      <c r="K145" s="250">
        <f t="shared" si="63"/>
        <v>0</v>
      </c>
      <c r="L145" s="250">
        <f t="shared" si="63"/>
        <v>0</v>
      </c>
      <c r="M145" s="250">
        <f t="shared" si="63"/>
        <v>0</v>
      </c>
      <c r="N145" s="250">
        <f t="shared" si="63"/>
        <v>0</v>
      </c>
      <c r="O145" s="250">
        <f t="shared" si="63"/>
        <v>0</v>
      </c>
      <c r="P145" s="250">
        <f t="shared" si="63"/>
        <v>0</v>
      </c>
      <c r="Q145" s="250">
        <f t="shared" si="63"/>
        <v>0</v>
      </c>
      <c r="R145" s="250">
        <f t="shared" si="63"/>
        <v>0</v>
      </c>
      <c r="S145" s="282">
        <f t="shared" si="63"/>
        <v>0</v>
      </c>
    </row>
    <row r="146" spans="1:19" ht="12.75" hidden="1" customHeight="1" outlineLevel="1" x14ac:dyDescent="0.2">
      <c r="A146" s="198" t="str">
        <f>"         "&amp;Labels!C396</f>
        <v xml:space="preserve">         Total</v>
      </c>
      <c r="B146" s="250">
        <f t="shared" ref="B146:S146" si="64">SUM(B120,B133)</f>
        <v>0</v>
      </c>
      <c r="C146" s="250">
        <f t="shared" si="64"/>
        <v>0</v>
      </c>
      <c r="D146" s="250">
        <f t="shared" si="64"/>
        <v>0</v>
      </c>
      <c r="E146" s="250">
        <f t="shared" si="64"/>
        <v>0</v>
      </c>
      <c r="F146" s="250">
        <f t="shared" si="64"/>
        <v>0</v>
      </c>
      <c r="G146" s="250">
        <f t="shared" si="64"/>
        <v>0</v>
      </c>
      <c r="H146" s="250">
        <f t="shared" si="64"/>
        <v>0</v>
      </c>
      <c r="I146" s="250">
        <f t="shared" si="64"/>
        <v>0</v>
      </c>
      <c r="J146" s="250">
        <f t="shared" si="64"/>
        <v>0</v>
      </c>
      <c r="K146" s="250">
        <f t="shared" si="64"/>
        <v>0</v>
      </c>
      <c r="L146" s="250">
        <f t="shared" si="64"/>
        <v>0</v>
      </c>
      <c r="M146" s="250">
        <f t="shared" si="64"/>
        <v>0</v>
      </c>
      <c r="N146" s="250">
        <f t="shared" si="64"/>
        <v>0</v>
      </c>
      <c r="O146" s="250">
        <f t="shared" si="64"/>
        <v>0</v>
      </c>
      <c r="P146" s="250">
        <f t="shared" si="64"/>
        <v>0</v>
      </c>
      <c r="Q146" s="250">
        <f t="shared" si="64"/>
        <v>0</v>
      </c>
      <c r="R146" s="250">
        <f t="shared" si="64"/>
        <v>0</v>
      </c>
      <c r="S146" s="282">
        <f t="shared" si="64"/>
        <v>0</v>
      </c>
    </row>
    <row r="147" spans="1:19" ht="12.75" hidden="1" customHeight="1" outlineLevel="1" x14ac:dyDescent="0.2">
      <c r="A147" s="198" t="str">
        <f>"      "&amp;Labels!B386</f>
        <v xml:space="preserve">      Prof Level 2</v>
      </c>
      <c r="B147" s="250"/>
      <c r="C147" s="250"/>
      <c r="D147" s="250"/>
      <c r="E147" s="250"/>
      <c r="F147" s="250"/>
      <c r="G147" s="250"/>
      <c r="H147" s="250"/>
      <c r="I147" s="250"/>
      <c r="J147" s="250"/>
      <c r="K147" s="250"/>
      <c r="L147" s="250"/>
      <c r="M147" s="250"/>
      <c r="N147" s="250"/>
      <c r="O147" s="250"/>
      <c r="P147" s="250"/>
      <c r="Q147" s="250"/>
      <c r="R147" s="250"/>
      <c r="S147" s="282"/>
    </row>
    <row r="148" spans="1:19" ht="12.75" hidden="1" customHeight="1" outlineLevel="1" x14ac:dyDescent="0.2">
      <c r="A148" s="198" t="str">
        <f>"         "&amp;Labels!B397</f>
        <v xml:space="preserve">         Supply Type 1</v>
      </c>
      <c r="B148" s="250">
        <f t="shared" ref="B148:S148" si="65">SUM(B122,B135)</f>
        <v>0</v>
      </c>
      <c r="C148" s="250">
        <f t="shared" si="65"/>
        <v>0</v>
      </c>
      <c r="D148" s="250">
        <f t="shared" si="65"/>
        <v>0</v>
      </c>
      <c r="E148" s="250">
        <f t="shared" si="65"/>
        <v>0</v>
      </c>
      <c r="F148" s="250">
        <f t="shared" si="65"/>
        <v>0</v>
      </c>
      <c r="G148" s="250">
        <f t="shared" si="65"/>
        <v>0</v>
      </c>
      <c r="H148" s="250">
        <f t="shared" si="65"/>
        <v>0</v>
      </c>
      <c r="I148" s="250">
        <f t="shared" si="65"/>
        <v>0</v>
      </c>
      <c r="J148" s="250">
        <f t="shared" si="65"/>
        <v>0</v>
      </c>
      <c r="K148" s="250">
        <f t="shared" si="65"/>
        <v>0</v>
      </c>
      <c r="L148" s="250">
        <f t="shared" si="65"/>
        <v>0</v>
      </c>
      <c r="M148" s="250">
        <f t="shared" si="65"/>
        <v>0</v>
      </c>
      <c r="N148" s="250">
        <f t="shared" si="65"/>
        <v>0</v>
      </c>
      <c r="O148" s="250">
        <f t="shared" si="65"/>
        <v>0</v>
      </c>
      <c r="P148" s="250">
        <f t="shared" si="65"/>
        <v>0</v>
      </c>
      <c r="Q148" s="250">
        <f t="shared" si="65"/>
        <v>0</v>
      </c>
      <c r="R148" s="250">
        <f t="shared" si="65"/>
        <v>0</v>
      </c>
      <c r="S148" s="282">
        <f t="shared" si="65"/>
        <v>0</v>
      </c>
    </row>
    <row r="149" spans="1:19" ht="12.75" hidden="1" customHeight="1" outlineLevel="1" x14ac:dyDescent="0.2">
      <c r="A149" s="198" t="str">
        <f>"         "&amp;Labels!B398</f>
        <v xml:space="preserve">         Supply Type 2</v>
      </c>
      <c r="B149" s="250">
        <f t="shared" ref="B149:S149" si="66">SUM(B123,B136)</f>
        <v>0</v>
      </c>
      <c r="C149" s="250">
        <f t="shared" si="66"/>
        <v>0</v>
      </c>
      <c r="D149" s="250">
        <f t="shared" si="66"/>
        <v>0</v>
      </c>
      <c r="E149" s="250">
        <f t="shared" si="66"/>
        <v>0</v>
      </c>
      <c r="F149" s="250">
        <f t="shared" si="66"/>
        <v>0</v>
      </c>
      <c r="G149" s="250">
        <f t="shared" si="66"/>
        <v>0</v>
      </c>
      <c r="H149" s="250">
        <f t="shared" si="66"/>
        <v>0</v>
      </c>
      <c r="I149" s="250">
        <f t="shared" si="66"/>
        <v>0</v>
      </c>
      <c r="J149" s="250">
        <f t="shared" si="66"/>
        <v>0</v>
      </c>
      <c r="K149" s="250">
        <f t="shared" si="66"/>
        <v>0</v>
      </c>
      <c r="L149" s="250">
        <f t="shared" si="66"/>
        <v>0</v>
      </c>
      <c r="M149" s="250">
        <f t="shared" si="66"/>
        <v>0</v>
      </c>
      <c r="N149" s="250">
        <f t="shared" si="66"/>
        <v>0</v>
      </c>
      <c r="O149" s="250">
        <f t="shared" si="66"/>
        <v>0</v>
      </c>
      <c r="P149" s="250">
        <f t="shared" si="66"/>
        <v>0</v>
      </c>
      <c r="Q149" s="250">
        <f t="shared" si="66"/>
        <v>0</v>
      </c>
      <c r="R149" s="250">
        <f t="shared" si="66"/>
        <v>0</v>
      </c>
      <c r="S149" s="282">
        <f t="shared" si="66"/>
        <v>0</v>
      </c>
    </row>
    <row r="150" spans="1:19" ht="12.75" hidden="1" customHeight="1" outlineLevel="1" x14ac:dyDescent="0.2">
      <c r="A150" s="198" t="str">
        <f>"         "&amp;Labels!C396</f>
        <v xml:space="preserve">         Total</v>
      </c>
      <c r="B150" s="250">
        <f t="shared" ref="B150:S150" si="67">SUM(B124,B137)</f>
        <v>0</v>
      </c>
      <c r="C150" s="250">
        <f t="shared" si="67"/>
        <v>0</v>
      </c>
      <c r="D150" s="250">
        <f t="shared" si="67"/>
        <v>0</v>
      </c>
      <c r="E150" s="250">
        <f t="shared" si="67"/>
        <v>0</v>
      </c>
      <c r="F150" s="250">
        <f t="shared" si="67"/>
        <v>0</v>
      </c>
      <c r="G150" s="250">
        <f t="shared" si="67"/>
        <v>0</v>
      </c>
      <c r="H150" s="250">
        <f t="shared" si="67"/>
        <v>0</v>
      </c>
      <c r="I150" s="250">
        <f t="shared" si="67"/>
        <v>0</v>
      </c>
      <c r="J150" s="250">
        <f t="shared" si="67"/>
        <v>0</v>
      </c>
      <c r="K150" s="250">
        <f t="shared" si="67"/>
        <v>0</v>
      </c>
      <c r="L150" s="250">
        <f t="shared" si="67"/>
        <v>0</v>
      </c>
      <c r="M150" s="250">
        <f t="shared" si="67"/>
        <v>0</v>
      </c>
      <c r="N150" s="250">
        <f t="shared" si="67"/>
        <v>0</v>
      </c>
      <c r="O150" s="250">
        <f t="shared" si="67"/>
        <v>0</v>
      </c>
      <c r="P150" s="250">
        <f t="shared" si="67"/>
        <v>0</v>
      </c>
      <c r="Q150" s="250">
        <f t="shared" si="67"/>
        <v>0</v>
      </c>
      <c r="R150" s="250">
        <f t="shared" si="67"/>
        <v>0</v>
      </c>
      <c r="S150" s="282">
        <f t="shared" si="67"/>
        <v>0</v>
      </c>
    </row>
    <row r="151" spans="1:19" ht="12.75" hidden="1" customHeight="1" outlineLevel="1" x14ac:dyDescent="0.2">
      <c r="A151" s="188" t="str">
        <f>"      "&amp;Labels!C384</f>
        <v xml:space="preserve">      Total</v>
      </c>
      <c r="B151" s="248">
        <f t="shared" ref="B151:S151" si="68">SUM(B125,B138)</f>
        <v>0</v>
      </c>
      <c r="C151" s="248">
        <f t="shared" si="68"/>
        <v>0</v>
      </c>
      <c r="D151" s="248">
        <f t="shared" si="68"/>
        <v>0</v>
      </c>
      <c r="E151" s="248">
        <f t="shared" si="68"/>
        <v>0</v>
      </c>
      <c r="F151" s="248">
        <f t="shared" si="68"/>
        <v>0</v>
      </c>
      <c r="G151" s="248">
        <f t="shared" si="68"/>
        <v>0</v>
      </c>
      <c r="H151" s="248">
        <f t="shared" si="68"/>
        <v>0</v>
      </c>
      <c r="I151" s="248">
        <f t="shared" si="68"/>
        <v>0</v>
      </c>
      <c r="J151" s="248">
        <f t="shared" si="68"/>
        <v>0</v>
      </c>
      <c r="K151" s="248">
        <f t="shared" si="68"/>
        <v>0</v>
      </c>
      <c r="L151" s="248">
        <f t="shared" si="68"/>
        <v>0</v>
      </c>
      <c r="M151" s="248">
        <f t="shared" si="68"/>
        <v>0</v>
      </c>
      <c r="N151" s="248">
        <f t="shared" si="68"/>
        <v>0</v>
      </c>
      <c r="O151" s="248">
        <f t="shared" si="68"/>
        <v>0</v>
      </c>
      <c r="P151" s="248">
        <f t="shared" si="68"/>
        <v>0</v>
      </c>
      <c r="Q151" s="248">
        <f t="shared" si="68"/>
        <v>0</v>
      </c>
      <c r="R151" s="248">
        <f t="shared" si="68"/>
        <v>0</v>
      </c>
      <c r="S151" s="271">
        <f t="shared" si="68"/>
        <v>0</v>
      </c>
    </row>
    <row r="152" spans="1:19" ht="12.75" hidden="1" customHeight="1" outlineLevel="1" x14ac:dyDescent="0.2">
      <c r="A152" s="198" t="str">
        <f>"         "&amp;Labels!B397</f>
        <v xml:space="preserve">         Supply Type 1</v>
      </c>
      <c r="B152" s="250">
        <f t="shared" ref="B152:S152" si="69">SUM(B126,B139)</f>
        <v>0</v>
      </c>
      <c r="C152" s="250">
        <f t="shared" si="69"/>
        <v>0</v>
      </c>
      <c r="D152" s="250">
        <f t="shared" si="69"/>
        <v>0</v>
      </c>
      <c r="E152" s="250">
        <f t="shared" si="69"/>
        <v>0</v>
      </c>
      <c r="F152" s="250">
        <f t="shared" si="69"/>
        <v>0</v>
      </c>
      <c r="G152" s="250">
        <f t="shared" si="69"/>
        <v>0</v>
      </c>
      <c r="H152" s="250">
        <f t="shared" si="69"/>
        <v>0</v>
      </c>
      <c r="I152" s="250">
        <f t="shared" si="69"/>
        <v>0</v>
      </c>
      <c r="J152" s="250">
        <f t="shared" si="69"/>
        <v>0</v>
      </c>
      <c r="K152" s="250">
        <f t="shared" si="69"/>
        <v>0</v>
      </c>
      <c r="L152" s="250">
        <f t="shared" si="69"/>
        <v>0</v>
      </c>
      <c r="M152" s="250">
        <f t="shared" si="69"/>
        <v>0</v>
      </c>
      <c r="N152" s="250">
        <f t="shared" si="69"/>
        <v>0</v>
      </c>
      <c r="O152" s="250">
        <f t="shared" si="69"/>
        <v>0</v>
      </c>
      <c r="P152" s="250">
        <f t="shared" si="69"/>
        <v>0</v>
      </c>
      <c r="Q152" s="250">
        <f t="shared" si="69"/>
        <v>0</v>
      </c>
      <c r="R152" s="250">
        <f t="shared" si="69"/>
        <v>0</v>
      </c>
      <c r="S152" s="282">
        <f t="shared" si="69"/>
        <v>0</v>
      </c>
    </row>
    <row r="153" spans="1:19" ht="12.75" hidden="1" customHeight="1" outlineLevel="1" x14ac:dyDescent="0.2">
      <c r="A153" s="198" t="str">
        <f>"         "&amp;Labels!B398</f>
        <v xml:space="preserve">         Supply Type 2</v>
      </c>
      <c r="B153" s="250">
        <f t="shared" ref="B153:S153" si="70">SUM(B127,B140)</f>
        <v>0</v>
      </c>
      <c r="C153" s="250">
        <f t="shared" si="70"/>
        <v>0</v>
      </c>
      <c r="D153" s="250">
        <f t="shared" si="70"/>
        <v>0</v>
      </c>
      <c r="E153" s="250">
        <f t="shared" si="70"/>
        <v>0</v>
      </c>
      <c r="F153" s="250">
        <f t="shared" si="70"/>
        <v>0</v>
      </c>
      <c r="G153" s="250">
        <f t="shared" si="70"/>
        <v>0</v>
      </c>
      <c r="H153" s="250">
        <f t="shared" si="70"/>
        <v>0</v>
      </c>
      <c r="I153" s="250">
        <f t="shared" si="70"/>
        <v>0</v>
      </c>
      <c r="J153" s="250">
        <f t="shared" si="70"/>
        <v>0</v>
      </c>
      <c r="K153" s="250">
        <f t="shared" si="70"/>
        <v>0</v>
      </c>
      <c r="L153" s="250">
        <f t="shared" si="70"/>
        <v>0</v>
      </c>
      <c r="M153" s="250">
        <f t="shared" si="70"/>
        <v>0</v>
      </c>
      <c r="N153" s="250">
        <f t="shared" si="70"/>
        <v>0</v>
      </c>
      <c r="O153" s="250">
        <f t="shared" si="70"/>
        <v>0</v>
      </c>
      <c r="P153" s="250">
        <f t="shared" si="70"/>
        <v>0</v>
      </c>
      <c r="Q153" s="250">
        <f t="shared" si="70"/>
        <v>0</v>
      </c>
      <c r="R153" s="250">
        <f t="shared" si="70"/>
        <v>0</v>
      </c>
      <c r="S153" s="282">
        <f t="shared" si="70"/>
        <v>0</v>
      </c>
    </row>
    <row r="154" spans="1:19" ht="12.75" hidden="1" customHeight="1" outlineLevel="1" x14ac:dyDescent="0.2">
      <c r="A154" s="230" t="str">
        <f>"         "&amp;Labels!C396</f>
        <v xml:space="preserve">         Total</v>
      </c>
      <c r="B154" s="252">
        <f t="shared" ref="B154:S154" si="71">SUM(B125,B138)</f>
        <v>0</v>
      </c>
      <c r="C154" s="252">
        <f t="shared" si="71"/>
        <v>0</v>
      </c>
      <c r="D154" s="252">
        <f t="shared" si="71"/>
        <v>0</v>
      </c>
      <c r="E154" s="252">
        <f t="shared" si="71"/>
        <v>0</v>
      </c>
      <c r="F154" s="252">
        <f t="shared" si="71"/>
        <v>0</v>
      </c>
      <c r="G154" s="252">
        <f t="shared" si="71"/>
        <v>0</v>
      </c>
      <c r="H154" s="252">
        <f t="shared" si="71"/>
        <v>0</v>
      </c>
      <c r="I154" s="252">
        <f t="shared" si="71"/>
        <v>0</v>
      </c>
      <c r="J154" s="252">
        <f t="shared" si="71"/>
        <v>0</v>
      </c>
      <c r="K154" s="252">
        <f t="shared" si="71"/>
        <v>0</v>
      </c>
      <c r="L154" s="252">
        <f t="shared" si="71"/>
        <v>0</v>
      </c>
      <c r="M154" s="252">
        <f t="shared" si="71"/>
        <v>0</v>
      </c>
      <c r="N154" s="252">
        <f t="shared" si="71"/>
        <v>0</v>
      </c>
      <c r="O154" s="252">
        <f t="shared" si="71"/>
        <v>0</v>
      </c>
      <c r="P154" s="252">
        <f t="shared" si="71"/>
        <v>0</v>
      </c>
      <c r="Q154" s="252">
        <f t="shared" si="71"/>
        <v>0</v>
      </c>
      <c r="R154" s="252">
        <f t="shared" si="71"/>
        <v>0</v>
      </c>
      <c r="S154" s="283">
        <f t="shared" si="71"/>
        <v>0</v>
      </c>
    </row>
    <row r="155" spans="1:19" ht="12.75" hidden="1" customHeight="1" outlineLevel="1" x14ac:dyDescent="0.2"/>
    <row r="156" spans="1:19" ht="12.75" hidden="1" customHeight="1" outlineLevel="1" collapsed="1" x14ac:dyDescent="0.2"/>
    <row r="157" spans="1:19" ht="12.75" customHeight="1" collapsed="1" x14ac:dyDescent="0.2"/>
    <row r="158" spans="1:19" ht="12.75" customHeight="1" collapsed="1" x14ac:dyDescent="0.2">
      <c r="A158" s="464" t="str">
        <f>"Professional Staff - Major Engagements"</f>
        <v>Professional Staff - Major Engagements</v>
      </c>
      <c r="B158" s="464"/>
      <c r="C158" s="464"/>
    </row>
    <row r="159" spans="1:19" ht="12.75" hidden="1" customHeight="1" outlineLevel="1" x14ac:dyDescent="0.2">
      <c r="A159" s="1" t="str">
        <f>" "</f>
        <v xml:space="preserve"> </v>
      </c>
    </row>
    <row r="160" spans="1:19" ht="12.75" hidden="1" customHeight="1" outlineLevel="1" x14ac:dyDescent="0.2">
      <c r="B160" s="9" t="str">
        <f>'(FnCalls 1)'!F41</f>
        <v>MMM 2010</v>
      </c>
      <c r="C160" s="10" t="str">
        <f>'(FnCalls 1)'!F42</f>
        <v>MMM 2010</v>
      </c>
      <c r="D160" s="10" t="str">
        <f>'(FnCalls 1)'!F43</f>
        <v>MMM 2010</v>
      </c>
      <c r="E160" s="10" t="str">
        <f>'(FnCalls 1)'!F44</f>
        <v>MMM 2010</v>
      </c>
      <c r="F160" s="10" t="str">
        <f>'(FnCalls 1)'!F45</f>
        <v>MMM 2010</v>
      </c>
      <c r="G160" s="10" t="str">
        <f>'(FnCalls 1)'!F46</f>
        <v>MMM 2010</v>
      </c>
      <c r="H160" s="10" t="str">
        <f>'(FnCalls 1)'!F47</f>
        <v>MMM 2010</v>
      </c>
      <c r="I160" s="10" t="str">
        <f>'(FnCalls 1)'!F48</f>
        <v>MMM 2010</v>
      </c>
      <c r="J160" s="10" t="str">
        <f>'(FnCalls 1)'!F49</f>
        <v>MMM 2010</v>
      </c>
      <c r="K160" s="10" t="str">
        <f>'(FnCalls 1)'!F50</f>
        <v>MMM 2010</v>
      </c>
      <c r="L160" s="10" t="str">
        <f>'(FnCalls 1)'!F51</f>
        <v>MMM 2010</v>
      </c>
      <c r="M160" s="10" t="str">
        <f>'(FnCalls 1)'!F52</f>
        <v>MMM 2010</v>
      </c>
      <c r="N160" s="10" t="str">
        <f>'(FnCalls 1)'!F53</f>
        <v>MMM 2011</v>
      </c>
      <c r="O160" s="10" t="str">
        <f>'(FnCalls 1)'!F54</f>
        <v>MMM 2011</v>
      </c>
      <c r="P160" s="10" t="str">
        <f>'(FnCalls 1)'!F55</f>
        <v>MMM 2011</v>
      </c>
      <c r="Q160" s="10" t="str">
        <f>'(FnCalls 1)'!F56</f>
        <v>MMM 2011</v>
      </c>
      <c r="R160" s="10" t="str">
        <f>'(FnCalls 1)'!F57</f>
        <v>MMM 2011</v>
      </c>
      <c r="S160" s="11" t="str">
        <f>'(FnCalls 1)'!F58</f>
        <v>MMM 2011</v>
      </c>
    </row>
    <row r="161" spans="1:19" ht="12.75" hidden="1" customHeight="1" outlineLevel="1" x14ac:dyDescent="0.2">
      <c r="A161" s="182" t="str">
        <f>Labels!B76</f>
        <v>Staff Hrs Applied</v>
      </c>
      <c r="B161" s="223"/>
      <c r="C161" s="223"/>
      <c r="D161" s="223"/>
      <c r="E161" s="223"/>
      <c r="F161" s="223"/>
      <c r="G161" s="223"/>
      <c r="H161" s="223"/>
      <c r="I161" s="223"/>
      <c r="J161" s="223"/>
      <c r="K161" s="223"/>
      <c r="L161" s="223"/>
      <c r="M161" s="223"/>
      <c r="N161" s="223"/>
      <c r="O161" s="223"/>
      <c r="P161" s="223"/>
      <c r="Q161" s="223"/>
      <c r="R161" s="223"/>
      <c r="S161" s="284"/>
    </row>
    <row r="162" spans="1:19" ht="12.75" hidden="1" customHeight="1" outlineLevel="1" x14ac:dyDescent="0.2">
      <c r="A162" s="188" t="str">
        <f>"   "&amp;Labels!B345</f>
        <v xml:space="preserve">   Engage 1</v>
      </c>
      <c r="B162" s="166"/>
      <c r="C162" s="166"/>
      <c r="D162" s="166"/>
      <c r="E162" s="166"/>
      <c r="F162" s="166"/>
      <c r="G162" s="166"/>
      <c r="H162" s="166"/>
      <c r="I162" s="166"/>
      <c r="J162" s="166"/>
      <c r="K162" s="166"/>
      <c r="L162" s="166"/>
      <c r="M162" s="166"/>
      <c r="N162" s="166"/>
      <c r="O162" s="166"/>
      <c r="P162" s="166"/>
      <c r="Q162" s="166"/>
      <c r="R162" s="166"/>
      <c r="S162" s="285"/>
    </row>
    <row r="163" spans="1:19" ht="12.75" hidden="1" customHeight="1" outlineLevel="1" x14ac:dyDescent="0.2">
      <c r="A163" s="198" t="str">
        <f>"      "&amp;Labels!B385</f>
        <v xml:space="preserve">      Prof Level 1</v>
      </c>
      <c r="B163" s="237">
        <f>IF('(Tables)'!C9&lt;Inputs!H13-0.001,0,IF('(Tables)'!C9&gt;Inputs!H13+Inputs!G20-0.99,0,INDEX(Inputs!F32:I32,,MIN('(Tables)'!B45,'(Tables)'!C9+1-Inputs!H13))))</f>
        <v>0</v>
      </c>
      <c r="C163" s="237">
        <f>IF('(Tables)'!D9&lt;Inputs!H13-0.001,0,IF('(Tables)'!D9&gt;Inputs!H13+Inputs!G20-0.99,0,INDEX(Inputs!F32:I32,,MIN('(Tables)'!B45,'(Tables)'!D9+1-Inputs!H13))))</f>
        <v>0</v>
      </c>
      <c r="D163" s="237">
        <f>IF('(Tables)'!E9&lt;Inputs!H13-0.001,0,IF('(Tables)'!E9&gt;Inputs!H13+Inputs!G20-0.99,0,INDEX(Inputs!F32:I32,,MIN('(Tables)'!B45,'(Tables)'!E9+1-Inputs!H13))))</f>
        <v>275</v>
      </c>
      <c r="E163" s="237">
        <f>IF('(Tables)'!F9&lt;Inputs!H13-0.001,0,IF('(Tables)'!F9&gt;Inputs!H13+Inputs!G20-0.99,0,INDEX(Inputs!F32:I32,,MIN('(Tables)'!B45,'(Tables)'!F9+1-Inputs!H13))))</f>
        <v>275</v>
      </c>
      <c r="F163" s="237">
        <f>IF('(Tables)'!G9&lt;Inputs!H13-0.001,0,IF('(Tables)'!G9&gt;Inputs!H13+Inputs!G20-0.99,0,INDEX(Inputs!F32:I32,,MIN('(Tables)'!B45,'(Tables)'!G9+1-Inputs!H13))))</f>
        <v>0</v>
      </c>
      <c r="G163" s="237">
        <f>IF('(Tables)'!H9&lt;Inputs!H13-0.001,0,IF('(Tables)'!H9&gt;Inputs!H13+Inputs!G20-0.99,0,INDEX(Inputs!F32:I32,,MIN('(Tables)'!B45,'(Tables)'!H9+1-Inputs!H13))))</f>
        <v>0</v>
      </c>
      <c r="H163" s="237">
        <f>IF('(Tables)'!I9&lt;Inputs!H13-0.001,0,IF('(Tables)'!I9&gt;Inputs!H13+Inputs!G20-0.99,0,INDEX(Inputs!F32:I32,,MIN('(Tables)'!B45,'(Tables)'!I9+1-Inputs!H13))))</f>
        <v>0</v>
      </c>
      <c r="I163" s="237">
        <f>IF('(Tables)'!J9&lt;Inputs!H13-0.001,0,IF('(Tables)'!J9&gt;Inputs!H13+Inputs!G20-0.99,0,INDEX(Inputs!F32:I32,,MIN('(Tables)'!B45,'(Tables)'!J9+1-Inputs!H13))))</f>
        <v>0</v>
      </c>
      <c r="J163" s="237">
        <f>IF('(Tables)'!K9&lt;Inputs!H13-0.001,0,IF('(Tables)'!K9&gt;Inputs!H13+Inputs!G20-0.99,0,INDEX(Inputs!F32:I32,,MIN('(Tables)'!B45,'(Tables)'!K9+1-Inputs!H13))))</f>
        <v>0</v>
      </c>
      <c r="K163" s="237">
        <f>IF('(Tables)'!L9&lt;Inputs!H13-0.001,0,IF('(Tables)'!L9&gt;Inputs!H13+Inputs!G20-0.99,0,INDEX(Inputs!F32:I32,,MIN('(Tables)'!B45,'(Tables)'!L9+1-Inputs!H13))))</f>
        <v>0</v>
      </c>
      <c r="L163" s="237">
        <f>IF('(Tables)'!M9&lt;Inputs!H13-0.001,0,IF('(Tables)'!M9&gt;Inputs!H13+Inputs!G20-0.99,0,INDEX(Inputs!F32:I32,,MIN('(Tables)'!B45,'(Tables)'!M9+1-Inputs!H13))))</f>
        <v>0</v>
      </c>
      <c r="M163" s="237">
        <f>IF('(Tables)'!N9&lt;Inputs!H13-0.001,0,IF('(Tables)'!N9&gt;Inputs!H13+Inputs!G20-0.99,0,INDEX(Inputs!F32:I32,,MIN('(Tables)'!B45,'(Tables)'!N9+1-Inputs!H13))))</f>
        <v>0</v>
      </c>
      <c r="N163" s="237">
        <f>IF('(Tables)'!O9&lt;Inputs!H13-0.001,0,IF('(Tables)'!O9&gt;Inputs!H13+Inputs!G20-0.99,0,INDEX(Inputs!F32:I32,,MIN('(Tables)'!B45,'(Tables)'!O9+1-Inputs!H13))))</f>
        <v>0</v>
      </c>
      <c r="O163" s="237">
        <f>IF('(Tables)'!P9&lt;Inputs!H13-0.001,0,IF('(Tables)'!P9&gt;Inputs!H13+Inputs!G20-0.99,0,INDEX(Inputs!F32:I32,,MIN('(Tables)'!B45,'(Tables)'!P9+1-Inputs!H13))))</f>
        <v>0</v>
      </c>
      <c r="P163" s="237">
        <f>IF('(Tables)'!Q9&lt;Inputs!H13-0.001,0,IF('(Tables)'!Q9&gt;Inputs!H13+Inputs!G20-0.99,0,INDEX(Inputs!F32:I32,,MIN('(Tables)'!B45,'(Tables)'!Q9+1-Inputs!H13))))</f>
        <v>0</v>
      </c>
      <c r="Q163" s="237">
        <f>IF('(Tables)'!R9&lt;Inputs!H13-0.001,0,IF('(Tables)'!R9&gt;Inputs!H13+Inputs!G20-0.99,0,INDEX(Inputs!F32:I32,,MIN('(Tables)'!B45,'(Tables)'!R9+1-Inputs!H13))))</f>
        <v>0</v>
      </c>
      <c r="R163" s="237">
        <f>IF('(Tables)'!S9&lt;Inputs!H13-0.001,0,IF('(Tables)'!S9&gt;Inputs!H13+Inputs!G20-0.99,0,INDEX(Inputs!F32:I32,,MIN('(Tables)'!B45,'(Tables)'!S9+1-Inputs!H13))))</f>
        <v>0</v>
      </c>
      <c r="S163" s="286">
        <f>IF('(Tables)'!T9&lt;Inputs!H13-0.001,0,IF('(Tables)'!T9&gt;Inputs!H13+Inputs!G20-0.99,0,INDEX(Inputs!F32:I32,,MIN('(Tables)'!B45,'(Tables)'!T9+1-Inputs!H13))))</f>
        <v>0</v>
      </c>
    </row>
    <row r="164" spans="1:19" ht="12.75" hidden="1" customHeight="1" outlineLevel="1" x14ac:dyDescent="0.2">
      <c r="A164" s="198" t="str">
        <f>"      "&amp;Labels!B386</f>
        <v xml:space="preserve">      Prof Level 2</v>
      </c>
      <c r="B164" s="237">
        <f>IF('(Tables)'!C9&lt;Inputs!H13-0.001,0,IF('(Tables)'!C9&gt;Inputs!H13+Inputs!G20-0.99,0,INDEX(Inputs!F33:I33,,MIN('(Tables)'!B45,'(Tables)'!C9+1-Inputs!H13))))</f>
        <v>0</v>
      </c>
      <c r="C164" s="237">
        <f>IF('(Tables)'!D9&lt;Inputs!H13-0.001,0,IF('(Tables)'!D9&gt;Inputs!H13+Inputs!G20-0.99,0,INDEX(Inputs!F33:I33,,MIN('(Tables)'!B45,'(Tables)'!D9+1-Inputs!H13))))</f>
        <v>0</v>
      </c>
      <c r="D164" s="237">
        <f>IF('(Tables)'!E9&lt;Inputs!H13-0.001,0,IF('(Tables)'!E9&gt;Inputs!H13+Inputs!G20-0.99,0,INDEX(Inputs!F33:I33,,MIN('(Tables)'!B45,'(Tables)'!E9+1-Inputs!H13))))</f>
        <v>275</v>
      </c>
      <c r="E164" s="237">
        <f>IF('(Tables)'!F9&lt;Inputs!H13-0.001,0,IF('(Tables)'!F9&gt;Inputs!H13+Inputs!G20-0.99,0,INDEX(Inputs!F33:I33,,MIN('(Tables)'!B45,'(Tables)'!F9+1-Inputs!H13))))</f>
        <v>275</v>
      </c>
      <c r="F164" s="237">
        <f>IF('(Tables)'!G9&lt;Inputs!H13-0.001,0,IF('(Tables)'!G9&gt;Inputs!H13+Inputs!G20-0.99,0,INDEX(Inputs!F33:I33,,MIN('(Tables)'!B45,'(Tables)'!G9+1-Inputs!H13))))</f>
        <v>0</v>
      </c>
      <c r="G164" s="237">
        <f>IF('(Tables)'!H9&lt;Inputs!H13-0.001,0,IF('(Tables)'!H9&gt;Inputs!H13+Inputs!G20-0.99,0,INDEX(Inputs!F33:I33,,MIN('(Tables)'!B45,'(Tables)'!H9+1-Inputs!H13))))</f>
        <v>0</v>
      </c>
      <c r="H164" s="237">
        <f>IF('(Tables)'!I9&lt;Inputs!H13-0.001,0,IF('(Tables)'!I9&gt;Inputs!H13+Inputs!G20-0.99,0,INDEX(Inputs!F33:I33,,MIN('(Tables)'!B45,'(Tables)'!I9+1-Inputs!H13))))</f>
        <v>0</v>
      </c>
      <c r="I164" s="237">
        <f>IF('(Tables)'!J9&lt;Inputs!H13-0.001,0,IF('(Tables)'!J9&gt;Inputs!H13+Inputs!G20-0.99,0,INDEX(Inputs!F33:I33,,MIN('(Tables)'!B45,'(Tables)'!J9+1-Inputs!H13))))</f>
        <v>0</v>
      </c>
      <c r="J164" s="237">
        <f>IF('(Tables)'!K9&lt;Inputs!H13-0.001,0,IF('(Tables)'!K9&gt;Inputs!H13+Inputs!G20-0.99,0,INDEX(Inputs!F33:I33,,MIN('(Tables)'!B45,'(Tables)'!K9+1-Inputs!H13))))</f>
        <v>0</v>
      </c>
      <c r="K164" s="237">
        <f>IF('(Tables)'!L9&lt;Inputs!H13-0.001,0,IF('(Tables)'!L9&gt;Inputs!H13+Inputs!G20-0.99,0,INDEX(Inputs!F33:I33,,MIN('(Tables)'!B45,'(Tables)'!L9+1-Inputs!H13))))</f>
        <v>0</v>
      </c>
      <c r="L164" s="237">
        <f>IF('(Tables)'!M9&lt;Inputs!H13-0.001,0,IF('(Tables)'!M9&gt;Inputs!H13+Inputs!G20-0.99,0,INDEX(Inputs!F33:I33,,MIN('(Tables)'!B45,'(Tables)'!M9+1-Inputs!H13))))</f>
        <v>0</v>
      </c>
      <c r="M164" s="237">
        <f>IF('(Tables)'!N9&lt;Inputs!H13-0.001,0,IF('(Tables)'!N9&gt;Inputs!H13+Inputs!G20-0.99,0,INDEX(Inputs!F33:I33,,MIN('(Tables)'!B45,'(Tables)'!N9+1-Inputs!H13))))</f>
        <v>0</v>
      </c>
      <c r="N164" s="237">
        <f>IF('(Tables)'!O9&lt;Inputs!H13-0.001,0,IF('(Tables)'!O9&gt;Inputs!H13+Inputs!G20-0.99,0,INDEX(Inputs!F33:I33,,MIN('(Tables)'!B45,'(Tables)'!O9+1-Inputs!H13))))</f>
        <v>0</v>
      </c>
      <c r="O164" s="237">
        <f>IF('(Tables)'!P9&lt;Inputs!H13-0.001,0,IF('(Tables)'!P9&gt;Inputs!H13+Inputs!G20-0.99,0,INDEX(Inputs!F33:I33,,MIN('(Tables)'!B45,'(Tables)'!P9+1-Inputs!H13))))</f>
        <v>0</v>
      </c>
      <c r="P164" s="237">
        <f>IF('(Tables)'!Q9&lt;Inputs!H13-0.001,0,IF('(Tables)'!Q9&gt;Inputs!H13+Inputs!G20-0.99,0,INDEX(Inputs!F33:I33,,MIN('(Tables)'!B45,'(Tables)'!Q9+1-Inputs!H13))))</f>
        <v>0</v>
      </c>
      <c r="Q164" s="237">
        <f>IF('(Tables)'!R9&lt;Inputs!H13-0.001,0,IF('(Tables)'!R9&gt;Inputs!H13+Inputs!G20-0.99,0,INDEX(Inputs!F33:I33,,MIN('(Tables)'!B45,'(Tables)'!R9+1-Inputs!H13))))</f>
        <v>0</v>
      </c>
      <c r="R164" s="237">
        <f>IF('(Tables)'!S9&lt;Inputs!H13-0.001,0,IF('(Tables)'!S9&gt;Inputs!H13+Inputs!G20-0.99,0,INDEX(Inputs!F33:I33,,MIN('(Tables)'!B45,'(Tables)'!S9+1-Inputs!H13))))</f>
        <v>0</v>
      </c>
      <c r="S164" s="286">
        <f>IF('(Tables)'!T9&lt;Inputs!H13-0.001,0,IF('(Tables)'!T9&gt;Inputs!H13+Inputs!G20-0.99,0,INDEX(Inputs!F33:I33,,MIN('(Tables)'!B45,'(Tables)'!T9+1-Inputs!H13))))</f>
        <v>0</v>
      </c>
    </row>
    <row r="165" spans="1:19" ht="12.75" hidden="1" customHeight="1" outlineLevel="1" x14ac:dyDescent="0.2">
      <c r="A165" s="188" t="str">
        <f>"      "&amp;Labels!C384</f>
        <v xml:space="preserve">      Total</v>
      </c>
      <c r="B165" s="166">
        <f t="shared" ref="B165:S165" si="72">SUM(B163:B164)</f>
        <v>0</v>
      </c>
      <c r="C165" s="166">
        <f t="shared" si="72"/>
        <v>0</v>
      </c>
      <c r="D165" s="166">
        <f t="shared" si="72"/>
        <v>550</v>
      </c>
      <c r="E165" s="166">
        <f t="shared" si="72"/>
        <v>550</v>
      </c>
      <c r="F165" s="166">
        <f t="shared" si="72"/>
        <v>0</v>
      </c>
      <c r="G165" s="166">
        <f t="shared" si="72"/>
        <v>0</v>
      </c>
      <c r="H165" s="166">
        <f t="shared" si="72"/>
        <v>0</v>
      </c>
      <c r="I165" s="166">
        <f t="shared" si="72"/>
        <v>0</v>
      </c>
      <c r="J165" s="166">
        <f t="shared" si="72"/>
        <v>0</v>
      </c>
      <c r="K165" s="166">
        <f t="shared" si="72"/>
        <v>0</v>
      </c>
      <c r="L165" s="166">
        <f t="shared" si="72"/>
        <v>0</v>
      </c>
      <c r="M165" s="166">
        <f t="shared" si="72"/>
        <v>0</v>
      </c>
      <c r="N165" s="166">
        <f t="shared" si="72"/>
        <v>0</v>
      </c>
      <c r="O165" s="166">
        <f t="shared" si="72"/>
        <v>0</v>
      </c>
      <c r="P165" s="166">
        <f t="shared" si="72"/>
        <v>0</v>
      </c>
      <c r="Q165" s="166">
        <f t="shared" si="72"/>
        <v>0</v>
      </c>
      <c r="R165" s="166">
        <f t="shared" si="72"/>
        <v>0</v>
      </c>
      <c r="S165" s="285">
        <f t="shared" si="72"/>
        <v>0</v>
      </c>
    </row>
    <row r="166" spans="1:19" ht="12.75" hidden="1" customHeight="1" outlineLevel="1" x14ac:dyDescent="0.2">
      <c r="A166" s="188" t="str">
        <f>"   "&amp;Labels!B346</f>
        <v xml:space="preserve">   Engage 2</v>
      </c>
      <c r="B166" s="166"/>
      <c r="C166" s="166"/>
      <c r="D166" s="166"/>
      <c r="E166" s="166"/>
      <c r="F166" s="166"/>
      <c r="G166" s="166"/>
      <c r="H166" s="166"/>
      <c r="I166" s="166"/>
      <c r="J166" s="166"/>
      <c r="K166" s="166"/>
      <c r="L166" s="166"/>
      <c r="M166" s="166"/>
      <c r="N166" s="166"/>
      <c r="O166" s="166"/>
      <c r="P166" s="166"/>
      <c r="Q166" s="166"/>
      <c r="R166" s="166"/>
      <c r="S166" s="285"/>
    </row>
    <row r="167" spans="1:19" ht="12.75" hidden="1" customHeight="1" outlineLevel="1" x14ac:dyDescent="0.2">
      <c r="A167" s="198" t="str">
        <f>"      "&amp;Labels!B385</f>
        <v xml:space="preserve">      Prof Level 1</v>
      </c>
      <c r="B167" s="237">
        <f>IF('(Tables)'!C9&lt;Inputs!H14-0.001,0,IF('(Tables)'!C9&gt;Inputs!H14+Inputs!G21-0.99,0,INDEX(Inputs!F34:I34,,MIN('(Tables)'!B45,'(Tables)'!C9+1-Inputs!H14))))</f>
        <v>0</v>
      </c>
      <c r="C167" s="237">
        <f>IF('(Tables)'!D9&lt;Inputs!H14-0.001,0,IF('(Tables)'!D9&gt;Inputs!H14+Inputs!G21-0.99,0,INDEX(Inputs!F34:I34,,MIN('(Tables)'!B45,'(Tables)'!D9+1-Inputs!H14))))</f>
        <v>0</v>
      </c>
      <c r="D167" s="237">
        <f>IF('(Tables)'!E9&lt;Inputs!H14-0.001,0,IF('(Tables)'!E9&gt;Inputs!H14+Inputs!G21-0.99,0,INDEX(Inputs!F34:I34,,MIN('(Tables)'!B45,'(Tables)'!E9+1-Inputs!H14))))</f>
        <v>0</v>
      </c>
      <c r="E167" s="237">
        <f>IF('(Tables)'!F9&lt;Inputs!H14-0.001,0,IF('(Tables)'!F9&gt;Inputs!H14+Inputs!G21-0.99,0,INDEX(Inputs!F34:I34,,MIN('(Tables)'!B45,'(Tables)'!F9+1-Inputs!H14))))</f>
        <v>0</v>
      </c>
      <c r="F167" s="237">
        <f>IF('(Tables)'!G9&lt;Inputs!H14-0.001,0,IF('(Tables)'!G9&gt;Inputs!H14+Inputs!G21-0.99,0,INDEX(Inputs!F34:I34,,MIN('(Tables)'!B45,'(Tables)'!G9+1-Inputs!H14))))</f>
        <v>0</v>
      </c>
      <c r="G167" s="237">
        <f>IF('(Tables)'!H9&lt;Inputs!H14-0.001,0,IF('(Tables)'!H9&gt;Inputs!H14+Inputs!G21-0.99,0,INDEX(Inputs!F34:I34,,MIN('(Tables)'!B45,'(Tables)'!H9+1-Inputs!H14))))</f>
        <v>200</v>
      </c>
      <c r="H167" s="237">
        <f>IF('(Tables)'!I9&lt;Inputs!H14-0.001,0,IF('(Tables)'!I9&gt;Inputs!H14+Inputs!G21-0.99,0,INDEX(Inputs!F34:I34,,MIN('(Tables)'!B45,'(Tables)'!I9+1-Inputs!H14))))</f>
        <v>200</v>
      </c>
      <c r="I167" s="237">
        <f>IF('(Tables)'!J9&lt;Inputs!H14-0.001,0,IF('(Tables)'!J9&gt;Inputs!H14+Inputs!G21-0.99,0,INDEX(Inputs!F34:I34,,MIN('(Tables)'!B45,'(Tables)'!J9+1-Inputs!H14))))</f>
        <v>200</v>
      </c>
      <c r="J167" s="237">
        <f>IF('(Tables)'!K9&lt;Inputs!H14-0.001,0,IF('(Tables)'!K9&gt;Inputs!H14+Inputs!G21-0.99,0,INDEX(Inputs!F34:I34,,MIN('(Tables)'!B45,'(Tables)'!K9+1-Inputs!H14))))</f>
        <v>0</v>
      </c>
      <c r="K167" s="237">
        <f>IF('(Tables)'!L9&lt;Inputs!H14-0.001,0,IF('(Tables)'!L9&gt;Inputs!H14+Inputs!G21-0.99,0,INDEX(Inputs!F34:I34,,MIN('(Tables)'!B45,'(Tables)'!L9+1-Inputs!H14))))</f>
        <v>0</v>
      </c>
      <c r="L167" s="237">
        <f>IF('(Tables)'!M9&lt;Inputs!H14-0.001,0,IF('(Tables)'!M9&gt;Inputs!H14+Inputs!G21-0.99,0,INDEX(Inputs!F34:I34,,MIN('(Tables)'!B45,'(Tables)'!M9+1-Inputs!H14))))</f>
        <v>0</v>
      </c>
      <c r="M167" s="237">
        <f>IF('(Tables)'!N9&lt;Inputs!H14-0.001,0,IF('(Tables)'!N9&gt;Inputs!H14+Inputs!G21-0.99,0,INDEX(Inputs!F34:I34,,MIN('(Tables)'!B45,'(Tables)'!N9+1-Inputs!H14))))</f>
        <v>0</v>
      </c>
      <c r="N167" s="237">
        <f>IF('(Tables)'!O9&lt;Inputs!H14-0.001,0,IF('(Tables)'!O9&gt;Inputs!H14+Inputs!G21-0.99,0,INDEX(Inputs!F34:I34,,MIN('(Tables)'!B45,'(Tables)'!O9+1-Inputs!H14))))</f>
        <v>0</v>
      </c>
      <c r="O167" s="237">
        <f>IF('(Tables)'!P9&lt;Inputs!H14-0.001,0,IF('(Tables)'!P9&gt;Inputs!H14+Inputs!G21-0.99,0,INDEX(Inputs!F34:I34,,MIN('(Tables)'!B45,'(Tables)'!P9+1-Inputs!H14))))</f>
        <v>0</v>
      </c>
      <c r="P167" s="237">
        <f>IF('(Tables)'!Q9&lt;Inputs!H14-0.001,0,IF('(Tables)'!Q9&gt;Inputs!H14+Inputs!G21-0.99,0,INDEX(Inputs!F34:I34,,MIN('(Tables)'!B45,'(Tables)'!Q9+1-Inputs!H14))))</f>
        <v>0</v>
      </c>
      <c r="Q167" s="237">
        <f>IF('(Tables)'!R9&lt;Inputs!H14-0.001,0,IF('(Tables)'!R9&gt;Inputs!H14+Inputs!G21-0.99,0,INDEX(Inputs!F34:I34,,MIN('(Tables)'!B45,'(Tables)'!R9+1-Inputs!H14))))</f>
        <v>0</v>
      </c>
      <c r="R167" s="237">
        <f>IF('(Tables)'!S9&lt;Inputs!H14-0.001,0,IF('(Tables)'!S9&gt;Inputs!H14+Inputs!G21-0.99,0,INDEX(Inputs!F34:I34,,MIN('(Tables)'!B45,'(Tables)'!S9+1-Inputs!H14))))</f>
        <v>0</v>
      </c>
      <c r="S167" s="286">
        <f>IF('(Tables)'!T9&lt;Inputs!H14-0.001,0,IF('(Tables)'!T9&gt;Inputs!H14+Inputs!G21-0.99,0,INDEX(Inputs!F34:I34,,MIN('(Tables)'!B45,'(Tables)'!T9+1-Inputs!H14))))</f>
        <v>0</v>
      </c>
    </row>
    <row r="168" spans="1:19" ht="12.75" hidden="1" customHeight="1" outlineLevel="1" x14ac:dyDescent="0.2">
      <c r="A168" s="198" t="str">
        <f>"      "&amp;Labels!B386</f>
        <v xml:space="preserve">      Prof Level 2</v>
      </c>
      <c r="B168" s="237">
        <f>IF('(Tables)'!C9&lt;Inputs!H14-0.001,0,IF('(Tables)'!C9&gt;Inputs!H14+Inputs!G21-0.99,0,INDEX(Inputs!F35:I35,,MIN('(Tables)'!B45,'(Tables)'!C9+1-Inputs!H14))))</f>
        <v>0</v>
      </c>
      <c r="C168" s="237">
        <f>IF('(Tables)'!D9&lt;Inputs!H14-0.001,0,IF('(Tables)'!D9&gt;Inputs!H14+Inputs!G21-0.99,0,INDEX(Inputs!F35:I35,,MIN('(Tables)'!B45,'(Tables)'!D9+1-Inputs!H14))))</f>
        <v>0</v>
      </c>
      <c r="D168" s="237">
        <f>IF('(Tables)'!E9&lt;Inputs!H14-0.001,0,IF('(Tables)'!E9&gt;Inputs!H14+Inputs!G21-0.99,0,INDEX(Inputs!F35:I35,,MIN('(Tables)'!B45,'(Tables)'!E9+1-Inputs!H14))))</f>
        <v>0</v>
      </c>
      <c r="E168" s="237">
        <f>IF('(Tables)'!F9&lt;Inputs!H14-0.001,0,IF('(Tables)'!F9&gt;Inputs!H14+Inputs!G21-0.99,0,INDEX(Inputs!F35:I35,,MIN('(Tables)'!B45,'(Tables)'!F9+1-Inputs!H14))))</f>
        <v>0</v>
      </c>
      <c r="F168" s="237">
        <f>IF('(Tables)'!G9&lt;Inputs!H14-0.001,0,IF('(Tables)'!G9&gt;Inputs!H14+Inputs!G21-0.99,0,INDEX(Inputs!F35:I35,,MIN('(Tables)'!B45,'(Tables)'!G9+1-Inputs!H14))))</f>
        <v>0</v>
      </c>
      <c r="G168" s="237">
        <f>IF('(Tables)'!H9&lt;Inputs!H14-0.001,0,IF('(Tables)'!H9&gt;Inputs!H14+Inputs!G21-0.99,0,INDEX(Inputs!F35:I35,,MIN('(Tables)'!B45,'(Tables)'!H9+1-Inputs!H14))))</f>
        <v>200</v>
      </c>
      <c r="H168" s="237">
        <f>IF('(Tables)'!I9&lt;Inputs!H14-0.001,0,IF('(Tables)'!I9&gt;Inputs!H14+Inputs!G21-0.99,0,INDEX(Inputs!F35:I35,,MIN('(Tables)'!B45,'(Tables)'!I9+1-Inputs!H14))))</f>
        <v>200</v>
      </c>
      <c r="I168" s="237">
        <f>IF('(Tables)'!J9&lt;Inputs!H14-0.001,0,IF('(Tables)'!J9&gt;Inputs!H14+Inputs!G21-0.99,0,INDEX(Inputs!F35:I35,,MIN('(Tables)'!B45,'(Tables)'!J9+1-Inputs!H14))))</f>
        <v>200</v>
      </c>
      <c r="J168" s="237">
        <f>IF('(Tables)'!K9&lt;Inputs!H14-0.001,0,IF('(Tables)'!K9&gt;Inputs!H14+Inputs!G21-0.99,0,INDEX(Inputs!F35:I35,,MIN('(Tables)'!B45,'(Tables)'!K9+1-Inputs!H14))))</f>
        <v>0</v>
      </c>
      <c r="K168" s="237">
        <f>IF('(Tables)'!L9&lt;Inputs!H14-0.001,0,IF('(Tables)'!L9&gt;Inputs!H14+Inputs!G21-0.99,0,INDEX(Inputs!F35:I35,,MIN('(Tables)'!B45,'(Tables)'!L9+1-Inputs!H14))))</f>
        <v>0</v>
      </c>
      <c r="L168" s="237">
        <f>IF('(Tables)'!M9&lt;Inputs!H14-0.001,0,IF('(Tables)'!M9&gt;Inputs!H14+Inputs!G21-0.99,0,INDEX(Inputs!F35:I35,,MIN('(Tables)'!B45,'(Tables)'!M9+1-Inputs!H14))))</f>
        <v>0</v>
      </c>
      <c r="M168" s="237">
        <f>IF('(Tables)'!N9&lt;Inputs!H14-0.001,0,IF('(Tables)'!N9&gt;Inputs!H14+Inputs!G21-0.99,0,INDEX(Inputs!F35:I35,,MIN('(Tables)'!B45,'(Tables)'!N9+1-Inputs!H14))))</f>
        <v>0</v>
      </c>
      <c r="N168" s="237">
        <f>IF('(Tables)'!O9&lt;Inputs!H14-0.001,0,IF('(Tables)'!O9&gt;Inputs!H14+Inputs!G21-0.99,0,INDEX(Inputs!F35:I35,,MIN('(Tables)'!B45,'(Tables)'!O9+1-Inputs!H14))))</f>
        <v>0</v>
      </c>
      <c r="O168" s="237">
        <f>IF('(Tables)'!P9&lt;Inputs!H14-0.001,0,IF('(Tables)'!P9&gt;Inputs!H14+Inputs!G21-0.99,0,INDEX(Inputs!F35:I35,,MIN('(Tables)'!B45,'(Tables)'!P9+1-Inputs!H14))))</f>
        <v>0</v>
      </c>
      <c r="P168" s="237">
        <f>IF('(Tables)'!Q9&lt;Inputs!H14-0.001,0,IF('(Tables)'!Q9&gt;Inputs!H14+Inputs!G21-0.99,0,INDEX(Inputs!F35:I35,,MIN('(Tables)'!B45,'(Tables)'!Q9+1-Inputs!H14))))</f>
        <v>0</v>
      </c>
      <c r="Q168" s="237">
        <f>IF('(Tables)'!R9&lt;Inputs!H14-0.001,0,IF('(Tables)'!R9&gt;Inputs!H14+Inputs!G21-0.99,0,INDEX(Inputs!F35:I35,,MIN('(Tables)'!B45,'(Tables)'!R9+1-Inputs!H14))))</f>
        <v>0</v>
      </c>
      <c r="R168" s="237">
        <f>IF('(Tables)'!S9&lt;Inputs!H14-0.001,0,IF('(Tables)'!S9&gt;Inputs!H14+Inputs!G21-0.99,0,INDEX(Inputs!F35:I35,,MIN('(Tables)'!B45,'(Tables)'!S9+1-Inputs!H14))))</f>
        <v>0</v>
      </c>
      <c r="S168" s="286">
        <f>IF('(Tables)'!T9&lt;Inputs!H14-0.001,0,IF('(Tables)'!T9&gt;Inputs!H14+Inputs!G21-0.99,0,INDEX(Inputs!F35:I35,,MIN('(Tables)'!B45,'(Tables)'!T9+1-Inputs!H14))))</f>
        <v>0</v>
      </c>
    </row>
    <row r="169" spans="1:19" ht="12.75" hidden="1" customHeight="1" outlineLevel="1" x14ac:dyDescent="0.2">
      <c r="A169" s="188" t="str">
        <f>"      "&amp;Labels!C384</f>
        <v xml:space="preserve">      Total</v>
      </c>
      <c r="B169" s="166">
        <f t="shared" ref="B169:S169" si="73">SUM(B167:B168)</f>
        <v>0</v>
      </c>
      <c r="C169" s="166">
        <f t="shared" si="73"/>
        <v>0</v>
      </c>
      <c r="D169" s="166">
        <f t="shared" si="73"/>
        <v>0</v>
      </c>
      <c r="E169" s="166">
        <f t="shared" si="73"/>
        <v>0</v>
      </c>
      <c r="F169" s="166">
        <f t="shared" si="73"/>
        <v>0</v>
      </c>
      <c r="G169" s="166">
        <f t="shared" si="73"/>
        <v>400</v>
      </c>
      <c r="H169" s="166">
        <f t="shared" si="73"/>
        <v>400</v>
      </c>
      <c r="I169" s="166">
        <f t="shared" si="73"/>
        <v>400</v>
      </c>
      <c r="J169" s="166">
        <f t="shared" si="73"/>
        <v>0</v>
      </c>
      <c r="K169" s="166">
        <f t="shared" si="73"/>
        <v>0</v>
      </c>
      <c r="L169" s="166">
        <f t="shared" si="73"/>
        <v>0</v>
      </c>
      <c r="M169" s="166">
        <f t="shared" si="73"/>
        <v>0</v>
      </c>
      <c r="N169" s="166">
        <f t="shared" si="73"/>
        <v>0</v>
      </c>
      <c r="O169" s="166">
        <f t="shared" si="73"/>
        <v>0</v>
      </c>
      <c r="P169" s="166">
        <f t="shared" si="73"/>
        <v>0</v>
      </c>
      <c r="Q169" s="166">
        <f t="shared" si="73"/>
        <v>0</v>
      </c>
      <c r="R169" s="166">
        <f t="shared" si="73"/>
        <v>0</v>
      </c>
      <c r="S169" s="285">
        <f t="shared" si="73"/>
        <v>0</v>
      </c>
    </row>
    <row r="170" spans="1:19" ht="12.75" hidden="1" customHeight="1" outlineLevel="1" x14ac:dyDescent="0.2">
      <c r="A170" s="191" t="str">
        <f>"   "&amp;Labels!C344</f>
        <v xml:space="preserve">   Total</v>
      </c>
      <c r="B170" s="216">
        <f t="shared" ref="B170:S170" si="74">SUM(B165,B169)</f>
        <v>0</v>
      </c>
      <c r="C170" s="216">
        <f t="shared" si="74"/>
        <v>0</v>
      </c>
      <c r="D170" s="216">
        <f t="shared" si="74"/>
        <v>550</v>
      </c>
      <c r="E170" s="216">
        <f t="shared" si="74"/>
        <v>550</v>
      </c>
      <c r="F170" s="216">
        <f t="shared" si="74"/>
        <v>0</v>
      </c>
      <c r="G170" s="216">
        <f t="shared" si="74"/>
        <v>400</v>
      </c>
      <c r="H170" s="216">
        <f t="shared" si="74"/>
        <v>400</v>
      </c>
      <c r="I170" s="216">
        <f t="shared" si="74"/>
        <v>400</v>
      </c>
      <c r="J170" s="216">
        <f t="shared" si="74"/>
        <v>0</v>
      </c>
      <c r="K170" s="216">
        <f t="shared" si="74"/>
        <v>0</v>
      </c>
      <c r="L170" s="216">
        <f t="shared" si="74"/>
        <v>0</v>
      </c>
      <c r="M170" s="216">
        <f t="shared" si="74"/>
        <v>0</v>
      </c>
      <c r="N170" s="216">
        <f t="shared" si="74"/>
        <v>0</v>
      </c>
      <c r="O170" s="216">
        <f t="shared" si="74"/>
        <v>0</v>
      </c>
      <c r="P170" s="216">
        <f t="shared" si="74"/>
        <v>0</v>
      </c>
      <c r="Q170" s="216">
        <f t="shared" si="74"/>
        <v>0</v>
      </c>
      <c r="R170" s="216">
        <f t="shared" si="74"/>
        <v>0</v>
      </c>
      <c r="S170" s="287">
        <f t="shared" si="74"/>
        <v>0</v>
      </c>
    </row>
    <row r="171" spans="1:19" ht="12.75" hidden="1" customHeight="1" outlineLevel="1" x14ac:dyDescent="0.2">
      <c r="A171" s="198" t="str">
        <f>"      "&amp;Labels!B385</f>
        <v xml:space="preserve">      Prof Level 1</v>
      </c>
      <c r="B171" s="237">
        <f t="shared" ref="B171:S171" si="75">SUM(B163,B167)</f>
        <v>0</v>
      </c>
      <c r="C171" s="237">
        <f t="shared" si="75"/>
        <v>0</v>
      </c>
      <c r="D171" s="237">
        <f t="shared" si="75"/>
        <v>275</v>
      </c>
      <c r="E171" s="237">
        <f t="shared" si="75"/>
        <v>275</v>
      </c>
      <c r="F171" s="237">
        <f t="shared" si="75"/>
        <v>0</v>
      </c>
      <c r="G171" s="237">
        <f t="shared" si="75"/>
        <v>200</v>
      </c>
      <c r="H171" s="237">
        <f t="shared" si="75"/>
        <v>200</v>
      </c>
      <c r="I171" s="237">
        <f t="shared" si="75"/>
        <v>200</v>
      </c>
      <c r="J171" s="237">
        <f t="shared" si="75"/>
        <v>0</v>
      </c>
      <c r="K171" s="237">
        <f t="shared" si="75"/>
        <v>0</v>
      </c>
      <c r="L171" s="237">
        <f t="shared" si="75"/>
        <v>0</v>
      </c>
      <c r="M171" s="237">
        <f t="shared" si="75"/>
        <v>0</v>
      </c>
      <c r="N171" s="237">
        <f t="shared" si="75"/>
        <v>0</v>
      </c>
      <c r="O171" s="237">
        <f t="shared" si="75"/>
        <v>0</v>
      </c>
      <c r="P171" s="237">
        <f t="shared" si="75"/>
        <v>0</v>
      </c>
      <c r="Q171" s="237">
        <f t="shared" si="75"/>
        <v>0</v>
      </c>
      <c r="R171" s="237">
        <f t="shared" si="75"/>
        <v>0</v>
      </c>
      <c r="S171" s="286">
        <f t="shared" si="75"/>
        <v>0</v>
      </c>
    </row>
    <row r="172" spans="1:19" ht="12.75" hidden="1" customHeight="1" outlineLevel="1" x14ac:dyDescent="0.2">
      <c r="A172" s="198" t="str">
        <f>"      "&amp;Labels!B386</f>
        <v xml:space="preserve">      Prof Level 2</v>
      </c>
      <c r="B172" s="237">
        <f t="shared" ref="B172:S172" si="76">SUM(B164,B168)</f>
        <v>0</v>
      </c>
      <c r="C172" s="237">
        <f t="shared" si="76"/>
        <v>0</v>
      </c>
      <c r="D172" s="237">
        <f t="shared" si="76"/>
        <v>275</v>
      </c>
      <c r="E172" s="237">
        <f t="shared" si="76"/>
        <v>275</v>
      </c>
      <c r="F172" s="237">
        <f t="shared" si="76"/>
        <v>0</v>
      </c>
      <c r="G172" s="237">
        <f t="shared" si="76"/>
        <v>200</v>
      </c>
      <c r="H172" s="237">
        <f t="shared" si="76"/>
        <v>200</v>
      </c>
      <c r="I172" s="237">
        <f t="shared" si="76"/>
        <v>200</v>
      </c>
      <c r="J172" s="237">
        <f t="shared" si="76"/>
        <v>0</v>
      </c>
      <c r="K172" s="237">
        <f t="shared" si="76"/>
        <v>0</v>
      </c>
      <c r="L172" s="237">
        <f t="shared" si="76"/>
        <v>0</v>
      </c>
      <c r="M172" s="237">
        <f t="shared" si="76"/>
        <v>0</v>
      </c>
      <c r="N172" s="237">
        <f t="shared" si="76"/>
        <v>0</v>
      </c>
      <c r="O172" s="237">
        <f t="shared" si="76"/>
        <v>0</v>
      </c>
      <c r="P172" s="237">
        <f t="shared" si="76"/>
        <v>0</v>
      </c>
      <c r="Q172" s="237">
        <f t="shared" si="76"/>
        <v>0</v>
      </c>
      <c r="R172" s="237">
        <f t="shared" si="76"/>
        <v>0</v>
      </c>
      <c r="S172" s="286">
        <f t="shared" si="76"/>
        <v>0</v>
      </c>
    </row>
    <row r="173" spans="1:19" ht="12.75" hidden="1" customHeight="1" outlineLevel="1" x14ac:dyDescent="0.2">
      <c r="A173" s="188" t="str">
        <f>"      "&amp;Labels!C384</f>
        <v xml:space="preserve">      Total</v>
      </c>
      <c r="B173" s="166">
        <f t="shared" ref="B173:S173" si="77">SUM(B165,B169)</f>
        <v>0</v>
      </c>
      <c r="C173" s="166">
        <f t="shared" si="77"/>
        <v>0</v>
      </c>
      <c r="D173" s="166">
        <f t="shared" si="77"/>
        <v>550</v>
      </c>
      <c r="E173" s="166">
        <f t="shared" si="77"/>
        <v>550</v>
      </c>
      <c r="F173" s="166">
        <f t="shared" si="77"/>
        <v>0</v>
      </c>
      <c r="G173" s="166">
        <f t="shared" si="77"/>
        <v>400</v>
      </c>
      <c r="H173" s="166">
        <f t="shared" si="77"/>
        <v>400</v>
      </c>
      <c r="I173" s="166">
        <f t="shared" si="77"/>
        <v>400</v>
      </c>
      <c r="J173" s="166">
        <f t="shared" si="77"/>
        <v>0</v>
      </c>
      <c r="K173" s="166">
        <f t="shared" si="77"/>
        <v>0</v>
      </c>
      <c r="L173" s="166">
        <f t="shared" si="77"/>
        <v>0</v>
      </c>
      <c r="M173" s="166">
        <f t="shared" si="77"/>
        <v>0</v>
      </c>
      <c r="N173" s="166">
        <f t="shared" si="77"/>
        <v>0</v>
      </c>
      <c r="O173" s="166">
        <f t="shared" si="77"/>
        <v>0</v>
      </c>
      <c r="P173" s="166">
        <f t="shared" si="77"/>
        <v>0</v>
      </c>
      <c r="Q173" s="166">
        <f t="shared" si="77"/>
        <v>0</v>
      </c>
      <c r="R173" s="166">
        <f t="shared" si="77"/>
        <v>0</v>
      </c>
      <c r="S173" s="285">
        <f t="shared" si="77"/>
        <v>0</v>
      </c>
    </row>
    <row r="174" spans="1:19" ht="12.75" hidden="1" customHeight="1" outlineLevel="1" x14ac:dyDescent="0.2">
      <c r="A174" s="97"/>
      <c r="B174" s="6"/>
      <c r="C174" s="6"/>
      <c r="D174" s="6"/>
      <c r="E174" s="6"/>
      <c r="F174" s="6"/>
      <c r="G174" s="6"/>
      <c r="H174" s="6"/>
      <c r="I174" s="6"/>
      <c r="J174" s="6"/>
      <c r="K174" s="6"/>
      <c r="L174" s="6"/>
      <c r="M174" s="6"/>
      <c r="N174" s="6"/>
      <c r="O174" s="6"/>
      <c r="P174" s="6"/>
      <c r="Q174" s="6"/>
      <c r="R174" s="6"/>
      <c r="S174" s="7"/>
    </row>
    <row r="175" spans="1:19" ht="12.75" hidden="1" customHeight="1" outlineLevel="1" x14ac:dyDescent="0.2">
      <c r="A175" s="191" t="str">
        <f>Labels!B79</f>
        <v>Hours Billed</v>
      </c>
      <c r="B175" s="216"/>
      <c r="C175" s="216"/>
      <c r="D175" s="216"/>
      <c r="E175" s="216"/>
      <c r="F175" s="216"/>
      <c r="G175" s="216"/>
      <c r="H175" s="216"/>
      <c r="I175" s="216"/>
      <c r="J175" s="216"/>
      <c r="K175" s="216"/>
      <c r="L175" s="216"/>
      <c r="M175" s="216"/>
      <c r="N175" s="216"/>
      <c r="O175" s="216"/>
      <c r="P175" s="216"/>
      <c r="Q175" s="216"/>
      <c r="R175" s="216"/>
      <c r="S175" s="287"/>
    </row>
    <row r="176" spans="1:19" ht="12.75" hidden="1" customHeight="1" outlineLevel="1" x14ac:dyDescent="0.2">
      <c r="A176" s="188" t="str">
        <f>"   "&amp;Labels!B345</f>
        <v xml:space="preserve">   Engage 1</v>
      </c>
      <c r="B176" s="166"/>
      <c r="C176" s="166"/>
      <c r="D176" s="166"/>
      <c r="E176" s="166"/>
      <c r="F176" s="166"/>
      <c r="G176" s="166"/>
      <c r="H176" s="166"/>
      <c r="I176" s="166"/>
      <c r="J176" s="166"/>
      <c r="K176" s="166"/>
      <c r="L176" s="166"/>
      <c r="M176" s="166"/>
      <c r="N176" s="166"/>
      <c r="O176" s="166"/>
      <c r="P176" s="166"/>
      <c r="Q176" s="166"/>
      <c r="R176" s="166"/>
      <c r="S176" s="285"/>
    </row>
    <row r="177" spans="1:19" ht="12.75" hidden="1" customHeight="1" outlineLevel="1" x14ac:dyDescent="0.2">
      <c r="A177" s="198" t="str">
        <f>"      "&amp;Labels!B385</f>
        <v xml:space="preserve">      Prof Level 1</v>
      </c>
      <c r="B177" s="237">
        <f>IF('(Tables)'!C9&lt;Inputs!H13-0.001,0,IF('(Tables)'!C9&gt;Inputs!H13+Inputs!G20-0.999,0,INDEX('(Tables)'!B415:E415,,MIN('(Tables)'!B45,'(Tables)'!C9+1-Inputs!H13))))</f>
        <v>0</v>
      </c>
      <c r="C177" s="237">
        <f>IF('(Tables)'!D9&lt;Inputs!H13-0.001,0,IF('(Tables)'!D9&gt;Inputs!H13+Inputs!G20-0.999,0,INDEX('(Tables)'!B415:E415,,MIN('(Tables)'!B45,'(Tables)'!D9+1-Inputs!H13))))</f>
        <v>0</v>
      </c>
      <c r="D177" s="237">
        <f>IF('(Tables)'!E9&lt;Inputs!H13-0.001,0,IF('(Tables)'!E9&gt;Inputs!H13+Inputs!G20-0.999,0,INDEX('(Tables)'!B415:E415,,MIN('(Tables)'!B45,'(Tables)'!E9+1-Inputs!H13))))</f>
        <v>275</v>
      </c>
      <c r="E177" s="237">
        <f>IF('(Tables)'!F9&lt;Inputs!H13-0.001,0,IF('(Tables)'!F9&gt;Inputs!H13+Inputs!G20-0.999,0,INDEX('(Tables)'!B415:E415,,MIN('(Tables)'!B45,'(Tables)'!F9+1-Inputs!H13))))</f>
        <v>275</v>
      </c>
      <c r="F177" s="237">
        <f>IF('(Tables)'!G9&lt;Inputs!H13-0.001,0,IF('(Tables)'!G9&gt;Inputs!H13+Inputs!G20-0.999,0,INDEX('(Tables)'!B415:E415,,MIN('(Tables)'!B45,'(Tables)'!G9+1-Inputs!H13))))</f>
        <v>0</v>
      </c>
      <c r="G177" s="237">
        <f>IF('(Tables)'!H9&lt;Inputs!H13-0.001,0,IF('(Tables)'!H9&gt;Inputs!H13+Inputs!G20-0.999,0,INDEX('(Tables)'!B415:E415,,MIN('(Tables)'!B45,'(Tables)'!H9+1-Inputs!H13))))</f>
        <v>0</v>
      </c>
      <c r="H177" s="237">
        <f>IF('(Tables)'!I9&lt;Inputs!H13-0.001,0,IF('(Tables)'!I9&gt;Inputs!H13+Inputs!G20-0.999,0,INDEX('(Tables)'!B415:E415,,MIN('(Tables)'!B45,'(Tables)'!I9+1-Inputs!H13))))</f>
        <v>0</v>
      </c>
      <c r="I177" s="237">
        <f>IF('(Tables)'!J9&lt;Inputs!H13-0.001,0,IF('(Tables)'!J9&gt;Inputs!H13+Inputs!G20-0.999,0,INDEX('(Tables)'!B415:E415,,MIN('(Tables)'!B45,'(Tables)'!J9+1-Inputs!H13))))</f>
        <v>0</v>
      </c>
      <c r="J177" s="237">
        <f>IF('(Tables)'!K9&lt;Inputs!H13-0.001,0,IF('(Tables)'!K9&gt;Inputs!H13+Inputs!G20-0.999,0,INDEX('(Tables)'!B415:E415,,MIN('(Tables)'!B45,'(Tables)'!K9+1-Inputs!H13))))</f>
        <v>0</v>
      </c>
      <c r="K177" s="237">
        <f>IF('(Tables)'!L9&lt;Inputs!H13-0.001,0,IF('(Tables)'!L9&gt;Inputs!H13+Inputs!G20-0.999,0,INDEX('(Tables)'!B415:E415,,MIN('(Tables)'!B45,'(Tables)'!L9+1-Inputs!H13))))</f>
        <v>0</v>
      </c>
      <c r="L177" s="237">
        <f>IF('(Tables)'!M9&lt;Inputs!H13-0.001,0,IF('(Tables)'!M9&gt;Inputs!H13+Inputs!G20-0.999,0,INDEX('(Tables)'!B415:E415,,MIN('(Tables)'!B45,'(Tables)'!M9+1-Inputs!H13))))</f>
        <v>0</v>
      </c>
      <c r="M177" s="237">
        <f>IF('(Tables)'!N9&lt;Inputs!H13-0.001,0,IF('(Tables)'!N9&gt;Inputs!H13+Inputs!G20-0.999,0,INDEX('(Tables)'!B415:E415,,MIN('(Tables)'!B45,'(Tables)'!N9+1-Inputs!H13))))</f>
        <v>0</v>
      </c>
      <c r="N177" s="237">
        <f>IF('(Tables)'!O9&lt;Inputs!H13-0.001,0,IF('(Tables)'!O9&gt;Inputs!H13+Inputs!G20-0.999,0,INDEX('(Tables)'!B415:E415,,MIN('(Tables)'!B45,'(Tables)'!O9+1-Inputs!H13))))</f>
        <v>0</v>
      </c>
      <c r="O177" s="237">
        <f>IF('(Tables)'!P9&lt;Inputs!H13-0.001,0,IF('(Tables)'!P9&gt;Inputs!H13+Inputs!G20-0.999,0,INDEX('(Tables)'!B415:E415,,MIN('(Tables)'!B45,'(Tables)'!P9+1-Inputs!H13))))</f>
        <v>0</v>
      </c>
      <c r="P177" s="237">
        <f>IF('(Tables)'!Q9&lt;Inputs!H13-0.001,0,IF('(Tables)'!Q9&gt;Inputs!H13+Inputs!G20-0.999,0,INDEX('(Tables)'!B415:E415,,MIN('(Tables)'!B45,'(Tables)'!Q9+1-Inputs!H13))))</f>
        <v>0</v>
      </c>
      <c r="Q177" s="237">
        <f>IF('(Tables)'!R9&lt;Inputs!H13-0.001,0,IF('(Tables)'!R9&gt;Inputs!H13+Inputs!G20-0.999,0,INDEX('(Tables)'!B415:E415,,MIN('(Tables)'!B45,'(Tables)'!R9+1-Inputs!H13))))</f>
        <v>0</v>
      </c>
      <c r="R177" s="237">
        <f>IF('(Tables)'!S9&lt;Inputs!H13-0.001,0,IF('(Tables)'!S9&gt;Inputs!H13+Inputs!G20-0.999,0,INDEX('(Tables)'!B415:E415,,MIN('(Tables)'!B45,'(Tables)'!S9+1-Inputs!H13))))</f>
        <v>0</v>
      </c>
      <c r="S177" s="286">
        <f>IF('(Tables)'!T9&lt;Inputs!H13-0.001,0,IF('(Tables)'!T9&gt;Inputs!H13+Inputs!G20-0.999,0,INDEX('(Tables)'!B415:E415,,MIN('(Tables)'!B45,'(Tables)'!T9+1-Inputs!H13))))</f>
        <v>0</v>
      </c>
    </row>
    <row r="178" spans="1:19" ht="12.75" hidden="1" customHeight="1" outlineLevel="1" x14ac:dyDescent="0.2">
      <c r="A178" s="198" t="str">
        <f>"      "&amp;Labels!B386</f>
        <v xml:space="preserve">      Prof Level 2</v>
      </c>
      <c r="B178" s="237">
        <f>IF('(Tables)'!C9&lt;Inputs!H13-0.001,0,IF('(Tables)'!C9&gt;Inputs!H13+Inputs!G20-0.999,0,INDEX('(Tables)'!B416:E416,,MIN('(Tables)'!B45,'(Tables)'!C9+1-Inputs!H13))))</f>
        <v>0</v>
      </c>
      <c r="C178" s="237">
        <f>IF('(Tables)'!D9&lt;Inputs!H13-0.001,0,IF('(Tables)'!D9&gt;Inputs!H13+Inputs!G20-0.999,0,INDEX('(Tables)'!B416:E416,,MIN('(Tables)'!B45,'(Tables)'!D9+1-Inputs!H13))))</f>
        <v>0</v>
      </c>
      <c r="D178" s="237">
        <f>IF('(Tables)'!E9&lt;Inputs!H13-0.001,0,IF('(Tables)'!E9&gt;Inputs!H13+Inputs!G20-0.999,0,INDEX('(Tables)'!B416:E416,,MIN('(Tables)'!B45,'(Tables)'!E9+1-Inputs!H13))))</f>
        <v>275</v>
      </c>
      <c r="E178" s="237">
        <f>IF('(Tables)'!F9&lt;Inputs!H13-0.001,0,IF('(Tables)'!F9&gt;Inputs!H13+Inputs!G20-0.999,0,INDEX('(Tables)'!B416:E416,,MIN('(Tables)'!B45,'(Tables)'!F9+1-Inputs!H13))))</f>
        <v>275</v>
      </c>
      <c r="F178" s="237">
        <f>IF('(Tables)'!G9&lt;Inputs!H13-0.001,0,IF('(Tables)'!G9&gt;Inputs!H13+Inputs!G20-0.999,0,INDEX('(Tables)'!B416:E416,,MIN('(Tables)'!B45,'(Tables)'!G9+1-Inputs!H13))))</f>
        <v>0</v>
      </c>
      <c r="G178" s="237">
        <f>IF('(Tables)'!H9&lt;Inputs!H13-0.001,0,IF('(Tables)'!H9&gt;Inputs!H13+Inputs!G20-0.999,0,INDEX('(Tables)'!B416:E416,,MIN('(Tables)'!B45,'(Tables)'!H9+1-Inputs!H13))))</f>
        <v>0</v>
      </c>
      <c r="H178" s="237">
        <f>IF('(Tables)'!I9&lt;Inputs!H13-0.001,0,IF('(Tables)'!I9&gt;Inputs!H13+Inputs!G20-0.999,0,INDEX('(Tables)'!B416:E416,,MIN('(Tables)'!B45,'(Tables)'!I9+1-Inputs!H13))))</f>
        <v>0</v>
      </c>
      <c r="I178" s="237">
        <f>IF('(Tables)'!J9&lt;Inputs!H13-0.001,0,IF('(Tables)'!J9&gt;Inputs!H13+Inputs!G20-0.999,0,INDEX('(Tables)'!B416:E416,,MIN('(Tables)'!B45,'(Tables)'!J9+1-Inputs!H13))))</f>
        <v>0</v>
      </c>
      <c r="J178" s="237">
        <f>IF('(Tables)'!K9&lt;Inputs!H13-0.001,0,IF('(Tables)'!K9&gt;Inputs!H13+Inputs!G20-0.999,0,INDEX('(Tables)'!B416:E416,,MIN('(Tables)'!B45,'(Tables)'!K9+1-Inputs!H13))))</f>
        <v>0</v>
      </c>
      <c r="K178" s="237">
        <f>IF('(Tables)'!L9&lt;Inputs!H13-0.001,0,IF('(Tables)'!L9&gt;Inputs!H13+Inputs!G20-0.999,0,INDEX('(Tables)'!B416:E416,,MIN('(Tables)'!B45,'(Tables)'!L9+1-Inputs!H13))))</f>
        <v>0</v>
      </c>
      <c r="L178" s="237">
        <f>IF('(Tables)'!M9&lt;Inputs!H13-0.001,0,IF('(Tables)'!M9&gt;Inputs!H13+Inputs!G20-0.999,0,INDEX('(Tables)'!B416:E416,,MIN('(Tables)'!B45,'(Tables)'!M9+1-Inputs!H13))))</f>
        <v>0</v>
      </c>
      <c r="M178" s="237">
        <f>IF('(Tables)'!N9&lt;Inputs!H13-0.001,0,IF('(Tables)'!N9&gt;Inputs!H13+Inputs!G20-0.999,0,INDEX('(Tables)'!B416:E416,,MIN('(Tables)'!B45,'(Tables)'!N9+1-Inputs!H13))))</f>
        <v>0</v>
      </c>
      <c r="N178" s="237">
        <f>IF('(Tables)'!O9&lt;Inputs!H13-0.001,0,IF('(Tables)'!O9&gt;Inputs!H13+Inputs!G20-0.999,0,INDEX('(Tables)'!B416:E416,,MIN('(Tables)'!B45,'(Tables)'!O9+1-Inputs!H13))))</f>
        <v>0</v>
      </c>
      <c r="O178" s="237">
        <f>IF('(Tables)'!P9&lt;Inputs!H13-0.001,0,IF('(Tables)'!P9&gt;Inputs!H13+Inputs!G20-0.999,0,INDEX('(Tables)'!B416:E416,,MIN('(Tables)'!B45,'(Tables)'!P9+1-Inputs!H13))))</f>
        <v>0</v>
      </c>
      <c r="P178" s="237">
        <f>IF('(Tables)'!Q9&lt;Inputs!H13-0.001,0,IF('(Tables)'!Q9&gt;Inputs!H13+Inputs!G20-0.999,0,INDEX('(Tables)'!B416:E416,,MIN('(Tables)'!B45,'(Tables)'!Q9+1-Inputs!H13))))</f>
        <v>0</v>
      </c>
      <c r="Q178" s="237">
        <f>IF('(Tables)'!R9&lt;Inputs!H13-0.001,0,IF('(Tables)'!R9&gt;Inputs!H13+Inputs!G20-0.999,0,INDEX('(Tables)'!B416:E416,,MIN('(Tables)'!B45,'(Tables)'!R9+1-Inputs!H13))))</f>
        <v>0</v>
      </c>
      <c r="R178" s="237">
        <f>IF('(Tables)'!S9&lt;Inputs!H13-0.001,0,IF('(Tables)'!S9&gt;Inputs!H13+Inputs!G20-0.999,0,INDEX('(Tables)'!B416:E416,,MIN('(Tables)'!B45,'(Tables)'!S9+1-Inputs!H13))))</f>
        <v>0</v>
      </c>
      <c r="S178" s="286">
        <f>IF('(Tables)'!T9&lt;Inputs!H13-0.001,0,IF('(Tables)'!T9&gt;Inputs!H13+Inputs!G20-0.999,0,INDEX('(Tables)'!B416:E416,,MIN('(Tables)'!B45,'(Tables)'!T9+1-Inputs!H13))))</f>
        <v>0</v>
      </c>
    </row>
    <row r="179" spans="1:19" ht="12.75" hidden="1" customHeight="1" outlineLevel="1" x14ac:dyDescent="0.2">
      <c r="A179" s="188" t="str">
        <f>"      "&amp;Labels!C384</f>
        <v xml:space="preserve">      Total</v>
      </c>
      <c r="B179" s="166">
        <f t="shared" ref="B179:S179" si="78">SUM(B177:B178)</f>
        <v>0</v>
      </c>
      <c r="C179" s="166">
        <f t="shared" si="78"/>
        <v>0</v>
      </c>
      <c r="D179" s="166">
        <f t="shared" si="78"/>
        <v>550</v>
      </c>
      <c r="E179" s="166">
        <f t="shared" si="78"/>
        <v>550</v>
      </c>
      <c r="F179" s="166">
        <f t="shared" si="78"/>
        <v>0</v>
      </c>
      <c r="G179" s="166">
        <f t="shared" si="78"/>
        <v>0</v>
      </c>
      <c r="H179" s="166">
        <f t="shared" si="78"/>
        <v>0</v>
      </c>
      <c r="I179" s="166">
        <f t="shared" si="78"/>
        <v>0</v>
      </c>
      <c r="J179" s="166">
        <f t="shared" si="78"/>
        <v>0</v>
      </c>
      <c r="K179" s="166">
        <f t="shared" si="78"/>
        <v>0</v>
      </c>
      <c r="L179" s="166">
        <f t="shared" si="78"/>
        <v>0</v>
      </c>
      <c r="M179" s="166">
        <f t="shared" si="78"/>
        <v>0</v>
      </c>
      <c r="N179" s="166">
        <f t="shared" si="78"/>
        <v>0</v>
      </c>
      <c r="O179" s="166">
        <f t="shared" si="78"/>
        <v>0</v>
      </c>
      <c r="P179" s="166">
        <f t="shared" si="78"/>
        <v>0</v>
      </c>
      <c r="Q179" s="166">
        <f t="shared" si="78"/>
        <v>0</v>
      </c>
      <c r="R179" s="166">
        <f t="shared" si="78"/>
        <v>0</v>
      </c>
      <c r="S179" s="285">
        <f t="shared" si="78"/>
        <v>0</v>
      </c>
    </row>
    <row r="180" spans="1:19" ht="12.75" hidden="1" customHeight="1" outlineLevel="1" x14ac:dyDescent="0.2">
      <c r="A180" s="188" t="str">
        <f>"   "&amp;Labels!B346</f>
        <v xml:space="preserve">   Engage 2</v>
      </c>
      <c r="B180" s="166"/>
      <c r="C180" s="166"/>
      <c r="D180" s="166"/>
      <c r="E180" s="166"/>
      <c r="F180" s="166"/>
      <c r="G180" s="166"/>
      <c r="H180" s="166"/>
      <c r="I180" s="166"/>
      <c r="J180" s="166"/>
      <c r="K180" s="166"/>
      <c r="L180" s="166"/>
      <c r="M180" s="166"/>
      <c r="N180" s="166"/>
      <c r="O180" s="166"/>
      <c r="P180" s="166"/>
      <c r="Q180" s="166"/>
      <c r="R180" s="166"/>
      <c r="S180" s="285"/>
    </row>
    <row r="181" spans="1:19" ht="12.75" hidden="1" customHeight="1" outlineLevel="1" x14ac:dyDescent="0.2">
      <c r="A181" s="198" t="str">
        <f>"      "&amp;Labels!B385</f>
        <v xml:space="preserve">      Prof Level 1</v>
      </c>
      <c r="B181" s="237">
        <f>IF('(Tables)'!C9&lt;Inputs!H14-0.001,0,IF('(Tables)'!C9&gt;Inputs!H14+Inputs!G21-0.999,0,INDEX('(Tables)'!B419:E419,,MIN('(Tables)'!B45,'(Tables)'!C9+1-Inputs!H14))))</f>
        <v>0</v>
      </c>
      <c r="C181" s="237">
        <f>IF('(Tables)'!D9&lt;Inputs!H14-0.001,0,IF('(Tables)'!D9&gt;Inputs!H14+Inputs!G21-0.999,0,INDEX('(Tables)'!B419:E419,,MIN('(Tables)'!B45,'(Tables)'!D9+1-Inputs!H14))))</f>
        <v>0</v>
      </c>
      <c r="D181" s="237">
        <f>IF('(Tables)'!E9&lt;Inputs!H14-0.001,0,IF('(Tables)'!E9&gt;Inputs!H14+Inputs!G21-0.999,0,INDEX('(Tables)'!B419:E419,,MIN('(Tables)'!B45,'(Tables)'!E9+1-Inputs!H14))))</f>
        <v>0</v>
      </c>
      <c r="E181" s="237">
        <f>IF('(Tables)'!F9&lt;Inputs!H14-0.001,0,IF('(Tables)'!F9&gt;Inputs!H14+Inputs!G21-0.999,0,INDEX('(Tables)'!B419:E419,,MIN('(Tables)'!B45,'(Tables)'!F9+1-Inputs!H14))))</f>
        <v>0</v>
      </c>
      <c r="F181" s="237">
        <f>IF('(Tables)'!G9&lt;Inputs!H14-0.001,0,IF('(Tables)'!G9&gt;Inputs!H14+Inputs!G21-0.999,0,INDEX('(Tables)'!B419:E419,,MIN('(Tables)'!B45,'(Tables)'!G9+1-Inputs!H14))))</f>
        <v>0</v>
      </c>
      <c r="G181" s="237">
        <f>IF('(Tables)'!H9&lt;Inputs!H14-0.001,0,IF('(Tables)'!H9&gt;Inputs!H14+Inputs!G21-0.999,0,INDEX('(Tables)'!B419:E419,,MIN('(Tables)'!B45,'(Tables)'!H9+1-Inputs!H14))))</f>
        <v>200</v>
      </c>
      <c r="H181" s="237">
        <f>IF('(Tables)'!I9&lt;Inputs!H14-0.001,0,IF('(Tables)'!I9&gt;Inputs!H14+Inputs!G21-0.999,0,INDEX('(Tables)'!B419:E419,,MIN('(Tables)'!B45,'(Tables)'!I9+1-Inputs!H14))))</f>
        <v>200</v>
      </c>
      <c r="I181" s="237">
        <f>IF('(Tables)'!J9&lt;Inputs!H14-0.001,0,IF('(Tables)'!J9&gt;Inputs!H14+Inputs!G21-0.999,0,INDEX('(Tables)'!B419:E419,,MIN('(Tables)'!B45,'(Tables)'!J9+1-Inputs!H14))))</f>
        <v>200</v>
      </c>
      <c r="J181" s="237">
        <f>IF('(Tables)'!K9&lt;Inputs!H14-0.001,0,IF('(Tables)'!K9&gt;Inputs!H14+Inputs!G21-0.999,0,INDEX('(Tables)'!B419:E419,,MIN('(Tables)'!B45,'(Tables)'!K9+1-Inputs!H14))))</f>
        <v>0</v>
      </c>
      <c r="K181" s="237">
        <f>IF('(Tables)'!L9&lt;Inputs!H14-0.001,0,IF('(Tables)'!L9&gt;Inputs!H14+Inputs!G21-0.999,0,INDEX('(Tables)'!B419:E419,,MIN('(Tables)'!B45,'(Tables)'!L9+1-Inputs!H14))))</f>
        <v>0</v>
      </c>
      <c r="L181" s="237">
        <f>IF('(Tables)'!M9&lt;Inputs!H14-0.001,0,IF('(Tables)'!M9&gt;Inputs!H14+Inputs!G21-0.999,0,INDEX('(Tables)'!B419:E419,,MIN('(Tables)'!B45,'(Tables)'!M9+1-Inputs!H14))))</f>
        <v>0</v>
      </c>
      <c r="M181" s="237">
        <f>IF('(Tables)'!N9&lt;Inputs!H14-0.001,0,IF('(Tables)'!N9&gt;Inputs!H14+Inputs!G21-0.999,0,INDEX('(Tables)'!B419:E419,,MIN('(Tables)'!B45,'(Tables)'!N9+1-Inputs!H14))))</f>
        <v>0</v>
      </c>
      <c r="N181" s="237">
        <f>IF('(Tables)'!O9&lt;Inputs!H14-0.001,0,IF('(Tables)'!O9&gt;Inputs!H14+Inputs!G21-0.999,0,INDEX('(Tables)'!B419:E419,,MIN('(Tables)'!B45,'(Tables)'!O9+1-Inputs!H14))))</f>
        <v>0</v>
      </c>
      <c r="O181" s="237">
        <f>IF('(Tables)'!P9&lt;Inputs!H14-0.001,0,IF('(Tables)'!P9&gt;Inputs!H14+Inputs!G21-0.999,0,INDEX('(Tables)'!B419:E419,,MIN('(Tables)'!B45,'(Tables)'!P9+1-Inputs!H14))))</f>
        <v>0</v>
      </c>
      <c r="P181" s="237">
        <f>IF('(Tables)'!Q9&lt;Inputs!H14-0.001,0,IF('(Tables)'!Q9&gt;Inputs!H14+Inputs!G21-0.999,0,INDEX('(Tables)'!B419:E419,,MIN('(Tables)'!B45,'(Tables)'!Q9+1-Inputs!H14))))</f>
        <v>0</v>
      </c>
      <c r="Q181" s="237">
        <f>IF('(Tables)'!R9&lt;Inputs!H14-0.001,0,IF('(Tables)'!R9&gt;Inputs!H14+Inputs!G21-0.999,0,INDEX('(Tables)'!B419:E419,,MIN('(Tables)'!B45,'(Tables)'!R9+1-Inputs!H14))))</f>
        <v>0</v>
      </c>
      <c r="R181" s="237">
        <f>IF('(Tables)'!S9&lt;Inputs!H14-0.001,0,IF('(Tables)'!S9&gt;Inputs!H14+Inputs!G21-0.999,0,INDEX('(Tables)'!B419:E419,,MIN('(Tables)'!B45,'(Tables)'!S9+1-Inputs!H14))))</f>
        <v>0</v>
      </c>
      <c r="S181" s="286">
        <f>IF('(Tables)'!T9&lt;Inputs!H14-0.001,0,IF('(Tables)'!T9&gt;Inputs!H14+Inputs!G21-0.999,0,INDEX('(Tables)'!B419:E419,,MIN('(Tables)'!B45,'(Tables)'!T9+1-Inputs!H14))))</f>
        <v>0</v>
      </c>
    </row>
    <row r="182" spans="1:19" ht="12.75" hidden="1" customHeight="1" outlineLevel="1" x14ac:dyDescent="0.2">
      <c r="A182" s="198" t="str">
        <f>"      "&amp;Labels!B386</f>
        <v xml:space="preserve">      Prof Level 2</v>
      </c>
      <c r="B182" s="237">
        <f>IF('(Tables)'!C9&lt;Inputs!H14-0.001,0,IF('(Tables)'!C9&gt;Inputs!H14+Inputs!G21-0.999,0,INDEX('(Tables)'!B420:E420,,MIN('(Tables)'!B45,'(Tables)'!C9+1-Inputs!H14))))</f>
        <v>0</v>
      </c>
      <c r="C182" s="237">
        <f>IF('(Tables)'!D9&lt;Inputs!H14-0.001,0,IF('(Tables)'!D9&gt;Inputs!H14+Inputs!G21-0.999,0,INDEX('(Tables)'!B420:E420,,MIN('(Tables)'!B45,'(Tables)'!D9+1-Inputs!H14))))</f>
        <v>0</v>
      </c>
      <c r="D182" s="237">
        <f>IF('(Tables)'!E9&lt;Inputs!H14-0.001,0,IF('(Tables)'!E9&gt;Inputs!H14+Inputs!G21-0.999,0,INDEX('(Tables)'!B420:E420,,MIN('(Tables)'!B45,'(Tables)'!E9+1-Inputs!H14))))</f>
        <v>0</v>
      </c>
      <c r="E182" s="237">
        <f>IF('(Tables)'!F9&lt;Inputs!H14-0.001,0,IF('(Tables)'!F9&gt;Inputs!H14+Inputs!G21-0.999,0,INDEX('(Tables)'!B420:E420,,MIN('(Tables)'!B45,'(Tables)'!F9+1-Inputs!H14))))</f>
        <v>0</v>
      </c>
      <c r="F182" s="237">
        <f>IF('(Tables)'!G9&lt;Inputs!H14-0.001,0,IF('(Tables)'!G9&gt;Inputs!H14+Inputs!G21-0.999,0,INDEX('(Tables)'!B420:E420,,MIN('(Tables)'!B45,'(Tables)'!G9+1-Inputs!H14))))</f>
        <v>0</v>
      </c>
      <c r="G182" s="237">
        <f>IF('(Tables)'!H9&lt;Inputs!H14-0.001,0,IF('(Tables)'!H9&gt;Inputs!H14+Inputs!G21-0.999,0,INDEX('(Tables)'!B420:E420,,MIN('(Tables)'!B45,'(Tables)'!H9+1-Inputs!H14))))</f>
        <v>200</v>
      </c>
      <c r="H182" s="237">
        <f>IF('(Tables)'!I9&lt;Inputs!H14-0.001,0,IF('(Tables)'!I9&gt;Inputs!H14+Inputs!G21-0.999,0,INDEX('(Tables)'!B420:E420,,MIN('(Tables)'!B45,'(Tables)'!I9+1-Inputs!H14))))</f>
        <v>200</v>
      </c>
      <c r="I182" s="237">
        <f>IF('(Tables)'!J9&lt;Inputs!H14-0.001,0,IF('(Tables)'!J9&gt;Inputs!H14+Inputs!G21-0.999,0,INDEX('(Tables)'!B420:E420,,MIN('(Tables)'!B45,'(Tables)'!J9+1-Inputs!H14))))</f>
        <v>200</v>
      </c>
      <c r="J182" s="237">
        <f>IF('(Tables)'!K9&lt;Inputs!H14-0.001,0,IF('(Tables)'!K9&gt;Inputs!H14+Inputs!G21-0.999,0,INDEX('(Tables)'!B420:E420,,MIN('(Tables)'!B45,'(Tables)'!K9+1-Inputs!H14))))</f>
        <v>0</v>
      </c>
      <c r="K182" s="237">
        <f>IF('(Tables)'!L9&lt;Inputs!H14-0.001,0,IF('(Tables)'!L9&gt;Inputs!H14+Inputs!G21-0.999,0,INDEX('(Tables)'!B420:E420,,MIN('(Tables)'!B45,'(Tables)'!L9+1-Inputs!H14))))</f>
        <v>0</v>
      </c>
      <c r="L182" s="237">
        <f>IF('(Tables)'!M9&lt;Inputs!H14-0.001,0,IF('(Tables)'!M9&gt;Inputs!H14+Inputs!G21-0.999,0,INDEX('(Tables)'!B420:E420,,MIN('(Tables)'!B45,'(Tables)'!M9+1-Inputs!H14))))</f>
        <v>0</v>
      </c>
      <c r="M182" s="237">
        <f>IF('(Tables)'!N9&lt;Inputs!H14-0.001,0,IF('(Tables)'!N9&gt;Inputs!H14+Inputs!G21-0.999,0,INDEX('(Tables)'!B420:E420,,MIN('(Tables)'!B45,'(Tables)'!N9+1-Inputs!H14))))</f>
        <v>0</v>
      </c>
      <c r="N182" s="237">
        <f>IF('(Tables)'!O9&lt;Inputs!H14-0.001,0,IF('(Tables)'!O9&gt;Inputs!H14+Inputs!G21-0.999,0,INDEX('(Tables)'!B420:E420,,MIN('(Tables)'!B45,'(Tables)'!O9+1-Inputs!H14))))</f>
        <v>0</v>
      </c>
      <c r="O182" s="237">
        <f>IF('(Tables)'!P9&lt;Inputs!H14-0.001,0,IF('(Tables)'!P9&gt;Inputs!H14+Inputs!G21-0.999,0,INDEX('(Tables)'!B420:E420,,MIN('(Tables)'!B45,'(Tables)'!P9+1-Inputs!H14))))</f>
        <v>0</v>
      </c>
      <c r="P182" s="237">
        <f>IF('(Tables)'!Q9&lt;Inputs!H14-0.001,0,IF('(Tables)'!Q9&gt;Inputs!H14+Inputs!G21-0.999,0,INDEX('(Tables)'!B420:E420,,MIN('(Tables)'!B45,'(Tables)'!Q9+1-Inputs!H14))))</f>
        <v>0</v>
      </c>
      <c r="Q182" s="237">
        <f>IF('(Tables)'!R9&lt;Inputs!H14-0.001,0,IF('(Tables)'!R9&gt;Inputs!H14+Inputs!G21-0.999,0,INDEX('(Tables)'!B420:E420,,MIN('(Tables)'!B45,'(Tables)'!R9+1-Inputs!H14))))</f>
        <v>0</v>
      </c>
      <c r="R182" s="237">
        <f>IF('(Tables)'!S9&lt;Inputs!H14-0.001,0,IF('(Tables)'!S9&gt;Inputs!H14+Inputs!G21-0.999,0,INDEX('(Tables)'!B420:E420,,MIN('(Tables)'!B45,'(Tables)'!S9+1-Inputs!H14))))</f>
        <v>0</v>
      </c>
      <c r="S182" s="286">
        <f>IF('(Tables)'!T9&lt;Inputs!H14-0.001,0,IF('(Tables)'!T9&gt;Inputs!H14+Inputs!G21-0.999,0,INDEX('(Tables)'!B420:E420,,MIN('(Tables)'!B45,'(Tables)'!T9+1-Inputs!H14))))</f>
        <v>0</v>
      </c>
    </row>
    <row r="183" spans="1:19" ht="12.75" hidden="1" customHeight="1" outlineLevel="1" x14ac:dyDescent="0.2">
      <c r="A183" s="188" t="str">
        <f>"      "&amp;Labels!C384</f>
        <v xml:space="preserve">      Total</v>
      </c>
      <c r="B183" s="166">
        <f t="shared" ref="B183:S183" si="79">SUM(B181:B182)</f>
        <v>0</v>
      </c>
      <c r="C183" s="166">
        <f t="shared" si="79"/>
        <v>0</v>
      </c>
      <c r="D183" s="166">
        <f t="shared" si="79"/>
        <v>0</v>
      </c>
      <c r="E183" s="166">
        <f t="shared" si="79"/>
        <v>0</v>
      </c>
      <c r="F183" s="166">
        <f t="shared" si="79"/>
        <v>0</v>
      </c>
      <c r="G183" s="166">
        <f t="shared" si="79"/>
        <v>400</v>
      </c>
      <c r="H183" s="166">
        <f t="shared" si="79"/>
        <v>400</v>
      </c>
      <c r="I183" s="166">
        <f t="shared" si="79"/>
        <v>400</v>
      </c>
      <c r="J183" s="166">
        <f t="shared" si="79"/>
        <v>0</v>
      </c>
      <c r="K183" s="166">
        <f t="shared" si="79"/>
        <v>0</v>
      </c>
      <c r="L183" s="166">
        <f t="shared" si="79"/>
        <v>0</v>
      </c>
      <c r="M183" s="166">
        <f t="shared" si="79"/>
        <v>0</v>
      </c>
      <c r="N183" s="166">
        <f t="shared" si="79"/>
        <v>0</v>
      </c>
      <c r="O183" s="166">
        <f t="shared" si="79"/>
        <v>0</v>
      </c>
      <c r="P183" s="166">
        <f t="shared" si="79"/>
        <v>0</v>
      </c>
      <c r="Q183" s="166">
        <f t="shared" si="79"/>
        <v>0</v>
      </c>
      <c r="R183" s="166">
        <f t="shared" si="79"/>
        <v>0</v>
      </c>
      <c r="S183" s="285">
        <f t="shared" si="79"/>
        <v>0</v>
      </c>
    </row>
    <row r="184" spans="1:19" ht="12.75" hidden="1" customHeight="1" outlineLevel="1" x14ac:dyDescent="0.2">
      <c r="A184" s="191" t="str">
        <f>"   "&amp;Labels!C344</f>
        <v xml:space="preserve">   Total</v>
      </c>
      <c r="B184" s="216">
        <f t="shared" ref="B184:S184" si="80">SUM(B179,B183)</f>
        <v>0</v>
      </c>
      <c r="C184" s="216">
        <f t="shared" si="80"/>
        <v>0</v>
      </c>
      <c r="D184" s="216">
        <f t="shared" si="80"/>
        <v>550</v>
      </c>
      <c r="E184" s="216">
        <f t="shared" si="80"/>
        <v>550</v>
      </c>
      <c r="F184" s="216">
        <f t="shared" si="80"/>
        <v>0</v>
      </c>
      <c r="G184" s="216">
        <f t="shared" si="80"/>
        <v>400</v>
      </c>
      <c r="H184" s="216">
        <f t="shared" si="80"/>
        <v>400</v>
      </c>
      <c r="I184" s="216">
        <f t="shared" si="80"/>
        <v>400</v>
      </c>
      <c r="J184" s="216">
        <f t="shared" si="80"/>
        <v>0</v>
      </c>
      <c r="K184" s="216">
        <f t="shared" si="80"/>
        <v>0</v>
      </c>
      <c r="L184" s="216">
        <f t="shared" si="80"/>
        <v>0</v>
      </c>
      <c r="M184" s="216">
        <f t="shared" si="80"/>
        <v>0</v>
      </c>
      <c r="N184" s="216">
        <f t="shared" si="80"/>
        <v>0</v>
      </c>
      <c r="O184" s="216">
        <f t="shared" si="80"/>
        <v>0</v>
      </c>
      <c r="P184" s="216">
        <f t="shared" si="80"/>
        <v>0</v>
      </c>
      <c r="Q184" s="216">
        <f t="shared" si="80"/>
        <v>0</v>
      </c>
      <c r="R184" s="216">
        <f t="shared" si="80"/>
        <v>0</v>
      </c>
      <c r="S184" s="287">
        <f t="shared" si="80"/>
        <v>0</v>
      </c>
    </row>
    <row r="185" spans="1:19" ht="12.75" hidden="1" customHeight="1" outlineLevel="1" x14ac:dyDescent="0.2">
      <c r="A185" s="198" t="str">
        <f>"      "&amp;Labels!B385</f>
        <v xml:space="preserve">      Prof Level 1</v>
      </c>
      <c r="B185" s="237">
        <f t="shared" ref="B185:S185" si="81">SUM(B177,B181)</f>
        <v>0</v>
      </c>
      <c r="C185" s="237">
        <f t="shared" si="81"/>
        <v>0</v>
      </c>
      <c r="D185" s="237">
        <f t="shared" si="81"/>
        <v>275</v>
      </c>
      <c r="E185" s="237">
        <f t="shared" si="81"/>
        <v>275</v>
      </c>
      <c r="F185" s="237">
        <f t="shared" si="81"/>
        <v>0</v>
      </c>
      <c r="G185" s="237">
        <f t="shared" si="81"/>
        <v>200</v>
      </c>
      <c r="H185" s="237">
        <f t="shared" si="81"/>
        <v>200</v>
      </c>
      <c r="I185" s="237">
        <f t="shared" si="81"/>
        <v>200</v>
      </c>
      <c r="J185" s="237">
        <f t="shared" si="81"/>
        <v>0</v>
      </c>
      <c r="K185" s="237">
        <f t="shared" si="81"/>
        <v>0</v>
      </c>
      <c r="L185" s="237">
        <f t="shared" si="81"/>
        <v>0</v>
      </c>
      <c r="M185" s="237">
        <f t="shared" si="81"/>
        <v>0</v>
      </c>
      <c r="N185" s="237">
        <f t="shared" si="81"/>
        <v>0</v>
      </c>
      <c r="O185" s="237">
        <f t="shared" si="81"/>
        <v>0</v>
      </c>
      <c r="P185" s="237">
        <f t="shared" si="81"/>
        <v>0</v>
      </c>
      <c r="Q185" s="237">
        <f t="shared" si="81"/>
        <v>0</v>
      </c>
      <c r="R185" s="237">
        <f t="shared" si="81"/>
        <v>0</v>
      </c>
      <c r="S185" s="286">
        <f t="shared" si="81"/>
        <v>0</v>
      </c>
    </row>
    <row r="186" spans="1:19" ht="12.75" hidden="1" customHeight="1" outlineLevel="1" x14ac:dyDescent="0.2">
      <c r="A186" s="198" t="str">
        <f>"      "&amp;Labels!B386</f>
        <v xml:space="preserve">      Prof Level 2</v>
      </c>
      <c r="B186" s="237">
        <f t="shared" ref="B186:S186" si="82">SUM(B178,B182)</f>
        <v>0</v>
      </c>
      <c r="C186" s="237">
        <f t="shared" si="82"/>
        <v>0</v>
      </c>
      <c r="D186" s="237">
        <f t="shared" si="82"/>
        <v>275</v>
      </c>
      <c r="E186" s="237">
        <f t="shared" si="82"/>
        <v>275</v>
      </c>
      <c r="F186" s="237">
        <f t="shared" si="82"/>
        <v>0</v>
      </c>
      <c r="G186" s="237">
        <f t="shared" si="82"/>
        <v>200</v>
      </c>
      <c r="H186" s="237">
        <f t="shared" si="82"/>
        <v>200</v>
      </c>
      <c r="I186" s="237">
        <f t="shared" si="82"/>
        <v>200</v>
      </c>
      <c r="J186" s="237">
        <f t="shared" si="82"/>
        <v>0</v>
      </c>
      <c r="K186" s="237">
        <f t="shared" si="82"/>
        <v>0</v>
      </c>
      <c r="L186" s="237">
        <f t="shared" si="82"/>
        <v>0</v>
      </c>
      <c r="M186" s="237">
        <f t="shared" si="82"/>
        <v>0</v>
      </c>
      <c r="N186" s="237">
        <f t="shared" si="82"/>
        <v>0</v>
      </c>
      <c r="O186" s="237">
        <f t="shared" si="82"/>
        <v>0</v>
      </c>
      <c r="P186" s="237">
        <f t="shared" si="82"/>
        <v>0</v>
      </c>
      <c r="Q186" s="237">
        <f t="shared" si="82"/>
        <v>0</v>
      </c>
      <c r="R186" s="237">
        <f t="shared" si="82"/>
        <v>0</v>
      </c>
      <c r="S186" s="286">
        <f t="shared" si="82"/>
        <v>0</v>
      </c>
    </row>
    <row r="187" spans="1:19" ht="12.75" hidden="1" customHeight="1" outlineLevel="1" x14ac:dyDescent="0.2">
      <c r="A187" s="188" t="str">
        <f>"      "&amp;Labels!C384</f>
        <v xml:space="preserve">      Total</v>
      </c>
      <c r="B187" s="166">
        <f t="shared" ref="B187:S187" si="83">SUM(B179,B183)</f>
        <v>0</v>
      </c>
      <c r="C187" s="166">
        <f t="shared" si="83"/>
        <v>0</v>
      </c>
      <c r="D187" s="166">
        <f t="shared" si="83"/>
        <v>550</v>
      </c>
      <c r="E187" s="166">
        <f t="shared" si="83"/>
        <v>550</v>
      </c>
      <c r="F187" s="166">
        <f t="shared" si="83"/>
        <v>0</v>
      </c>
      <c r="G187" s="166">
        <f t="shared" si="83"/>
        <v>400</v>
      </c>
      <c r="H187" s="166">
        <f t="shared" si="83"/>
        <v>400</v>
      </c>
      <c r="I187" s="166">
        <f t="shared" si="83"/>
        <v>400</v>
      </c>
      <c r="J187" s="166">
        <f t="shared" si="83"/>
        <v>0</v>
      </c>
      <c r="K187" s="166">
        <f t="shared" si="83"/>
        <v>0</v>
      </c>
      <c r="L187" s="166">
        <f t="shared" si="83"/>
        <v>0</v>
      </c>
      <c r="M187" s="166">
        <f t="shared" si="83"/>
        <v>0</v>
      </c>
      <c r="N187" s="166">
        <f t="shared" si="83"/>
        <v>0</v>
      </c>
      <c r="O187" s="166">
        <f t="shared" si="83"/>
        <v>0</v>
      </c>
      <c r="P187" s="166">
        <f t="shared" si="83"/>
        <v>0</v>
      </c>
      <c r="Q187" s="166">
        <f t="shared" si="83"/>
        <v>0</v>
      </c>
      <c r="R187" s="166">
        <f t="shared" si="83"/>
        <v>0</v>
      </c>
      <c r="S187" s="285">
        <f t="shared" si="83"/>
        <v>0</v>
      </c>
    </row>
    <row r="188" spans="1:19" ht="12.75" hidden="1" customHeight="1" outlineLevel="1" x14ac:dyDescent="0.2">
      <c r="A188" s="97"/>
      <c r="B188" s="6"/>
      <c r="C188" s="6"/>
      <c r="D188" s="6"/>
      <c r="E188" s="6"/>
      <c r="F188" s="6"/>
      <c r="G188" s="6"/>
      <c r="H188" s="6"/>
      <c r="I188" s="6"/>
      <c r="J188" s="6"/>
      <c r="K188" s="6"/>
      <c r="L188" s="6"/>
      <c r="M188" s="6"/>
      <c r="N188" s="6"/>
      <c r="O188" s="6"/>
      <c r="P188" s="6"/>
      <c r="Q188" s="6"/>
      <c r="R188" s="6"/>
      <c r="S188" s="7"/>
    </row>
    <row r="189" spans="1:19" ht="12.75" hidden="1" customHeight="1" outlineLevel="1" x14ac:dyDescent="0.2">
      <c r="A189" s="191" t="str">
        <f>Labels!B83</f>
        <v>Staff Hrs Applied, Unbilled</v>
      </c>
      <c r="B189" s="216"/>
      <c r="C189" s="216"/>
      <c r="D189" s="216"/>
      <c r="E189" s="216"/>
      <c r="F189" s="216"/>
      <c r="G189" s="216"/>
      <c r="H189" s="216"/>
      <c r="I189" s="216"/>
      <c r="J189" s="216"/>
      <c r="K189" s="216"/>
      <c r="L189" s="216"/>
      <c r="M189" s="216"/>
      <c r="N189" s="216"/>
      <c r="O189" s="216"/>
      <c r="P189" s="216"/>
      <c r="Q189" s="216"/>
      <c r="R189" s="216"/>
      <c r="S189" s="287"/>
    </row>
    <row r="190" spans="1:19" ht="12.75" hidden="1" customHeight="1" outlineLevel="1" x14ac:dyDescent="0.2">
      <c r="A190" s="188" t="str">
        <f>"   "&amp;Labels!B345</f>
        <v xml:space="preserve">   Engage 1</v>
      </c>
      <c r="B190" s="166"/>
      <c r="C190" s="166"/>
      <c r="D190" s="166"/>
      <c r="E190" s="166"/>
      <c r="F190" s="166"/>
      <c r="G190" s="166"/>
      <c r="H190" s="166"/>
      <c r="I190" s="166"/>
      <c r="J190" s="166"/>
      <c r="K190" s="166"/>
      <c r="L190" s="166"/>
      <c r="M190" s="166"/>
      <c r="N190" s="166"/>
      <c r="O190" s="166"/>
      <c r="P190" s="166"/>
      <c r="Q190" s="166"/>
      <c r="R190" s="166"/>
      <c r="S190" s="285"/>
    </row>
    <row r="191" spans="1:19" ht="12.75" hidden="1" customHeight="1" outlineLevel="1" x14ac:dyDescent="0.2">
      <c r="A191" s="198" t="str">
        <f>"      "&amp;Labels!B385</f>
        <v xml:space="preserve">      Prof Level 1</v>
      </c>
      <c r="B191" s="237">
        <f t="shared" ref="B191:S191" si="84">B163-B177</f>
        <v>0</v>
      </c>
      <c r="C191" s="237">
        <f t="shared" si="84"/>
        <v>0</v>
      </c>
      <c r="D191" s="237">
        <f t="shared" si="84"/>
        <v>0</v>
      </c>
      <c r="E191" s="237">
        <f t="shared" si="84"/>
        <v>0</v>
      </c>
      <c r="F191" s="237">
        <f t="shared" si="84"/>
        <v>0</v>
      </c>
      <c r="G191" s="237">
        <f t="shared" si="84"/>
        <v>0</v>
      </c>
      <c r="H191" s="237">
        <f t="shared" si="84"/>
        <v>0</v>
      </c>
      <c r="I191" s="237">
        <f t="shared" si="84"/>
        <v>0</v>
      </c>
      <c r="J191" s="237">
        <f t="shared" si="84"/>
        <v>0</v>
      </c>
      <c r="K191" s="237">
        <f t="shared" si="84"/>
        <v>0</v>
      </c>
      <c r="L191" s="237">
        <f t="shared" si="84"/>
        <v>0</v>
      </c>
      <c r="M191" s="237">
        <f t="shared" si="84"/>
        <v>0</v>
      </c>
      <c r="N191" s="237">
        <f t="shared" si="84"/>
        <v>0</v>
      </c>
      <c r="O191" s="237">
        <f t="shared" si="84"/>
        <v>0</v>
      </c>
      <c r="P191" s="237">
        <f t="shared" si="84"/>
        <v>0</v>
      </c>
      <c r="Q191" s="237">
        <f t="shared" si="84"/>
        <v>0</v>
      </c>
      <c r="R191" s="237">
        <f t="shared" si="84"/>
        <v>0</v>
      </c>
      <c r="S191" s="286">
        <f t="shared" si="84"/>
        <v>0</v>
      </c>
    </row>
    <row r="192" spans="1:19" ht="12.75" hidden="1" customHeight="1" outlineLevel="1" x14ac:dyDescent="0.2">
      <c r="A192" s="198" t="str">
        <f>"      "&amp;Labels!B386</f>
        <v xml:space="preserve">      Prof Level 2</v>
      </c>
      <c r="B192" s="237">
        <f t="shared" ref="B192:S192" si="85">B164-B178</f>
        <v>0</v>
      </c>
      <c r="C192" s="237">
        <f t="shared" si="85"/>
        <v>0</v>
      </c>
      <c r="D192" s="237">
        <f t="shared" si="85"/>
        <v>0</v>
      </c>
      <c r="E192" s="237">
        <f t="shared" si="85"/>
        <v>0</v>
      </c>
      <c r="F192" s="237">
        <f t="shared" si="85"/>
        <v>0</v>
      </c>
      <c r="G192" s="237">
        <f t="shared" si="85"/>
        <v>0</v>
      </c>
      <c r="H192" s="237">
        <f t="shared" si="85"/>
        <v>0</v>
      </c>
      <c r="I192" s="237">
        <f t="shared" si="85"/>
        <v>0</v>
      </c>
      <c r="J192" s="237">
        <f t="shared" si="85"/>
        <v>0</v>
      </c>
      <c r="K192" s="237">
        <f t="shared" si="85"/>
        <v>0</v>
      </c>
      <c r="L192" s="237">
        <f t="shared" si="85"/>
        <v>0</v>
      </c>
      <c r="M192" s="237">
        <f t="shared" si="85"/>
        <v>0</v>
      </c>
      <c r="N192" s="237">
        <f t="shared" si="85"/>
        <v>0</v>
      </c>
      <c r="O192" s="237">
        <f t="shared" si="85"/>
        <v>0</v>
      </c>
      <c r="P192" s="237">
        <f t="shared" si="85"/>
        <v>0</v>
      </c>
      <c r="Q192" s="237">
        <f t="shared" si="85"/>
        <v>0</v>
      </c>
      <c r="R192" s="237">
        <f t="shared" si="85"/>
        <v>0</v>
      </c>
      <c r="S192" s="286">
        <f t="shared" si="85"/>
        <v>0</v>
      </c>
    </row>
    <row r="193" spans="1:19" ht="12.75" hidden="1" customHeight="1" outlineLevel="1" x14ac:dyDescent="0.2">
      <c r="A193" s="188" t="str">
        <f>"      "&amp;Labels!C384</f>
        <v xml:space="preserve">      Total</v>
      </c>
      <c r="B193" s="166">
        <f t="shared" ref="B193:S193" si="86">SUM(B191:B192)</f>
        <v>0</v>
      </c>
      <c r="C193" s="166">
        <f t="shared" si="86"/>
        <v>0</v>
      </c>
      <c r="D193" s="166">
        <f t="shared" si="86"/>
        <v>0</v>
      </c>
      <c r="E193" s="166">
        <f t="shared" si="86"/>
        <v>0</v>
      </c>
      <c r="F193" s="166">
        <f t="shared" si="86"/>
        <v>0</v>
      </c>
      <c r="G193" s="166">
        <f t="shared" si="86"/>
        <v>0</v>
      </c>
      <c r="H193" s="166">
        <f t="shared" si="86"/>
        <v>0</v>
      </c>
      <c r="I193" s="166">
        <f t="shared" si="86"/>
        <v>0</v>
      </c>
      <c r="J193" s="166">
        <f t="shared" si="86"/>
        <v>0</v>
      </c>
      <c r="K193" s="166">
        <f t="shared" si="86"/>
        <v>0</v>
      </c>
      <c r="L193" s="166">
        <f t="shared" si="86"/>
        <v>0</v>
      </c>
      <c r="M193" s="166">
        <f t="shared" si="86"/>
        <v>0</v>
      </c>
      <c r="N193" s="166">
        <f t="shared" si="86"/>
        <v>0</v>
      </c>
      <c r="O193" s="166">
        <f t="shared" si="86"/>
        <v>0</v>
      </c>
      <c r="P193" s="166">
        <f t="shared" si="86"/>
        <v>0</v>
      </c>
      <c r="Q193" s="166">
        <f t="shared" si="86"/>
        <v>0</v>
      </c>
      <c r="R193" s="166">
        <f t="shared" si="86"/>
        <v>0</v>
      </c>
      <c r="S193" s="285">
        <f t="shared" si="86"/>
        <v>0</v>
      </c>
    </row>
    <row r="194" spans="1:19" ht="12.75" hidden="1" customHeight="1" outlineLevel="1" x14ac:dyDescent="0.2">
      <c r="A194" s="188" t="str">
        <f>"   "&amp;Labels!B346</f>
        <v xml:space="preserve">   Engage 2</v>
      </c>
      <c r="B194" s="166"/>
      <c r="C194" s="166"/>
      <c r="D194" s="166"/>
      <c r="E194" s="166"/>
      <c r="F194" s="166"/>
      <c r="G194" s="166"/>
      <c r="H194" s="166"/>
      <c r="I194" s="166"/>
      <c r="J194" s="166"/>
      <c r="K194" s="166"/>
      <c r="L194" s="166"/>
      <c r="M194" s="166"/>
      <c r="N194" s="166"/>
      <c r="O194" s="166"/>
      <c r="P194" s="166"/>
      <c r="Q194" s="166"/>
      <c r="R194" s="166"/>
      <c r="S194" s="285"/>
    </row>
    <row r="195" spans="1:19" ht="12.75" hidden="1" customHeight="1" outlineLevel="1" x14ac:dyDescent="0.2">
      <c r="A195" s="198" t="str">
        <f>"      "&amp;Labels!B385</f>
        <v xml:space="preserve">      Prof Level 1</v>
      </c>
      <c r="B195" s="237">
        <f t="shared" ref="B195:S195" si="87">B167-B181</f>
        <v>0</v>
      </c>
      <c r="C195" s="237">
        <f t="shared" si="87"/>
        <v>0</v>
      </c>
      <c r="D195" s="237">
        <f t="shared" si="87"/>
        <v>0</v>
      </c>
      <c r="E195" s="237">
        <f t="shared" si="87"/>
        <v>0</v>
      </c>
      <c r="F195" s="237">
        <f t="shared" si="87"/>
        <v>0</v>
      </c>
      <c r="G195" s="237">
        <f t="shared" si="87"/>
        <v>0</v>
      </c>
      <c r="H195" s="237">
        <f t="shared" si="87"/>
        <v>0</v>
      </c>
      <c r="I195" s="237">
        <f t="shared" si="87"/>
        <v>0</v>
      </c>
      <c r="J195" s="237">
        <f t="shared" si="87"/>
        <v>0</v>
      </c>
      <c r="K195" s="237">
        <f t="shared" si="87"/>
        <v>0</v>
      </c>
      <c r="L195" s="237">
        <f t="shared" si="87"/>
        <v>0</v>
      </c>
      <c r="M195" s="237">
        <f t="shared" si="87"/>
        <v>0</v>
      </c>
      <c r="N195" s="237">
        <f t="shared" si="87"/>
        <v>0</v>
      </c>
      <c r="O195" s="237">
        <f t="shared" si="87"/>
        <v>0</v>
      </c>
      <c r="P195" s="237">
        <f t="shared" si="87"/>
        <v>0</v>
      </c>
      <c r="Q195" s="237">
        <f t="shared" si="87"/>
        <v>0</v>
      </c>
      <c r="R195" s="237">
        <f t="shared" si="87"/>
        <v>0</v>
      </c>
      <c r="S195" s="286">
        <f t="shared" si="87"/>
        <v>0</v>
      </c>
    </row>
    <row r="196" spans="1:19" ht="12.75" hidden="1" customHeight="1" outlineLevel="1" x14ac:dyDescent="0.2">
      <c r="A196" s="198" t="str">
        <f>"      "&amp;Labels!B386</f>
        <v xml:space="preserve">      Prof Level 2</v>
      </c>
      <c r="B196" s="237">
        <f t="shared" ref="B196:S196" si="88">B168-B182</f>
        <v>0</v>
      </c>
      <c r="C196" s="237">
        <f t="shared" si="88"/>
        <v>0</v>
      </c>
      <c r="D196" s="237">
        <f t="shared" si="88"/>
        <v>0</v>
      </c>
      <c r="E196" s="237">
        <f t="shared" si="88"/>
        <v>0</v>
      </c>
      <c r="F196" s="237">
        <f t="shared" si="88"/>
        <v>0</v>
      </c>
      <c r="G196" s="237">
        <f t="shared" si="88"/>
        <v>0</v>
      </c>
      <c r="H196" s="237">
        <f t="shared" si="88"/>
        <v>0</v>
      </c>
      <c r="I196" s="237">
        <f t="shared" si="88"/>
        <v>0</v>
      </c>
      <c r="J196" s="237">
        <f t="shared" si="88"/>
        <v>0</v>
      </c>
      <c r="K196" s="237">
        <f t="shared" si="88"/>
        <v>0</v>
      </c>
      <c r="L196" s="237">
        <f t="shared" si="88"/>
        <v>0</v>
      </c>
      <c r="M196" s="237">
        <f t="shared" si="88"/>
        <v>0</v>
      </c>
      <c r="N196" s="237">
        <f t="shared" si="88"/>
        <v>0</v>
      </c>
      <c r="O196" s="237">
        <f t="shared" si="88"/>
        <v>0</v>
      </c>
      <c r="P196" s="237">
        <f t="shared" si="88"/>
        <v>0</v>
      </c>
      <c r="Q196" s="237">
        <f t="shared" si="88"/>
        <v>0</v>
      </c>
      <c r="R196" s="237">
        <f t="shared" si="88"/>
        <v>0</v>
      </c>
      <c r="S196" s="286">
        <f t="shared" si="88"/>
        <v>0</v>
      </c>
    </row>
    <row r="197" spans="1:19" ht="12.75" hidden="1" customHeight="1" outlineLevel="1" x14ac:dyDescent="0.2">
      <c r="A197" s="188" t="str">
        <f>"      "&amp;Labels!C384</f>
        <v xml:space="preserve">      Total</v>
      </c>
      <c r="B197" s="166">
        <f t="shared" ref="B197:S197" si="89">SUM(B195:B196)</f>
        <v>0</v>
      </c>
      <c r="C197" s="166">
        <f t="shared" si="89"/>
        <v>0</v>
      </c>
      <c r="D197" s="166">
        <f t="shared" si="89"/>
        <v>0</v>
      </c>
      <c r="E197" s="166">
        <f t="shared" si="89"/>
        <v>0</v>
      </c>
      <c r="F197" s="166">
        <f t="shared" si="89"/>
        <v>0</v>
      </c>
      <c r="G197" s="166">
        <f t="shared" si="89"/>
        <v>0</v>
      </c>
      <c r="H197" s="166">
        <f t="shared" si="89"/>
        <v>0</v>
      </c>
      <c r="I197" s="166">
        <f t="shared" si="89"/>
        <v>0</v>
      </c>
      <c r="J197" s="166">
        <f t="shared" si="89"/>
        <v>0</v>
      </c>
      <c r="K197" s="166">
        <f t="shared" si="89"/>
        <v>0</v>
      </c>
      <c r="L197" s="166">
        <f t="shared" si="89"/>
        <v>0</v>
      </c>
      <c r="M197" s="166">
        <f t="shared" si="89"/>
        <v>0</v>
      </c>
      <c r="N197" s="166">
        <f t="shared" si="89"/>
        <v>0</v>
      </c>
      <c r="O197" s="166">
        <f t="shared" si="89"/>
        <v>0</v>
      </c>
      <c r="P197" s="166">
        <f t="shared" si="89"/>
        <v>0</v>
      </c>
      <c r="Q197" s="166">
        <f t="shared" si="89"/>
        <v>0</v>
      </c>
      <c r="R197" s="166">
        <f t="shared" si="89"/>
        <v>0</v>
      </c>
      <c r="S197" s="285">
        <f t="shared" si="89"/>
        <v>0</v>
      </c>
    </row>
    <row r="198" spans="1:19" ht="12.75" hidden="1" customHeight="1" outlineLevel="1" x14ac:dyDescent="0.2">
      <c r="A198" s="191" t="str">
        <f>"   "&amp;Labels!C344</f>
        <v xml:space="preserve">   Total</v>
      </c>
      <c r="B198" s="216">
        <f t="shared" ref="B198:S198" si="90">SUM(B193,B197)</f>
        <v>0</v>
      </c>
      <c r="C198" s="216">
        <f t="shared" si="90"/>
        <v>0</v>
      </c>
      <c r="D198" s="216">
        <f t="shared" si="90"/>
        <v>0</v>
      </c>
      <c r="E198" s="216">
        <f t="shared" si="90"/>
        <v>0</v>
      </c>
      <c r="F198" s="216">
        <f t="shared" si="90"/>
        <v>0</v>
      </c>
      <c r="G198" s="216">
        <f t="shared" si="90"/>
        <v>0</v>
      </c>
      <c r="H198" s="216">
        <f t="shared" si="90"/>
        <v>0</v>
      </c>
      <c r="I198" s="216">
        <f t="shared" si="90"/>
        <v>0</v>
      </c>
      <c r="J198" s="216">
        <f t="shared" si="90"/>
        <v>0</v>
      </c>
      <c r="K198" s="216">
        <f t="shared" si="90"/>
        <v>0</v>
      </c>
      <c r="L198" s="216">
        <f t="shared" si="90"/>
        <v>0</v>
      </c>
      <c r="M198" s="216">
        <f t="shared" si="90"/>
        <v>0</v>
      </c>
      <c r="N198" s="216">
        <f t="shared" si="90"/>
        <v>0</v>
      </c>
      <c r="O198" s="216">
        <f t="shared" si="90"/>
        <v>0</v>
      </c>
      <c r="P198" s="216">
        <f t="shared" si="90"/>
        <v>0</v>
      </c>
      <c r="Q198" s="216">
        <f t="shared" si="90"/>
        <v>0</v>
      </c>
      <c r="R198" s="216">
        <f t="shared" si="90"/>
        <v>0</v>
      </c>
      <c r="S198" s="287">
        <f t="shared" si="90"/>
        <v>0</v>
      </c>
    </row>
    <row r="199" spans="1:19" ht="12.75" hidden="1" customHeight="1" outlineLevel="1" x14ac:dyDescent="0.2">
      <c r="A199" s="198" t="str">
        <f>"      "&amp;Labels!B385</f>
        <v xml:space="preserve">      Prof Level 1</v>
      </c>
      <c r="B199" s="237">
        <f t="shared" ref="B199:S199" si="91">SUM(B191,B195)</f>
        <v>0</v>
      </c>
      <c r="C199" s="237">
        <f t="shared" si="91"/>
        <v>0</v>
      </c>
      <c r="D199" s="237">
        <f t="shared" si="91"/>
        <v>0</v>
      </c>
      <c r="E199" s="237">
        <f t="shared" si="91"/>
        <v>0</v>
      </c>
      <c r="F199" s="237">
        <f t="shared" si="91"/>
        <v>0</v>
      </c>
      <c r="G199" s="237">
        <f t="shared" si="91"/>
        <v>0</v>
      </c>
      <c r="H199" s="237">
        <f t="shared" si="91"/>
        <v>0</v>
      </c>
      <c r="I199" s="237">
        <f t="shared" si="91"/>
        <v>0</v>
      </c>
      <c r="J199" s="237">
        <f t="shared" si="91"/>
        <v>0</v>
      </c>
      <c r="K199" s="237">
        <f t="shared" si="91"/>
        <v>0</v>
      </c>
      <c r="L199" s="237">
        <f t="shared" si="91"/>
        <v>0</v>
      </c>
      <c r="M199" s="237">
        <f t="shared" si="91"/>
        <v>0</v>
      </c>
      <c r="N199" s="237">
        <f t="shared" si="91"/>
        <v>0</v>
      </c>
      <c r="O199" s="237">
        <f t="shared" si="91"/>
        <v>0</v>
      </c>
      <c r="P199" s="237">
        <f t="shared" si="91"/>
        <v>0</v>
      </c>
      <c r="Q199" s="237">
        <f t="shared" si="91"/>
        <v>0</v>
      </c>
      <c r="R199" s="237">
        <f t="shared" si="91"/>
        <v>0</v>
      </c>
      <c r="S199" s="286">
        <f t="shared" si="91"/>
        <v>0</v>
      </c>
    </row>
    <row r="200" spans="1:19" ht="12.75" hidden="1" customHeight="1" outlineLevel="1" x14ac:dyDescent="0.2">
      <c r="A200" s="198" t="str">
        <f>"      "&amp;Labels!B386</f>
        <v xml:space="preserve">      Prof Level 2</v>
      </c>
      <c r="B200" s="237">
        <f t="shared" ref="B200:S200" si="92">SUM(B192,B196)</f>
        <v>0</v>
      </c>
      <c r="C200" s="237">
        <f t="shared" si="92"/>
        <v>0</v>
      </c>
      <c r="D200" s="237">
        <f t="shared" si="92"/>
        <v>0</v>
      </c>
      <c r="E200" s="237">
        <f t="shared" si="92"/>
        <v>0</v>
      </c>
      <c r="F200" s="237">
        <f t="shared" si="92"/>
        <v>0</v>
      </c>
      <c r="G200" s="237">
        <f t="shared" si="92"/>
        <v>0</v>
      </c>
      <c r="H200" s="237">
        <f t="shared" si="92"/>
        <v>0</v>
      </c>
      <c r="I200" s="237">
        <f t="shared" si="92"/>
        <v>0</v>
      </c>
      <c r="J200" s="237">
        <f t="shared" si="92"/>
        <v>0</v>
      </c>
      <c r="K200" s="237">
        <f t="shared" si="92"/>
        <v>0</v>
      </c>
      <c r="L200" s="237">
        <f t="shared" si="92"/>
        <v>0</v>
      </c>
      <c r="M200" s="237">
        <f t="shared" si="92"/>
        <v>0</v>
      </c>
      <c r="N200" s="237">
        <f t="shared" si="92"/>
        <v>0</v>
      </c>
      <c r="O200" s="237">
        <f t="shared" si="92"/>
        <v>0</v>
      </c>
      <c r="P200" s="237">
        <f t="shared" si="92"/>
        <v>0</v>
      </c>
      <c r="Q200" s="237">
        <f t="shared" si="92"/>
        <v>0</v>
      </c>
      <c r="R200" s="237">
        <f t="shared" si="92"/>
        <v>0</v>
      </c>
      <c r="S200" s="286">
        <f t="shared" si="92"/>
        <v>0</v>
      </c>
    </row>
    <row r="201" spans="1:19" ht="12.75" hidden="1" customHeight="1" outlineLevel="1" x14ac:dyDescent="0.2">
      <c r="A201" s="220" t="str">
        <f>"      "&amp;Labels!C384</f>
        <v xml:space="preserve">      Total</v>
      </c>
      <c r="B201" s="169">
        <f t="shared" ref="B201:S201" si="93">SUM(B193,B197)</f>
        <v>0</v>
      </c>
      <c r="C201" s="169">
        <f t="shared" si="93"/>
        <v>0</v>
      </c>
      <c r="D201" s="169">
        <f t="shared" si="93"/>
        <v>0</v>
      </c>
      <c r="E201" s="169">
        <f t="shared" si="93"/>
        <v>0</v>
      </c>
      <c r="F201" s="169">
        <f t="shared" si="93"/>
        <v>0</v>
      </c>
      <c r="G201" s="169">
        <f t="shared" si="93"/>
        <v>0</v>
      </c>
      <c r="H201" s="169">
        <f t="shared" si="93"/>
        <v>0</v>
      </c>
      <c r="I201" s="169">
        <f t="shared" si="93"/>
        <v>0</v>
      </c>
      <c r="J201" s="169">
        <f t="shared" si="93"/>
        <v>0</v>
      </c>
      <c r="K201" s="169">
        <f t="shared" si="93"/>
        <v>0</v>
      </c>
      <c r="L201" s="169">
        <f t="shared" si="93"/>
        <v>0</v>
      </c>
      <c r="M201" s="169">
        <f t="shared" si="93"/>
        <v>0</v>
      </c>
      <c r="N201" s="169">
        <f t="shared" si="93"/>
        <v>0</v>
      </c>
      <c r="O201" s="169">
        <f t="shared" si="93"/>
        <v>0</v>
      </c>
      <c r="P201" s="169">
        <f t="shared" si="93"/>
        <v>0</v>
      </c>
      <c r="Q201" s="169">
        <f t="shared" si="93"/>
        <v>0</v>
      </c>
      <c r="R201" s="169">
        <f t="shared" si="93"/>
        <v>0</v>
      </c>
      <c r="S201" s="288">
        <f t="shared" si="93"/>
        <v>0</v>
      </c>
    </row>
    <row r="202" spans="1:19" ht="12.75" hidden="1" customHeight="1" outlineLevel="1" x14ac:dyDescent="0.2"/>
    <row r="203" spans="1:19" ht="12.75" hidden="1" customHeight="1" outlineLevel="1" collapsed="1" x14ac:dyDescent="0.2"/>
    <row r="204" spans="1:19" ht="12.75" customHeight="1" collapsed="1" x14ac:dyDescent="0.2"/>
    <row r="205" spans="1:19" ht="15.75" customHeight="1" collapsed="1" x14ac:dyDescent="0.2">
      <c r="A205" s="265" t="str">
        <f>"Small Engagements"</f>
        <v>Small Engagements</v>
      </c>
    </row>
    <row r="206" spans="1:19" ht="15.75" hidden="1" customHeight="1" outlineLevel="1" x14ac:dyDescent="0.2">
      <c r="A206" s="265" t="str">
        <f>" "</f>
        <v xml:space="preserve"> </v>
      </c>
    </row>
    <row r="207" spans="1:19" ht="12.75" hidden="1" customHeight="1" outlineLevel="1" x14ac:dyDescent="0.2">
      <c r="A207" s="464" t="str">
        <f>"Billings - Small Engagements"</f>
        <v>Billings - Small Engagements</v>
      </c>
      <c r="B207" s="464"/>
    </row>
    <row r="208" spans="1:19" ht="12.75" hidden="1" customHeight="1" outlineLevel="2" x14ac:dyDescent="0.2">
      <c r="A208" s="464" t="str">
        <f>""</f>
        <v/>
      </c>
      <c r="B208" s="464"/>
    </row>
    <row r="209" spans="1:19" ht="12.75" hidden="1" customHeight="1" outlineLevel="2" x14ac:dyDescent="0.2">
      <c r="B209" s="9" t="str">
        <f>'(FnCalls 1)'!F41</f>
        <v>MMM 2010</v>
      </c>
      <c r="C209" s="10" t="str">
        <f>'(FnCalls 1)'!F42</f>
        <v>MMM 2010</v>
      </c>
      <c r="D209" s="10" t="str">
        <f>'(FnCalls 1)'!F43</f>
        <v>MMM 2010</v>
      </c>
      <c r="E209" s="10" t="str">
        <f>'(FnCalls 1)'!F44</f>
        <v>MMM 2010</v>
      </c>
      <c r="F209" s="10" t="str">
        <f>'(FnCalls 1)'!F45</f>
        <v>MMM 2010</v>
      </c>
      <c r="G209" s="10" t="str">
        <f>'(FnCalls 1)'!F46</f>
        <v>MMM 2010</v>
      </c>
      <c r="H209" s="10" t="str">
        <f>'(FnCalls 1)'!F47</f>
        <v>MMM 2010</v>
      </c>
      <c r="I209" s="10" t="str">
        <f>'(FnCalls 1)'!F48</f>
        <v>MMM 2010</v>
      </c>
      <c r="J209" s="10" t="str">
        <f>'(FnCalls 1)'!F49</f>
        <v>MMM 2010</v>
      </c>
      <c r="K209" s="10" t="str">
        <f>'(FnCalls 1)'!F50</f>
        <v>MMM 2010</v>
      </c>
      <c r="L209" s="10" t="str">
        <f>'(FnCalls 1)'!F51</f>
        <v>MMM 2010</v>
      </c>
      <c r="M209" s="10" t="str">
        <f>'(FnCalls 1)'!F52</f>
        <v>MMM 2010</v>
      </c>
      <c r="N209" s="10" t="str">
        <f>'(FnCalls 1)'!F53</f>
        <v>MMM 2011</v>
      </c>
      <c r="O209" s="10" t="str">
        <f>'(FnCalls 1)'!F54</f>
        <v>MMM 2011</v>
      </c>
      <c r="P209" s="10" t="str">
        <f>'(FnCalls 1)'!F55</f>
        <v>MMM 2011</v>
      </c>
      <c r="Q209" s="10" t="str">
        <f>'(FnCalls 1)'!F56</f>
        <v>MMM 2011</v>
      </c>
      <c r="R209" s="10" t="str">
        <f>'(FnCalls 1)'!F57</f>
        <v>MMM 2011</v>
      </c>
      <c r="S209" s="11" t="str">
        <f>'(FnCalls 1)'!F58</f>
        <v>MMM 2011</v>
      </c>
    </row>
    <row r="210" spans="1:19" ht="12.75" hidden="1" customHeight="1" outlineLevel="2" x14ac:dyDescent="0.2">
      <c r="A210" s="182" t="str">
        <f>Labels!B141</f>
        <v>Orders Filled</v>
      </c>
      <c r="B210" s="183"/>
      <c r="C210" s="183"/>
      <c r="D210" s="183"/>
      <c r="E210" s="183"/>
      <c r="F210" s="183"/>
      <c r="G210" s="183"/>
      <c r="H210" s="183"/>
      <c r="I210" s="183"/>
      <c r="J210" s="183"/>
      <c r="K210" s="183"/>
      <c r="L210" s="183"/>
      <c r="M210" s="183"/>
      <c r="N210" s="183"/>
      <c r="O210" s="183"/>
      <c r="P210" s="183"/>
      <c r="Q210" s="183"/>
      <c r="R210" s="183"/>
      <c r="S210" s="266"/>
    </row>
    <row r="211" spans="1:19" ht="12.75" hidden="1" customHeight="1" outlineLevel="2" x14ac:dyDescent="0.2">
      <c r="A211" s="188" t="str">
        <f>"   "&amp;Labels!B381</f>
        <v xml:space="preserve">   Practice 1</v>
      </c>
      <c r="B211" s="196"/>
      <c r="C211" s="196"/>
      <c r="D211" s="196"/>
      <c r="E211" s="196"/>
      <c r="F211" s="196"/>
      <c r="G211" s="196"/>
      <c r="H211" s="196"/>
      <c r="I211" s="196"/>
      <c r="J211" s="196"/>
      <c r="K211" s="196"/>
      <c r="L211" s="196"/>
      <c r="M211" s="196"/>
      <c r="N211" s="196"/>
      <c r="O211" s="196"/>
      <c r="P211" s="196"/>
      <c r="Q211" s="196"/>
      <c r="R211" s="196"/>
      <c r="S211" s="267"/>
    </row>
    <row r="212" spans="1:19" ht="12.75" hidden="1" customHeight="1" outlineLevel="2" x14ac:dyDescent="0.2">
      <c r="A212" s="198" t="str">
        <f>"      "&amp;Labels!B385</f>
        <v xml:space="preserve">      Prof Level 1</v>
      </c>
      <c r="B212" s="226"/>
      <c r="C212" s="226"/>
      <c r="D212" s="226"/>
      <c r="E212" s="226"/>
      <c r="F212" s="226"/>
      <c r="G212" s="226"/>
      <c r="H212" s="226"/>
      <c r="I212" s="226"/>
      <c r="J212" s="226"/>
      <c r="K212" s="226"/>
      <c r="L212" s="226"/>
      <c r="M212" s="226"/>
      <c r="N212" s="226"/>
      <c r="O212" s="226"/>
      <c r="P212" s="226"/>
      <c r="Q212" s="226"/>
      <c r="R212" s="226"/>
      <c r="S212" s="279"/>
    </row>
    <row r="213" spans="1:19" ht="12.75" hidden="1" customHeight="1" outlineLevel="2" x14ac:dyDescent="0.2">
      <c r="A213" s="198" t="str">
        <f>"         "&amp;Labels!B317</f>
        <v xml:space="preserve">         Channels 1</v>
      </c>
      <c r="B213" s="226">
        <f>Sales!B278*B254</f>
        <v>0</v>
      </c>
      <c r="C213" s="226">
        <f>Sales!C278*C254</f>
        <v>0</v>
      </c>
      <c r="D213" s="226">
        <f>Sales!D278*D254</f>
        <v>0</v>
      </c>
      <c r="E213" s="226">
        <f>Sales!F278*E254</f>
        <v>0</v>
      </c>
      <c r="F213" s="226">
        <f>Sales!G278*F254</f>
        <v>0</v>
      </c>
      <c r="G213" s="226">
        <f>Sales!H278*G254</f>
        <v>0</v>
      </c>
      <c r="H213" s="226">
        <f>Sales!J278*H254</f>
        <v>0</v>
      </c>
      <c r="I213" s="226">
        <f>Sales!K278*I254</f>
        <v>0</v>
      </c>
      <c r="J213" s="226">
        <f>Sales!L278*J254</f>
        <v>0</v>
      </c>
      <c r="K213" s="226">
        <f>Sales!N278*K254</f>
        <v>0</v>
      </c>
      <c r="L213" s="226">
        <f>Sales!O278*L254</f>
        <v>0</v>
      </c>
      <c r="M213" s="226">
        <f>Sales!P278*M254</f>
        <v>0</v>
      </c>
      <c r="N213" s="226">
        <f>Sales!R278*N254</f>
        <v>0</v>
      </c>
      <c r="O213" s="226">
        <f>Sales!S278*O254</f>
        <v>0</v>
      </c>
      <c r="P213" s="226">
        <f>Sales!T278*P254</f>
        <v>0</v>
      </c>
      <c r="Q213" s="226">
        <f>Sales!V278*Q254</f>
        <v>0</v>
      </c>
      <c r="R213" s="226">
        <f>Sales!W278*R254</f>
        <v>0</v>
      </c>
      <c r="S213" s="279">
        <f>Sales!X278*S254</f>
        <v>0</v>
      </c>
    </row>
    <row r="214" spans="1:19" ht="12.75" hidden="1" customHeight="1" outlineLevel="2" x14ac:dyDescent="0.2">
      <c r="A214" s="198" t="str">
        <f>"         "&amp;Labels!B318</f>
        <v xml:space="preserve">         Channels 2</v>
      </c>
      <c r="B214" s="226">
        <f>Sales!B278*B255</f>
        <v>0</v>
      </c>
      <c r="C214" s="226">
        <f>Sales!C278*C255</f>
        <v>0</v>
      </c>
      <c r="D214" s="226">
        <f>Sales!D278*D255</f>
        <v>0</v>
      </c>
      <c r="E214" s="226">
        <f>Sales!F278*E255</f>
        <v>0</v>
      </c>
      <c r="F214" s="226">
        <f>Sales!G278*F255</f>
        <v>0</v>
      </c>
      <c r="G214" s="226">
        <f>Sales!H278*G255</f>
        <v>0</v>
      </c>
      <c r="H214" s="226">
        <f>Sales!J278*H255</f>
        <v>0</v>
      </c>
      <c r="I214" s="226">
        <f>Sales!K278*I255</f>
        <v>0</v>
      </c>
      <c r="J214" s="226">
        <f>Sales!L278*J255</f>
        <v>0</v>
      </c>
      <c r="K214" s="226">
        <f>Sales!N278*K255</f>
        <v>0</v>
      </c>
      <c r="L214" s="226">
        <f>Sales!O278*L255</f>
        <v>0</v>
      </c>
      <c r="M214" s="226">
        <f>Sales!P278*M255</f>
        <v>0</v>
      </c>
      <c r="N214" s="226">
        <f>Sales!R278*N255</f>
        <v>0</v>
      </c>
      <c r="O214" s="226">
        <f>Sales!S278*O255</f>
        <v>0</v>
      </c>
      <c r="P214" s="226">
        <f>Sales!T278*P255</f>
        <v>0</v>
      </c>
      <c r="Q214" s="226">
        <f>Sales!V278*Q255</f>
        <v>0</v>
      </c>
      <c r="R214" s="226">
        <f>Sales!W278*R255</f>
        <v>0</v>
      </c>
      <c r="S214" s="279">
        <f>Sales!X278*S255</f>
        <v>0</v>
      </c>
    </row>
    <row r="215" spans="1:19" ht="12.75" hidden="1" customHeight="1" outlineLevel="2" x14ac:dyDescent="0.2">
      <c r="A215" s="198" t="str">
        <f>"         "&amp;Labels!C316</f>
        <v xml:space="preserve">         Total</v>
      </c>
      <c r="B215" s="226">
        <f t="shared" ref="B215:S215" si="94">SUM(B213:B214)</f>
        <v>0</v>
      </c>
      <c r="C215" s="226">
        <f t="shared" si="94"/>
        <v>0</v>
      </c>
      <c r="D215" s="226">
        <f t="shared" si="94"/>
        <v>0</v>
      </c>
      <c r="E215" s="226">
        <f t="shared" si="94"/>
        <v>0</v>
      </c>
      <c r="F215" s="226">
        <f t="shared" si="94"/>
        <v>0</v>
      </c>
      <c r="G215" s="226">
        <f t="shared" si="94"/>
        <v>0</v>
      </c>
      <c r="H215" s="226">
        <f t="shared" si="94"/>
        <v>0</v>
      </c>
      <c r="I215" s="226">
        <f t="shared" si="94"/>
        <v>0</v>
      </c>
      <c r="J215" s="226">
        <f t="shared" si="94"/>
        <v>0</v>
      </c>
      <c r="K215" s="226">
        <f t="shared" si="94"/>
        <v>0</v>
      </c>
      <c r="L215" s="226">
        <f t="shared" si="94"/>
        <v>0</v>
      </c>
      <c r="M215" s="226">
        <f t="shared" si="94"/>
        <v>0</v>
      </c>
      <c r="N215" s="226">
        <f t="shared" si="94"/>
        <v>0</v>
      </c>
      <c r="O215" s="226">
        <f t="shared" si="94"/>
        <v>0</v>
      </c>
      <c r="P215" s="226">
        <f t="shared" si="94"/>
        <v>0</v>
      </c>
      <c r="Q215" s="226">
        <f t="shared" si="94"/>
        <v>0</v>
      </c>
      <c r="R215" s="226">
        <f t="shared" si="94"/>
        <v>0</v>
      </c>
      <c r="S215" s="279">
        <f t="shared" si="94"/>
        <v>0</v>
      </c>
    </row>
    <row r="216" spans="1:19" ht="12.75" hidden="1" customHeight="1" outlineLevel="2" x14ac:dyDescent="0.2">
      <c r="A216" s="198" t="str">
        <f>"      "&amp;Labels!B386</f>
        <v xml:space="preserve">      Prof Level 2</v>
      </c>
      <c r="B216" s="226"/>
      <c r="C216" s="226"/>
      <c r="D216" s="226"/>
      <c r="E216" s="226"/>
      <c r="F216" s="226"/>
      <c r="G216" s="226"/>
      <c r="H216" s="226"/>
      <c r="I216" s="226"/>
      <c r="J216" s="226"/>
      <c r="K216" s="226"/>
      <c r="L216" s="226"/>
      <c r="M216" s="226"/>
      <c r="N216" s="226"/>
      <c r="O216" s="226"/>
      <c r="P216" s="226"/>
      <c r="Q216" s="226"/>
      <c r="R216" s="226"/>
      <c r="S216" s="279"/>
    </row>
    <row r="217" spans="1:19" ht="12.75" hidden="1" customHeight="1" outlineLevel="2" x14ac:dyDescent="0.2">
      <c r="A217" s="198" t="str">
        <f>"         "&amp;Labels!B317</f>
        <v xml:space="preserve">         Channels 1</v>
      </c>
      <c r="B217" s="226">
        <f>Sales!B279*B258</f>
        <v>0</v>
      </c>
      <c r="C217" s="226">
        <f>Sales!C279*C258</f>
        <v>0</v>
      </c>
      <c r="D217" s="226">
        <f>Sales!D279*D258</f>
        <v>0</v>
      </c>
      <c r="E217" s="226">
        <f>Sales!F279*E258</f>
        <v>0</v>
      </c>
      <c r="F217" s="226">
        <f>Sales!G279*F258</f>
        <v>0</v>
      </c>
      <c r="G217" s="226">
        <f>Sales!H279*G258</f>
        <v>0</v>
      </c>
      <c r="H217" s="226">
        <f>Sales!J279*H258</f>
        <v>0</v>
      </c>
      <c r="I217" s="226">
        <f>Sales!K279*I258</f>
        <v>0</v>
      </c>
      <c r="J217" s="226">
        <f>Sales!L279*J258</f>
        <v>0</v>
      </c>
      <c r="K217" s="226">
        <f>Sales!N279*K258</f>
        <v>0</v>
      </c>
      <c r="L217" s="226">
        <f>Sales!O279*L258</f>
        <v>0</v>
      </c>
      <c r="M217" s="226">
        <f>Sales!P279*M258</f>
        <v>0</v>
      </c>
      <c r="N217" s="226">
        <f>Sales!R279*N258</f>
        <v>0</v>
      </c>
      <c r="O217" s="226">
        <f>Sales!S279*O258</f>
        <v>0</v>
      </c>
      <c r="P217" s="226">
        <f>Sales!T279*P258</f>
        <v>0</v>
      </c>
      <c r="Q217" s="226">
        <f>Sales!V279*Q258</f>
        <v>0</v>
      </c>
      <c r="R217" s="226">
        <f>Sales!W279*R258</f>
        <v>0</v>
      </c>
      <c r="S217" s="279">
        <f>Sales!X279*S258</f>
        <v>0</v>
      </c>
    </row>
    <row r="218" spans="1:19" ht="12.75" hidden="1" customHeight="1" outlineLevel="2" x14ac:dyDescent="0.2">
      <c r="A218" s="198" t="str">
        <f>"         "&amp;Labels!B318</f>
        <v xml:space="preserve">         Channels 2</v>
      </c>
      <c r="B218" s="226">
        <f>Sales!B279*B259</f>
        <v>0</v>
      </c>
      <c r="C218" s="226">
        <f>Sales!C279*C259</f>
        <v>0</v>
      </c>
      <c r="D218" s="226">
        <f>Sales!D279*D259</f>
        <v>0</v>
      </c>
      <c r="E218" s="226">
        <f>Sales!F279*E259</f>
        <v>0</v>
      </c>
      <c r="F218" s="226">
        <f>Sales!G279*F259</f>
        <v>0</v>
      </c>
      <c r="G218" s="226">
        <f>Sales!H279*G259</f>
        <v>0</v>
      </c>
      <c r="H218" s="226">
        <f>Sales!J279*H259</f>
        <v>0</v>
      </c>
      <c r="I218" s="226">
        <f>Sales!K279*I259</f>
        <v>0</v>
      </c>
      <c r="J218" s="226">
        <f>Sales!L279*J259</f>
        <v>0</v>
      </c>
      <c r="K218" s="226">
        <f>Sales!N279*K259</f>
        <v>0</v>
      </c>
      <c r="L218" s="226">
        <f>Sales!O279*L259</f>
        <v>0</v>
      </c>
      <c r="M218" s="226">
        <f>Sales!P279*M259</f>
        <v>0</v>
      </c>
      <c r="N218" s="226">
        <f>Sales!R279*N259</f>
        <v>0</v>
      </c>
      <c r="O218" s="226">
        <f>Sales!S279*O259</f>
        <v>0</v>
      </c>
      <c r="P218" s="226">
        <f>Sales!T279*P259</f>
        <v>0</v>
      </c>
      <c r="Q218" s="226">
        <f>Sales!V279*Q259</f>
        <v>0</v>
      </c>
      <c r="R218" s="226">
        <f>Sales!W279*R259</f>
        <v>0</v>
      </c>
      <c r="S218" s="279">
        <f>Sales!X279*S259</f>
        <v>0</v>
      </c>
    </row>
    <row r="219" spans="1:19" ht="12.75" hidden="1" customHeight="1" outlineLevel="2" x14ac:dyDescent="0.2">
      <c r="A219" s="198" t="str">
        <f>"         "&amp;Labels!C316</f>
        <v xml:space="preserve">         Total</v>
      </c>
      <c r="B219" s="226">
        <f t="shared" ref="B219:S219" si="95">SUM(B217:B218)</f>
        <v>0</v>
      </c>
      <c r="C219" s="226">
        <f t="shared" si="95"/>
        <v>0</v>
      </c>
      <c r="D219" s="226">
        <f t="shared" si="95"/>
        <v>0</v>
      </c>
      <c r="E219" s="226">
        <f t="shared" si="95"/>
        <v>0</v>
      </c>
      <c r="F219" s="226">
        <f t="shared" si="95"/>
        <v>0</v>
      </c>
      <c r="G219" s="226">
        <f t="shared" si="95"/>
        <v>0</v>
      </c>
      <c r="H219" s="226">
        <f t="shared" si="95"/>
        <v>0</v>
      </c>
      <c r="I219" s="226">
        <f t="shared" si="95"/>
        <v>0</v>
      </c>
      <c r="J219" s="226">
        <f t="shared" si="95"/>
        <v>0</v>
      </c>
      <c r="K219" s="226">
        <f t="shared" si="95"/>
        <v>0</v>
      </c>
      <c r="L219" s="226">
        <f t="shared" si="95"/>
        <v>0</v>
      </c>
      <c r="M219" s="226">
        <f t="shared" si="95"/>
        <v>0</v>
      </c>
      <c r="N219" s="226">
        <f t="shared" si="95"/>
        <v>0</v>
      </c>
      <c r="O219" s="226">
        <f t="shared" si="95"/>
        <v>0</v>
      </c>
      <c r="P219" s="226">
        <f t="shared" si="95"/>
        <v>0</v>
      </c>
      <c r="Q219" s="226">
        <f t="shared" si="95"/>
        <v>0</v>
      </c>
      <c r="R219" s="226">
        <f t="shared" si="95"/>
        <v>0</v>
      </c>
      <c r="S219" s="279">
        <f t="shared" si="95"/>
        <v>0</v>
      </c>
    </row>
    <row r="220" spans="1:19" ht="12.75" hidden="1" customHeight="1" outlineLevel="2" x14ac:dyDescent="0.2">
      <c r="A220" s="188" t="str">
        <f>"      "&amp;Labels!C384</f>
        <v xml:space="preserve">      Total</v>
      </c>
      <c r="B220" s="196">
        <f t="shared" ref="B220:S220" si="96">SUM(B215,B219)</f>
        <v>0</v>
      </c>
      <c r="C220" s="196">
        <f t="shared" si="96"/>
        <v>0</v>
      </c>
      <c r="D220" s="196">
        <f t="shared" si="96"/>
        <v>0</v>
      </c>
      <c r="E220" s="196">
        <f t="shared" si="96"/>
        <v>0</v>
      </c>
      <c r="F220" s="196">
        <f t="shared" si="96"/>
        <v>0</v>
      </c>
      <c r="G220" s="196">
        <f t="shared" si="96"/>
        <v>0</v>
      </c>
      <c r="H220" s="196">
        <f t="shared" si="96"/>
        <v>0</v>
      </c>
      <c r="I220" s="196">
        <f t="shared" si="96"/>
        <v>0</v>
      </c>
      <c r="J220" s="196">
        <f t="shared" si="96"/>
        <v>0</v>
      </c>
      <c r="K220" s="196">
        <f t="shared" si="96"/>
        <v>0</v>
      </c>
      <c r="L220" s="196">
        <f t="shared" si="96"/>
        <v>0</v>
      </c>
      <c r="M220" s="196">
        <f t="shared" si="96"/>
        <v>0</v>
      </c>
      <c r="N220" s="196">
        <f t="shared" si="96"/>
        <v>0</v>
      </c>
      <c r="O220" s="196">
        <f t="shared" si="96"/>
        <v>0</v>
      </c>
      <c r="P220" s="196">
        <f t="shared" si="96"/>
        <v>0</v>
      </c>
      <c r="Q220" s="196">
        <f t="shared" si="96"/>
        <v>0</v>
      </c>
      <c r="R220" s="196">
        <f t="shared" si="96"/>
        <v>0</v>
      </c>
      <c r="S220" s="267">
        <f t="shared" si="96"/>
        <v>0</v>
      </c>
    </row>
    <row r="221" spans="1:19" ht="12.75" hidden="1" customHeight="1" outlineLevel="2" x14ac:dyDescent="0.2">
      <c r="A221" s="198" t="str">
        <f>"         "&amp;Labels!B317</f>
        <v xml:space="preserve">         Channels 1</v>
      </c>
      <c r="B221" s="226">
        <f t="shared" ref="B221:S221" si="97">SUM(B213,B217)</f>
        <v>0</v>
      </c>
      <c r="C221" s="226">
        <f t="shared" si="97"/>
        <v>0</v>
      </c>
      <c r="D221" s="226">
        <f t="shared" si="97"/>
        <v>0</v>
      </c>
      <c r="E221" s="226">
        <f t="shared" si="97"/>
        <v>0</v>
      </c>
      <c r="F221" s="226">
        <f t="shared" si="97"/>
        <v>0</v>
      </c>
      <c r="G221" s="226">
        <f t="shared" si="97"/>
        <v>0</v>
      </c>
      <c r="H221" s="226">
        <f t="shared" si="97"/>
        <v>0</v>
      </c>
      <c r="I221" s="226">
        <f t="shared" si="97"/>
        <v>0</v>
      </c>
      <c r="J221" s="226">
        <f t="shared" si="97"/>
        <v>0</v>
      </c>
      <c r="K221" s="226">
        <f t="shared" si="97"/>
        <v>0</v>
      </c>
      <c r="L221" s="226">
        <f t="shared" si="97"/>
        <v>0</v>
      </c>
      <c r="M221" s="226">
        <f t="shared" si="97"/>
        <v>0</v>
      </c>
      <c r="N221" s="226">
        <f t="shared" si="97"/>
        <v>0</v>
      </c>
      <c r="O221" s="226">
        <f t="shared" si="97"/>
        <v>0</v>
      </c>
      <c r="P221" s="226">
        <f t="shared" si="97"/>
        <v>0</v>
      </c>
      <c r="Q221" s="226">
        <f t="shared" si="97"/>
        <v>0</v>
      </c>
      <c r="R221" s="226">
        <f t="shared" si="97"/>
        <v>0</v>
      </c>
      <c r="S221" s="279">
        <f t="shared" si="97"/>
        <v>0</v>
      </c>
    </row>
    <row r="222" spans="1:19" ht="12.75" hidden="1" customHeight="1" outlineLevel="2" x14ac:dyDescent="0.2">
      <c r="A222" s="198" t="str">
        <f>"         "&amp;Labels!B318</f>
        <v xml:space="preserve">         Channels 2</v>
      </c>
      <c r="B222" s="226">
        <f t="shared" ref="B222:S222" si="98">SUM(B214,B218)</f>
        <v>0</v>
      </c>
      <c r="C222" s="226">
        <f t="shared" si="98"/>
        <v>0</v>
      </c>
      <c r="D222" s="226">
        <f t="shared" si="98"/>
        <v>0</v>
      </c>
      <c r="E222" s="226">
        <f t="shared" si="98"/>
        <v>0</v>
      </c>
      <c r="F222" s="226">
        <f t="shared" si="98"/>
        <v>0</v>
      </c>
      <c r="G222" s="226">
        <f t="shared" si="98"/>
        <v>0</v>
      </c>
      <c r="H222" s="226">
        <f t="shared" si="98"/>
        <v>0</v>
      </c>
      <c r="I222" s="226">
        <f t="shared" si="98"/>
        <v>0</v>
      </c>
      <c r="J222" s="226">
        <f t="shared" si="98"/>
        <v>0</v>
      </c>
      <c r="K222" s="226">
        <f t="shared" si="98"/>
        <v>0</v>
      </c>
      <c r="L222" s="226">
        <f t="shared" si="98"/>
        <v>0</v>
      </c>
      <c r="M222" s="226">
        <f t="shared" si="98"/>
        <v>0</v>
      </c>
      <c r="N222" s="226">
        <f t="shared" si="98"/>
        <v>0</v>
      </c>
      <c r="O222" s="226">
        <f t="shared" si="98"/>
        <v>0</v>
      </c>
      <c r="P222" s="226">
        <f t="shared" si="98"/>
        <v>0</v>
      </c>
      <c r="Q222" s="226">
        <f t="shared" si="98"/>
        <v>0</v>
      </c>
      <c r="R222" s="226">
        <f t="shared" si="98"/>
        <v>0</v>
      </c>
      <c r="S222" s="279">
        <f t="shared" si="98"/>
        <v>0</v>
      </c>
    </row>
    <row r="223" spans="1:19" ht="12.75" hidden="1" customHeight="1" outlineLevel="2" x14ac:dyDescent="0.2">
      <c r="A223" s="198" t="str">
        <f>"         "&amp;Labels!C316</f>
        <v xml:space="preserve">         Total</v>
      </c>
      <c r="B223" s="226">
        <f t="shared" ref="B223:S223" si="99">SUM(B215,B219)</f>
        <v>0</v>
      </c>
      <c r="C223" s="226">
        <f t="shared" si="99"/>
        <v>0</v>
      </c>
      <c r="D223" s="226">
        <f t="shared" si="99"/>
        <v>0</v>
      </c>
      <c r="E223" s="226">
        <f t="shared" si="99"/>
        <v>0</v>
      </c>
      <c r="F223" s="226">
        <f t="shared" si="99"/>
        <v>0</v>
      </c>
      <c r="G223" s="226">
        <f t="shared" si="99"/>
        <v>0</v>
      </c>
      <c r="H223" s="226">
        <f t="shared" si="99"/>
        <v>0</v>
      </c>
      <c r="I223" s="226">
        <f t="shared" si="99"/>
        <v>0</v>
      </c>
      <c r="J223" s="226">
        <f t="shared" si="99"/>
        <v>0</v>
      </c>
      <c r="K223" s="226">
        <f t="shared" si="99"/>
        <v>0</v>
      </c>
      <c r="L223" s="226">
        <f t="shared" si="99"/>
        <v>0</v>
      </c>
      <c r="M223" s="226">
        <f t="shared" si="99"/>
        <v>0</v>
      </c>
      <c r="N223" s="226">
        <f t="shared" si="99"/>
        <v>0</v>
      </c>
      <c r="O223" s="226">
        <f t="shared" si="99"/>
        <v>0</v>
      </c>
      <c r="P223" s="226">
        <f t="shared" si="99"/>
        <v>0</v>
      </c>
      <c r="Q223" s="226">
        <f t="shared" si="99"/>
        <v>0</v>
      </c>
      <c r="R223" s="226">
        <f t="shared" si="99"/>
        <v>0</v>
      </c>
      <c r="S223" s="279">
        <f t="shared" si="99"/>
        <v>0</v>
      </c>
    </row>
    <row r="224" spans="1:19" ht="12.75" hidden="1" customHeight="1" outlineLevel="2" x14ac:dyDescent="0.2">
      <c r="A224" s="188" t="str">
        <f>"   "&amp;Labels!B382</f>
        <v xml:space="preserve">   Practice 2</v>
      </c>
      <c r="B224" s="196"/>
      <c r="C224" s="196"/>
      <c r="D224" s="196"/>
      <c r="E224" s="196"/>
      <c r="F224" s="196"/>
      <c r="G224" s="196"/>
      <c r="H224" s="196"/>
      <c r="I224" s="196"/>
      <c r="J224" s="196"/>
      <c r="K224" s="196"/>
      <c r="L224" s="196"/>
      <c r="M224" s="196"/>
      <c r="N224" s="196"/>
      <c r="O224" s="196"/>
      <c r="P224" s="196"/>
      <c r="Q224" s="196"/>
      <c r="R224" s="196"/>
      <c r="S224" s="267"/>
    </row>
    <row r="225" spans="1:19" ht="12.75" hidden="1" customHeight="1" outlineLevel="2" x14ac:dyDescent="0.2">
      <c r="A225" s="198" t="str">
        <f>"      "&amp;Labels!B385</f>
        <v xml:space="preserve">      Prof Level 1</v>
      </c>
      <c r="B225" s="226"/>
      <c r="C225" s="226"/>
      <c r="D225" s="226"/>
      <c r="E225" s="226"/>
      <c r="F225" s="226"/>
      <c r="G225" s="226"/>
      <c r="H225" s="226"/>
      <c r="I225" s="226"/>
      <c r="J225" s="226"/>
      <c r="K225" s="226"/>
      <c r="L225" s="226"/>
      <c r="M225" s="226"/>
      <c r="N225" s="226"/>
      <c r="O225" s="226"/>
      <c r="P225" s="226"/>
      <c r="Q225" s="226"/>
      <c r="R225" s="226"/>
      <c r="S225" s="279"/>
    </row>
    <row r="226" spans="1:19" ht="12.75" hidden="1" customHeight="1" outlineLevel="2" x14ac:dyDescent="0.2">
      <c r="A226" s="198" t="str">
        <f>"         "&amp;Labels!B317</f>
        <v xml:space="preserve">         Channels 1</v>
      </c>
      <c r="B226" s="226">
        <f>Sales!B282*B267</f>
        <v>0</v>
      </c>
      <c r="C226" s="226">
        <f>Sales!C282*C267</f>
        <v>0</v>
      </c>
      <c r="D226" s="226">
        <f>Sales!D282*D267</f>
        <v>0</v>
      </c>
      <c r="E226" s="226">
        <f>Sales!F282*E267</f>
        <v>0</v>
      </c>
      <c r="F226" s="226">
        <f>Sales!G282*F267</f>
        <v>0</v>
      </c>
      <c r="G226" s="226">
        <f>Sales!H282*G267</f>
        <v>0</v>
      </c>
      <c r="H226" s="226">
        <f>Sales!J282*H267</f>
        <v>0</v>
      </c>
      <c r="I226" s="226">
        <f>Sales!K282*I267</f>
        <v>0</v>
      </c>
      <c r="J226" s="226">
        <f>Sales!L282*J267</f>
        <v>0</v>
      </c>
      <c r="K226" s="226">
        <f>Sales!N282*K267</f>
        <v>0</v>
      </c>
      <c r="L226" s="226">
        <f>Sales!O282*L267</f>
        <v>0</v>
      </c>
      <c r="M226" s="226">
        <f>Sales!P282*M267</f>
        <v>0</v>
      </c>
      <c r="N226" s="226">
        <f>Sales!R282*N267</f>
        <v>0</v>
      </c>
      <c r="O226" s="226">
        <f>Sales!S282*O267</f>
        <v>0</v>
      </c>
      <c r="P226" s="226">
        <f>Sales!T282*P267</f>
        <v>0</v>
      </c>
      <c r="Q226" s="226">
        <f>Sales!V282*Q267</f>
        <v>0</v>
      </c>
      <c r="R226" s="226">
        <f>Sales!W282*R267</f>
        <v>0</v>
      </c>
      <c r="S226" s="279">
        <f>Sales!X282*S267</f>
        <v>0</v>
      </c>
    </row>
    <row r="227" spans="1:19" ht="12.75" hidden="1" customHeight="1" outlineLevel="2" x14ac:dyDescent="0.2">
      <c r="A227" s="198" t="str">
        <f>"         "&amp;Labels!B318</f>
        <v xml:space="preserve">         Channels 2</v>
      </c>
      <c r="B227" s="226">
        <f>Sales!B282*B268</f>
        <v>0</v>
      </c>
      <c r="C227" s="226">
        <f>Sales!C282*C268</f>
        <v>0</v>
      </c>
      <c r="D227" s="226">
        <f>Sales!D282*D268</f>
        <v>0</v>
      </c>
      <c r="E227" s="226">
        <f>Sales!F282*E268</f>
        <v>0</v>
      </c>
      <c r="F227" s="226">
        <f>Sales!G282*F268</f>
        <v>0</v>
      </c>
      <c r="G227" s="226">
        <f>Sales!H282*G268</f>
        <v>0</v>
      </c>
      <c r="H227" s="226">
        <f>Sales!J282*H268</f>
        <v>0</v>
      </c>
      <c r="I227" s="226">
        <f>Sales!K282*I268</f>
        <v>0</v>
      </c>
      <c r="J227" s="226">
        <f>Sales!L282*J268</f>
        <v>0</v>
      </c>
      <c r="K227" s="226">
        <f>Sales!N282*K268</f>
        <v>0</v>
      </c>
      <c r="L227" s="226">
        <f>Sales!O282*L268</f>
        <v>0</v>
      </c>
      <c r="M227" s="226">
        <f>Sales!P282*M268</f>
        <v>0</v>
      </c>
      <c r="N227" s="226">
        <f>Sales!R282*N268</f>
        <v>0</v>
      </c>
      <c r="O227" s="226">
        <f>Sales!S282*O268</f>
        <v>0</v>
      </c>
      <c r="P227" s="226">
        <f>Sales!T282*P268</f>
        <v>0</v>
      </c>
      <c r="Q227" s="226">
        <f>Sales!V282*Q268</f>
        <v>0</v>
      </c>
      <c r="R227" s="226">
        <f>Sales!W282*R268</f>
        <v>0</v>
      </c>
      <c r="S227" s="279">
        <f>Sales!X282*S268</f>
        <v>0</v>
      </c>
    </row>
    <row r="228" spans="1:19" ht="12.75" hidden="1" customHeight="1" outlineLevel="2" x14ac:dyDescent="0.2">
      <c r="A228" s="198" t="str">
        <f>"         "&amp;Labels!C316</f>
        <v xml:space="preserve">         Total</v>
      </c>
      <c r="B228" s="226">
        <f t="shared" ref="B228:S228" si="100">SUM(B226:B227)</f>
        <v>0</v>
      </c>
      <c r="C228" s="226">
        <f t="shared" si="100"/>
        <v>0</v>
      </c>
      <c r="D228" s="226">
        <f t="shared" si="100"/>
        <v>0</v>
      </c>
      <c r="E228" s="226">
        <f t="shared" si="100"/>
        <v>0</v>
      </c>
      <c r="F228" s="226">
        <f t="shared" si="100"/>
        <v>0</v>
      </c>
      <c r="G228" s="226">
        <f t="shared" si="100"/>
        <v>0</v>
      </c>
      <c r="H228" s="226">
        <f t="shared" si="100"/>
        <v>0</v>
      </c>
      <c r="I228" s="226">
        <f t="shared" si="100"/>
        <v>0</v>
      </c>
      <c r="J228" s="226">
        <f t="shared" si="100"/>
        <v>0</v>
      </c>
      <c r="K228" s="226">
        <f t="shared" si="100"/>
        <v>0</v>
      </c>
      <c r="L228" s="226">
        <f t="shared" si="100"/>
        <v>0</v>
      </c>
      <c r="M228" s="226">
        <f t="shared" si="100"/>
        <v>0</v>
      </c>
      <c r="N228" s="226">
        <f t="shared" si="100"/>
        <v>0</v>
      </c>
      <c r="O228" s="226">
        <f t="shared" si="100"/>
        <v>0</v>
      </c>
      <c r="P228" s="226">
        <f t="shared" si="100"/>
        <v>0</v>
      </c>
      <c r="Q228" s="226">
        <f t="shared" si="100"/>
        <v>0</v>
      </c>
      <c r="R228" s="226">
        <f t="shared" si="100"/>
        <v>0</v>
      </c>
      <c r="S228" s="279">
        <f t="shared" si="100"/>
        <v>0</v>
      </c>
    </row>
    <row r="229" spans="1:19" ht="12.75" hidden="1" customHeight="1" outlineLevel="2" x14ac:dyDescent="0.2">
      <c r="A229" s="198" t="str">
        <f>"      "&amp;Labels!B386</f>
        <v xml:space="preserve">      Prof Level 2</v>
      </c>
      <c r="B229" s="226"/>
      <c r="C229" s="226"/>
      <c r="D229" s="226"/>
      <c r="E229" s="226"/>
      <c r="F229" s="226"/>
      <c r="G229" s="226"/>
      <c r="H229" s="226"/>
      <c r="I229" s="226"/>
      <c r="J229" s="226"/>
      <c r="K229" s="226"/>
      <c r="L229" s="226"/>
      <c r="M229" s="226"/>
      <c r="N229" s="226"/>
      <c r="O229" s="226"/>
      <c r="P229" s="226"/>
      <c r="Q229" s="226"/>
      <c r="R229" s="226"/>
      <c r="S229" s="279"/>
    </row>
    <row r="230" spans="1:19" ht="12.75" hidden="1" customHeight="1" outlineLevel="2" x14ac:dyDescent="0.2">
      <c r="A230" s="198" t="str">
        <f>"         "&amp;Labels!B317</f>
        <v xml:space="preserve">         Channels 1</v>
      </c>
      <c r="B230" s="226">
        <f>Sales!B283*B271</f>
        <v>0</v>
      </c>
      <c r="C230" s="226">
        <f>Sales!C283*C271</f>
        <v>0</v>
      </c>
      <c r="D230" s="226">
        <f>Sales!D283*D271</f>
        <v>0</v>
      </c>
      <c r="E230" s="226">
        <f>Sales!F283*E271</f>
        <v>0</v>
      </c>
      <c r="F230" s="226">
        <f>Sales!G283*F271</f>
        <v>0</v>
      </c>
      <c r="G230" s="226">
        <f>Sales!H283*G271</f>
        <v>0</v>
      </c>
      <c r="H230" s="226">
        <f>Sales!J283*H271</f>
        <v>0</v>
      </c>
      <c r="I230" s="226">
        <f>Sales!K283*I271</f>
        <v>0</v>
      </c>
      <c r="J230" s="226">
        <f>Sales!L283*J271</f>
        <v>0</v>
      </c>
      <c r="K230" s="226">
        <f>Sales!N283*K271</f>
        <v>0</v>
      </c>
      <c r="L230" s="226">
        <f>Sales!O283*L271</f>
        <v>0</v>
      </c>
      <c r="M230" s="226">
        <f>Sales!P283*M271</f>
        <v>0</v>
      </c>
      <c r="N230" s="226">
        <f>Sales!R283*N271</f>
        <v>0</v>
      </c>
      <c r="O230" s="226">
        <f>Sales!S283*O271</f>
        <v>0</v>
      </c>
      <c r="P230" s="226">
        <f>Sales!T283*P271</f>
        <v>0</v>
      </c>
      <c r="Q230" s="226">
        <f>Sales!V283*Q271</f>
        <v>0</v>
      </c>
      <c r="R230" s="226">
        <f>Sales!W283*R271</f>
        <v>0</v>
      </c>
      <c r="S230" s="279">
        <f>Sales!X283*S271</f>
        <v>0</v>
      </c>
    </row>
    <row r="231" spans="1:19" ht="12.75" hidden="1" customHeight="1" outlineLevel="2" x14ac:dyDescent="0.2">
      <c r="A231" s="198" t="str">
        <f>"         "&amp;Labels!B318</f>
        <v xml:space="preserve">         Channels 2</v>
      </c>
      <c r="B231" s="226">
        <f>Sales!B283*B272</f>
        <v>0</v>
      </c>
      <c r="C231" s="226">
        <f>Sales!C283*C272</f>
        <v>0</v>
      </c>
      <c r="D231" s="226">
        <f>Sales!D283*D272</f>
        <v>0</v>
      </c>
      <c r="E231" s="226">
        <f>Sales!F283*E272</f>
        <v>0</v>
      </c>
      <c r="F231" s="226">
        <f>Sales!G283*F272</f>
        <v>0</v>
      </c>
      <c r="G231" s="226">
        <f>Sales!H283*G272</f>
        <v>0</v>
      </c>
      <c r="H231" s="226">
        <f>Sales!J283*H272</f>
        <v>0</v>
      </c>
      <c r="I231" s="226">
        <f>Sales!K283*I272</f>
        <v>0</v>
      </c>
      <c r="J231" s="226">
        <f>Sales!L283*J272</f>
        <v>0</v>
      </c>
      <c r="K231" s="226">
        <f>Sales!N283*K272</f>
        <v>0</v>
      </c>
      <c r="L231" s="226">
        <f>Sales!O283*L272</f>
        <v>0</v>
      </c>
      <c r="M231" s="226">
        <f>Sales!P283*M272</f>
        <v>0</v>
      </c>
      <c r="N231" s="226">
        <f>Sales!R283*N272</f>
        <v>0</v>
      </c>
      <c r="O231" s="226">
        <f>Sales!S283*O272</f>
        <v>0</v>
      </c>
      <c r="P231" s="226">
        <f>Sales!T283*P272</f>
        <v>0</v>
      </c>
      <c r="Q231" s="226">
        <f>Sales!V283*Q272</f>
        <v>0</v>
      </c>
      <c r="R231" s="226">
        <f>Sales!W283*R272</f>
        <v>0</v>
      </c>
      <c r="S231" s="279">
        <f>Sales!X283*S272</f>
        <v>0</v>
      </c>
    </row>
    <row r="232" spans="1:19" ht="12.75" hidden="1" customHeight="1" outlineLevel="2" x14ac:dyDescent="0.2">
      <c r="A232" s="198" t="str">
        <f>"         "&amp;Labels!C316</f>
        <v xml:space="preserve">         Total</v>
      </c>
      <c r="B232" s="226">
        <f t="shared" ref="B232:S232" si="101">SUM(B230:B231)</f>
        <v>0</v>
      </c>
      <c r="C232" s="226">
        <f t="shared" si="101"/>
        <v>0</v>
      </c>
      <c r="D232" s="226">
        <f t="shared" si="101"/>
        <v>0</v>
      </c>
      <c r="E232" s="226">
        <f t="shared" si="101"/>
        <v>0</v>
      </c>
      <c r="F232" s="226">
        <f t="shared" si="101"/>
        <v>0</v>
      </c>
      <c r="G232" s="226">
        <f t="shared" si="101"/>
        <v>0</v>
      </c>
      <c r="H232" s="226">
        <f t="shared" si="101"/>
        <v>0</v>
      </c>
      <c r="I232" s="226">
        <f t="shared" si="101"/>
        <v>0</v>
      </c>
      <c r="J232" s="226">
        <f t="shared" si="101"/>
        <v>0</v>
      </c>
      <c r="K232" s="226">
        <f t="shared" si="101"/>
        <v>0</v>
      </c>
      <c r="L232" s="226">
        <f t="shared" si="101"/>
        <v>0</v>
      </c>
      <c r="M232" s="226">
        <f t="shared" si="101"/>
        <v>0</v>
      </c>
      <c r="N232" s="226">
        <f t="shared" si="101"/>
        <v>0</v>
      </c>
      <c r="O232" s="226">
        <f t="shared" si="101"/>
        <v>0</v>
      </c>
      <c r="P232" s="226">
        <f t="shared" si="101"/>
        <v>0</v>
      </c>
      <c r="Q232" s="226">
        <f t="shared" si="101"/>
        <v>0</v>
      </c>
      <c r="R232" s="226">
        <f t="shared" si="101"/>
        <v>0</v>
      </c>
      <c r="S232" s="279">
        <f t="shared" si="101"/>
        <v>0</v>
      </c>
    </row>
    <row r="233" spans="1:19" ht="12.75" hidden="1" customHeight="1" outlineLevel="2" x14ac:dyDescent="0.2">
      <c r="A233" s="188" t="str">
        <f>"      "&amp;Labels!C384</f>
        <v xml:space="preserve">      Total</v>
      </c>
      <c r="B233" s="196">
        <f t="shared" ref="B233:S233" si="102">SUM(B228,B232)</f>
        <v>0</v>
      </c>
      <c r="C233" s="196">
        <f t="shared" si="102"/>
        <v>0</v>
      </c>
      <c r="D233" s="196">
        <f t="shared" si="102"/>
        <v>0</v>
      </c>
      <c r="E233" s="196">
        <f t="shared" si="102"/>
        <v>0</v>
      </c>
      <c r="F233" s="196">
        <f t="shared" si="102"/>
        <v>0</v>
      </c>
      <c r="G233" s="196">
        <f t="shared" si="102"/>
        <v>0</v>
      </c>
      <c r="H233" s="196">
        <f t="shared" si="102"/>
        <v>0</v>
      </c>
      <c r="I233" s="196">
        <f t="shared" si="102"/>
        <v>0</v>
      </c>
      <c r="J233" s="196">
        <f t="shared" si="102"/>
        <v>0</v>
      </c>
      <c r="K233" s="196">
        <f t="shared" si="102"/>
        <v>0</v>
      </c>
      <c r="L233" s="196">
        <f t="shared" si="102"/>
        <v>0</v>
      </c>
      <c r="M233" s="196">
        <f t="shared" si="102"/>
        <v>0</v>
      </c>
      <c r="N233" s="196">
        <f t="shared" si="102"/>
        <v>0</v>
      </c>
      <c r="O233" s="196">
        <f t="shared" si="102"/>
        <v>0</v>
      </c>
      <c r="P233" s="196">
        <f t="shared" si="102"/>
        <v>0</v>
      </c>
      <c r="Q233" s="196">
        <f t="shared" si="102"/>
        <v>0</v>
      </c>
      <c r="R233" s="196">
        <f t="shared" si="102"/>
        <v>0</v>
      </c>
      <c r="S233" s="267">
        <f t="shared" si="102"/>
        <v>0</v>
      </c>
    </row>
    <row r="234" spans="1:19" ht="12.75" hidden="1" customHeight="1" outlineLevel="2" x14ac:dyDescent="0.2">
      <c r="A234" s="198" t="str">
        <f>"         "&amp;Labels!B317</f>
        <v xml:space="preserve">         Channels 1</v>
      </c>
      <c r="B234" s="226">
        <f t="shared" ref="B234:S234" si="103">SUM(B226,B230)</f>
        <v>0</v>
      </c>
      <c r="C234" s="226">
        <f t="shared" si="103"/>
        <v>0</v>
      </c>
      <c r="D234" s="226">
        <f t="shared" si="103"/>
        <v>0</v>
      </c>
      <c r="E234" s="226">
        <f t="shared" si="103"/>
        <v>0</v>
      </c>
      <c r="F234" s="226">
        <f t="shared" si="103"/>
        <v>0</v>
      </c>
      <c r="G234" s="226">
        <f t="shared" si="103"/>
        <v>0</v>
      </c>
      <c r="H234" s="226">
        <f t="shared" si="103"/>
        <v>0</v>
      </c>
      <c r="I234" s="226">
        <f t="shared" si="103"/>
        <v>0</v>
      </c>
      <c r="J234" s="226">
        <f t="shared" si="103"/>
        <v>0</v>
      </c>
      <c r="K234" s="226">
        <f t="shared" si="103"/>
        <v>0</v>
      </c>
      <c r="L234" s="226">
        <f t="shared" si="103"/>
        <v>0</v>
      </c>
      <c r="M234" s="226">
        <f t="shared" si="103"/>
        <v>0</v>
      </c>
      <c r="N234" s="226">
        <f t="shared" si="103"/>
        <v>0</v>
      </c>
      <c r="O234" s="226">
        <f t="shared" si="103"/>
        <v>0</v>
      </c>
      <c r="P234" s="226">
        <f t="shared" si="103"/>
        <v>0</v>
      </c>
      <c r="Q234" s="226">
        <f t="shared" si="103"/>
        <v>0</v>
      </c>
      <c r="R234" s="226">
        <f t="shared" si="103"/>
        <v>0</v>
      </c>
      <c r="S234" s="279">
        <f t="shared" si="103"/>
        <v>0</v>
      </c>
    </row>
    <row r="235" spans="1:19" ht="12.75" hidden="1" customHeight="1" outlineLevel="2" x14ac:dyDescent="0.2">
      <c r="A235" s="198" t="str">
        <f>"         "&amp;Labels!B318</f>
        <v xml:space="preserve">         Channels 2</v>
      </c>
      <c r="B235" s="226">
        <f t="shared" ref="B235:S235" si="104">SUM(B227,B231)</f>
        <v>0</v>
      </c>
      <c r="C235" s="226">
        <f t="shared" si="104"/>
        <v>0</v>
      </c>
      <c r="D235" s="226">
        <f t="shared" si="104"/>
        <v>0</v>
      </c>
      <c r="E235" s="226">
        <f t="shared" si="104"/>
        <v>0</v>
      </c>
      <c r="F235" s="226">
        <f t="shared" si="104"/>
        <v>0</v>
      </c>
      <c r="G235" s="226">
        <f t="shared" si="104"/>
        <v>0</v>
      </c>
      <c r="H235" s="226">
        <f t="shared" si="104"/>
        <v>0</v>
      </c>
      <c r="I235" s="226">
        <f t="shared" si="104"/>
        <v>0</v>
      </c>
      <c r="J235" s="226">
        <f t="shared" si="104"/>
        <v>0</v>
      </c>
      <c r="K235" s="226">
        <f t="shared" si="104"/>
        <v>0</v>
      </c>
      <c r="L235" s="226">
        <f t="shared" si="104"/>
        <v>0</v>
      </c>
      <c r="M235" s="226">
        <f t="shared" si="104"/>
        <v>0</v>
      </c>
      <c r="N235" s="226">
        <f t="shared" si="104"/>
        <v>0</v>
      </c>
      <c r="O235" s="226">
        <f t="shared" si="104"/>
        <v>0</v>
      </c>
      <c r="P235" s="226">
        <f t="shared" si="104"/>
        <v>0</v>
      </c>
      <c r="Q235" s="226">
        <f t="shared" si="104"/>
        <v>0</v>
      </c>
      <c r="R235" s="226">
        <f t="shared" si="104"/>
        <v>0</v>
      </c>
      <c r="S235" s="279">
        <f t="shared" si="104"/>
        <v>0</v>
      </c>
    </row>
    <row r="236" spans="1:19" ht="12.75" hidden="1" customHeight="1" outlineLevel="2" x14ac:dyDescent="0.2">
      <c r="A236" s="198" t="str">
        <f>"         "&amp;Labels!C316</f>
        <v xml:space="preserve">         Total</v>
      </c>
      <c r="B236" s="226">
        <f t="shared" ref="B236:S236" si="105">SUM(B228,B232)</f>
        <v>0</v>
      </c>
      <c r="C236" s="226">
        <f t="shared" si="105"/>
        <v>0</v>
      </c>
      <c r="D236" s="226">
        <f t="shared" si="105"/>
        <v>0</v>
      </c>
      <c r="E236" s="226">
        <f t="shared" si="105"/>
        <v>0</v>
      </c>
      <c r="F236" s="226">
        <f t="shared" si="105"/>
        <v>0</v>
      </c>
      <c r="G236" s="226">
        <f t="shared" si="105"/>
        <v>0</v>
      </c>
      <c r="H236" s="226">
        <f t="shared" si="105"/>
        <v>0</v>
      </c>
      <c r="I236" s="226">
        <f t="shared" si="105"/>
        <v>0</v>
      </c>
      <c r="J236" s="226">
        <f t="shared" si="105"/>
        <v>0</v>
      </c>
      <c r="K236" s="226">
        <f t="shared" si="105"/>
        <v>0</v>
      </c>
      <c r="L236" s="226">
        <f t="shared" si="105"/>
        <v>0</v>
      </c>
      <c r="M236" s="226">
        <f t="shared" si="105"/>
        <v>0</v>
      </c>
      <c r="N236" s="226">
        <f t="shared" si="105"/>
        <v>0</v>
      </c>
      <c r="O236" s="226">
        <f t="shared" si="105"/>
        <v>0</v>
      </c>
      <c r="P236" s="226">
        <f t="shared" si="105"/>
        <v>0</v>
      </c>
      <c r="Q236" s="226">
        <f t="shared" si="105"/>
        <v>0</v>
      </c>
      <c r="R236" s="226">
        <f t="shared" si="105"/>
        <v>0</v>
      </c>
      <c r="S236" s="279">
        <f t="shared" si="105"/>
        <v>0</v>
      </c>
    </row>
    <row r="237" spans="1:19" ht="12.75" hidden="1" customHeight="1" outlineLevel="2" x14ac:dyDescent="0.2">
      <c r="A237" s="191" t="str">
        <f>"   "&amp;Labels!C380</f>
        <v xml:space="preserve">   Total</v>
      </c>
      <c r="B237" s="192">
        <f t="shared" ref="B237:S237" si="106">SUM(B220,B233)</f>
        <v>0</v>
      </c>
      <c r="C237" s="192">
        <f t="shared" si="106"/>
        <v>0</v>
      </c>
      <c r="D237" s="192">
        <f t="shared" si="106"/>
        <v>0</v>
      </c>
      <c r="E237" s="192">
        <f t="shared" si="106"/>
        <v>0</v>
      </c>
      <c r="F237" s="192">
        <f t="shared" si="106"/>
        <v>0</v>
      </c>
      <c r="G237" s="192">
        <f t="shared" si="106"/>
        <v>0</v>
      </c>
      <c r="H237" s="192">
        <f t="shared" si="106"/>
        <v>0</v>
      </c>
      <c r="I237" s="192">
        <f t="shared" si="106"/>
        <v>0</v>
      </c>
      <c r="J237" s="192">
        <f t="shared" si="106"/>
        <v>0</v>
      </c>
      <c r="K237" s="192">
        <f t="shared" si="106"/>
        <v>0</v>
      </c>
      <c r="L237" s="192">
        <f t="shared" si="106"/>
        <v>0</v>
      </c>
      <c r="M237" s="192">
        <f t="shared" si="106"/>
        <v>0</v>
      </c>
      <c r="N237" s="192">
        <f t="shared" si="106"/>
        <v>0</v>
      </c>
      <c r="O237" s="192">
        <f t="shared" si="106"/>
        <v>0</v>
      </c>
      <c r="P237" s="192">
        <f t="shared" si="106"/>
        <v>0</v>
      </c>
      <c r="Q237" s="192">
        <f t="shared" si="106"/>
        <v>0</v>
      </c>
      <c r="R237" s="192">
        <f t="shared" si="106"/>
        <v>0</v>
      </c>
      <c r="S237" s="280">
        <f t="shared" si="106"/>
        <v>0</v>
      </c>
    </row>
    <row r="238" spans="1:19" ht="12.75" hidden="1" customHeight="1" outlineLevel="2" x14ac:dyDescent="0.2">
      <c r="A238" s="198" t="str">
        <f>"      "&amp;Labels!B385</f>
        <v xml:space="preserve">      Prof Level 1</v>
      </c>
      <c r="B238" s="226"/>
      <c r="C238" s="226"/>
      <c r="D238" s="226"/>
      <c r="E238" s="226"/>
      <c r="F238" s="226"/>
      <c r="G238" s="226"/>
      <c r="H238" s="226"/>
      <c r="I238" s="226"/>
      <c r="J238" s="226"/>
      <c r="K238" s="226"/>
      <c r="L238" s="226"/>
      <c r="M238" s="226"/>
      <c r="N238" s="226"/>
      <c r="O238" s="226"/>
      <c r="P238" s="226"/>
      <c r="Q238" s="226"/>
      <c r="R238" s="226"/>
      <c r="S238" s="279"/>
    </row>
    <row r="239" spans="1:19" ht="12.75" hidden="1" customHeight="1" outlineLevel="2" x14ac:dyDescent="0.2">
      <c r="A239" s="198" t="str">
        <f>"         "&amp;Labels!B317</f>
        <v xml:space="preserve">         Channels 1</v>
      </c>
      <c r="B239" s="226">
        <f t="shared" ref="B239:S239" si="107">SUM(B213,B226)</f>
        <v>0</v>
      </c>
      <c r="C239" s="226">
        <f t="shared" si="107"/>
        <v>0</v>
      </c>
      <c r="D239" s="226">
        <f t="shared" si="107"/>
        <v>0</v>
      </c>
      <c r="E239" s="226">
        <f t="shared" si="107"/>
        <v>0</v>
      </c>
      <c r="F239" s="226">
        <f t="shared" si="107"/>
        <v>0</v>
      </c>
      <c r="G239" s="226">
        <f t="shared" si="107"/>
        <v>0</v>
      </c>
      <c r="H239" s="226">
        <f t="shared" si="107"/>
        <v>0</v>
      </c>
      <c r="I239" s="226">
        <f t="shared" si="107"/>
        <v>0</v>
      </c>
      <c r="J239" s="226">
        <f t="shared" si="107"/>
        <v>0</v>
      </c>
      <c r="K239" s="226">
        <f t="shared" si="107"/>
        <v>0</v>
      </c>
      <c r="L239" s="226">
        <f t="shared" si="107"/>
        <v>0</v>
      </c>
      <c r="M239" s="226">
        <f t="shared" si="107"/>
        <v>0</v>
      </c>
      <c r="N239" s="226">
        <f t="shared" si="107"/>
        <v>0</v>
      </c>
      <c r="O239" s="226">
        <f t="shared" si="107"/>
        <v>0</v>
      </c>
      <c r="P239" s="226">
        <f t="shared" si="107"/>
        <v>0</v>
      </c>
      <c r="Q239" s="226">
        <f t="shared" si="107"/>
        <v>0</v>
      </c>
      <c r="R239" s="226">
        <f t="shared" si="107"/>
        <v>0</v>
      </c>
      <c r="S239" s="279">
        <f t="shared" si="107"/>
        <v>0</v>
      </c>
    </row>
    <row r="240" spans="1:19" ht="12.75" hidden="1" customHeight="1" outlineLevel="2" x14ac:dyDescent="0.2">
      <c r="A240" s="198" t="str">
        <f>"         "&amp;Labels!B318</f>
        <v xml:space="preserve">         Channels 2</v>
      </c>
      <c r="B240" s="226">
        <f t="shared" ref="B240:S240" si="108">SUM(B214,B227)</f>
        <v>0</v>
      </c>
      <c r="C240" s="226">
        <f t="shared" si="108"/>
        <v>0</v>
      </c>
      <c r="D240" s="226">
        <f t="shared" si="108"/>
        <v>0</v>
      </c>
      <c r="E240" s="226">
        <f t="shared" si="108"/>
        <v>0</v>
      </c>
      <c r="F240" s="226">
        <f t="shared" si="108"/>
        <v>0</v>
      </c>
      <c r="G240" s="226">
        <f t="shared" si="108"/>
        <v>0</v>
      </c>
      <c r="H240" s="226">
        <f t="shared" si="108"/>
        <v>0</v>
      </c>
      <c r="I240" s="226">
        <f t="shared" si="108"/>
        <v>0</v>
      </c>
      <c r="J240" s="226">
        <f t="shared" si="108"/>
        <v>0</v>
      </c>
      <c r="K240" s="226">
        <f t="shared" si="108"/>
        <v>0</v>
      </c>
      <c r="L240" s="226">
        <f t="shared" si="108"/>
        <v>0</v>
      </c>
      <c r="M240" s="226">
        <f t="shared" si="108"/>
        <v>0</v>
      </c>
      <c r="N240" s="226">
        <f t="shared" si="108"/>
        <v>0</v>
      </c>
      <c r="O240" s="226">
        <f t="shared" si="108"/>
        <v>0</v>
      </c>
      <c r="P240" s="226">
        <f t="shared" si="108"/>
        <v>0</v>
      </c>
      <c r="Q240" s="226">
        <f t="shared" si="108"/>
        <v>0</v>
      </c>
      <c r="R240" s="226">
        <f t="shared" si="108"/>
        <v>0</v>
      </c>
      <c r="S240" s="279">
        <f t="shared" si="108"/>
        <v>0</v>
      </c>
    </row>
    <row r="241" spans="1:19" ht="12.75" hidden="1" customHeight="1" outlineLevel="2" x14ac:dyDescent="0.2">
      <c r="A241" s="198" t="str">
        <f>"         "&amp;Labels!C316</f>
        <v xml:space="preserve">         Total</v>
      </c>
      <c r="B241" s="226">
        <f t="shared" ref="B241:S241" si="109">SUM(B215,B228)</f>
        <v>0</v>
      </c>
      <c r="C241" s="226">
        <f t="shared" si="109"/>
        <v>0</v>
      </c>
      <c r="D241" s="226">
        <f t="shared" si="109"/>
        <v>0</v>
      </c>
      <c r="E241" s="226">
        <f t="shared" si="109"/>
        <v>0</v>
      </c>
      <c r="F241" s="226">
        <f t="shared" si="109"/>
        <v>0</v>
      </c>
      <c r="G241" s="226">
        <f t="shared" si="109"/>
        <v>0</v>
      </c>
      <c r="H241" s="226">
        <f t="shared" si="109"/>
        <v>0</v>
      </c>
      <c r="I241" s="226">
        <f t="shared" si="109"/>
        <v>0</v>
      </c>
      <c r="J241" s="226">
        <f t="shared" si="109"/>
        <v>0</v>
      </c>
      <c r="K241" s="226">
        <f t="shared" si="109"/>
        <v>0</v>
      </c>
      <c r="L241" s="226">
        <f t="shared" si="109"/>
        <v>0</v>
      </c>
      <c r="M241" s="226">
        <f t="shared" si="109"/>
        <v>0</v>
      </c>
      <c r="N241" s="226">
        <f t="shared" si="109"/>
        <v>0</v>
      </c>
      <c r="O241" s="226">
        <f t="shared" si="109"/>
        <v>0</v>
      </c>
      <c r="P241" s="226">
        <f t="shared" si="109"/>
        <v>0</v>
      </c>
      <c r="Q241" s="226">
        <f t="shared" si="109"/>
        <v>0</v>
      </c>
      <c r="R241" s="226">
        <f t="shared" si="109"/>
        <v>0</v>
      </c>
      <c r="S241" s="279">
        <f t="shared" si="109"/>
        <v>0</v>
      </c>
    </row>
    <row r="242" spans="1:19" ht="12.75" hidden="1" customHeight="1" outlineLevel="2" x14ac:dyDescent="0.2">
      <c r="A242" s="198" t="str">
        <f>"      "&amp;Labels!B386</f>
        <v xml:space="preserve">      Prof Level 2</v>
      </c>
      <c r="B242" s="226"/>
      <c r="C242" s="226"/>
      <c r="D242" s="226"/>
      <c r="E242" s="226"/>
      <c r="F242" s="226"/>
      <c r="G242" s="226"/>
      <c r="H242" s="226"/>
      <c r="I242" s="226"/>
      <c r="J242" s="226"/>
      <c r="K242" s="226"/>
      <c r="L242" s="226"/>
      <c r="M242" s="226"/>
      <c r="N242" s="226"/>
      <c r="O242" s="226"/>
      <c r="P242" s="226"/>
      <c r="Q242" s="226"/>
      <c r="R242" s="226"/>
      <c r="S242" s="279"/>
    </row>
    <row r="243" spans="1:19" ht="12.75" hidden="1" customHeight="1" outlineLevel="2" x14ac:dyDescent="0.2">
      <c r="A243" s="198" t="str">
        <f>"         "&amp;Labels!B317</f>
        <v xml:space="preserve">         Channels 1</v>
      </c>
      <c r="B243" s="226">
        <f t="shared" ref="B243:S243" si="110">SUM(B217,B230)</f>
        <v>0</v>
      </c>
      <c r="C243" s="226">
        <f t="shared" si="110"/>
        <v>0</v>
      </c>
      <c r="D243" s="226">
        <f t="shared" si="110"/>
        <v>0</v>
      </c>
      <c r="E243" s="226">
        <f t="shared" si="110"/>
        <v>0</v>
      </c>
      <c r="F243" s="226">
        <f t="shared" si="110"/>
        <v>0</v>
      </c>
      <c r="G243" s="226">
        <f t="shared" si="110"/>
        <v>0</v>
      </c>
      <c r="H243" s="226">
        <f t="shared" si="110"/>
        <v>0</v>
      </c>
      <c r="I243" s="226">
        <f t="shared" si="110"/>
        <v>0</v>
      </c>
      <c r="J243" s="226">
        <f t="shared" si="110"/>
        <v>0</v>
      </c>
      <c r="K243" s="226">
        <f t="shared" si="110"/>
        <v>0</v>
      </c>
      <c r="L243" s="226">
        <f t="shared" si="110"/>
        <v>0</v>
      </c>
      <c r="M243" s="226">
        <f t="shared" si="110"/>
        <v>0</v>
      </c>
      <c r="N243" s="226">
        <f t="shared" si="110"/>
        <v>0</v>
      </c>
      <c r="O243" s="226">
        <f t="shared" si="110"/>
        <v>0</v>
      </c>
      <c r="P243" s="226">
        <f t="shared" si="110"/>
        <v>0</v>
      </c>
      <c r="Q243" s="226">
        <f t="shared" si="110"/>
        <v>0</v>
      </c>
      <c r="R243" s="226">
        <f t="shared" si="110"/>
        <v>0</v>
      </c>
      <c r="S243" s="279">
        <f t="shared" si="110"/>
        <v>0</v>
      </c>
    </row>
    <row r="244" spans="1:19" ht="12.75" hidden="1" customHeight="1" outlineLevel="2" x14ac:dyDescent="0.2">
      <c r="A244" s="198" t="str">
        <f>"         "&amp;Labels!B318</f>
        <v xml:space="preserve">         Channels 2</v>
      </c>
      <c r="B244" s="226">
        <f t="shared" ref="B244:S244" si="111">SUM(B218,B231)</f>
        <v>0</v>
      </c>
      <c r="C244" s="226">
        <f t="shared" si="111"/>
        <v>0</v>
      </c>
      <c r="D244" s="226">
        <f t="shared" si="111"/>
        <v>0</v>
      </c>
      <c r="E244" s="226">
        <f t="shared" si="111"/>
        <v>0</v>
      </c>
      <c r="F244" s="226">
        <f t="shared" si="111"/>
        <v>0</v>
      </c>
      <c r="G244" s="226">
        <f t="shared" si="111"/>
        <v>0</v>
      </c>
      <c r="H244" s="226">
        <f t="shared" si="111"/>
        <v>0</v>
      </c>
      <c r="I244" s="226">
        <f t="shared" si="111"/>
        <v>0</v>
      </c>
      <c r="J244" s="226">
        <f t="shared" si="111"/>
        <v>0</v>
      </c>
      <c r="K244" s="226">
        <f t="shared" si="111"/>
        <v>0</v>
      </c>
      <c r="L244" s="226">
        <f t="shared" si="111"/>
        <v>0</v>
      </c>
      <c r="M244" s="226">
        <f t="shared" si="111"/>
        <v>0</v>
      </c>
      <c r="N244" s="226">
        <f t="shared" si="111"/>
        <v>0</v>
      </c>
      <c r="O244" s="226">
        <f t="shared" si="111"/>
        <v>0</v>
      </c>
      <c r="P244" s="226">
        <f t="shared" si="111"/>
        <v>0</v>
      </c>
      <c r="Q244" s="226">
        <f t="shared" si="111"/>
        <v>0</v>
      </c>
      <c r="R244" s="226">
        <f t="shared" si="111"/>
        <v>0</v>
      </c>
      <c r="S244" s="279">
        <f t="shared" si="111"/>
        <v>0</v>
      </c>
    </row>
    <row r="245" spans="1:19" ht="12.75" hidden="1" customHeight="1" outlineLevel="2" x14ac:dyDescent="0.2">
      <c r="A245" s="198" t="str">
        <f>"         "&amp;Labels!C316</f>
        <v xml:space="preserve">         Total</v>
      </c>
      <c r="B245" s="226">
        <f t="shared" ref="B245:S245" si="112">SUM(B219,B232)</f>
        <v>0</v>
      </c>
      <c r="C245" s="226">
        <f t="shared" si="112"/>
        <v>0</v>
      </c>
      <c r="D245" s="226">
        <f t="shared" si="112"/>
        <v>0</v>
      </c>
      <c r="E245" s="226">
        <f t="shared" si="112"/>
        <v>0</v>
      </c>
      <c r="F245" s="226">
        <f t="shared" si="112"/>
        <v>0</v>
      </c>
      <c r="G245" s="226">
        <f t="shared" si="112"/>
        <v>0</v>
      </c>
      <c r="H245" s="226">
        <f t="shared" si="112"/>
        <v>0</v>
      </c>
      <c r="I245" s="226">
        <f t="shared" si="112"/>
        <v>0</v>
      </c>
      <c r="J245" s="226">
        <f t="shared" si="112"/>
        <v>0</v>
      </c>
      <c r="K245" s="226">
        <f t="shared" si="112"/>
        <v>0</v>
      </c>
      <c r="L245" s="226">
        <f t="shared" si="112"/>
        <v>0</v>
      </c>
      <c r="M245" s="226">
        <f t="shared" si="112"/>
        <v>0</v>
      </c>
      <c r="N245" s="226">
        <f t="shared" si="112"/>
        <v>0</v>
      </c>
      <c r="O245" s="226">
        <f t="shared" si="112"/>
        <v>0</v>
      </c>
      <c r="P245" s="226">
        <f t="shared" si="112"/>
        <v>0</v>
      </c>
      <c r="Q245" s="226">
        <f t="shared" si="112"/>
        <v>0</v>
      </c>
      <c r="R245" s="226">
        <f t="shared" si="112"/>
        <v>0</v>
      </c>
      <c r="S245" s="279">
        <f t="shared" si="112"/>
        <v>0</v>
      </c>
    </row>
    <row r="246" spans="1:19" ht="12.75" hidden="1" customHeight="1" outlineLevel="2" x14ac:dyDescent="0.2">
      <c r="A246" s="188" t="str">
        <f>"      "&amp;Labels!C384</f>
        <v xml:space="preserve">      Total</v>
      </c>
      <c r="B246" s="196">
        <f t="shared" ref="B246:S246" si="113">SUM(B220,B233)</f>
        <v>0</v>
      </c>
      <c r="C246" s="196">
        <f t="shared" si="113"/>
        <v>0</v>
      </c>
      <c r="D246" s="196">
        <f t="shared" si="113"/>
        <v>0</v>
      </c>
      <c r="E246" s="196">
        <f t="shared" si="113"/>
        <v>0</v>
      </c>
      <c r="F246" s="196">
        <f t="shared" si="113"/>
        <v>0</v>
      </c>
      <c r="G246" s="196">
        <f t="shared" si="113"/>
        <v>0</v>
      </c>
      <c r="H246" s="196">
        <f t="shared" si="113"/>
        <v>0</v>
      </c>
      <c r="I246" s="196">
        <f t="shared" si="113"/>
        <v>0</v>
      </c>
      <c r="J246" s="196">
        <f t="shared" si="113"/>
        <v>0</v>
      </c>
      <c r="K246" s="196">
        <f t="shared" si="113"/>
        <v>0</v>
      </c>
      <c r="L246" s="196">
        <f t="shared" si="113"/>
        <v>0</v>
      </c>
      <c r="M246" s="196">
        <f t="shared" si="113"/>
        <v>0</v>
      </c>
      <c r="N246" s="196">
        <f t="shared" si="113"/>
        <v>0</v>
      </c>
      <c r="O246" s="196">
        <f t="shared" si="113"/>
        <v>0</v>
      </c>
      <c r="P246" s="196">
        <f t="shared" si="113"/>
        <v>0</v>
      </c>
      <c r="Q246" s="196">
        <f t="shared" si="113"/>
        <v>0</v>
      </c>
      <c r="R246" s="196">
        <f t="shared" si="113"/>
        <v>0</v>
      </c>
      <c r="S246" s="267">
        <f t="shared" si="113"/>
        <v>0</v>
      </c>
    </row>
    <row r="247" spans="1:19" ht="12.75" hidden="1" customHeight="1" outlineLevel="2" x14ac:dyDescent="0.2">
      <c r="A247" s="198" t="str">
        <f>"         "&amp;Labels!B317</f>
        <v xml:space="preserve">         Channels 1</v>
      </c>
      <c r="B247" s="226">
        <f t="shared" ref="B247:S247" si="114">SUM(B221,B234)</f>
        <v>0</v>
      </c>
      <c r="C247" s="226">
        <f t="shared" si="114"/>
        <v>0</v>
      </c>
      <c r="D247" s="226">
        <f t="shared" si="114"/>
        <v>0</v>
      </c>
      <c r="E247" s="226">
        <f t="shared" si="114"/>
        <v>0</v>
      </c>
      <c r="F247" s="226">
        <f t="shared" si="114"/>
        <v>0</v>
      </c>
      <c r="G247" s="226">
        <f t="shared" si="114"/>
        <v>0</v>
      </c>
      <c r="H247" s="226">
        <f t="shared" si="114"/>
        <v>0</v>
      </c>
      <c r="I247" s="226">
        <f t="shared" si="114"/>
        <v>0</v>
      </c>
      <c r="J247" s="226">
        <f t="shared" si="114"/>
        <v>0</v>
      </c>
      <c r="K247" s="226">
        <f t="shared" si="114"/>
        <v>0</v>
      </c>
      <c r="L247" s="226">
        <f t="shared" si="114"/>
        <v>0</v>
      </c>
      <c r="M247" s="226">
        <f t="shared" si="114"/>
        <v>0</v>
      </c>
      <c r="N247" s="226">
        <f t="shared" si="114"/>
        <v>0</v>
      </c>
      <c r="O247" s="226">
        <f t="shared" si="114"/>
        <v>0</v>
      </c>
      <c r="P247" s="226">
        <f t="shared" si="114"/>
        <v>0</v>
      </c>
      <c r="Q247" s="226">
        <f t="shared" si="114"/>
        <v>0</v>
      </c>
      <c r="R247" s="226">
        <f t="shared" si="114"/>
        <v>0</v>
      </c>
      <c r="S247" s="279">
        <f t="shared" si="114"/>
        <v>0</v>
      </c>
    </row>
    <row r="248" spans="1:19" ht="12.75" hidden="1" customHeight="1" outlineLevel="2" x14ac:dyDescent="0.2">
      <c r="A248" s="198" t="str">
        <f>"         "&amp;Labels!B318</f>
        <v xml:space="preserve">         Channels 2</v>
      </c>
      <c r="B248" s="226">
        <f t="shared" ref="B248:S248" si="115">SUM(B222,B235)</f>
        <v>0</v>
      </c>
      <c r="C248" s="226">
        <f t="shared" si="115"/>
        <v>0</v>
      </c>
      <c r="D248" s="226">
        <f t="shared" si="115"/>
        <v>0</v>
      </c>
      <c r="E248" s="226">
        <f t="shared" si="115"/>
        <v>0</v>
      </c>
      <c r="F248" s="226">
        <f t="shared" si="115"/>
        <v>0</v>
      </c>
      <c r="G248" s="226">
        <f t="shared" si="115"/>
        <v>0</v>
      </c>
      <c r="H248" s="226">
        <f t="shared" si="115"/>
        <v>0</v>
      </c>
      <c r="I248" s="226">
        <f t="shared" si="115"/>
        <v>0</v>
      </c>
      <c r="J248" s="226">
        <f t="shared" si="115"/>
        <v>0</v>
      </c>
      <c r="K248" s="226">
        <f t="shared" si="115"/>
        <v>0</v>
      </c>
      <c r="L248" s="226">
        <f t="shared" si="115"/>
        <v>0</v>
      </c>
      <c r="M248" s="226">
        <f t="shared" si="115"/>
        <v>0</v>
      </c>
      <c r="N248" s="226">
        <f t="shared" si="115"/>
        <v>0</v>
      </c>
      <c r="O248" s="226">
        <f t="shared" si="115"/>
        <v>0</v>
      </c>
      <c r="P248" s="226">
        <f t="shared" si="115"/>
        <v>0</v>
      </c>
      <c r="Q248" s="226">
        <f t="shared" si="115"/>
        <v>0</v>
      </c>
      <c r="R248" s="226">
        <f t="shared" si="115"/>
        <v>0</v>
      </c>
      <c r="S248" s="279">
        <f t="shared" si="115"/>
        <v>0</v>
      </c>
    </row>
    <row r="249" spans="1:19" ht="12.75" hidden="1" customHeight="1" outlineLevel="2" x14ac:dyDescent="0.2">
      <c r="A249" s="198" t="str">
        <f>"         "&amp;Labels!C316</f>
        <v xml:space="preserve">         Total</v>
      </c>
      <c r="B249" s="226">
        <f t="shared" ref="B249:S249" si="116">SUM(B220,B233)</f>
        <v>0</v>
      </c>
      <c r="C249" s="226">
        <f t="shared" si="116"/>
        <v>0</v>
      </c>
      <c r="D249" s="226">
        <f t="shared" si="116"/>
        <v>0</v>
      </c>
      <c r="E249" s="226">
        <f t="shared" si="116"/>
        <v>0</v>
      </c>
      <c r="F249" s="226">
        <f t="shared" si="116"/>
        <v>0</v>
      </c>
      <c r="G249" s="226">
        <f t="shared" si="116"/>
        <v>0</v>
      </c>
      <c r="H249" s="226">
        <f t="shared" si="116"/>
        <v>0</v>
      </c>
      <c r="I249" s="226">
        <f t="shared" si="116"/>
        <v>0</v>
      </c>
      <c r="J249" s="226">
        <f t="shared" si="116"/>
        <v>0</v>
      </c>
      <c r="K249" s="226">
        <f t="shared" si="116"/>
        <v>0</v>
      </c>
      <c r="L249" s="226">
        <f t="shared" si="116"/>
        <v>0</v>
      </c>
      <c r="M249" s="226">
        <f t="shared" si="116"/>
        <v>0</v>
      </c>
      <c r="N249" s="226">
        <f t="shared" si="116"/>
        <v>0</v>
      </c>
      <c r="O249" s="226">
        <f t="shared" si="116"/>
        <v>0</v>
      </c>
      <c r="P249" s="226">
        <f t="shared" si="116"/>
        <v>0</v>
      </c>
      <c r="Q249" s="226">
        <f t="shared" si="116"/>
        <v>0</v>
      </c>
      <c r="R249" s="226">
        <f t="shared" si="116"/>
        <v>0</v>
      </c>
      <c r="S249" s="279">
        <f t="shared" si="116"/>
        <v>0</v>
      </c>
    </row>
    <row r="250" spans="1:19" ht="12.75" hidden="1" customHeight="1" outlineLevel="2" x14ac:dyDescent="0.2">
      <c r="A250" s="97"/>
      <c r="B250" s="6"/>
      <c r="C250" s="6"/>
      <c r="D250" s="6"/>
      <c r="E250" s="6"/>
      <c r="F250" s="6"/>
      <c r="G250" s="6"/>
      <c r="H250" s="6"/>
      <c r="I250" s="6"/>
      <c r="J250" s="6"/>
      <c r="K250" s="6"/>
      <c r="L250" s="6"/>
      <c r="M250" s="6"/>
      <c r="N250" s="6"/>
      <c r="O250" s="6"/>
      <c r="P250" s="6"/>
      <c r="Q250" s="6"/>
      <c r="R250" s="6"/>
      <c r="S250" s="7"/>
    </row>
    <row r="251" spans="1:19" ht="12.75" hidden="1" customHeight="1" outlineLevel="2" x14ac:dyDescent="0.2">
      <c r="A251" s="191" t="str">
        <f>Labels!B142</f>
        <v>Orders (Billed Hrs)</v>
      </c>
      <c r="B251" s="260"/>
      <c r="C251" s="260"/>
      <c r="D251" s="260"/>
      <c r="E251" s="260"/>
      <c r="F251" s="260"/>
      <c r="G251" s="260"/>
      <c r="H251" s="260"/>
      <c r="I251" s="260"/>
      <c r="J251" s="260"/>
      <c r="K251" s="260"/>
      <c r="L251" s="260"/>
      <c r="M251" s="260"/>
      <c r="N251" s="260"/>
      <c r="O251" s="260"/>
      <c r="P251" s="260"/>
      <c r="Q251" s="260"/>
      <c r="R251" s="260"/>
      <c r="S251" s="289"/>
    </row>
    <row r="252" spans="1:19" ht="12.75" hidden="1" customHeight="1" outlineLevel="2" x14ac:dyDescent="0.2">
      <c r="A252" s="188" t="str">
        <f>"   "&amp;Labels!B381</f>
        <v xml:space="preserve">   Practice 1</v>
      </c>
      <c r="B252" s="256"/>
      <c r="C252" s="256"/>
      <c r="D252" s="256"/>
      <c r="E252" s="256"/>
      <c r="F252" s="256"/>
      <c r="G252" s="256"/>
      <c r="H252" s="256"/>
      <c r="I252" s="256"/>
      <c r="J252" s="256"/>
      <c r="K252" s="256"/>
      <c r="L252" s="256"/>
      <c r="M252" s="256"/>
      <c r="N252" s="256"/>
      <c r="O252" s="256"/>
      <c r="P252" s="256"/>
      <c r="Q252" s="256"/>
      <c r="R252" s="256"/>
      <c r="S252" s="290"/>
    </row>
    <row r="253" spans="1:19" ht="12.75" hidden="1" customHeight="1" outlineLevel="2" x14ac:dyDescent="0.2">
      <c r="A253" s="198" t="str">
        <f>"      "&amp;Labels!B385</f>
        <v xml:space="preserve">      Prof Level 1</v>
      </c>
      <c r="B253" s="258"/>
      <c r="C253" s="258"/>
      <c r="D253" s="258"/>
      <c r="E253" s="258"/>
      <c r="F253" s="258"/>
      <c r="G253" s="258"/>
      <c r="H253" s="258"/>
      <c r="I253" s="258"/>
      <c r="J253" s="258"/>
      <c r="K253" s="258"/>
      <c r="L253" s="258"/>
      <c r="M253" s="258"/>
      <c r="N253" s="258"/>
      <c r="O253" s="258"/>
      <c r="P253" s="258"/>
      <c r="Q253" s="258"/>
      <c r="R253" s="258"/>
      <c r="S253" s="291"/>
    </row>
    <row r="254" spans="1:19" ht="12.75" hidden="1" customHeight="1" outlineLevel="2" x14ac:dyDescent="0.2">
      <c r="A254" s="198" t="str">
        <f>"         "&amp;Labels!B317</f>
        <v xml:space="preserve">         Channels 1</v>
      </c>
      <c r="B254" s="258">
        <f>IF(Inputs!F46,ROUND('(Tables)'!B444,0),'(Tables)'!B444)</f>
        <v>0</v>
      </c>
      <c r="C254" s="258">
        <f>IF(Inputs!F46,ROUND('(Tables)'!C444,0),'(Tables)'!C444)</f>
        <v>0</v>
      </c>
      <c r="D254" s="258">
        <f>IF(Inputs!F46,ROUND('(Tables)'!D444,0),'(Tables)'!D444)</f>
        <v>0</v>
      </c>
      <c r="E254" s="258">
        <f>IF(Inputs!F46,ROUND('(Tables)'!E444,0),'(Tables)'!E444)</f>
        <v>0</v>
      </c>
      <c r="F254" s="258">
        <f>IF(Inputs!F46,ROUND('(Tables)'!F444,0),'(Tables)'!F444)</f>
        <v>0</v>
      </c>
      <c r="G254" s="258">
        <f>IF(Inputs!F46,ROUND('(Tables)'!G444,0),'(Tables)'!G444)</f>
        <v>0</v>
      </c>
      <c r="H254" s="258">
        <f>IF(Inputs!F46,ROUND('(Tables)'!H444,0),'(Tables)'!H444)</f>
        <v>0</v>
      </c>
      <c r="I254" s="258">
        <f>IF(Inputs!F46,ROUND('(Tables)'!I444,0),'(Tables)'!I444)</f>
        <v>0</v>
      </c>
      <c r="J254" s="258">
        <f>IF(Inputs!F46,ROUND('(Tables)'!J444,0),'(Tables)'!J444)</f>
        <v>0</v>
      </c>
      <c r="K254" s="258">
        <f>IF(Inputs!F46,ROUND('(Tables)'!K444,0),'(Tables)'!K444)</f>
        <v>0</v>
      </c>
      <c r="L254" s="258">
        <f>IF(Inputs!F46,ROUND('(Tables)'!L444,0),'(Tables)'!L444)</f>
        <v>0</v>
      </c>
      <c r="M254" s="258">
        <f>IF(Inputs!F46,ROUND('(Tables)'!M444,0),'(Tables)'!M444)</f>
        <v>0</v>
      </c>
      <c r="N254" s="258">
        <f>IF(Inputs!F46,ROUND('(Tables)'!N444,0),'(Tables)'!N444)</f>
        <v>0</v>
      </c>
      <c r="O254" s="258">
        <f>IF(Inputs!F46,ROUND('(Tables)'!O444,0),'(Tables)'!O444)</f>
        <v>0</v>
      </c>
      <c r="P254" s="258">
        <f>IF(Inputs!F46,ROUND('(Tables)'!P444,0),'(Tables)'!P444)</f>
        <v>0</v>
      </c>
      <c r="Q254" s="258">
        <f>IF(Inputs!F46,ROUND('(Tables)'!Q444,0),'(Tables)'!Q444)</f>
        <v>0</v>
      </c>
      <c r="R254" s="258">
        <f>IF(Inputs!F46,ROUND('(Tables)'!R444,0),'(Tables)'!R444)</f>
        <v>0</v>
      </c>
      <c r="S254" s="291">
        <f>IF(Inputs!F46,ROUND('(Tables)'!S444,0),'(Tables)'!S444)</f>
        <v>0</v>
      </c>
    </row>
    <row r="255" spans="1:19" ht="12.75" hidden="1" customHeight="1" outlineLevel="2" x14ac:dyDescent="0.2">
      <c r="A255" s="198" t="str">
        <f>"         "&amp;Labels!B318</f>
        <v xml:space="preserve">         Channels 2</v>
      </c>
      <c r="B255" s="258">
        <f>IF(Inputs!F46,ROUND('(Tables)'!B445,0),'(Tables)'!B445)</f>
        <v>0</v>
      </c>
      <c r="C255" s="258">
        <f>IF(Inputs!F46,ROUND('(Tables)'!C445,0),'(Tables)'!C445)</f>
        <v>0</v>
      </c>
      <c r="D255" s="258">
        <f>IF(Inputs!F46,ROUND('(Tables)'!D445,0),'(Tables)'!D445)</f>
        <v>0</v>
      </c>
      <c r="E255" s="258">
        <f>IF(Inputs!F46,ROUND('(Tables)'!E445,0),'(Tables)'!E445)</f>
        <v>0</v>
      </c>
      <c r="F255" s="258">
        <f>IF(Inputs!F46,ROUND('(Tables)'!F445,0),'(Tables)'!F445)</f>
        <v>0</v>
      </c>
      <c r="G255" s="258">
        <f>IF(Inputs!F46,ROUND('(Tables)'!G445,0),'(Tables)'!G445)</f>
        <v>0</v>
      </c>
      <c r="H255" s="258">
        <f>IF(Inputs!F46,ROUND('(Tables)'!H445,0),'(Tables)'!H445)</f>
        <v>0</v>
      </c>
      <c r="I255" s="258">
        <f>IF(Inputs!F46,ROUND('(Tables)'!I445,0),'(Tables)'!I445)</f>
        <v>0</v>
      </c>
      <c r="J255" s="258">
        <f>IF(Inputs!F46,ROUND('(Tables)'!J445,0),'(Tables)'!J445)</f>
        <v>0</v>
      </c>
      <c r="K255" s="258">
        <f>IF(Inputs!F46,ROUND('(Tables)'!K445,0),'(Tables)'!K445)</f>
        <v>0</v>
      </c>
      <c r="L255" s="258">
        <f>IF(Inputs!F46,ROUND('(Tables)'!L445,0),'(Tables)'!L445)</f>
        <v>0</v>
      </c>
      <c r="M255" s="258">
        <f>IF(Inputs!F46,ROUND('(Tables)'!M445,0),'(Tables)'!M445)</f>
        <v>0</v>
      </c>
      <c r="N255" s="258">
        <f>IF(Inputs!F46,ROUND('(Tables)'!N445,0),'(Tables)'!N445)</f>
        <v>0</v>
      </c>
      <c r="O255" s="258">
        <f>IF(Inputs!F46,ROUND('(Tables)'!O445,0),'(Tables)'!O445)</f>
        <v>0</v>
      </c>
      <c r="P255" s="258">
        <f>IF(Inputs!F46,ROUND('(Tables)'!P445,0),'(Tables)'!P445)</f>
        <v>0</v>
      </c>
      <c r="Q255" s="258">
        <f>IF(Inputs!F46,ROUND('(Tables)'!Q445,0),'(Tables)'!Q445)</f>
        <v>0</v>
      </c>
      <c r="R255" s="258">
        <f>IF(Inputs!F46,ROUND('(Tables)'!R445,0),'(Tables)'!R445)</f>
        <v>0</v>
      </c>
      <c r="S255" s="291">
        <f>IF(Inputs!F46,ROUND('(Tables)'!S445,0),'(Tables)'!S445)</f>
        <v>0</v>
      </c>
    </row>
    <row r="256" spans="1:19" ht="12.75" hidden="1" customHeight="1" outlineLevel="2" x14ac:dyDescent="0.2">
      <c r="A256" s="198" t="str">
        <f>"         "&amp;Labels!C316</f>
        <v xml:space="preserve">         Total</v>
      </c>
      <c r="B256" s="258">
        <f t="shared" ref="B256:S256" si="117">SUM(B254:B255)</f>
        <v>0</v>
      </c>
      <c r="C256" s="258">
        <f t="shared" si="117"/>
        <v>0</v>
      </c>
      <c r="D256" s="258">
        <f t="shared" si="117"/>
        <v>0</v>
      </c>
      <c r="E256" s="258">
        <f t="shared" si="117"/>
        <v>0</v>
      </c>
      <c r="F256" s="258">
        <f t="shared" si="117"/>
        <v>0</v>
      </c>
      <c r="G256" s="258">
        <f t="shared" si="117"/>
        <v>0</v>
      </c>
      <c r="H256" s="258">
        <f t="shared" si="117"/>
        <v>0</v>
      </c>
      <c r="I256" s="258">
        <f t="shared" si="117"/>
        <v>0</v>
      </c>
      <c r="J256" s="258">
        <f t="shared" si="117"/>
        <v>0</v>
      </c>
      <c r="K256" s="258">
        <f t="shared" si="117"/>
        <v>0</v>
      </c>
      <c r="L256" s="258">
        <f t="shared" si="117"/>
        <v>0</v>
      </c>
      <c r="M256" s="258">
        <f t="shared" si="117"/>
        <v>0</v>
      </c>
      <c r="N256" s="258">
        <f t="shared" si="117"/>
        <v>0</v>
      </c>
      <c r="O256" s="258">
        <f t="shared" si="117"/>
        <v>0</v>
      </c>
      <c r="P256" s="258">
        <f t="shared" si="117"/>
        <v>0</v>
      </c>
      <c r="Q256" s="258">
        <f t="shared" si="117"/>
        <v>0</v>
      </c>
      <c r="R256" s="258">
        <f t="shared" si="117"/>
        <v>0</v>
      </c>
      <c r="S256" s="291">
        <f t="shared" si="117"/>
        <v>0</v>
      </c>
    </row>
    <row r="257" spans="1:19" ht="12.75" hidden="1" customHeight="1" outlineLevel="2" x14ac:dyDescent="0.2">
      <c r="A257" s="198" t="str">
        <f>"      "&amp;Labels!B386</f>
        <v xml:space="preserve">      Prof Level 2</v>
      </c>
      <c r="B257" s="258"/>
      <c r="C257" s="258"/>
      <c r="D257" s="258"/>
      <c r="E257" s="258"/>
      <c r="F257" s="258"/>
      <c r="G257" s="258"/>
      <c r="H257" s="258"/>
      <c r="I257" s="258"/>
      <c r="J257" s="258"/>
      <c r="K257" s="258"/>
      <c r="L257" s="258"/>
      <c r="M257" s="258"/>
      <c r="N257" s="258"/>
      <c r="O257" s="258"/>
      <c r="P257" s="258"/>
      <c r="Q257" s="258"/>
      <c r="R257" s="258"/>
      <c r="S257" s="291"/>
    </row>
    <row r="258" spans="1:19" ht="12.75" hidden="1" customHeight="1" outlineLevel="2" x14ac:dyDescent="0.2">
      <c r="A258" s="198" t="str">
        <f>"         "&amp;Labels!B317</f>
        <v xml:space="preserve">         Channels 1</v>
      </c>
      <c r="B258" s="258">
        <f>IF(Inputs!F46,ROUND('(Tables)'!B448,0),'(Tables)'!B448)</f>
        <v>0</v>
      </c>
      <c r="C258" s="258">
        <f>IF(Inputs!F46,ROUND('(Tables)'!C448,0),'(Tables)'!C448)</f>
        <v>0</v>
      </c>
      <c r="D258" s="258">
        <f>IF(Inputs!F46,ROUND('(Tables)'!D448,0),'(Tables)'!D448)</f>
        <v>0</v>
      </c>
      <c r="E258" s="258">
        <f>IF(Inputs!F46,ROUND('(Tables)'!E448,0),'(Tables)'!E448)</f>
        <v>0</v>
      </c>
      <c r="F258" s="258">
        <f>IF(Inputs!F46,ROUND('(Tables)'!F448,0),'(Tables)'!F448)</f>
        <v>0</v>
      </c>
      <c r="G258" s="258">
        <f>IF(Inputs!F46,ROUND('(Tables)'!G448,0),'(Tables)'!G448)</f>
        <v>0</v>
      </c>
      <c r="H258" s="258">
        <f>IF(Inputs!F46,ROUND('(Tables)'!H448,0),'(Tables)'!H448)</f>
        <v>0</v>
      </c>
      <c r="I258" s="258">
        <f>IF(Inputs!F46,ROUND('(Tables)'!I448,0),'(Tables)'!I448)</f>
        <v>0</v>
      </c>
      <c r="J258" s="258">
        <f>IF(Inputs!F46,ROUND('(Tables)'!J448,0),'(Tables)'!J448)</f>
        <v>0</v>
      </c>
      <c r="K258" s="258">
        <f>IF(Inputs!F46,ROUND('(Tables)'!K448,0),'(Tables)'!K448)</f>
        <v>0</v>
      </c>
      <c r="L258" s="258">
        <f>IF(Inputs!F46,ROUND('(Tables)'!L448,0),'(Tables)'!L448)</f>
        <v>0</v>
      </c>
      <c r="M258" s="258">
        <f>IF(Inputs!F46,ROUND('(Tables)'!M448,0),'(Tables)'!M448)</f>
        <v>0</v>
      </c>
      <c r="N258" s="258">
        <f>IF(Inputs!F46,ROUND('(Tables)'!N448,0),'(Tables)'!N448)</f>
        <v>0</v>
      </c>
      <c r="O258" s="258">
        <f>IF(Inputs!F46,ROUND('(Tables)'!O448,0),'(Tables)'!O448)</f>
        <v>0</v>
      </c>
      <c r="P258" s="258">
        <f>IF(Inputs!F46,ROUND('(Tables)'!P448,0),'(Tables)'!P448)</f>
        <v>0</v>
      </c>
      <c r="Q258" s="258">
        <f>IF(Inputs!F46,ROUND('(Tables)'!Q448,0),'(Tables)'!Q448)</f>
        <v>0</v>
      </c>
      <c r="R258" s="258">
        <f>IF(Inputs!F46,ROUND('(Tables)'!R448,0),'(Tables)'!R448)</f>
        <v>0</v>
      </c>
      <c r="S258" s="291">
        <f>IF(Inputs!F46,ROUND('(Tables)'!S448,0),'(Tables)'!S448)</f>
        <v>0</v>
      </c>
    </row>
    <row r="259" spans="1:19" ht="12.75" hidden="1" customHeight="1" outlineLevel="2" x14ac:dyDescent="0.2">
      <c r="A259" s="198" t="str">
        <f>"         "&amp;Labels!B318</f>
        <v xml:space="preserve">         Channels 2</v>
      </c>
      <c r="B259" s="258">
        <f>IF(Inputs!F46,ROUND('(Tables)'!B449,0),'(Tables)'!B449)</f>
        <v>0</v>
      </c>
      <c r="C259" s="258">
        <f>IF(Inputs!F46,ROUND('(Tables)'!C449,0),'(Tables)'!C449)</f>
        <v>0</v>
      </c>
      <c r="D259" s="258">
        <f>IF(Inputs!F46,ROUND('(Tables)'!D449,0),'(Tables)'!D449)</f>
        <v>0</v>
      </c>
      <c r="E259" s="258">
        <f>IF(Inputs!F46,ROUND('(Tables)'!E449,0),'(Tables)'!E449)</f>
        <v>0</v>
      </c>
      <c r="F259" s="258">
        <f>IF(Inputs!F46,ROUND('(Tables)'!F449,0),'(Tables)'!F449)</f>
        <v>0</v>
      </c>
      <c r="G259" s="258">
        <f>IF(Inputs!F46,ROUND('(Tables)'!G449,0),'(Tables)'!G449)</f>
        <v>0</v>
      </c>
      <c r="H259" s="258">
        <f>IF(Inputs!F46,ROUND('(Tables)'!H449,0),'(Tables)'!H449)</f>
        <v>0</v>
      </c>
      <c r="I259" s="258">
        <f>IF(Inputs!F46,ROUND('(Tables)'!I449,0),'(Tables)'!I449)</f>
        <v>0</v>
      </c>
      <c r="J259" s="258">
        <f>IF(Inputs!F46,ROUND('(Tables)'!J449,0),'(Tables)'!J449)</f>
        <v>0</v>
      </c>
      <c r="K259" s="258">
        <f>IF(Inputs!F46,ROUND('(Tables)'!K449,0),'(Tables)'!K449)</f>
        <v>0</v>
      </c>
      <c r="L259" s="258">
        <f>IF(Inputs!F46,ROUND('(Tables)'!L449,0),'(Tables)'!L449)</f>
        <v>0</v>
      </c>
      <c r="M259" s="258">
        <f>IF(Inputs!F46,ROUND('(Tables)'!M449,0),'(Tables)'!M449)</f>
        <v>0</v>
      </c>
      <c r="N259" s="258">
        <f>IF(Inputs!F46,ROUND('(Tables)'!N449,0),'(Tables)'!N449)</f>
        <v>0</v>
      </c>
      <c r="O259" s="258">
        <f>IF(Inputs!F46,ROUND('(Tables)'!O449,0),'(Tables)'!O449)</f>
        <v>0</v>
      </c>
      <c r="P259" s="258">
        <f>IF(Inputs!F46,ROUND('(Tables)'!P449,0),'(Tables)'!P449)</f>
        <v>0</v>
      </c>
      <c r="Q259" s="258">
        <f>IF(Inputs!F46,ROUND('(Tables)'!Q449,0),'(Tables)'!Q449)</f>
        <v>0</v>
      </c>
      <c r="R259" s="258">
        <f>IF(Inputs!F46,ROUND('(Tables)'!R449,0),'(Tables)'!R449)</f>
        <v>0</v>
      </c>
      <c r="S259" s="291">
        <f>IF(Inputs!F46,ROUND('(Tables)'!S449,0),'(Tables)'!S449)</f>
        <v>0</v>
      </c>
    </row>
    <row r="260" spans="1:19" ht="12.75" hidden="1" customHeight="1" outlineLevel="2" x14ac:dyDescent="0.2">
      <c r="A260" s="198" t="str">
        <f>"         "&amp;Labels!C316</f>
        <v xml:space="preserve">         Total</v>
      </c>
      <c r="B260" s="258">
        <f t="shared" ref="B260:S260" si="118">SUM(B258:B259)</f>
        <v>0</v>
      </c>
      <c r="C260" s="258">
        <f t="shared" si="118"/>
        <v>0</v>
      </c>
      <c r="D260" s="258">
        <f t="shared" si="118"/>
        <v>0</v>
      </c>
      <c r="E260" s="258">
        <f t="shared" si="118"/>
        <v>0</v>
      </c>
      <c r="F260" s="258">
        <f t="shared" si="118"/>
        <v>0</v>
      </c>
      <c r="G260" s="258">
        <f t="shared" si="118"/>
        <v>0</v>
      </c>
      <c r="H260" s="258">
        <f t="shared" si="118"/>
        <v>0</v>
      </c>
      <c r="I260" s="258">
        <f t="shared" si="118"/>
        <v>0</v>
      </c>
      <c r="J260" s="258">
        <f t="shared" si="118"/>
        <v>0</v>
      </c>
      <c r="K260" s="258">
        <f t="shared" si="118"/>
        <v>0</v>
      </c>
      <c r="L260" s="258">
        <f t="shared" si="118"/>
        <v>0</v>
      </c>
      <c r="M260" s="258">
        <f t="shared" si="118"/>
        <v>0</v>
      </c>
      <c r="N260" s="258">
        <f t="shared" si="118"/>
        <v>0</v>
      </c>
      <c r="O260" s="258">
        <f t="shared" si="118"/>
        <v>0</v>
      </c>
      <c r="P260" s="258">
        <f t="shared" si="118"/>
        <v>0</v>
      </c>
      <c r="Q260" s="258">
        <f t="shared" si="118"/>
        <v>0</v>
      </c>
      <c r="R260" s="258">
        <f t="shared" si="118"/>
        <v>0</v>
      </c>
      <c r="S260" s="291">
        <f t="shared" si="118"/>
        <v>0</v>
      </c>
    </row>
    <row r="261" spans="1:19" ht="12.75" hidden="1" customHeight="1" outlineLevel="2" x14ac:dyDescent="0.2">
      <c r="A261" s="188" t="str">
        <f>"      "&amp;Labels!C384</f>
        <v xml:space="preserve">      Total</v>
      </c>
      <c r="B261" s="256">
        <f t="shared" ref="B261:S261" si="119">SUM(B256,B260)</f>
        <v>0</v>
      </c>
      <c r="C261" s="256">
        <f t="shared" si="119"/>
        <v>0</v>
      </c>
      <c r="D261" s="256">
        <f t="shared" si="119"/>
        <v>0</v>
      </c>
      <c r="E261" s="256">
        <f t="shared" si="119"/>
        <v>0</v>
      </c>
      <c r="F261" s="256">
        <f t="shared" si="119"/>
        <v>0</v>
      </c>
      <c r="G261" s="256">
        <f t="shared" si="119"/>
        <v>0</v>
      </c>
      <c r="H261" s="256">
        <f t="shared" si="119"/>
        <v>0</v>
      </c>
      <c r="I261" s="256">
        <f t="shared" si="119"/>
        <v>0</v>
      </c>
      <c r="J261" s="256">
        <f t="shared" si="119"/>
        <v>0</v>
      </c>
      <c r="K261" s="256">
        <f t="shared" si="119"/>
        <v>0</v>
      </c>
      <c r="L261" s="256">
        <f t="shared" si="119"/>
        <v>0</v>
      </c>
      <c r="M261" s="256">
        <f t="shared" si="119"/>
        <v>0</v>
      </c>
      <c r="N261" s="256">
        <f t="shared" si="119"/>
        <v>0</v>
      </c>
      <c r="O261" s="256">
        <f t="shared" si="119"/>
        <v>0</v>
      </c>
      <c r="P261" s="256">
        <f t="shared" si="119"/>
        <v>0</v>
      </c>
      <c r="Q261" s="256">
        <f t="shared" si="119"/>
        <v>0</v>
      </c>
      <c r="R261" s="256">
        <f t="shared" si="119"/>
        <v>0</v>
      </c>
      <c r="S261" s="290">
        <f t="shared" si="119"/>
        <v>0</v>
      </c>
    </row>
    <row r="262" spans="1:19" ht="12.75" hidden="1" customHeight="1" outlineLevel="2" x14ac:dyDescent="0.2">
      <c r="A262" s="198" t="str">
        <f>"         "&amp;Labels!B317</f>
        <v xml:space="preserve">         Channels 1</v>
      </c>
      <c r="B262" s="258">
        <f t="shared" ref="B262:S262" si="120">SUM(B254,B258)</f>
        <v>0</v>
      </c>
      <c r="C262" s="258">
        <f t="shared" si="120"/>
        <v>0</v>
      </c>
      <c r="D262" s="258">
        <f t="shared" si="120"/>
        <v>0</v>
      </c>
      <c r="E262" s="258">
        <f t="shared" si="120"/>
        <v>0</v>
      </c>
      <c r="F262" s="258">
        <f t="shared" si="120"/>
        <v>0</v>
      </c>
      <c r="G262" s="258">
        <f t="shared" si="120"/>
        <v>0</v>
      </c>
      <c r="H262" s="258">
        <f t="shared" si="120"/>
        <v>0</v>
      </c>
      <c r="I262" s="258">
        <f t="shared" si="120"/>
        <v>0</v>
      </c>
      <c r="J262" s="258">
        <f t="shared" si="120"/>
        <v>0</v>
      </c>
      <c r="K262" s="258">
        <f t="shared" si="120"/>
        <v>0</v>
      </c>
      <c r="L262" s="258">
        <f t="shared" si="120"/>
        <v>0</v>
      </c>
      <c r="M262" s="258">
        <f t="shared" si="120"/>
        <v>0</v>
      </c>
      <c r="N262" s="258">
        <f t="shared" si="120"/>
        <v>0</v>
      </c>
      <c r="O262" s="258">
        <f t="shared" si="120"/>
        <v>0</v>
      </c>
      <c r="P262" s="258">
        <f t="shared" si="120"/>
        <v>0</v>
      </c>
      <c r="Q262" s="258">
        <f t="shared" si="120"/>
        <v>0</v>
      </c>
      <c r="R262" s="258">
        <f t="shared" si="120"/>
        <v>0</v>
      </c>
      <c r="S262" s="291">
        <f t="shared" si="120"/>
        <v>0</v>
      </c>
    </row>
    <row r="263" spans="1:19" ht="12.75" hidden="1" customHeight="1" outlineLevel="2" x14ac:dyDescent="0.2">
      <c r="A263" s="198" t="str">
        <f>"         "&amp;Labels!B318</f>
        <v xml:space="preserve">         Channels 2</v>
      </c>
      <c r="B263" s="258">
        <f t="shared" ref="B263:S263" si="121">SUM(B255,B259)</f>
        <v>0</v>
      </c>
      <c r="C263" s="258">
        <f t="shared" si="121"/>
        <v>0</v>
      </c>
      <c r="D263" s="258">
        <f t="shared" si="121"/>
        <v>0</v>
      </c>
      <c r="E263" s="258">
        <f t="shared" si="121"/>
        <v>0</v>
      </c>
      <c r="F263" s="258">
        <f t="shared" si="121"/>
        <v>0</v>
      </c>
      <c r="G263" s="258">
        <f t="shared" si="121"/>
        <v>0</v>
      </c>
      <c r="H263" s="258">
        <f t="shared" si="121"/>
        <v>0</v>
      </c>
      <c r="I263" s="258">
        <f t="shared" si="121"/>
        <v>0</v>
      </c>
      <c r="J263" s="258">
        <f t="shared" si="121"/>
        <v>0</v>
      </c>
      <c r="K263" s="258">
        <f t="shared" si="121"/>
        <v>0</v>
      </c>
      <c r="L263" s="258">
        <f t="shared" si="121"/>
        <v>0</v>
      </c>
      <c r="M263" s="258">
        <f t="shared" si="121"/>
        <v>0</v>
      </c>
      <c r="N263" s="258">
        <f t="shared" si="121"/>
        <v>0</v>
      </c>
      <c r="O263" s="258">
        <f t="shared" si="121"/>
        <v>0</v>
      </c>
      <c r="P263" s="258">
        <f t="shared" si="121"/>
        <v>0</v>
      </c>
      <c r="Q263" s="258">
        <f t="shared" si="121"/>
        <v>0</v>
      </c>
      <c r="R263" s="258">
        <f t="shared" si="121"/>
        <v>0</v>
      </c>
      <c r="S263" s="291">
        <f t="shared" si="121"/>
        <v>0</v>
      </c>
    </row>
    <row r="264" spans="1:19" ht="12.75" hidden="1" customHeight="1" outlineLevel="2" x14ac:dyDescent="0.2">
      <c r="A264" s="198" t="str">
        <f>"         "&amp;Labels!C316</f>
        <v xml:space="preserve">         Total</v>
      </c>
      <c r="B264" s="258">
        <f t="shared" ref="B264:S264" si="122">SUM(B256,B260)</f>
        <v>0</v>
      </c>
      <c r="C264" s="258">
        <f t="shared" si="122"/>
        <v>0</v>
      </c>
      <c r="D264" s="258">
        <f t="shared" si="122"/>
        <v>0</v>
      </c>
      <c r="E264" s="258">
        <f t="shared" si="122"/>
        <v>0</v>
      </c>
      <c r="F264" s="258">
        <f t="shared" si="122"/>
        <v>0</v>
      </c>
      <c r="G264" s="258">
        <f t="shared" si="122"/>
        <v>0</v>
      </c>
      <c r="H264" s="258">
        <f t="shared" si="122"/>
        <v>0</v>
      </c>
      <c r="I264" s="258">
        <f t="shared" si="122"/>
        <v>0</v>
      </c>
      <c r="J264" s="258">
        <f t="shared" si="122"/>
        <v>0</v>
      </c>
      <c r="K264" s="258">
        <f t="shared" si="122"/>
        <v>0</v>
      </c>
      <c r="L264" s="258">
        <f t="shared" si="122"/>
        <v>0</v>
      </c>
      <c r="M264" s="258">
        <f t="shared" si="122"/>
        <v>0</v>
      </c>
      <c r="N264" s="258">
        <f t="shared" si="122"/>
        <v>0</v>
      </c>
      <c r="O264" s="258">
        <f t="shared" si="122"/>
        <v>0</v>
      </c>
      <c r="P264" s="258">
        <f t="shared" si="122"/>
        <v>0</v>
      </c>
      <c r="Q264" s="258">
        <f t="shared" si="122"/>
        <v>0</v>
      </c>
      <c r="R264" s="258">
        <f t="shared" si="122"/>
        <v>0</v>
      </c>
      <c r="S264" s="291">
        <f t="shared" si="122"/>
        <v>0</v>
      </c>
    </row>
    <row r="265" spans="1:19" ht="12.75" hidden="1" customHeight="1" outlineLevel="2" x14ac:dyDescent="0.2">
      <c r="A265" s="188" t="str">
        <f>"   "&amp;Labels!B382</f>
        <v xml:space="preserve">   Practice 2</v>
      </c>
      <c r="B265" s="256"/>
      <c r="C265" s="256"/>
      <c r="D265" s="256"/>
      <c r="E265" s="256"/>
      <c r="F265" s="256"/>
      <c r="G265" s="256"/>
      <c r="H265" s="256"/>
      <c r="I265" s="256"/>
      <c r="J265" s="256"/>
      <c r="K265" s="256"/>
      <c r="L265" s="256"/>
      <c r="M265" s="256"/>
      <c r="N265" s="256"/>
      <c r="O265" s="256"/>
      <c r="P265" s="256"/>
      <c r="Q265" s="256"/>
      <c r="R265" s="256"/>
      <c r="S265" s="290"/>
    </row>
    <row r="266" spans="1:19" ht="12.75" hidden="1" customHeight="1" outlineLevel="2" x14ac:dyDescent="0.2">
      <c r="A266" s="198" t="str">
        <f>"      "&amp;Labels!B385</f>
        <v xml:space="preserve">      Prof Level 1</v>
      </c>
      <c r="B266" s="258"/>
      <c r="C266" s="258"/>
      <c r="D266" s="258"/>
      <c r="E266" s="258"/>
      <c r="F266" s="258"/>
      <c r="G266" s="258"/>
      <c r="H266" s="258"/>
      <c r="I266" s="258"/>
      <c r="J266" s="258"/>
      <c r="K266" s="258"/>
      <c r="L266" s="258"/>
      <c r="M266" s="258"/>
      <c r="N266" s="258"/>
      <c r="O266" s="258"/>
      <c r="P266" s="258"/>
      <c r="Q266" s="258"/>
      <c r="R266" s="258"/>
      <c r="S266" s="291"/>
    </row>
    <row r="267" spans="1:19" ht="12.75" hidden="1" customHeight="1" outlineLevel="2" x14ac:dyDescent="0.2">
      <c r="A267" s="198" t="str">
        <f>"         "&amp;Labels!B317</f>
        <v xml:space="preserve">         Channels 1</v>
      </c>
      <c r="B267" s="258">
        <f>IF(Inputs!F46,ROUND('(Tables)'!B457,0),'(Tables)'!B457)</f>
        <v>0</v>
      </c>
      <c r="C267" s="258">
        <f>IF(Inputs!F46,ROUND('(Tables)'!C457,0),'(Tables)'!C457)</f>
        <v>0</v>
      </c>
      <c r="D267" s="258">
        <f>IF(Inputs!F46,ROUND('(Tables)'!D457,0),'(Tables)'!D457)</f>
        <v>0</v>
      </c>
      <c r="E267" s="258">
        <f>IF(Inputs!F46,ROUND('(Tables)'!E457,0),'(Tables)'!E457)</f>
        <v>0</v>
      </c>
      <c r="F267" s="258">
        <f>IF(Inputs!F46,ROUND('(Tables)'!F457,0),'(Tables)'!F457)</f>
        <v>0</v>
      </c>
      <c r="G267" s="258">
        <f>IF(Inputs!F46,ROUND('(Tables)'!G457,0),'(Tables)'!G457)</f>
        <v>0</v>
      </c>
      <c r="H267" s="258">
        <f>IF(Inputs!F46,ROUND('(Tables)'!H457,0),'(Tables)'!H457)</f>
        <v>0</v>
      </c>
      <c r="I267" s="258">
        <f>IF(Inputs!F46,ROUND('(Tables)'!I457,0),'(Tables)'!I457)</f>
        <v>0</v>
      </c>
      <c r="J267" s="258">
        <f>IF(Inputs!F46,ROUND('(Tables)'!J457,0),'(Tables)'!J457)</f>
        <v>0</v>
      </c>
      <c r="K267" s="258">
        <f>IF(Inputs!F46,ROUND('(Tables)'!K457,0),'(Tables)'!K457)</f>
        <v>0</v>
      </c>
      <c r="L267" s="258">
        <f>IF(Inputs!F46,ROUND('(Tables)'!L457,0),'(Tables)'!L457)</f>
        <v>0</v>
      </c>
      <c r="M267" s="258">
        <f>IF(Inputs!F46,ROUND('(Tables)'!M457,0),'(Tables)'!M457)</f>
        <v>0</v>
      </c>
      <c r="N267" s="258">
        <f>IF(Inputs!F46,ROUND('(Tables)'!N457,0),'(Tables)'!N457)</f>
        <v>0</v>
      </c>
      <c r="O267" s="258">
        <f>IF(Inputs!F46,ROUND('(Tables)'!O457,0),'(Tables)'!O457)</f>
        <v>0</v>
      </c>
      <c r="P267" s="258">
        <f>IF(Inputs!F46,ROUND('(Tables)'!P457,0),'(Tables)'!P457)</f>
        <v>0</v>
      </c>
      <c r="Q267" s="258">
        <f>IF(Inputs!F46,ROUND('(Tables)'!Q457,0),'(Tables)'!Q457)</f>
        <v>0</v>
      </c>
      <c r="R267" s="258">
        <f>IF(Inputs!F46,ROUND('(Tables)'!R457,0),'(Tables)'!R457)</f>
        <v>0</v>
      </c>
      <c r="S267" s="291">
        <f>IF(Inputs!F46,ROUND('(Tables)'!S457,0),'(Tables)'!S457)</f>
        <v>0</v>
      </c>
    </row>
    <row r="268" spans="1:19" ht="12.75" hidden="1" customHeight="1" outlineLevel="2" x14ac:dyDescent="0.2">
      <c r="A268" s="198" t="str">
        <f>"         "&amp;Labels!B318</f>
        <v xml:space="preserve">         Channels 2</v>
      </c>
      <c r="B268" s="258">
        <f>IF(Inputs!F46,ROUND('(Tables)'!B458,0),'(Tables)'!B458)</f>
        <v>0</v>
      </c>
      <c r="C268" s="258">
        <f>IF(Inputs!F46,ROUND('(Tables)'!C458,0),'(Tables)'!C458)</f>
        <v>0</v>
      </c>
      <c r="D268" s="258">
        <f>IF(Inputs!F46,ROUND('(Tables)'!D458,0),'(Tables)'!D458)</f>
        <v>0</v>
      </c>
      <c r="E268" s="258">
        <f>IF(Inputs!F46,ROUND('(Tables)'!E458,0),'(Tables)'!E458)</f>
        <v>0</v>
      </c>
      <c r="F268" s="258">
        <f>IF(Inputs!F46,ROUND('(Tables)'!F458,0),'(Tables)'!F458)</f>
        <v>0</v>
      </c>
      <c r="G268" s="258">
        <f>IF(Inputs!F46,ROUND('(Tables)'!G458,0),'(Tables)'!G458)</f>
        <v>0</v>
      </c>
      <c r="H268" s="258">
        <f>IF(Inputs!F46,ROUND('(Tables)'!H458,0),'(Tables)'!H458)</f>
        <v>0</v>
      </c>
      <c r="I268" s="258">
        <f>IF(Inputs!F46,ROUND('(Tables)'!I458,0),'(Tables)'!I458)</f>
        <v>0</v>
      </c>
      <c r="J268" s="258">
        <f>IF(Inputs!F46,ROUND('(Tables)'!J458,0),'(Tables)'!J458)</f>
        <v>0</v>
      </c>
      <c r="K268" s="258">
        <f>IF(Inputs!F46,ROUND('(Tables)'!K458,0),'(Tables)'!K458)</f>
        <v>0</v>
      </c>
      <c r="L268" s="258">
        <f>IF(Inputs!F46,ROUND('(Tables)'!L458,0),'(Tables)'!L458)</f>
        <v>0</v>
      </c>
      <c r="M268" s="258">
        <f>IF(Inputs!F46,ROUND('(Tables)'!M458,0),'(Tables)'!M458)</f>
        <v>0</v>
      </c>
      <c r="N268" s="258">
        <f>IF(Inputs!F46,ROUND('(Tables)'!N458,0),'(Tables)'!N458)</f>
        <v>0</v>
      </c>
      <c r="O268" s="258">
        <f>IF(Inputs!F46,ROUND('(Tables)'!O458,0),'(Tables)'!O458)</f>
        <v>0</v>
      </c>
      <c r="P268" s="258">
        <f>IF(Inputs!F46,ROUND('(Tables)'!P458,0),'(Tables)'!P458)</f>
        <v>0</v>
      </c>
      <c r="Q268" s="258">
        <f>IF(Inputs!F46,ROUND('(Tables)'!Q458,0),'(Tables)'!Q458)</f>
        <v>0</v>
      </c>
      <c r="R268" s="258">
        <f>IF(Inputs!F46,ROUND('(Tables)'!R458,0),'(Tables)'!R458)</f>
        <v>0</v>
      </c>
      <c r="S268" s="291">
        <f>IF(Inputs!F46,ROUND('(Tables)'!S458,0),'(Tables)'!S458)</f>
        <v>0</v>
      </c>
    </row>
    <row r="269" spans="1:19" ht="12.75" hidden="1" customHeight="1" outlineLevel="2" x14ac:dyDescent="0.2">
      <c r="A269" s="198" t="str">
        <f>"         "&amp;Labels!C316</f>
        <v xml:space="preserve">         Total</v>
      </c>
      <c r="B269" s="258">
        <f t="shared" ref="B269:S269" si="123">SUM(B267:B268)</f>
        <v>0</v>
      </c>
      <c r="C269" s="258">
        <f t="shared" si="123"/>
        <v>0</v>
      </c>
      <c r="D269" s="258">
        <f t="shared" si="123"/>
        <v>0</v>
      </c>
      <c r="E269" s="258">
        <f t="shared" si="123"/>
        <v>0</v>
      </c>
      <c r="F269" s="258">
        <f t="shared" si="123"/>
        <v>0</v>
      </c>
      <c r="G269" s="258">
        <f t="shared" si="123"/>
        <v>0</v>
      </c>
      <c r="H269" s="258">
        <f t="shared" si="123"/>
        <v>0</v>
      </c>
      <c r="I269" s="258">
        <f t="shared" si="123"/>
        <v>0</v>
      </c>
      <c r="J269" s="258">
        <f t="shared" si="123"/>
        <v>0</v>
      </c>
      <c r="K269" s="258">
        <f t="shared" si="123"/>
        <v>0</v>
      </c>
      <c r="L269" s="258">
        <f t="shared" si="123"/>
        <v>0</v>
      </c>
      <c r="M269" s="258">
        <f t="shared" si="123"/>
        <v>0</v>
      </c>
      <c r="N269" s="258">
        <f t="shared" si="123"/>
        <v>0</v>
      </c>
      <c r="O269" s="258">
        <f t="shared" si="123"/>
        <v>0</v>
      </c>
      <c r="P269" s="258">
        <f t="shared" si="123"/>
        <v>0</v>
      </c>
      <c r="Q269" s="258">
        <f t="shared" si="123"/>
        <v>0</v>
      </c>
      <c r="R269" s="258">
        <f t="shared" si="123"/>
        <v>0</v>
      </c>
      <c r="S269" s="291">
        <f t="shared" si="123"/>
        <v>0</v>
      </c>
    </row>
    <row r="270" spans="1:19" ht="12.75" hidden="1" customHeight="1" outlineLevel="2" x14ac:dyDescent="0.2">
      <c r="A270" s="198" t="str">
        <f>"      "&amp;Labels!B386</f>
        <v xml:space="preserve">      Prof Level 2</v>
      </c>
      <c r="B270" s="258"/>
      <c r="C270" s="258"/>
      <c r="D270" s="258"/>
      <c r="E270" s="258"/>
      <c r="F270" s="258"/>
      <c r="G270" s="258"/>
      <c r="H270" s="258"/>
      <c r="I270" s="258"/>
      <c r="J270" s="258"/>
      <c r="K270" s="258"/>
      <c r="L270" s="258"/>
      <c r="M270" s="258"/>
      <c r="N270" s="258"/>
      <c r="O270" s="258"/>
      <c r="P270" s="258"/>
      <c r="Q270" s="258"/>
      <c r="R270" s="258"/>
      <c r="S270" s="291"/>
    </row>
    <row r="271" spans="1:19" ht="12.75" hidden="1" customHeight="1" outlineLevel="2" x14ac:dyDescent="0.2">
      <c r="A271" s="198" t="str">
        <f>"         "&amp;Labels!B317</f>
        <v xml:space="preserve">         Channels 1</v>
      </c>
      <c r="B271" s="258">
        <f>IF(Inputs!F46,ROUND('(Tables)'!B461,0),'(Tables)'!B461)</f>
        <v>0</v>
      </c>
      <c r="C271" s="258">
        <f>IF(Inputs!F46,ROUND('(Tables)'!C461,0),'(Tables)'!C461)</f>
        <v>0</v>
      </c>
      <c r="D271" s="258">
        <f>IF(Inputs!F46,ROUND('(Tables)'!D461,0),'(Tables)'!D461)</f>
        <v>0</v>
      </c>
      <c r="E271" s="258">
        <f>IF(Inputs!F46,ROUND('(Tables)'!E461,0),'(Tables)'!E461)</f>
        <v>0</v>
      </c>
      <c r="F271" s="258">
        <f>IF(Inputs!F46,ROUND('(Tables)'!F461,0),'(Tables)'!F461)</f>
        <v>0</v>
      </c>
      <c r="G271" s="258">
        <f>IF(Inputs!F46,ROUND('(Tables)'!G461,0),'(Tables)'!G461)</f>
        <v>0</v>
      </c>
      <c r="H271" s="258">
        <f>IF(Inputs!F46,ROUND('(Tables)'!H461,0),'(Tables)'!H461)</f>
        <v>0</v>
      </c>
      <c r="I271" s="258">
        <f>IF(Inputs!F46,ROUND('(Tables)'!I461,0),'(Tables)'!I461)</f>
        <v>0</v>
      </c>
      <c r="J271" s="258">
        <f>IF(Inputs!F46,ROUND('(Tables)'!J461,0),'(Tables)'!J461)</f>
        <v>0</v>
      </c>
      <c r="K271" s="258">
        <f>IF(Inputs!F46,ROUND('(Tables)'!K461,0),'(Tables)'!K461)</f>
        <v>0</v>
      </c>
      <c r="L271" s="258">
        <f>IF(Inputs!F46,ROUND('(Tables)'!L461,0),'(Tables)'!L461)</f>
        <v>0</v>
      </c>
      <c r="M271" s="258">
        <f>IF(Inputs!F46,ROUND('(Tables)'!M461,0),'(Tables)'!M461)</f>
        <v>0</v>
      </c>
      <c r="N271" s="258">
        <f>IF(Inputs!F46,ROUND('(Tables)'!N461,0),'(Tables)'!N461)</f>
        <v>0</v>
      </c>
      <c r="O271" s="258">
        <f>IF(Inputs!F46,ROUND('(Tables)'!O461,0),'(Tables)'!O461)</f>
        <v>0</v>
      </c>
      <c r="P271" s="258">
        <f>IF(Inputs!F46,ROUND('(Tables)'!P461,0),'(Tables)'!P461)</f>
        <v>0</v>
      </c>
      <c r="Q271" s="258">
        <f>IF(Inputs!F46,ROUND('(Tables)'!Q461,0),'(Tables)'!Q461)</f>
        <v>0</v>
      </c>
      <c r="R271" s="258">
        <f>IF(Inputs!F46,ROUND('(Tables)'!R461,0),'(Tables)'!R461)</f>
        <v>0</v>
      </c>
      <c r="S271" s="291">
        <f>IF(Inputs!F46,ROUND('(Tables)'!S461,0),'(Tables)'!S461)</f>
        <v>0</v>
      </c>
    </row>
    <row r="272" spans="1:19" ht="12.75" hidden="1" customHeight="1" outlineLevel="2" x14ac:dyDescent="0.2">
      <c r="A272" s="198" t="str">
        <f>"         "&amp;Labels!B318</f>
        <v xml:space="preserve">         Channels 2</v>
      </c>
      <c r="B272" s="258">
        <f>IF(Inputs!F46,ROUND('(Tables)'!B462,0),'(Tables)'!B462)</f>
        <v>0</v>
      </c>
      <c r="C272" s="258">
        <f>IF(Inputs!F46,ROUND('(Tables)'!C462,0),'(Tables)'!C462)</f>
        <v>0</v>
      </c>
      <c r="D272" s="258">
        <f>IF(Inputs!F46,ROUND('(Tables)'!D462,0),'(Tables)'!D462)</f>
        <v>0</v>
      </c>
      <c r="E272" s="258">
        <f>IF(Inputs!F46,ROUND('(Tables)'!E462,0),'(Tables)'!E462)</f>
        <v>0</v>
      </c>
      <c r="F272" s="258">
        <f>IF(Inputs!F46,ROUND('(Tables)'!F462,0),'(Tables)'!F462)</f>
        <v>0</v>
      </c>
      <c r="G272" s="258">
        <f>IF(Inputs!F46,ROUND('(Tables)'!G462,0),'(Tables)'!G462)</f>
        <v>0</v>
      </c>
      <c r="H272" s="258">
        <f>IF(Inputs!F46,ROUND('(Tables)'!H462,0),'(Tables)'!H462)</f>
        <v>0</v>
      </c>
      <c r="I272" s="258">
        <f>IF(Inputs!F46,ROUND('(Tables)'!I462,0),'(Tables)'!I462)</f>
        <v>0</v>
      </c>
      <c r="J272" s="258">
        <f>IF(Inputs!F46,ROUND('(Tables)'!J462,0),'(Tables)'!J462)</f>
        <v>0</v>
      </c>
      <c r="K272" s="258">
        <f>IF(Inputs!F46,ROUND('(Tables)'!K462,0),'(Tables)'!K462)</f>
        <v>0</v>
      </c>
      <c r="L272" s="258">
        <f>IF(Inputs!F46,ROUND('(Tables)'!L462,0),'(Tables)'!L462)</f>
        <v>0</v>
      </c>
      <c r="M272" s="258">
        <f>IF(Inputs!F46,ROUND('(Tables)'!M462,0),'(Tables)'!M462)</f>
        <v>0</v>
      </c>
      <c r="N272" s="258">
        <f>IF(Inputs!F46,ROUND('(Tables)'!N462,0),'(Tables)'!N462)</f>
        <v>0</v>
      </c>
      <c r="O272" s="258">
        <f>IF(Inputs!F46,ROUND('(Tables)'!O462,0),'(Tables)'!O462)</f>
        <v>0</v>
      </c>
      <c r="P272" s="258">
        <f>IF(Inputs!F46,ROUND('(Tables)'!P462,0),'(Tables)'!P462)</f>
        <v>0</v>
      </c>
      <c r="Q272" s="258">
        <f>IF(Inputs!F46,ROUND('(Tables)'!Q462,0),'(Tables)'!Q462)</f>
        <v>0</v>
      </c>
      <c r="R272" s="258">
        <f>IF(Inputs!F46,ROUND('(Tables)'!R462,0),'(Tables)'!R462)</f>
        <v>0</v>
      </c>
      <c r="S272" s="291">
        <f>IF(Inputs!F46,ROUND('(Tables)'!S462,0),'(Tables)'!S462)</f>
        <v>0</v>
      </c>
    </row>
    <row r="273" spans="1:19" ht="12.75" hidden="1" customHeight="1" outlineLevel="2" x14ac:dyDescent="0.2">
      <c r="A273" s="198" t="str">
        <f>"         "&amp;Labels!C316</f>
        <v xml:space="preserve">         Total</v>
      </c>
      <c r="B273" s="258">
        <f t="shared" ref="B273:S273" si="124">SUM(B271:B272)</f>
        <v>0</v>
      </c>
      <c r="C273" s="258">
        <f t="shared" si="124"/>
        <v>0</v>
      </c>
      <c r="D273" s="258">
        <f t="shared" si="124"/>
        <v>0</v>
      </c>
      <c r="E273" s="258">
        <f t="shared" si="124"/>
        <v>0</v>
      </c>
      <c r="F273" s="258">
        <f t="shared" si="124"/>
        <v>0</v>
      </c>
      <c r="G273" s="258">
        <f t="shared" si="124"/>
        <v>0</v>
      </c>
      <c r="H273" s="258">
        <f t="shared" si="124"/>
        <v>0</v>
      </c>
      <c r="I273" s="258">
        <f t="shared" si="124"/>
        <v>0</v>
      </c>
      <c r="J273" s="258">
        <f t="shared" si="124"/>
        <v>0</v>
      </c>
      <c r="K273" s="258">
        <f t="shared" si="124"/>
        <v>0</v>
      </c>
      <c r="L273" s="258">
        <f t="shared" si="124"/>
        <v>0</v>
      </c>
      <c r="M273" s="258">
        <f t="shared" si="124"/>
        <v>0</v>
      </c>
      <c r="N273" s="258">
        <f t="shared" si="124"/>
        <v>0</v>
      </c>
      <c r="O273" s="258">
        <f t="shared" si="124"/>
        <v>0</v>
      </c>
      <c r="P273" s="258">
        <f t="shared" si="124"/>
        <v>0</v>
      </c>
      <c r="Q273" s="258">
        <f t="shared" si="124"/>
        <v>0</v>
      </c>
      <c r="R273" s="258">
        <f t="shared" si="124"/>
        <v>0</v>
      </c>
      <c r="S273" s="291">
        <f t="shared" si="124"/>
        <v>0</v>
      </c>
    </row>
    <row r="274" spans="1:19" ht="12.75" hidden="1" customHeight="1" outlineLevel="2" x14ac:dyDescent="0.2">
      <c r="A274" s="188" t="str">
        <f>"      "&amp;Labels!C384</f>
        <v xml:space="preserve">      Total</v>
      </c>
      <c r="B274" s="256">
        <f t="shared" ref="B274:S274" si="125">SUM(B269,B273)</f>
        <v>0</v>
      </c>
      <c r="C274" s="256">
        <f t="shared" si="125"/>
        <v>0</v>
      </c>
      <c r="D274" s="256">
        <f t="shared" si="125"/>
        <v>0</v>
      </c>
      <c r="E274" s="256">
        <f t="shared" si="125"/>
        <v>0</v>
      </c>
      <c r="F274" s="256">
        <f t="shared" si="125"/>
        <v>0</v>
      </c>
      <c r="G274" s="256">
        <f t="shared" si="125"/>
        <v>0</v>
      </c>
      <c r="H274" s="256">
        <f t="shared" si="125"/>
        <v>0</v>
      </c>
      <c r="I274" s="256">
        <f t="shared" si="125"/>
        <v>0</v>
      </c>
      <c r="J274" s="256">
        <f t="shared" si="125"/>
        <v>0</v>
      </c>
      <c r="K274" s="256">
        <f t="shared" si="125"/>
        <v>0</v>
      </c>
      <c r="L274" s="256">
        <f t="shared" si="125"/>
        <v>0</v>
      </c>
      <c r="M274" s="256">
        <f t="shared" si="125"/>
        <v>0</v>
      </c>
      <c r="N274" s="256">
        <f t="shared" si="125"/>
        <v>0</v>
      </c>
      <c r="O274" s="256">
        <f t="shared" si="125"/>
        <v>0</v>
      </c>
      <c r="P274" s="256">
        <f t="shared" si="125"/>
        <v>0</v>
      </c>
      <c r="Q274" s="256">
        <f t="shared" si="125"/>
        <v>0</v>
      </c>
      <c r="R274" s="256">
        <f t="shared" si="125"/>
        <v>0</v>
      </c>
      <c r="S274" s="290">
        <f t="shared" si="125"/>
        <v>0</v>
      </c>
    </row>
    <row r="275" spans="1:19" ht="12.75" hidden="1" customHeight="1" outlineLevel="2" x14ac:dyDescent="0.2">
      <c r="A275" s="198" t="str">
        <f>"         "&amp;Labels!B317</f>
        <v xml:space="preserve">         Channels 1</v>
      </c>
      <c r="B275" s="258">
        <f t="shared" ref="B275:S275" si="126">SUM(B267,B271)</f>
        <v>0</v>
      </c>
      <c r="C275" s="258">
        <f t="shared" si="126"/>
        <v>0</v>
      </c>
      <c r="D275" s="258">
        <f t="shared" si="126"/>
        <v>0</v>
      </c>
      <c r="E275" s="258">
        <f t="shared" si="126"/>
        <v>0</v>
      </c>
      <c r="F275" s="258">
        <f t="shared" si="126"/>
        <v>0</v>
      </c>
      <c r="G275" s="258">
        <f t="shared" si="126"/>
        <v>0</v>
      </c>
      <c r="H275" s="258">
        <f t="shared" si="126"/>
        <v>0</v>
      </c>
      <c r="I275" s="258">
        <f t="shared" si="126"/>
        <v>0</v>
      </c>
      <c r="J275" s="258">
        <f t="shared" si="126"/>
        <v>0</v>
      </c>
      <c r="K275" s="258">
        <f t="shared" si="126"/>
        <v>0</v>
      </c>
      <c r="L275" s="258">
        <f t="shared" si="126"/>
        <v>0</v>
      </c>
      <c r="M275" s="258">
        <f t="shared" si="126"/>
        <v>0</v>
      </c>
      <c r="N275" s="258">
        <f t="shared" si="126"/>
        <v>0</v>
      </c>
      <c r="O275" s="258">
        <f t="shared" si="126"/>
        <v>0</v>
      </c>
      <c r="P275" s="258">
        <f t="shared" si="126"/>
        <v>0</v>
      </c>
      <c r="Q275" s="258">
        <f t="shared" si="126"/>
        <v>0</v>
      </c>
      <c r="R275" s="258">
        <f t="shared" si="126"/>
        <v>0</v>
      </c>
      <c r="S275" s="291">
        <f t="shared" si="126"/>
        <v>0</v>
      </c>
    </row>
    <row r="276" spans="1:19" ht="12.75" hidden="1" customHeight="1" outlineLevel="2" x14ac:dyDescent="0.2">
      <c r="A276" s="198" t="str">
        <f>"         "&amp;Labels!B318</f>
        <v xml:space="preserve">         Channels 2</v>
      </c>
      <c r="B276" s="258">
        <f t="shared" ref="B276:S276" si="127">SUM(B268,B272)</f>
        <v>0</v>
      </c>
      <c r="C276" s="258">
        <f t="shared" si="127"/>
        <v>0</v>
      </c>
      <c r="D276" s="258">
        <f t="shared" si="127"/>
        <v>0</v>
      </c>
      <c r="E276" s="258">
        <f t="shared" si="127"/>
        <v>0</v>
      </c>
      <c r="F276" s="258">
        <f t="shared" si="127"/>
        <v>0</v>
      </c>
      <c r="G276" s="258">
        <f t="shared" si="127"/>
        <v>0</v>
      </c>
      <c r="H276" s="258">
        <f t="shared" si="127"/>
        <v>0</v>
      </c>
      <c r="I276" s="258">
        <f t="shared" si="127"/>
        <v>0</v>
      </c>
      <c r="J276" s="258">
        <f t="shared" si="127"/>
        <v>0</v>
      </c>
      <c r="K276" s="258">
        <f t="shared" si="127"/>
        <v>0</v>
      </c>
      <c r="L276" s="258">
        <f t="shared" si="127"/>
        <v>0</v>
      </c>
      <c r="M276" s="258">
        <f t="shared" si="127"/>
        <v>0</v>
      </c>
      <c r="N276" s="258">
        <f t="shared" si="127"/>
        <v>0</v>
      </c>
      <c r="O276" s="258">
        <f t="shared" si="127"/>
        <v>0</v>
      </c>
      <c r="P276" s="258">
        <f t="shared" si="127"/>
        <v>0</v>
      </c>
      <c r="Q276" s="258">
        <f t="shared" si="127"/>
        <v>0</v>
      </c>
      <c r="R276" s="258">
        <f t="shared" si="127"/>
        <v>0</v>
      </c>
      <c r="S276" s="291">
        <f t="shared" si="127"/>
        <v>0</v>
      </c>
    </row>
    <row r="277" spans="1:19" ht="12.75" hidden="1" customHeight="1" outlineLevel="2" x14ac:dyDescent="0.2">
      <c r="A277" s="198" t="str">
        <f>"         "&amp;Labels!C316</f>
        <v xml:space="preserve">         Total</v>
      </c>
      <c r="B277" s="258">
        <f t="shared" ref="B277:S277" si="128">SUM(B269,B273)</f>
        <v>0</v>
      </c>
      <c r="C277" s="258">
        <f t="shared" si="128"/>
        <v>0</v>
      </c>
      <c r="D277" s="258">
        <f t="shared" si="128"/>
        <v>0</v>
      </c>
      <c r="E277" s="258">
        <f t="shared" si="128"/>
        <v>0</v>
      </c>
      <c r="F277" s="258">
        <f t="shared" si="128"/>
        <v>0</v>
      </c>
      <c r="G277" s="258">
        <f t="shared" si="128"/>
        <v>0</v>
      </c>
      <c r="H277" s="258">
        <f t="shared" si="128"/>
        <v>0</v>
      </c>
      <c r="I277" s="258">
        <f t="shared" si="128"/>
        <v>0</v>
      </c>
      <c r="J277" s="258">
        <f t="shared" si="128"/>
        <v>0</v>
      </c>
      <c r="K277" s="258">
        <f t="shared" si="128"/>
        <v>0</v>
      </c>
      <c r="L277" s="258">
        <f t="shared" si="128"/>
        <v>0</v>
      </c>
      <c r="M277" s="258">
        <f t="shared" si="128"/>
        <v>0</v>
      </c>
      <c r="N277" s="258">
        <f t="shared" si="128"/>
        <v>0</v>
      </c>
      <c r="O277" s="258">
        <f t="shared" si="128"/>
        <v>0</v>
      </c>
      <c r="P277" s="258">
        <f t="shared" si="128"/>
        <v>0</v>
      </c>
      <c r="Q277" s="258">
        <f t="shared" si="128"/>
        <v>0</v>
      </c>
      <c r="R277" s="258">
        <f t="shared" si="128"/>
        <v>0</v>
      </c>
      <c r="S277" s="291">
        <f t="shared" si="128"/>
        <v>0</v>
      </c>
    </row>
    <row r="278" spans="1:19" ht="12.75" hidden="1" customHeight="1" outlineLevel="2" x14ac:dyDescent="0.2">
      <c r="A278" s="191" t="str">
        <f>"   "&amp;Labels!C380</f>
        <v xml:space="preserve">   Total</v>
      </c>
      <c r="B278" s="260">
        <f t="shared" ref="B278:S278" si="129">SUM(B261,B274)</f>
        <v>0</v>
      </c>
      <c r="C278" s="260">
        <f t="shared" si="129"/>
        <v>0</v>
      </c>
      <c r="D278" s="260">
        <f t="shared" si="129"/>
        <v>0</v>
      </c>
      <c r="E278" s="260">
        <f t="shared" si="129"/>
        <v>0</v>
      </c>
      <c r="F278" s="260">
        <f t="shared" si="129"/>
        <v>0</v>
      </c>
      <c r="G278" s="260">
        <f t="shared" si="129"/>
        <v>0</v>
      </c>
      <c r="H278" s="260">
        <f t="shared" si="129"/>
        <v>0</v>
      </c>
      <c r="I278" s="260">
        <f t="shared" si="129"/>
        <v>0</v>
      </c>
      <c r="J278" s="260">
        <f t="shared" si="129"/>
        <v>0</v>
      </c>
      <c r="K278" s="260">
        <f t="shared" si="129"/>
        <v>0</v>
      </c>
      <c r="L278" s="260">
        <f t="shared" si="129"/>
        <v>0</v>
      </c>
      <c r="M278" s="260">
        <f t="shared" si="129"/>
        <v>0</v>
      </c>
      <c r="N278" s="260">
        <f t="shared" si="129"/>
        <v>0</v>
      </c>
      <c r="O278" s="260">
        <f t="shared" si="129"/>
        <v>0</v>
      </c>
      <c r="P278" s="260">
        <f t="shared" si="129"/>
        <v>0</v>
      </c>
      <c r="Q278" s="260">
        <f t="shared" si="129"/>
        <v>0</v>
      </c>
      <c r="R278" s="260">
        <f t="shared" si="129"/>
        <v>0</v>
      </c>
      <c r="S278" s="289">
        <f t="shared" si="129"/>
        <v>0</v>
      </c>
    </row>
    <row r="279" spans="1:19" ht="12.75" hidden="1" customHeight="1" outlineLevel="2" x14ac:dyDescent="0.2">
      <c r="A279" s="198" t="str">
        <f>"      "&amp;Labels!B385</f>
        <v xml:space="preserve">      Prof Level 1</v>
      </c>
      <c r="B279" s="258"/>
      <c r="C279" s="258"/>
      <c r="D279" s="258"/>
      <c r="E279" s="258"/>
      <c r="F279" s="258"/>
      <c r="G279" s="258"/>
      <c r="H279" s="258"/>
      <c r="I279" s="258"/>
      <c r="J279" s="258"/>
      <c r="K279" s="258"/>
      <c r="L279" s="258"/>
      <c r="M279" s="258"/>
      <c r="N279" s="258"/>
      <c r="O279" s="258"/>
      <c r="P279" s="258"/>
      <c r="Q279" s="258"/>
      <c r="R279" s="258"/>
      <c r="S279" s="291"/>
    </row>
    <row r="280" spans="1:19" ht="12.75" hidden="1" customHeight="1" outlineLevel="2" x14ac:dyDescent="0.2">
      <c r="A280" s="198" t="str">
        <f>"         "&amp;Labels!B317</f>
        <v xml:space="preserve">         Channels 1</v>
      </c>
      <c r="B280" s="258">
        <f t="shared" ref="B280:S280" si="130">SUM(B254,B267)</f>
        <v>0</v>
      </c>
      <c r="C280" s="258">
        <f t="shared" si="130"/>
        <v>0</v>
      </c>
      <c r="D280" s="258">
        <f t="shared" si="130"/>
        <v>0</v>
      </c>
      <c r="E280" s="258">
        <f t="shared" si="130"/>
        <v>0</v>
      </c>
      <c r="F280" s="258">
        <f t="shared" si="130"/>
        <v>0</v>
      </c>
      <c r="G280" s="258">
        <f t="shared" si="130"/>
        <v>0</v>
      </c>
      <c r="H280" s="258">
        <f t="shared" si="130"/>
        <v>0</v>
      </c>
      <c r="I280" s="258">
        <f t="shared" si="130"/>
        <v>0</v>
      </c>
      <c r="J280" s="258">
        <f t="shared" si="130"/>
        <v>0</v>
      </c>
      <c r="K280" s="258">
        <f t="shared" si="130"/>
        <v>0</v>
      </c>
      <c r="L280" s="258">
        <f t="shared" si="130"/>
        <v>0</v>
      </c>
      <c r="M280" s="258">
        <f t="shared" si="130"/>
        <v>0</v>
      </c>
      <c r="N280" s="258">
        <f t="shared" si="130"/>
        <v>0</v>
      </c>
      <c r="O280" s="258">
        <f t="shared" si="130"/>
        <v>0</v>
      </c>
      <c r="P280" s="258">
        <f t="shared" si="130"/>
        <v>0</v>
      </c>
      <c r="Q280" s="258">
        <f t="shared" si="130"/>
        <v>0</v>
      </c>
      <c r="R280" s="258">
        <f t="shared" si="130"/>
        <v>0</v>
      </c>
      <c r="S280" s="291">
        <f t="shared" si="130"/>
        <v>0</v>
      </c>
    </row>
    <row r="281" spans="1:19" ht="12.75" hidden="1" customHeight="1" outlineLevel="2" x14ac:dyDescent="0.2">
      <c r="A281" s="198" t="str">
        <f>"         "&amp;Labels!B318</f>
        <v xml:space="preserve">         Channels 2</v>
      </c>
      <c r="B281" s="258">
        <f t="shared" ref="B281:S281" si="131">SUM(B255,B268)</f>
        <v>0</v>
      </c>
      <c r="C281" s="258">
        <f t="shared" si="131"/>
        <v>0</v>
      </c>
      <c r="D281" s="258">
        <f t="shared" si="131"/>
        <v>0</v>
      </c>
      <c r="E281" s="258">
        <f t="shared" si="131"/>
        <v>0</v>
      </c>
      <c r="F281" s="258">
        <f t="shared" si="131"/>
        <v>0</v>
      </c>
      <c r="G281" s="258">
        <f t="shared" si="131"/>
        <v>0</v>
      </c>
      <c r="H281" s="258">
        <f t="shared" si="131"/>
        <v>0</v>
      </c>
      <c r="I281" s="258">
        <f t="shared" si="131"/>
        <v>0</v>
      </c>
      <c r="J281" s="258">
        <f t="shared" si="131"/>
        <v>0</v>
      </c>
      <c r="K281" s="258">
        <f t="shared" si="131"/>
        <v>0</v>
      </c>
      <c r="L281" s="258">
        <f t="shared" si="131"/>
        <v>0</v>
      </c>
      <c r="M281" s="258">
        <f t="shared" si="131"/>
        <v>0</v>
      </c>
      <c r="N281" s="258">
        <f t="shared" si="131"/>
        <v>0</v>
      </c>
      <c r="O281" s="258">
        <f t="shared" si="131"/>
        <v>0</v>
      </c>
      <c r="P281" s="258">
        <f t="shared" si="131"/>
        <v>0</v>
      </c>
      <c r="Q281" s="258">
        <f t="shared" si="131"/>
        <v>0</v>
      </c>
      <c r="R281" s="258">
        <f t="shared" si="131"/>
        <v>0</v>
      </c>
      <c r="S281" s="291">
        <f t="shared" si="131"/>
        <v>0</v>
      </c>
    </row>
    <row r="282" spans="1:19" ht="12.75" hidden="1" customHeight="1" outlineLevel="2" x14ac:dyDescent="0.2">
      <c r="A282" s="198" t="str">
        <f>"         "&amp;Labels!C316</f>
        <v xml:space="preserve">         Total</v>
      </c>
      <c r="B282" s="258">
        <f t="shared" ref="B282:S282" si="132">SUM(B256,B269)</f>
        <v>0</v>
      </c>
      <c r="C282" s="258">
        <f t="shared" si="132"/>
        <v>0</v>
      </c>
      <c r="D282" s="258">
        <f t="shared" si="132"/>
        <v>0</v>
      </c>
      <c r="E282" s="258">
        <f t="shared" si="132"/>
        <v>0</v>
      </c>
      <c r="F282" s="258">
        <f t="shared" si="132"/>
        <v>0</v>
      </c>
      <c r="G282" s="258">
        <f t="shared" si="132"/>
        <v>0</v>
      </c>
      <c r="H282" s="258">
        <f t="shared" si="132"/>
        <v>0</v>
      </c>
      <c r="I282" s="258">
        <f t="shared" si="132"/>
        <v>0</v>
      </c>
      <c r="J282" s="258">
        <f t="shared" si="132"/>
        <v>0</v>
      </c>
      <c r="K282" s="258">
        <f t="shared" si="132"/>
        <v>0</v>
      </c>
      <c r="L282" s="258">
        <f t="shared" si="132"/>
        <v>0</v>
      </c>
      <c r="M282" s="258">
        <f t="shared" si="132"/>
        <v>0</v>
      </c>
      <c r="N282" s="258">
        <f t="shared" si="132"/>
        <v>0</v>
      </c>
      <c r="O282" s="258">
        <f t="shared" si="132"/>
        <v>0</v>
      </c>
      <c r="P282" s="258">
        <f t="shared" si="132"/>
        <v>0</v>
      </c>
      <c r="Q282" s="258">
        <f t="shared" si="132"/>
        <v>0</v>
      </c>
      <c r="R282" s="258">
        <f t="shared" si="132"/>
        <v>0</v>
      </c>
      <c r="S282" s="291">
        <f t="shared" si="132"/>
        <v>0</v>
      </c>
    </row>
    <row r="283" spans="1:19" ht="12.75" hidden="1" customHeight="1" outlineLevel="2" x14ac:dyDescent="0.2">
      <c r="A283" s="198" t="str">
        <f>"      "&amp;Labels!B386</f>
        <v xml:space="preserve">      Prof Level 2</v>
      </c>
      <c r="B283" s="258"/>
      <c r="C283" s="258"/>
      <c r="D283" s="258"/>
      <c r="E283" s="258"/>
      <c r="F283" s="258"/>
      <c r="G283" s="258"/>
      <c r="H283" s="258"/>
      <c r="I283" s="258"/>
      <c r="J283" s="258"/>
      <c r="K283" s="258"/>
      <c r="L283" s="258"/>
      <c r="M283" s="258"/>
      <c r="N283" s="258"/>
      <c r="O283" s="258"/>
      <c r="P283" s="258"/>
      <c r="Q283" s="258"/>
      <c r="R283" s="258"/>
      <c r="S283" s="291"/>
    </row>
    <row r="284" spans="1:19" ht="12.75" hidden="1" customHeight="1" outlineLevel="2" x14ac:dyDescent="0.2">
      <c r="A284" s="198" t="str">
        <f>"         "&amp;Labels!B317</f>
        <v xml:space="preserve">         Channels 1</v>
      </c>
      <c r="B284" s="258">
        <f t="shared" ref="B284:S284" si="133">SUM(B258,B271)</f>
        <v>0</v>
      </c>
      <c r="C284" s="258">
        <f t="shared" si="133"/>
        <v>0</v>
      </c>
      <c r="D284" s="258">
        <f t="shared" si="133"/>
        <v>0</v>
      </c>
      <c r="E284" s="258">
        <f t="shared" si="133"/>
        <v>0</v>
      </c>
      <c r="F284" s="258">
        <f t="shared" si="133"/>
        <v>0</v>
      </c>
      <c r="G284" s="258">
        <f t="shared" si="133"/>
        <v>0</v>
      </c>
      <c r="H284" s="258">
        <f t="shared" si="133"/>
        <v>0</v>
      </c>
      <c r="I284" s="258">
        <f t="shared" si="133"/>
        <v>0</v>
      </c>
      <c r="J284" s="258">
        <f t="shared" si="133"/>
        <v>0</v>
      </c>
      <c r="K284" s="258">
        <f t="shared" si="133"/>
        <v>0</v>
      </c>
      <c r="L284" s="258">
        <f t="shared" si="133"/>
        <v>0</v>
      </c>
      <c r="M284" s="258">
        <f t="shared" si="133"/>
        <v>0</v>
      </c>
      <c r="N284" s="258">
        <f t="shared" si="133"/>
        <v>0</v>
      </c>
      <c r="O284" s="258">
        <f t="shared" si="133"/>
        <v>0</v>
      </c>
      <c r="P284" s="258">
        <f t="shared" si="133"/>
        <v>0</v>
      </c>
      <c r="Q284" s="258">
        <f t="shared" si="133"/>
        <v>0</v>
      </c>
      <c r="R284" s="258">
        <f t="shared" si="133"/>
        <v>0</v>
      </c>
      <c r="S284" s="291">
        <f t="shared" si="133"/>
        <v>0</v>
      </c>
    </row>
    <row r="285" spans="1:19" ht="12.75" hidden="1" customHeight="1" outlineLevel="2" x14ac:dyDescent="0.2">
      <c r="A285" s="198" t="str">
        <f>"         "&amp;Labels!B318</f>
        <v xml:space="preserve">         Channels 2</v>
      </c>
      <c r="B285" s="258">
        <f t="shared" ref="B285:S285" si="134">SUM(B259,B272)</f>
        <v>0</v>
      </c>
      <c r="C285" s="258">
        <f t="shared" si="134"/>
        <v>0</v>
      </c>
      <c r="D285" s="258">
        <f t="shared" si="134"/>
        <v>0</v>
      </c>
      <c r="E285" s="258">
        <f t="shared" si="134"/>
        <v>0</v>
      </c>
      <c r="F285" s="258">
        <f t="shared" si="134"/>
        <v>0</v>
      </c>
      <c r="G285" s="258">
        <f t="shared" si="134"/>
        <v>0</v>
      </c>
      <c r="H285" s="258">
        <f t="shared" si="134"/>
        <v>0</v>
      </c>
      <c r="I285" s="258">
        <f t="shared" si="134"/>
        <v>0</v>
      </c>
      <c r="J285" s="258">
        <f t="shared" si="134"/>
        <v>0</v>
      </c>
      <c r="K285" s="258">
        <f t="shared" si="134"/>
        <v>0</v>
      </c>
      <c r="L285" s="258">
        <f t="shared" si="134"/>
        <v>0</v>
      </c>
      <c r="M285" s="258">
        <f t="shared" si="134"/>
        <v>0</v>
      </c>
      <c r="N285" s="258">
        <f t="shared" si="134"/>
        <v>0</v>
      </c>
      <c r="O285" s="258">
        <f t="shared" si="134"/>
        <v>0</v>
      </c>
      <c r="P285" s="258">
        <f t="shared" si="134"/>
        <v>0</v>
      </c>
      <c r="Q285" s="258">
        <f t="shared" si="134"/>
        <v>0</v>
      </c>
      <c r="R285" s="258">
        <f t="shared" si="134"/>
        <v>0</v>
      </c>
      <c r="S285" s="291">
        <f t="shared" si="134"/>
        <v>0</v>
      </c>
    </row>
    <row r="286" spans="1:19" ht="12.75" hidden="1" customHeight="1" outlineLevel="2" x14ac:dyDescent="0.2">
      <c r="A286" s="198" t="str">
        <f>"         "&amp;Labels!C316</f>
        <v xml:space="preserve">         Total</v>
      </c>
      <c r="B286" s="258">
        <f t="shared" ref="B286:S286" si="135">SUM(B260,B273)</f>
        <v>0</v>
      </c>
      <c r="C286" s="258">
        <f t="shared" si="135"/>
        <v>0</v>
      </c>
      <c r="D286" s="258">
        <f t="shared" si="135"/>
        <v>0</v>
      </c>
      <c r="E286" s="258">
        <f t="shared" si="135"/>
        <v>0</v>
      </c>
      <c r="F286" s="258">
        <f t="shared" si="135"/>
        <v>0</v>
      </c>
      <c r="G286" s="258">
        <f t="shared" si="135"/>
        <v>0</v>
      </c>
      <c r="H286" s="258">
        <f t="shared" si="135"/>
        <v>0</v>
      </c>
      <c r="I286" s="258">
        <f t="shared" si="135"/>
        <v>0</v>
      </c>
      <c r="J286" s="258">
        <f t="shared" si="135"/>
        <v>0</v>
      </c>
      <c r="K286" s="258">
        <f t="shared" si="135"/>
        <v>0</v>
      </c>
      <c r="L286" s="258">
        <f t="shared" si="135"/>
        <v>0</v>
      </c>
      <c r="M286" s="258">
        <f t="shared" si="135"/>
        <v>0</v>
      </c>
      <c r="N286" s="258">
        <f t="shared" si="135"/>
        <v>0</v>
      </c>
      <c r="O286" s="258">
        <f t="shared" si="135"/>
        <v>0</v>
      </c>
      <c r="P286" s="258">
        <f t="shared" si="135"/>
        <v>0</v>
      </c>
      <c r="Q286" s="258">
        <f t="shared" si="135"/>
        <v>0</v>
      </c>
      <c r="R286" s="258">
        <f t="shared" si="135"/>
        <v>0</v>
      </c>
      <c r="S286" s="291">
        <f t="shared" si="135"/>
        <v>0</v>
      </c>
    </row>
    <row r="287" spans="1:19" ht="12.75" hidden="1" customHeight="1" outlineLevel="2" x14ac:dyDescent="0.2">
      <c r="A287" s="188" t="str">
        <f>"      "&amp;Labels!C384</f>
        <v xml:space="preserve">      Total</v>
      </c>
      <c r="B287" s="256">
        <f t="shared" ref="B287:S287" si="136">SUM(B261,B274)</f>
        <v>0</v>
      </c>
      <c r="C287" s="256">
        <f t="shared" si="136"/>
        <v>0</v>
      </c>
      <c r="D287" s="256">
        <f t="shared" si="136"/>
        <v>0</v>
      </c>
      <c r="E287" s="256">
        <f t="shared" si="136"/>
        <v>0</v>
      </c>
      <c r="F287" s="256">
        <f t="shared" si="136"/>
        <v>0</v>
      </c>
      <c r="G287" s="256">
        <f t="shared" si="136"/>
        <v>0</v>
      </c>
      <c r="H287" s="256">
        <f t="shared" si="136"/>
        <v>0</v>
      </c>
      <c r="I287" s="256">
        <f t="shared" si="136"/>
        <v>0</v>
      </c>
      <c r="J287" s="256">
        <f t="shared" si="136"/>
        <v>0</v>
      </c>
      <c r="K287" s="256">
        <f t="shared" si="136"/>
        <v>0</v>
      </c>
      <c r="L287" s="256">
        <f t="shared" si="136"/>
        <v>0</v>
      </c>
      <c r="M287" s="256">
        <f t="shared" si="136"/>
        <v>0</v>
      </c>
      <c r="N287" s="256">
        <f t="shared" si="136"/>
        <v>0</v>
      </c>
      <c r="O287" s="256">
        <f t="shared" si="136"/>
        <v>0</v>
      </c>
      <c r="P287" s="256">
        <f t="shared" si="136"/>
        <v>0</v>
      </c>
      <c r="Q287" s="256">
        <f t="shared" si="136"/>
        <v>0</v>
      </c>
      <c r="R287" s="256">
        <f t="shared" si="136"/>
        <v>0</v>
      </c>
      <c r="S287" s="290">
        <f t="shared" si="136"/>
        <v>0</v>
      </c>
    </row>
    <row r="288" spans="1:19" ht="12.75" hidden="1" customHeight="1" outlineLevel="2" x14ac:dyDescent="0.2">
      <c r="A288" s="198" t="str">
        <f>"         "&amp;Labels!B317</f>
        <v xml:space="preserve">         Channels 1</v>
      </c>
      <c r="B288" s="258">
        <f t="shared" ref="B288:S288" si="137">SUM(B262,B275)</f>
        <v>0</v>
      </c>
      <c r="C288" s="258">
        <f t="shared" si="137"/>
        <v>0</v>
      </c>
      <c r="D288" s="258">
        <f t="shared" si="137"/>
        <v>0</v>
      </c>
      <c r="E288" s="258">
        <f t="shared" si="137"/>
        <v>0</v>
      </c>
      <c r="F288" s="258">
        <f t="shared" si="137"/>
        <v>0</v>
      </c>
      <c r="G288" s="258">
        <f t="shared" si="137"/>
        <v>0</v>
      </c>
      <c r="H288" s="258">
        <f t="shared" si="137"/>
        <v>0</v>
      </c>
      <c r="I288" s="258">
        <f t="shared" si="137"/>
        <v>0</v>
      </c>
      <c r="J288" s="258">
        <f t="shared" si="137"/>
        <v>0</v>
      </c>
      <c r="K288" s="258">
        <f t="shared" si="137"/>
        <v>0</v>
      </c>
      <c r="L288" s="258">
        <f t="shared" si="137"/>
        <v>0</v>
      </c>
      <c r="M288" s="258">
        <f t="shared" si="137"/>
        <v>0</v>
      </c>
      <c r="N288" s="258">
        <f t="shared" si="137"/>
        <v>0</v>
      </c>
      <c r="O288" s="258">
        <f t="shared" si="137"/>
        <v>0</v>
      </c>
      <c r="P288" s="258">
        <f t="shared" si="137"/>
        <v>0</v>
      </c>
      <c r="Q288" s="258">
        <f t="shared" si="137"/>
        <v>0</v>
      </c>
      <c r="R288" s="258">
        <f t="shared" si="137"/>
        <v>0</v>
      </c>
      <c r="S288" s="291">
        <f t="shared" si="137"/>
        <v>0</v>
      </c>
    </row>
    <row r="289" spans="1:20" ht="12.75" hidden="1" customHeight="1" outlineLevel="2" x14ac:dyDescent="0.2">
      <c r="A289" s="198" t="str">
        <f>"         "&amp;Labels!B318</f>
        <v xml:space="preserve">         Channels 2</v>
      </c>
      <c r="B289" s="258">
        <f t="shared" ref="B289:S289" si="138">SUM(B263,B276)</f>
        <v>0</v>
      </c>
      <c r="C289" s="258">
        <f t="shared" si="138"/>
        <v>0</v>
      </c>
      <c r="D289" s="258">
        <f t="shared" si="138"/>
        <v>0</v>
      </c>
      <c r="E289" s="258">
        <f t="shared" si="138"/>
        <v>0</v>
      </c>
      <c r="F289" s="258">
        <f t="shared" si="138"/>
        <v>0</v>
      </c>
      <c r="G289" s="258">
        <f t="shared" si="138"/>
        <v>0</v>
      </c>
      <c r="H289" s="258">
        <f t="shared" si="138"/>
        <v>0</v>
      </c>
      <c r="I289" s="258">
        <f t="shared" si="138"/>
        <v>0</v>
      </c>
      <c r="J289" s="258">
        <f t="shared" si="138"/>
        <v>0</v>
      </c>
      <c r="K289" s="258">
        <f t="shared" si="138"/>
        <v>0</v>
      </c>
      <c r="L289" s="258">
        <f t="shared" si="138"/>
        <v>0</v>
      </c>
      <c r="M289" s="258">
        <f t="shared" si="138"/>
        <v>0</v>
      </c>
      <c r="N289" s="258">
        <f t="shared" si="138"/>
        <v>0</v>
      </c>
      <c r="O289" s="258">
        <f t="shared" si="138"/>
        <v>0</v>
      </c>
      <c r="P289" s="258">
        <f t="shared" si="138"/>
        <v>0</v>
      </c>
      <c r="Q289" s="258">
        <f t="shared" si="138"/>
        <v>0</v>
      </c>
      <c r="R289" s="258">
        <f t="shared" si="138"/>
        <v>0</v>
      </c>
      <c r="S289" s="291">
        <f t="shared" si="138"/>
        <v>0</v>
      </c>
    </row>
    <row r="290" spans="1:20" ht="12.75" hidden="1" customHeight="1" outlineLevel="2" x14ac:dyDescent="0.2">
      <c r="A290" s="230" t="str">
        <f>"         "&amp;Labels!C316</f>
        <v xml:space="preserve">         Total</v>
      </c>
      <c r="B290" s="292">
        <f t="shared" ref="B290:S290" si="139">SUM(B261,B274)</f>
        <v>0</v>
      </c>
      <c r="C290" s="292">
        <f t="shared" si="139"/>
        <v>0</v>
      </c>
      <c r="D290" s="292">
        <f t="shared" si="139"/>
        <v>0</v>
      </c>
      <c r="E290" s="292">
        <f t="shared" si="139"/>
        <v>0</v>
      </c>
      <c r="F290" s="292">
        <f t="shared" si="139"/>
        <v>0</v>
      </c>
      <c r="G290" s="292">
        <f t="shared" si="139"/>
        <v>0</v>
      </c>
      <c r="H290" s="292">
        <f t="shared" si="139"/>
        <v>0</v>
      </c>
      <c r="I290" s="292">
        <f t="shared" si="139"/>
        <v>0</v>
      </c>
      <c r="J290" s="292">
        <f t="shared" si="139"/>
        <v>0</v>
      </c>
      <c r="K290" s="292">
        <f t="shared" si="139"/>
        <v>0</v>
      </c>
      <c r="L290" s="292">
        <f t="shared" si="139"/>
        <v>0</v>
      </c>
      <c r="M290" s="292">
        <f t="shared" si="139"/>
        <v>0</v>
      </c>
      <c r="N290" s="292">
        <f t="shared" si="139"/>
        <v>0</v>
      </c>
      <c r="O290" s="292">
        <f t="shared" si="139"/>
        <v>0</v>
      </c>
      <c r="P290" s="292">
        <f t="shared" si="139"/>
        <v>0</v>
      </c>
      <c r="Q290" s="292">
        <f t="shared" si="139"/>
        <v>0</v>
      </c>
      <c r="R290" s="292">
        <f t="shared" si="139"/>
        <v>0</v>
      </c>
      <c r="S290" s="293">
        <f t="shared" si="139"/>
        <v>0</v>
      </c>
    </row>
    <row r="291" spans="1:20" ht="12.75" hidden="1" customHeight="1" outlineLevel="2" collapsed="1" x14ac:dyDescent="0.2"/>
    <row r="292" spans="1:20" ht="12.75" hidden="1" customHeight="1" outlineLevel="1" collapsed="1" x14ac:dyDescent="0.2">
      <c r="A292" s="464" t="str">
        <f>"Backlog - Small Engagements"</f>
        <v>Backlog - Small Engagements</v>
      </c>
      <c r="B292" s="464"/>
    </row>
    <row r="293" spans="1:20" ht="12.75" hidden="1" customHeight="1" outlineLevel="2" x14ac:dyDescent="0.2">
      <c r="A293" s="464" t="str">
        <f>""</f>
        <v/>
      </c>
      <c r="B293" s="464"/>
    </row>
    <row r="294" spans="1:20" ht="12.75" hidden="1" customHeight="1" outlineLevel="2" x14ac:dyDescent="0.2">
      <c r="B294" s="9" t="str">
        <f>'(FnCalls 1)'!F40</f>
        <v>MMM 2009</v>
      </c>
      <c r="C294" s="10" t="str">
        <f>'(FnCalls 1)'!F41</f>
        <v>MMM 2010</v>
      </c>
      <c r="D294" s="10" t="str">
        <f>'(FnCalls 1)'!F42</f>
        <v>MMM 2010</v>
      </c>
      <c r="E294" s="10" t="str">
        <f>'(FnCalls 1)'!F43</f>
        <v>MMM 2010</v>
      </c>
      <c r="F294" s="10" t="str">
        <f>'(FnCalls 1)'!F44</f>
        <v>MMM 2010</v>
      </c>
      <c r="G294" s="10" t="str">
        <f>'(FnCalls 1)'!F45</f>
        <v>MMM 2010</v>
      </c>
      <c r="H294" s="10" t="str">
        <f>'(FnCalls 1)'!F46</f>
        <v>MMM 2010</v>
      </c>
      <c r="I294" s="10" t="str">
        <f>'(FnCalls 1)'!F47</f>
        <v>MMM 2010</v>
      </c>
      <c r="J294" s="10" t="str">
        <f>'(FnCalls 1)'!F48</f>
        <v>MMM 2010</v>
      </c>
      <c r="K294" s="10" t="str">
        <f>'(FnCalls 1)'!F49</f>
        <v>MMM 2010</v>
      </c>
      <c r="L294" s="10" t="str">
        <f>'(FnCalls 1)'!F50</f>
        <v>MMM 2010</v>
      </c>
      <c r="M294" s="10" t="str">
        <f>'(FnCalls 1)'!F51</f>
        <v>MMM 2010</v>
      </c>
      <c r="N294" s="10" t="str">
        <f>'(FnCalls 1)'!F52</f>
        <v>MMM 2010</v>
      </c>
      <c r="O294" s="10" t="str">
        <f>'(FnCalls 1)'!F53</f>
        <v>MMM 2011</v>
      </c>
      <c r="P294" s="10" t="str">
        <f>'(FnCalls 1)'!F54</f>
        <v>MMM 2011</v>
      </c>
      <c r="Q294" s="10" t="str">
        <f>'(FnCalls 1)'!F55</f>
        <v>MMM 2011</v>
      </c>
      <c r="R294" s="10" t="str">
        <f>'(FnCalls 1)'!F56</f>
        <v>MMM 2011</v>
      </c>
      <c r="S294" s="10" t="str">
        <f>'(FnCalls 1)'!F57</f>
        <v>MMM 2011</v>
      </c>
      <c r="T294" s="11" t="str">
        <f>'(FnCalls 1)'!F58</f>
        <v>MMM 2011</v>
      </c>
    </row>
    <row r="295" spans="1:20" ht="12.75" hidden="1" customHeight="1" outlineLevel="2" x14ac:dyDescent="0.2">
      <c r="A295" s="182" t="str">
        <f>Labels!B138</f>
        <v>Order Backlog</v>
      </c>
      <c r="B295" s="183"/>
      <c r="C295" s="183"/>
      <c r="D295" s="183"/>
      <c r="E295" s="183"/>
      <c r="F295" s="183"/>
      <c r="G295" s="183"/>
      <c r="H295" s="183"/>
      <c r="I295" s="183"/>
      <c r="J295" s="183"/>
      <c r="K295" s="183"/>
      <c r="L295" s="183"/>
      <c r="M295" s="183"/>
      <c r="N295" s="183"/>
      <c r="O295" s="183"/>
      <c r="P295" s="183"/>
      <c r="Q295" s="183"/>
      <c r="R295" s="183"/>
      <c r="S295" s="183"/>
      <c r="T295" s="266"/>
    </row>
    <row r="296" spans="1:20" ht="12.75" hidden="1" customHeight="1" outlineLevel="2" x14ac:dyDescent="0.2">
      <c r="A296" s="188" t="str">
        <f>"   "&amp;Labels!B381</f>
        <v xml:space="preserve">   Practice 1</v>
      </c>
      <c r="B296" s="196"/>
      <c r="C296" s="196"/>
      <c r="D296" s="196"/>
      <c r="E296" s="196"/>
      <c r="F296" s="196"/>
      <c r="G296" s="196"/>
      <c r="H296" s="196"/>
      <c r="I296" s="196"/>
      <c r="J296" s="196"/>
      <c r="K296" s="196"/>
      <c r="L296" s="196"/>
      <c r="M296" s="196"/>
      <c r="N296" s="196"/>
      <c r="O296" s="196"/>
      <c r="P296" s="196"/>
      <c r="Q296" s="196"/>
      <c r="R296" s="196"/>
      <c r="S296" s="196"/>
      <c r="T296" s="267"/>
    </row>
    <row r="297" spans="1:20" ht="12.75" hidden="1" customHeight="1" outlineLevel="2" x14ac:dyDescent="0.2">
      <c r="A297" s="198" t="str">
        <f>"      "&amp;Labels!B385</f>
        <v xml:space="preserve">      Prof Level 1</v>
      </c>
      <c r="B297" s="226"/>
      <c r="C297" s="226"/>
      <c r="D297" s="226"/>
      <c r="E297" s="226"/>
      <c r="F297" s="226"/>
      <c r="G297" s="226"/>
      <c r="H297" s="226"/>
      <c r="I297" s="226"/>
      <c r="J297" s="226"/>
      <c r="K297" s="226"/>
      <c r="L297" s="226"/>
      <c r="M297" s="226"/>
      <c r="N297" s="226"/>
      <c r="O297" s="226"/>
      <c r="P297" s="226"/>
      <c r="Q297" s="226"/>
      <c r="R297" s="226"/>
      <c r="S297" s="226"/>
      <c r="T297" s="279"/>
    </row>
    <row r="298" spans="1:20" ht="12.75" hidden="1" customHeight="1" outlineLevel="2" x14ac:dyDescent="0.2">
      <c r="A298" s="198" t="str">
        <f>"         "&amp;Labels!B317</f>
        <v xml:space="preserve">         Channels 1</v>
      </c>
      <c r="B298" s="226">
        <f>Sales!B278*Inputs!M55</f>
        <v>0</v>
      </c>
      <c r="C298" s="226">
        <f>Sales!B278*C339</f>
        <v>0</v>
      </c>
      <c r="D298" s="226">
        <f>Sales!C278*D339</f>
        <v>0</v>
      </c>
      <c r="E298" s="226">
        <f>Sales!D278*E339</f>
        <v>0</v>
      </c>
      <c r="F298" s="226">
        <f>Sales!F278*F339</f>
        <v>0</v>
      </c>
      <c r="G298" s="226">
        <f>Sales!G278*G339</f>
        <v>0</v>
      </c>
      <c r="H298" s="226">
        <f>Sales!H278*H339</f>
        <v>0</v>
      </c>
      <c r="I298" s="226">
        <f>Sales!J278*I339</f>
        <v>0</v>
      </c>
      <c r="J298" s="226">
        <f>Sales!K278*J339</f>
        <v>0</v>
      </c>
      <c r="K298" s="226">
        <f>Sales!L278*K339</f>
        <v>0</v>
      </c>
      <c r="L298" s="226">
        <f>Sales!N278*L339</f>
        <v>0</v>
      </c>
      <c r="M298" s="226">
        <f>Sales!O278*M339</f>
        <v>0</v>
      </c>
      <c r="N298" s="226">
        <f>Sales!P278*N339</f>
        <v>0</v>
      </c>
      <c r="O298" s="226">
        <f>Sales!R278*O339</f>
        <v>0</v>
      </c>
      <c r="P298" s="226">
        <f>Sales!S278*P339</f>
        <v>0</v>
      </c>
      <c r="Q298" s="226">
        <f>Sales!T278*Q339</f>
        <v>0</v>
      </c>
      <c r="R298" s="226">
        <f>Sales!V278*R339</f>
        <v>0</v>
      </c>
      <c r="S298" s="226">
        <f>Sales!W278*S339</f>
        <v>0</v>
      </c>
      <c r="T298" s="279">
        <f>Sales!X278*T339</f>
        <v>0</v>
      </c>
    </row>
    <row r="299" spans="1:20" ht="12.75" hidden="1" customHeight="1" outlineLevel="2" x14ac:dyDescent="0.2">
      <c r="A299" s="198" t="str">
        <f>"         "&amp;Labels!B318</f>
        <v xml:space="preserve">         Channels 2</v>
      </c>
      <c r="B299" s="226">
        <f>Sales!B278*Inputs!M56</f>
        <v>0</v>
      </c>
      <c r="C299" s="226">
        <f>Sales!B278*C340</f>
        <v>0</v>
      </c>
      <c r="D299" s="226">
        <f>Sales!C278*D340</f>
        <v>0</v>
      </c>
      <c r="E299" s="226">
        <f>Sales!D278*E340</f>
        <v>0</v>
      </c>
      <c r="F299" s="226">
        <f>Sales!F278*F340</f>
        <v>0</v>
      </c>
      <c r="G299" s="226">
        <f>Sales!G278*G340</f>
        <v>0</v>
      </c>
      <c r="H299" s="226">
        <f>Sales!H278*H340</f>
        <v>0</v>
      </c>
      <c r="I299" s="226">
        <f>Sales!J278*I340</f>
        <v>0</v>
      </c>
      <c r="J299" s="226">
        <f>Sales!K278*J340</f>
        <v>0</v>
      </c>
      <c r="K299" s="226">
        <f>Sales!L278*K340</f>
        <v>0</v>
      </c>
      <c r="L299" s="226">
        <f>Sales!N278*L340</f>
        <v>0</v>
      </c>
      <c r="M299" s="226">
        <f>Sales!O278*M340</f>
        <v>0</v>
      </c>
      <c r="N299" s="226">
        <f>Sales!P278*N340</f>
        <v>0</v>
      </c>
      <c r="O299" s="226">
        <f>Sales!R278*O340</f>
        <v>0</v>
      </c>
      <c r="P299" s="226">
        <f>Sales!S278*P340</f>
        <v>0</v>
      </c>
      <c r="Q299" s="226">
        <f>Sales!T278*Q340</f>
        <v>0</v>
      </c>
      <c r="R299" s="226">
        <f>Sales!V278*R340</f>
        <v>0</v>
      </c>
      <c r="S299" s="226">
        <f>Sales!W278*S340</f>
        <v>0</v>
      </c>
      <c r="T299" s="279">
        <f>Sales!X278*T340</f>
        <v>0</v>
      </c>
    </row>
    <row r="300" spans="1:20" ht="12.75" hidden="1" customHeight="1" outlineLevel="2" x14ac:dyDescent="0.2">
      <c r="A300" s="198" t="str">
        <f>"         "&amp;Labels!C316</f>
        <v xml:space="preserve">         Total</v>
      </c>
      <c r="B300" s="226">
        <f t="shared" ref="B300:T300" si="140">SUM(B298:B299)</f>
        <v>0</v>
      </c>
      <c r="C300" s="226">
        <f t="shared" si="140"/>
        <v>0</v>
      </c>
      <c r="D300" s="226">
        <f t="shared" si="140"/>
        <v>0</v>
      </c>
      <c r="E300" s="226">
        <f t="shared" si="140"/>
        <v>0</v>
      </c>
      <c r="F300" s="226">
        <f t="shared" si="140"/>
        <v>0</v>
      </c>
      <c r="G300" s="226">
        <f t="shared" si="140"/>
        <v>0</v>
      </c>
      <c r="H300" s="226">
        <f t="shared" si="140"/>
        <v>0</v>
      </c>
      <c r="I300" s="226">
        <f t="shared" si="140"/>
        <v>0</v>
      </c>
      <c r="J300" s="226">
        <f t="shared" si="140"/>
        <v>0</v>
      </c>
      <c r="K300" s="226">
        <f t="shared" si="140"/>
        <v>0</v>
      </c>
      <c r="L300" s="226">
        <f t="shared" si="140"/>
        <v>0</v>
      </c>
      <c r="M300" s="226">
        <f t="shared" si="140"/>
        <v>0</v>
      </c>
      <c r="N300" s="226">
        <f t="shared" si="140"/>
        <v>0</v>
      </c>
      <c r="O300" s="226">
        <f t="shared" si="140"/>
        <v>0</v>
      </c>
      <c r="P300" s="226">
        <f t="shared" si="140"/>
        <v>0</v>
      </c>
      <c r="Q300" s="226">
        <f t="shared" si="140"/>
        <v>0</v>
      </c>
      <c r="R300" s="226">
        <f t="shared" si="140"/>
        <v>0</v>
      </c>
      <c r="S300" s="226">
        <f t="shared" si="140"/>
        <v>0</v>
      </c>
      <c r="T300" s="279">
        <f t="shared" si="140"/>
        <v>0</v>
      </c>
    </row>
    <row r="301" spans="1:20" ht="12.75" hidden="1" customHeight="1" outlineLevel="2" x14ac:dyDescent="0.2">
      <c r="A301" s="198" t="str">
        <f>"      "&amp;Labels!B386</f>
        <v xml:space="preserve">      Prof Level 2</v>
      </c>
      <c r="B301" s="226"/>
      <c r="C301" s="226"/>
      <c r="D301" s="226"/>
      <c r="E301" s="226"/>
      <c r="F301" s="226"/>
      <c r="G301" s="226"/>
      <c r="H301" s="226"/>
      <c r="I301" s="226"/>
      <c r="J301" s="226"/>
      <c r="K301" s="226"/>
      <c r="L301" s="226"/>
      <c r="M301" s="226"/>
      <c r="N301" s="226"/>
      <c r="O301" s="226"/>
      <c r="P301" s="226"/>
      <c r="Q301" s="226"/>
      <c r="R301" s="226"/>
      <c r="S301" s="226"/>
      <c r="T301" s="279"/>
    </row>
    <row r="302" spans="1:20" ht="12.75" hidden="1" customHeight="1" outlineLevel="2" x14ac:dyDescent="0.2">
      <c r="A302" s="198" t="str">
        <f>"         "&amp;Labels!B317</f>
        <v xml:space="preserve">         Channels 1</v>
      </c>
      <c r="B302" s="226">
        <f>Sales!B279*Inputs!M57</f>
        <v>0</v>
      </c>
      <c r="C302" s="226">
        <f>Sales!B279*C343</f>
        <v>0</v>
      </c>
      <c r="D302" s="226">
        <f>Sales!C279*D343</f>
        <v>0</v>
      </c>
      <c r="E302" s="226">
        <f>Sales!D279*E343</f>
        <v>0</v>
      </c>
      <c r="F302" s="226">
        <f>Sales!F279*F343</f>
        <v>0</v>
      </c>
      <c r="G302" s="226">
        <f>Sales!G279*G343</f>
        <v>0</v>
      </c>
      <c r="H302" s="226">
        <f>Sales!H279*H343</f>
        <v>0</v>
      </c>
      <c r="I302" s="226">
        <f>Sales!J279*I343</f>
        <v>0</v>
      </c>
      <c r="J302" s="226">
        <f>Sales!K279*J343</f>
        <v>0</v>
      </c>
      <c r="K302" s="226">
        <f>Sales!L279*K343</f>
        <v>0</v>
      </c>
      <c r="L302" s="226">
        <f>Sales!N279*L343</f>
        <v>0</v>
      </c>
      <c r="M302" s="226">
        <f>Sales!O279*M343</f>
        <v>0</v>
      </c>
      <c r="N302" s="226">
        <f>Sales!P279*N343</f>
        <v>0</v>
      </c>
      <c r="O302" s="226">
        <f>Sales!R279*O343</f>
        <v>0</v>
      </c>
      <c r="P302" s="226">
        <f>Sales!S279*P343</f>
        <v>0</v>
      </c>
      <c r="Q302" s="226">
        <f>Sales!T279*Q343</f>
        <v>0</v>
      </c>
      <c r="R302" s="226">
        <f>Sales!V279*R343</f>
        <v>0</v>
      </c>
      <c r="S302" s="226">
        <f>Sales!W279*S343</f>
        <v>0</v>
      </c>
      <c r="T302" s="279">
        <f>Sales!X279*T343</f>
        <v>0</v>
      </c>
    </row>
    <row r="303" spans="1:20" ht="12.75" hidden="1" customHeight="1" outlineLevel="2" x14ac:dyDescent="0.2">
      <c r="A303" s="198" t="str">
        <f>"         "&amp;Labels!B318</f>
        <v xml:space="preserve">         Channels 2</v>
      </c>
      <c r="B303" s="226">
        <f>Sales!B279*Inputs!M58</f>
        <v>0</v>
      </c>
      <c r="C303" s="226">
        <f>Sales!B279*C344</f>
        <v>0</v>
      </c>
      <c r="D303" s="226">
        <f>Sales!C279*D344</f>
        <v>0</v>
      </c>
      <c r="E303" s="226">
        <f>Sales!D279*E344</f>
        <v>0</v>
      </c>
      <c r="F303" s="226">
        <f>Sales!F279*F344</f>
        <v>0</v>
      </c>
      <c r="G303" s="226">
        <f>Sales!G279*G344</f>
        <v>0</v>
      </c>
      <c r="H303" s="226">
        <f>Sales!H279*H344</f>
        <v>0</v>
      </c>
      <c r="I303" s="226">
        <f>Sales!J279*I344</f>
        <v>0</v>
      </c>
      <c r="J303" s="226">
        <f>Sales!K279*J344</f>
        <v>0</v>
      </c>
      <c r="K303" s="226">
        <f>Sales!L279*K344</f>
        <v>0</v>
      </c>
      <c r="L303" s="226">
        <f>Sales!N279*L344</f>
        <v>0</v>
      </c>
      <c r="M303" s="226">
        <f>Sales!O279*M344</f>
        <v>0</v>
      </c>
      <c r="N303" s="226">
        <f>Sales!P279*N344</f>
        <v>0</v>
      </c>
      <c r="O303" s="226">
        <f>Sales!R279*O344</f>
        <v>0</v>
      </c>
      <c r="P303" s="226">
        <f>Sales!S279*P344</f>
        <v>0</v>
      </c>
      <c r="Q303" s="226">
        <f>Sales!T279*Q344</f>
        <v>0</v>
      </c>
      <c r="R303" s="226">
        <f>Sales!V279*R344</f>
        <v>0</v>
      </c>
      <c r="S303" s="226">
        <f>Sales!W279*S344</f>
        <v>0</v>
      </c>
      <c r="T303" s="279">
        <f>Sales!X279*T344</f>
        <v>0</v>
      </c>
    </row>
    <row r="304" spans="1:20" ht="12.75" hidden="1" customHeight="1" outlineLevel="2" x14ac:dyDescent="0.2">
      <c r="A304" s="198" t="str">
        <f>"         "&amp;Labels!C316</f>
        <v xml:space="preserve">         Total</v>
      </c>
      <c r="B304" s="226">
        <f t="shared" ref="B304:T304" si="141">SUM(B302:B303)</f>
        <v>0</v>
      </c>
      <c r="C304" s="226">
        <f t="shared" si="141"/>
        <v>0</v>
      </c>
      <c r="D304" s="226">
        <f t="shared" si="141"/>
        <v>0</v>
      </c>
      <c r="E304" s="226">
        <f t="shared" si="141"/>
        <v>0</v>
      </c>
      <c r="F304" s="226">
        <f t="shared" si="141"/>
        <v>0</v>
      </c>
      <c r="G304" s="226">
        <f t="shared" si="141"/>
        <v>0</v>
      </c>
      <c r="H304" s="226">
        <f t="shared" si="141"/>
        <v>0</v>
      </c>
      <c r="I304" s="226">
        <f t="shared" si="141"/>
        <v>0</v>
      </c>
      <c r="J304" s="226">
        <f t="shared" si="141"/>
        <v>0</v>
      </c>
      <c r="K304" s="226">
        <f t="shared" si="141"/>
        <v>0</v>
      </c>
      <c r="L304" s="226">
        <f t="shared" si="141"/>
        <v>0</v>
      </c>
      <c r="M304" s="226">
        <f t="shared" si="141"/>
        <v>0</v>
      </c>
      <c r="N304" s="226">
        <f t="shared" si="141"/>
        <v>0</v>
      </c>
      <c r="O304" s="226">
        <f t="shared" si="141"/>
        <v>0</v>
      </c>
      <c r="P304" s="226">
        <f t="shared" si="141"/>
        <v>0</v>
      </c>
      <c r="Q304" s="226">
        <f t="shared" si="141"/>
        <v>0</v>
      </c>
      <c r="R304" s="226">
        <f t="shared" si="141"/>
        <v>0</v>
      </c>
      <c r="S304" s="226">
        <f t="shared" si="141"/>
        <v>0</v>
      </c>
      <c r="T304" s="279">
        <f t="shared" si="141"/>
        <v>0</v>
      </c>
    </row>
    <row r="305" spans="1:20" ht="12.75" hidden="1" customHeight="1" outlineLevel="2" x14ac:dyDescent="0.2">
      <c r="A305" s="188" t="str">
        <f>"      "&amp;Labels!C384</f>
        <v xml:space="preserve">      Total</v>
      </c>
      <c r="B305" s="196">
        <f t="shared" ref="B305:T305" si="142">SUM(B300,B304)</f>
        <v>0</v>
      </c>
      <c r="C305" s="196">
        <f t="shared" si="142"/>
        <v>0</v>
      </c>
      <c r="D305" s="196">
        <f t="shared" si="142"/>
        <v>0</v>
      </c>
      <c r="E305" s="196">
        <f t="shared" si="142"/>
        <v>0</v>
      </c>
      <c r="F305" s="196">
        <f t="shared" si="142"/>
        <v>0</v>
      </c>
      <c r="G305" s="196">
        <f t="shared" si="142"/>
        <v>0</v>
      </c>
      <c r="H305" s="196">
        <f t="shared" si="142"/>
        <v>0</v>
      </c>
      <c r="I305" s="196">
        <f t="shared" si="142"/>
        <v>0</v>
      </c>
      <c r="J305" s="196">
        <f t="shared" si="142"/>
        <v>0</v>
      </c>
      <c r="K305" s="196">
        <f t="shared" si="142"/>
        <v>0</v>
      </c>
      <c r="L305" s="196">
        <f t="shared" si="142"/>
        <v>0</v>
      </c>
      <c r="M305" s="196">
        <f t="shared" si="142"/>
        <v>0</v>
      </c>
      <c r="N305" s="196">
        <f t="shared" si="142"/>
        <v>0</v>
      </c>
      <c r="O305" s="196">
        <f t="shared" si="142"/>
        <v>0</v>
      </c>
      <c r="P305" s="196">
        <f t="shared" si="142"/>
        <v>0</v>
      </c>
      <c r="Q305" s="196">
        <f t="shared" si="142"/>
        <v>0</v>
      </c>
      <c r="R305" s="196">
        <f t="shared" si="142"/>
        <v>0</v>
      </c>
      <c r="S305" s="196">
        <f t="shared" si="142"/>
        <v>0</v>
      </c>
      <c r="T305" s="267">
        <f t="shared" si="142"/>
        <v>0</v>
      </c>
    </row>
    <row r="306" spans="1:20" ht="12.75" hidden="1" customHeight="1" outlineLevel="2" x14ac:dyDescent="0.2">
      <c r="A306" s="198" t="str">
        <f>"         "&amp;Labels!B317</f>
        <v xml:space="preserve">         Channels 1</v>
      </c>
      <c r="B306" s="226">
        <f t="shared" ref="B306:T306" si="143">SUM(B298,B302)</f>
        <v>0</v>
      </c>
      <c r="C306" s="226">
        <f t="shared" si="143"/>
        <v>0</v>
      </c>
      <c r="D306" s="226">
        <f t="shared" si="143"/>
        <v>0</v>
      </c>
      <c r="E306" s="226">
        <f t="shared" si="143"/>
        <v>0</v>
      </c>
      <c r="F306" s="226">
        <f t="shared" si="143"/>
        <v>0</v>
      </c>
      <c r="G306" s="226">
        <f t="shared" si="143"/>
        <v>0</v>
      </c>
      <c r="H306" s="226">
        <f t="shared" si="143"/>
        <v>0</v>
      </c>
      <c r="I306" s="226">
        <f t="shared" si="143"/>
        <v>0</v>
      </c>
      <c r="J306" s="226">
        <f t="shared" si="143"/>
        <v>0</v>
      </c>
      <c r="K306" s="226">
        <f t="shared" si="143"/>
        <v>0</v>
      </c>
      <c r="L306" s="226">
        <f t="shared" si="143"/>
        <v>0</v>
      </c>
      <c r="M306" s="226">
        <f t="shared" si="143"/>
        <v>0</v>
      </c>
      <c r="N306" s="226">
        <f t="shared" si="143"/>
        <v>0</v>
      </c>
      <c r="O306" s="226">
        <f t="shared" si="143"/>
        <v>0</v>
      </c>
      <c r="P306" s="226">
        <f t="shared" si="143"/>
        <v>0</v>
      </c>
      <c r="Q306" s="226">
        <f t="shared" si="143"/>
        <v>0</v>
      </c>
      <c r="R306" s="226">
        <f t="shared" si="143"/>
        <v>0</v>
      </c>
      <c r="S306" s="226">
        <f t="shared" si="143"/>
        <v>0</v>
      </c>
      <c r="T306" s="279">
        <f t="shared" si="143"/>
        <v>0</v>
      </c>
    </row>
    <row r="307" spans="1:20" ht="12.75" hidden="1" customHeight="1" outlineLevel="2" x14ac:dyDescent="0.2">
      <c r="A307" s="198" t="str">
        <f>"         "&amp;Labels!B318</f>
        <v xml:space="preserve">         Channels 2</v>
      </c>
      <c r="B307" s="226">
        <f t="shared" ref="B307:T307" si="144">SUM(B299,B303)</f>
        <v>0</v>
      </c>
      <c r="C307" s="226">
        <f t="shared" si="144"/>
        <v>0</v>
      </c>
      <c r="D307" s="226">
        <f t="shared" si="144"/>
        <v>0</v>
      </c>
      <c r="E307" s="226">
        <f t="shared" si="144"/>
        <v>0</v>
      </c>
      <c r="F307" s="226">
        <f t="shared" si="144"/>
        <v>0</v>
      </c>
      <c r="G307" s="226">
        <f t="shared" si="144"/>
        <v>0</v>
      </c>
      <c r="H307" s="226">
        <f t="shared" si="144"/>
        <v>0</v>
      </c>
      <c r="I307" s="226">
        <f t="shared" si="144"/>
        <v>0</v>
      </c>
      <c r="J307" s="226">
        <f t="shared" si="144"/>
        <v>0</v>
      </c>
      <c r="K307" s="226">
        <f t="shared" si="144"/>
        <v>0</v>
      </c>
      <c r="L307" s="226">
        <f t="shared" si="144"/>
        <v>0</v>
      </c>
      <c r="M307" s="226">
        <f t="shared" si="144"/>
        <v>0</v>
      </c>
      <c r="N307" s="226">
        <f t="shared" si="144"/>
        <v>0</v>
      </c>
      <c r="O307" s="226">
        <f t="shared" si="144"/>
        <v>0</v>
      </c>
      <c r="P307" s="226">
        <f t="shared" si="144"/>
        <v>0</v>
      </c>
      <c r="Q307" s="226">
        <f t="shared" si="144"/>
        <v>0</v>
      </c>
      <c r="R307" s="226">
        <f t="shared" si="144"/>
        <v>0</v>
      </c>
      <c r="S307" s="226">
        <f t="shared" si="144"/>
        <v>0</v>
      </c>
      <c r="T307" s="279">
        <f t="shared" si="144"/>
        <v>0</v>
      </c>
    </row>
    <row r="308" spans="1:20" ht="12.75" hidden="1" customHeight="1" outlineLevel="2" x14ac:dyDescent="0.2">
      <c r="A308" s="198" t="str">
        <f>"         "&amp;Labels!C316</f>
        <v xml:space="preserve">         Total</v>
      </c>
      <c r="B308" s="226">
        <f t="shared" ref="B308:T308" si="145">SUM(B300,B304)</f>
        <v>0</v>
      </c>
      <c r="C308" s="226">
        <f t="shared" si="145"/>
        <v>0</v>
      </c>
      <c r="D308" s="226">
        <f t="shared" si="145"/>
        <v>0</v>
      </c>
      <c r="E308" s="226">
        <f t="shared" si="145"/>
        <v>0</v>
      </c>
      <c r="F308" s="226">
        <f t="shared" si="145"/>
        <v>0</v>
      </c>
      <c r="G308" s="226">
        <f t="shared" si="145"/>
        <v>0</v>
      </c>
      <c r="H308" s="226">
        <f t="shared" si="145"/>
        <v>0</v>
      </c>
      <c r="I308" s="226">
        <f t="shared" si="145"/>
        <v>0</v>
      </c>
      <c r="J308" s="226">
        <f t="shared" si="145"/>
        <v>0</v>
      </c>
      <c r="K308" s="226">
        <f t="shared" si="145"/>
        <v>0</v>
      </c>
      <c r="L308" s="226">
        <f t="shared" si="145"/>
        <v>0</v>
      </c>
      <c r="M308" s="226">
        <f t="shared" si="145"/>
        <v>0</v>
      </c>
      <c r="N308" s="226">
        <f t="shared" si="145"/>
        <v>0</v>
      </c>
      <c r="O308" s="226">
        <f t="shared" si="145"/>
        <v>0</v>
      </c>
      <c r="P308" s="226">
        <f t="shared" si="145"/>
        <v>0</v>
      </c>
      <c r="Q308" s="226">
        <f t="shared" si="145"/>
        <v>0</v>
      </c>
      <c r="R308" s="226">
        <f t="shared" si="145"/>
        <v>0</v>
      </c>
      <c r="S308" s="226">
        <f t="shared" si="145"/>
        <v>0</v>
      </c>
      <c r="T308" s="279">
        <f t="shared" si="145"/>
        <v>0</v>
      </c>
    </row>
    <row r="309" spans="1:20" ht="12.75" hidden="1" customHeight="1" outlineLevel="2" x14ac:dyDescent="0.2">
      <c r="A309" s="188" t="str">
        <f>"   "&amp;Labels!B382</f>
        <v xml:space="preserve">   Practice 2</v>
      </c>
      <c r="B309" s="196"/>
      <c r="C309" s="196"/>
      <c r="D309" s="196"/>
      <c r="E309" s="196"/>
      <c r="F309" s="196"/>
      <c r="G309" s="196"/>
      <c r="H309" s="196"/>
      <c r="I309" s="196"/>
      <c r="J309" s="196"/>
      <c r="K309" s="196"/>
      <c r="L309" s="196"/>
      <c r="M309" s="196"/>
      <c r="N309" s="196"/>
      <c r="O309" s="196"/>
      <c r="P309" s="196"/>
      <c r="Q309" s="196"/>
      <c r="R309" s="196"/>
      <c r="S309" s="196"/>
      <c r="T309" s="267"/>
    </row>
    <row r="310" spans="1:20" ht="12.75" hidden="1" customHeight="1" outlineLevel="2" x14ac:dyDescent="0.2">
      <c r="A310" s="198" t="str">
        <f>"      "&amp;Labels!B385</f>
        <v xml:space="preserve">      Prof Level 1</v>
      </c>
      <c r="B310" s="226"/>
      <c r="C310" s="226"/>
      <c r="D310" s="226"/>
      <c r="E310" s="226"/>
      <c r="F310" s="226"/>
      <c r="G310" s="226"/>
      <c r="H310" s="226"/>
      <c r="I310" s="226"/>
      <c r="J310" s="226"/>
      <c r="K310" s="226"/>
      <c r="L310" s="226"/>
      <c r="M310" s="226"/>
      <c r="N310" s="226"/>
      <c r="O310" s="226"/>
      <c r="P310" s="226"/>
      <c r="Q310" s="226"/>
      <c r="R310" s="226"/>
      <c r="S310" s="226"/>
      <c r="T310" s="279"/>
    </row>
    <row r="311" spans="1:20" ht="12.75" hidden="1" customHeight="1" outlineLevel="2" x14ac:dyDescent="0.2">
      <c r="A311" s="198" t="str">
        <f>"         "&amp;Labels!B317</f>
        <v xml:space="preserve">         Channels 1</v>
      </c>
      <c r="B311" s="226">
        <f>Sales!B282*Inputs!M59</f>
        <v>0</v>
      </c>
      <c r="C311" s="226">
        <f>Sales!B282*C352</f>
        <v>0</v>
      </c>
      <c r="D311" s="226">
        <f>Sales!C282*D352</f>
        <v>0</v>
      </c>
      <c r="E311" s="226">
        <f>Sales!D282*E352</f>
        <v>0</v>
      </c>
      <c r="F311" s="226">
        <f>Sales!F282*F352</f>
        <v>0</v>
      </c>
      <c r="G311" s="226">
        <f>Sales!G282*G352</f>
        <v>0</v>
      </c>
      <c r="H311" s="226">
        <f>Sales!H282*H352</f>
        <v>0</v>
      </c>
      <c r="I311" s="226">
        <f>Sales!J282*I352</f>
        <v>0</v>
      </c>
      <c r="J311" s="226">
        <f>Sales!K282*J352</f>
        <v>0</v>
      </c>
      <c r="K311" s="226">
        <f>Sales!L282*K352</f>
        <v>0</v>
      </c>
      <c r="L311" s="226">
        <f>Sales!N282*L352</f>
        <v>0</v>
      </c>
      <c r="M311" s="226">
        <f>Sales!O282*M352</f>
        <v>0</v>
      </c>
      <c r="N311" s="226">
        <f>Sales!P282*N352</f>
        <v>0</v>
      </c>
      <c r="O311" s="226">
        <f>Sales!R282*O352</f>
        <v>0</v>
      </c>
      <c r="P311" s="226">
        <f>Sales!S282*P352</f>
        <v>0</v>
      </c>
      <c r="Q311" s="226">
        <f>Sales!T282*Q352</f>
        <v>0</v>
      </c>
      <c r="R311" s="226">
        <f>Sales!V282*R352</f>
        <v>0</v>
      </c>
      <c r="S311" s="226">
        <f>Sales!W282*S352</f>
        <v>0</v>
      </c>
      <c r="T311" s="279">
        <f>Sales!X282*T352</f>
        <v>0</v>
      </c>
    </row>
    <row r="312" spans="1:20" ht="12.75" hidden="1" customHeight="1" outlineLevel="2" x14ac:dyDescent="0.2">
      <c r="A312" s="198" t="str">
        <f>"         "&amp;Labels!B318</f>
        <v xml:space="preserve">         Channels 2</v>
      </c>
      <c r="B312" s="226">
        <f>Sales!B282*Inputs!M60</f>
        <v>0</v>
      </c>
      <c r="C312" s="226">
        <f>Sales!B282*C353</f>
        <v>0</v>
      </c>
      <c r="D312" s="226">
        <f>Sales!C282*D353</f>
        <v>0</v>
      </c>
      <c r="E312" s="226">
        <f>Sales!D282*E353</f>
        <v>0</v>
      </c>
      <c r="F312" s="226">
        <f>Sales!F282*F353</f>
        <v>0</v>
      </c>
      <c r="G312" s="226">
        <f>Sales!G282*G353</f>
        <v>0</v>
      </c>
      <c r="H312" s="226">
        <f>Sales!H282*H353</f>
        <v>0</v>
      </c>
      <c r="I312" s="226">
        <f>Sales!J282*I353</f>
        <v>0</v>
      </c>
      <c r="J312" s="226">
        <f>Sales!K282*J353</f>
        <v>0</v>
      </c>
      <c r="K312" s="226">
        <f>Sales!L282*K353</f>
        <v>0</v>
      </c>
      <c r="L312" s="226">
        <f>Sales!N282*L353</f>
        <v>0</v>
      </c>
      <c r="M312" s="226">
        <f>Sales!O282*M353</f>
        <v>0</v>
      </c>
      <c r="N312" s="226">
        <f>Sales!P282*N353</f>
        <v>0</v>
      </c>
      <c r="O312" s="226">
        <f>Sales!R282*O353</f>
        <v>0</v>
      </c>
      <c r="P312" s="226">
        <f>Sales!S282*P353</f>
        <v>0</v>
      </c>
      <c r="Q312" s="226">
        <f>Sales!T282*Q353</f>
        <v>0</v>
      </c>
      <c r="R312" s="226">
        <f>Sales!V282*R353</f>
        <v>0</v>
      </c>
      <c r="S312" s="226">
        <f>Sales!W282*S353</f>
        <v>0</v>
      </c>
      <c r="T312" s="279">
        <f>Sales!X282*T353</f>
        <v>0</v>
      </c>
    </row>
    <row r="313" spans="1:20" ht="12.75" hidden="1" customHeight="1" outlineLevel="2" x14ac:dyDescent="0.2">
      <c r="A313" s="198" t="str">
        <f>"         "&amp;Labels!C316</f>
        <v xml:space="preserve">         Total</v>
      </c>
      <c r="B313" s="226">
        <f t="shared" ref="B313:T313" si="146">SUM(B311:B312)</f>
        <v>0</v>
      </c>
      <c r="C313" s="226">
        <f t="shared" si="146"/>
        <v>0</v>
      </c>
      <c r="D313" s="226">
        <f t="shared" si="146"/>
        <v>0</v>
      </c>
      <c r="E313" s="226">
        <f t="shared" si="146"/>
        <v>0</v>
      </c>
      <c r="F313" s="226">
        <f t="shared" si="146"/>
        <v>0</v>
      </c>
      <c r="G313" s="226">
        <f t="shared" si="146"/>
        <v>0</v>
      </c>
      <c r="H313" s="226">
        <f t="shared" si="146"/>
        <v>0</v>
      </c>
      <c r="I313" s="226">
        <f t="shared" si="146"/>
        <v>0</v>
      </c>
      <c r="J313" s="226">
        <f t="shared" si="146"/>
        <v>0</v>
      </c>
      <c r="K313" s="226">
        <f t="shared" si="146"/>
        <v>0</v>
      </c>
      <c r="L313" s="226">
        <f t="shared" si="146"/>
        <v>0</v>
      </c>
      <c r="M313" s="226">
        <f t="shared" si="146"/>
        <v>0</v>
      </c>
      <c r="N313" s="226">
        <f t="shared" si="146"/>
        <v>0</v>
      </c>
      <c r="O313" s="226">
        <f t="shared" si="146"/>
        <v>0</v>
      </c>
      <c r="P313" s="226">
        <f t="shared" si="146"/>
        <v>0</v>
      </c>
      <c r="Q313" s="226">
        <f t="shared" si="146"/>
        <v>0</v>
      </c>
      <c r="R313" s="226">
        <f t="shared" si="146"/>
        <v>0</v>
      </c>
      <c r="S313" s="226">
        <f t="shared" si="146"/>
        <v>0</v>
      </c>
      <c r="T313" s="279">
        <f t="shared" si="146"/>
        <v>0</v>
      </c>
    </row>
    <row r="314" spans="1:20" ht="12.75" hidden="1" customHeight="1" outlineLevel="2" x14ac:dyDescent="0.2">
      <c r="A314" s="198" t="str">
        <f>"      "&amp;Labels!B386</f>
        <v xml:space="preserve">      Prof Level 2</v>
      </c>
      <c r="B314" s="226"/>
      <c r="C314" s="226"/>
      <c r="D314" s="226"/>
      <c r="E314" s="226"/>
      <c r="F314" s="226"/>
      <c r="G314" s="226"/>
      <c r="H314" s="226"/>
      <c r="I314" s="226"/>
      <c r="J314" s="226"/>
      <c r="K314" s="226"/>
      <c r="L314" s="226"/>
      <c r="M314" s="226"/>
      <c r="N314" s="226"/>
      <c r="O314" s="226"/>
      <c r="P314" s="226"/>
      <c r="Q314" s="226"/>
      <c r="R314" s="226"/>
      <c r="S314" s="226"/>
      <c r="T314" s="279"/>
    </row>
    <row r="315" spans="1:20" ht="12.75" hidden="1" customHeight="1" outlineLevel="2" x14ac:dyDescent="0.2">
      <c r="A315" s="198" t="str">
        <f>"         "&amp;Labels!B317</f>
        <v xml:space="preserve">         Channels 1</v>
      </c>
      <c r="B315" s="226">
        <f>Sales!B283*Inputs!M61</f>
        <v>0</v>
      </c>
      <c r="C315" s="226">
        <f>Sales!B283*C356</f>
        <v>0</v>
      </c>
      <c r="D315" s="226">
        <f>Sales!C283*D356</f>
        <v>0</v>
      </c>
      <c r="E315" s="226">
        <f>Sales!D283*E356</f>
        <v>0</v>
      </c>
      <c r="F315" s="226">
        <f>Sales!F283*F356</f>
        <v>0</v>
      </c>
      <c r="G315" s="226">
        <f>Sales!G283*G356</f>
        <v>0</v>
      </c>
      <c r="H315" s="226">
        <f>Sales!H283*H356</f>
        <v>0</v>
      </c>
      <c r="I315" s="226">
        <f>Sales!J283*I356</f>
        <v>0</v>
      </c>
      <c r="J315" s="226">
        <f>Sales!K283*J356</f>
        <v>0</v>
      </c>
      <c r="K315" s="226">
        <f>Sales!L283*K356</f>
        <v>0</v>
      </c>
      <c r="L315" s="226">
        <f>Sales!N283*L356</f>
        <v>0</v>
      </c>
      <c r="M315" s="226">
        <f>Sales!O283*M356</f>
        <v>0</v>
      </c>
      <c r="N315" s="226">
        <f>Sales!P283*N356</f>
        <v>0</v>
      </c>
      <c r="O315" s="226">
        <f>Sales!R283*O356</f>
        <v>0</v>
      </c>
      <c r="P315" s="226">
        <f>Sales!S283*P356</f>
        <v>0</v>
      </c>
      <c r="Q315" s="226">
        <f>Sales!T283*Q356</f>
        <v>0</v>
      </c>
      <c r="R315" s="226">
        <f>Sales!V283*R356</f>
        <v>0</v>
      </c>
      <c r="S315" s="226">
        <f>Sales!W283*S356</f>
        <v>0</v>
      </c>
      <c r="T315" s="279">
        <f>Sales!X283*T356</f>
        <v>0</v>
      </c>
    </row>
    <row r="316" spans="1:20" ht="12.75" hidden="1" customHeight="1" outlineLevel="2" x14ac:dyDescent="0.2">
      <c r="A316" s="198" t="str">
        <f>"         "&amp;Labels!B318</f>
        <v xml:space="preserve">         Channels 2</v>
      </c>
      <c r="B316" s="226">
        <f>Sales!B283*Inputs!M62</f>
        <v>0</v>
      </c>
      <c r="C316" s="226">
        <f>Sales!B283*C357</f>
        <v>0</v>
      </c>
      <c r="D316" s="226">
        <f>Sales!C283*D357</f>
        <v>0</v>
      </c>
      <c r="E316" s="226">
        <f>Sales!D283*E357</f>
        <v>0</v>
      </c>
      <c r="F316" s="226">
        <f>Sales!F283*F357</f>
        <v>0</v>
      </c>
      <c r="G316" s="226">
        <f>Sales!G283*G357</f>
        <v>0</v>
      </c>
      <c r="H316" s="226">
        <f>Sales!H283*H357</f>
        <v>0</v>
      </c>
      <c r="I316" s="226">
        <f>Sales!J283*I357</f>
        <v>0</v>
      </c>
      <c r="J316" s="226">
        <f>Sales!K283*J357</f>
        <v>0</v>
      </c>
      <c r="K316" s="226">
        <f>Sales!L283*K357</f>
        <v>0</v>
      </c>
      <c r="L316" s="226">
        <f>Sales!N283*L357</f>
        <v>0</v>
      </c>
      <c r="M316" s="226">
        <f>Sales!O283*M357</f>
        <v>0</v>
      </c>
      <c r="N316" s="226">
        <f>Sales!P283*N357</f>
        <v>0</v>
      </c>
      <c r="O316" s="226">
        <f>Sales!R283*O357</f>
        <v>0</v>
      </c>
      <c r="P316" s="226">
        <f>Sales!S283*P357</f>
        <v>0</v>
      </c>
      <c r="Q316" s="226">
        <f>Sales!T283*Q357</f>
        <v>0</v>
      </c>
      <c r="R316" s="226">
        <f>Sales!V283*R357</f>
        <v>0</v>
      </c>
      <c r="S316" s="226">
        <f>Sales!W283*S357</f>
        <v>0</v>
      </c>
      <c r="T316" s="279">
        <f>Sales!X283*T357</f>
        <v>0</v>
      </c>
    </row>
    <row r="317" spans="1:20" ht="12.75" hidden="1" customHeight="1" outlineLevel="2" x14ac:dyDescent="0.2">
      <c r="A317" s="198" t="str">
        <f>"         "&amp;Labels!C316</f>
        <v xml:space="preserve">         Total</v>
      </c>
      <c r="B317" s="226">
        <f t="shared" ref="B317:T317" si="147">SUM(B315:B316)</f>
        <v>0</v>
      </c>
      <c r="C317" s="226">
        <f t="shared" si="147"/>
        <v>0</v>
      </c>
      <c r="D317" s="226">
        <f t="shared" si="147"/>
        <v>0</v>
      </c>
      <c r="E317" s="226">
        <f t="shared" si="147"/>
        <v>0</v>
      </c>
      <c r="F317" s="226">
        <f t="shared" si="147"/>
        <v>0</v>
      </c>
      <c r="G317" s="226">
        <f t="shared" si="147"/>
        <v>0</v>
      </c>
      <c r="H317" s="226">
        <f t="shared" si="147"/>
        <v>0</v>
      </c>
      <c r="I317" s="226">
        <f t="shared" si="147"/>
        <v>0</v>
      </c>
      <c r="J317" s="226">
        <f t="shared" si="147"/>
        <v>0</v>
      </c>
      <c r="K317" s="226">
        <f t="shared" si="147"/>
        <v>0</v>
      </c>
      <c r="L317" s="226">
        <f t="shared" si="147"/>
        <v>0</v>
      </c>
      <c r="M317" s="226">
        <f t="shared" si="147"/>
        <v>0</v>
      </c>
      <c r="N317" s="226">
        <f t="shared" si="147"/>
        <v>0</v>
      </c>
      <c r="O317" s="226">
        <f t="shared" si="147"/>
        <v>0</v>
      </c>
      <c r="P317" s="226">
        <f t="shared" si="147"/>
        <v>0</v>
      </c>
      <c r="Q317" s="226">
        <f t="shared" si="147"/>
        <v>0</v>
      </c>
      <c r="R317" s="226">
        <f t="shared" si="147"/>
        <v>0</v>
      </c>
      <c r="S317" s="226">
        <f t="shared" si="147"/>
        <v>0</v>
      </c>
      <c r="T317" s="279">
        <f t="shared" si="147"/>
        <v>0</v>
      </c>
    </row>
    <row r="318" spans="1:20" ht="12.75" hidden="1" customHeight="1" outlineLevel="2" x14ac:dyDescent="0.2">
      <c r="A318" s="188" t="str">
        <f>"      "&amp;Labels!C384</f>
        <v xml:space="preserve">      Total</v>
      </c>
      <c r="B318" s="196">
        <f t="shared" ref="B318:T318" si="148">SUM(B313,B317)</f>
        <v>0</v>
      </c>
      <c r="C318" s="196">
        <f t="shared" si="148"/>
        <v>0</v>
      </c>
      <c r="D318" s="196">
        <f t="shared" si="148"/>
        <v>0</v>
      </c>
      <c r="E318" s="196">
        <f t="shared" si="148"/>
        <v>0</v>
      </c>
      <c r="F318" s="196">
        <f t="shared" si="148"/>
        <v>0</v>
      </c>
      <c r="G318" s="196">
        <f t="shared" si="148"/>
        <v>0</v>
      </c>
      <c r="H318" s="196">
        <f t="shared" si="148"/>
        <v>0</v>
      </c>
      <c r="I318" s="196">
        <f t="shared" si="148"/>
        <v>0</v>
      </c>
      <c r="J318" s="196">
        <f t="shared" si="148"/>
        <v>0</v>
      </c>
      <c r="K318" s="196">
        <f t="shared" si="148"/>
        <v>0</v>
      </c>
      <c r="L318" s="196">
        <f t="shared" si="148"/>
        <v>0</v>
      </c>
      <c r="M318" s="196">
        <f t="shared" si="148"/>
        <v>0</v>
      </c>
      <c r="N318" s="196">
        <f t="shared" si="148"/>
        <v>0</v>
      </c>
      <c r="O318" s="196">
        <f t="shared" si="148"/>
        <v>0</v>
      </c>
      <c r="P318" s="196">
        <f t="shared" si="148"/>
        <v>0</v>
      </c>
      <c r="Q318" s="196">
        <f t="shared" si="148"/>
        <v>0</v>
      </c>
      <c r="R318" s="196">
        <f t="shared" si="148"/>
        <v>0</v>
      </c>
      <c r="S318" s="196">
        <f t="shared" si="148"/>
        <v>0</v>
      </c>
      <c r="T318" s="267">
        <f t="shared" si="148"/>
        <v>0</v>
      </c>
    </row>
    <row r="319" spans="1:20" ht="12.75" hidden="1" customHeight="1" outlineLevel="2" x14ac:dyDescent="0.2">
      <c r="A319" s="198" t="str">
        <f>"         "&amp;Labels!B317</f>
        <v xml:space="preserve">         Channels 1</v>
      </c>
      <c r="B319" s="226">
        <f t="shared" ref="B319:T319" si="149">SUM(B311,B315)</f>
        <v>0</v>
      </c>
      <c r="C319" s="226">
        <f t="shared" si="149"/>
        <v>0</v>
      </c>
      <c r="D319" s="226">
        <f t="shared" si="149"/>
        <v>0</v>
      </c>
      <c r="E319" s="226">
        <f t="shared" si="149"/>
        <v>0</v>
      </c>
      <c r="F319" s="226">
        <f t="shared" si="149"/>
        <v>0</v>
      </c>
      <c r="G319" s="226">
        <f t="shared" si="149"/>
        <v>0</v>
      </c>
      <c r="H319" s="226">
        <f t="shared" si="149"/>
        <v>0</v>
      </c>
      <c r="I319" s="226">
        <f t="shared" si="149"/>
        <v>0</v>
      </c>
      <c r="J319" s="226">
        <f t="shared" si="149"/>
        <v>0</v>
      </c>
      <c r="K319" s="226">
        <f t="shared" si="149"/>
        <v>0</v>
      </c>
      <c r="L319" s="226">
        <f t="shared" si="149"/>
        <v>0</v>
      </c>
      <c r="M319" s="226">
        <f t="shared" si="149"/>
        <v>0</v>
      </c>
      <c r="N319" s="226">
        <f t="shared" si="149"/>
        <v>0</v>
      </c>
      <c r="O319" s="226">
        <f t="shared" si="149"/>
        <v>0</v>
      </c>
      <c r="P319" s="226">
        <f t="shared" si="149"/>
        <v>0</v>
      </c>
      <c r="Q319" s="226">
        <f t="shared" si="149"/>
        <v>0</v>
      </c>
      <c r="R319" s="226">
        <f t="shared" si="149"/>
        <v>0</v>
      </c>
      <c r="S319" s="226">
        <f t="shared" si="149"/>
        <v>0</v>
      </c>
      <c r="T319" s="279">
        <f t="shared" si="149"/>
        <v>0</v>
      </c>
    </row>
    <row r="320" spans="1:20" ht="12.75" hidden="1" customHeight="1" outlineLevel="2" x14ac:dyDescent="0.2">
      <c r="A320" s="198" t="str">
        <f>"         "&amp;Labels!B318</f>
        <v xml:space="preserve">         Channels 2</v>
      </c>
      <c r="B320" s="226">
        <f t="shared" ref="B320:T320" si="150">SUM(B312,B316)</f>
        <v>0</v>
      </c>
      <c r="C320" s="226">
        <f t="shared" si="150"/>
        <v>0</v>
      </c>
      <c r="D320" s="226">
        <f t="shared" si="150"/>
        <v>0</v>
      </c>
      <c r="E320" s="226">
        <f t="shared" si="150"/>
        <v>0</v>
      </c>
      <c r="F320" s="226">
        <f t="shared" si="150"/>
        <v>0</v>
      </c>
      <c r="G320" s="226">
        <f t="shared" si="150"/>
        <v>0</v>
      </c>
      <c r="H320" s="226">
        <f t="shared" si="150"/>
        <v>0</v>
      </c>
      <c r="I320" s="226">
        <f t="shared" si="150"/>
        <v>0</v>
      </c>
      <c r="J320" s="226">
        <f t="shared" si="150"/>
        <v>0</v>
      </c>
      <c r="K320" s="226">
        <f t="shared" si="150"/>
        <v>0</v>
      </c>
      <c r="L320" s="226">
        <f t="shared" si="150"/>
        <v>0</v>
      </c>
      <c r="M320" s="226">
        <f t="shared" si="150"/>
        <v>0</v>
      </c>
      <c r="N320" s="226">
        <f t="shared" si="150"/>
        <v>0</v>
      </c>
      <c r="O320" s="226">
        <f t="shared" si="150"/>
        <v>0</v>
      </c>
      <c r="P320" s="226">
        <f t="shared" si="150"/>
        <v>0</v>
      </c>
      <c r="Q320" s="226">
        <f t="shared" si="150"/>
        <v>0</v>
      </c>
      <c r="R320" s="226">
        <f t="shared" si="150"/>
        <v>0</v>
      </c>
      <c r="S320" s="226">
        <f t="shared" si="150"/>
        <v>0</v>
      </c>
      <c r="T320" s="279">
        <f t="shared" si="150"/>
        <v>0</v>
      </c>
    </row>
    <row r="321" spans="1:20" ht="12.75" hidden="1" customHeight="1" outlineLevel="2" x14ac:dyDescent="0.2">
      <c r="A321" s="198" t="str">
        <f>"         "&amp;Labels!C316</f>
        <v xml:space="preserve">         Total</v>
      </c>
      <c r="B321" s="226">
        <f t="shared" ref="B321:T321" si="151">SUM(B313,B317)</f>
        <v>0</v>
      </c>
      <c r="C321" s="226">
        <f t="shared" si="151"/>
        <v>0</v>
      </c>
      <c r="D321" s="226">
        <f t="shared" si="151"/>
        <v>0</v>
      </c>
      <c r="E321" s="226">
        <f t="shared" si="151"/>
        <v>0</v>
      </c>
      <c r="F321" s="226">
        <f t="shared" si="151"/>
        <v>0</v>
      </c>
      <c r="G321" s="226">
        <f t="shared" si="151"/>
        <v>0</v>
      </c>
      <c r="H321" s="226">
        <f t="shared" si="151"/>
        <v>0</v>
      </c>
      <c r="I321" s="226">
        <f t="shared" si="151"/>
        <v>0</v>
      </c>
      <c r="J321" s="226">
        <f t="shared" si="151"/>
        <v>0</v>
      </c>
      <c r="K321" s="226">
        <f t="shared" si="151"/>
        <v>0</v>
      </c>
      <c r="L321" s="226">
        <f t="shared" si="151"/>
        <v>0</v>
      </c>
      <c r="M321" s="226">
        <f t="shared" si="151"/>
        <v>0</v>
      </c>
      <c r="N321" s="226">
        <f t="shared" si="151"/>
        <v>0</v>
      </c>
      <c r="O321" s="226">
        <f t="shared" si="151"/>
        <v>0</v>
      </c>
      <c r="P321" s="226">
        <f t="shared" si="151"/>
        <v>0</v>
      </c>
      <c r="Q321" s="226">
        <f t="shared" si="151"/>
        <v>0</v>
      </c>
      <c r="R321" s="226">
        <f t="shared" si="151"/>
        <v>0</v>
      </c>
      <c r="S321" s="226">
        <f t="shared" si="151"/>
        <v>0</v>
      </c>
      <c r="T321" s="279">
        <f t="shared" si="151"/>
        <v>0</v>
      </c>
    </row>
    <row r="322" spans="1:20" ht="12.75" hidden="1" customHeight="1" outlineLevel="2" x14ac:dyDescent="0.2">
      <c r="A322" s="191" t="str">
        <f>"   "&amp;Labels!C380</f>
        <v xml:space="preserve">   Total</v>
      </c>
      <c r="B322" s="192">
        <f t="shared" ref="B322:T322" si="152">SUM(B305,B318)</f>
        <v>0</v>
      </c>
      <c r="C322" s="192">
        <f t="shared" si="152"/>
        <v>0</v>
      </c>
      <c r="D322" s="192">
        <f t="shared" si="152"/>
        <v>0</v>
      </c>
      <c r="E322" s="192">
        <f t="shared" si="152"/>
        <v>0</v>
      </c>
      <c r="F322" s="192">
        <f t="shared" si="152"/>
        <v>0</v>
      </c>
      <c r="G322" s="192">
        <f t="shared" si="152"/>
        <v>0</v>
      </c>
      <c r="H322" s="192">
        <f t="shared" si="152"/>
        <v>0</v>
      </c>
      <c r="I322" s="192">
        <f t="shared" si="152"/>
        <v>0</v>
      </c>
      <c r="J322" s="192">
        <f t="shared" si="152"/>
        <v>0</v>
      </c>
      <c r="K322" s="192">
        <f t="shared" si="152"/>
        <v>0</v>
      </c>
      <c r="L322" s="192">
        <f t="shared" si="152"/>
        <v>0</v>
      </c>
      <c r="M322" s="192">
        <f t="shared" si="152"/>
        <v>0</v>
      </c>
      <c r="N322" s="192">
        <f t="shared" si="152"/>
        <v>0</v>
      </c>
      <c r="O322" s="192">
        <f t="shared" si="152"/>
        <v>0</v>
      </c>
      <c r="P322" s="192">
        <f t="shared" si="152"/>
        <v>0</v>
      </c>
      <c r="Q322" s="192">
        <f t="shared" si="152"/>
        <v>0</v>
      </c>
      <c r="R322" s="192">
        <f t="shared" si="152"/>
        <v>0</v>
      </c>
      <c r="S322" s="192">
        <f t="shared" si="152"/>
        <v>0</v>
      </c>
      <c r="T322" s="280">
        <f t="shared" si="152"/>
        <v>0</v>
      </c>
    </row>
    <row r="323" spans="1:20" ht="12.75" hidden="1" customHeight="1" outlineLevel="2" x14ac:dyDescent="0.2">
      <c r="A323" s="198" t="str">
        <f>"      "&amp;Labels!B385</f>
        <v xml:space="preserve">      Prof Level 1</v>
      </c>
      <c r="B323" s="226"/>
      <c r="C323" s="226"/>
      <c r="D323" s="226"/>
      <c r="E323" s="226"/>
      <c r="F323" s="226"/>
      <c r="G323" s="226"/>
      <c r="H323" s="226"/>
      <c r="I323" s="226"/>
      <c r="J323" s="226"/>
      <c r="K323" s="226"/>
      <c r="L323" s="226"/>
      <c r="M323" s="226"/>
      <c r="N323" s="226"/>
      <c r="O323" s="226"/>
      <c r="P323" s="226"/>
      <c r="Q323" s="226"/>
      <c r="R323" s="226"/>
      <c r="S323" s="226"/>
      <c r="T323" s="279"/>
    </row>
    <row r="324" spans="1:20" ht="12.75" hidden="1" customHeight="1" outlineLevel="2" x14ac:dyDescent="0.2">
      <c r="A324" s="198" t="str">
        <f>"         "&amp;Labels!B317</f>
        <v xml:space="preserve">         Channels 1</v>
      </c>
      <c r="B324" s="226">
        <f t="shared" ref="B324:T324" si="153">SUM(B298,B311)</f>
        <v>0</v>
      </c>
      <c r="C324" s="226">
        <f t="shared" si="153"/>
        <v>0</v>
      </c>
      <c r="D324" s="226">
        <f t="shared" si="153"/>
        <v>0</v>
      </c>
      <c r="E324" s="226">
        <f t="shared" si="153"/>
        <v>0</v>
      </c>
      <c r="F324" s="226">
        <f t="shared" si="153"/>
        <v>0</v>
      </c>
      <c r="G324" s="226">
        <f t="shared" si="153"/>
        <v>0</v>
      </c>
      <c r="H324" s="226">
        <f t="shared" si="153"/>
        <v>0</v>
      </c>
      <c r="I324" s="226">
        <f t="shared" si="153"/>
        <v>0</v>
      </c>
      <c r="J324" s="226">
        <f t="shared" si="153"/>
        <v>0</v>
      </c>
      <c r="K324" s="226">
        <f t="shared" si="153"/>
        <v>0</v>
      </c>
      <c r="L324" s="226">
        <f t="shared" si="153"/>
        <v>0</v>
      </c>
      <c r="M324" s="226">
        <f t="shared" si="153"/>
        <v>0</v>
      </c>
      <c r="N324" s="226">
        <f t="shared" si="153"/>
        <v>0</v>
      </c>
      <c r="O324" s="226">
        <f t="shared" si="153"/>
        <v>0</v>
      </c>
      <c r="P324" s="226">
        <f t="shared" si="153"/>
        <v>0</v>
      </c>
      <c r="Q324" s="226">
        <f t="shared" si="153"/>
        <v>0</v>
      </c>
      <c r="R324" s="226">
        <f t="shared" si="153"/>
        <v>0</v>
      </c>
      <c r="S324" s="226">
        <f t="shared" si="153"/>
        <v>0</v>
      </c>
      <c r="T324" s="279">
        <f t="shared" si="153"/>
        <v>0</v>
      </c>
    </row>
    <row r="325" spans="1:20" ht="12.75" hidden="1" customHeight="1" outlineLevel="2" x14ac:dyDescent="0.2">
      <c r="A325" s="198" t="str">
        <f>"         "&amp;Labels!B318</f>
        <v xml:space="preserve">         Channels 2</v>
      </c>
      <c r="B325" s="226">
        <f t="shared" ref="B325:T325" si="154">SUM(B299,B312)</f>
        <v>0</v>
      </c>
      <c r="C325" s="226">
        <f t="shared" si="154"/>
        <v>0</v>
      </c>
      <c r="D325" s="226">
        <f t="shared" si="154"/>
        <v>0</v>
      </c>
      <c r="E325" s="226">
        <f t="shared" si="154"/>
        <v>0</v>
      </c>
      <c r="F325" s="226">
        <f t="shared" si="154"/>
        <v>0</v>
      </c>
      <c r="G325" s="226">
        <f t="shared" si="154"/>
        <v>0</v>
      </c>
      <c r="H325" s="226">
        <f t="shared" si="154"/>
        <v>0</v>
      </c>
      <c r="I325" s="226">
        <f t="shared" si="154"/>
        <v>0</v>
      </c>
      <c r="J325" s="226">
        <f t="shared" si="154"/>
        <v>0</v>
      </c>
      <c r="K325" s="226">
        <f t="shared" si="154"/>
        <v>0</v>
      </c>
      <c r="L325" s="226">
        <f t="shared" si="154"/>
        <v>0</v>
      </c>
      <c r="M325" s="226">
        <f t="shared" si="154"/>
        <v>0</v>
      </c>
      <c r="N325" s="226">
        <f t="shared" si="154"/>
        <v>0</v>
      </c>
      <c r="O325" s="226">
        <f t="shared" si="154"/>
        <v>0</v>
      </c>
      <c r="P325" s="226">
        <f t="shared" si="154"/>
        <v>0</v>
      </c>
      <c r="Q325" s="226">
        <f t="shared" si="154"/>
        <v>0</v>
      </c>
      <c r="R325" s="226">
        <f t="shared" si="154"/>
        <v>0</v>
      </c>
      <c r="S325" s="226">
        <f t="shared" si="154"/>
        <v>0</v>
      </c>
      <c r="T325" s="279">
        <f t="shared" si="154"/>
        <v>0</v>
      </c>
    </row>
    <row r="326" spans="1:20" ht="12.75" hidden="1" customHeight="1" outlineLevel="2" x14ac:dyDescent="0.2">
      <c r="A326" s="198" t="str">
        <f>"         "&amp;Labels!C316</f>
        <v xml:space="preserve">         Total</v>
      </c>
      <c r="B326" s="226">
        <f t="shared" ref="B326:T326" si="155">SUM(B300,B313)</f>
        <v>0</v>
      </c>
      <c r="C326" s="226">
        <f t="shared" si="155"/>
        <v>0</v>
      </c>
      <c r="D326" s="226">
        <f t="shared" si="155"/>
        <v>0</v>
      </c>
      <c r="E326" s="226">
        <f t="shared" si="155"/>
        <v>0</v>
      </c>
      <c r="F326" s="226">
        <f t="shared" si="155"/>
        <v>0</v>
      </c>
      <c r="G326" s="226">
        <f t="shared" si="155"/>
        <v>0</v>
      </c>
      <c r="H326" s="226">
        <f t="shared" si="155"/>
        <v>0</v>
      </c>
      <c r="I326" s="226">
        <f t="shared" si="155"/>
        <v>0</v>
      </c>
      <c r="J326" s="226">
        <f t="shared" si="155"/>
        <v>0</v>
      </c>
      <c r="K326" s="226">
        <f t="shared" si="155"/>
        <v>0</v>
      </c>
      <c r="L326" s="226">
        <f t="shared" si="155"/>
        <v>0</v>
      </c>
      <c r="M326" s="226">
        <f t="shared" si="155"/>
        <v>0</v>
      </c>
      <c r="N326" s="226">
        <f t="shared" si="155"/>
        <v>0</v>
      </c>
      <c r="O326" s="226">
        <f t="shared" si="155"/>
        <v>0</v>
      </c>
      <c r="P326" s="226">
        <f t="shared" si="155"/>
        <v>0</v>
      </c>
      <c r="Q326" s="226">
        <f t="shared" si="155"/>
        <v>0</v>
      </c>
      <c r="R326" s="226">
        <f t="shared" si="155"/>
        <v>0</v>
      </c>
      <c r="S326" s="226">
        <f t="shared" si="155"/>
        <v>0</v>
      </c>
      <c r="T326" s="279">
        <f t="shared" si="155"/>
        <v>0</v>
      </c>
    </row>
    <row r="327" spans="1:20" ht="12.75" hidden="1" customHeight="1" outlineLevel="2" x14ac:dyDescent="0.2">
      <c r="A327" s="198" t="str">
        <f>"      "&amp;Labels!B386</f>
        <v xml:space="preserve">      Prof Level 2</v>
      </c>
      <c r="B327" s="226"/>
      <c r="C327" s="226"/>
      <c r="D327" s="226"/>
      <c r="E327" s="226"/>
      <c r="F327" s="226"/>
      <c r="G327" s="226"/>
      <c r="H327" s="226"/>
      <c r="I327" s="226"/>
      <c r="J327" s="226"/>
      <c r="K327" s="226"/>
      <c r="L327" s="226"/>
      <c r="M327" s="226"/>
      <c r="N327" s="226"/>
      <c r="O327" s="226"/>
      <c r="P327" s="226"/>
      <c r="Q327" s="226"/>
      <c r="R327" s="226"/>
      <c r="S327" s="226"/>
      <c r="T327" s="279"/>
    </row>
    <row r="328" spans="1:20" ht="12.75" hidden="1" customHeight="1" outlineLevel="2" x14ac:dyDescent="0.2">
      <c r="A328" s="198" t="str">
        <f>"         "&amp;Labels!B317</f>
        <v xml:space="preserve">         Channels 1</v>
      </c>
      <c r="B328" s="226">
        <f t="shared" ref="B328:T328" si="156">SUM(B302,B315)</f>
        <v>0</v>
      </c>
      <c r="C328" s="226">
        <f t="shared" si="156"/>
        <v>0</v>
      </c>
      <c r="D328" s="226">
        <f t="shared" si="156"/>
        <v>0</v>
      </c>
      <c r="E328" s="226">
        <f t="shared" si="156"/>
        <v>0</v>
      </c>
      <c r="F328" s="226">
        <f t="shared" si="156"/>
        <v>0</v>
      </c>
      <c r="G328" s="226">
        <f t="shared" si="156"/>
        <v>0</v>
      </c>
      <c r="H328" s="226">
        <f t="shared" si="156"/>
        <v>0</v>
      </c>
      <c r="I328" s="226">
        <f t="shared" si="156"/>
        <v>0</v>
      </c>
      <c r="J328" s="226">
        <f t="shared" si="156"/>
        <v>0</v>
      </c>
      <c r="K328" s="226">
        <f t="shared" si="156"/>
        <v>0</v>
      </c>
      <c r="L328" s="226">
        <f t="shared" si="156"/>
        <v>0</v>
      </c>
      <c r="M328" s="226">
        <f t="shared" si="156"/>
        <v>0</v>
      </c>
      <c r="N328" s="226">
        <f t="shared" si="156"/>
        <v>0</v>
      </c>
      <c r="O328" s="226">
        <f t="shared" si="156"/>
        <v>0</v>
      </c>
      <c r="P328" s="226">
        <f t="shared" si="156"/>
        <v>0</v>
      </c>
      <c r="Q328" s="226">
        <f t="shared" si="156"/>
        <v>0</v>
      </c>
      <c r="R328" s="226">
        <f t="shared" si="156"/>
        <v>0</v>
      </c>
      <c r="S328" s="226">
        <f t="shared" si="156"/>
        <v>0</v>
      </c>
      <c r="T328" s="279">
        <f t="shared" si="156"/>
        <v>0</v>
      </c>
    </row>
    <row r="329" spans="1:20" ht="12.75" hidden="1" customHeight="1" outlineLevel="2" x14ac:dyDescent="0.2">
      <c r="A329" s="198" t="str">
        <f>"         "&amp;Labels!B318</f>
        <v xml:space="preserve">         Channels 2</v>
      </c>
      <c r="B329" s="226">
        <f t="shared" ref="B329:T329" si="157">SUM(B303,B316)</f>
        <v>0</v>
      </c>
      <c r="C329" s="226">
        <f t="shared" si="157"/>
        <v>0</v>
      </c>
      <c r="D329" s="226">
        <f t="shared" si="157"/>
        <v>0</v>
      </c>
      <c r="E329" s="226">
        <f t="shared" si="157"/>
        <v>0</v>
      </c>
      <c r="F329" s="226">
        <f t="shared" si="157"/>
        <v>0</v>
      </c>
      <c r="G329" s="226">
        <f t="shared" si="157"/>
        <v>0</v>
      </c>
      <c r="H329" s="226">
        <f t="shared" si="157"/>
        <v>0</v>
      </c>
      <c r="I329" s="226">
        <f t="shared" si="157"/>
        <v>0</v>
      </c>
      <c r="J329" s="226">
        <f t="shared" si="157"/>
        <v>0</v>
      </c>
      <c r="K329" s="226">
        <f t="shared" si="157"/>
        <v>0</v>
      </c>
      <c r="L329" s="226">
        <f t="shared" si="157"/>
        <v>0</v>
      </c>
      <c r="M329" s="226">
        <f t="shared" si="157"/>
        <v>0</v>
      </c>
      <c r="N329" s="226">
        <f t="shared" si="157"/>
        <v>0</v>
      </c>
      <c r="O329" s="226">
        <f t="shared" si="157"/>
        <v>0</v>
      </c>
      <c r="P329" s="226">
        <f t="shared" si="157"/>
        <v>0</v>
      </c>
      <c r="Q329" s="226">
        <f t="shared" si="157"/>
        <v>0</v>
      </c>
      <c r="R329" s="226">
        <f t="shared" si="157"/>
        <v>0</v>
      </c>
      <c r="S329" s="226">
        <f t="shared" si="157"/>
        <v>0</v>
      </c>
      <c r="T329" s="279">
        <f t="shared" si="157"/>
        <v>0</v>
      </c>
    </row>
    <row r="330" spans="1:20" ht="12.75" hidden="1" customHeight="1" outlineLevel="2" x14ac:dyDescent="0.2">
      <c r="A330" s="198" t="str">
        <f>"         "&amp;Labels!C316</f>
        <v xml:space="preserve">         Total</v>
      </c>
      <c r="B330" s="226">
        <f t="shared" ref="B330:T330" si="158">SUM(B304,B317)</f>
        <v>0</v>
      </c>
      <c r="C330" s="226">
        <f t="shared" si="158"/>
        <v>0</v>
      </c>
      <c r="D330" s="226">
        <f t="shared" si="158"/>
        <v>0</v>
      </c>
      <c r="E330" s="226">
        <f t="shared" si="158"/>
        <v>0</v>
      </c>
      <c r="F330" s="226">
        <f t="shared" si="158"/>
        <v>0</v>
      </c>
      <c r="G330" s="226">
        <f t="shared" si="158"/>
        <v>0</v>
      </c>
      <c r="H330" s="226">
        <f t="shared" si="158"/>
        <v>0</v>
      </c>
      <c r="I330" s="226">
        <f t="shared" si="158"/>
        <v>0</v>
      </c>
      <c r="J330" s="226">
        <f t="shared" si="158"/>
        <v>0</v>
      </c>
      <c r="K330" s="226">
        <f t="shared" si="158"/>
        <v>0</v>
      </c>
      <c r="L330" s="226">
        <f t="shared" si="158"/>
        <v>0</v>
      </c>
      <c r="M330" s="226">
        <f t="shared" si="158"/>
        <v>0</v>
      </c>
      <c r="N330" s="226">
        <f t="shared" si="158"/>
        <v>0</v>
      </c>
      <c r="O330" s="226">
        <f t="shared" si="158"/>
        <v>0</v>
      </c>
      <c r="P330" s="226">
        <f t="shared" si="158"/>
        <v>0</v>
      </c>
      <c r="Q330" s="226">
        <f t="shared" si="158"/>
        <v>0</v>
      </c>
      <c r="R330" s="226">
        <f t="shared" si="158"/>
        <v>0</v>
      </c>
      <c r="S330" s="226">
        <f t="shared" si="158"/>
        <v>0</v>
      </c>
      <c r="T330" s="279">
        <f t="shared" si="158"/>
        <v>0</v>
      </c>
    </row>
    <row r="331" spans="1:20" ht="12.75" hidden="1" customHeight="1" outlineLevel="2" x14ac:dyDescent="0.2">
      <c r="A331" s="188" t="str">
        <f>"      "&amp;Labels!C384</f>
        <v xml:space="preserve">      Total</v>
      </c>
      <c r="B331" s="196">
        <f t="shared" ref="B331:T331" si="159">SUM(B305,B318)</f>
        <v>0</v>
      </c>
      <c r="C331" s="196">
        <f t="shared" si="159"/>
        <v>0</v>
      </c>
      <c r="D331" s="196">
        <f t="shared" si="159"/>
        <v>0</v>
      </c>
      <c r="E331" s="196">
        <f t="shared" si="159"/>
        <v>0</v>
      </c>
      <c r="F331" s="196">
        <f t="shared" si="159"/>
        <v>0</v>
      </c>
      <c r="G331" s="196">
        <f t="shared" si="159"/>
        <v>0</v>
      </c>
      <c r="H331" s="196">
        <f t="shared" si="159"/>
        <v>0</v>
      </c>
      <c r="I331" s="196">
        <f t="shared" si="159"/>
        <v>0</v>
      </c>
      <c r="J331" s="196">
        <f t="shared" si="159"/>
        <v>0</v>
      </c>
      <c r="K331" s="196">
        <f t="shared" si="159"/>
        <v>0</v>
      </c>
      <c r="L331" s="196">
        <f t="shared" si="159"/>
        <v>0</v>
      </c>
      <c r="M331" s="196">
        <f t="shared" si="159"/>
        <v>0</v>
      </c>
      <c r="N331" s="196">
        <f t="shared" si="159"/>
        <v>0</v>
      </c>
      <c r="O331" s="196">
        <f t="shared" si="159"/>
        <v>0</v>
      </c>
      <c r="P331" s="196">
        <f t="shared" si="159"/>
        <v>0</v>
      </c>
      <c r="Q331" s="196">
        <f t="shared" si="159"/>
        <v>0</v>
      </c>
      <c r="R331" s="196">
        <f t="shared" si="159"/>
        <v>0</v>
      </c>
      <c r="S331" s="196">
        <f t="shared" si="159"/>
        <v>0</v>
      </c>
      <c r="T331" s="267">
        <f t="shared" si="159"/>
        <v>0</v>
      </c>
    </row>
    <row r="332" spans="1:20" ht="12.75" hidden="1" customHeight="1" outlineLevel="2" x14ac:dyDescent="0.2">
      <c r="A332" s="198" t="str">
        <f>"         "&amp;Labels!B317</f>
        <v xml:space="preserve">         Channels 1</v>
      </c>
      <c r="B332" s="226">
        <f t="shared" ref="B332:T332" si="160">SUM(B306,B319)</f>
        <v>0</v>
      </c>
      <c r="C332" s="226">
        <f t="shared" si="160"/>
        <v>0</v>
      </c>
      <c r="D332" s="226">
        <f t="shared" si="160"/>
        <v>0</v>
      </c>
      <c r="E332" s="226">
        <f t="shared" si="160"/>
        <v>0</v>
      </c>
      <c r="F332" s="226">
        <f t="shared" si="160"/>
        <v>0</v>
      </c>
      <c r="G332" s="226">
        <f t="shared" si="160"/>
        <v>0</v>
      </c>
      <c r="H332" s="226">
        <f t="shared" si="160"/>
        <v>0</v>
      </c>
      <c r="I332" s="226">
        <f t="shared" si="160"/>
        <v>0</v>
      </c>
      <c r="J332" s="226">
        <f t="shared" si="160"/>
        <v>0</v>
      </c>
      <c r="K332" s="226">
        <f t="shared" si="160"/>
        <v>0</v>
      </c>
      <c r="L332" s="226">
        <f t="shared" si="160"/>
        <v>0</v>
      </c>
      <c r="M332" s="226">
        <f t="shared" si="160"/>
        <v>0</v>
      </c>
      <c r="N332" s="226">
        <f t="shared" si="160"/>
        <v>0</v>
      </c>
      <c r="O332" s="226">
        <f t="shared" si="160"/>
        <v>0</v>
      </c>
      <c r="P332" s="226">
        <f t="shared" si="160"/>
        <v>0</v>
      </c>
      <c r="Q332" s="226">
        <f t="shared" si="160"/>
        <v>0</v>
      </c>
      <c r="R332" s="226">
        <f t="shared" si="160"/>
        <v>0</v>
      </c>
      <c r="S332" s="226">
        <f t="shared" si="160"/>
        <v>0</v>
      </c>
      <c r="T332" s="279">
        <f t="shared" si="160"/>
        <v>0</v>
      </c>
    </row>
    <row r="333" spans="1:20" ht="12.75" hidden="1" customHeight="1" outlineLevel="2" x14ac:dyDescent="0.2">
      <c r="A333" s="198" t="str">
        <f>"         "&amp;Labels!B318</f>
        <v xml:space="preserve">         Channels 2</v>
      </c>
      <c r="B333" s="226">
        <f t="shared" ref="B333:T333" si="161">SUM(B307,B320)</f>
        <v>0</v>
      </c>
      <c r="C333" s="226">
        <f t="shared" si="161"/>
        <v>0</v>
      </c>
      <c r="D333" s="226">
        <f t="shared" si="161"/>
        <v>0</v>
      </c>
      <c r="E333" s="226">
        <f t="shared" si="161"/>
        <v>0</v>
      </c>
      <c r="F333" s="226">
        <f t="shared" si="161"/>
        <v>0</v>
      </c>
      <c r="G333" s="226">
        <f t="shared" si="161"/>
        <v>0</v>
      </c>
      <c r="H333" s="226">
        <f t="shared" si="161"/>
        <v>0</v>
      </c>
      <c r="I333" s="226">
        <f t="shared" si="161"/>
        <v>0</v>
      </c>
      <c r="J333" s="226">
        <f t="shared" si="161"/>
        <v>0</v>
      </c>
      <c r="K333" s="226">
        <f t="shared" si="161"/>
        <v>0</v>
      </c>
      <c r="L333" s="226">
        <f t="shared" si="161"/>
        <v>0</v>
      </c>
      <c r="M333" s="226">
        <f t="shared" si="161"/>
        <v>0</v>
      </c>
      <c r="N333" s="226">
        <f t="shared" si="161"/>
        <v>0</v>
      </c>
      <c r="O333" s="226">
        <f t="shared" si="161"/>
        <v>0</v>
      </c>
      <c r="P333" s="226">
        <f t="shared" si="161"/>
        <v>0</v>
      </c>
      <c r="Q333" s="226">
        <f t="shared" si="161"/>
        <v>0</v>
      </c>
      <c r="R333" s="226">
        <f t="shared" si="161"/>
        <v>0</v>
      </c>
      <c r="S333" s="226">
        <f t="shared" si="161"/>
        <v>0</v>
      </c>
      <c r="T333" s="279">
        <f t="shared" si="161"/>
        <v>0</v>
      </c>
    </row>
    <row r="334" spans="1:20" ht="12.75" hidden="1" customHeight="1" outlineLevel="2" x14ac:dyDescent="0.2">
      <c r="A334" s="198" t="str">
        <f>"         "&amp;Labels!C316</f>
        <v xml:space="preserve">         Total</v>
      </c>
      <c r="B334" s="226">
        <f t="shared" ref="B334:T334" si="162">SUM(B305,B318)</f>
        <v>0</v>
      </c>
      <c r="C334" s="226">
        <f t="shared" si="162"/>
        <v>0</v>
      </c>
      <c r="D334" s="226">
        <f t="shared" si="162"/>
        <v>0</v>
      </c>
      <c r="E334" s="226">
        <f t="shared" si="162"/>
        <v>0</v>
      </c>
      <c r="F334" s="226">
        <f t="shared" si="162"/>
        <v>0</v>
      </c>
      <c r="G334" s="226">
        <f t="shared" si="162"/>
        <v>0</v>
      </c>
      <c r="H334" s="226">
        <f t="shared" si="162"/>
        <v>0</v>
      </c>
      <c r="I334" s="226">
        <f t="shared" si="162"/>
        <v>0</v>
      </c>
      <c r="J334" s="226">
        <f t="shared" si="162"/>
        <v>0</v>
      </c>
      <c r="K334" s="226">
        <f t="shared" si="162"/>
        <v>0</v>
      </c>
      <c r="L334" s="226">
        <f t="shared" si="162"/>
        <v>0</v>
      </c>
      <c r="M334" s="226">
        <f t="shared" si="162"/>
        <v>0</v>
      </c>
      <c r="N334" s="226">
        <f t="shared" si="162"/>
        <v>0</v>
      </c>
      <c r="O334" s="226">
        <f t="shared" si="162"/>
        <v>0</v>
      </c>
      <c r="P334" s="226">
        <f t="shared" si="162"/>
        <v>0</v>
      </c>
      <c r="Q334" s="226">
        <f t="shared" si="162"/>
        <v>0</v>
      </c>
      <c r="R334" s="226">
        <f t="shared" si="162"/>
        <v>0</v>
      </c>
      <c r="S334" s="226">
        <f t="shared" si="162"/>
        <v>0</v>
      </c>
      <c r="T334" s="279">
        <f t="shared" si="162"/>
        <v>0</v>
      </c>
    </row>
    <row r="335" spans="1:20" ht="12.75" hidden="1" customHeight="1" outlineLevel="2" x14ac:dyDescent="0.2">
      <c r="A335" s="97"/>
      <c r="B335" s="6"/>
      <c r="C335" s="6"/>
      <c r="D335" s="6"/>
      <c r="E335" s="6"/>
      <c r="F335" s="6"/>
      <c r="G335" s="6"/>
      <c r="H335" s="6"/>
      <c r="I335" s="6"/>
      <c r="J335" s="6"/>
      <c r="K335" s="6"/>
      <c r="L335" s="6"/>
      <c r="M335" s="6"/>
      <c r="N335" s="6"/>
      <c r="O335" s="6"/>
      <c r="P335" s="6"/>
      <c r="Q335" s="6"/>
      <c r="R335" s="6"/>
      <c r="S335" s="6"/>
      <c r="T335" s="7"/>
    </row>
    <row r="336" spans="1:20" ht="12.75" hidden="1" customHeight="1" outlineLevel="2" x14ac:dyDescent="0.2">
      <c r="A336" s="191" t="str">
        <f>Labels!B139</f>
        <v>Order Backlog (Hrs)</v>
      </c>
      <c r="B336" s="260"/>
      <c r="C336" s="260"/>
      <c r="D336" s="260"/>
      <c r="E336" s="260"/>
      <c r="F336" s="260"/>
      <c r="G336" s="260"/>
      <c r="H336" s="260"/>
      <c r="I336" s="260"/>
      <c r="J336" s="260"/>
      <c r="K336" s="260"/>
      <c r="L336" s="260"/>
      <c r="M336" s="260"/>
      <c r="N336" s="260"/>
      <c r="O336" s="260"/>
      <c r="P336" s="260"/>
      <c r="Q336" s="260"/>
      <c r="R336" s="260"/>
      <c r="S336" s="260"/>
      <c r="T336" s="289"/>
    </row>
    <row r="337" spans="1:20" ht="12.75" hidden="1" customHeight="1" outlineLevel="2" x14ac:dyDescent="0.2">
      <c r="A337" s="188" t="str">
        <f>"   "&amp;Labels!B381</f>
        <v xml:space="preserve">   Practice 1</v>
      </c>
      <c r="B337" s="256"/>
      <c r="C337" s="256"/>
      <c r="D337" s="256"/>
      <c r="E337" s="256"/>
      <c r="F337" s="256"/>
      <c r="G337" s="256"/>
      <c r="H337" s="256"/>
      <c r="I337" s="256"/>
      <c r="J337" s="256"/>
      <c r="K337" s="256"/>
      <c r="L337" s="256"/>
      <c r="M337" s="256"/>
      <c r="N337" s="256"/>
      <c r="O337" s="256"/>
      <c r="P337" s="256"/>
      <c r="Q337" s="256"/>
      <c r="R337" s="256"/>
      <c r="S337" s="256"/>
      <c r="T337" s="290"/>
    </row>
    <row r="338" spans="1:20" ht="12.75" hidden="1" customHeight="1" outlineLevel="2" x14ac:dyDescent="0.2">
      <c r="A338" s="198" t="str">
        <f>"      "&amp;Labels!B385</f>
        <v xml:space="preserve">      Prof Level 1</v>
      </c>
      <c r="B338" s="258"/>
      <c r="C338" s="258"/>
      <c r="D338" s="258"/>
      <c r="E338" s="258"/>
      <c r="F338" s="258"/>
      <c r="G338" s="258"/>
      <c r="H338" s="258"/>
      <c r="I338" s="258"/>
      <c r="J338" s="258"/>
      <c r="K338" s="258"/>
      <c r="L338" s="258"/>
      <c r="M338" s="258"/>
      <c r="N338" s="258"/>
      <c r="O338" s="258"/>
      <c r="P338" s="258"/>
      <c r="Q338" s="258"/>
      <c r="R338" s="258"/>
      <c r="S338" s="258"/>
      <c r="T338" s="291"/>
    </row>
    <row r="339" spans="1:20" ht="12.75" hidden="1" customHeight="1" outlineLevel="2" x14ac:dyDescent="0.2">
      <c r="A339" s="198" t="str">
        <f>"         "&amp;Labels!B317</f>
        <v xml:space="preserve">         Channels 1</v>
      </c>
      <c r="B339" s="258">
        <f>Inputs!M55</f>
        <v>0</v>
      </c>
      <c r="C339" s="258">
        <f>B339+(B546+C790)*'(Tables)'!B526-B254</f>
        <v>0</v>
      </c>
      <c r="D339" s="258">
        <f>C339+(C546+D790)*'(Tables)'!C526-C254</f>
        <v>0</v>
      </c>
      <c r="E339" s="258">
        <f>D339+(D546+E790)*'(Tables)'!D526-D254</f>
        <v>0</v>
      </c>
      <c r="F339" s="258">
        <f>E339+(E546+F790)*'(Tables)'!E526-E254</f>
        <v>0</v>
      </c>
      <c r="G339" s="258">
        <f>F339+(F546+G790)*'(Tables)'!F526-F254</f>
        <v>0</v>
      </c>
      <c r="H339" s="258">
        <f>G339+(G546+H790)*'(Tables)'!G526-G254</f>
        <v>0</v>
      </c>
      <c r="I339" s="258">
        <f>H339+(H546+I790)*'(Tables)'!H526-H254</f>
        <v>0</v>
      </c>
      <c r="J339" s="258">
        <f>I339+(I546+J790)*'(Tables)'!I526-I254</f>
        <v>0</v>
      </c>
      <c r="K339" s="258">
        <f>J339+(J546+K790)*'(Tables)'!J526-J254</f>
        <v>0</v>
      </c>
      <c r="L339" s="258">
        <f>K339+(K546+L790)*'(Tables)'!K526-K254</f>
        <v>0</v>
      </c>
      <c r="M339" s="258">
        <f>L339+(L546+M790)*'(Tables)'!L526-L254</f>
        <v>0</v>
      </c>
      <c r="N339" s="258">
        <f>M339+(M546+N790)*'(Tables)'!M526-M254</f>
        <v>0</v>
      </c>
      <c r="O339" s="258">
        <f>N339+(N546+O790)*'(Tables)'!N526-N254</f>
        <v>0</v>
      </c>
      <c r="P339" s="258">
        <f>O339+(O546+P790)*'(Tables)'!O526-O254</f>
        <v>0</v>
      </c>
      <c r="Q339" s="258">
        <f>P339+(P546+Q790)*'(Tables)'!P526-P254</f>
        <v>0</v>
      </c>
      <c r="R339" s="258">
        <f>Q339+(Q546+R790)*'(Tables)'!Q526-Q254</f>
        <v>0</v>
      </c>
      <c r="S339" s="258">
        <f>R339+(R546+S790)*'(Tables)'!R526-R254</f>
        <v>0</v>
      </c>
      <c r="T339" s="291">
        <f>S339+(S546+T790)*'(Tables)'!S526-S254</f>
        <v>0</v>
      </c>
    </row>
    <row r="340" spans="1:20" ht="12.75" hidden="1" customHeight="1" outlineLevel="2" x14ac:dyDescent="0.2">
      <c r="A340" s="198" t="str">
        <f>"         "&amp;Labels!B318</f>
        <v xml:space="preserve">         Channels 2</v>
      </c>
      <c r="B340" s="258">
        <f>Inputs!M56</f>
        <v>0</v>
      </c>
      <c r="C340" s="258">
        <f>B340+(B547+C791)*'(Tables)'!B527-B255</f>
        <v>0</v>
      </c>
      <c r="D340" s="258">
        <f>C340+(C547+D791)*'(Tables)'!C527-C255</f>
        <v>0</v>
      </c>
      <c r="E340" s="258">
        <f>D340+(D547+E791)*'(Tables)'!D527-D255</f>
        <v>0</v>
      </c>
      <c r="F340" s="258">
        <f>E340+(E547+F791)*'(Tables)'!E527-E255</f>
        <v>0</v>
      </c>
      <c r="G340" s="258">
        <f>F340+(F547+G791)*'(Tables)'!F527-F255</f>
        <v>0</v>
      </c>
      <c r="H340" s="258">
        <f>G340+(G547+H791)*'(Tables)'!G527-G255</f>
        <v>0</v>
      </c>
      <c r="I340" s="258">
        <f>H340+(H547+I791)*'(Tables)'!H527-H255</f>
        <v>0</v>
      </c>
      <c r="J340" s="258">
        <f>I340+(I547+J791)*'(Tables)'!I527-I255</f>
        <v>0</v>
      </c>
      <c r="K340" s="258">
        <f>J340+(J547+K791)*'(Tables)'!J527-J255</f>
        <v>0</v>
      </c>
      <c r="L340" s="258">
        <f>K340+(K547+L791)*'(Tables)'!K527-K255</f>
        <v>0</v>
      </c>
      <c r="M340" s="258">
        <f>L340+(L547+M791)*'(Tables)'!L527-L255</f>
        <v>0</v>
      </c>
      <c r="N340" s="258">
        <f>M340+(M547+N791)*'(Tables)'!M527-M255</f>
        <v>0</v>
      </c>
      <c r="O340" s="258">
        <f>N340+(N547+O791)*'(Tables)'!N527-N255</f>
        <v>0</v>
      </c>
      <c r="P340" s="258">
        <f>O340+(O547+P791)*'(Tables)'!O527-O255</f>
        <v>0</v>
      </c>
      <c r="Q340" s="258">
        <f>P340+(P547+Q791)*'(Tables)'!P527-P255</f>
        <v>0</v>
      </c>
      <c r="R340" s="258">
        <f>Q340+(Q547+R791)*'(Tables)'!Q527-Q255</f>
        <v>0</v>
      </c>
      <c r="S340" s="258">
        <f>R340+(R547+S791)*'(Tables)'!R527-R255</f>
        <v>0</v>
      </c>
      <c r="T340" s="291">
        <f>S340+(S547+T791)*'(Tables)'!S527-S255</f>
        <v>0</v>
      </c>
    </row>
    <row r="341" spans="1:20" ht="12.75" hidden="1" customHeight="1" outlineLevel="2" x14ac:dyDescent="0.2">
      <c r="A341" s="198" t="str">
        <f>"         "&amp;Labels!C316</f>
        <v xml:space="preserve">         Total</v>
      </c>
      <c r="B341" s="258">
        <f t="shared" ref="B341:T341" si="163">SUM(B339:B340)</f>
        <v>0</v>
      </c>
      <c r="C341" s="258">
        <f t="shared" si="163"/>
        <v>0</v>
      </c>
      <c r="D341" s="258">
        <f t="shared" si="163"/>
        <v>0</v>
      </c>
      <c r="E341" s="258">
        <f t="shared" si="163"/>
        <v>0</v>
      </c>
      <c r="F341" s="258">
        <f t="shared" si="163"/>
        <v>0</v>
      </c>
      <c r="G341" s="258">
        <f t="shared" si="163"/>
        <v>0</v>
      </c>
      <c r="H341" s="258">
        <f t="shared" si="163"/>
        <v>0</v>
      </c>
      <c r="I341" s="258">
        <f t="shared" si="163"/>
        <v>0</v>
      </c>
      <c r="J341" s="258">
        <f t="shared" si="163"/>
        <v>0</v>
      </c>
      <c r="K341" s="258">
        <f t="shared" si="163"/>
        <v>0</v>
      </c>
      <c r="L341" s="258">
        <f t="shared" si="163"/>
        <v>0</v>
      </c>
      <c r="M341" s="258">
        <f t="shared" si="163"/>
        <v>0</v>
      </c>
      <c r="N341" s="258">
        <f t="shared" si="163"/>
        <v>0</v>
      </c>
      <c r="O341" s="258">
        <f t="shared" si="163"/>
        <v>0</v>
      </c>
      <c r="P341" s="258">
        <f t="shared" si="163"/>
        <v>0</v>
      </c>
      <c r="Q341" s="258">
        <f t="shared" si="163"/>
        <v>0</v>
      </c>
      <c r="R341" s="258">
        <f t="shared" si="163"/>
        <v>0</v>
      </c>
      <c r="S341" s="258">
        <f t="shared" si="163"/>
        <v>0</v>
      </c>
      <c r="T341" s="291">
        <f t="shared" si="163"/>
        <v>0</v>
      </c>
    </row>
    <row r="342" spans="1:20" ht="12.75" hidden="1" customHeight="1" outlineLevel="2" x14ac:dyDescent="0.2">
      <c r="A342" s="198" t="str">
        <f>"      "&amp;Labels!B386</f>
        <v xml:space="preserve">      Prof Level 2</v>
      </c>
      <c r="B342" s="258"/>
      <c r="C342" s="258"/>
      <c r="D342" s="258"/>
      <c r="E342" s="258"/>
      <c r="F342" s="258"/>
      <c r="G342" s="258"/>
      <c r="H342" s="258"/>
      <c r="I342" s="258"/>
      <c r="J342" s="258"/>
      <c r="K342" s="258"/>
      <c r="L342" s="258"/>
      <c r="M342" s="258"/>
      <c r="N342" s="258"/>
      <c r="O342" s="258"/>
      <c r="P342" s="258"/>
      <c r="Q342" s="258"/>
      <c r="R342" s="258"/>
      <c r="S342" s="258"/>
      <c r="T342" s="291"/>
    </row>
    <row r="343" spans="1:20" ht="12.75" hidden="1" customHeight="1" outlineLevel="2" x14ac:dyDescent="0.2">
      <c r="A343" s="198" t="str">
        <f>"         "&amp;Labels!B317</f>
        <v xml:space="preserve">         Channels 1</v>
      </c>
      <c r="B343" s="258">
        <f>Inputs!M57</f>
        <v>0</v>
      </c>
      <c r="C343" s="258">
        <f>B343+(B550+C794)*'(Tables)'!B530-B258</f>
        <v>0</v>
      </c>
      <c r="D343" s="258">
        <f>C343+(C550+D794)*'(Tables)'!C530-C258</f>
        <v>0</v>
      </c>
      <c r="E343" s="258">
        <f>D343+(D550+E794)*'(Tables)'!D530-D258</f>
        <v>0</v>
      </c>
      <c r="F343" s="258">
        <f>E343+(E550+F794)*'(Tables)'!E530-E258</f>
        <v>0</v>
      </c>
      <c r="G343" s="258">
        <f>F343+(F550+G794)*'(Tables)'!F530-F258</f>
        <v>0</v>
      </c>
      <c r="H343" s="258">
        <f>G343+(G550+H794)*'(Tables)'!G530-G258</f>
        <v>0</v>
      </c>
      <c r="I343" s="258">
        <f>H343+(H550+I794)*'(Tables)'!H530-H258</f>
        <v>0</v>
      </c>
      <c r="J343" s="258">
        <f>I343+(I550+J794)*'(Tables)'!I530-I258</f>
        <v>0</v>
      </c>
      <c r="K343" s="258">
        <f>J343+(J550+K794)*'(Tables)'!J530-J258</f>
        <v>0</v>
      </c>
      <c r="L343" s="258">
        <f>K343+(K550+L794)*'(Tables)'!K530-K258</f>
        <v>0</v>
      </c>
      <c r="M343" s="258">
        <f>L343+(L550+M794)*'(Tables)'!L530-L258</f>
        <v>0</v>
      </c>
      <c r="N343" s="258">
        <f>M343+(M550+N794)*'(Tables)'!M530-M258</f>
        <v>0</v>
      </c>
      <c r="O343" s="258">
        <f>N343+(N550+O794)*'(Tables)'!N530-N258</f>
        <v>0</v>
      </c>
      <c r="P343" s="258">
        <f>O343+(O550+P794)*'(Tables)'!O530-O258</f>
        <v>0</v>
      </c>
      <c r="Q343" s="258">
        <f>P343+(P550+Q794)*'(Tables)'!P530-P258</f>
        <v>0</v>
      </c>
      <c r="R343" s="258">
        <f>Q343+(Q550+R794)*'(Tables)'!Q530-Q258</f>
        <v>0</v>
      </c>
      <c r="S343" s="258">
        <f>R343+(R550+S794)*'(Tables)'!R530-R258</f>
        <v>0</v>
      </c>
      <c r="T343" s="291">
        <f>S343+(S550+T794)*'(Tables)'!S530-S258</f>
        <v>0</v>
      </c>
    </row>
    <row r="344" spans="1:20" ht="12.75" hidden="1" customHeight="1" outlineLevel="2" x14ac:dyDescent="0.2">
      <c r="A344" s="198" t="str">
        <f>"         "&amp;Labels!B318</f>
        <v xml:space="preserve">         Channels 2</v>
      </c>
      <c r="B344" s="258">
        <f>Inputs!M58</f>
        <v>0</v>
      </c>
      <c r="C344" s="258">
        <f>B344+(B551+C795)*'(Tables)'!B531-B259</f>
        <v>0</v>
      </c>
      <c r="D344" s="258">
        <f>C344+(C551+D795)*'(Tables)'!C531-C259</f>
        <v>0</v>
      </c>
      <c r="E344" s="258">
        <f>D344+(D551+E795)*'(Tables)'!D531-D259</f>
        <v>0</v>
      </c>
      <c r="F344" s="258">
        <f>E344+(E551+F795)*'(Tables)'!E531-E259</f>
        <v>0</v>
      </c>
      <c r="G344" s="258">
        <f>F344+(F551+G795)*'(Tables)'!F531-F259</f>
        <v>0</v>
      </c>
      <c r="H344" s="258">
        <f>G344+(G551+H795)*'(Tables)'!G531-G259</f>
        <v>0</v>
      </c>
      <c r="I344" s="258">
        <f>H344+(H551+I795)*'(Tables)'!H531-H259</f>
        <v>0</v>
      </c>
      <c r="J344" s="258">
        <f>I344+(I551+J795)*'(Tables)'!I531-I259</f>
        <v>0</v>
      </c>
      <c r="K344" s="258">
        <f>J344+(J551+K795)*'(Tables)'!J531-J259</f>
        <v>0</v>
      </c>
      <c r="L344" s="258">
        <f>K344+(K551+L795)*'(Tables)'!K531-K259</f>
        <v>0</v>
      </c>
      <c r="M344" s="258">
        <f>L344+(L551+M795)*'(Tables)'!L531-L259</f>
        <v>0</v>
      </c>
      <c r="N344" s="258">
        <f>M344+(M551+N795)*'(Tables)'!M531-M259</f>
        <v>0</v>
      </c>
      <c r="O344" s="258">
        <f>N344+(N551+O795)*'(Tables)'!N531-N259</f>
        <v>0</v>
      </c>
      <c r="P344" s="258">
        <f>O344+(O551+P795)*'(Tables)'!O531-O259</f>
        <v>0</v>
      </c>
      <c r="Q344" s="258">
        <f>P344+(P551+Q795)*'(Tables)'!P531-P259</f>
        <v>0</v>
      </c>
      <c r="R344" s="258">
        <f>Q344+(Q551+R795)*'(Tables)'!Q531-Q259</f>
        <v>0</v>
      </c>
      <c r="S344" s="258">
        <f>R344+(R551+S795)*'(Tables)'!R531-R259</f>
        <v>0</v>
      </c>
      <c r="T344" s="291">
        <f>S344+(S551+T795)*'(Tables)'!S531-S259</f>
        <v>0</v>
      </c>
    </row>
    <row r="345" spans="1:20" ht="12.75" hidden="1" customHeight="1" outlineLevel="2" x14ac:dyDescent="0.2">
      <c r="A345" s="198" t="str">
        <f>"         "&amp;Labels!C316</f>
        <v xml:space="preserve">         Total</v>
      </c>
      <c r="B345" s="258">
        <f t="shared" ref="B345:T345" si="164">SUM(B343:B344)</f>
        <v>0</v>
      </c>
      <c r="C345" s="258">
        <f t="shared" si="164"/>
        <v>0</v>
      </c>
      <c r="D345" s="258">
        <f t="shared" si="164"/>
        <v>0</v>
      </c>
      <c r="E345" s="258">
        <f t="shared" si="164"/>
        <v>0</v>
      </c>
      <c r="F345" s="258">
        <f t="shared" si="164"/>
        <v>0</v>
      </c>
      <c r="G345" s="258">
        <f t="shared" si="164"/>
        <v>0</v>
      </c>
      <c r="H345" s="258">
        <f t="shared" si="164"/>
        <v>0</v>
      </c>
      <c r="I345" s="258">
        <f t="shared" si="164"/>
        <v>0</v>
      </c>
      <c r="J345" s="258">
        <f t="shared" si="164"/>
        <v>0</v>
      </c>
      <c r="K345" s="258">
        <f t="shared" si="164"/>
        <v>0</v>
      </c>
      <c r="L345" s="258">
        <f t="shared" si="164"/>
        <v>0</v>
      </c>
      <c r="M345" s="258">
        <f t="shared" si="164"/>
        <v>0</v>
      </c>
      <c r="N345" s="258">
        <f t="shared" si="164"/>
        <v>0</v>
      </c>
      <c r="O345" s="258">
        <f t="shared" si="164"/>
        <v>0</v>
      </c>
      <c r="P345" s="258">
        <f t="shared" si="164"/>
        <v>0</v>
      </c>
      <c r="Q345" s="258">
        <f t="shared" si="164"/>
        <v>0</v>
      </c>
      <c r="R345" s="258">
        <f t="shared" si="164"/>
        <v>0</v>
      </c>
      <c r="S345" s="258">
        <f t="shared" si="164"/>
        <v>0</v>
      </c>
      <c r="T345" s="291">
        <f t="shared" si="164"/>
        <v>0</v>
      </c>
    </row>
    <row r="346" spans="1:20" ht="12.75" hidden="1" customHeight="1" outlineLevel="2" x14ac:dyDescent="0.2">
      <c r="A346" s="188" t="str">
        <f>"      "&amp;Labels!C384</f>
        <v xml:space="preserve">      Total</v>
      </c>
      <c r="B346" s="256">
        <f t="shared" ref="B346:T346" si="165">SUM(B341,B345)</f>
        <v>0</v>
      </c>
      <c r="C346" s="256">
        <f t="shared" si="165"/>
        <v>0</v>
      </c>
      <c r="D346" s="256">
        <f t="shared" si="165"/>
        <v>0</v>
      </c>
      <c r="E346" s="256">
        <f t="shared" si="165"/>
        <v>0</v>
      </c>
      <c r="F346" s="256">
        <f t="shared" si="165"/>
        <v>0</v>
      </c>
      <c r="G346" s="256">
        <f t="shared" si="165"/>
        <v>0</v>
      </c>
      <c r="H346" s="256">
        <f t="shared" si="165"/>
        <v>0</v>
      </c>
      <c r="I346" s="256">
        <f t="shared" si="165"/>
        <v>0</v>
      </c>
      <c r="J346" s="256">
        <f t="shared" si="165"/>
        <v>0</v>
      </c>
      <c r="K346" s="256">
        <f t="shared" si="165"/>
        <v>0</v>
      </c>
      <c r="L346" s="256">
        <f t="shared" si="165"/>
        <v>0</v>
      </c>
      <c r="M346" s="256">
        <f t="shared" si="165"/>
        <v>0</v>
      </c>
      <c r="N346" s="256">
        <f t="shared" si="165"/>
        <v>0</v>
      </c>
      <c r="O346" s="256">
        <f t="shared" si="165"/>
        <v>0</v>
      </c>
      <c r="P346" s="256">
        <f t="shared" si="165"/>
        <v>0</v>
      </c>
      <c r="Q346" s="256">
        <f t="shared" si="165"/>
        <v>0</v>
      </c>
      <c r="R346" s="256">
        <f t="shared" si="165"/>
        <v>0</v>
      </c>
      <c r="S346" s="256">
        <f t="shared" si="165"/>
        <v>0</v>
      </c>
      <c r="T346" s="290">
        <f t="shared" si="165"/>
        <v>0</v>
      </c>
    </row>
    <row r="347" spans="1:20" ht="12.75" hidden="1" customHeight="1" outlineLevel="2" x14ac:dyDescent="0.2">
      <c r="A347" s="198" t="str">
        <f>"         "&amp;Labels!B317</f>
        <v xml:space="preserve">         Channels 1</v>
      </c>
      <c r="B347" s="258">
        <f t="shared" ref="B347:T347" si="166">SUM(B339,B343)</f>
        <v>0</v>
      </c>
      <c r="C347" s="258">
        <f t="shared" si="166"/>
        <v>0</v>
      </c>
      <c r="D347" s="258">
        <f t="shared" si="166"/>
        <v>0</v>
      </c>
      <c r="E347" s="258">
        <f t="shared" si="166"/>
        <v>0</v>
      </c>
      <c r="F347" s="258">
        <f t="shared" si="166"/>
        <v>0</v>
      </c>
      <c r="G347" s="258">
        <f t="shared" si="166"/>
        <v>0</v>
      </c>
      <c r="H347" s="258">
        <f t="shared" si="166"/>
        <v>0</v>
      </c>
      <c r="I347" s="258">
        <f t="shared" si="166"/>
        <v>0</v>
      </c>
      <c r="J347" s="258">
        <f t="shared" si="166"/>
        <v>0</v>
      </c>
      <c r="K347" s="258">
        <f t="shared" si="166"/>
        <v>0</v>
      </c>
      <c r="L347" s="258">
        <f t="shared" si="166"/>
        <v>0</v>
      </c>
      <c r="M347" s="258">
        <f t="shared" si="166"/>
        <v>0</v>
      </c>
      <c r="N347" s="258">
        <f t="shared" si="166"/>
        <v>0</v>
      </c>
      <c r="O347" s="258">
        <f t="shared" si="166"/>
        <v>0</v>
      </c>
      <c r="P347" s="258">
        <f t="shared" si="166"/>
        <v>0</v>
      </c>
      <c r="Q347" s="258">
        <f t="shared" si="166"/>
        <v>0</v>
      </c>
      <c r="R347" s="258">
        <f t="shared" si="166"/>
        <v>0</v>
      </c>
      <c r="S347" s="258">
        <f t="shared" si="166"/>
        <v>0</v>
      </c>
      <c r="T347" s="291">
        <f t="shared" si="166"/>
        <v>0</v>
      </c>
    </row>
    <row r="348" spans="1:20" ht="12.75" hidden="1" customHeight="1" outlineLevel="2" x14ac:dyDescent="0.2">
      <c r="A348" s="198" t="str">
        <f>"         "&amp;Labels!B318</f>
        <v xml:space="preserve">         Channels 2</v>
      </c>
      <c r="B348" s="258">
        <f t="shared" ref="B348:T348" si="167">SUM(B340,B344)</f>
        <v>0</v>
      </c>
      <c r="C348" s="258">
        <f t="shared" si="167"/>
        <v>0</v>
      </c>
      <c r="D348" s="258">
        <f t="shared" si="167"/>
        <v>0</v>
      </c>
      <c r="E348" s="258">
        <f t="shared" si="167"/>
        <v>0</v>
      </c>
      <c r="F348" s="258">
        <f t="shared" si="167"/>
        <v>0</v>
      </c>
      <c r="G348" s="258">
        <f t="shared" si="167"/>
        <v>0</v>
      </c>
      <c r="H348" s="258">
        <f t="shared" si="167"/>
        <v>0</v>
      </c>
      <c r="I348" s="258">
        <f t="shared" si="167"/>
        <v>0</v>
      </c>
      <c r="J348" s="258">
        <f t="shared" si="167"/>
        <v>0</v>
      </c>
      <c r="K348" s="258">
        <f t="shared" si="167"/>
        <v>0</v>
      </c>
      <c r="L348" s="258">
        <f t="shared" si="167"/>
        <v>0</v>
      </c>
      <c r="M348" s="258">
        <f t="shared" si="167"/>
        <v>0</v>
      </c>
      <c r="N348" s="258">
        <f t="shared" si="167"/>
        <v>0</v>
      </c>
      <c r="O348" s="258">
        <f t="shared" si="167"/>
        <v>0</v>
      </c>
      <c r="P348" s="258">
        <f t="shared" si="167"/>
        <v>0</v>
      </c>
      <c r="Q348" s="258">
        <f t="shared" si="167"/>
        <v>0</v>
      </c>
      <c r="R348" s="258">
        <f t="shared" si="167"/>
        <v>0</v>
      </c>
      <c r="S348" s="258">
        <f t="shared" si="167"/>
        <v>0</v>
      </c>
      <c r="T348" s="291">
        <f t="shared" si="167"/>
        <v>0</v>
      </c>
    </row>
    <row r="349" spans="1:20" ht="12.75" hidden="1" customHeight="1" outlineLevel="2" x14ac:dyDescent="0.2">
      <c r="A349" s="198" t="str">
        <f>"         "&amp;Labels!C316</f>
        <v xml:space="preserve">         Total</v>
      </c>
      <c r="B349" s="258">
        <f t="shared" ref="B349:T349" si="168">SUM(B341,B345)</f>
        <v>0</v>
      </c>
      <c r="C349" s="258">
        <f t="shared" si="168"/>
        <v>0</v>
      </c>
      <c r="D349" s="258">
        <f t="shared" si="168"/>
        <v>0</v>
      </c>
      <c r="E349" s="258">
        <f t="shared" si="168"/>
        <v>0</v>
      </c>
      <c r="F349" s="258">
        <f t="shared" si="168"/>
        <v>0</v>
      </c>
      <c r="G349" s="258">
        <f t="shared" si="168"/>
        <v>0</v>
      </c>
      <c r="H349" s="258">
        <f t="shared" si="168"/>
        <v>0</v>
      </c>
      <c r="I349" s="258">
        <f t="shared" si="168"/>
        <v>0</v>
      </c>
      <c r="J349" s="258">
        <f t="shared" si="168"/>
        <v>0</v>
      </c>
      <c r="K349" s="258">
        <f t="shared" si="168"/>
        <v>0</v>
      </c>
      <c r="L349" s="258">
        <f t="shared" si="168"/>
        <v>0</v>
      </c>
      <c r="M349" s="258">
        <f t="shared" si="168"/>
        <v>0</v>
      </c>
      <c r="N349" s="258">
        <f t="shared" si="168"/>
        <v>0</v>
      </c>
      <c r="O349" s="258">
        <f t="shared" si="168"/>
        <v>0</v>
      </c>
      <c r="P349" s="258">
        <f t="shared" si="168"/>
        <v>0</v>
      </c>
      <c r="Q349" s="258">
        <f t="shared" si="168"/>
        <v>0</v>
      </c>
      <c r="R349" s="258">
        <f t="shared" si="168"/>
        <v>0</v>
      </c>
      <c r="S349" s="258">
        <f t="shared" si="168"/>
        <v>0</v>
      </c>
      <c r="T349" s="291">
        <f t="shared" si="168"/>
        <v>0</v>
      </c>
    </row>
    <row r="350" spans="1:20" ht="12.75" hidden="1" customHeight="1" outlineLevel="2" x14ac:dyDescent="0.2">
      <c r="A350" s="188" t="str">
        <f>"   "&amp;Labels!B382</f>
        <v xml:space="preserve">   Practice 2</v>
      </c>
      <c r="B350" s="256"/>
      <c r="C350" s="256"/>
      <c r="D350" s="256"/>
      <c r="E350" s="256"/>
      <c r="F350" s="256"/>
      <c r="G350" s="256"/>
      <c r="H350" s="256"/>
      <c r="I350" s="256"/>
      <c r="J350" s="256"/>
      <c r="K350" s="256"/>
      <c r="L350" s="256"/>
      <c r="M350" s="256"/>
      <c r="N350" s="256"/>
      <c r="O350" s="256"/>
      <c r="P350" s="256"/>
      <c r="Q350" s="256"/>
      <c r="R350" s="256"/>
      <c r="S350" s="256"/>
      <c r="T350" s="290"/>
    </row>
    <row r="351" spans="1:20" ht="12.75" hidden="1" customHeight="1" outlineLevel="2" x14ac:dyDescent="0.2">
      <c r="A351" s="198" t="str">
        <f>"      "&amp;Labels!B385</f>
        <v xml:space="preserve">      Prof Level 1</v>
      </c>
      <c r="B351" s="258"/>
      <c r="C351" s="258"/>
      <c r="D351" s="258"/>
      <c r="E351" s="258"/>
      <c r="F351" s="258"/>
      <c r="G351" s="258"/>
      <c r="H351" s="258"/>
      <c r="I351" s="258"/>
      <c r="J351" s="258"/>
      <c r="K351" s="258"/>
      <c r="L351" s="258"/>
      <c r="M351" s="258"/>
      <c r="N351" s="258"/>
      <c r="O351" s="258"/>
      <c r="P351" s="258"/>
      <c r="Q351" s="258"/>
      <c r="R351" s="258"/>
      <c r="S351" s="258"/>
      <c r="T351" s="291"/>
    </row>
    <row r="352" spans="1:20" ht="12.75" hidden="1" customHeight="1" outlineLevel="2" x14ac:dyDescent="0.2">
      <c r="A352" s="198" t="str">
        <f>"         "&amp;Labels!B317</f>
        <v xml:space="preserve">         Channels 1</v>
      </c>
      <c r="B352" s="258">
        <f>Inputs!M59</f>
        <v>0</v>
      </c>
      <c r="C352" s="258">
        <f>B352+(B559+C803)*'(Tables)'!B539-B267</f>
        <v>0</v>
      </c>
      <c r="D352" s="258">
        <f>C352+(C559+D803)*'(Tables)'!C539-C267</f>
        <v>0</v>
      </c>
      <c r="E352" s="258">
        <f>D352+(D559+E803)*'(Tables)'!D539-D267</f>
        <v>0</v>
      </c>
      <c r="F352" s="258">
        <f>E352+(E559+F803)*'(Tables)'!E539-E267</f>
        <v>0</v>
      </c>
      <c r="G352" s="258">
        <f>F352+(F559+G803)*'(Tables)'!F539-F267</f>
        <v>0</v>
      </c>
      <c r="H352" s="258">
        <f>G352+(G559+H803)*'(Tables)'!G539-G267</f>
        <v>0</v>
      </c>
      <c r="I352" s="258">
        <f>H352+(H559+I803)*'(Tables)'!H539-H267</f>
        <v>0</v>
      </c>
      <c r="J352" s="258">
        <f>I352+(I559+J803)*'(Tables)'!I539-I267</f>
        <v>0</v>
      </c>
      <c r="K352" s="258">
        <f>J352+(J559+K803)*'(Tables)'!J539-J267</f>
        <v>0</v>
      </c>
      <c r="L352" s="258">
        <f>K352+(K559+L803)*'(Tables)'!K539-K267</f>
        <v>0</v>
      </c>
      <c r="M352" s="258">
        <f>L352+(L559+M803)*'(Tables)'!L539-L267</f>
        <v>0</v>
      </c>
      <c r="N352" s="258">
        <f>M352+(M559+N803)*'(Tables)'!M539-M267</f>
        <v>0</v>
      </c>
      <c r="O352" s="258">
        <f>N352+(N559+O803)*'(Tables)'!N539-N267</f>
        <v>0</v>
      </c>
      <c r="P352" s="258">
        <f>O352+(O559+P803)*'(Tables)'!O539-O267</f>
        <v>0</v>
      </c>
      <c r="Q352" s="258">
        <f>P352+(P559+Q803)*'(Tables)'!P539-P267</f>
        <v>0</v>
      </c>
      <c r="R352" s="258">
        <f>Q352+(Q559+R803)*'(Tables)'!Q539-Q267</f>
        <v>0</v>
      </c>
      <c r="S352" s="258">
        <f>R352+(R559+S803)*'(Tables)'!R539-R267</f>
        <v>0</v>
      </c>
      <c r="T352" s="291">
        <f>S352+(S559+T803)*'(Tables)'!S539-S267</f>
        <v>0</v>
      </c>
    </row>
    <row r="353" spans="1:20" ht="12.75" hidden="1" customHeight="1" outlineLevel="2" x14ac:dyDescent="0.2">
      <c r="A353" s="198" t="str">
        <f>"         "&amp;Labels!B318</f>
        <v xml:space="preserve">         Channels 2</v>
      </c>
      <c r="B353" s="258">
        <f>Inputs!M60</f>
        <v>0</v>
      </c>
      <c r="C353" s="258">
        <f>B353+(B560+C804)*'(Tables)'!B540-B268</f>
        <v>0</v>
      </c>
      <c r="D353" s="258">
        <f>C353+(C560+D804)*'(Tables)'!C540-C268</f>
        <v>0</v>
      </c>
      <c r="E353" s="258">
        <f>D353+(D560+E804)*'(Tables)'!D540-D268</f>
        <v>0</v>
      </c>
      <c r="F353" s="258">
        <f>E353+(E560+F804)*'(Tables)'!E540-E268</f>
        <v>0</v>
      </c>
      <c r="G353" s="258">
        <f>F353+(F560+G804)*'(Tables)'!F540-F268</f>
        <v>0</v>
      </c>
      <c r="H353" s="258">
        <f>G353+(G560+H804)*'(Tables)'!G540-G268</f>
        <v>0</v>
      </c>
      <c r="I353" s="258">
        <f>H353+(H560+I804)*'(Tables)'!H540-H268</f>
        <v>0</v>
      </c>
      <c r="J353" s="258">
        <f>I353+(I560+J804)*'(Tables)'!I540-I268</f>
        <v>0</v>
      </c>
      <c r="K353" s="258">
        <f>J353+(J560+K804)*'(Tables)'!J540-J268</f>
        <v>0</v>
      </c>
      <c r="L353" s="258">
        <f>K353+(K560+L804)*'(Tables)'!K540-K268</f>
        <v>0</v>
      </c>
      <c r="M353" s="258">
        <f>L353+(L560+M804)*'(Tables)'!L540-L268</f>
        <v>0</v>
      </c>
      <c r="N353" s="258">
        <f>M353+(M560+N804)*'(Tables)'!M540-M268</f>
        <v>0</v>
      </c>
      <c r="O353" s="258">
        <f>N353+(N560+O804)*'(Tables)'!N540-N268</f>
        <v>0</v>
      </c>
      <c r="P353" s="258">
        <f>O353+(O560+P804)*'(Tables)'!O540-O268</f>
        <v>0</v>
      </c>
      <c r="Q353" s="258">
        <f>P353+(P560+Q804)*'(Tables)'!P540-P268</f>
        <v>0</v>
      </c>
      <c r="R353" s="258">
        <f>Q353+(Q560+R804)*'(Tables)'!Q540-Q268</f>
        <v>0</v>
      </c>
      <c r="S353" s="258">
        <f>R353+(R560+S804)*'(Tables)'!R540-R268</f>
        <v>0</v>
      </c>
      <c r="T353" s="291">
        <f>S353+(S560+T804)*'(Tables)'!S540-S268</f>
        <v>0</v>
      </c>
    </row>
    <row r="354" spans="1:20" ht="12.75" hidden="1" customHeight="1" outlineLevel="2" x14ac:dyDescent="0.2">
      <c r="A354" s="198" t="str">
        <f>"         "&amp;Labels!C316</f>
        <v xml:space="preserve">         Total</v>
      </c>
      <c r="B354" s="258">
        <f t="shared" ref="B354:T354" si="169">SUM(B352:B353)</f>
        <v>0</v>
      </c>
      <c r="C354" s="258">
        <f t="shared" si="169"/>
        <v>0</v>
      </c>
      <c r="D354" s="258">
        <f t="shared" si="169"/>
        <v>0</v>
      </c>
      <c r="E354" s="258">
        <f t="shared" si="169"/>
        <v>0</v>
      </c>
      <c r="F354" s="258">
        <f t="shared" si="169"/>
        <v>0</v>
      </c>
      <c r="G354" s="258">
        <f t="shared" si="169"/>
        <v>0</v>
      </c>
      <c r="H354" s="258">
        <f t="shared" si="169"/>
        <v>0</v>
      </c>
      <c r="I354" s="258">
        <f t="shared" si="169"/>
        <v>0</v>
      </c>
      <c r="J354" s="258">
        <f t="shared" si="169"/>
        <v>0</v>
      </c>
      <c r="K354" s="258">
        <f t="shared" si="169"/>
        <v>0</v>
      </c>
      <c r="L354" s="258">
        <f t="shared" si="169"/>
        <v>0</v>
      </c>
      <c r="M354" s="258">
        <f t="shared" si="169"/>
        <v>0</v>
      </c>
      <c r="N354" s="258">
        <f t="shared" si="169"/>
        <v>0</v>
      </c>
      <c r="O354" s="258">
        <f t="shared" si="169"/>
        <v>0</v>
      </c>
      <c r="P354" s="258">
        <f t="shared" si="169"/>
        <v>0</v>
      </c>
      <c r="Q354" s="258">
        <f t="shared" si="169"/>
        <v>0</v>
      </c>
      <c r="R354" s="258">
        <f t="shared" si="169"/>
        <v>0</v>
      </c>
      <c r="S354" s="258">
        <f t="shared" si="169"/>
        <v>0</v>
      </c>
      <c r="T354" s="291">
        <f t="shared" si="169"/>
        <v>0</v>
      </c>
    </row>
    <row r="355" spans="1:20" ht="12.75" hidden="1" customHeight="1" outlineLevel="2" x14ac:dyDescent="0.2">
      <c r="A355" s="198" t="str">
        <f>"      "&amp;Labels!B386</f>
        <v xml:space="preserve">      Prof Level 2</v>
      </c>
      <c r="B355" s="258"/>
      <c r="C355" s="258"/>
      <c r="D355" s="258"/>
      <c r="E355" s="258"/>
      <c r="F355" s="258"/>
      <c r="G355" s="258"/>
      <c r="H355" s="258"/>
      <c r="I355" s="258"/>
      <c r="J355" s="258"/>
      <c r="K355" s="258"/>
      <c r="L355" s="258"/>
      <c r="M355" s="258"/>
      <c r="N355" s="258"/>
      <c r="O355" s="258"/>
      <c r="P355" s="258"/>
      <c r="Q355" s="258"/>
      <c r="R355" s="258"/>
      <c r="S355" s="258"/>
      <c r="T355" s="291"/>
    </row>
    <row r="356" spans="1:20" ht="12.75" hidden="1" customHeight="1" outlineLevel="2" x14ac:dyDescent="0.2">
      <c r="A356" s="198" t="str">
        <f>"         "&amp;Labels!B317</f>
        <v xml:space="preserve">         Channels 1</v>
      </c>
      <c r="B356" s="258">
        <f>Inputs!M61</f>
        <v>0</v>
      </c>
      <c r="C356" s="258">
        <f>B356+(B563+C807)*'(Tables)'!B543-B271</f>
        <v>0</v>
      </c>
      <c r="D356" s="258">
        <f>C356+(C563+D807)*'(Tables)'!C543-C271</f>
        <v>0</v>
      </c>
      <c r="E356" s="258">
        <f>D356+(D563+E807)*'(Tables)'!D543-D271</f>
        <v>0</v>
      </c>
      <c r="F356" s="258">
        <f>E356+(E563+F807)*'(Tables)'!E543-E271</f>
        <v>0</v>
      </c>
      <c r="G356" s="258">
        <f>F356+(F563+G807)*'(Tables)'!F543-F271</f>
        <v>0</v>
      </c>
      <c r="H356" s="258">
        <f>G356+(G563+H807)*'(Tables)'!G543-G271</f>
        <v>0</v>
      </c>
      <c r="I356" s="258">
        <f>H356+(H563+I807)*'(Tables)'!H543-H271</f>
        <v>0</v>
      </c>
      <c r="J356" s="258">
        <f>I356+(I563+J807)*'(Tables)'!I543-I271</f>
        <v>0</v>
      </c>
      <c r="K356" s="258">
        <f>J356+(J563+K807)*'(Tables)'!J543-J271</f>
        <v>0</v>
      </c>
      <c r="L356" s="258">
        <f>K356+(K563+L807)*'(Tables)'!K543-K271</f>
        <v>0</v>
      </c>
      <c r="M356" s="258">
        <f>L356+(L563+M807)*'(Tables)'!L543-L271</f>
        <v>0</v>
      </c>
      <c r="N356" s="258">
        <f>M356+(M563+N807)*'(Tables)'!M543-M271</f>
        <v>0</v>
      </c>
      <c r="O356" s="258">
        <f>N356+(N563+O807)*'(Tables)'!N543-N271</f>
        <v>0</v>
      </c>
      <c r="P356" s="258">
        <f>O356+(O563+P807)*'(Tables)'!O543-O271</f>
        <v>0</v>
      </c>
      <c r="Q356" s="258">
        <f>P356+(P563+Q807)*'(Tables)'!P543-P271</f>
        <v>0</v>
      </c>
      <c r="R356" s="258">
        <f>Q356+(Q563+R807)*'(Tables)'!Q543-Q271</f>
        <v>0</v>
      </c>
      <c r="S356" s="258">
        <f>R356+(R563+S807)*'(Tables)'!R543-R271</f>
        <v>0</v>
      </c>
      <c r="T356" s="291">
        <f>S356+(S563+T807)*'(Tables)'!S543-S271</f>
        <v>0</v>
      </c>
    </row>
    <row r="357" spans="1:20" ht="12.75" hidden="1" customHeight="1" outlineLevel="2" x14ac:dyDescent="0.2">
      <c r="A357" s="198" t="str">
        <f>"         "&amp;Labels!B318</f>
        <v xml:space="preserve">         Channels 2</v>
      </c>
      <c r="B357" s="258">
        <f>Inputs!M62</f>
        <v>0</v>
      </c>
      <c r="C357" s="258">
        <f>B357+(B564+C808)*'(Tables)'!B544-B272</f>
        <v>0</v>
      </c>
      <c r="D357" s="258">
        <f>C357+(C564+D808)*'(Tables)'!C544-C272</f>
        <v>0</v>
      </c>
      <c r="E357" s="258">
        <f>D357+(D564+E808)*'(Tables)'!D544-D272</f>
        <v>0</v>
      </c>
      <c r="F357" s="258">
        <f>E357+(E564+F808)*'(Tables)'!E544-E272</f>
        <v>0</v>
      </c>
      <c r="G357" s="258">
        <f>F357+(F564+G808)*'(Tables)'!F544-F272</f>
        <v>0</v>
      </c>
      <c r="H357" s="258">
        <f>G357+(G564+H808)*'(Tables)'!G544-G272</f>
        <v>0</v>
      </c>
      <c r="I357" s="258">
        <f>H357+(H564+I808)*'(Tables)'!H544-H272</f>
        <v>0</v>
      </c>
      <c r="J357" s="258">
        <f>I357+(I564+J808)*'(Tables)'!I544-I272</f>
        <v>0</v>
      </c>
      <c r="K357" s="258">
        <f>J357+(J564+K808)*'(Tables)'!J544-J272</f>
        <v>0</v>
      </c>
      <c r="L357" s="258">
        <f>K357+(K564+L808)*'(Tables)'!K544-K272</f>
        <v>0</v>
      </c>
      <c r="M357" s="258">
        <f>L357+(L564+M808)*'(Tables)'!L544-L272</f>
        <v>0</v>
      </c>
      <c r="N357" s="258">
        <f>M357+(M564+N808)*'(Tables)'!M544-M272</f>
        <v>0</v>
      </c>
      <c r="O357" s="258">
        <f>N357+(N564+O808)*'(Tables)'!N544-N272</f>
        <v>0</v>
      </c>
      <c r="P357" s="258">
        <f>O357+(O564+P808)*'(Tables)'!O544-O272</f>
        <v>0</v>
      </c>
      <c r="Q357" s="258">
        <f>P357+(P564+Q808)*'(Tables)'!P544-P272</f>
        <v>0</v>
      </c>
      <c r="R357" s="258">
        <f>Q357+(Q564+R808)*'(Tables)'!Q544-Q272</f>
        <v>0</v>
      </c>
      <c r="S357" s="258">
        <f>R357+(R564+S808)*'(Tables)'!R544-R272</f>
        <v>0</v>
      </c>
      <c r="T357" s="291">
        <f>S357+(S564+T808)*'(Tables)'!S544-S272</f>
        <v>0</v>
      </c>
    </row>
    <row r="358" spans="1:20" ht="12.75" hidden="1" customHeight="1" outlineLevel="2" x14ac:dyDescent="0.2">
      <c r="A358" s="198" t="str">
        <f>"         "&amp;Labels!C316</f>
        <v xml:space="preserve">         Total</v>
      </c>
      <c r="B358" s="258">
        <f t="shared" ref="B358:T358" si="170">SUM(B356:B357)</f>
        <v>0</v>
      </c>
      <c r="C358" s="258">
        <f t="shared" si="170"/>
        <v>0</v>
      </c>
      <c r="D358" s="258">
        <f t="shared" si="170"/>
        <v>0</v>
      </c>
      <c r="E358" s="258">
        <f t="shared" si="170"/>
        <v>0</v>
      </c>
      <c r="F358" s="258">
        <f t="shared" si="170"/>
        <v>0</v>
      </c>
      <c r="G358" s="258">
        <f t="shared" si="170"/>
        <v>0</v>
      </c>
      <c r="H358" s="258">
        <f t="shared" si="170"/>
        <v>0</v>
      </c>
      <c r="I358" s="258">
        <f t="shared" si="170"/>
        <v>0</v>
      </c>
      <c r="J358" s="258">
        <f t="shared" si="170"/>
        <v>0</v>
      </c>
      <c r="K358" s="258">
        <f t="shared" si="170"/>
        <v>0</v>
      </c>
      <c r="L358" s="258">
        <f t="shared" si="170"/>
        <v>0</v>
      </c>
      <c r="M358" s="258">
        <f t="shared" si="170"/>
        <v>0</v>
      </c>
      <c r="N358" s="258">
        <f t="shared" si="170"/>
        <v>0</v>
      </c>
      <c r="O358" s="258">
        <f t="shared" si="170"/>
        <v>0</v>
      </c>
      <c r="P358" s="258">
        <f t="shared" si="170"/>
        <v>0</v>
      </c>
      <c r="Q358" s="258">
        <f t="shared" si="170"/>
        <v>0</v>
      </c>
      <c r="R358" s="258">
        <f t="shared" si="170"/>
        <v>0</v>
      </c>
      <c r="S358" s="258">
        <f t="shared" si="170"/>
        <v>0</v>
      </c>
      <c r="T358" s="291">
        <f t="shared" si="170"/>
        <v>0</v>
      </c>
    </row>
    <row r="359" spans="1:20" ht="12.75" hidden="1" customHeight="1" outlineLevel="2" x14ac:dyDescent="0.2">
      <c r="A359" s="188" t="str">
        <f>"      "&amp;Labels!C384</f>
        <v xml:space="preserve">      Total</v>
      </c>
      <c r="B359" s="256">
        <f t="shared" ref="B359:T359" si="171">SUM(B354,B358)</f>
        <v>0</v>
      </c>
      <c r="C359" s="256">
        <f t="shared" si="171"/>
        <v>0</v>
      </c>
      <c r="D359" s="256">
        <f t="shared" si="171"/>
        <v>0</v>
      </c>
      <c r="E359" s="256">
        <f t="shared" si="171"/>
        <v>0</v>
      </c>
      <c r="F359" s="256">
        <f t="shared" si="171"/>
        <v>0</v>
      </c>
      <c r="G359" s="256">
        <f t="shared" si="171"/>
        <v>0</v>
      </c>
      <c r="H359" s="256">
        <f t="shared" si="171"/>
        <v>0</v>
      </c>
      <c r="I359" s="256">
        <f t="shared" si="171"/>
        <v>0</v>
      </c>
      <c r="J359" s="256">
        <f t="shared" si="171"/>
        <v>0</v>
      </c>
      <c r="K359" s="256">
        <f t="shared" si="171"/>
        <v>0</v>
      </c>
      <c r="L359" s="256">
        <f t="shared" si="171"/>
        <v>0</v>
      </c>
      <c r="M359" s="256">
        <f t="shared" si="171"/>
        <v>0</v>
      </c>
      <c r="N359" s="256">
        <f t="shared" si="171"/>
        <v>0</v>
      </c>
      <c r="O359" s="256">
        <f t="shared" si="171"/>
        <v>0</v>
      </c>
      <c r="P359" s="256">
        <f t="shared" si="171"/>
        <v>0</v>
      </c>
      <c r="Q359" s="256">
        <f t="shared" si="171"/>
        <v>0</v>
      </c>
      <c r="R359" s="256">
        <f t="shared" si="171"/>
        <v>0</v>
      </c>
      <c r="S359" s="256">
        <f t="shared" si="171"/>
        <v>0</v>
      </c>
      <c r="T359" s="290">
        <f t="shared" si="171"/>
        <v>0</v>
      </c>
    </row>
    <row r="360" spans="1:20" ht="12.75" hidden="1" customHeight="1" outlineLevel="2" x14ac:dyDescent="0.2">
      <c r="A360" s="198" t="str">
        <f>"         "&amp;Labels!B317</f>
        <v xml:space="preserve">         Channels 1</v>
      </c>
      <c r="B360" s="258">
        <f t="shared" ref="B360:T360" si="172">SUM(B352,B356)</f>
        <v>0</v>
      </c>
      <c r="C360" s="258">
        <f t="shared" si="172"/>
        <v>0</v>
      </c>
      <c r="D360" s="258">
        <f t="shared" si="172"/>
        <v>0</v>
      </c>
      <c r="E360" s="258">
        <f t="shared" si="172"/>
        <v>0</v>
      </c>
      <c r="F360" s="258">
        <f t="shared" si="172"/>
        <v>0</v>
      </c>
      <c r="G360" s="258">
        <f t="shared" si="172"/>
        <v>0</v>
      </c>
      <c r="H360" s="258">
        <f t="shared" si="172"/>
        <v>0</v>
      </c>
      <c r="I360" s="258">
        <f t="shared" si="172"/>
        <v>0</v>
      </c>
      <c r="J360" s="258">
        <f t="shared" si="172"/>
        <v>0</v>
      </c>
      <c r="K360" s="258">
        <f t="shared" si="172"/>
        <v>0</v>
      </c>
      <c r="L360" s="258">
        <f t="shared" si="172"/>
        <v>0</v>
      </c>
      <c r="M360" s="258">
        <f t="shared" si="172"/>
        <v>0</v>
      </c>
      <c r="N360" s="258">
        <f t="shared" si="172"/>
        <v>0</v>
      </c>
      <c r="O360" s="258">
        <f t="shared" si="172"/>
        <v>0</v>
      </c>
      <c r="P360" s="258">
        <f t="shared" si="172"/>
        <v>0</v>
      </c>
      <c r="Q360" s="258">
        <f t="shared" si="172"/>
        <v>0</v>
      </c>
      <c r="R360" s="258">
        <f t="shared" si="172"/>
        <v>0</v>
      </c>
      <c r="S360" s="258">
        <f t="shared" si="172"/>
        <v>0</v>
      </c>
      <c r="T360" s="291">
        <f t="shared" si="172"/>
        <v>0</v>
      </c>
    </row>
    <row r="361" spans="1:20" ht="12.75" hidden="1" customHeight="1" outlineLevel="2" x14ac:dyDescent="0.2">
      <c r="A361" s="198" t="str">
        <f>"         "&amp;Labels!B318</f>
        <v xml:space="preserve">         Channels 2</v>
      </c>
      <c r="B361" s="258">
        <f t="shared" ref="B361:T361" si="173">SUM(B353,B357)</f>
        <v>0</v>
      </c>
      <c r="C361" s="258">
        <f t="shared" si="173"/>
        <v>0</v>
      </c>
      <c r="D361" s="258">
        <f t="shared" si="173"/>
        <v>0</v>
      </c>
      <c r="E361" s="258">
        <f t="shared" si="173"/>
        <v>0</v>
      </c>
      <c r="F361" s="258">
        <f t="shared" si="173"/>
        <v>0</v>
      </c>
      <c r="G361" s="258">
        <f t="shared" si="173"/>
        <v>0</v>
      </c>
      <c r="H361" s="258">
        <f t="shared" si="173"/>
        <v>0</v>
      </c>
      <c r="I361" s="258">
        <f t="shared" si="173"/>
        <v>0</v>
      </c>
      <c r="J361" s="258">
        <f t="shared" si="173"/>
        <v>0</v>
      </c>
      <c r="K361" s="258">
        <f t="shared" si="173"/>
        <v>0</v>
      </c>
      <c r="L361" s="258">
        <f t="shared" si="173"/>
        <v>0</v>
      </c>
      <c r="M361" s="258">
        <f t="shared" si="173"/>
        <v>0</v>
      </c>
      <c r="N361" s="258">
        <f t="shared" si="173"/>
        <v>0</v>
      </c>
      <c r="O361" s="258">
        <f t="shared" si="173"/>
        <v>0</v>
      </c>
      <c r="P361" s="258">
        <f t="shared" si="173"/>
        <v>0</v>
      </c>
      <c r="Q361" s="258">
        <f t="shared" si="173"/>
        <v>0</v>
      </c>
      <c r="R361" s="258">
        <f t="shared" si="173"/>
        <v>0</v>
      </c>
      <c r="S361" s="258">
        <f t="shared" si="173"/>
        <v>0</v>
      </c>
      <c r="T361" s="291">
        <f t="shared" si="173"/>
        <v>0</v>
      </c>
    </row>
    <row r="362" spans="1:20" ht="12.75" hidden="1" customHeight="1" outlineLevel="2" x14ac:dyDescent="0.2">
      <c r="A362" s="198" t="str">
        <f>"         "&amp;Labels!C316</f>
        <v xml:space="preserve">         Total</v>
      </c>
      <c r="B362" s="258">
        <f t="shared" ref="B362:T362" si="174">SUM(B354,B358)</f>
        <v>0</v>
      </c>
      <c r="C362" s="258">
        <f t="shared" si="174"/>
        <v>0</v>
      </c>
      <c r="D362" s="258">
        <f t="shared" si="174"/>
        <v>0</v>
      </c>
      <c r="E362" s="258">
        <f t="shared" si="174"/>
        <v>0</v>
      </c>
      <c r="F362" s="258">
        <f t="shared" si="174"/>
        <v>0</v>
      </c>
      <c r="G362" s="258">
        <f t="shared" si="174"/>
        <v>0</v>
      </c>
      <c r="H362" s="258">
        <f t="shared" si="174"/>
        <v>0</v>
      </c>
      <c r="I362" s="258">
        <f t="shared" si="174"/>
        <v>0</v>
      </c>
      <c r="J362" s="258">
        <f t="shared" si="174"/>
        <v>0</v>
      </c>
      <c r="K362" s="258">
        <f t="shared" si="174"/>
        <v>0</v>
      </c>
      <c r="L362" s="258">
        <f t="shared" si="174"/>
        <v>0</v>
      </c>
      <c r="M362" s="258">
        <f t="shared" si="174"/>
        <v>0</v>
      </c>
      <c r="N362" s="258">
        <f t="shared" si="174"/>
        <v>0</v>
      </c>
      <c r="O362" s="258">
        <f t="shared" si="174"/>
        <v>0</v>
      </c>
      <c r="P362" s="258">
        <f t="shared" si="174"/>
        <v>0</v>
      </c>
      <c r="Q362" s="258">
        <f t="shared" si="174"/>
        <v>0</v>
      </c>
      <c r="R362" s="258">
        <f t="shared" si="174"/>
        <v>0</v>
      </c>
      <c r="S362" s="258">
        <f t="shared" si="174"/>
        <v>0</v>
      </c>
      <c r="T362" s="291">
        <f t="shared" si="174"/>
        <v>0</v>
      </c>
    </row>
    <row r="363" spans="1:20" ht="12.75" hidden="1" customHeight="1" outlineLevel="2" x14ac:dyDescent="0.2">
      <c r="A363" s="191" t="str">
        <f>"   "&amp;Labels!C380</f>
        <v xml:space="preserve">   Total</v>
      </c>
      <c r="B363" s="260">
        <f t="shared" ref="B363:T363" si="175">SUM(B346,B359)</f>
        <v>0</v>
      </c>
      <c r="C363" s="260">
        <f t="shared" si="175"/>
        <v>0</v>
      </c>
      <c r="D363" s="260">
        <f t="shared" si="175"/>
        <v>0</v>
      </c>
      <c r="E363" s="260">
        <f t="shared" si="175"/>
        <v>0</v>
      </c>
      <c r="F363" s="260">
        <f t="shared" si="175"/>
        <v>0</v>
      </c>
      <c r="G363" s="260">
        <f t="shared" si="175"/>
        <v>0</v>
      </c>
      <c r="H363" s="260">
        <f t="shared" si="175"/>
        <v>0</v>
      </c>
      <c r="I363" s="260">
        <f t="shared" si="175"/>
        <v>0</v>
      </c>
      <c r="J363" s="260">
        <f t="shared" si="175"/>
        <v>0</v>
      </c>
      <c r="K363" s="260">
        <f t="shared" si="175"/>
        <v>0</v>
      </c>
      <c r="L363" s="260">
        <f t="shared" si="175"/>
        <v>0</v>
      </c>
      <c r="M363" s="260">
        <f t="shared" si="175"/>
        <v>0</v>
      </c>
      <c r="N363" s="260">
        <f t="shared" si="175"/>
        <v>0</v>
      </c>
      <c r="O363" s="260">
        <f t="shared" si="175"/>
        <v>0</v>
      </c>
      <c r="P363" s="260">
        <f t="shared" si="175"/>
        <v>0</v>
      </c>
      <c r="Q363" s="260">
        <f t="shared" si="175"/>
        <v>0</v>
      </c>
      <c r="R363" s="260">
        <f t="shared" si="175"/>
        <v>0</v>
      </c>
      <c r="S363" s="260">
        <f t="shared" si="175"/>
        <v>0</v>
      </c>
      <c r="T363" s="289">
        <f t="shared" si="175"/>
        <v>0</v>
      </c>
    </row>
    <row r="364" spans="1:20" ht="12.75" hidden="1" customHeight="1" outlineLevel="2" x14ac:dyDescent="0.2">
      <c r="A364" s="198" t="str">
        <f>"      "&amp;Labels!B385</f>
        <v xml:space="preserve">      Prof Level 1</v>
      </c>
      <c r="B364" s="258"/>
      <c r="C364" s="258"/>
      <c r="D364" s="258"/>
      <c r="E364" s="258"/>
      <c r="F364" s="258"/>
      <c r="G364" s="258"/>
      <c r="H364" s="258"/>
      <c r="I364" s="258"/>
      <c r="J364" s="258"/>
      <c r="K364" s="258"/>
      <c r="L364" s="258"/>
      <c r="M364" s="258"/>
      <c r="N364" s="258"/>
      <c r="O364" s="258"/>
      <c r="P364" s="258"/>
      <c r="Q364" s="258"/>
      <c r="R364" s="258"/>
      <c r="S364" s="258"/>
      <c r="T364" s="291"/>
    </row>
    <row r="365" spans="1:20" ht="12.75" hidden="1" customHeight="1" outlineLevel="2" x14ac:dyDescent="0.2">
      <c r="A365" s="198" t="str">
        <f>"         "&amp;Labels!B317</f>
        <v xml:space="preserve">         Channels 1</v>
      </c>
      <c r="B365" s="258">
        <f t="shared" ref="B365:T365" si="176">SUM(B339,B352)</f>
        <v>0</v>
      </c>
      <c r="C365" s="258">
        <f t="shared" si="176"/>
        <v>0</v>
      </c>
      <c r="D365" s="258">
        <f t="shared" si="176"/>
        <v>0</v>
      </c>
      <c r="E365" s="258">
        <f t="shared" si="176"/>
        <v>0</v>
      </c>
      <c r="F365" s="258">
        <f t="shared" si="176"/>
        <v>0</v>
      </c>
      <c r="G365" s="258">
        <f t="shared" si="176"/>
        <v>0</v>
      </c>
      <c r="H365" s="258">
        <f t="shared" si="176"/>
        <v>0</v>
      </c>
      <c r="I365" s="258">
        <f t="shared" si="176"/>
        <v>0</v>
      </c>
      <c r="J365" s="258">
        <f t="shared" si="176"/>
        <v>0</v>
      </c>
      <c r="K365" s="258">
        <f t="shared" si="176"/>
        <v>0</v>
      </c>
      <c r="L365" s="258">
        <f t="shared" si="176"/>
        <v>0</v>
      </c>
      <c r="M365" s="258">
        <f t="shared" si="176"/>
        <v>0</v>
      </c>
      <c r="N365" s="258">
        <f t="shared" si="176"/>
        <v>0</v>
      </c>
      <c r="O365" s="258">
        <f t="shared" si="176"/>
        <v>0</v>
      </c>
      <c r="P365" s="258">
        <f t="shared" si="176"/>
        <v>0</v>
      </c>
      <c r="Q365" s="258">
        <f t="shared" si="176"/>
        <v>0</v>
      </c>
      <c r="R365" s="258">
        <f t="shared" si="176"/>
        <v>0</v>
      </c>
      <c r="S365" s="258">
        <f t="shared" si="176"/>
        <v>0</v>
      </c>
      <c r="T365" s="291">
        <f t="shared" si="176"/>
        <v>0</v>
      </c>
    </row>
    <row r="366" spans="1:20" ht="12.75" hidden="1" customHeight="1" outlineLevel="2" x14ac:dyDescent="0.2">
      <c r="A366" s="198" t="str">
        <f>"         "&amp;Labels!B318</f>
        <v xml:space="preserve">         Channels 2</v>
      </c>
      <c r="B366" s="258">
        <f t="shared" ref="B366:T366" si="177">SUM(B340,B353)</f>
        <v>0</v>
      </c>
      <c r="C366" s="258">
        <f t="shared" si="177"/>
        <v>0</v>
      </c>
      <c r="D366" s="258">
        <f t="shared" si="177"/>
        <v>0</v>
      </c>
      <c r="E366" s="258">
        <f t="shared" si="177"/>
        <v>0</v>
      </c>
      <c r="F366" s="258">
        <f t="shared" si="177"/>
        <v>0</v>
      </c>
      <c r="G366" s="258">
        <f t="shared" si="177"/>
        <v>0</v>
      </c>
      <c r="H366" s="258">
        <f t="shared" si="177"/>
        <v>0</v>
      </c>
      <c r="I366" s="258">
        <f t="shared" si="177"/>
        <v>0</v>
      </c>
      <c r="J366" s="258">
        <f t="shared" si="177"/>
        <v>0</v>
      </c>
      <c r="K366" s="258">
        <f t="shared" si="177"/>
        <v>0</v>
      </c>
      <c r="L366" s="258">
        <f t="shared" si="177"/>
        <v>0</v>
      </c>
      <c r="M366" s="258">
        <f t="shared" si="177"/>
        <v>0</v>
      </c>
      <c r="N366" s="258">
        <f t="shared" si="177"/>
        <v>0</v>
      </c>
      <c r="O366" s="258">
        <f t="shared" si="177"/>
        <v>0</v>
      </c>
      <c r="P366" s="258">
        <f t="shared" si="177"/>
        <v>0</v>
      </c>
      <c r="Q366" s="258">
        <f t="shared" si="177"/>
        <v>0</v>
      </c>
      <c r="R366" s="258">
        <f t="shared" si="177"/>
        <v>0</v>
      </c>
      <c r="S366" s="258">
        <f t="shared" si="177"/>
        <v>0</v>
      </c>
      <c r="T366" s="291">
        <f t="shared" si="177"/>
        <v>0</v>
      </c>
    </row>
    <row r="367" spans="1:20" ht="12.75" hidden="1" customHeight="1" outlineLevel="2" x14ac:dyDescent="0.2">
      <c r="A367" s="198" t="str">
        <f>"         "&amp;Labels!C316</f>
        <v xml:space="preserve">         Total</v>
      </c>
      <c r="B367" s="258">
        <f t="shared" ref="B367:T367" si="178">SUM(B341,B354)</f>
        <v>0</v>
      </c>
      <c r="C367" s="258">
        <f t="shared" si="178"/>
        <v>0</v>
      </c>
      <c r="D367" s="258">
        <f t="shared" si="178"/>
        <v>0</v>
      </c>
      <c r="E367" s="258">
        <f t="shared" si="178"/>
        <v>0</v>
      </c>
      <c r="F367" s="258">
        <f t="shared" si="178"/>
        <v>0</v>
      </c>
      <c r="G367" s="258">
        <f t="shared" si="178"/>
        <v>0</v>
      </c>
      <c r="H367" s="258">
        <f t="shared" si="178"/>
        <v>0</v>
      </c>
      <c r="I367" s="258">
        <f t="shared" si="178"/>
        <v>0</v>
      </c>
      <c r="J367" s="258">
        <f t="shared" si="178"/>
        <v>0</v>
      </c>
      <c r="K367" s="258">
        <f t="shared" si="178"/>
        <v>0</v>
      </c>
      <c r="L367" s="258">
        <f t="shared" si="178"/>
        <v>0</v>
      </c>
      <c r="M367" s="258">
        <f t="shared" si="178"/>
        <v>0</v>
      </c>
      <c r="N367" s="258">
        <f t="shared" si="178"/>
        <v>0</v>
      </c>
      <c r="O367" s="258">
        <f t="shared" si="178"/>
        <v>0</v>
      </c>
      <c r="P367" s="258">
        <f t="shared" si="178"/>
        <v>0</v>
      </c>
      <c r="Q367" s="258">
        <f t="shared" si="178"/>
        <v>0</v>
      </c>
      <c r="R367" s="258">
        <f t="shared" si="178"/>
        <v>0</v>
      </c>
      <c r="S367" s="258">
        <f t="shared" si="178"/>
        <v>0</v>
      </c>
      <c r="T367" s="291">
        <f t="shared" si="178"/>
        <v>0</v>
      </c>
    </row>
    <row r="368" spans="1:20" ht="12.75" hidden="1" customHeight="1" outlineLevel="2" x14ac:dyDescent="0.2">
      <c r="A368" s="198" t="str">
        <f>"      "&amp;Labels!B386</f>
        <v xml:space="preserve">      Prof Level 2</v>
      </c>
      <c r="B368" s="258"/>
      <c r="C368" s="258"/>
      <c r="D368" s="258"/>
      <c r="E368" s="258"/>
      <c r="F368" s="258"/>
      <c r="G368" s="258"/>
      <c r="H368" s="258"/>
      <c r="I368" s="258"/>
      <c r="J368" s="258"/>
      <c r="K368" s="258"/>
      <c r="L368" s="258"/>
      <c r="M368" s="258"/>
      <c r="N368" s="258"/>
      <c r="O368" s="258"/>
      <c r="P368" s="258"/>
      <c r="Q368" s="258"/>
      <c r="R368" s="258"/>
      <c r="S368" s="258"/>
      <c r="T368" s="291"/>
    </row>
    <row r="369" spans="1:20" ht="12.75" hidden="1" customHeight="1" outlineLevel="2" x14ac:dyDescent="0.2">
      <c r="A369" s="198" t="str">
        <f>"         "&amp;Labels!B317</f>
        <v xml:space="preserve">         Channels 1</v>
      </c>
      <c r="B369" s="258">
        <f t="shared" ref="B369:T369" si="179">SUM(B343,B356)</f>
        <v>0</v>
      </c>
      <c r="C369" s="258">
        <f t="shared" si="179"/>
        <v>0</v>
      </c>
      <c r="D369" s="258">
        <f t="shared" si="179"/>
        <v>0</v>
      </c>
      <c r="E369" s="258">
        <f t="shared" si="179"/>
        <v>0</v>
      </c>
      <c r="F369" s="258">
        <f t="shared" si="179"/>
        <v>0</v>
      </c>
      <c r="G369" s="258">
        <f t="shared" si="179"/>
        <v>0</v>
      </c>
      <c r="H369" s="258">
        <f t="shared" si="179"/>
        <v>0</v>
      </c>
      <c r="I369" s="258">
        <f t="shared" si="179"/>
        <v>0</v>
      </c>
      <c r="J369" s="258">
        <f t="shared" si="179"/>
        <v>0</v>
      </c>
      <c r="K369" s="258">
        <f t="shared" si="179"/>
        <v>0</v>
      </c>
      <c r="L369" s="258">
        <f t="shared" si="179"/>
        <v>0</v>
      </c>
      <c r="M369" s="258">
        <f t="shared" si="179"/>
        <v>0</v>
      </c>
      <c r="N369" s="258">
        <f t="shared" si="179"/>
        <v>0</v>
      </c>
      <c r="O369" s="258">
        <f t="shared" si="179"/>
        <v>0</v>
      </c>
      <c r="P369" s="258">
        <f t="shared" si="179"/>
        <v>0</v>
      </c>
      <c r="Q369" s="258">
        <f t="shared" si="179"/>
        <v>0</v>
      </c>
      <c r="R369" s="258">
        <f t="shared" si="179"/>
        <v>0</v>
      </c>
      <c r="S369" s="258">
        <f t="shared" si="179"/>
        <v>0</v>
      </c>
      <c r="T369" s="291">
        <f t="shared" si="179"/>
        <v>0</v>
      </c>
    </row>
    <row r="370" spans="1:20" ht="12.75" hidden="1" customHeight="1" outlineLevel="2" x14ac:dyDescent="0.2">
      <c r="A370" s="198" t="str">
        <f>"         "&amp;Labels!B318</f>
        <v xml:space="preserve">         Channels 2</v>
      </c>
      <c r="B370" s="258">
        <f t="shared" ref="B370:T370" si="180">SUM(B344,B357)</f>
        <v>0</v>
      </c>
      <c r="C370" s="258">
        <f t="shared" si="180"/>
        <v>0</v>
      </c>
      <c r="D370" s="258">
        <f t="shared" si="180"/>
        <v>0</v>
      </c>
      <c r="E370" s="258">
        <f t="shared" si="180"/>
        <v>0</v>
      </c>
      <c r="F370" s="258">
        <f t="shared" si="180"/>
        <v>0</v>
      </c>
      <c r="G370" s="258">
        <f t="shared" si="180"/>
        <v>0</v>
      </c>
      <c r="H370" s="258">
        <f t="shared" si="180"/>
        <v>0</v>
      </c>
      <c r="I370" s="258">
        <f t="shared" si="180"/>
        <v>0</v>
      </c>
      <c r="J370" s="258">
        <f t="shared" si="180"/>
        <v>0</v>
      </c>
      <c r="K370" s="258">
        <f t="shared" si="180"/>
        <v>0</v>
      </c>
      <c r="L370" s="258">
        <f t="shared" si="180"/>
        <v>0</v>
      </c>
      <c r="M370" s="258">
        <f t="shared" si="180"/>
        <v>0</v>
      </c>
      <c r="N370" s="258">
        <f t="shared" si="180"/>
        <v>0</v>
      </c>
      <c r="O370" s="258">
        <f t="shared" si="180"/>
        <v>0</v>
      </c>
      <c r="P370" s="258">
        <f t="shared" si="180"/>
        <v>0</v>
      </c>
      <c r="Q370" s="258">
        <f t="shared" si="180"/>
        <v>0</v>
      </c>
      <c r="R370" s="258">
        <f t="shared" si="180"/>
        <v>0</v>
      </c>
      <c r="S370" s="258">
        <f t="shared" si="180"/>
        <v>0</v>
      </c>
      <c r="T370" s="291">
        <f t="shared" si="180"/>
        <v>0</v>
      </c>
    </row>
    <row r="371" spans="1:20" ht="12.75" hidden="1" customHeight="1" outlineLevel="2" x14ac:dyDescent="0.2">
      <c r="A371" s="198" t="str">
        <f>"         "&amp;Labels!C316</f>
        <v xml:space="preserve">         Total</v>
      </c>
      <c r="B371" s="258">
        <f t="shared" ref="B371:T371" si="181">SUM(B345,B358)</f>
        <v>0</v>
      </c>
      <c r="C371" s="258">
        <f t="shared" si="181"/>
        <v>0</v>
      </c>
      <c r="D371" s="258">
        <f t="shared" si="181"/>
        <v>0</v>
      </c>
      <c r="E371" s="258">
        <f t="shared" si="181"/>
        <v>0</v>
      </c>
      <c r="F371" s="258">
        <f t="shared" si="181"/>
        <v>0</v>
      </c>
      <c r="G371" s="258">
        <f t="shared" si="181"/>
        <v>0</v>
      </c>
      <c r="H371" s="258">
        <f t="shared" si="181"/>
        <v>0</v>
      </c>
      <c r="I371" s="258">
        <f t="shared" si="181"/>
        <v>0</v>
      </c>
      <c r="J371" s="258">
        <f t="shared" si="181"/>
        <v>0</v>
      </c>
      <c r="K371" s="258">
        <f t="shared" si="181"/>
        <v>0</v>
      </c>
      <c r="L371" s="258">
        <f t="shared" si="181"/>
        <v>0</v>
      </c>
      <c r="M371" s="258">
        <f t="shared" si="181"/>
        <v>0</v>
      </c>
      <c r="N371" s="258">
        <f t="shared" si="181"/>
        <v>0</v>
      </c>
      <c r="O371" s="258">
        <f t="shared" si="181"/>
        <v>0</v>
      </c>
      <c r="P371" s="258">
        <f t="shared" si="181"/>
        <v>0</v>
      </c>
      <c r="Q371" s="258">
        <f t="shared" si="181"/>
        <v>0</v>
      </c>
      <c r="R371" s="258">
        <f t="shared" si="181"/>
        <v>0</v>
      </c>
      <c r="S371" s="258">
        <f t="shared" si="181"/>
        <v>0</v>
      </c>
      <c r="T371" s="291">
        <f t="shared" si="181"/>
        <v>0</v>
      </c>
    </row>
    <row r="372" spans="1:20" ht="12.75" hidden="1" customHeight="1" outlineLevel="2" x14ac:dyDescent="0.2">
      <c r="A372" s="188" t="str">
        <f>"      "&amp;Labels!C384</f>
        <v xml:space="preserve">      Total</v>
      </c>
      <c r="B372" s="256">
        <f t="shared" ref="B372:T372" si="182">SUM(B346,B359)</f>
        <v>0</v>
      </c>
      <c r="C372" s="256">
        <f t="shared" si="182"/>
        <v>0</v>
      </c>
      <c r="D372" s="256">
        <f t="shared" si="182"/>
        <v>0</v>
      </c>
      <c r="E372" s="256">
        <f t="shared" si="182"/>
        <v>0</v>
      </c>
      <c r="F372" s="256">
        <f t="shared" si="182"/>
        <v>0</v>
      </c>
      <c r="G372" s="256">
        <f t="shared" si="182"/>
        <v>0</v>
      </c>
      <c r="H372" s="256">
        <f t="shared" si="182"/>
        <v>0</v>
      </c>
      <c r="I372" s="256">
        <f t="shared" si="182"/>
        <v>0</v>
      </c>
      <c r="J372" s="256">
        <f t="shared" si="182"/>
        <v>0</v>
      </c>
      <c r="K372" s="256">
        <f t="shared" si="182"/>
        <v>0</v>
      </c>
      <c r="L372" s="256">
        <f t="shared" si="182"/>
        <v>0</v>
      </c>
      <c r="M372" s="256">
        <f t="shared" si="182"/>
        <v>0</v>
      </c>
      <c r="N372" s="256">
        <f t="shared" si="182"/>
        <v>0</v>
      </c>
      <c r="O372" s="256">
        <f t="shared" si="182"/>
        <v>0</v>
      </c>
      <c r="P372" s="256">
        <f t="shared" si="182"/>
        <v>0</v>
      </c>
      <c r="Q372" s="256">
        <f t="shared" si="182"/>
        <v>0</v>
      </c>
      <c r="R372" s="256">
        <f t="shared" si="182"/>
        <v>0</v>
      </c>
      <c r="S372" s="256">
        <f t="shared" si="182"/>
        <v>0</v>
      </c>
      <c r="T372" s="290">
        <f t="shared" si="182"/>
        <v>0</v>
      </c>
    </row>
    <row r="373" spans="1:20" ht="12.75" hidden="1" customHeight="1" outlineLevel="2" x14ac:dyDescent="0.2">
      <c r="A373" s="198" t="str">
        <f>"         "&amp;Labels!B317</f>
        <v xml:space="preserve">         Channels 1</v>
      </c>
      <c r="B373" s="258">
        <f t="shared" ref="B373:T373" si="183">SUM(B347,B360)</f>
        <v>0</v>
      </c>
      <c r="C373" s="258">
        <f t="shared" si="183"/>
        <v>0</v>
      </c>
      <c r="D373" s="258">
        <f t="shared" si="183"/>
        <v>0</v>
      </c>
      <c r="E373" s="258">
        <f t="shared" si="183"/>
        <v>0</v>
      </c>
      <c r="F373" s="258">
        <f t="shared" si="183"/>
        <v>0</v>
      </c>
      <c r="G373" s="258">
        <f t="shared" si="183"/>
        <v>0</v>
      </c>
      <c r="H373" s="258">
        <f t="shared" si="183"/>
        <v>0</v>
      </c>
      <c r="I373" s="258">
        <f t="shared" si="183"/>
        <v>0</v>
      </c>
      <c r="J373" s="258">
        <f t="shared" si="183"/>
        <v>0</v>
      </c>
      <c r="K373" s="258">
        <f t="shared" si="183"/>
        <v>0</v>
      </c>
      <c r="L373" s="258">
        <f t="shared" si="183"/>
        <v>0</v>
      </c>
      <c r="M373" s="258">
        <f t="shared" si="183"/>
        <v>0</v>
      </c>
      <c r="N373" s="258">
        <f t="shared" si="183"/>
        <v>0</v>
      </c>
      <c r="O373" s="258">
        <f t="shared" si="183"/>
        <v>0</v>
      </c>
      <c r="P373" s="258">
        <f t="shared" si="183"/>
        <v>0</v>
      </c>
      <c r="Q373" s="258">
        <f t="shared" si="183"/>
        <v>0</v>
      </c>
      <c r="R373" s="258">
        <f t="shared" si="183"/>
        <v>0</v>
      </c>
      <c r="S373" s="258">
        <f t="shared" si="183"/>
        <v>0</v>
      </c>
      <c r="T373" s="291">
        <f t="shared" si="183"/>
        <v>0</v>
      </c>
    </row>
    <row r="374" spans="1:20" ht="12.75" hidden="1" customHeight="1" outlineLevel="2" x14ac:dyDescent="0.2">
      <c r="A374" s="198" t="str">
        <f>"         "&amp;Labels!B318</f>
        <v xml:space="preserve">         Channels 2</v>
      </c>
      <c r="B374" s="258">
        <f t="shared" ref="B374:T374" si="184">SUM(B348,B361)</f>
        <v>0</v>
      </c>
      <c r="C374" s="258">
        <f t="shared" si="184"/>
        <v>0</v>
      </c>
      <c r="D374" s="258">
        <f t="shared" si="184"/>
        <v>0</v>
      </c>
      <c r="E374" s="258">
        <f t="shared" si="184"/>
        <v>0</v>
      </c>
      <c r="F374" s="258">
        <f t="shared" si="184"/>
        <v>0</v>
      </c>
      <c r="G374" s="258">
        <f t="shared" si="184"/>
        <v>0</v>
      </c>
      <c r="H374" s="258">
        <f t="shared" si="184"/>
        <v>0</v>
      </c>
      <c r="I374" s="258">
        <f t="shared" si="184"/>
        <v>0</v>
      </c>
      <c r="J374" s="258">
        <f t="shared" si="184"/>
        <v>0</v>
      </c>
      <c r="K374" s="258">
        <f t="shared" si="184"/>
        <v>0</v>
      </c>
      <c r="L374" s="258">
        <f t="shared" si="184"/>
        <v>0</v>
      </c>
      <c r="M374" s="258">
        <f t="shared" si="184"/>
        <v>0</v>
      </c>
      <c r="N374" s="258">
        <f t="shared" si="184"/>
        <v>0</v>
      </c>
      <c r="O374" s="258">
        <f t="shared" si="184"/>
        <v>0</v>
      </c>
      <c r="P374" s="258">
        <f t="shared" si="184"/>
        <v>0</v>
      </c>
      <c r="Q374" s="258">
        <f t="shared" si="184"/>
        <v>0</v>
      </c>
      <c r="R374" s="258">
        <f t="shared" si="184"/>
        <v>0</v>
      </c>
      <c r="S374" s="258">
        <f t="shared" si="184"/>
        <v>0</v>
      </c>
      <c r="T374" s="291">
        <f t="shared" si="184"/>
        <v>0</v>
      </c>
    </row>
    <row r="375" spans="1:20" ht="12.75" hidden="1" customHeight="1" outlineLevel="2" x14ac:dyDescent="0.2">
      <c r="A375" s="230" t="str">
        <f>"         "&amp;Labels!C316</f>
        <v xml:space="preserve">         Total</v>
      </c>
      <c r="B375" s="292">
        <f t="shared" ref="B375:T375" si="185">SUM(B346,B359)</f>
        <v>0</v>
      </c>
      <c r="C375" s="292">
        <f t="shared" si="185"/>
        <v>0</v>
      </c>
      <c r="D375" s="292">
        <f t="shared" si="185"/>
        <v>0</v>
      </c>
      <c r="E375" s="292">
        <f t="shared" si="185"/>
        <v>0</v>
      </c>
      <c r="F375" s="292">
        <f t="shared" si="185"/>
        <v>0</v>
      </c>
      <c r="G375" s="292">
        <f t="shared" si="185"/>
        <v>0</v>
      </c>
      <c r="H375" s="292">
        <f t="shared" si="185"/>
        <v>0</v>
      </c>
      <c r="I375" s="292">
        <f t="shared" si="185"/>
        <v>0</v>
      </c>
      <c r="J375" s="292">
        <f t="shared" si="185"/>
        <v>0</v>
      </c>
      <c r="K375" s="292">
        <f t="shared" si="185"/>
        <v>0</v>
      </c>
      <c r="L375" s="292">
        <f t="shared" si="185"/>
        <v>0</v>
      </c>
      <c r="M375" s="292">
        <f t="shared" si="185"/>
        <v>0</v>
      </c>
      <c r="N375" s="292">
        <f t="shared" si="185"/>
        <v>0</v>
      </c>
      <c r="O375" s="292">
        <f t="shared" si="185"/>
        <v>0</v>
      </c>
      <c r="P375" s="292">
        <f t="shared" si="185"/>
        <v>0</v>
      </c>
      <c r="Q375" s="292">
        <f t="shared" si="185"/>
        <v>0</v>
      </c>
      <c r="R375" s="292">
        <f t="shared" si="185"/>
        <v>0</v>
      </c>
      <c r="S375" s="292">
        <f t="shared" si="185"/>
        <v>0</v>
      </c>
      <c r="T375" s="293">
        <f t="shared" si="185"/>
        <v>0</v>
      </c>
    </row>
    <row r="376" spans="1:20" ht="12.75" hidden="1" customHeight="1" outlineLevel="2" collapsed="1" x14ac:dyDescent="0.2"/>
    <row r="377" spans="1:20" ht="12.75" hidden="1" customHeight="1" outlineLevel="1" collapsed="1" x14ac:dyDescent="0.2">
      <c r="A377" s="464" t="str">
        <f>"Leads - Small Engagements"</f>
        <v>Leads - Small Engagements</v>
      </c>
      <c r="B377" s="464"/>
    </row>
    <row r="378" spans="1:20" ht="12.75" hidden="1" customHeight="1" outlineLevel="2" x14ac:dyDescent="0.2">
      <c r="A378" s="464" t="str">
        <f>""</f>
        <v/>
      </c>
      <c r="B378" s="464"/>
    </row>
    <row r="379" spans="1:20" ht="12.75" hidden="1" customHeight="1" outlineLevel="2" x14ac:dyDescent="0.2">
      <c r="B379" s="9" t="str">
        <f>'(FnCalls 1)'!F40</f>
        <v>MMM 2009</v>
      </c>
      <c r="C379" s="10" t="str">
        <f>'(FnCalls 1)'!F41</f>
        <v>MMM 2010</v>
      </c>
      <c r="D379" s="10" t="str">
        <f>'(FnCalls 1)'!F42</f>
        <v>MMM 2010</v>
      </c>
      <c r="E379" s="10" t="str">
        <f>'(FnCalls 1)'!F43</f>
        <v>MMM 2010</v>
      </c>
      <c r="F379" s="10" t="str">
        <f>'(FnCalls 1)'!F44</f>
        <v>MMM 2010</v>
      </c>
      <c r="G379" s="10" t="str">
        <f>'(FnCalls 1)'!F45</f>
        <v>MMM 2010</v>
      </c>
      <c r="H379" s="10" t="str">
        <f>'(FnCalls 1)'!F46</f>
        <v>MMM 2010</v>
      </c>
      <c r="I379" s="10" t="str">
        <f>'(FnCalls 1)'!F47</f>
        <v>MMM 2010</v>
      </c>
      <c r="J379" s="10" t="str">
        <f>'(FnCalls 1)'!F48</f>
        <v>MMM 2010</v>
      </c>
      <c r="K379" s="10" t="str">
        <f>'(FnCalls 1)'!F49</f>
        <v>MMM 2010</v>
      </c>
      <c r="L379" s="10" t="str">
        <f>'(FnCalls 1)'!F50</f>
        <v>MMM 2010</v>
      </c>
      <c r="M379" s="10" t="str">
        <f>'(FnCalls 1)'!F51</f>
        <v>MMM 2010</v>
      </c>
      <c r="N379" s="10" t="str">
        <f>'(FnCalls 1)'!F52</f>
        <v>MMM 2010</v>
      </c>
      <c r="O379" s="10" t="str">
        <f>'(FnCalls 1)'!F53</f>
        <v>MMM 2011</v>
      </c>
      <c r="P379" s="10" t="str">
        <f>'(FnCalls 1)'!F54</f>
        <v>MMM 2011</v>
      </c>
      <c r="Q379" s="10" t="str">
        <f>'(FnCalls 1)'!F55</f>
        <v>MMM 2011</v>
      </c>
      <c r="R379" s="10" t="str">
        <f>'(FnCalls 1)'!F56</f>
        <v>MMM 2011</v>
      </c>
      <c r="S379" s="10" t="str">
        <f>'(FnCalls 1)'!F57</f>
        <v>MMM 2011</v>
      </c>
      <c r="T379" s="11" t="str">
        <f>'(FnCalls 1)'!F58</f>
        <v>MMM 2011</v>
      </c>
    </row>
    <row r="380" spans="1:20" ht="12.75" hidden="1" customHeight="1" outlineLevel="2" x14ac:dyDescent="0.2">
      <c r="A380" s="182" t="str">
        <f>Labels!B241</f>
        <v>Sales Leads</v>
      </c>
      <c r="B380" s="183"/>
      <c r="C380" s="183"/>
      <c r="D380" s="183"/>
      <c r="E380" s="183"/>
      <c r="F380" s="183"/>
      <c r="G380" s="183"/>
      <c r="H380" s="183"/>
      <c r="I380" s="183"/>
      <c r="J380" s="183"/>
      <c r="K380" s="183"/>
      <c r="L380" s="183"/>
      <c r="M380" s="183"/>
      <c r="N380" s="183"/>
      <c r="O380" s="183"/>
      <c r="P380" s="183"/>
      <c r="Q380" s="183"/>
      <c r="R380" s="183"/>
      <c r="S380" s="183"/>
      <c r="T380" s="266"/>
    </row>
    <row r="381" spans="1:20" ht="12.75" hidden="1" customHeight="1" outlineLevel="2" x14ac:dyDescent="0.2">
      <c r="A381" s="188" t="str">
        <f>"   "&amp;Labels!B389</f>
        <v xml:space="preserve">   Lead Qual 1</v>
      </c>
      <c r="B381" s="196"/>
      <c r="C381" s="196"/>
      <c r="D381" s="196"/>
      <c r="E381" s="196"/>
      <c r="F381" s="196"/>
      <c r="G381" s="196"/>
      <c r="H381" s="196"/>
      <c r="I381" s="196"/>
      <c r="J381" s="196"/>
      <c r="K381" s="196"/>
      <c r="L381" s="196"/>
      <c r="M381" s="196"/>
      <c r="N381" s="196"/>
      <c r="O381" s="196"/>
      <c r="P381" s="196"/>
      <c r="Q381" s="196"/>
      <c r="R381" s="196"/>
      <c r="S381" s="196"/>
      <c r="T381" s="267"/>
    </row>
    <row r="382" spans="1:20" ht="12.75" hidden="1" customHeight="1" outlineLevel="2" x14ac:dyDescent="0.2">
      <c r="A382" s="198" t="str">
        <f>"      "&amp;Labels!B381</f>
        <v xml:space="preserve">      Practice 1</v>
      </c>
      <c r="B382" s="226"/>
      <c r="C382" s="226"/>
      <c r="D382" s="226"/>
      <c r="E382" s="226"/>
      <c r="F382" s="226"/>
      <c r="G382" s="226"/>
      <c r="H382" s="226"/>
      <c r="I382" s="226"/>
      <c r="J382" s="226"/>
      <c r="K382" s="226"/>
      <c r="L382" s="226"/>
      <c r="M382" s="226"/>
      <c r="N382" s="226"/>
      <c r="O382" s="226"/>
      <c r="P382" s="226"/>
      <c r="Q382" s="226"/>
      <c r="R382" s="226"/>
      <c r="S382" s="226"/>
      <c r="T382" s="279"/>
    </row>
    <row r="383" spans="1:20" ht="12.75" hidden="1" customHeight="1" outlineLevel="2" x14ac:dyDescent="0.2">
      <c r="A383" s="198" t="str">
        <f>"         "&amp;Labels!B385</f>
        <v xml:space="preserve">         Prof Level 1</v>
      </c>
      <c r="B383" s="226"/>
      <c r="C383" s="226"/>
      <c r="D383" s="226"/>
      <c r="E383" s="226"/>
      <c r="F383" s="226"/>
      <c r="G383" s="226"/>
      <c r="H383" s="226"/>
      <c r="I383" s="226"/>
      <c r="J383" s="226"/>
      <c r="K383" s="226"/>
      <c r="L383" s="226"/>
      <c r="M383" s="226"/>
      <c r="N383" s="226"/>
      <c r="O383" s="226"/>
      <c r="P383" s="226"/>
      <c r="Q383" s="226"/>
      <c r="R383" s="226"/>
      <c r="S383" s="226"/>
      <c r="T383" s="279"/>
    </row>
    <row r="384" spans="1:20" ht="12.75" hidden="1" customHeight="1" outlineLevel="2" x14ac:dyDescent="0.2">
      <c r="A384" s="198" t="str">
        <f>"            "&amp;Labels!B317</f>
        <v xml:space="preserve">            Channels 1</v>
      </c>
      <c r="B384" s="189">
        <f>Sales!B278*Inputs!F56</f>
        <v>0</v>
      </c>
      <c r="C384" s="189">
        <f>Sales!B278*C506</f>
        <v>0</v>
      </c>
      <c r="D384" s="189">
        <f>Sales!C278*D506</f>
        <v>0</v>
      </c>
      <c r="E384" s="189">
        <f>Sales!D278*E506</f>
        <v>0</v>
      </c>
      <c r="F384" s="189">
        <f>Sales!F278*F506</f>
        <v>0</v>
      </c>
      <c r="G384" s="189">
        <f>Sales!G278*G506</f>
        <v>0</v>
      </c>
      <c r="H384" s="189">
        <f>Sales!H278*H506</f>
        <v>0</v>
      </c>
      <c r="I384" s="189">
        <f>Sales!J278*I506</f>
        <v>0</v>
      </c>
      <c r="J384" s="189">
        <f>Sales!K278*J506</f>
        <v>0</v>
      </c>
      <c r="K384" s="189">
        <f>Sales!L278*K506</f>
        <v>0</v>
      </c>
      <c r="L384" s="189">
        <f>Sales!N278*L506</f>
        <v>0</v>
      </c>
      <c r="M384" s="189">
        <f>Sales!O278*M506</f>
        <v>0</v>
      </c>
      <c r="N384" s="189">
        <f>Sales!P278*N506</f>
        <v>0</v>
      </c>
      <c r="O384" s="189">
        <f>Sales!R278*O506</f>
        <v>0</v>
      </c>
      <c r="P384" s="189">
        <f>Sales!S278*P506</f>
        <v>0</v>
      </c>
      <c r="Q384" s="189">
        <f>Sales!T278*Q506</f>
        <v>0</v>
      </c>
      <c r="R384" s="189">
        <f>Sales!V278*R506</f>
        <v>0</v>
      </c>
      <c r="S384" s="189">
        <f>Sales!W278*S506</f>
        <v>0</v>
      </c>
      <c r="T384" s="294">
        <f>Sales!X278*T506</f>
        <v>0</v>
      </c>
    </row>
    <row r="385" spans="1:20" ht="12.75" hidden="1" customHeight="1" outlineLevel="2" x14ac:dyDescent="0.2">
      <c r="A385" s="198" t="str">
        <f>"            "&amp;Labels!B318</f>
        <v xml:space="preserve">            Channels 2</v>
      </c>
      <c r="B385" s="189">
        <f>Sales!B278*Inputs!F57</f>
        <v>0</v>
      </c>
      <c r="C385" s="189">
        <f>Sales!B278*C507</f>
        <v>0</v>
      </c>
      <c r="D385" s="189">
        <f>Sales!C278*D507</f>
        <v>0</v>
      </c>
      <c r="E385" s="189">
        <f>Sales!D278*E507</f>
        <v>0</v>
      </c>
      <c r="F385" s="189">
        <f>Sales!F278*F507</f>
        <v>0</v>
      </c>
      <c r="G385" s="189">
        <f>Sales!G278*G507</f>
        <v>0</v>
      </c>
      <c r="H385" s="189">
        <f>Sales!H278*H507</f>
        <v>0</v>
      </c>
      <c r="I385" s="189">
        <f>Sales!J278*I507</f>
        <v>0</v>
      </c>
      <c r="J385" s="189">
        <f>Sales!K278*J507</f>
        <v>0</v>
      </c>
      <c r="K385" s="189">
        <f>Sales!L278*K507</f>
        <v>0</v>
      </c>
      <c r="L385" s="189">
        <f>Sales!N278*L507</f>
        <v>0</v>
      </c>
      <c r="M385" s="189">
        <f>Sales!O278*M507</f>
        <v>0</v>
      </c>
      <c r="N385" s="189">
        <f>Sales!P278*N507</f>
        <v>0</v>
      </c>
      <c r="O385" s="189">
        <f>Sales!R278*O507</f>
        <v>0</v>
      </c>
      <c r="P385" s="189">
        <f>Sales!S278*P507</f>
        <v>0</v>
      </c>
      <c r="Q385" s="189">
        <f>Sales!T278*Q507</f>
        <v>0</v>
      </c>
      <c r="R385" s="189">
        <f>Sales!V278*R507</f>
        <v>0</v>
      </c>
      <c r="S385" s="189">
        <f>Sales!W278*S507</f>
        <v>0</v>
      </c>
      <c r="T385" s="294">
        <f>Sales!X278*T507</f>
        <v>0</v>
      </c>
    </row>
    <row r="386" spans="1:20" ht="12.75" hidden="1" customHeight="1" outlineLevel="2" x14ac:dyDescent="0.2">
      <c r="A386" s="198" t="str">
        <f>"            "&amp;Labels!C316</f>
        <v xml:space="preserve">            Total</v>
      </c>
      <c r="B386" s="226">
        <f t="shared" ref="B386:T386" si="186">SUM(B384:B385)</f>
        <v>0</v>
      </c>
      <c r="C386" s="226">
        <f t="shared" si="186"/>
        <v>0</v>
      </c>
      <c r="D386" s="226">
        <f t="shared" si="186"/>
        <v>0</v>
      </c>
      <c r="E386" s="226">
        <f t="shared" si="186"/>
        <v>0</v>
      </c>
      <c r="F386" s="226">
        <f t="shared" si="186"/>
        <v>0</v>
      </c>
      <c r="G386" s="226">
        <f t="shared" si="186"/>
        <v>0</v>
      </c>
      <c r="H386" s="226">
        <f t="shared" si="186"/>
        <v>0</v>
      </c>
      <c r="I386" s="226">
        <f t="shared" si="186"/>
        <v>0</v>
      </c>
      <c r="J386" s="226">
        <f t="shared" si="186"/>
        <v>0</v>
      </c>
      <c r="K386" s="226">
        <f t="shared" si="186"/>
        <v>0</v>
      </c>
      <c r="L386" s="226">
        <f t="shared" si="186"/>
        <v>0</v>
      </c>
      <c r="M386" s="226">
        <f t="shared" si="186"/>
        <v>0</v>
      </c>
      <c r="N386" s="226">
        <f t="shared" si="186"/>
        <v>0</v>
      </c>
      <c r="O386" s="226">
        <f t="shared" si="186"/>
        <v>0</v>
      </c>
      <c r="P386" s="226">
        <f t="shared" si="186"/>
        <v>0</v>
      </c>
      <c r="Q386" s="226">
        <f t="shared" si="186"/>
        <v>0</v>
      </c>
      <c r="R386" s="226">
        <f t="shared" si="186"/>
        <v>0</v>
      </c>
      <c r="S386" s="226">
        <f t="shared" si="186"/>
        <v>0</v>
      </c>
      <c r="T386" s="279">
        <f t="shared" si="186"/>
        <v>0</v>
      </c>
    </row>
    <row r="387" spans="1:20" ht="12.75" hidden="1" customHeight="1" outlineLevel="2" x14ac:dyDescent="0.2">
      <c r="A387" s="198" t="str">
        <f>"         "&amp;Labels!B386</f>
        <v xml:space="preserve">         Prof Level 2</v>
      </c>
      <c r="B387" s="226"/>
      <c r="C387" s="226"/>
      <c r="D387" s="226"/>
      <c r="E387" s="226"/>
      <c r="F387" s="226"/>
      <c r="G387" s="226"/>
      <c r="H387" s="226"/>
      <c r="I387" s="226"/>
      <c r="J387" s="226"/>
      <c r="K387" s="226"/>
      <c r="L387" s="226"/>
      <c r="M387" s="226"/>
      <c r="N387" s="226"/>
      <c r="O387" s="226"/>
      <c r="P387" s="226"/>
      <c r="Q387" s="226"/>
      <c r="R387" s="226"/>
      <c r="S387" s="226"/>
      <c r="T387" s="279"/>
    </row>
    <row r="388" spans="1:20" ht="12.75" hidden="1" customHeight="1" outlineLevel="2" x14ac:dyDescent="0.2">
      <c r="A388" s="198" t="str">
        <f>"            "&amp;Labels!B317</f>
        <v xml:space="preserve">            Channels 1</v>
      </c>
      <c r="B388" s="189">
        <f>Sales!B279*Inputs!F58</f>
        <v>0</v>
      </c>
      <c r="C388" s="189">
        <f>Sales!B279*C510</f>
        <v>0</v>
      </c>
      <c r="D388" s="189">
        <f>Sales!C279*D510</f>
        <v>0</v>
      </c>
      <c r="E388" s="189">
        <f>Sales!D279*E510</f>
        <v>0</v>
      </c>
      <c r="F388" s="189">
        <f>Sales!F279*F510</f>
        <v>0</v>
      </c>
      <c r="G388" s="189">
        <f>Sales!G279*G510</f>
        <v>0</v>
      </c>
      <c r="H388" s="189">
        <f>Sales!H279*H510</f>
        <v>0</v>
      </c>
      <c r="I388" s="189">
        <f>Sales!J279*I510</f>
        <v>0</v>
      </c>
      <c r="J388" s="189">
        <f>Sales!K279*J510</f>
        <v>0</v>
      </c>
      <c r="K388" s="189">
        <f>Sales!L279*K510</f>
        <v>0</v>
      </c>
      <c r="L388" s="189">
        <f>Sales!N279*L510</f>
        <v>0</v>
      </c>
      <c r="M388" s="189">
        <f>Sales!O279*M510</f>
        <v>0</v>
      </c>
      <c r="N388" s="189">
        <f>Sales!P279*N510</f>
        <v>0</v>
      </c>
      <c r="O388" s="189">
        <f>Sales!R279*O510</f>
        <v>0</v>
      </c>
      <c r="P388" s="189">
        <f>Sales!S279*P510</f>
        <v>0</v>
      </c>
      <c r="Q388" s="189">
        <f>Sales!T279*Q510</f>
        <v>0</v>
      </c>
      <c r="R388" s="189">
        <f>Sales!V279*R510</f>
        <v>0</v>
      </c>
      <c r="S388" s="189">
        <f>Sales!W279*S510</f>
        <v>0</v>
      </c>
      <c r="T388" s="294">
        <f>Sales!X279*T510</f>
        <v>0</v>
      </c>
    </row>
    <row r="389" spans="1:20" ht="12.75" hidden="1" customHeight="1" outlineLevel="2" x14ac:dyDescent="0.2">
      <c r="A389" s="198" t="str">
        <f>"            "&amp;Labels!B318</f>
        <v xml:space="preserve">            Channels 2</v>
      </c>
      <c r="B389" s="189">
        <f>Sales!B279*Inputs!F59</f>
        <v>0</v>
      </c>
      <c r="C389" s="189">
        <f>Sales!B279*C511</f>
        <v>0</v>
      </c>
      <c r="D389" s="189">
        <f>Sales!C279*D511</f>
        <v>0</v>
      </c>
      <c r="E389" s="189">
        <f>Sales!D279*E511</f>
        <v>0</v>
      </c>
      <c r="F389" s="189">
        <f>Sales!F279*F511</f>
        <v>0</v>
      </c>
      <c r="G389" s="189">
        <f>Sales!G279*G511</f>
        <v>0</v>
      </c>
      <c r="H389" s="189">
        <f>Sales!H279*H511</f>
        <v>0</v>
      </c>
      <c r="I389" s="189">
        <f>Sales!J279*I511</f>
        <v>0</v>
      </c>
      <c r="J389" s="189">
        <f>Sales!K279*J511</f>
        <v>0</v>
      </c>
      <c r="K389" s="189">
        <f>Sales!L279*K511</f>
        <v>0</v>
      </c>
      <c r="L389" s="189">
        <f>Sales!N279*L511</f>
        <v>0</v>
      </c>
      <c r="M389" s="189">
        <f>Sales!O279*M511</f>
        <v>0</v>
      </c>
      <c r="N389" s="189">
        <f>Sales!P279*N511</f>
        <v>0</v>
      </c>
      <c r="O389" s="189">
        <f>Sales!R279*O511</f>
        <v>0</v>
      </c>
      <c r="P389" s="189">
        <f>Sales!S279*P511</f>
        <v>0</v>
      </c>
      <c r="Q389" s="189">
        <f>Sales!T279*Q511</f>
        <v>0</v>
      </c>
      <c r="R389" s="189">
        <f>Sales!V279*R511</f>
        <v>0</v>
      </c>
      <c r="S389" s="189">
        <f>Sales!W279*S511</f>
        <v>0</v>
      </c>
      <c r="T389" s="294">
        <f>Sales!X279*T511</f>
        <v>0</v>
      </c>
    </row>
    <row r="390" spans="1:20" ht="12.75" hidden="1" customHeight="1" outlineLevel="2" x14ac:dyDescent="0.2">
      <c r="A390" s="198" t="str">
        <f>"            "&amp;Labels!C316</f>
        <v xml:space="preserve">            Total</v>
      </c>
      <c r="B390" s="226">
        <f t="shared" ref="B390:T390" si="187">SUM(B388:B389)</f>
        <v>0</v>
      </c>
      <c r="C390" s="226">
        <f t="shared" si="187"/>
        <v>0</v>
      </c>
      <c r="D390" s="226">
        <f t="shared" si="187"/>
        <v>0</v>
      </c>
      <c r="E390" s="226">
        <f t="shared" si="187"/>
        <v>0</v>
      </c>
      <c r="F390" s="226">
        <f t="shared" si="187"/>
        <v>0</v>
      </c>
      <c r="G390" s="226">
        <f t="shared" si="187"/>
        <v>0</v>
      </c>
      <c r="H390" s="226">
        <f t="shared" si="187"/>
        <v>0</v>
      </c>
      <c r="I390" s="226">
        <f t="shared" si="187"/>
        <v>0</v>
      </c>
      <c r="J390" s="226">
        <f t="shared" si="187"/>
        <v>0</v>
      </c>
      <c r="K390" s="226">
        <f t="shared" si="187"/>
        <v>0</v>
      </c>
      <c r="L390" s="226">
        <f t="shared" si="187"/>
        <v>0</v>
      </c>
      <c r="M390" s="226">
        <f t="shared" si="187"/>
        <v>0</v>
      </c>
      <c r="N390" s="226">
        <f t="shared" si="187"/>
        <v>0</v>
      </c>
      <c r="O390" s="226">
        <f t="shared" si="187"/>
        <v>0</v>
      </c>
      <c r="P390" s="226">
        <f t="shared" si="187"/>
        <v>0</v>
      </c>
      <c r="Q390" s="226">
        <f t="shared" si="187"/>
        <v>0</v>
      </c>
      <c r="R390" s="226">
        <f t="shared" si="187"/>
        <v>0</v>
      </c>
      <c r="S390" s="226">
        <f t="shared" si="187"/>
        <v>0</v>
      </c>
      <c r="T390" s="279">
        <f t="shared" si="187"/>
        <v>0</v>
      </c>
    </row>
    <row r="391" spans="1:20" ht="12.75" hidden="1" customHeight="1" outlineLevel="2" x14ac:dyDescent="0.2">
      <c r="A391" s="198" t="str">
        <f>"         "&amp;Labels!C384</f>
        <v xml:space="preserve">         Total</v>
      </c>
      <c r="B391" s="226">
        <f t="shared" ref="B391:T391" si="188">SUM(B386,B390)</f>
        <v>0</v>
      </c>
      <c r="C391" s="226">
        <f t="shared" si="188"/>
        <v>0</v>
      </c>
      <c r="D391" s="226">
        <f t="shared" si="188"/>
        <v>0</v>
      </c>
      <c r="E391" s="226">
        <f t="shared" si="188"/>
        <v>0</v>
      </c>
      <c r="F391" s="226">
        <f t="shared" si="188"/>
        <v>0</v>
      </c>
      <c r="G391" s="226">
        <f t="shared" si="188"/>
        <v>0</v>
      </c>
      <c r="H391" s="226">
        <f t="shared" si="188"/>
        <v>0</v>
      </c>
      <c r="I391" s="226">
        <f t="shared" si="188"/>
        <v>0</v>
      </c>
      <c r="J391" s="226">
        <f t="shared" si="188"/>
        <v>0</v>
      </c>
      <c r="K391" s="226">
        <f t="shared" si="188"/>
        <v>0</v>
      </c>
      <c r="L391" s="226">
        <f t="shared" si="188"/>
        <v>0</v>
      </c>
      <c r="M391" s="226">
        <f t="shared" si="188"/>
        <v>0</v>
      </c>
      <c r="N391" s="226">
        <f t="shared" si="188"/>
        <v>0</v>
      </c>
      <c r="O391" s="226">
        <f t="shared" si="188"/>
        <v>0</v>
      </c>
      <c r="P391" s="226">
        <f t="shared" si="188"/>
        <v>0</v>
      </c>
      <c r="Q391" s="226">
        <f t="shared" si="188"/>
        <v>0</v>
      </c>
      <c r="R391" s="226">
        <f t="shared" si="188"/>
        <v>0</v>
      </c>
      <c r="S391" s="226">
        <f t="shared" si="188"/>
        <v>0</v>
      </c>
      <c r="T391" s="279">
        <f t="shared" si="188"/>
        <v>0</v>
      </c>
    </row>
    <row r="392" spans="1:20" ht="12.75" hidden="1" customHeight="1" outlineLevel="2" x14ac:dyDescent="0.2">
      <c r="A392" s="198" t="str">
        <f>"            "&amp;Labels!B317</f>
        <v xml:space="preserve">            Channels 1</v>
      </c>
      <c r="B392" s="189">
        <f t="shared" ref="B392:T392" si="189">SUM(B384,B388)</f>
        <v>0</v>
      </c>
      <c r="C392" s="189">
        <f t="shared" si="189"/>
        <v>0</v>
      </c>
      <c r="D392" s="189">
        <f t="shared" si="189"/>
        <v>0</v>
      </c>
      <c r="E392" s="189">
        <f t="shared" si="189"/>
        <v>0</v>
      </c>
      <c r="F392" s="189">
        <f t="shared" si="189"/>
        <v>0</v>
      </c>
      <c r="G392" s="189">
        <f t="shared" si="189"/>
        <v>0</v>
      </c>
      <c r="H392" s="189">
        <f t="shared" si="189"/>
        <v>0</v>
      </c>
      <c r="I392" s="189">
        <f t="shared" si="189"/>
        <v>0</v>
      </c>
      <c r="J392" s="189">
        <f t="shared" si="189"/>
        <v>0</v>
      </c>
      <c r="K392" s="189">
        <f t="shared" si="189"/>
        <v>0</v>
      </c>
      <c r="L392" s="189">
        <f t="shared" si="189"/>
        <v>0</v>
      </c>
      <c r="M392" s="189">
        <f t="shared" si="189"/>
        <v>0</v>
      </c>
      <c r="N392" s="189">
        <f t="shared" si="189"/>
        <v>0</v>
      </c>
      <c r="O392" s="189">
        <f t="shared" si="189"/>
        <v>0</v>
      </c>
      <c r="P392" s="189">
        <f t="shared" si="189"/>
        <v>0</v>
      </c>
      <c r="Q392" s="189">
        <f t="shared" si="189"/>
        <v>0</v>
      </c>
      <c r="R392" s="189">
        <f t="shared" si="189"/>
        <v>0</v>
      </c>
      <c r="S392" s="189">
        <f t="shared" si="189"/>
        <v>0</v>
      </c>
      <c r="T392" s="294">
        <f t="shared" si="189"/>
        <v>0</v>
      </c>
    </row>
    <row r="393" spans="1:20" ht="12.75" hidden="1" customHeight="1" outlineLevel="2" x14ac:dyDescent="0.2">
      <c r="A393" s="198" t="str">
        <f>"            "&amp;Labels!B318</f>
        <v xml:space="preserve">            Channels 2</v>
      </c>
      <c r="B393" s="189">
        <f t="shared" ref="B393:T393" si="190">SUM(B385,B389)</f>
        <v>0</v>
      </c>
      <c r="C393" s="189">
        <f t="shared" si="190"/>
        <v>0</v>
      </c>
      <c r="D393" s="189">
        <f t="shared" si="190"/>
        <v>0</v>
      </c>
      <c r="E393" s="189">
        <f t="shared" si="190"/>
        <v>0</v>
      </c>
      <c r="F393" s="189">
        <f t="shared" si="190"/>
        <v>0</v>
      </c>
      <c r="G393" s="189">
        <f t="shared" si="190"/>
        <v>0</v>
      </c>
      <c r="H393" s="189">
        <f t="shared" si="190"/>
        <v>0</v>
      </c>
      <c r="I393" s="189">
        <f t="shared" si="190"/>
        <v>0</v>
      </c>
      <c r="J393" s="189">
        <f t="shared" si="190"/>
        <v>0</v>
      </c>
      <c r="K393" s="189">
        <f t="shared" si="190"/>
        <v>0</v>
      </c>
      <c r="L393" s="189">
        <f t="shared" si="190"/>
        <v>0</v>
      </c>
      <c r="M393" s="189">
        <f t="shared" si="190"/>
        <v>0</v>
      </c>
      <c r="N393" s="189">
        <f t="shared" si="190"/>
        <v>0</v>
      </c>
      <c r="O393" s="189">
        <f t="shared" si="190"/>
        <v>0</v>
      </c>
      <c r="P393" s="189">
        <f t="shared" si="190"/>
        <v>0</v>
      </c>
      <c r="Q393" s="189">
        <f t="shared" si="190"/>
        <v>0</v>
      </c>
      <c r="R393" s="189">
        <f t="shared" si="190"/>
        <v>0</v>
      </c>
      <c r="S393" s="189">
        <f t="shared" si="190"/>
        <v>0</v>
      </c>
      <c r="T393" s="294">
        <f t="shared" si="190"/>
        <v>0</v>
      </c>
    </row>
    <row r="394" spans="1:20" ht="12.75" hidden="1" customHeight="1" outlineLevel="2" x14ac:dyDescent="0.2">
      <c r="A394" s="198" t="str">
        <f>"            "&amp;Labels!C316</f>
        <v xml:space="preserve">            Total</v>
      </c>
      <c r="B394" s="226">
        <f t="shared" ref="B394:T394" si="191">SUM(B386,B390)</f>
        <v>0</v>
      </c>
      <c r="C394" s="226">
        <f t="shared" si="191"/>
        <v>0</v>
      </c>
      <c r="D394" s="226">
        <f t="shared" si="191"/>
        <v>0</v>
      </c>
      <c r="E394" s="226">
        <f t="shared" si="191"/>
        <v>0</v>
      </c>
      <c r="F394" s="226">
        <f t="shared" si="191"/>
        <v>0</v>
      </c>
      <c r="G394" s="226">
        <f t="shared" si="191"/>
        <v>0</v>
      </c>
      <c r="H394" s="226">
        <f t="shared" si="191"/>
        <v>0</v>
      </c>
      <c r="I394" s="226">
        <f t="shared" si="191"/>
        <v>0</v>
      </c>
      <c r="J394" s="226">
        <f t="shared" si="191"/>
        <v>0</v>
      </c>
      <c r="K394" s="226">
        <f t="shared" si="191"/>
        <v>0</v>
      </c>
      <c r="L394" s="226">
        <f t="shared" si="191"/>
        <v>0</v>
      </c>
      <c r="M394" s="226">
        <f t="shared" si="191"/>
        <v>0</v>
      </c>
      <c r="N394" s="226">
        <f t="shared" si="191"/>
        <v>0</v>
      </c>
      <c r="O394" s="226">
        <f t="shared" si="191"/>
        <v>0</v>
      </c>
      <c r="P394" s="226">
        <f t="shared" si="191"/>
        <v>0</v>
      </c>
      <c r="Q394" s="226">
        <f t="shared" si="191"/>
        <v>0</v>
      </c>
      <c r="R394" s="226">
        <f t="shared" si="191"/>
        <v>0</v>
      </c>
      <c r="S394" s="226">
        <f t="shared" si="191"/>
        <v>0</v>
      </c>
      <c r="T394" s="279">
        <f t="shared" si="191"/>
        <v>0</v>
      </c>
    </row>
    <row r="395" spans="1:20" ht="12.75" hidden="1" customHeight="1" outlineLevel="2" x14ac:dyDescent="0.2">
      <c r="A395" s="198" t="str">
        <f>"      "&amp;Labels!B382</f>
        <v xml:space="preserve">      Practice 2</v>
      </c>
      <c r="B395" s="226"/>
      <c r="C395" s="226"/>
      <c r="D395" s="226"/>
      <c r="E395" s="226"/>
      <c r="F395" s="226"/>
      <c r="G395" s="226"/>
      <c r="H395" s="226"/>
      <c r="I395" s="226"/>
      <c r="J395" s="226"/>
      <c r="K395" s="226"/>
      <c r="L395" s="226"/>
      <c r="M395" s="226"/>
      <c r="N395" s="226"/>
      <c r="O395" s="226"/>
      <c r="P395" s="226"/>
      <c r="Q395" s="226"/>
      <c r="R395" s="226"/>
      <c r="S395" s="226"/>
      <c r="T395" s="279"/>
    </row>
    <row r="396" spans="1:20" ht="12.75" hidden="1" customHeight="1" outlineLevel="2" x14ac:dyDescent="0.2">
      <c r="A396" s="198" t="str">
        <f>"         "&amp;Labels!B385</f>
        <v xml:space="preserve">         Prof Level 1</v>
      </c>
      <c r="B396" s="226"/>
      <c r="C396" s="226"/>
      <c r="D396" s="226"/>
      <c r="E396" s="226"/>
      <c r="F396" s="226"/>
      <c r="G396" s="226"/>
      <c r="H396" s="226"/>
      <c r="I396" s="226"/>
      <c r="J396" s="226"/>
      <c r="K396" s="226"/>
      <c r="L396" s="226"/>
      <c r="M396" s="226"/>
      <c r="N396" s="226"/>
      <c r="O396" s="226"/>
      <c r="P396" s="226"/>
      <c r="Q396" s="226"/>
      <c r="R396" s="226"/>
      <c r="S396" s="226"/>
      <c r="T396" s="279"/>
    </row>
    <row r="397" spans="1:20" ht="12.75" hidden="1" customHeight="1" outlineLevel="2" x14ac:dyDescent="0.2">
      <c r="A397" s="198" t="str">
        <f>"            "&amp;Labels!B317</f>
        <v xml:space="preserve">            Channels 1</v>
      </c>
      <c r="B397" s="189">
        <f>Sales!B282*Inputs!F60</f>
        <v>0</v>
      </c>
      <c r="C397" s="189">
        <f>Sales!B282*C519</f>
        <v>0</v>
      </c>
      <c r="D397" s="189">
        <f>Sales!C282*D519</f>
        <v>0</v>
      </c>
      <c r="E397" s="189">
        <f>Sales!D282*E519</f>
        <v>0</v>
      </c>
      <c r="F397" s="189">
        <f>Sales!F282*F519</f>
        <v>0</v>
      </c>
      <c r="G397" s="189">
        <f>Sales!G282*G519</f>
        <v>0</v>
      </c>
      <c r="H397" s="189">
        <f>Sales!H282*H519</f>
        <v>0</v>
      </c>
      <c r="I397" s="189">
        <f>Sales!J282*I519</f>
        <v>0</v>
      </c>
      <c r="J397" s="189">
        <f>Sales!K282*J519</f>
        <v>0</v>
      </c>
      <c r="K397" s="189">
        <f>Sales!L282*K519</f>
        <v>0</v>
      </c>
      <c r="L397" s="189">
        <f>Sales!N282*L519</f>
        <v>0</v>
      </c>
      <c r="M397" s="189">
        <f>Sales!O282*M519</f>
        <v>0</v>
      </c>
      <c r="N397" s="189">
        <f>Sales!P282*N519</f>
        <v>0</v>
      </c>
      <c r="O397" s="189">
        <f>Sales!R282*O519</f>
        <v>0</v>
      </c>
      <c r="P397" s="189">
        <f>Sales!S282*P519</f>
        <v>0</v>
      </c>
      <c r="Q397" s="189">
        <f>Sales!T282*Q519</f>
        <v>0</v>
      </c>
      <c r="R397" s="189">
        <f>Sales!V282*R519</f>
        <v>0</v>
      </c>
      <c r="S397" s="189">
        <f>Sales!W282*S519</f>
        <v>0</v>
      </c>
      <c r="T397" s="294">
        <f>Sales!X282*T519</f>
        <v>0</v>
      </c>
    </row>
    <row r="398" spans="1:20" ht="12.75" hidden="1" customHeight="1" outlineLevel="2" x14ac:dyDescent="0.2">
      <c r="A398" s="198" t="str">
        <f>"            "&amp;Labels!B318</f>
        <v xml:space="preserve">            Channels 2</v>
      </c>
      <c r="B398" s="189">
        <f>Sales!B282*Inputs!F61</f>
        <v>0</v>
      </c>
      <c r="C398" s="189">
        <f>Sales!B282*C520</f>
        <v>0</v>
      </c>
      <c r="D398" s="189">
        <f>Sales!C282*D520</f>
        <v>0</v>
      </c>
      <c r="E398" s="189">
        <f>Sales!D282*E520</f>
        <v>0</v>
      </c>
      <c r="F398" s="189">
        <f>Sales!F282*F520</f>
        <v>0</v>
      </c>
      <c r="G398" s="189">
        <f>Sales!G282*G520</f>
        <v>0</v>
      </c>
      <c r="H398" s="189">
        <f>Sales!H282*H520</f>
        <v>0</v>
      </c>
      <c r="I398" s="189">
        <f>Sales!J282*I520</f>
        <v>0</v>
      </c>
      <c r="J398" s="189">
        <f>Sales!K282*J520</f>
        <v>0</v>
      </c>
      <c r="K398" s="189">
        <f>Sales!L282*K520</f>
        <v>0</v>
      </c>
      <c r="L398" s="189">
        <f>Sales!N282*L520</f>
        <v>0</v>
      </c>
      <c r="M398" s="189">
        <f>Sales!O282*M520</f>
        <v>0</v>
      </c>
      <c r="N398" s="189">
        <f>Sales!P282*N520</f>
        <v>0</v>
      </c>
      <c r="O398" s="189">
        <f>Sales!R282*O520</f>
        <v>0</v>
      </c>
      <c r="P398" s="189">
        <f>Sales!S282*P520</f>
        <v>0</v>
      </c>
      <c r="Q398" s="189">
        <f>Sales!T282*Q520</f>
        <v>0</v>
      </c>
      <c r="R398" s="189">
        <f>Sales!V282*R520</f>
        <v>0</v>
      </c>
      <c r="S398" s="189">
        <f>Sales!W282*S520</f>
        <v>0</v>
      </c>
      <c r="T398" s="294">
        <f>Sales!X282*T520</f>
        <v>0</v>
      </c>
    </row>
    <row r="399" spans="1:20" ht="12.75" hidden="1" customHeight="1" outlineLevel="2" x14ac:dyDescent="0.2">
      <c r="A399" s="198" t="str">
        <f>"            "&amp;Labels!C316</f>
        <v xml:space="preserve">            Total</v>
      </c>
      <c r="B399" s="226">
        <f t="shared" ref="B399:T399" si="192">SUM(B397:B398)</f>
        <v>0</v>
      </c>
      <c r="C399" s="226">
        <f t="shared" si="192"/>
        <v>0</v>
      </c>
      <c r="D399" s="226">
        <f t="shared" si="192"/>
        <v>0</v>
      </c>
      <c r="E399" s="226">
        <f t="shared" si="192"/>
        <v>0</v>
      </c>
      <c r="F399" s="226">
        <f t="shared" si="192"/>
        <v>0</v>
      </c>
      <c r="G399" s="226">
        <f t="shared" si="192"/>
        <v>0</v>
      </c>
      <c r="H399" s="226">
        <f t="shared" si="192"/>
        <v>0</v>
      </c>
      <c r="I399" s="226">
        <f t="shared" si="192"/>
        <v>0</v>
      </c>
      <c r="J399" s="226">
        <f t="shared" si="192"/>
        <v>0</v>
      </c>
      <c r="K399" s="226">
        <f t="shared" si="192"/>
        <v>0</v>
      </c>
      <c r="L399" s="226">
        <f t="shared" si="192"/>
        <v>0</v>
      </c>
      <c r="M399" s="226">
        <f t="shared" si="192"/>
        <v>0</v>
      </c>
      <c r="N399" s="226">
        <f t="shared" si="192"/>
        <v>0</v>
      </c>
      <c r="O399" s="226">
        <f t="shared" si="192"/>
        <v>0</v>
      </c>
      <c r="P399" s="226">
        <f t="shared" si="192"/>
        <v>0</v>
      </c>
      <c r="Q399" s="226">
        <f t="shared" si="192"/>
        <v>0</v>
      </c>
      <c r="R399" s="226">
        <f t="shared" si="192"/>
        <v>0</v>
      </c>
      <c r="S399" s="226">
        <f t="shared" si="192"/>
        <v>0</v>
      </c>
      <c r="T399" s="279">
        <f t="shared" si="192"/>
        <v>0</v>
      </c>
    </row>
    <row r="400" spans="1:20" ht="12.75" hidden="1" customHeight="1" outlineLevel="2" x14ac:dyDescent="0.2">
      <c r="A400" s="198" t="str">
        <f>"         "&amp;Labels!B386</f>
        <v xml:space="preserve">         Prof Level 2</v>
      </c>
      <c r="B400" s="226"/>
      <c r="C400" s="226"/>
      <c r="D400" s="226"/>
      <c r="E400" s="226"/>
      <c r="F400" s="226"/>
      <c r="G400" s="226"/>
      <c r="H400" s="226"/>
      <c r="I400" s="226"/>
      <c r="J400" s="226"/>
      <c r="K400" s="226"/>
      <c r="L400" s="226"/>
      <c r="M400" s="226"/>
      <c r="N400" s="226"/>
      <c r="O400" s="226"/>
      <c r="P400" s="226"/>
      <c r="Q400" s="226"/>
      <c r="R400" s="226"/>
      <c r="S400" s="226"/>
      <c r="T400" s="279"/>
    </row>
    <row r="401" spans="1:20" ht="12.75" hidden="1" customHeight="1" outlineLevel="2" x14ac:dyDescent="0.2">
      <c r="A401" s="198" t="str">
        <f>"            "&amp;Labels!B317</f>
        <v xml:space="preserve">            Channels 1</v>
      </c>
      <c r="B401" s="189">
        <f>Sales!B283*Inputs!F62</f>
        <v>0</v>
      </c>
      <c r="C401" s="189">
        <f>Sales!B283*C523</f>
        <v>0</v>
      </c>
      <c r="D401" s="189">
        <f>Sales!C283*D523</f>
        <v>0</v>
      </c>
      <c r="E401" s="189">
        <f>Sales!D283*E523</f>
        <v>0</v>
      </c>
      <c r="F401" s="189">
        <f>Sales!F283*F523</f>
        <v>0</v>
      </c>
      <c r="G401" s="189">
        <f>Sales!G283*G523</f>
        <v>0</v>
      </c>
      <c r="H401" s="189">
        <f>Sales!H283*H523</f>
        <v>0</v>
      </c>
      <c r="I401" s="189">
        <f>Sales!J283*I523</f>
        <v>0</v>
      </c>
      <c r="J401" s="189">
        <f>Sales!K283*J523</f>
        <v>0</v>
      </c>
      <c r="K401" s="189">
        <f>Sales!L283*K523</f>
        <v>0</v>
      </c>
      <c r="L401" s="189">
        <f>Sales!N283*L523</f>
        <v>0</v>
      </c>
      <c r="M401" s="189">
        <f>Sales!O283*M523</f>
        <v>0</v>
      </c>
      <c r="N401" s="189">
        <f>Sales!P283*N523</f>
        <v>0</v>
      </c>
      <c r="O401" s="189">
        <f>Sales!R283*O523</f>
        <v>0</v>
      </c>
      <c r="P401" s="189">
        <f>Sales!S283*P523</f>
        <v>0</v>
      </c>
      <c r="Q401" s="189">
        <f>Sales!T283*Q523</f>
        <v>0</v>
      </c>
      <c r="R401" s="189">
        <f>Sales!V283*R523</f>
        <v>0</v>
      </c>
      <c r="S401" s="189">
        <f>Sales!W283*S523</f>
        <v>0</v>
      </c>
      <c r="T401" s="294">
        <f>Sales!X283*T523</f>
        <v>0</v>
      </c>
    </row>
    <row r="402" spans="1:20" ht="12.75" hidden="1" customHeight="1" outlineLevel="2" x14ac:dyDescent="0.2">
      <c r="A402" s="198" t="str">
        <f>"            "&amp;Labels!B318</f>
        <v xml:space="preserve">            Channels 2</v>
      </c>
      <c r="B402" s="189">
        <f>Sales!B283*Inputs!F63</f>
        <v>0</v>
      </c>
      <c r="C402" s="189">
        <f>Sales!B283*C524</f>
        <v>0</v>
      </c>
      <c r="D402" s="189">
        <f>Sales!C283*D524</f>
        <v>0</v>
      </c>
      <c r="E402" s="189">
        <f>Sales!D283*E524</f>
        <v>0</v>
      </c>
      <c r="F402" s="189">
        <f>Sales!F283*F524</f>
        <v>0</v>
      </c>
      <c r="G402" s="189">
        <f>Sales!G283*G524</f>
        <v>0</v>
      </c>
      <c r="H402" s="189">
        <f>Sales!H283*H524</f>
        <v>0</v>
      </c>
      <c r="I402" s="189">
        <f>Sales!J283*I524</f>
        <v>0</v>
      </c>
      <c r="J402" s="189">
        <f>Sales!K283*J524</f>
        <v>0</v>
      </c>
      <c r="K402" s="189">
        <f>Sales!L283*K524</f>
        <v>0</v>
      </c>
      <c r="L402" s="189">
        <f>Sales!N283*L524</f>
        <v>0</v>
      </c>
      <c r="M402" s="189">
        <f>Sales!O283*M524</f>
        <v>0</v>
      </c>
      <c r="N402" s="189">
        <f>Sales!P283*N524</f>
        <v>0</v>
      </c>
      <c r="O402" s="189">
        <f>Sales!R283*O524</f>
        <v>0</v>
      </c>
      <c r="P402" s="189">
        <f>Sales!S283*P524</f>
        <v>0</v>
      </c>
      <c r="Q402" s="189">
        <f>Sales!T283*Q524</f>
        <v>0</v>
      </c>
      <c r="R402" s="189">
        <f>Sales!V283*R524</f>
        <v>0</v>
      </c>
      <c r="S402" s="189">
        <f>Sales!W283*S524</f>
        <v>0</v>
      </c>
      <c r="T402" s="294">
        <f>Sales!X283*T524</f>
        <v>0</v>
      </c>
    </row>
    <row r="403" spans="1:20" ht="12.75" hidden="1" customHeight="1" outlineLevel="2" x14ac:dyDescent="0.2">
      <c r="A403" s="198" t="str">
        <f>"            "&amp;Labels!C316</f>
        <v xml:space="preserve">            Total</v>
      </c>
      <c r="B403" s="226">
        <f t="shared" ref="B403:T403" si="193">SUM(B401:B402)</f>
        <v>0</v>
      </c>
      <c r="C403" s="226">
        <f t="shared" si="193"/>
        <v>0</v>
      </c>
      <c r="D403" s="226">
        <f t="shared" si="193"/>
        <v>0</v>
      </c>
      <c r="E403" s="226">
        <f t="shared" si="193"/>
        <v>0</v>
      </c>
      <c r="F403" s="226">
        <f t="shared" si="193"/>
        <v>0</v>
      </c>
      <c r="G403" s="226">
        <f t="shared" si="193"/>
        <v>0</v>
      </c>
      <c r="H403" s="226">
        <f t="shared" si="193"/>
        <v>0</v>
      </c>
      <c r="I403" s="226">
        <f t="shared" si="193"/>
        <v>0</v>
      </c>
      <c r="J403" s="226">
        <f t="shared" si="193"/>
        <v>0</v>
      </c>
      <c r="K403" s="226">
        <f t="shared" si="193"/>
        <v>0</v>
      </c>
      <c r="L403" s="226">
        <f t="shared" si="193"/>
        <v>0</v>
      </c>
      <c r="M403" s="226">
        <f t="shared" si="193"/>
        <v>0</v>
      </c>
      <c r="N403" s="226">
        <f t="shared" si="193"/>
        <v>0</v>
      </c>
      <c r="O403" s="226">
        <f t="shared" si="193"/>
        <v>0</v>
      </c>
      <c r="P403" s="226">
        <f t="shared" si="193"/>
        <v>0</v>
      </c>
      <c r="Q403" s="226">
        <f t="shared" si="193"/>
        <v>0</v>
      </c>
      <c r="R403" s="226">
        <f t="shared" si="193"/>
        <v>0</v>
      </c>
      <c r="S403" s="226">
        <f t="shared" si="193"/>
        <v>0</v>
      </c>
      <c r="T403" s="279">
        <f t="shared" si="193"/>
        <v>0</v>
      </c>
    </row>
    <row r="404" spans="1:20" ht="12.75" hidden="1" customHeight="1" outlineLevel="2" x14ac:dyDescent="0.2">
      <c r="A404" s="198" t="str">
        <f>"         "&amp;Labels!C384</f>
        <v xml:space="preserve">         Total</v>
      </c>
      <c r="B404" s="226">
        <f t="shared" ref="B404:T404" si="194">SUM(B399,B403)</f>
        <v>0</v>
      </c>
      <c r="C404" s="226">
        <f t="shared" si="194"/>
        <v>0</v>
      </c>
      <c r="D404" s="226">
        <f t="shared" si="194"/>
        <v>0</v>
      </c>
      <c r="E404" s="226">
        <f t="shared" si="194"/>
        <v>0</v>
      </c>
      <c r="F404" s="226">
        <f t="shared" si="194"/>
        <v>0</v>
      </c>
      <c r="G404" s="226">
        <f t="shared" si="194"/>
        <v>0</v>
      </c>
      <c r="H404" s="226">
        <f t="shared" si="194"/>
        <v>0</v>
      </c>
      <c r="I404" s="226">
        <f t="shared" si="194"/>
        <v>0</v>
      </c>
      <c r="J404" s="226">
        <f t="shared" si="194"/>
        <v>0</v>
      </c>
      <c r="K404" s="226">
        <f t="shared" si="194"/>
        <v>0</v>
      </c>
      <c r="L404" s="226">
        <f t="shared" si="194"/>
        <v>0</v>
      </c>
      <c r="M404" s="226">
        <f t="shared" si="194"/>
        <v>0</v>
      </c>
      <c r="N404" s="226">
        <f t="shared" si="194"/>
        <v>0</v>
      </c>
      <c r="O404" s="226">
        <f t="shared" si="194"/>
        <v>0</v>
      </c>
      <c r="P404" s="226">
        <f t="shared" si="194"/>
        <v>0</v>
      </c>
      <c r="Q404" s="226">
        <f t="shared" si="194"/>
        <v>0</v>
      </c>
      <c r="R404" s="226">
        <f t="shared" si="194"/>
        <v>0</v>
      </c>
      <c r="S404" s="226">
        <f t="shared" si="194"/>
        <v>0</v>
      </c>
      <c r="T404" s="279">
        <f t="shared" si="194"/>
        <v>0</v>
      </c>
    </row>
    <row r="405" spans="1:20" ht="12.75" hidden="1" customHeight="1" outlineLevel="2" x14ac:dyDescent="0.2">
      <c r="A405" s="198" t="str">
        <f>"            "&amp;Labels!B317</f>
        <v xml:space="preserve">            Channels 1</v>
      </c>
      <c r="B405" s="189">
        <f t="shared" ref="B405:T405" si="195">SUM(B397,B401)</f>
        <v>0</v>
      </c>
      <c r="C405" s="189">
        <f t="shared" si="195"/>
        <v>0</v>
      </c>
      <c r="D405" s="189">
        <f t="shared" si="195"/>
        <v>0</v>
      </c>
      <c r="E405" s="189">
        <f t="shared" si="195"/>
        <v>0</v>
      </c>
      <c r="F405" s="189">
        <f t="shared" si="195"/>
        <v>0</v>
      </c>
      <c r="G405" s="189">
        <f t="shared" si="195"/>
        <v>0</v>
      </c>
      <c r="H405" s="189">
        <f t="shared" si="195"/>
        <v>0</v>
      </c>
      <c r="I405" s="189">
        <f t="shared" si="195"/>
        <v>0</v>
      </c>
      <c r="J405" s="189">
        <f t="shared" si="195"/>
        <v>0</v>
      </c>
      <c r="K405" s="189">
        <f t="shared" si="195"/>
        <v>0</v>
      </c>
      <c r="L405" s="189">
        <f t="shared" si="195"/>
        <v>0</v>
      </c>
      <c r="M405" s="189">
        <f t="shared" si="195"/>
        <v>0</v>
      </c>
      <c r="N405" s="189">
        <f t="shared" si="195"/>
        <v>0</v>
      </c>
      <c r="O405" s="189">
        <f t="shared" si="195"/>
        <v>0</v>
      </c>
      <c r="P405" s="189">
        <f t="shared" si="195"/>
        <v>0</v>
      </c>
      <c r="Q405" s="189">
        <f t="shared" si="195"/>
        <v>0</v>
      </c>
      <c r="R405" s="189">
        <f t="shared" si="195"/>
        <v>0</v>
      </c>
      <c r="S405" s="189">
        <f t="shared" si="195"/>
        <v>0</v>
      </c>
      <c r="T405" s="294">
        <f t="shared" si="195"/>
        <v>0</v>
      </c>
    </row>
    <row r="406" spans="1:20" ht="12.75" hidden="1" customHeight="1" outlineLevel="2" x14ac:dyDescent="0.2">
      <c r="A406" s="198" t="str">
        <f>"            "&amp;Labels!B318</f>
        <v xml:space="preserve">            Channels 2</v>
      </c>
      <c r="B406" s="189">
        <f t="shared" ref="B406:T406" si="196">SUM(B398,B402)</f>
        <v>0</v>
      </c>
      <c r="C406" s="189">
        <f t="shared" si="196"/>
        <v>0</v>
      </c>
      <c r="D406" s="189">
        <f t="shared" si="196"/>
        <v>0</v>
      </c>
      <c r="E406" s="189">
        <f t="shared" si="196"/>
        <v>0</v>
      </c>
      <c r="F406" s="189">
        <f t="shared" si="196"/>
        <v>0</v>
      </c>
      <c r="G406" s="189">
        <f t="shared" si="196"/>
        <v>0</v>
      </c>
      <c r="H406" s="189">
        <f t="shared" si="196"/>
        <v>0</v>
      </c>
      <c r="I406" s="189">
        <f t="shared" si="196"/>
        <v>0</v>
      </c>
      <c r="J406" s="189">
        <f t="shared" si="196"/>
        <v>0</v>
      </c>
      <c r="K406" s="189">
        <f t="shared" si="196"/>
        <v>0</v>
      </c>
      <c r="L406" s="189">
        <f t="shared" si="196"/>
        <v>0</v>
      </c>
      <c r="M406" s="189">
        <f t="shared" si="196"/>
        <v>0</v>
      </c>
      <c r="N406" s="189">
        <f t="shared" si="196"/>
        <v>0</v>
      </c>
      <c r="O406" s="189">
        <f t="shared" si="196"/>
        <v>0</v>
      </c>
      <c r="P406" s="189">
        <f t="shared" si="196"/>
        <v>0</v>
      </c>
      <c r="Q406" s="189">
        <f t="shared" si="196"/>
        <v>0</v>
      </c>
      <c r="R406" s="189">
        <f t="shared" si="196"/>
        <v>0</v>
      </c>
      <c r="S406" s="189">
        <f t="shared" si="196"/>
        <v>0</v>
      </c>
      <c r="T406" s="294">
        <f t="shared" si="196"/>
        <v>0</v>
      </c>
    </row>
    <row r="407" spans="1:20" ht="12.75" hidden="1" customHeight="1" outlineLevel="2" x14ac:dyDescent="0.2">
      <c r="A407" s="198" t="str">
        <f>"            "&amp;Labels!C316</f>
        <v xml:space="preserve">            Total</v>
      </c>
      <c r="B407" s="226">
        <f t="shared" ref="B407:T407" si="197">SUM(B399,B403)</f>
        <v>0</v>
      </c>
      <c r="C407" s="226">
        <f t="shared" si="197"/>
        <v>0</v>
      </c>
      <c r="D407" s="226">
        <f t="shared" si="197"/>
        <v>0</v>
      </c>
      <c r="E407" s="226">
        <f t="shared" si="197"/>
        <v>0</v>
      </c>
      <c r="F407" s="226">
        <f t="shared" si="197"/>
        <v>0</v>
      </c>
      <c r="G407" s="226">
        <f t="shared" si="197"/>
        <v>0</v>
      </c>
      <c r="H407" s="226">
        <f t="shared" si="197"/>
        <v>0</v>
      </c>
      <c r="I407" s="226">
        <f t="shared" si="197"/>
        <v>0</v>
      </c>
      <c r="J407" s="226">
        <f t="shared" si="197"/>
        <v>0</v>
      </c>
      <c r="K407" s="226">
        <f t="shared" si="197"/>
        <v>0</v>
      </c>
      <c r="L407" s="226">
        <f t="shared" si="197"/>
        <v>0</v>
      </c>
      <c r="M407" s="226">
        <f t="shared" si="197"/>
        <v>0</v>
      </c>
      <c r="N407" s="226">
        <f t="shared" si="197"/>
        <v>0</v>
      </c>
      <c r="O407" s="226">
        <f t="shared" si="197"/>
        <v>0</v>
      </c>
      <c r="P407" s="226">
        <f t="shared" si="197"/>
        <v>0</v>
      </c>
      <c r="Q407" s="226">
        <f t="shared" si="197"/>
        <v>0</v>
      </c>
      <c r="R407" s="226">
        <f t="shared" si="197"/>
        <v>0</v>
      </c>
      <c r="S407" s="226">
        <f t="shared" si="197"/>
        <v>0</v>
      </c>
      <c r="T407" s="279">
        <f t="shared" si="197"/>
        <v>0</v>
      </c>
    </row>
    <row r="408" spans="1:20" ht="12.75" hidden="1" customHeight="1" outlineLevel="2" x14ac:dyDescent="0.2">
      <c r="A408" s="188" t="str">
        <f>"      "&amp;Labels!C380</f>
        <v xml:space="preserve">      Total</v>
      </c>
      <c r="B408" s="196">
        <f t="shared" ref="B408:T408" si="198">SUM(B391,B404)</f>
        <v>0</v>
      </c>
      <c r="C408" s="196">
        <f t="shared" si="198"/>
        <v>0</v>
      </c>
      <c r="D408" s="196">
        <f t="shared" si="198"/>
        <v>0</v>
      </c>
      <c r="E408" s="196">
        <f t="shared" si="198"/>
        <v>0</v>
      </c>
      <c r="F408" s="196">
        <f t="shared" si="198"/>
        <v>0</v>
      </c>
      <c r="G408" s="196">
        <f t="shared" si="198"/>
        <v>0</v>
      </c>
      <c r="H408" s="196">
        <f t="shared" si="198"/>
        <v>0</v>
      </c>
      <c r="I408" s="196">
        <f t="shared" si="198"/>
        <v>0</v>
      </c>
      <c r="J408" s="196">
        <f t="shared" si="198"/>
        <v>0</v>
      </c>
      <c r="K408" s="196">
        <f t="shared" si="198"/>
        <v>0</v>
      </c>
      <c r="L408" s="196">
        <f t="shared" si="198"/>
        <v>0</v>
      </c>
      <c r="M408" s="196">
        <f t="shared" si="198"/>
        <v>0</v>
      </c>
      <c r="N408" s="196">
        <f t="shared" si="198"/>
        <v>0</v>
      </c>
      <c r="O408" s="196">
        <f t="shared" si="198"/>
        <v>0</v>
      </c>
      <c r="P408" s="196">
        <f t="shared" si="198"/>
        <v>0</v>
      </c>
      <c r="Q408" s="196">
        <f t="shared" si="198"/>
        <v>0</v>
      </c>
      <c r="R408" s="196">
        <f t="shared" si="198"/>
        <v>0</v>
      </c>
      <c r="S408" s="196">
        <f t="shared" si="198"/>
        <v>0</v>
      </c>
      <c r="T408" s="267">
        <f t="shared" si="198"/>
        <v>0</v>
      </c>
    </row>
    <row r="409" spans="1:20" ht="12.75" hidden="1" customHeight="1" outlineLevel="2" x14ac:dyDescent="0.2">
      <c r="A409" s="198" t="str">
        <f>"         "&amp;Labels!B385</f>
        <v xml:space="preserve">         Prof Level 1</v>
      </c>
      <c r="B409" s="226"/>
      <c r="C409" s="226"/>
      <c r="D409" s="226"/>
      <c r="E409" s="226"/>
      <c r="F409" s="226"/>
      <c r="G409" s="226"/>
      <c r="H409" s="226"/>
      <c r="I409" s="226"/>
      <c r="J409" s="226"/>
      <c r="K409" s="226"/>
      <c r="L409" s="226"/>
      <c r="M409" s="226"/>
      <c r="N409" s="226"/>
      <c r="O409" s="226"/>
      <c r="P409" s="226"/>
      <c r="Q409" s="226"/>
      <c r="R409" s="226"/>
      <c r="S409" s="226"/>
      <c r="T409" s="279"/>
    </row>
    <row r="410" spans="1:20" ht="12.75" hidden="1" customHeight="1" outlineLevel="2" x14ac:dyDescent="0.2">
      <c r="A410" s="198" t="str">
        <f>"            "&amp;Labels!B317</f>
        <v xml:space="preserve">            Channels 1</v>
      </c>
      <c r="B410" s="189">
        <f t="shared" ref="B410:T410" si="199">SUM(B384,B397)</f>
        <v>0</v>
      </c>
      <c r="C410" s="189">
        <f t="shared" si="199"/>
        <v>0</v>
      </c>
      <c r="D410" s="189">
        <f t="shared" si="199"/>
        <v>0</v>
      </c>
      <c r="E410" s="189">
        <f t="shared" si="199"/>
        <v>0</v>
      </c>
      <c r="F410" s="189">
        <f t="shared" si="199"/>
        <v>0</v>
      </c>
      <c r="G410" s="189">
        <f t="shared" si="199"/>
        <v>0</v>
      </c>
      <c r="H410" s="189">
        <f t="shared" si="199"/>
        <v>0</v>
      </c>
      <c r="I410" s="189">
        <f t="shared" si="199"/>
        <v>0</v>
      </c>
      <c r="J410" s="189">
        <f t="shared" si="199"/>
        <v>0</v>
      </c>
      <c r="K410" s="189">
        <f t="shared" si="199"/>
        <v>0</v>
      </c>
      <c r="L410" s="189">
        <f t="shared" si="199"/>
        <v>0</v>
      </c>
      <c r="M410" s="189">
        <f t="shared" si="199"/>
        <v>0</v>
      </c>
      <c r="N410" s="189">
        <f t="shared" si="199"/>
        <v>0</v>
      </c>
      <c r="O410" s="189">
        <f t="shared" si="199"/>
        <v>0</v>
      </c>
      <c r="P410" s="189">
        <f t="shared" si="199"/>
        <v>0</v>
      </c>
      <c r="Q410" s="189">
        <f t="shared" si="199"/>
        <v>0</v>
      </c>
      <c r="R410" s="189">
        <f t="shared" si="199"/>
        <v>0</v>
      </c>
      <c r="S410" s="189">
        <f t="shared" si="199"/>
        <v>0</v>
      </c>
      <c r="T410" s="294">
        <f t="shared" si="199"/>
        <v>0</v>
      </c>
    </row>
    <row r="411" spans="1:20" ht="12.75" hidden="1" customHeight="1" outlineLevel="2" x14ac:dyDescent="0.2">
      <c r="A411" s="198" t="str">
        <f>"            "&amp;Labels!B318</f>
        <v xml:space="preserve">            Channels 2</v>
      </c>
      <c r="B411" s="189">
        <f t="shared" ref="B411:T411" si="200">SUM(B385,B398)</f>
        <v>0</v>
      </c>
      <c r="C411" s="189">
        <f t="shared" si="200"/>
        <v>0</v>
      </c>
      <c r="D411" s="189">
        <f t="shared" si="200"/>
        <v>0</v>
      </c>
      <c r="E411" s="189">
        <f t="shared" si="200"/>
        <v>0</v>
      </c>
      <c r="F411" s="189">
        <f t="shared" si="200"/>
        <v>0</v>
      </c>
      <c r="G411" s="189">
        <f t="shared" si="200"/>
        <v>0</v>
      </c>
      <c r="H411" s="189">
        <f t="shared" si="200"/>
        <v>0</v>
      </c>
      <c r="I411" s="189">
        <f t="shared" si="200"/>
        <v>0</v>
      </c>
      <c r="J411" s="189">
        <f t="shared" si="200"/>
        <v>0</v>
      </c>
      <c r="K411" s="189">
        <f t="shared" si="200"/>
        <v>0</v>
      </c>
      <c r="L411" s="189">
        <f t="shared" si="200"/>
        <v>0</v>
      </c>
      <c r="M411" s="189">
        <f t="shared" si="200"/>
        <v>0</v>
      </c>
      <c r="N411" s="189">
        <f t="shared" si="200"/>
        <v>0</v>
      </c>
      <c r="O411" s="189">
        <f t="shared" si="200"/>
        <v>0</v>
      </c>
      <c r="P411" s="189">
        <f t="shared" si="200"/>
        <v>0</v>
      </c>
      <c r="Q411" s="189">
        <f t="shared" si="200"/>
        <v>0</v>
      </c>
      <c r="R411" s="189">
        <f t="shared" si="200"/>
        <v>0</v>
      </c>
      <c r="S411" s="189">
        <f t="shared" si="200"/>
        <v>0</v>
      </c>
      <c r="T411" s="294">
        <f t="shared" si="200"/>
        <v>0</v>
      </c>
    </row>
    <row r="412" spans="1:20" ht="12.75" hidden="1" customHeight="1" outlineLevel="2" x14ac:dyDescent="0.2">
      <c r="A412" s="198" t="str">
        <f>"            "&amp;Labels!C316</f>
        <v xml:space="preserve">            Total</v>
      </c>
      <c r="B412" s="226">
        <f t="shared" ref="B412:T412" si="201">SUM(B386,B399)</f>
        <v>0</v>
      </c>
      <c r="C412" s="226">
        <f t="shared" si="201"/>
        <v>0</v>
      </c>
      <c r="D412" s="226">
        <f t="shared" si="201"/>
        <v>0</v>
      </c>
      <c r="E412" s="226">
        <f t="shared" si="201"/>
        <v>0</v>
      </c>
      <c r="F412" s="226">
        <f t="shared" si="201"/>
        <v>0</v>
      </c>
      <c r="G412" s="226">
        <f t="shared" si="201"/>
        <v>0</v>
      </c>
      <c r="H412" s="226">
        <f t="shared" si="201"/>
        <v>0</v>
      </c>
      <c r="I412" s="226">
        <f t="shared" si="201"/>
        <v>0</v>
      </c>
      <c r="J412" s="226">
        <f t="shared" si="201"/>
        <v>0</v>
      </c>
      <c r="K412" s="226">
        <f t="shared" si="201"/>
        <v>0</v>
      </c>
      <c r="L412" s="226">
        <f t="shared" si="201"/>
        <v>0</v>
      </c>
      <c r="M412" s="226">
        <f t="shared" si="201"/>
        <v>0</v>
      </c>
      <c r="N412" s="226">
        <f t="shared" si="201"/>
        <v>0</v>
      </c>
      <c r="O412" s="226">
        <f t="shared" si="201"/>
        <v>0</v>
      </c>
      <c r="P412" s="226">
        <f t="shared" si="201"/>
        <v>0</v>
      </c>
      <c r="Q412" s="226">
        <f t="shared" si="201"/>
        <v>0</v>
      </c>
      <c r="R412" s="226">
        <f t="shared" si="201"/>
        <v>0</v>
      </c>
      <c r="S412" s="226">
        <f t="shared" si="201"/>
        <v>0</v>
      </c>
      <c r="T412" s="279">
        <f t="shared" si="201"/>
        <v>0</v>
      </c>
    </row>
    <row r="413" spans="1:20" ht="12.75" hidden="1" customHeight="1" outlineLevel="2" x14ac:dyDescent="0.2">
      <c r="A413" s="198" t="str">
        <f>"         "&amp;Labels!B386</f>
        <v xml:space="preserve">         Prof Level 2</v>
      </c>
      <c r="B413" s="226"/>
      <c r="C413" s="226"/>
      <c r="D413" s="226"/>
      <c r="E413" s="226"/>
      <c r="F413" s="226"/>
      <c r="G413" s="226"/>
      <c r="H413" s="226"/>
      <c r="I413" s="226"/>
      <c r="J413" s="226"/>
      <c r="K413" s="226"/>
      <c r="L413" s="226"/>
      <c r="M413" s="226"/>
      <c r="N413" s="226"/>
      <c r="O413" s="226"/>
      <c r="P413" s="226"/>
      <c r="Q413" s="226"/>
      <c r="R413" s="226"/>
      <c r="S413" s="226"/>
      <c r="T413" s="279"/>
    </row>
    <row r="414" spans="1:20" ht="12.75" hidden="1" customHeight="1" outlineLevel="2" x14ac:dyDescent="0.2">
      <c r="A414" s="198" t="str">
        <f>"            "&amp;Labels!B317</f>
        <v xml:space="preserve">            Channels 1</v>
      </c>
      <c r="B414" s="189">
        <f t="shared" ref="B414:T414" si="202">SUM(B388,B401)</f>
        <v>0</v>
      </c>
      <c r="C414" s="189">
        <f t="shared" si="202"/>
        <v>0</v>
      </c>
      <c r="D414" s="189">
        <f t="shared" si="202"/>
        <v>0</v>
      </c>
      <c r="E414" s="189">
        <f t="shared" si="202"/>
        <v>0</v>
      </c>
      <c r="F414" s="189">
        <f t="shared" si="202"/>
        <v>0</v>
      </c>
      <c r="G414" s="189">
        <f t="shared" si="202"/>
        <v>0</v>
      </c>
      <c r="H414" s="189">
        <f t="shared" si="202"/>
        <v>0</v>
      </c>
      <c r="I414" s="189">
        <f t="shared" si="202"/>
        <v>0</v>
      </c>
      <c r="J414" s="189">
        <f t="shared" si="202"/>
        <v>0</v>
      </c>
      <c r="K414" s="189">
        <f t="shared" si="202"/>
        <v>0</v>
      </c>
      <c r="L414" s="189">
        <f t="shared" si="202"/>
        <v>0</v>
      </c>
      <c r="M414" s="189">
        <f t="shared" si="202"/>
        <v>0</v>
      </c>
      <c r="N414" s="189">
        <f t="shared" si="202"/>
        <v>0</v>
      </c>
      <c r="O414" s="189">
        <f t="shared" si="202"/>
        <v>0</v>
      </c>
      <c r="P414" s="189">
        <f t="shared" si="202"/>
        <v>0</v>
      </c>
      <c r="Q414" s="189">
        <f t="shared" si="202"/>
        <v>0</v>
      </c>
      <c r="R414" s="189">
        <f t="shared" si="202"/>
        <v>0</v>
      </c>
      <c r="S414" s="189">
        <f t="shared" si="202"/>
        <v>0</v>
      </c>
      <c r="T414" s="294">
        <f t="shared" si="202"/>
        <v>0</v>
      </c>
    </row>
    <row r="415" spans="1:20" ht="12.75" hidden="1" customHeight="1" outlineLevel="2" x14ac:dyDescent="0.2">
      <c r="A415" s="198" t="str">
        <f>"            "&amp;Labels!B318</f>
        <v xml:space="preserve">            Channels 2</v>
      </c>
      <c r="B415" s="189">
        <f t="shared" ref="B415:T415" si="203">SUM(B389,B402)</f>
        <v>0</v>
      </c>
      <c r="C415" s="189">
        <f t="shared" si="203"/>
        <v>0</v>
      </c>
      <c r="D415" s="189">
        <f t="shared" si="203"/>
        <v>0</v>
      </c>
      <c r="E415" s="189">
        <f t="shared" si="203"/>
        <v>0</v>
      </c>
      <c r="F415" s="189">
        <f t="shared" si="203"/>
        <v>0</v>
      </c>
      <c r="G415" s="189">
        <f t="shared" si="203"/>
        <v>0</v>
      </c>
      <c r="H415" s="189">
        <f t="shared" si="203"/>
        <v>0</v>
      </c>
      <c r="I415" s="189">
        <f t="shared" si="203"/>
        <v>0</v>
      </c>
      <c r="J415" s="189">
        <f t="shared" si="203"/>
        <v>0</v>
      </c>
      <c r="K415" s="189">
        <f t="shared" si="203"/>
        <v>0</v>
      </c>
      <c r="L415" s="189">
        <f t="shared" si="203"/>
        <v>0</v>
      </c>
      <c r="M415" s="189">
        <f t="shared" si="203"/>
        <v>0</v>
      </c>
      <c r="N415" s="189">
        <f t="shared" si="203"/>
        <v>0</v>
      </c>
      <c r="O415" s="189">
        <f t="shared" si="203"/>
        <v>0</v>
      </c>
      <c r="P415" s="189">
        <f t="shared" si="203"/>
        <v>0</v>
      </c>
      <c r="Q415" s="189">
        <f t="shared" si="203"/>
        <v>0</v>
      </c>
      <c r="R415" s="189">
        <f t="shared" si="203"/>
        <v>0</v>
      </c>
      <c r="S415" s="189">
        <f t="shared" si="203"/>
        <v>0</v>
      </c>
      <c r="T415" s="294">
        <f t="shared" si="203"/>
        <v>0</v>
      </c>
    </row>
    <row r="416" spans="1:20" ht="12.75" hidden="1" customHeight="1" outlineLevel="2" x14ac:dyDescent="0.2">
      <c r="A416" s="198" t="str">
        <f>"            "&amp;Labels!C316</f>
        <v xml:space="preserve">            Total</v>
      </c>
      <c r="B416" s="226">
        <f t="shared" ref="B416:T416" si="204">SUM(B390,B403)</f>
        <v>0</v>
      </c>
      <c r="C416" s="226">
        <f t="shared" si="204"/>
        <v>0</v>
      </c>
      <c r="D416" s="226">
        <f t="shared" si="204"/>
        <v>0</v>
      </c>
      <c r="E416" s="226">
        <f t="shared" si="204"/>
        <v>0</v>
      </c>
      <c r="F416" s="226">
        <f t="shared" si="204"/>
        <v>0</v>
      </c>
      <c r="G416" s="226">
        <f t="shared" si="204"/>
        <v>0</v>
      </c>
      <c r="H416" s="226">
        <f t="shared" si="204"/>
        <v>0</v>
      </c>
      <c r="I416" s="226">
        <f t="shared" si="204"/>
        <v>0</v>
      </c>
      <c r="J416" s="226">
        <f t="shared" si="204"/>
        <v>0</v>
      </c>
      <c r="K416" s="226">
        <f t="shared" si="204"/>
        <v>0</v>
      </c>
      <c r="L416" s="226">
        <f t="shared" si="204"/>
        <v>0</v>
      </c>
      <c r="M416" s="226">
        <f t="shared" si="204"/>
        <v>0</v>
      </c>
      <c r="N416" s="226">
        <f t="shared" si="204"/>
        <v>0</v>
      </c>
      <c r="O416" s="226">
        <f t="shared" si="204"/>
        <v>0</v>
      </c>
      <c r="P416" s="226">
        <f t="shared" si="204"/>
        <v>0</v>
      </c>
      <c r="Q416" s="226">
        <f t="shared" si="204"/>
        <v>0</v>
      </c>
      <c r="R416" s="226">
        <f t="shared" si="204"/>
        <v>0</v>
      </c>
      <c r="S416" s="226">
        <f t="shared" si="204"/>
        <v>0</v>
      </c>
      <c r="T416" s="279">
        <f t="shared" si="204"/>
        <v>0</v>
      </c>
    </row>
    <row r="417" spans="1:20" ht="12.75" hidden="1" customHeight="1" outlineLevel="2" x14ac:dyDescent="0.2">
      <c r="A417" s="198" t="str">
        <f>"         "&amp;Labels!C384</f>
        <v xml:space="preserve">         Total</v>
      </c>
      <c r="B417" s="226">
        <f t="shared" ref="B417:T417" si="205">SUM(B391,B404)</f>
        <v>0</v>
      </c>
      <c r="C417" s="226">
        <f t="shared" si="205"/>
        <v>0</v>
      </c>
      <c r="D417" s="226">
        <f t="shared" si="205"/>
        <v>0</v>
      </c>
      <c r="E417" s="226">
        <f t="shared" si="205"/>
        <v>0</v>
      </c>
      <c r="F417" s="226">
        <f t="shared" si="205"/>
        <v>0</v>
      </c>
      <c r="G417" s="226">
        <f t="shared" si="205"/>
        <v>0</v>
      </c>
      <c r="H417" s="226">
        <f t="shared" si="205"/>
        <v>0</v>
      </c>
      <c r="I417" s="226">
        <f t="shared" si="205"/>
        <v>0</v>
      </c>
      <c r="J417" s="226">
        <f t="shared" si="205"/>
        <v>0</v>
      </c>
      <c r="K417" s="226">
        <f t="shared" si="205"/>
        <v>0</v>
      </c>
      <c r="L417" s="226">
        <f t="shared" si="205"/>
        <v>0</v>
      </c>
      <c r="M417" s="226">
        <f t="shared" si="205"/>
        <v>0</v>
      </c>
      <c r="N417" s="226">
        <f t="shared" si="205"/>
        <v>0</v>
      </c>
      <c r="O417" s="226">
        <f t="shared" si="205"/>
        <v>0</v>
      </c>
      <c r="P417" s="226">
        <f t="shared" si="205"/>
        <v>0</v>
      </c>
      <c r="Q417" s="226">
        <f t="shared" si="205"/>
        <v>0</v>
      </c>
      <c r="R417" s="226">
        <f t="shared" si="205"/>
        <v>0</v>
      </c>
      <c r="S417" s="226">
        <f t="shared" si="205"/>
        <v>0</v>
      </c>
      <c r="T417" s="279">
        <f t="shared" si="205"/>
        <v>0</v>
      </c>
    </row>
    <row r="418" spans="1:20" ht="12.75" hidden="1" customHeight="1" outlineLevel="2" x14ac:dyDescent="0.2">
      <c r="A418" s="198" t="str">
        <f>"            "&amp;Labels!B317</f>
        <v xml:space="preserve">            Channels 1</v>
      </c>
      <c r="B418" s="189">
        <f t="shared" ref="B418:T418" si="206">SUM(B392,B405)</f>
        <v>0</v>
      </c>
      <c r="C418" s="189">
        <f t="shared" si="206"/>
        <v>0</v>
      </c>
      <c r="D418" s="189">
        <f t="shared" si="206"/>
        <v>0</v>
      </c>
      <c r="E418" s="189">
        <f t="shared" si="206"/>
        <v>0</v>
      </c>
      <c r="F418" s="189">
        <f t="shared" si="206"/>
        <v>0</v>
      </c>
      <c r="G418" s="189">
        <f t="shared" si="206"/>
        <v>0</v>
      </c>
      <c r="H418" s="189">
        <f t="shared" si="206"/>
        <v>0</v>
      </c>
      <c r="I418" s="189">
        <f t="shared" si="206"/>
        <v>0</v>
      </c>
      <c r="J418" s="189">
        <f t="shared" si="206"/>
        <v>0</v>
      </c>
      <c r="K418" s="189">
        <f t="shared" si="206"/>
        <v>0</v>
      </c>
      <c r="L418" s="189">
        <f t="shared" si="206"/>
        <v>0</v>
      </c>
      <c r="M418" s="189">
        <f t="shared" si="206"/>
        <v>0</v>
      </c>
      <c r="N418" s="189">
        <f t="shared" si="206"/>
        <v>0</v>
      </c>
      <c r="O418" s="189">
        <f t="shared" si="206"/>
        <v>0</v>
      </c>
      <c r="P418" s="189">
        <f t="shared" si="206"/>
        <v>0</v>
      </c>
      <c r="Q418" s="189">
        <f t="shared" si="206"/>
        <v>0</v>
      </c>
      <c r="R418" s="189">
        <f t="shared" si="206"/>
        <v>0</v>
      </c>
      <c r="S418" s="189">
        <f t="shared" si="206"/>
        <v>0</v>
      </c>
      <c r="T418" s="294">
        <f t="shared" si="206"/>
        <v>0</v>
      </c>
    </row>
    <row r="419" spans="1:20" ht="12.75" hidden="1" customHeight="1" outlineLevel="2" x14ac:dyDescent="0.2">
      <c r="A419" s="198" t="str">
        <f>"            "&amp;Labels!B318</f>
        <v xml:space="preserve">            Channels 2</v>
      </c>
      <c r="B419" s="189">
        <f t="shared" ref="B419:T419" si="207">SUM(B393,B406)</f>
        <v>0</v>
      </c>
      <c r="C419" s="189">
        <f t="shared" si="207"/>
        <v>0</v>
      </c>
      <c r="D419" s="189">
        <f t="shared" si="207"/>
        <v>0</v>
      </c>
      <c r="E419" s="189">
        <f t="shared" si="207"/>
        <v>0</v>
      </c>
      <c r="F419" s="189">
        <f t="shared" si="207"/>
        <v>0</v>
      </c>
      <c r="G419" s="189">
        <f t="shared" si="207"/>
        <v>0</v>
      </c>
      <c r="H419" s="189">
        <f t="shared" si="207"/>
        <v>0</v>
      </c>
      <c r="I419" s="189">
        <f t="shared" si="207"/>
        <v>0</v>
      </c>
      <c r="J419" s="189">
        <f t="shared" si="207"/>
        <v>0</v>
      </c>
      <c r="K419" s="189">
        <f t="shared" si="207"/>
        <v>0</v>
      </c>
      <c r="L419" s="189">
        <f t="shared" si="207"/>
        <v>0</v>
      </c>
      <c r="M419" s="189">
        <f t="shared" si="207"/>
        <v>0</v>
      </c>
      <c r="N419" s="189">
        <f t="shared" si="207"/>
        <v>0</v>
      </c>
      <c r="O419" s="189">
        <f t="shared" si="207"/>
        <v>0</v>
      </c>
      <c r="P419" s="189">
        <f t="shared" si="207"/>
        <v>0</v>
      </c>
      <c r="Q419" s="189">
        <f t="shared" si="207"/>
        <v>0</v>
      </c>
      <c r="R419" s="189">
        <f t="shared" si="207"/>
        <v>0</v>
      </c>
      <c r="S419" s="189">
        <f t="shared" si="207"/>
        <v>0</v>
      </c>
      <c r="T419" s="294">
        <f t="shared" si="207"/>
        <v>0</v>
      </c>
    </row>
    <row r="420" spans="1:20" ht="12.75" hidden="1" customHeight="1" outlineLevel="2" x14ac:dyDescent="0.2">
      <c r="A420" s="198" t="str">
        <f>"            "&amp;Labels!C316</f>
        <v xml:space="preserve">            Total</v>
      </c>
      <c r="B420" s="226">
        <f t="shared" ref="B420:T420" si="208">SUM(B391,B404)</f>
        <v>0</v>
      </c>
      <c r="C420" s="226">
        <f t="shared" si="208"/>
        <v>0</v>
      </c>
      <c r="D420" s="226">
        <f t="shared" si="208"/>
        <v>0</v>
      </c>
      <c r="E420" s="226">
        <f t="shared" si="208"/>
        <v>0</v>
      </c>
      <c r="F420" s="226">
        <f t="shared" si="208"/>
        <v>0</v>
      </c>
      <c r="G420" s="226">
        <f t="shared" si="208"/>
        <v>0</v>
      </c>
      <c r="H420" s="226">
        <f t="shared" si="208"/>
        <v>0</v>
      </c>
      <c r="I420" s="226">
        <f t="shared" si="208"/>
        <v>0</v>
      </c>
      <c r="J420" s="226">
        <f t="shared" si="208"/>
        <v>0</v>
      </c>
      <c r="K420" s="226">
        <f t="shared" si="208"/>
        <v>0</v>
      </c>
      <c r="L420" s="226">
        <f t="shared" si="208"/>
        <v>0</v>
      </c>
      <c r="M420" s="226">
        <f t="shared" si="208"/>
        <v>0</v>
      </c>
      <c r="N420" s="226">
        <f t="shared" si="208"/>
        <v>0</v>
      </c>
      <c r="O420" s="226">
        <f t="shared" si="208"/>
        <v>0</v>
      </c>
      <c r="P420" s="226">
        <f t="shared" si="208"/>
        <v>0</v>
      </c>
      <c r="Q420" s="226">
        <f t="shared" si="208"/>
        <v>0</v>
      </c>
      <c r="R420" s="226">
        <f t="shared" si="208"/>
        <v>0</v>
      </c>
      <c r="S420" s="226">
        <f t="shared" si="208"/>
        <v>0</v>
      </c>
      <c r="T420" s="279">
        <f t="shared" si="208"/>
        <v>0</v>
      </c>
    </row>
    <row r="421" spans="1:20" ht="12.75" hidden="1" customHeight="1" outlineLevel="2" x14ac:dyDescent="0.2">
      <c r="A421" s="188" t="str">
        <f>"   "&amp;Labels!B390</f>
        <v xml:space="preserve">   Lead Qual 2</v>
      </c>
      <c r="B421" s="196"/>
      <c r="C421" s="196"/>
      <c r="D421" s="196"/>
      <c r="E421" s="196"/>
      <c r="F421" s="196"/>
      <c r="G421" s="196"/>
      <c r="H421" s="196"/>
      <c r="I421" s="196"/>
      <c r="J421" s="196"/>
      <c r="K421" s="196"/>
      <c r="L421" s="196"/>
      <c r="M421" s="196"/>
      <c r="N421" s="196"/>
      <c r="O421" s="196"/>
      <c r="P421" s="196"/>
      <c r="Q421" s="196"/>
      <c r="R421" s="196"/>
      <c r="S421" s="196"/>
      <c r="T421" s="267"/>
    </row>
    <row r="422" spans="1:20" ht="12.75" hidden="1" customHeight="1" outlineLevel="2" x14ac:dyDescent="0.2">
      <c r="A422" s="198" t="str">
        <f>"      "&amp;Labels!B381</f>
        <v xml:space="preserve">      Practice 1</v>
      </c>
      <c r="B422" s="226"/>
      <c r="C422" s="226"/>
      <c r="D422" s="226"/>
      <c r="E422" s="226"/>
      <c r="F422" s="226"/>
      <c r="G422" s="226"/>
      <c r="H422" s="226"/>
      <c r="I422" s="226"/>
      <c r="J422" s="226"/>
      <c r="K422" s="226"/>
      <c r="L422" s="226"/>
      <c r="M422" s="226"/>
      <c r="N422" s="226"/>
      <c r="O422" s="226"/>
      <c r="P422" s="226"/>
      <c r="Q422" s="226"/>
      <c r="R422" s="226"/>
      <c r="S422" s="226"/>
      <c r="T422" s="279"/>
    </row>
    <row r="423" spans="1:20" ht="12.75" hidden="1" customHeight="1" outlineLevel="2" x14ac:dyDescent="0.2">
      <c r="A423" s="198" t="str">
        <f>"         "&amp;Labels!B385</f>
        <v xml:space="preserve">         Prof Level 1</v>
      </c>
      <c r="B423" s="226"/>
      <c r="C423" s="226"/>
      <c r="D423" s="226"/>
      <c r="E423" s="226"/>
      <c r="F423" s="226"/>
      <c r="G423" s="226"/>
      <c r="H423" s="226"/>
      <c r="I423" s="226"/>
      <c r="J423" s="226"/>
      <c r="K423" s="226"/>
      <c r="L423" s="226"/>
      <c r="M423" s="226"/>
      <c r="N423" s="226"/>
      <c r="O423" s="226"/>
      <c r="P423" s="226"/>
      <c r="Q423" s="226"/>
      <c r="R423" s="226"/>
      <c r="S423" s="226"/>
      <c r="T423" s="279"/>
    </row>
    <row r="424" spans="1:20" ht="12.75" hidden="1" customHeight="1" outlineLevel="2" x14ac:dyDescent="0.2">
      <c r="A424" s="198" t="str">
        <f>"            "&amp;Labels!B317</f>
        <v xml:space="preserve">            Channels 1</v>
      </c>
      <c r="B424" s="189">
        <f>Sales!B278*Inputs!G56</f>
        <v>0</v>
      </c>
      <c r="C424" s="189">
        <f>Sales!B278*C546</f>
        <v>0</v>
      </c>
      <c r="D424" s="189">
        <f>Sales!C278*D546</f>
        <v>0</v>
      </c>
      <c r="E424" s="189">
        <f>Sales!D278*E546</f>
        <v>0</v>
      </c>
      <c r="F424" s="189">
        <f>Sales!F278*F546</f>
        <v>0</v>
      </c>
      <c r="G424" s="189">
        <f>Sales!G278*G546</f>
        <v>0</v>
      </c>
      <c r="H424" s="189">
        <f>Sales!H278*H546</f>
        <v>0</v>
      </c>
      <c r="I424" s="189">
        <f>Sales!J278*I546</f>
        <v>0</v>
      </c>
      <c r="J424" s="189">
        <f>Sales!K278*J546</f>
        <v>0</v>
      </c>
      <c r="K424" s="189">
        <f>Sales!L278*K546</f>
        <v>0</v>
      </c>
      <c r="L424" s="189">
        <f>Sales!N278*L546</f>
        <v>0</v>
      </c>
      <c r="M424" s="189">
        <f>Sales!O278*M546</f>
        <v>0</v>
      </c>
      <c r="N424" s="189">
        <f>Sales!P278*N546</f>
        <v>0</v>
      </c>
      <c r="O424" s="189">
        <f>Sales!R278*O546</f>
        <v>0</v>
      </c>
      <c r="P424" s="189">
        <f>Sales!S278*P546</f>
        <v>0</v>
      </c>
      <c r="Q424" s="189">
        <f>Sales!T278*Q546</f>
        <v>0</v>
      </c>
      <c r="R424" s="189">
        <f>Sales!V278*R546</f>
        <v>0</v>
      </c>
      <c r="S424" s="189">
        <f>Sales!W278*S546</f>
        <v>0</v>
      </c>
      <c r="T424" s="294">
        <f>Sales!X278*T546</f>
        <v>0</v>
      </c>
    </row>
    <row r="425" spans="1:20" ht="12.75" hidden="1" customHeight="1" outlineLevel="2" x14ac:dyDescent="0.2">
      <c r="A425" s="198" t="str">
        <f>"            "&amp;Labels!B318</f>
        <v xml:space="preserve">            Channels 2</v>
      </c>
      <c r="B425" s="189">
        <f>Sales!B278*Inputs!G57</f>
        <v>0</v>
      </c>
      <c r="C425" s="189">
        <f>Sales!B278*C547</f>
        <v>0</v>
      </c>
      <c r="D425" s="189">
        <f>Sales!C278*D547</f>
        <v>0</v>
      </c>
      <c r="E425" s="189">
        <f>Sales!D278*E547</f>
        <v>0</v>
      </c>
      <c r="F425" s="189">
        <f>Sales!F278*F547</f>
        <v>0</v>
      </c>
      <c r="G425" s="189">
        <f>Sales!G278*G547</f>
        <v>0</v>
      </c>
      <c r="H425" s="189">
        <f>Sales!H278*H547</f>
        <v>0</v>
      </c>
      <c r="I425" s="189">
        <f>Sales!J278*I547</f>
        <v>0</v>
      </c>
      <c r="J425" s="189">
        <f>Sales!K278*J547</f>
        <v>0</v>
      </c>
      <c r="K425" s="189">
        <f>Sales!L278*K547</f>
        <v>0</v>
      </c>
      <c r="L425" s="189">
        <f>Sales!N278*L547</f>
        <v>0</v>
      </c>
      <c r="M425" s="189">
        <f>Sales!O278*M547</f>
        <v>0</v>
      </c>
      <c r="N425" s="189">
        <f>Sales!P278*N547</f>
        <v>0</v>
      </c>
      <c r="O425" s="189">
        <f>Sales!R278*O547</f>
        <v>0</v>
      </c>
      <c r="P425" s="189">
        <f>Sales!S278*P547</f>
        <v>0</v>
      </c>
      <c r="Q425" s="189">
        <f>Sales!T278*Q547</f>
        <v>0</v>
      </c>
      <c r="R425" s="189">
        <f>Sales!V278*R547</f>
        <v>0</v>
      </c>
      <c r="S425" s="189">
        <f>Sales!W278*S547</f>
        <v>0</v>
      </c>
      <c r="T425" s="294">
        <f>Sales!X278*T547</f>
        <v>0</v>
      </c>
    </row>
    <row r="426" spans="1:20" ht="12.75" hidden="1" customHeight="1" outlineLevel="2" x14ac:dyDescent="0.2">
      <c r="A426" s="198" t="str">
        <f>"            "&amp;Labels!C316</f>
        <v xml:space="preserve">            Total</v>
      </c>
      <c r="B426" s="226">
        <f t="shared" ref="B426:T426" si="209">SUM(B424:B425)</f>
        <v>0</v>
      </c>
      <c r="C426" s="226">
        <f t="shared" si="209"/>
        <v>0</v>
      </c>
      <c r="D426" s="226">
        <f t="shared" si="209"/>
        <v>0</v>
      </c>
      <c r="E426" s="226">
        <f t="shared" si="209"/>
        <v>0</v>
      </c>
      <c r="F426" s="226">
        <f t="shared" si="209"/>
        <v>0</v>
      </c>
      <c r="G426" s="226">
        <f t="shared" si="209"/>
        <v>0</v>
      </c>
      <c r="H426" s="226">
        <f t="shared" si="209"/>
        <v>0</v>
      </c>
      <c r="I426" s="226">
        <f t="shared" si="209"/>
        <v>0</v>
      </c>
      <c r="J426" s="226">
        <f t="shared" si="209"/>
        <v>0</v>
      </c>
      <c r="K426" s="226">
        <f t="shared" si="209"/>
        <v>0</v>
      </c>
      <c r="L426" s="226">
        <f t="shared" si="209"/>
        <v>0</v>
      </c>
      <c r="M426" s="226">
        <f t="shared" si="209"/>
        <v>0</v>
      </c>
      <c r="N426" s="226">
        <f t="shared" si="209"/>
        <v>0</v>
      </c>
      <c r="O426" s="226">
        <f t="shared" si="209"/>
        <v>0</v>
      </c>
      <c r="P426" s="226">
        <f t="shared" si="209"/>
        <v>0</v>
      </c>
      <c r="Q426" s="226">
        <f t="shared" si="209"/>
        <v>0</v>
      </c>
      <c r="R426" s="226">
        <f t="shared" si="209"/>
        <v>0</v>
      </c>
      <c r="S426" s="226">
        <f t="shared" si="209"/>
        <v>0</v>
      </c>
      <c r="T426" s="279">
        <f t="shared" si="209"/>
        <v>0</v>
      </c>
    </row>
    <row r="427" spans="1:20" ht="12.75" hidden="1" customHeight="1" outlineLevel="2" x14ac:dyDescent="0.2">
      <c r="A427" s="198" t="str">
        <f>"         "&amp;Labels!B386</f>
        <v xml:space="preserve">         Prof Level 2</v>
      </c>
      <c r="B427" s="226"/>
      <c r="C427" s="226"/>
      <c r="D427" s="226"/>
      <c r="E427" s="226"/>
      <c r="F427" s="226"/>
      <c r="G427" s="226"/>
      <c r="H427" s="226"/>
      <c r="I427" s="226"/>
      <c r="J427" s="226"/>
      <c r="K427" s="226"/>
      <c r="L427" s="226"/>
      <c r="M427" s="226"/>
      <c r="N427" s="226"/>
      <c r="O427" s="226"/>
      <c r="P427" s="226"/>
      <c r="Q427" s="226"/>
      <c r="R427" s="226"/>
      <c r="S427" s="226"/>
      <c r="T427" s="279"/>
    </row>
    <row r="428" spans="1:20" ht="12.75" hidden="1" customHeight="1" outlineLevel="2" x14ac:dyDescent="0.2">
      <c r="A428" s="198" t="str">
        <f>"            "&amp;Labels!B317</f>
        <v xml:space="preserve">            Channels 1</v>
      </c>
      <c r="B428" s="189">
        <f>Sales!B279*Inputs!G58</f>
        <v>0</v>
      </c>
      <c r="C428" s="189">
        <f>Sales!B279*C550</f>
        <v>0</v>
      </c>
      <c r="D428" s="189">
        <f>Sales!C279*D550</f>
        <v>0</v>
      </c>
      <c r="E428" s="189">
        <f>Sales!D279*E550</f>
        <v>0</v>
      </c>
      <c r="F428" s="189">
        <f>Sales!F279*F550</f>
        <v>0</v>
      </c>
      <c r="G428" s="189">
        <f>Sales!G279*G550</f>
        <v>0</v>
      </c>
      <c r="H428" s="189">
        <f>Sales!H279*H550</f>
        <v>0</v>
      </c>
      <c r="I428" s="189">
        <f>Sales!J279*I550</f>
        <v>0</v>
      </c>
      <c r="J428" s="189">
        <f>Sales!K279*J550</f>
        <v>0</v>
      </c>
      <c r="K428" s="189">
        <f>Sales!L279*K550</f>
        <v>0</v>
      </c>
      <c r="L428" s="189">
        <f>Sales!N279*L550</f>
        <v>0</v>
      </c>
      <c r="M428" s="189">
        <f>Sales!O279*M550</f>
        <v>0</v>
      </c>
      <c r="N428" s="189">
        <f>Sales!P279*N550</f>
        <v>0</v>
      </c>
      <c r="O428" s="189">
        <f>Sales!R279*O550</f>
        <v>0</v>
      </c>
      <c r="P428" s="189">
        <f>Sales!S279*P550</f>
        <v>0</v>
      </c>
      <c r="Q428" s="189">
        <f>Sales!T279*Q550</f>
        <v>0</v>
      </c>
      <c r="R428" s="189">
        <f>Sales!V279*R550</f>
        <v>0</v>
      </c>
      <c r="S428" s="189">
        <f>Sales!W279*S550</f>
        <v>0</v>
      </c>
      <c r="T428" s="294">
        <f>Sales!X279*T550</f>
        <v>0</v>
      </c>
    </row>
    <row r="429" spans="1:20" ht="12.75" hidden="1" customHeight="1" outlineLevel="2" x14ac:dyDescent="0.2">
      <c r="A429" s="198" t="str">
        <f>"            "&amp;Labels!B318</f>
        <v xml:space="preserve">            Channels 2</v>
      </c>
      <c r="B429" s="189">
        <f>Sales!B279*Inputs!G59</f>
        <v>0</v>
      </c>
      <c r="C429" s="189">
        <f>Sales!B279*C551</f>
        <v>0</v>
      </c>
      <c r="D429" s="189">
        <f>Sales!C279*D551</f>
        <v>0</v>
      </c>
      <c r="E429" s="189">
        <f>Sales!D279*E551</f>
        <v>0</v>
      </c>
      <c r="F429" s="189">
        <f>Sales!F279*F551</f>
        <v>0</v>
      </c>
      <c r="G429" s="189">
        <f>Sales!G279*G551</f>
        <v>0</v>
      </c>
      <c r="H429" s="189">
        <f>Sales!H279*H551</f>
        <v>0</v>
      </c>
      <c r="I429" s="189">
        <f>Sales!J279*I551</f>
        <v>0</v>
      </c>
      <c r="J429" s="189">
        <f>Sales!K279*J551</f>
        <v>0</v>
      </c>
      <c r="K429" s="189">
        <f>Sales!L279*K551</f>
        <v>0</v>
      </c>
      <c r="L429" s="189">
        <f>Sales!N279*L551</f>
        <v>0</v>
      </c>
      <c r="M429" s="189">
        <f>Sales!O279*M551</f>
        <v>0</v>
      </c>
      <c r="N429" s="189">
        <f>Sales!P279*N551</f>
        <v>0</v>
      </c>
      <c r="O429" s="189">
        <f>Sales!R279*O551</f>
        <v>0</v>
      </c>
      <c r="P429" s="189">
        <f>Sales!S279*P551</f>
        <v>0</v>
      </c>
      <c r="Q429" s="189">
        <f>Sales!T279*Q551</f>
        <v>0</v>
      </c>
      <c r="R429" s="189">
        <f>Sales!V279*R551</f>
        <v>0</v>
      </c>
      <c r="S429" s="189">
        <f>Sales!W279*S551</f>
        <v>0</v>
      </c>
      <c r="T429" s="294">
        <f>Sales!X279*T551</f>
        <v>0</v>
      </c>
    </row>
    <row r="430" spans="1:20" ht="12.75" hidden="1" customHeight="1" outlineLevel="2" x14ac:dyDescent="0.2">
      <c r="A430" s="198" t="str">
        <f>"            "&amp;Labels!C316</f>
        <v xml:space="preserve">            Total</v>
      </c>
      <c r="B430" s="226">
        <f t="shared" ref="B430:T430" si="210">SUM(B428:B429)</f>
        <v>0</v>
      </c>
      <c r="C430" s="226">
        <f t="shared" si="210"/>
        <v>0</v>
      </c>
      <c r="D430" s="226">
        <f t="shared" si="210"/>
        <v>0</v>
      </c>
      <c r="E430" s="226">
        <f t="shared" si="210"/>
        <v>0</v>
      </c>
      <c r="F430" s="226">
        <f t="shared" si="210"/>
        <v>0</v>
      </c>
      <c r="G430" s="226">
        <f t="shared" si="210"/>
        <v>0</v>
      </c>
      <c r="H430" s="226">
        <f t="shared" si="210"/>
        <v>0</v>
      </c>
      <c r="I430" s="226">
        <f t="shared" si="210"/>
        <v>0</v>
      </c>
      <c r="J430" s="226">
        <f t="shared" si="210"/>
        <v>0</v>
      </c>
      <c r="K430" s="226">
        <f t="shared" si="210"/>
        <v>0</v>
      </c>
      <c r="L430" s="226">
        <f t="shared" si="210"/>
        <v>0</v>
      </c>
      <c r="M430" s="226">
        <f t="shared" si="210"/>
        <v>0</v>
      </c>
      <c r="N430" s="226">
        <f t="shared" si="210"/>
        <v>0</v>
      </c>
      <c r="O430" s="226">
        <f t="shared" si="210"/>
        <v>0</v>
      </c>
      <c r="P430" s="226">
        <f t="shared" si="210"/>
        <v>0</v>
      </c>
      <c r="Q430" s="226">
        <f t="shared" si="210"/>
        <v>0</v>
      </c>
      <c r="R430" s="226">
        <f t="shared" si="210"/>
        <v>0</v>
      </c>
      <c r="S430" s="226">
        <f t="shared" si="210"/>
        <v>0</v>
      </c>
      <c r="T430" s="279">
        <f t="shared" si="210"/>
        <v>0</v>
      </c>
    </row>
    <row r="431" spans="1:20" ht="12.75" hidden="1" customHeight="1" outlineLevel="2" x14ac:dyDescent="0.2">
      <c r="A431" s="198" t="str">
        <f>"         "&amp;Labels!C384</f>
        <v xml:space="preserve">         Total</v>
      </c>
      <c r="B431" s="226">
        <f t="shared" ref="B431:T431" si="211">SUM(B426,B430)</f>
        <v>0</v>
      </c>
      <c r="C431" s="226">
        <f t="shared" si="211"/>
        <v>0</v>
      </c>
      <c r="D431" s="226">
        <f t="shared" si="211"/>
        <v>0</v>
      </c>
      <c r="E431" s="226">
        <f t="shared" si="211"/>
        <v>0</v>
      </c>
      <c r="F431" s="226">
        <f t="shared" si="211"/>
        <v>0</v>
      </c>
      <c r="G431" s="226">
        <f t="shared" si="211"/>
        <v>0</v>
      </c>
      <c r="H431" s="226">
        <f t="shared" si="211"/>
        <v>0</v>
      </c>
      <c r="I431" s="226">
        <f t="shared" si="211"/>
        <v>0</v>
      </c>
      <c r="J431" s="226">
        <f t="shared" si="211"/>
        <v>0</v>
      </c>
      <c r="K431" s="226">
        <f t="shared" si="211"/>
        <v>0</v>
      </c>
      <c r="L431" s="226">
        <f t="shared" si="211"/>
        <v>0</v>
      </c>
      <c r="M431" s="226">
        <f t="shared" si="211"/>
        <v>0</v>
      </c>
      <c r="N431" s="226">
        <f t="shared" si="211"/>
        <v>0</v>
      </c>
      <c r="O431" s="226">
        <f t="shared" si="211"/>
        <v>0</v>
      </c>
      <c r="P431" s="226">
        <f t="shared" si="211"/>
        <v>0</v>
      </c>
      <c r="Q431" s="226">
        <f t="shared" si="211"/>
        <v>0</v>
      </c>
      <c r="R431" s="226">
        <f t="shared" si="211"/>
        <v>0</v>
      </c>
      <c r="S431" s="226">
        <f t="shared" si="211"/>
        <v>0</v>
      </c>
      <c r="T431" s="279">
        <f t="shared" si="211"/>
        <v>0</v>
      </c>
    </row>
    <row r="432" spans="1:20" ht="12.75" hidden="1" customHeight="1" outlineLevel="2" x14ac:dyDescent="0.2">
      <c r="A432" s="198" t="str">
        <f>"            "&amp;Labels!B317</f>
        <v xml:space="preserve">            Channels 1</v>
      </c>
      <c r="B432" s="189">
        <f t="shared" ref="B432:T432" si="212">SUM(B424,B428)</f>
        <v>0</v>
      </c>
      <c r="C432" s="189">
        <f t="shared" si="212"/>
        <v>0</v>
      </c>
      <c r="D432" s="189">
        <f t="shared" si="212"/>
        <v>0</v>
      </c>
      <c r="E432" s="189">
        <f t="shared" si="212"/>
        <v>0</v>
      </c>
      <c r="F432" s="189">
        <f t="shared" si="212"/>
        <v>0</v>
      </c>
      <c r="G432" s="189">
        <f t="shared" si="212"/>
        <v>0</v>
      </c>
      <c r="H432" s="189">
        <f t="shared" si="212"/>
        <v>0</v>
      </c>
      <c r="I432" s="189">
        <f t="shared" si="212"/>
        <v>0</v>
      </c>
      <c r="J432" s="189">
        <f t="shared" si="212"/>
        <v>0</v>
      </c>
      <c r="K432" s="189">
        <f t="shared" si="212"/>
        <v>0</v>
      </c>
      <c r="L432" s="189">
        <f t="shared" si="212"/>
        <v>0</v>
      </c>
      <c r="M432" s="189">
        <f t="shared" si="212"/>
        <v>0</v>
      </c>
      <c r="N432" s="189">
        <f t="shared" si="212"/>
        <v>0</v>
      </c>
      <c r="O432" s="189">
        <f t="shared" si="212"/>
        <v>0</v>
      </c>
      <c r="P432" s="189">
        <f t="shared" si="212"/>
        <v>0</v>
      </c>
      <c r="Q432" s="189">
        <f t="shared" si="212"/>
        <v>0</v>
      </c>
      <c r="R432" s="189">
        <f t="shared" si="212"/>
        <v>0</v>
      </c>
      <c r="S432" s="189">
        <f t="shared" si="212"/>
        <v>0</v>
      </c>
      <c r="T432" s="294">
        <f t="shared" si="212"/>
        <v>0</v>
      </c>
    </row>
    <row r="433" spans="1:20" ht="12.75" hidden="1" customHeight="1" outlineLevel="2" x14ac:dyDescent="0.2">
      <c r="A433" s="198" t="str">
        <f>"            "&amp;Labels!B318</f>
        <v xml:space="preserve">            Channels 2</v>
      </c>
      <c r="B433" s="189">
        <f t="shared" ref="B433:T433" si="213">SUM(B425,B429)</f>
        <v>0</v>
      </c>
      <c r="C433" s="189">
        <f t="shared" si="213"/>
        <v>0</v>
      </c>
      <c r="D433" s="189">
        <f t="shared" si="213"/>
        <v>0</v>
      </c>
      <c r="E433" s="189">
        <f t="shared" si="213"/>
        <v>0</v>
      </c>
      <c r="F433" s="189">
        <f t="shared" si="213"/>
        <v>0</v>
      </c>
      <c r="G433" s="189">
        <f t="shared" si="213"/>
        <v>0</v>
      </c>
      <c r="H433" s="189">
        <f t="shared" si="213"/>
        <v>0</v>
      </c>
      <c r="I433" s="189">
        <f t="shared" si="213"/>
        <v>0</v>
      </c>
      <c r="J433" s="189">
        <f t="shared" si="213"/>
        <v>0</v>
      </c>
      <c r="K433" s="189">
        <f t="shared" si="213"/>
        <v>0</v>
      </c>
      <c r="L433" s="189">
        <f t="shared" si="213"/>
        <v>0</v>
      </c>
      <c r="M433" s="189">
        <f t="shared" si="213"/>
        <v>0</v>
      </c>
      <c r="N433" s="189">
        <f t="shared" si="213"/>
        <v>0</v>
      </c>
      <c r="O433" s="189">
        <f t="shared" si="213"/>
        <v>0</v>
      </c>
      <c r="P433" s="189">
        <f t="shared" si="213"/>
        <v>0</v>
      </c>
      <c r="Q433" s="189">
        <f t="shared" si="213"/>
        <v>0</v>
      </c>
      <c r="R433" s="189">
        <f t="shared" si="213"/>
        <v>0</v>
      </c>
      <c r="S433" s="189">
        <f t="shared" si="213"/>
        <v>0</v>
      </c>
      <c r="T433" s="294">
        <f t="shared" si="213"/>
        <v>0</v>
      </c>
    </row>
    <row r="434" spans="1:20" ht="12.75" hidden="1" customHeight="1" outlineLevel="2" x14ac:dyDescent="0.2">
      <c r="A434" s="198" t="str">
        <f>"            "&amp;Labels!C316</f>
        <v xml:space="preserve">            Total</v>
      </c>
      <c r="B434" s="226">
        <f t="shared" ref="B434:T434" si="214">SUM(B426,B430)</f>
        <v>0</v>
      </c>
      <c r="C434" s="226">
        <f t="shared" si="214"/>
        <v>0</v>
      </c>
      <c r="D434" s="226">
        <f t="shared" si="214"/>
        <v>0</v>
      </c>
      <c r="E434" s="226">
        <f t="shared" si="214"/>
        <v>0</v>
      </c>
      <c r="F434" s="226">
        <f t="shared" si="214"/>
        <v>0</v>
      </c>
      <c r="G434" s="226">
        <f t="shared" si="214"/>
        <v>0</v>
      </c>
      <c r="H434" s="226">
        <f t="shared" si="214"/>
        <v>0</v>
      </c>
      <c r="I434" s="226">
        <f t="shared" si="214"/>
        <v>0</v>
      </c>
      <c r="J434" s="226">
        <f t="shared" si="214"/>
        <v>0</v>
      </c>
      <c r="K434" s="226">
        <f t="shared" si="214"/>
        <v>0</v>
      </c>
      <c r="L434" s="226">
        <f t="shared" si="214"/>
        <v>0</v>
      </c>
      <c r="M434" s="226">
        <f t="shared" si="214"/>
        <v>0</v>
      </c>
      <c r="N434" s="226">
        <f t="shared" si="214"/>
        <v>0</v>
      </c>
      <c r="O434" s="226">
        <f t="shared" si="214"/>
        <v>0</v>
      </c>
      <c r="P434" s="226">
        <f t="shared" si="214"/>
        <v>0</v>
      </c>
      <c r="Q434" s="226">
        <f t="shared" si="214"/>
        <v>0</v>
      </c>
      <c r="R434" s="226">
        <f t="shared" si="214"/>
        <v>0</v>
      </c>
      <c r="S434" s="226">
        <f t="shared" si="214"/>
        <v>0</v>
      </c>
      <c r="T434" s="279">
        <f t="shared" si="214"/>
        <v>0</v>
      </c>
    </row>
    <row r="435" spans="1:20" ht="12.75" hidden="1" customHeight="1" outlineLevel="2" x14ac:dyDescent="0.2">
      <c r="A435" s="198" t="str">
        <f>"      "&amp;Labels!B382</f>
        <v xml:space="preserve">      Practice 2</v>
      </c>
      <c r="B435" s="226"/>
      <c r="C435" s="226"/>
      <c r="D435" s="226"/>
      <c r="E435" s="226"/>
      <c r="F435" s="226"/>
      <c r="G435" s="226"/>
      <c r="H435" s="226"/>
      <c r="I435" s="226"/>
      <c r="J435" s="226"/>
      <c r="K435" s="226"/>
      <c r="L435" s="226"/>
      <c r="M435" s="226"/>
      <c r="N435" s="226"/>
      <c r="O435" s="226"/>
      <c r="P435" s="226"/>
      <c r="Q435" s="226"/>
      <c r="R435" s="226"/>
      <c r="S435" s="226"/>
      <c r="T435" s="279"/>
    </row>
    <row r="436" spans="1:20" ht="12.75" hidden="1" customHeight="1" outlineLevel="2" x14ac:dyDescent="0.2">
      <c r="A436" s="198" t="str">
        <f>"         "&amp;Labels!B385</f>
        <v xml:space="preserve">         Prof Level 1</v>
      </c>
      <c r="B436" s="226"/>
      <c r="C436" s="226"/>
      <c r="D436" s="226"/>
      <c r="E436" s="226"/>
      <c r="F436" s="226"/>
      <c r="G436" s="226"/>
      <c r="H436" s="226"/>
      <c r="I436" s="226"/>
      <c r="J436" s="226"/>
      <c r="K436" s="226"/>
      <c r="L436" s="226"/>
      <c r="M436" s="226"/>
      <c r="N436" s="226"/>
      <c r="O436" s="226"/>
      <c r="P436" s="226"/>
      <c r="Q436" s="226"/>
      <c r="R436" s="226"/>
      <c r="S436" s="226"/>
      <c r="T436" s="279"/>
    </row>
    <row r="437" spans="1:20" ht="12.75" hidden="1" customHeight="1" outlineLevel="2" x14ac:dyDescent="0.2">
      <c r="A437" s="198" t="str">
        <f>"            "&amp;Labels!B317</f>
        <v xml:space="preserve">            Channels 1</v>
      </c>
      <c r="B437" s="189">
        <f>Sales!B282*Inputs!G60</f>
        <v>0</v>
      </c>
      <c r="C437" s="189">
        <f>Sales!B282*C559</f>
        <v>0</v>
      </c>
      <c r="D437" s="189">
        <f>Sales!C282*D559</f>
        <v>0</v>
      </c>
      <c r="E437" s="189">
        <f>Sales!D282*E559</f>
        <v>0</v>
      </c>
      <c r="F437" s="189">
        <f>Sales!F282*F559</f>
        <v>0</v>
      </c>
      <c r="G437" s="189">
        <f>Sales!G282*G559</f>
        <v>0</v>
      </c>
      <c r="H437" s="189">
        <f>Sales!H282*H559</f>
        <v>0</v>
      </c>
      <c r="I437" s="189">
        <f>Sales!J282*I559</f>
        <v>0</v>
      </c>
      <c r="J437" s="189">
        <f>Sales!K282*J559</f>
        <v>0</v>
      </c>
      <c r="K437" s="189">
        <f>Sales!L282*K559</f>
        <v>0</v>
      </c>
      <c r="L437" s="189">
        <f>Sales!N282*L559</f>
        <v>0</v>
      </c>
      <c r="M437" s="189">
        <f>Sales!O282*M559</f>
        <v>0</v>
      </c>
      <c r="N437" s="189">
        <f>Sales!P282*N559</f>
        <v>0</v>
      </c>
      <c r="O437" s="189">
        <f>Sales!R282*O559</f>
        <v>0</v>
      </c>
      <c r="P437" s="189">
        <f>Sales!S282*P559</f>
        <v>0</v>
      </c>
      <c r="Q437" s="189">
        <f>Sales!T282*Q559</f>
        <v>0</v>
      </c>
      <c r="R437" s="189">
        <f>Sales!V282*R559</f>
        <v>0</v>
      </c>
      <c r="S437" s="189">
        <f>Sales!W282*S559</f>
        <v>0</v>
      </c>
      <c r="T437" s="294">
        <f>Sales!X282*T559</f>
        <v>0</v>
      </c>
    </row>
    <row r="438" spans="1:20" ht="12.75" hidden="1" customHeight="1" outlineLevel="2" x14ac:dyDescent="0.2">
      <c r="A438" s="198" t="str">
        <f>"            "&amp;Labels!B318</f>
        <v xml:space="preserve">            Channels 2</v>
      </c>
      <c r="B438" s="189">
        <f>Sales!B282*Inputs!G61</f>
        <v>0</v>
      </c>
      <c r="C438" s="189">
        <f>Sales!B282*C560</f>
        <v>0</v>
      </c>
      <c r="D438" s="189">
        <f>Sales!C282*D560</f>
        <v>0</v>
      </c>
      <c r="E438" s="189">
        <f>Sales!D282*E560</f>
        <v>0</v>
      </c>
      <c r="F438" s="189">
        <f>Sales!F282*F560</f>
        <v>0</v>
      </c>
      <c r="G438" s="189">
        <f>Sales!G282*G560</f>
        <v>0</v>
      </c>
      <c r="H438" s="189">
        <f>Sales!H282*H560</f>
        <v>0</v>
      </c>
      <c r="I438" s="189">
        <f>Sales!J282*I560</f>
        <v>0</v>
      </c>
      <c r="J438" s="189">
        <f>Sales!K282*J560</f>
        <v>0</v>
      </c>
      <c r="K438" s="189">
        <f>Sales!L282*K560</f>
        <v>0</v>
      </c>
      <c r="L438" s="189">
        <f>Sales!N282*L560</f>
        <v>0</v>
      </c>
      <c r="M438" s="189">
        <f>Sales!O282*M560</f>
        <v>0</v>
      </c>
      <c r="N438" s="189">
        <f>Sales!P282*N560</f>
        <v>0</v>
      </c>
      <c r="O438" s="189">
        <f>Sales!R282*O560</f>
        <v>0</v>
      </c>
      <c r="P438" s="189">
        <f>Sales!S282*P560</f>
        <v>0</v>
      </c>
      <c r="Q438" s="189">
        <f>Sales!T282*Q560</f>
        <v>0</v>
      </c>
      <c r="R438" s="189">
        <f>Sales!V282*R560</f>
        <v>0</v>
      </c>
      <c r="S438" s="189">
        <f>Sales!W282*S560</f>
        <v>0</v>
      </c>
      <c r="T438" s="294">
        <f>Sales!X282*T560</f>
        <v>0</v>
      </c>
    </row>
    <row r="439" spans="1:20" ht="12.75" hidden="1" customHeight="1" outlineLevel="2" x14ac:dyDescent="0.2">
      <c r="A439" s="198" t="str">
        <f>"            "&amp;Labels!C316</f>
        <v xml:space="preserve">            Total</v>
      </c>
      <c r="B439" s="226">
        <f t="shared" ref="B439:T439" si="215">SUM(B437:B438)</f>
        <v>0</v>
      </c>
      <c r="C439" s="226">
        <f t="shared" si="215"/>
        <v>0</v>
      </c>
      <c r="D439" s="226">
        <f t="shared" si="215"/>
        <v>0</v>
      </c>
      <c r="E439" s="226">
        <f t="shared" si="215"/>
        <v>0</v>
      </c>
      <c r="F439" s="226">
        <f t="shared" si="215"/>
        <v>0</v>
      </c>
      <c r="G439" s="226">
        <f t="shared" si="215"/>
        <v>0</v>
      </c>
      <c r="H439" s="226">
        <f t="shared" si="215"/>
        <v>0</v>
      </c>
      <c r="I439" s="226">
        <f t="shared" si="215"/>
        <v>0</v>
      </c>
      <c r="J439" s="226">
        <f t="shared" si="215"/>
        <v>0</v>
      </c>
      <c r="K439" s="226">
        <f t="shared" si="215"/>
        <v>0</v>
      </c>
      <c r="L439" s="226">
        <f t="shared" si="215"/>
        <v>0</v>
      </c>
      <c r="M439" s="226">
        <f t="shared" si="215"/>
        <v>0</v>
      </c>
      <c r="N439" s="226">
        <f t="shared" si="215"/>
        <v>0</v>
      </c>
      <c r="O439" s="226">
        <f t="shared" si="215"/>
        <v>0</v>
      </c>
      <c r="P439" s="226">
        <f t="shared" si="215"/>
        <v>0</v>
      </c>
      <c r="Q439" s="226">
        <f t="shared" si="215"/>
        <v>0</v>
      </c>
      <c r="R439" s="226">
        <f t="shared" si="215"/>
        <v>0</v>
      </c>
      <c r="S439" s="226">
        <f t="shared" si="215"/>
        <v>0</v>
      </c>
      <c r="T439" s="279">
        <f t="shared" si="215"/>
        <v>0</v>
      </c>
    </row>
    <row r="440" spans="1:20" ht="12.75" hidden="1" customHeight="1" outlineLevel="2" x14ac:dyDescent="0.2">
      <c r="A440" s="198" t="str">
        <f>"         "&amp;Labels!B386</f>
        <v xml:space="preserve">         Prof Level 2</v>
      </c>
      <c r="B440" s="226"/>
      <c r="C440" s="226"/>
      <c r="D440" s="226"/>
      <c r="E440" s="226"/>
      <c r="F440" s="226"/>
      <c r="G440" s="226"/>
      <c r="H440" s="226"/>
      <c r="I440" s="226"/>
      <c r="J440" s="226"/>
      <c r="K440" s="226"/>
      <c r="L440" s="226"/>
      <c r="M440" s="226"/>
      <c r="N440" s="226"/>
      <c r="O440" s="226"/>
      <c r="P440" s="226"/>
      <c r="Q440" s="226"/>
      <c r="R440" s="226"/>
      <c r="S440" s="226"/>
      <c r="T440" s="279"/>
    </row>
    <row r="441" spans="1:20" ht="12.75" hidden="1" customHeight="1" outlineLevel="2" x14ac:dyDescent="0.2">
      <c r="A441" s="198" t="str">
        <f>"            "&amp;Labels!B317</f>
        <v xml:space="preserve">            Channels 1</v>
      </c>
      <c r="B441" s="189">
        <f>Sales!B283*Inputs!G62</f>
        <v>0</v>
      </c>
      <c r="C441" s="189">
        <f>Sales!B283*C563</f>
        <v>0</v>
      </c>
      <c r="D441" s="189">
        <f>Sales!C283*D563</f>
        <v>0</v>
      </c>
      <c r="E441" s="189">
        <f>Sales!D283*E563</f>
        <v>0</v>
      </c>
      <c r="F441" s="189">
        <f>Sales!F283*F563</f>
        <v>0</v>
      </c>
      <c r="G441" s="189">
        <f>Sales!G283*G563</f>
        <v>0</v>
      </c>
      <c r="H441" s="189">
        <f>Sales!H283*H563</f>
        <v>0</v>
      </c>
      <c r="I441" s="189">
        <f>Sales!J283*I563</f>
        <v>0</v>
      </c>
      <c r="J441" s="189">
        <f>Sales!K283*J563</f>
        <v>0</v>
      </c>
      <c r="K441" s="189">
        <f>Sales!L283*K563</f>
        <v>0</v>
      </c>
      <c r="L441" s="189">
        <f>Sales!N283*L563</f>
        <v>0</v>
      </c>
      <c r="M441" s="189">
        <f>Sales!O283*M563</f>
        <v>0</v>
      </c>
      <c r="N441" s="189">
        <f>Sales!P283*N563</f>
        <v>0</v>
      </c>
      <c r="O441" s="189">
        <f>Sales!R283*O563</f>
        <v>0</v>
      </c>
      <c r="P441" s="189">
        <f>Sales!S283*P563</f>
        <v>0</v>
      </c>
      <c r="Q441" s="189">
        <f>Sales!T283*Q563</f>
        <v>0</v>
      </c>
      <c r="R441" s="189">
        <f>Sales!V283*R563</f>
        <v>0</v>
      </c>
      <c r="S441" s="189">
        <f>Sales!W283*S563</f>
        <v>0</v>
      </c>
      <c r="T441" s="294">
        <f>Sales!X283*T563</f>
        <v>0</v>
      </c>
    </row>
    <row r="442" spans="1:20" ht="12.75" hidden="1" customHeight="1" outlineLevel="2" x14ac:dyDescent="0.2">
      <c r="A442" s="198" t="str">
        <f>"            "&amp;Labels!B318</f>
        <v xml:space="preserve">            Channels 2</v>
      </c>
      <c r="B442" s="189">
        <f>Sales!B283*Inputs!G63</f>
        <v>0</v>
      </c>
      <c r="C442" s="189">
        <f>Sales!B283*C564</f>
        <v>0</v>
      </c>
      <c r="D442" s="189">
        <f>Sales!C283*D564</f>
        <v>0</v>
      </c>
      <c r="E442" s="189">
        <f>Sales!D283*E564</f>
        <v>0</v>
      </c>
      <c r="F442" s="189">
        <f>Sales!F283*F564</f>
        <v>0</v>
      </c>
      <c r="G442" s="189">
        <f>Sales!G283*G564</f>
        <v>0</v>
      </c>
      <c r="H442" s="189">
        <f>Sales!H283*H564</f>
        <v>0</v>
      </c>
      <c r="I442" s="189">
        <f>Sales!J283*I564</f>
        <v>0</v>
      </c>
      <c r="J442" s="189">
        <f>Sales!K283*J564</f>
        <v>0</v>
      </c>
      <c r="K442" s="189">
        <f>Sales!L283*K564</f>
        <v>0</v>
      </c>
      <c r="L442" s="189">
        <f>Sales!N283*L564</f>
        <v>0</v>
      </c>
      <c r="M442" s="189">
        <f>Sales!O283*M564</f>
        <v>0</v>
      </c>
      <c r="N442" s="189">
        <f>Sales!P283*N564</f>
        <v>0</v>
      </c>
      <c r="O442" s="189">
        <f>Sales!R283*O564</f>
        <v>0</v>
      </c>
      <c r="P442" s="189">
        <f>Sales!S283*P564</f>
        <v>0</v>
      </c>
      <c r="Q442" s="189">
        <f>Sales!T283*Q564</f>
        <v>0</v>
      </c>
      <c r="R442" s="189">
        <f>Sales!V283*R564</f>
        <v>0</v>
      </c>
      <c r="S442" s="189">
        <f>Sales!W283*S564</f>
        <v>0</v>
      </c>
      <c r="T442" s="294">
        <f>Sales!X283*T564</f>
        <v>0</v>
      </c>
    </row>
    <row r="443" spans="1:20" ht="12.75" hidden="1" customHeight="1" outlineLevel="2" x14ac:dyDescent="0.2">
      <c r="A443" s="198" t="str">
        <f>"            "&amp;Labels!C316</f>
        <v xml:space="preserve">            Total</v>
      </c>
      <c r="B443" s="226">
        <f t="shared" ref="B443:T443" si="216">SUM(B441:B442)</f>
        <v>0</v>
      </c>
      <c r="C443" s="226">
        <f t="shared" si="216"/>
        <v>0</v>
      </c>
      <c r="D443" s="226">
        <f t="shared" si="216"/>
        <v>0</v>
      </c>
      <c r="E443" s="226">
        <f t="shared" si="216"/>
        <v>0</v>
      </c>
      <c r="F443" s="226">
        <f t="shared" si="216"/>
        <v>0</v>
      </c>
      <c r="G443" s="226">
        <f t="shared" si="216"/>
        <v>0</v>
      </c>
      <c r="H443" s="226">
        <f t="shared" si="216"/>
        <v>0</v>
      </c>
      <c r="I443" s="226">
        <f t="shared" si="216"/>
        <v>0</v>
      </c>
      <c r="J443" s="226">
        <f t="shared" si="216"/>
        <v>0</v>
      </c>
      <c r="K443" s="226">
        <f t="shared" si="216"/>
        <v>0</v>
      </c>
      <c r="L443" s="226">
        <f t="shared" si="216"/>
        <v>0</v>
      </c>
      <c r="M443" s="226">
        <f t="shared" si="216"/>
        <v>0</v>
      </c>
      <c r="N443" s="226">
        <f t="shared" si="216"/>
        <v>0</v>
      </c>
      <c r="O443" s="226">
        <f t="shared" si="216"/>
        <v>0</v>
      </c>
      <c r="P443" s="226">
        <f t="shared" si="216"/>
        <v>0</v>
      </c>
      <c r="Q443" s="226">
        <f t="shared" si="216"/>
        <v>0</v>
      </c>
      <c r="R443" s="226">
        <f t="shared" si="216"/>
        <v>0</v>
      </c>
      <c r="S443" s="226">
        <f t="shared" si="216"/>
        <v>0</v>
      </c>
      <c r="T443" s="279">
        <f t="shared" si="216"/>
        <v>0</v>
      </c>
    </row>
    <row r="444" spans="1:20" ht="12.75" hidden="1" customHeight="1" outlineLevel="2" x14ac:dyDescent="0.2">
      <c r="A444" s="198" t="str">
        <f>"         "&amp;Labels!C384</f>
        <v xml:space="preserve">         Total</v>
      </c>
      <c r="B444" s="226">
        <f t="shared" ref="B444:T444" si="217">SUM(B439,B443)</f>
        <v>0</v>
      </c>
      <c r="C444" s="226">
        <f t="shared" si="217"/>
        <v>0</v>
      </c>
      <c r="D444" s="226">
        <f t="shared" si="217"/>
        <v>0</v>
      </c>
      <c r="E444" s="226">
        <f t="shared" si="217"/>
        <v>0</v>
      </c>
      <c r="F444" s="226">
        <f t="shared" si="217"/>
        <v>0</v>
      </c>
      <c r="G444" s="226">
        <f t="shared" si="217"/>
        <v>0</v>
      </c>
      <c r="H444" s="226">
        <f t="shared" si="217"/>
        <v>0</v>
      </c>
      <c r="I444" s="226">
        <f t="shared" si="217"/>
        <v>0</v>
      </c>
      <c r="J444" s="226">
        <f t="shared" si="217"/>
        <v>0</v>
      </c>
      <c r="K444" s="226">
        <f t="shared" si="217"/>
        <v>0</v>
      </c>
      <c r="L444" s="226">
        <f t="shared" si="217"/>
        <v>0</v>
      </c>
      <c r="M444" s="226">
        <f t="shared" si="217"/>
        <v>0</v>
      </c>
      <c r="N444" s="226">
        <f t="shared" si="217"/>
        <v>0</v>
      </c>
      <c r="O444" s="226">
        <f t="shared" si="217"/>
        <v>0</v>
      </c>
      <c r="P444" s="226">
        <f t="shared" si="217"/>
        <v>0</v>
      </c>
      <c r="Q444" s="226">
        <f t="shared" si="217"/>
        <v>0</v>
      </c>
      <c r="R444" s="226">
        <f t="shared" si="217"/>
        <v>0</v>
      </c>
      <c r="S444" s="226">
        <f t="shared" si="217"/>
        <v>0</v>
      </c>
      <c r="T444" s="279">
        <f t="shared" si="217"/>
        <v>0</v>
      </c>
    </row>
    <row r="445" spans="1:20" ht="12.75" hidden="1" customHeight="1" outlineLevel="2" x14ac:dyDescent="0.2">
      <c r="A445" s="198" t="str">
        <f>"            "&amp;Labels!B317</f>
        <v xml:space="preserve">            Channels 1</v>
      </c>
      <c r="B445" s="189">
        <f t="shared" ref="B445:T445" si="218">SUM(B437,B441)</f>
        <v>0</v>
      </c>
      <c r="C445" s="189">
        <f t="shared" si="218"/>
        <v>0</v>
      </c>
      <c r="D445" s="189">
        <f t="shared" si="218"/>
        <v>0</v>
      </c>
      <c r="E445" s="189">
        <f t="shared" si="218"/>
        <v>0</v>
      </c>
      <c r="F445" s="189">
        <f t="shared" si="218"/>
        <v>0</v>
      </c>
      <c r="G445" s="189">
        <f t="shared" si="218"/>
        <v>0</v>
      </c>
      <c r="H445" s="189">
        <f t="shared" si="218"/>
        <v>0</v>
      </c>
      <c r="I445" s="189">
        <f t="shared" si="218"/>
        <v>0</v>
      </c>
      <c r="J445" s="189">
        <f t="shared" si="218"/>
        <v>0</v>
      </c>
      <c r="K445" s="189">
        <f t="shared" si="218"/>
        <v>0</v>
      </c>
      <c r="L445" s="189">
        <f t="shared" si="218"/>
        <v>0</v>
      </c>
      <c r="M445" s="189">
        <f t="shared" si="218"/>
        <v>0</v>
      </c>
      <c r="N445" s="189">
        <f t="shared" si="218"/>
        <v>0</v>
      </c>
      <c r="O445" s="189">
        <f t="shared" si="218"/>
        <v>0</v>
      </c>
      <c r="P445" s="189">
        <f t="shared" si="218"/>
        <v>0</v>
      </c>
      <c r="Q445" s="189">
        <f t="shared" si="218"/>
        <v>0</v>
      </c>
      <c r="R445" s="189">
        <f t="shared" si="218"/>
        <v>0</v>
      </c>
      <c r="S445" s="189">
        <f t="shared" si="218"/>
        <v>0</v>
      </c>
      <c r="T445" s="294">
        <f t="shared" si="218"/>
        <v>0</v>
      </c>
    </row>
    <row r="446" spans="1:20" ht="12.75" hidden="1" customHeight="1" outlineLevel="2" x14ac:dyDescent="0.2">
      <c r="A446" s="198" t="str">
        <f>"            "&amp;Labels!B318</f>
        <v xml:space="preserve">            Channels 2</v>
      </c>
      <c r="B446" s="189">
        <f t="shared" ref="B446:T446" si="219">SUM(B438,B442)</f>
        <v>0</v>
      </c>
      <c r="C446" s="189">
        <f t="shared" si="219"/>
        <v>0</v>
      </c>
      <c r="D446" s="189">
        <f t="shared" si="219"/>
        <v>0</v>
      </c>
      <c r="E446" s="189">
        <f t="shared" si="219"/>
        <v>0</v>
      </c>
      <c r="F446" s="189">
        <f t="shared" si="219"/>
        <v>0</v>
      </c>
      <c r="G446" s="189">
        <f t="shared" si="219"/>
        <v>0</v>
      </c>
      <c r="H446" s="189">
        <f t="shared" si="219"/>
        <v>0</v>
      </c>
      <c r="I446" s="189">
        <f t="shared" si="219"/>
        <v>0</v>
      </c>
      <c r="J446" s="189">
        <f t="shared" si="219"/>
        <v>0</v>
      </c>
      <c r="K446" s="189">
        <f t="shared" si="219"/>
        <v>0</v>
      </c>
      <c r="L446" s="189">
        <f t="shared" si="219"/>
        <v>0</v>
      </c>
      <c r="M446" s="189">
        <f t="shared" si="219"/>
        <v>0</v>
      </c>
      <c r="N446" s="189">
        <f t="shared" si="219"/>
        <v>0</v>
      </c>
      <c r="O446" s="189">
        <f t="shared" si="219"/>
        <v>0</v>
      </c>
      <c r="P446" s="189">
        <f t="shared" si="219"/>
        <v>0</v>
      </c>
      <c r="Q446" s="189">
        <f t="shared" si="219"/>
        <v>0</v>
      </c>
      <c r="R446" s="189">
        <f t="shared" si="219"/>
        <v>0</v>
      </c>
      <c r="S446" s="189">
        <f t="shared" si="219"/>
        <v>0</v>
      </c>
      <c r="T446" s="294">
        <f t="shared" si="219"/>
        <v>0</v>
      </c>
    </row>
    <row r="447" spans="1:20" ht="12.75" hidden="1" customHeight="1" outlineLevel="2" x14ac:dyDescent="0.2">
      <c r="A447" s="198" t="str">
        <f>"            "&amp;Labels!C316</f>
        <v xml:space="preserve">            Total</v>
      </c>
      <c r="B447" s="226">
        <f t="shared" ref="B447:T447" si="220">SUM(B439,B443)</f>
        <v>0</v>
      </c>
      <c r="C447" s="226">
        <f t="shared" si="220"/>
        <v>0</v>
      </c>
      <c r="D447" s="226">
        <f t="shared" si="220"/>
        <v>0</v>
      </c>
      <c r="E447" s="226">
        <f t="shared" si="220"/>
        <v>0</v>
      </c>
      <c r="F447" s="226">
        <f t="shared" si="220"/>
        <v>0</v>
      </c>
      <c r="G447" s="226">
        <f t="shared" si="220"/>
        <v>0</v>
      </c>
      <c r="H447" s="226">
        <f t="shared" si="220"/>
        <v>0</v>
      </c>
      <c r="I447" s="226">
        <f t="shared" si="220"/>
        <v>0</v>
      </c>
      <c r="J447" s="226">
        <f t="shared" si="220"/>
        <v>0</v>
      </c>
      <c r="K447" s="226">
        <f t="shared" si="220"/>
        <v>0</v>
      </c>
      <c r="L447" s="226">
        <f t="shared" si="220"/>
        <v>0</v>
      </c>
      <c r="M447" s="226">
        <f t="shared" si="220"/>
        <v>0</v>
      </c>
      <c r="N447" s="226">
        <f t="shared" si="220"/>
        <v>0</v>
      </c>
      <c r="O447" s="226">
        <f t="shared" si="220"/>
        <v>0</v>
      </c>
      <c r="P447" s="226">
        <f t="shared" si="220"/>
        <v>0</v>
      </c>
      <c r="Q447" s="226">
        <f t="shared" si="220"/>
        <v>0</v>
      </c>
      <c r="R447" s="226">
        <f t="shared" si="220"/>
        <v>0</v>
      </c>
      <c r="S447" s="226">
        <f t="shared" si="220"/>
        <v>0</v>
      </c>
      <c r="T447" s="279">
        <f t="shared" si="220"/>
        <v>0</v>
      </c>
    </row>
    <row r="448" spans="1:20" ht="12.75" hidden="1" customHeight="1" outlineLevel="2" x14ac:dyDescent="0.2">
      <c r="A448" s="188" t="str">
        <f>"      "&amp;Labels!C380</f>
        <v xml:space="preserve">      Total</v>
      </c>
      <c r="B448" s="196">
        <f t="shared" ref="B448:T448" si="221">SUM(B431,B444)</f>
        <v>0</v>
      </c>
      <c r="C448" s="196">
        <f t="shared" si="221"/>
        <v>0</v>
      </c>
      <c r="D448" s="196">
        <f t="shared" si="221"/>
        <v>0</v>
      </c>
      <c r="E448" s="196">
        <f t="shared" si="221"/>
        <v>0</v>
      </c>
      <c r="F448" s="196">
        <f t="shared" si="221"/>
        <v>0</v>
      </c>
      <c r="G448" s="196">
        <f t="shared" si="221"/>
        <v>0</v>
      </c>
      <c r="H448" s="196">
        <f t="shared" si="221"/>
        <v>0</v>
      </c>
      <c r="I448" s="196">
        <f t="shared" si="221"/>
        <v>0</v>
      </c>
      <c r="J448" s="196">
        <f t="shared" si="221"/>
        <v>0</v>
      </c>
      <c r="K448" s="196">
        <f t="shared" si="221"/>
        <v>0</v>
      </c>
      <c r="L448" s="196">
        <f t="shared" si="221"/>
        <v>0</v>
      </c>
      <c r="M448" s="196">
        <f t="shared" si="221"/>
        <v>0</v>
      </c>
      <c r="N448" s="196">
        <f t="shared" si="221"/>
        <v>0</v>
      </c>
      <c r="O448" s="196">
        <f t="shared" si="221"/>
        <v>0</v>
      </c>
      <c r="P448" s="196">
        <f t="shared" si="221"/>
        <v>0</v>
      </c>
      <c r="Q448" s="196">
        <f t="shared" si="221"/>
        <v>0</v>
      </c>
      <c r="R448" s="196">
        <f t="shared" si="221"/>
        <v>0</v>
      </c>
      <c r="S448" s="196">
        <f t="shared" si="221"/>
        <v>0</v>
      </c>
      <c r="T448" s="267">
        <f t="shared" si="221"/>
        <v>0</v>
      </c>
    </row>
    <row r="449" spans="1:20" ht="12.75" hidden="1" customHeight="1" outlineLevel="2" x14ac:dyDescent="0.2">
      <c r="A449" s="198" t="str">
        <f>"         "&amp;Labels!B385</f>
        <v xml:space="preserve">         Prof Level 1</v>
      </c>
      <c r="B449" s="226"/>
      <c r="C449" s="226"/>
      <c r="D449" s="226"/>
      <c r="E449" s="226"/>
      <c r="F449" s="226"/>
      <c r="G449" s="226"/>
      <c r="H449" s="226"/>
      <c r="I449" s="226"/>
      <c r="J449" s="226"/>
      <c r="K449" s="226"/>
      <c r="L449" s="226"/>
      <c r="M449" s="226"/>
      <c r="N449" s="226"/>
      <c r="O449" s="226"/>
      <c r="P449" s="226"/>
      <c r="Q449" s="226"/>
      <c r="R449" s="226"/>
      <c r="S449" s="226"/>
      <c r="T449" s="279"/>
    </row>
    <row r="450" spans="1:20" ht="12.75" hidden="1" customHeight="1" outlineLevel="2" x14ac:dyDescent="0.2">
      <c r="A450" s="198" t="str">
        <f>"            "&amp;Labels!B317</f>
        <v xml:space="preserve">            Channels 1</v>
      </c>
      <c r="B450" s="189">
        <f t="shared" ref="B450:T450" si="222">SUM(B424,B437)</f>
        <v>0</v>
      </c>
      <c r="C450" s="189">
        <f t="shared" si="222"/>
        <v>0</v>
      </c>
      <c r="D450" s="189">
        <f t="shared" si="222"/>
        <v>0</v>
      </c>
      <c r="E450" s="189">
        <f t="shared" si="222"/>
        <v>0</v>
      </c>
      <c r="F450" s="189">
        <f t="shared" si="222"/>
        <v>0</v>
      </c>
      <c r="G450" s="189">
        <f t="shared" si="222"/>
        <v>0</v>
      </c>
      <c r="H450" s="189">
        <f t="shared" si="222"/>
        <v>0</v>
      </c>
      <c r="I450" s="189">
        <f t="shared" si="222"/>
        <v>0</v>
      </c>
      <c r="J450" s="189">
        <f t="shared" si="222"/>
        <v>0</v>
      </c>
      <c r="K450" s="189">
        <f t="shared" si="222"/>
        <v>0</v>
      </c>
      <c r="L450" s="189">
        <f t="shared" si="222"/>
        <v>0</v>
      </c>
      <c r="M450" s="189">
        <f t="shared" si="222"/>
        <v>0</v>
      </c>
      <c r="N450" s="189">
        <f t="shared" si="222"/>
        <v>0</v>
      </c>
      <c r="O450" s="189">
        <f t="shared" si="222"/>
        <v>0</v>
      </c>
      <c r="P450" s="189">
        <f t="shared" si="222"/>
        <v>0</v>
      </c>
      <c r="Q450" s="189">
        <f t="shared" si="222"/>
        <v>0</v>
      </c>
      <c r="R450" s="189">
        <f t="shared" si="222"/>
        <v>0</v>
      </c>
      <c r="S450" s="189">
        <f t="shared" si="222"/>
        <v>0</v>
      </c>
      <c r="T450" s="294">
        <f t="shared" si="222"/>
        <v>0</v>
      </c>
    </row>
    <row r="451" spans="1:20" ht="12.75" hidden="1" customHeight="1" outlineLevel="2" x14ac:dyDescent="0.2">
      <c r="A451" s="198" t="str">
        <f>"            "&amp;Labels!B318</f>
        <v xml:space="preserve">            Channels 2</v>
      </c>
      <c r="B451" s="189">
        <f t="shared" ref="B451:T451" si="223">SUM(B425,B438)</f>
        <v>0</v>
      </c>
      <c r="C451" s="189">
        <f t="shared" si="223"/>
        <v>0</v>
      </c>
      <c r="D451" s="189">
        <f t="shared" si="223"/>
        <v>0</v>
      </c>
      <c r="E451" s="189">
        <f t="shared" si="223"/>
        <v>0</v>
      </c>
      <c r="F451" s="189">
        <f t="shared" si="223"/>
        <v>0</v>
      </c>
      <c r="G451" s="189">
        <f t="shared" si="223"/>
        <v>0</v>
      </c>
      <c r="H451" s="189">
        <f t="shared" si="223"/>
        <v>0</v>
      </c>
      <c r="I451" s="189">
        <f t="shared" si="223"/>
        <v>0</v>
      </c>
      <c r="J451" s="189">
        <f t="shared" si="223"/>
        <v>0</v>
      </c>
      <c r="K451" s="189">
        <f t="shared" si="223"/>
        <v>0</v>
      </c>
      <c r="L451" s="189">
        <f t="shared" si="223"/>
        <v>0</v>
      </c>
      <c r="M451" s="189">
        <f t="shared" si="223"/>
        <v>0</v>
      </c>
      <c r="N451" s="189">
        <f t="shared" si="223"/>
        <v>0</v>
      </c>
      <c r="O451" s="189">
        <f t="shared" si="223"/>
        <v>0</v>
      </c>
      <c r="P451" s="189">
        <f t="shared" si="223"/>
        <v>0</v>
      </c>
      <c r="Q451" s="189">
        <f t="shared" si="223"/>
        <v>0</v>
      </c>
      <c r="R451" s="189">
        <f t="shared" si="223"/>
        <v>0</v>
      </c>
      <c r="S451" s="189">
        <f t="shared" si="223"/>
        <v>0</v>
      </c>
      <c r="T451" s="294">
        <f t="shared" si="223"/>
        <v>0</v>
      </c>
    </row>
    <row r="452" spans="1:20" ht="12.75" hidden="1" customHeight="1" outlineLevel="2" x14ac:dyDescent="0.2">
      <c r="A452" s="198" t="str">
        <f>"            "&amp;Labels!C316</f>
        <v xml:space="preserve">            Total</v>
      </c>
      <c r="B452" s="226">
        <f t="shared" ref="B452:T452" si="224">SUM(B426,B439)</f>
        <v>0</v>
      </c>
      <c r="C452" s="226">
        <f t="shared" si="224"/>
        <v>0</v>
      </c>
      <c r="D452" s="226">
        <f t="shared" si="224"/>
        <v>0</v>
      </c>
      <c r="E452" s="226">
        <f t="shared" si="224"/>
        <v>0</v>
      </c>
      <c r="F452" s="226">
        <f t="shared" si="224"/>
        <v>0</v>
      </c>
      <c r="G452" s="226">
        <f t="shared" si="224"/>
        <v>0</v>
      </c>
      <c r="H452" s="226">
        <f t="shared" si="224"/>
        <v>0</v>
      </c>
      <c r="I452" s="226">
        <f t="shared" si="224"/>
        <v>0</v>
      </c>
      <c r="J452" s="226">
        <f t="shared" si="224"/>
        <v>0</v>
      </c>
      <c r="K452" s="226">
        <f t="shared" si="224"/>
        <v>0</v>
      </c>
      <c r="L452" s="226">
        <f t="shared" si="224"/>
        <v>0</v>
      </c>
      <c r="M452" s="226">
        <f t="shared" si="224"/>
        <v>0</v>
      </c>
      <c r="N452" s="226">
        <f t="shared" si="224"/>
        <v>0</v>
      </c>
      <c r="O452" s="226">
        <f t="shared" si="224"/>
        <v>0</v>
      </c>
      <c r="P452" s="226">
        <f t="shared" si="224"/>
        <v>0</v>
      </c>
      <c r="Q452" s="226">
        <f t="shared" si="224"/>
        <v>0</v>
      </c>
      <c r="R452" s="226">
        <f t="shared" si="224"/>
        <v>0</v>
      </c>
      <c r="S452" s="226">
        <f t="shared" si="224"/>
        <v>0</v>
      </c>
      <c r="T452" s="279">
        <f t="shared" si="224"/>
        <v>0</v>
      </c>
    </row>
    <row r="453" spans="1:20" ht="12.75" hidden="1" customHeight="1" outlineLevel="2" x14ac:dyDescent="0.2">
      <c r="A453" s="198" t="str">
        <f>"         "&amp;Labels!B386</f>
        <v xml:space="preserve">         Prof Level 2</v>
      </c>
      <c r="B453" s="226"/>
      <c r="C453" s="226"/>
      <c r="D453" s="226"/>
      <c r="E453" s="226"/>
      <c r="F453" s="226"/>
      <c r="G453" s="226"/>
      <c r="H453" s="226"/>
      <c r="I453" s="226"/>
      <c r="J453" s="226"/>
      <c r="K453" s="226"/>
      <c r="L453" s="226"/>
      <c r="M453" s="226"/>
      <c r="N453" s="226"/>
      <c r="O453" s="226"/>
      <c r="P453" s="226"/>
      <c r="Q453" s="226"/>
      <c r="R453" s="226"/>
      <c r="S453" s="226"/>
      <c r="T453" s="279"/>
    </row>
    <row r="454" spans="1:20" ht="12.75" hidden="1" customHeight="1" outlineLevel="2" x14ac:dyDescent="0.2">
      <c r="A454" s="198" t="str">
        <f>"            "&amp;Labels!B317</f>
        <v xml:space="preserve">            Channels 1</v>
      </c>
      <c r="B454" s="189">
        <f t="shared" ref="B454:T454" si="225">SUM(B428,B441)</f>
        <v>0</v>
      </c>
      <c r="C454" s="189">
        <f t="shared" si="225"/>
        <v>0</v>
      </c>
      <c r="D454" s="189">
        <f t="shared" si="225"/>
        <v>0</v>
      </c>
      <c r="E454" s="189">
        <f t="shared" si="225"/>
        <v>0</v>
      </c>
      <c r="F454" s="189">
        <f t="shared" si="225"/>
        <v>0</v>
      </c>
      <c r="G454" s="189">
        <f t="shared" si="225"/>
        <v>0</v>
      </c>
      <c r="H454" s="189">
        <f t="shared" si="225"/>
        <v>0</v>
      </c>
      <c r="I454" s="189">
        <f t="shared" si="225"/>
        <v>0</v>
      </c>
      <c r="J454" s="189">
        <f t="shared" si="225"/>
        <v>0</v>
      </c>
      <c r="K454" s="189">
        <f t="shared" si="225"/>
        <v>0</v>
      </c>
      <c r="L454" s="189">
        <f t="shared" si="225"/>
        <v>0</v>
      </c>
      <c r="M454" s="189">
        <f t="shared" si="225"/>
        <v>0</v>
      </c>
      <c r="N454" s="189">
        <f t="shared" si="225"/>
        <v>0</v>
      </c>
      <c r="O454" s="189">
        <f t="shared" si="225"/>
        <v>0</v>
      </c>
      <c r="P454" s="189">
        <f t="shared" si="225"/>
        <v>0</v>
      </c>
      <c r="Q454" s="189">
        <f t="shared" si="225"/>
        <v>0</v>
      </c>
      <c r="R454" s="189">
        <f t="shared" si="225"/>
        <v>0</v>
      </c>
      <c r="S454" s="189">
        <f t="shared" si="225"/>
        <v>0</v>
      </c>
      <c r="T454" s="294">
        <f t="shared" si="225"/>
        <v>0</v>
      </c>
    </row>
    <row r="455" spans="1:20" ht="12.75" hidden="1" customHeight="1" outlineLevel="2" x14ac:dyDescent="0.2">
      <c r="A455" s="198" t="str">
        <f>"            "&amp;Labels!B318</f>
        <v xml:space="preserve">            Channels 2</v>
      </c>
      <c r="B455" s="189">
        <f t="shared" ref="B455:T455" si="226">SUM(B429,B442)</f>
        <v>0</v>
      </c>
      <c r="C455" s="189">
        <f t="shared" si="226"/>
        <v>0</v>
      </c>
      <c r="D455" s="189">
        <f t="shared" si="226"/>
        <v>0</v>
      </c>
      <c r="E455" s="189">
        <f t="shared" si="226"/>
        <v>0</v>
      </c>
      <c r="F455" s="189">
        <f t="shared" si="226"/>
        <v>0</v>
      </c>
      <c r="G455" s="189">
        <f t="shared" si="226"/>
        <v>0</v>
      </c>
      <c r="H455" s="189">
        <f t="shared" si="226"/>
        <v>0</v>
      </c>
      <c r="I455" s="189">
        <f t="shared" si="226"/>
        <v>0</v>
      </c>
      <c r="J455" s="189">
        <f t="shared" si="226"/>
        <v>0</v>
      </c>
      <c r="K455" s="189">
        <f t="shared" si="226"/>
        <v>0</v>
      </c>
      <c r="L455" s="189">
        <f t="shared" si="226"/>
        <v>0</v>
      </c>
      <c r="M455" s="189">
        <f t="shared" si="226"/>
        <v>0</v>
      </c>
      <c r="N455" s="189">
        <f t="shared" si="226"/>
        <v>0</v>
      </c>
      <c r="O455" s="189">
        <f t="shared" si="226"/>
        <v>0</v>
      </c>
      <c r="P455" s="189">
        <f t="shared" si="226"/>
        <v>0</v>
      </c>
      <c r="Q455" s="189">
        <f t="shared" si="226"/>
        <v>0</v>
      </c>
      <c r="R455" s="189">
        <f t="shared" si="226"/>
        <v>0</v>
      </c>
      <c r="S455" s="189">
        <f t="shared" si="226"/>
        <v>0</v>
      </c>
      <c r="T455" s="294">
        <f t="shared" si="226"/>
        <v>0</v>
      </c>
    </row>
    <row r="456" spans="1:20" ht="12.75" hidden="1" customHeight="1" outlineLevel="2" x14ac:dyDescent="0.2">
      <c r="A456" s="198" t="str">
        <f>"            "&amp;Labels!C316</f>
        <v xml:space="preserve">            Total</v>
      </c>
      <c r="B456" s="226">
        <f t="shared" ref="B456:T456" si="227">SUM(B430,B443)</f>
        <v>0</v>
      </c>
      <c r="C456" s="226">
        <f t="shared" si="227"/>
        <v>0</v>
      </c>
      <c r="D456" s="226">
        <f t="shared" si="227"/>
        <v>0</v>
      </c>
      <c r="E456" s="226">
        <f t="shared" si="227"/>
        <v>0</v>
      </c>
      <c r="F456" s="226">
        <f t="shared" si="227"/>
        <v>0</v>
      </c>
      <c r="G456" s="226">
        <f t="shared" si="227"/>
        <v>0</v>
      </c>
      <c r="H456" s="226">
        <f t="shared" si="227"/>
        <v>0</v>
      </c>
      <c r="I456" s="226">
        <f t="shared" si="227"/>
        <v>0</v>
      </c>
      <c r="J456" s="226">
        <f t="shared" si="227"/>
        <v>0</v>
      </c>
      <c r="K456" s="226">
        <f t="shared" si="227"/>
        <v>0</v>
      </c>
      <c r="L456" s="226">
        <f t="shared" si="227"/>
        <v>0</v>
      </c>
      <c r="M456" s="226">
        <f t="shared" si="227"/>
        <v>0</v>
      </c>
      <c r="N456" s="226">
        <f t="shared" si="227"/>
        <v>0</v>
      </c>
      <c r="O456" s="226">
        <f t="shared" si="227"/>
        <v>0</v>
      </c>
      <c r="P456" s="226">
        <f t="shared" si="227"/>
        <v>0</v>
      </c>
      <c r="Q456" s="226">
        <f t="shared" si="227"/>
        <v>0</v>
      </c>
      <c r="R456" s="226">
        <f t="shared" si="227"/>
        <v>0</v>
      </c>
      <c r="S456" s="226">
        <f t="shared" si="227"/>
        <v>0</v>
      </c>
      <c r="T456" s="279">
        <f t="shared" si="227"/>
        <v>0</v>
      </c>
    </row>
    <row r="457" spans="1:20" ht="12.75" hidden="1" customHeight="1" outlineLevel="2" x14ac:dyDescent="0.2">
      <c r="A457" s="198" t="str">
        <f>"         "&amp;Labels!C384</f>
        <v xml:space="preserve">         Total</v>
      </c>
      <c r="B457" s="226">
        <f t="shared" ref="B457:T457" si="228">SUM(B431,B444)</f>
        <v>0</v>
      </c>
      <c r="C457" s="226">
        <f t="shared" si="228"/>
        <v>0</v>
      </c>
      <c r="D457" s="226">
        <f t="shared" si="228"/>
        <v>0</v>
      </c>
      <c r="E457" s="226">
        <f t="shared" si="228"/>
        <v>0</v>
      </c>
      <c r="F457" s="226">
        <f t="shared" si="228"/>
        <v>0</v>
      </c>
      <c r="G457" s="226">
        <f t="shared" si="228"/>
        <v>0</v>
      </c>
      <c r="H457" s="226">
        <f t="shared" si="228"/>
        <v>0</v>
      </c>
      <c r="I457" s="226">
        <f t="shared" si="228"/>
        <v>0</v>
      </c>
      <c r="J457" s="226">
        <f t="shared" si="228"/>
        <v>0</v>
      </c>
      <c r="K457" s="226">
        <f t="shared" si="228"/>
        <v>0</v>
      </c>
      <c r="L457" s="226">
        <f t="shared" si="228"/>
        <v>0</v>
      </c>
      <c r="M457" s="226">
        <f t="shared" si="228"/>
        <v>0</v>
      </c>
      <c r="N457" s="226">
        <f t="shared" si="228"/>
        <v>0</v>
      </c>
      <c r="O457" s="226">
        <f t="shared" si="228"/>
        <v>0</v>
      </c>
      <c r="P457" s="226">
        <f t="shared" si="228"/>
        <v>0</v>
      </c>
      <c r="Q457" s="226">
        <f t="shared" si="228"/>
        <v>0</v>
      </c>
      <c r="R457" s="226">
        <f t="shared" si="228"/>
        <v>0</v>
      </c>
      <c r="S457" s="226">
        <f t="shared" si="228"/>
        <v>0</v>
      </c>
      <c r="T457" s="279">
        <f t="shared" si="228"/>
        <v>0</v>
      </c>
    </row>
    <row r="458" spans="1:20" ht="12.75" hidden="1" customHeight="1" outlineLevel="2" x14ac:dyDescent="0.2">
      <c r="A458" s="198" t="str">
        <f>"            "&amp;Labels!B317</f>
        <v xml:space="preserve">            Channels 1</v>
      </c>
      <c r="B458" s="189">
        <f t="shared" ref="B458:T458" si="229">SUM(B432,B445)</f>
        <v>0</v>
      </c>
      <c r="C458" s="189">
        <f t="shared" si="229"/>
        <v>0</v>
      </c>
      <c r="D458" s="189">
        <f t="shared" si="229"/>
        <v>0</v>
      </c>
      <c r="E458" s="189">
        <f t="shared" si="229"/>
        <v>0</v>
      </c>
      <c r="F458" s="189">
        <f t="shared" si="229"/>
        <v>0</v>
      </c>
      <c r="G458" s="189">
        <f t="shared" si="229"/>
        <v>0</v>
      </c>
      <c r="H458" s="189">
        <f t="shared" si="229"/>
        <v>0</v>
      </c>
      <c r="I458" s="189">
        <f t="shared" si="229"/>
        <v>0</v>
      </c>
      <c r="J458" s="189">
        <f t="shared" si="229"/>
        <v>0</v>
      </c>
      <c r="K458" s="189">
        <f t="shared" si="229"/>
        <v>0</v>
      </c>
      <c r="L458" s="189">
        <f t="shared" si="229"/>
        <v>0</v>
      </c>
      <c r="M458" s="189">
        <f t="shared" si="229"/>
        <v>0</v>
      </c>
      <c r="N458" s="189">
        <f t="shared" si="229"/>
        <v>0</v>
      </c>
      <c r="O458" s="189">
        <f t="shared" si="229"/>
        <v>0</v>
      </c>
      <c r="P458" s="189">
        <f t="shared" si="229"/>
        <v>0</v>
      </c>
      <c r="Q458" s="189">
        <f t="shared" si="229"/>
        <v>0</v>
      </c>
      <c r="R458" s="189">
        <f t="shared" si="229"/>
        <v>0</v>
      </c>
      <c r="S458" s="189">
        <f t="shared" si="229"/>
        <v>0</v>
      </c>
      <c r="T458" s="294">
        <f t="shared" si="229"/>
        <v>0</v>
      </c>
    </row>
    <row r="459" spans="1:20" ht="12.75" hidden="1" customHeight="1" outlineLevel="2" x14ac:dyDescent="0.2">
      <c r="A459" s="198" t="str">
        <f>"            "&amp;Labels!B318</f>
        <v xml:space="preserve">            Channels 2</v>
      </c>
      <c r="B459" s="189">
        <f t="shared" ref="B459:T459" si="230">SUM(B433,B446)</f>
        <v>0</v>
      </c>
      <c r="C459" s="189">
        <f t="shared" si="230"/>
        <v>0</v>
      </c>
      <c r="D459" s="189">
        <f t="shared" si="230"/>
        <v>0</v>
      </c>
      <c r="E459" s="189">
        <f t="shared" si="230"/>
        <v>0</v>
      </c>
      <c r="F459" s="189">
        <f t="shared" si="230"/>
        <v>0</v>
      </c>
      <c r="G459" s="189">
        <f t="shared" si="230"/>
        <v>0</v>
      </c>
      <c r="H459" s="189">
        <f t="shared" si="230"/>
        <v>0</v>
      </c>
      <c r="I459" s="189">
        <f t="shared" si="230"/>
        <v>0</v>
      </c>
      <c r="J459" s="189">
        <f t="shared" si="230"/>
        <v>0</v>
      </c>
      <c r="K459" s="189">
        <f t="shared" si="230"/>
        <v>0</v>
      </c>
      <c r="L459" s="189">
        <f t="shared" si="230"/>
        <v>0</v>
      </c>
      <c r="M459" s="189">
        <f t="shared" si="230"/>
        <v>0</v>
      </c>
      <c r="N459" s="189">
        <f t="shared" si="230"/>
        <v>0</v>
      </c>
      <c r="O459" s="189">
        <f t="shared" si="230"/>
        <v>0</v>
      </c>
      <c r="P459" s="189">
        <f t="shared" si="230"/>
        <v>0</v>
      </c>
      <c r="Q459" s="189">
        <f t="shared" si="230"/>
        <v>0</v>
      </c>
      <c r="R459" s="189">
        <f t="shared" si="230"/>
        <v>0</v>
      </c>
      <c r="S459" s="189">
        <f t="shared" si="230"/>
        <v>0</v>
      </c>
      <c r="T459" s="294">
        <f t="shared" si="230"/>
        <v>0</v>
      </c>
    </row>
    <row r="460" spans="1:20" ht="12.75" hidden="1" customHeight="1" outlineLevel="2" x14ac:dyDescent="0.2">
      <c r="A460" s="198" t="str">
        <f>"            "&amp;Labels!C316</f>
        <v xml:space="preserve">            Total</v>
      </c>
      <c r="B460" s="226">
        <f t="shared" ref="B460:T460" si="231">SUM(B431,B444)</f>
        <v>0</v>
      </c>
      <c r="C460" s="226">
        <f t="shared" si="231"/>
        <v>0</v>
      </c>
      <c r="D460" s="226">
        <f t="shared" si="231"/>
        <v>0</v>
      </c>
      <c r="E460" s="226">
        <f t="shared" si="231"/>
        <v>0</v>
      </c>
      <c r="F460" s="226">
        <f t="shared" si="231"/>
        <v>0</v>
      </c>
      <c r="G460" s="226">
        <f t="shared" si="231"/>
        <v>0</v>
      </c>
      <c r="H460" s="226">
        <f t="shared" si="231"/>
        <v>0</v>
      </c>
      <c r="I460" s="226">
        <f t="shared" si="231"/>
        <v>0</v>
      </c>
      <c r="J460" s="226">
        <f t="shared" si="231"/>
        <v>0</v>
      </c>
      <c r="K460" s="226">
        <f t="shared" si="231"/>
        <v>0</v>
      </c>
      <c r="L460" s="226">
        <f t="shared" si="231"/>
        <v>0</v>
      </c>
      <c r="M460" s="226">
        <f t="shared" si="231"/>
        <v>0</v>
      </c>
      <c r="N460" s="226">
        <f t="shared" si="231"/>
        <v>0</v>
      </c>
      <c r="O460" s="226">
        <f t="shared" si="231"/>
        <v>0</v>
      </c>
      <c r="P460" s="226">
        <f t="shared" si="231"/>
        <v>0</v>
      </c>
      <c r="Q460" s="226">
        <f t="shared" si="231"/>
        <v>0</v>
      </c>
      <c r="R460" s="226">
        <f t="shared" si="231"/>
        <v>0</v>
      </c>
      <c r="S460" s="226">
        <f t="shared" si="231"/>
        <v>0</v>
      </c>
      <c r="T460" s="279">
        <f t="shared" si="231"/>
        <v>0</v>
      </c>
    </row>
    <row r="461" spans="1:20" ht="12.75" hidden="1" customHeight="1" outlineLevel="2" x14ac:dyDescent="0.2">
      <c r="A461" s="191" t="str">
        <f>"   "&amp;Labels!C388</f>
        <v xml:space="preserve">   Total</v>
      </c>
      <c r="B461" s="192">
        <f t="shared" ref="B461:T461" si="232">SUM(B408,B448)</f>
        <v>0</v>
      </c>
      <c r="C461" s="192">
        <f t="shared" si="232"/>
        <v>0</v>
      </c>
      <c r="D461" s="192">
        <f t="shared" si="232"/>
        <v>0</v>
      </c>
      <c r="E461" s="192">
        <f t="shared" si="232"/>
        <v>0</v>
      </c>
      <c r="F461" s="192">
        <f t="shared" si="232"/>
        <v>0</v>
      </c>
      <c r="G461" s="192">
        <f t="shared" si="232"/>
        <v>0</v>
      </c>
      <c r="H461" s="192">
        <f t="shared" si="232"/>
        <v>0</v>
      </c>
      <c r="I461" s="192">
        <f t="shared" si="232"/>
        <v>0</v>
      </c>
      <c r="J461" s="192">
        <f t="shared" si="232"/>
        <v>0</v>
      </c>
      <c r="K461" s="192">
        <f t="shared" si="232"/>
        <v>0</v>
      </c>
      <c r="L461" s="192">
        <f t="shared" si="232"/>
        <v>0</v>
      </c>
      <c r="M461" s="192">
        <f t="shared" si="232"/>
        <v>0</v>
      </c>
      <c r="N461" s="192">
        <f t="shared" si="232"/>
        <v>0</v>
      </c>
      <c r="O461" s="192">
        <f t="shared" si="232"/>
        <v>0</v>
      </c>
      <c r="P461" s="192">
        <f t="shared" si="232"/>
        <v>0</v>
      </c>
      <c r="Q461" s="192">
        <f t="shared" si="232"/>
        <v>0</v>
      </c>
      <c r="R461" s="192">
        <f t="shared" si="232"/>
        <v>0</v>
      </c>
      <c r="S461" s="192">
        <f t="shared" si="232"/>
        <v>0</v>
      </c>
      <c r="T461" s="280">
        <f t="shared" si="232"/>
        <v>0</v>
      </c>
    </row>
    <row r="462" spans="1:20" ht="12.75" hidden="1" customHeight="1" outlineLevel="2" x14ac:dyDescent="0.2">
      <c r="A462" s="198" t="str">
        <f>"      "&amp;Labels!B381</f>
        <v xml:space="preserve">      Practice 1</v>
      </c>
      <c r="B462" s="226"/>
      <c r="C462" s="226"/>
      <c r="D462" s="226"/>
      <c r="E462" s="226"/>
      <c r="F462" s="226"/>
      <c r="G462" s="226"/>
      <c r="H462" s="226"/>
      <c r="I462" s="226"/>
      <c r="J462" s="226"/>
      <c r="K462" s="226"/>
      <c r="L462" s="226"/>
      <c r="M462" s="226"/>
      <c r="N462" s="226"/>
      <c r="O462" s="226"/>
      <c r="P462" s="226"/>
      <c r="Q462" s="226"/>
      <c r="R462" s="226"/>
      <c r="S462" s="226"/>
      <c r="T462" s="279"/>
    </row>
    <row r="463" spans="1:20" ht="12.75" hidden="1" customHeight="1" outlineLevel="2" x14ac:dyDescent="0.2">
      <c r="A463" s="198" t="str">
        <f>"         "&amp;Labels!B385</f>
        <v xml:space="preserve">         Prof Level 1</v>
      </c>
      <c r="B463" s="226"/>
      <c r="C463" s="226"/>
      <c r="D463" s="226"/>
      <c r="E463" s="226"/>
      <c r="F463" s="226"/>
      <c r="G463" s="226"/>
      <c r="H463" s="226"/>
      <c r="I463" s="226"/>
      <c r="J463" s="226"/>
      <c r="K463" s="226"/>
      <c r="L463" s="226"/>
      <c r="M463" s="226"/>
      <c r="N463" s="226"/>
      <c r="O463" s="226"/>
      <c r="P463" s="226"/>
      <c r="Q463" s="226"/>
      <c r="R463" s="226"/>
      <c r="S463" s="226"/>
      <c r="T463" s="279"/>
    </row>
    <row r="464" spans="1:20" ht="12.75" hidden="1" customHeight="1" outlineLevel="2" x14ac:dyDescent="0.2">
      <c r="A464" s="198" t="str">
        <f>"            "&amp;Labels!B317</f>
        <v xml:space="preserve">            Channels 1</v>
      </c>
      <c r="B464" s="189">
        <f t="shared" ref="B464:T464" si="233">SUM(B384,B424)</f>
        <v>0</v>
      </c>
      <c r="C464" s="189">
        <f t="shared" si="233"/>
        <v>0</v>
      </c>
      <c r="D464" s="189">
        <f t="shared" si="233"/>
        <v>0</v>
      </c>
      <c r="E464" s="189">
        <f t="shared" si="233"/>
        <v>0</v>
      </c>
      <c r="F464" s="189">
        <f t="shared" si="233"/>
        <v>0</v>
      </c>
      <c r="G464" s="189">
        <f t="shared" si="233"/>
        <v>0</v>
      </c>
      <c r="H464" s="189">
        <f t="shared" si="233"/>
        <v>0</v>
      </c>
      <c r="I464" s="189">
        <f t="shared" si="233"/>
        <v>0</v>
      </c>
      <c r="J464" s="189">
        <f t="shared" si="233"/>
        <v>0</v>
      </c>
      <c r="K464" s="189">
        <f t="shared" si="233"/>
        <v>0</v>
      </c>
      <c r="L464" s="189">
        <f t="shared" si="233"/>
        <v>0</v>
      </c>
      <c r="M464" s="189">
        <f t="shared" si="233"/>
        <v>0</v>
      </c>
      <c r="N464" s="189">
        <f t="shared" si="233"/>
        <v>0</v>
      </c>
      <c r="O464" s="189">
        <f t="shared" si="233"/>
        <v>0</v>
      </c>
      <c r="P464" s="189">
        <f t="shared" si="233"/>
        <v>0</v>
      </c>
      <c r="Q464" s="189">
        <f t="shared" si="233"/>
        <v>0</v>
      </c>
      <c r="R464" s="189">
        <f t="shared" si="233"/>
        <v>0</v>
      </c>
      <c r="S464" s="189">
        <f t="shared" si="233"/>
        <v>0</v>
      </c>
      <c r="T464" s="294">
        <f t="shared" si="233"/>
        <v>0</v>
      </c>
    </row>
    <row r="465" spans="1:20" ht="12.75" hidden="1" customHeight="1" outlineLevel="2" x14ac:dyDescent="0.2">
      <c r="A465" s="198" t="str">
        <f>"            "&amp;Labels!B318</f>
        <v xml:space="preserve">            Channels 2</v>
      </c>
      <c r="B465" s="189">
        <f t="shared" ref="B465:T465" si="234">SUM(B385,B425)</f>
        <v>0</v>
      </c>
      <c r="C465" s="189">
        <f t="shared" si="234"/>
        <v>0</v>
      </c>
      <c r="D465" s="189">
        <f t="shared" si="234"/>
        <v>0</v>
      </c>
      <c r="E465" s="189">
        <f t="shared" si="234"/>
        <v>0</v>
      </c>
      <c r="F465" s="189">
        <f t="shared" si="234"/>
        <v>0</v>
      </c>
      <c r="G465" s="189">
        <f t="shared" si="234"/>
        <v>0</v>
      </c>
      <c r="H465" s="189">
        <f t="shared" si="234"/>
        <v>0</v>
      </c>
      <c r="I465" s="189">
        <f t="shared" si="234"/>
        <v>0</v>
      </c>
      <c r="J465" s="189">
        <f t="shared" si="234"/>
        <v>0</v>
      </c>
      <c r="K465" s="189">
        <f t="shared" si="234"/>
        <v>0</v>
      </c>
      <c r="L465" s="189">
        <f t="shared" si="234"/>
        <v>0</v>
      </c>
      <c r="M465" s="189">
        <f t="shared" si="234"/>
        <v>0</v>
      </c>
      <c r="N465" s="189">
        <f t="shared" si="234"/>
        <v>0</v>
      </c>
      <c r="O465" s="189">
        <f t="shared" si="234"/>
        <v>0</v>
      </c>
      <c r="P465" s="189">
        <f t="shared" si="234"/>
        <v>0</v>
      </c>
      <c r="Q465" s="189">
        <f t="shared" si="234"/>
        <v>0</v>
      </c>
      <c r="R465" s="189">
        <f t="shared" si="234"/>
        <v>0</v>
      </c>
      <c r="S465" s="189">
        <f t="shared" si="234"/>
        <v>0</v>
      </c>
      <c r="T465" s="294">
        <f t="shared" si="234"/>
        <v>0</v>
      </c>
    </row>
    <row r="466" spans="1:20" ht="12.75" hidden="1" customHeight="1" outlineLevel="2" x14ac:dyDescent="0.2">
      <c r="A466" s="198" t="str">
        <f>"            "&amp;Labels!C316</f>
        <v xml:space="preserve">            Total</v>
      </c>
      <c r="B466" s="226">
        <f t="shared" ref="B466:T466" si="235">SUM(B386,B426)</f>
        <v>0</v>
      </c>
      <c r="C466" s="226">
        <f t="shared" si="235"/>
        <v>0</v>
      </c>
      <c r="D466" s="226">
        <f t="shared" si="235"/>
        <v>0</v>
      </c>
      <c r="E466" s="226">
        <f t="shared" si="235"/>
        <v>0</v>
      </c>
      <c r="F466" s="226">
        <f t="shared" si="235"/>
        <v>0</v>
      </c>
      <c r="G466" s="226">
        <f t="shared" si="235"/>
        <v>0</v>
      </c>
      <c r="H466" s="226">
        <f t="shared" si="235"/>
        <v>0</v>
      </c>
      <c r="I466" s="226">
        <f t="shared" si="235"/>
        <v>0</v>
      </c>
      <c r="J466" s="226">
        <f t="shared" si="235"/>
        <v>0</v>
      </c>
      <c r="K466" s="226">
        <f t="shared" si="235"/>
        <v>0</v>
      </c>
      <c r="L466" s="226">
        <f t="shared" si="235"/>
        <v>0</v>
      </c>
      <c r="M466" s="226">
        <f t="shared" si="235"/>
        <v>0</v>
      </c>
      <c r="N466" s="226">
        <f t="shared" si="235"/>
        <v>0</v>
      </c>
      <c r="O466" s="226">
        <f t="shared" si="235"/>
        <v>0</v>
      </c>
      <c r="P466" s="226">
        <f t="shared" si="235"/>
        <v>0</v>
      </c>
      <c r="Q466" s="226">
        <f t="shared" si="235"/>
        <v>0</v>
      </c>
      <c r="R466" s="226">
        <f t="shared" si="235"/>
        <v>0</v>
      </c>
      <c r="S466" s="226">
        <f t="shared" si="235"/>
        <v>0</v>
      </c>
      <c r="T466" s="279">
        <f t="shared" si="235"/>
        <v>0</v>
      </c>
    </row>
    <row r="467" spans="1:20" ht="12.75" hidden="1" customHeight="1" outlineLevel="2" x14ac:dyDescent="0.2">
      <c r="A467" s="198" t="str">
        <f>"         "&amp;Labels!B386</f>
        <v xml:space="preserve">         Prof Level 2</v>
      </c>
      <c r="B467" s="226"/>
      <c r="C467" s="226"/>
      <c r="D467" s="226"/>
      <c r="E467" s="226"/>
      <c r="F467" s="226"/>
      <c r="G467" s="226"/>
      <c r="H467" s="226"/>
      <c r="I467" s="226"/>
      <c r="J467" s="226"/>
      <c r="K467" s="226"/>
      <c r="L467" s="226"/>
      <c r="M467" s="226"/>
      <c r="N467" s="226"/>
      <c r="O467" s="226"/>
      <c r="P467" s="226"/>
      <c r="Q467" s="226"/>
      <c r="R467" s="226"/>
      <c r="S467" s="226"/>
      <c r="T467" s="279"/>
    </row>
    <row r="468" spans="1:20" ht="12.75" hidden="1" customHeight="1" outlineLevel="2" x14ac:dyDescent="0.2">
      <c r="A468" s="198" t="str">
        <f>"            "&amp;Labels!B317</f>
        <v xml:space="preserve">            Channels 1</v>
      </c>
      <c r="B468" s="189">
        <f t="shared" ref="B468:T468" si="236">SUM(B388,B428)</f>
        <v>0</v>
      </c>
      <c r="C468" s="189">
        <f t="shared" si="236"/>
        <v>0</v>
      </c>
      <c r="D468" s="189">
        <f t="shared" si="236"/>
        <v>0</v>
      </c>
      <c r="E468" s="189">
        <f t="shared" si="236"/>
        <v>0</v>
      </c>
      <c r="F468" s="189">
        <f t="shared" si="236"/>
        <v>0</v>
      </c>
      <c r="G468" s="189">
        <f t="shared" si="236"/>
        <v>0</v>
      </c>
      <c r="H468" s="189">
        <f t="shared" si="236"/>
        <v>0</v>
      </c>
      <c r="I468" s="189">
        <f t="shared" si="236"/>
        <v>0</v>
      </c>
      <c r="J468" s="189">
        <f t="shared" si="236"/>
        <v>0</v>
      </c>
      <c r="K468" s="189">
        <f t="shared" si="236"/>
        <v>0</v>
      </c>
      <c r="L468" s="189">
        <f t="shared" si="236"/>
        <v>0</v>
      </c>
      <c r="M468" s="189">
        <f t="shared" si="236"/>
        <v>0</v>
      </c>
      <c r="N468" s="189">
        <f t="shared" si="236"/>
        <v>0</v>
      </c>
      <c r="O468" s="189">
        <f t="shared" si="236"/>
        <v>0</v>
      </c>
      <c r="P468" s="189">
        <f t="shared" si="236"/>
        <v>0</v>
      </c>
      <c r="Q468" s="189">
        <f t="shared" si="236"/>
        <v>0</v>
      </c>
      <c r="R468" s="189">
        <f t="shared" si="236"/>
        <v>0</v>
      </c>
      <c r="S468" s="189">
        <f t="shared" si="236"/>
        <v>0</v>
      </c>
      <c r="T468" s="294">
        <f t="shared" si="236"/>
        <v>0</v>
      </c>
    </row>
    <row r="469" spans="1:20" ht="12.75" hidden="1" customHeight="1" outlineLevel="2" x14ac:dyDescent="0.2">
      <c r="A469" s="198" t="str">
        <f>"            "&amp;Labels!B318</f>
        <v xml:space="preserve">            Channels 2</v>
      </c>
      <c r="B469" s="189">
        <f t="shared" ref="B469:T469" si="237">SUM(B389,B429)</f>
        <v>0</v>
      </c>
      <c r="C469" s="189">
        <f t="shared" si="237"/>
        <v>0</v>
      </c>
      <c r="D469" s="189">
        <f t="shared" si="237"/>
        <v>0</v>
      </c>
      <c r="E469" s="189">
        <f t="shared" si="237"/>
        <v>0</v>
      </c>
      <c r="F469" s="189">
        <f t="shared" si="237"/>
        <v>0</v>
      </c>
      <c r="G469" s="189">
        <f t="shared" si="237"/>
        <v>0</v>
      </c>
      <c r="H469" s="189">
        <f t="shared" si="237"/>
        <v>0</v>
      </c>
      <c r="I469" s="189">
        <f t="shared" si="237"/>
        <v>0</v>
      </c>
      <c r="J469" s="189">
        <f t="shared" si="237"/>
        <v>0</v>
      </c>
      <c r="K469" s="189">
        <f t="shared" si="237"/>
        <v>0</v>
      </c>
      <c r="L469" s="189">
        <f t="shared" si="237"/>
        <v>0</v>
      </c>
      <c r="M469" s="189">
        <f t="shared" si="237"/>
        <v>0</v>
      </c>
      <c r="N469" s="189">
        <f t="shared" si="237"/>
        <v>0</v>
      </c>
      <c r="O469" s="189">
        <f t="shared" si="237"/>
        <v>0</v>
      </c>
      <c r="P469" s="189">
        <f t="shared" si="237"/>
        <v>0</v>
      </c>
      <c r="Q469" s="189">
        <f t="shared" si="237"/>
        <v>0</v>
      </c>
      <c r="R469" s="189">
        <f t="shared" si="237"/>
        <v>0</v>
      </c>
      <c r="S469" s="189">
        <f t="shared" si="237"/>
        <v>0</v>
      </c>
      <c r="T469" s="294">
        <f t="shared" si="237"/>
        <v>0</v>
      </c>
    </row>
    <row r="470" spans="1:20" ht="12.75" hidden="1" customHeight="1" outlineLevel="2" x14ac:dyDescent="0.2">
      <c r="A470" s="198" t="str">
        <f>"            "&amp;Labels!C316</f>
        <v xml:space="preserve">            Total</v>
      </c>
      <c r="B470" s="226">
        <f t="shared" ref="B470:T470" si="238">SUM(B390,B430)</f>
        <v>0</v>
      </c>
      <c r="C470" s="226">
        <f t="shared" si="238"/>
        <v>0</v>
      </c>
      <c r="D470" s="226">
        <f t="shared" si="238"/>
        <v>0</v>
      </c>
      <c r="E470" s="226">
        <f t="shared" si="238"/>
        <v>0</v>
      </c>
      <c r="F470" s="226">
        <f t="shared" si="238"/>
        <v>0</v>
      </c>
      <c r="G470" s="226">
        <f t="shared" si="238"/>
        <v>0</v>
      </c>
      <c r="H470" s="226">
        <f t="shared" si="238"/>
        <v>0</v>
      </c>
      <c r="I470" s="226">
        <f t="shared" si="238"/>
        <v>0</v>
      </c>
      <c r="J470" s="226">
        <f t="shared" si="238"/>
        <v>0</v>
      </c>
      <c r="K470" s="226">
        <f t="shared" si="238"/>
        <v>0</v>
      </c>
      <c r="L470" s="226">
        <f t="shared" si="238"/>
        <v>0</v>
      </c>
      <c r="M470" s="226">
        <f t="shared" si="238"/>
        <v>0</v>
      </c>
      <c r="N470" s="226">
        <f t="shared" si="238"/>
        <v>0</v>
      </c>
      <c r="O470" s="226">
        <f t="shared" si="238"/>
        <v>0</v>
      </c>
      <c r="P470" s="226">
        <f t="shared" si="238"/>
        <v>0</v>
      </c>
      <c r="Q470" s="226">
        <f t="shared" si="238"/>
        <v>0</v>
      </c>
      <c r="R470" s="226">
        <f t="shared" si="238"/>
        <v>0</v>
      </c>
      <c r="S470" s="226">
        <f t="shared" si="238"/>
        <v>0</v>
      </c>
      <c r="T470" s="279">
        <f t="shared" si="238"/>
        <v>0</v>
      </c>
    </row>
    <row r="471" spans="1:20" ht="12.75" hidden="1" customHeight="1" outlineLevel="2" x14ac:dyDescent="0.2">
      <c r="A471" s="198" t="str">
        <f>"         "&amp;Labels!C384</f>
        <v xml:space="preserve">         Total</v>
      </c>
      <c r="B471" s="226">
        <f t="shared" ref="B471:T471" si="239">SUM(B391,B431)</f>
        <v>0</v>
      </c>
      <c r="C471" s="226">
        <f t="shared" si="239"/>
        <v>0</v>
      </c>
      <c r="D471" s="226">
        <f t="shared" si="239"/>
        <v>0</v>
      </c>
      <c r="E471" s="226">
        <f t="shared" si="239"/>
        <v>0</v>
      </c>
      <c r="F471" s="226">
        <f t="shared" si="239"/>
        <v>0</v>
      </c>
      <c r="G471" s="226">
        <f t="shared" si="239"/>
        <v>0</v>
      </c>
      <c r="H471" s="226">
        <f t="shared" si="239"/>
        <v>0</v>
      </c>
      <c r="I471" s="226">
        <f t="shared" si="239"/>
        <v>0</v>
      </c>
      <c r="J471" s="226">
        <f t="shared" si="239"/>
        <v>0</v>
      </c>
      <c r="K471" s="226">
        <f t="shared" si="239"/>
        <v>0</v>
      </c>
      <c r="L471" s="226">
        <f t="shared" si="239"/>
        <v>0</v>
      </c>
      <c r="M471" s="226">
        <f t="shared" si="239"/>
        <v>0</v>
      </c>
      <c r="N471" s="226">
        <f t="shared" si="239"/>
        <v>0</v>
      </c>
      <c r="O471" s="226">
        <f t="shared" si="239"/>
        <v>0</v>
      </c>
      <c r="P471" s="226">
        <f t="shared" si="239"/>
        <v>0</v>
      </c>
      <c r="Q471" s="226">
        <f t="shared" si="239"/>
        <v>0</v>
      </c>
      <c r="R471" s="226">
        <f t="shared" si="239"/>
        <v>0</v>
      </c>
      <c r="S471" s="226">
        <f t="shared" si="239"/>
        <v>0</v>
      </c>
      <c r="T471" s="279">
        <f t="shared" si="239"/>
        <v>0</v>
      </c>
    </row>
    <row r="472" spans="1:20" ht="12.75" hidden="1" customHeight="1" outlineLevel="2" x14ac:dyDescent="0.2">
      <c r="A472" s="198" t="str">
        <f>"            "&amp;Labels!B317</f>
        <v xml:space="preserve">            Channels 1</v>
      </c>
      <c r="B472" s="189">
        <f t="shared" ref="B472:T472" si="240">SUM(B392,B432)</f>
        <v>0</v>
      </c>
      <c r="C472" s="189">
        <f t="shared" si="240"/>
        <v>0</v>
      </c>
      <c r="D472" s="189">
        <f t="shared" si="240"/>
        <v>0</v>
      </c>
      <c r="E472" s="189">
        <f t="shared" si="240"/>
        <v>0</v>
      </c>
      <c r="F472" s="189">
        <f t="shared" si="240"/>
        <v>0</v>
      </c>
      <c r="G472" s="189">
        <f t="shared" si="240"/>
        <v>0</v>
      </c>
      <c r="H472" s="189">
        <f t="shared" si="240"/>
        <v>0</v>
      </c>
      <c r="I472" s="189">
        <f t="shared" si="240"/>
        <v>0</v>
      </c>
      <c r="J472" s="189">
        <f t="shared" si="240"/>
        <v>0</v>
      </c>
      <c r="K472" s="189">
        <f t="shared" si="240"/>
        <v>0</v>
      </c>
      <c r="L472" s="189">
        <f t="shared" si="240"/>
        <v>0</v>
      </c>
      <c r="M472" s="189">
        <f t="shared" si="240"/>
        <v>0</v>
      </c>
      <c r="N472" s="189">
        <f t="shared" si="240"/>
        <v>0</v>
      </c>
      <c r="O472" s="189">
        <f t="shared" si="240"/>
        <v>0</v>
      </c>
      <c r="P472" s="189">
        <f t="shared" si="240"/>
        <v>0</v>
      </c>
      <c r="Q472" s="189">
        <f t="shared" si="240"/>
        <v>0</v>
      </c>
      <c r="R472" s="189">
        <f t="shared" si="240"/>
        <v>0</v>
      </c>
      <c r="S472" s="189">
        <f t="shared" si="240"/>
        <v>0</v>
      </c>
      <c r="T472" s="294">
        <f t="shared" si="240"/>
        <v>0</v>
      </c>
    </row>
    <row r="473" spans="1:20" ht="12.75" hidden="1" customHeight="1" outlineLevel="2" x14ac:dyDescent="0.2">
      <c r="A473" s="198" t="str">
        <f>"            "&amp;Labels!B318</f>
        <v xml:space="preserve">            Channels 2</v>
      </c>
      <c r="B473" s="189">
        <f t="shared" ref="B473:T473" si="241">SUM(B393,B433)</f>
        <v>0</v>
      </c>
      <c r="C473" s="189">
        <f t="shared" si="241"/>
        <v>0</v>
      </c>
      <c r="D473" s="189">
        <f t="shared" si="241"/>
        <v>0</v>
      </c>
      <c r="E473" s="189">
        <f t="shared" si="241"/>
        <v>0</v>
      </c>
      <c r="F473" s="189">
        <f t="shared" si="241"/>
        <v>0</v>
      </c>
      <c r="G473" s="189">
        <f t="shared" si="241"/>
        <v>0</v>
      </c>
      <c r="H473" s="189">
        <f t="shared" si="241"/>
        <v>0</v>
      </c>
      <c r="I473" s="189">
        <f t="shared" si="241"/>
        <v>0</v>
      </c>
      <c r="J473" s="189">
        <f t="shared" si="241"/>
        <v>0</v>
      </c>
      <c r="K473" s="189">
        <f t="shared" si="241"/>
        <v>0</v>
      </c>
      <c r="L473" s="189">
        <f t="shared" si="241"/>
        <v>0</v>
      </c>
      <c r="M473" s="189">
        <f t="shared" si="241"/>
        <v>0</v>
      </c>
      <c r="N473" s="189">
        <f t="shared" si="241"/>
        <v>0</v>
      </c>
      <c r="O473" s="189">
        <f t="shared" si="241"/>
        <v>0</v>
      </c>
      <c r="P473" s="189">
        <f t="shared" si="241"/>
        <v>0</v>
      </c>
      <c r="Q473" s="189">
        <f t="shared" si="241"/>
        <v>0</v>
      </c>
      <c r="R473" s="189">
        <f t="shared" si="241"/>
        <v>0</v>
      </c>
      <c r="S473" s="189">
        <f t="shared" si="241"/>
        <v>0</v>
      </c>
      <c r="T473" s="294">
        <f t="shared" si="241"/>
        <v>0</v>
      </c>
    </row>
    <row r="474" spans="1:20" ht="12.75" hidden="1" customHeight="1" outlineLevel="2" x14ac:dyDescent="0.2">
      <c r="A474" s="198" t="str">
        <f>"            "&amp;Labels!C316</f>
        <v xml:space="preserve">            Total</v>
      </c>
      <c r="B474" s="226">
        <f t="shared" ref="B474:T474" si="242">SUM(B391,B431)</f>
        <v>0</v>
      </c>
      <c r="C474" s="226">
        <f t="shared" si="242"/>
        <v>0</v>
      </c>
      <c r="D474" s="226">
        <f t="shared" si="242"/>
        <v>0</v>
      </c>
      <c r="E474" s="226">
        <f t="shared" si="242"/>
        <v>0</v>
      </c>
      <c r="F474" s="226">
        <f t="shared" si="242"/>
        <v>0</v>
      </c>
      <c r="G474" s="226">
        <f t="shared" si="242"/>
        <v>0</v>
      </c>
      <c r="H474" s="226">
        <f t="shared" si="242"/>
        <v>0</v>
      </c>
      <c r="I474" s="226">
        <f t="shared" si="242"/>
        <v>0</v>
      </c>
      <c r="J474" s="226">
        <f t="shared" si="242"/>
        <v>0</v>
      </c>
      <c r="K474" s="226">
        <f t="shared" si="242"/>
        <v>0</v>
      </c>
      <c r="L474" s="226">
        <f t="shared" si="242"/>
        <v>0</v>
      </c>
      <c r="M474" s="226">
        <f t="shared" si="242"/>
        <v>0</v>
      </c>
      <c r="N474" s="226">
        <f t="shared" si="242"/>
        <v>0</v>
      </c>
      <c r="O474" s="226">
        <f t="shared" si="242"/>
        <v>0</v>
      </c>
      <c r="P474" s="226">
        <f t="shared" si="242"/>
        <v>0</v>
      </c>
      <c r="Q474" s="226">
        <f t="shared" si="242"/>
        <v>0</v>
      </c>
      <c r="R474" s="226">
        <f t="shared" si="242"/>
        <v>0</v>
      </c>
      <c r="S474" s="226">
        <f t="shared" si="242"/>
        <v>0</v>
      </c>
      <c r="T474" s="279">
        <f t="shared" si="242"/>
        <v>0</v>
      </c>
    </row>
    <row r="475" spans="1:20" ht="12.75" hidden="1" customHeight="1" outlineLevel="2" x14ac:dyDescent="0.2">
      <c r="A475" s="198" t="str">
        <f>"      "&amp;Labels!B382</f>
        <v xml:space="preserve">      Practice 2</v>
      </c>
      <c r="B475" s="226"/>
      <c r="C475" s="226"/>
      <c r="D475" s="226"/>
      <c r="E475" s="226"/>
      <c r="F475" s="226"/>
      <c r="G475" s="226"/>
      <c r="H475" s="226"/>
      <c r="I475" s="226"/>
      <c r="J475" s="226"/>
      <c r="K475" s="226"/>
      <c r="L475" s="226"/>
      <c r="M475" s="226"/>
      <c r="N475" s="226"/>
      <c r="O475" s="226"/>
      <c r="P475" s="226"/>
      <c r="Q475" s="226"/>
      <c r="R475" s="226"/>
      <c r="S475" s="226"/>
      <c r="T475" s="279"/>
    </row>
    <row r="476" spans="1:20" ht="12.75" hidden="1" customHeight="1" outlineLevel="2" x14ac:dyDescent="0.2">
      <c r="A476" s="198" t="str">
        <f>"         "&amp;Labels!B385</f>
        <v xml:space="preserve">         Prof Level 1</v>
      </c>
      <c r="B476" s="226"/>
      <c r="C476" s="226"/>
      <c r="D476" s="226"/>
      <c r="E476" s="226"/>
      <c r="F476" s="226"/>
      <c r="G476" s="226"/>
      <c r="H476" s="226"/>
      <c r="I476" s="226"/>
      <c r="J476" s="226"/>
      <c r="K476" s="226"/>
      <c r="L476" s="226"/>
      <c r="M476" s="226"/>
      <c r="N476" s="226"/>
      <c r="O476" s="226"/>
      <c r="P476" s="226"/>
      <c r="Q476" s="226"/>
      <c r="R476" s="226"/>
      <c r="S476" s="226"/>
      <c r="T476" s="279"/>
    </row>
    <row r="477" spans="1:20" ht="12.75" hidden="1" customHeight="1" outlineLevel="2" x14ac:dyDescent="0.2">
      <c r="A477" s="198" t="str">
        <f>"            "&amp;Labels!B317</f>
        <v xml:space="preserve">            Channels 1</v>
      </c>
      <c r="B477" s="189">
        <f t="shared" ref="B477:T477" si="243">SUM(B397,B437)</f>
        <v>0</v>
      </c>
      <c r="C477" s="189">
        <f t="shared" si="243"/>
        <v>0</v>
      </c>
      <c r="D477" s="189">
        <f t="shared" si="243"/>
        <v>0</v>
      </c>
      <c r="E477" s="189">
        <f t="shared" si="243"/>
        <v>0</v>
      </c>
      <c r="F477" s="189">
        <f t="shared" si="243"/>
        <v>0</v>
      </c>
      <c r="G477" s="189">
        <f t="shared" si="243"/>
        <v>0</v>
      </c>
      <c r="H477" s="189">
        <f t="shared" si="243"/>
        <v>0</v>
      </c>
      <c r="I477" s="189">
        <f t="shared" si="243"/>
        <v>0</v>
      </c>
      <c r="J477" s="189">
        <f t="shared" si="243"/>
        <v>0</v>
      </c>
      <c r="K477" s="189">
        <f t="shared" si="243"/>
        <v>0</v>
      </c>
      <c r="L477" s="189">
        <f t="shared" si="243"/>
        <v>0</v>
      </c>
      <c r="M477" s="189">
        <f t="shared" si="243"/>
        <v>0</v>
      </c>
      <c r="N477" s="189">
        <f t="shared" si="243"/>
        <v>0</v>
      </c>
      <c r="O477" s="189">
        <f t="shared" si="243"/>
        <v>0</v>
      </c>
      <c r="P477" s="189">
        <f t="shared" si="243"/>
        <v>0</v>
      </c>
      <c r="Q477" s="189">
        <f t="shared" si="243"/>
        <v>0</v>
      </c>
      <c r="R477" s="189">
        <f t="shared" si="243"/>
        <v>0</v>
      </c>
      <c r="S477" s="189">
        <f t="shared" si="243"/>
        <v>0</v>
      </c>
      <c r="T477" s="294">
        <f t="shared" si="243"/>
        <v>0</v>
      </c>
    </row>
    <row r="478" spans="1:20" ht="12.75" hidden="1" customHeight="1" outlineLevel="2" x14ac:dyDescent="0.2">
      <c r="A478" s="198" t="str">
        <f>"            "&amp;Labels!B318</f>
        <v xml:space="preserve">            Channels 2</v>
      </c>
      <c r="B478" s="189">
        <f t="shared" ref="B478:T478" si="244">SUM(B398,B438)</f>
        <v>0</v>
      </c>
      <c r="C478" s="189">
        <f t="shared" si="244"/>
        <v>0</v>
      </c>
      <c r="D478" s="189">
        <f t="shared" si="244"/>
        <v>0</v>
      </c>
      <c r="E478" s="189">
        <f t="shared" si="244"/>
        <v>0</v>
      </c>
      <c r="F478" s="189">
        <f t="shared" si="244"/>
        <v>0</v>
      </c>
      <c r="G478" s="189">
        <f t="shared" si="244"/>
        <v>0</v>
      </c>
      <c r="H478" s="189">
        <f t="shared" si="244"/>
        <v>0</v>
      </c>
      <c r="I478" s="189">
        <f t="shared" si="244"/>
        <v>0</v>
      </c>
      <c r="J478" s="189">
        <f t="shared" si="244"/>
        <v>0</v>
      </c>
      <c r="K478" s="189">
        <f t="shared" si="244"/>
        <v>0</v>
      </c>
      <c r="L478" s="189">
        <f t="shared" si="244"/>
        <v>0</v>
      </c>
      <c r="M478" s="189">
        <f t="shared" si="244"/>
        <v>0</v>
      </c>
      <c r="N478" s="189">
        <f t="shared" si="244"/>
        <v>0</v>
      </c>
      <c r="O478" s="189">
        <f t="shared" si="244"/>
        <v>0</v>
      </c>
      <c r="P478" s="189">
        <f t="shared" si="244"/>
        <v>0</v>
      </c>
      <c r="Q478" s="189">
        <f t="shared" si="244"/>
        <v>0</v>
      </c>
      <c r="R478" s="189">
        <f t="shared" si="244"/>
        <v>0</v>
      </c>
      <c r="S478" s="189">
        <f t="shared" si="244"/>
        <v>0</v>
      </c>
      <c r="T478" s="294">
        <f t="shared" si="244"/>
        <v>0</v>
      </c>
    </row>
    <row r="479" spans="1:20" ht="12.75" hidden="1" customHeight="1" outlineLevel="2" x14ac:dyDescent="0.2">
      <c r="A479" s="198" t="str">
        <f>"            "&amp;Labels!C316</f>
        <v xml:space="preserve">            Total</v>
      </c>
      <c r="B479" s="226">
        <f t="shared" ref="B479:T479" si="245">SUM(B399,B439)</f>
        <v>0</v>
      </c>
      <c r="C479" s="226">
        <f t="shared" si="245"/>
        <v>0</v>
      </c>
      <c r="D479" s="226">
        <f t="shared" si="245"/>
        <v>0</v>
      </c>
      <c r="E479" s="226">
        <f t="shared" si="245"/>
        <v>0</v>
      </c>
      <c r="F479" s="226">
        <f t="shared" si="245"/>
        <v>0</v>
      </c>
      <c r="G479" s="226">
        <f t="shared" si="245"/>
        <v>0</v>
      </c>
      <c r="H479" s="226">
        <f t="shared" si="245"/>
        <v>0</v>
      </c>
      <c r="I479" s="226">
        <f t="shared" si="245"/>
        <v>0</v>
      </c>
      <c r="J479" s="226">
        <f t="shared" si="245"/>
        <v>0</v>
      </c>
      <c r="K479" s="226">
        <f t="shared" si="245"/>
        <v>0</v>
      </c>
      <c r="L479" s="226">
        <f t="shared" si="245"/>
        <v>0</v>
      </c>
      <c r="M479" s="226">
        <f t="shared" si="245"/>
        <v>0</v>
      </c>
      <c r="N479" s="226">
        <f t="shared" si="245"/>
        <v>0</v>
      </c>
      <c r="O479" s="226">
        <f t="shared" si="245"/>
        <v>0</v>
      </c>
      <c r="P479" s="226">
        <f t="shared" si="245"/>
        <v>0</v>
      </c>
      <c r="Q479" s="226">
        <f t="shared" si="245"/>
        <v>0</v>
      </c>
      <c r="R479" s="226">
        <f t="shared" si="245"/>
        <v>0</v>
      </c>
      <c r="S479" s="226">
        <f t="shared" si="245"/>
        <v>0</v>
      </c>
      <c r="T479" s="279">
        <f t="shared" si="245"/>
        <v>0</v>
      </c>
    </row>
    <row r="480" spans="1:20" ht="12.75" hidden="1" customHeight="1" outlineLevel="2" x14ac:dyDescent="0.2">
      <c r="A480" s="198" t="str">
        <f>"         "&amp;Labels!B386</f>
        <v xml:space="preserve">         Prof Level 2</v>
      </c>
      <c r="B480" s="226"/>
      <c r="C480" s="226"/>
      <c r="D480" s="226"/>
      <c r="E480" s="226"/>
      <c r="F480" s="226"/>
      <c r="G480" s="226"/>
      <c r="H480" s="226"/>
      <c r="I480" s="226"/>
      <c r="J480" s="226"/>
      <c r="K480" s="226"/>
      <c r="L480" s="226"/>
      <c r="M480" s="226"/>
      <c r="N480" s="226"/>
      <c r="O480" s="226"/>
      <c r="P480" s="226"/>
      <c r="Q480" s="226"/>
      <c r="R480" s="226"/>
      <c r="S480" s="226"/>
      <c r="T480" s="279"/>
    </row>
    <row r="481" spans="1:20" ht="12.75" hidden="1" customHeight="1" outlineLevel="2" x14ac:dyDescent="0.2">
      <c r="A481" s="198" t="str">
        <f>"            "&amp;Labels!B317</f>
        <v xml:space="preserve">            Channels 1</v>
      </c>
      <c r="B481" s="189">
        <f t="shared" ref="B481:T481" si="246">SUM(B401,B441)</f>
        <v>0</v>
      </c>
      <c r="C481" s="189">
        <f t="shared" si="246"/>
        <v>0</v>
      </c>
      <c r="D481" s="189">
        <f t="shared" si="246"/>
        <v>0</v>
      </c>
      <c r="E481" s="189">
        <f t="shared" si="246"/>
        <v>0</v>
      </c>
      <c r="F481" s="189">
        <f t="shared" si="246"/>
        <v>0</v>
      </c>
      <c r="G481" s="189">
        <f t="shared" si="246"/>
        <v>0</v>
      </c>
      <c r="H481" s="189">
        <f t="shared" si="246"/>
        <v>0</v>
      </c>
      <c r="I481" s="189">
        <f t="shared" si="246"/>
        <v>0</v>
      </c>
      <c r="J481" s="189">
        <f t="shared" si="246"/>
        <v>0</v>
      </c>
      <c r="K481" s="189">
        <f t="shared" si="246"/>
        <v>0</v>
      </c>
      <c r="L481" s="189">
        <f t="shared" si="246"/>
        <v>0</v>
      </c>
      <c r="M481" s="189">
        <f t="shared" si="246"/>
        <v>0</v>
      </c>
      <c r="N481" s="189">
        <f t="shared" si="246"/>
        <v>0</v>
      </c>
      <c r="O481" s="189">
        <f t="shared" si="246"/>
        <v>0</v>
      </c>
      <c r="P481" s="189">
        <f t="shared" si="246"/>
        <v>0</v>
      </c>
      <c r="Q481" s="189">
        <f t="shared" si="246"/>
        <v>0</v>
      </c>
      <c r="R481" s="189">
        <f t="shared" si="246"/>
        <v>0</v>
      </c>
      <c r="S481" s="189">
        <f t="shared" si="246"/>
        <v>0</v>
      </c>
      <c r="T481" s="294">
        <f t="shared" si="246"/>
        <v>0</v>
      </c>
    </row>
    <row r="482" spans="1:20" ht="12.75" hidden="1" customHeight="1" outlineLevel="2" x14ac:dyDescent="0.2">
      <c r="A482" s="198" t="str">
        <f>"            "&amp;Labels!B318</f>
        <v xml:space="preserve">            Channels 2</v>
      </c>
      <c r="B482" s="189">
        <f t="shared" ref="B482:T482" si="247">SUM(B402,B442)</f>
        <v>0</v>
      </c>
      <c r="C482" s="189">
        <f t="shared" si="247"/>
        <v>0</v>
      </c>
      <c r="D482" s="189">
        <f t="shared" si="247"/>
        <v>0</v>
      </c>
      <c r="E482" s="189">
        <f t="shared" si="247"/>
        <v>0</v>
      </c>
      <c r="F482" s="189">
        <f t="shared" si="247"/>
        <v>0</v>
      </c>
      <c r="G482" s="189">
        <f t="shared" si="247"/>
        <v>0</v>
      </c>
      <c r="H482" s="189">
        <f t="shared" si="247"/>
        <v>0</v>
      </c>
      <c r="I482" s="189">
        <f t="shared" si="247"/>
        <v>0</v>
      </c>
      <c r="J482" s="189">
        <f t="shared" si="247"/>
        <v>0</v>
      </c>
      <c r="K482" s="189">
        <f t="shared" si="247"/>
        <v>0</v>
      </c>
      <c r="L482" s="189">
        <f t="shared" si="247"/>
        <v>0</v>
      </c>
      <c r="M482" s="189">
        <f t="shared" si="247"/>
        <v>0</v>
      </c>
      <c r="N482" s="189">
        <f t="shared" si="247"/>
        <v>0</v>
      </c>
      <c r="O482" s="189">
        <f t="shared" si="247"/>
        <v>0</v>
      </c>
      <c r="P482" s="189">
        <f t="shared" si="247"/>
        <v>0</v>
      </c>
      <c r="Q482" s="189">
        <f t="shared" si="247"/>
        <v>0</v>
      </c>
      <c r="R482" s="189">
        <f t="shared" si="247"/>
        <v>0</v>
      </c>
      <c r="S482" s="189">
        <f t="shared" si="247"/>
        <v>0</v>
      </c>
      <c r="T482" s="294">
        <f t="shared" si="247"/>
        <v>0</v>
      </c>
    </row>
    <row r="483" spans="1:20" ht="12.75" hidden="1" customHeight="1" outlineLevel="2" x14ac:dyDescent="0.2">
      <c r="A483" s="198" t="str">
        <f>"            "&amp;Labels!C316</f>
        <v xml:space="preserve">            Total</v>
      </c>
      <c r="B483" s="226">
        <f t="shared" ref="B483:T483" si="248">SUM(B403,B443)</f>
        <v>0</v>
      </c>
      <c r="C483" s="226">
        <f t="shared" si="248"/>
        <v>0</v>
      </c>
      <c r="D483" s="226">
        <f t="shared" si="248"/>
        <v>0</v>
      </c>
      <c r="E483" s="226">
        <f t="shared" si="248"/>
        <v>0</v>
      </c>
      <c r="F483" s="226">
        <f t="shared" si="248"/>
        <v>0</v>
      </c>
      <c r="G483" s="226">
        <f t="shared" si="248"/>
        <v>0</v>
      </c>
      <c r="H483" s="226">
        <f t="shared" si="248"/>
        <v>0</v>
      </c>
      <c r="I483" s="226">
        <f t="shared" si="248"/>
        <v>0</v>
      </c>
      <c r="J483" s="226">
        <f t="shared" si="248"/>
        <v>0</v>
      </c>
      <c r="K483" s="226">
        <f t="shared" si="248"/>
        <v>0</v>
      </c>
      <c r="L483" s="226">
        <f t="shared" si="248"/>
        <v>0</v>
      </c>
      <c r="M483" s="226">
        <f t="shared" si="248"/>
        <v>0</v>
      </c>
      <c r="N483" s="226">
        <f t="shared" si="248"/>
        <v>0</v>
      </c>
      <c r="O483" s="226">
        <f t="shared" si="248"/>
        <v>0</v>
      </c>
      <c r="P483" s="226">
        <f t="shared" si="248"/>
        <v>0</v>
      </c>
      <c r="Q483" s="226">
        <f t="shared" si="248"/>
        <v>0</v>
      </c>
      <c r="R483" s="226">
        <f t="shared" si="248"/>
        <v>0</v>
      </c>
      <c r="S483" s="226">
        <f t="shared" si="248"/>
        <v>0</v>
      </c>
      <c r="T483" s="279">
        <f t="shared" si="248"/>
        <v>0</v>
      </c>
    </row>
    <row r="484" spans="1:20" ht="12.75" hidden="1" customHeight="1" outlineLevel="2" x14ac:dyDescent="0.2">
      <c r="A484" s="198" t="str">
        <f>"         "&amp;Labels!C384</f>
        <v xml:space="preserve">         Total</v>
      </c>
      <c r="B484" s="226">
        <f t="shared" ref="B484:T484" si="249">SUM(B404,B444)</f>
        <v>0</v>
      </c>
      <c r="C484" s="226">
        <f t="shared" si="249"/>
        <v>0</v>
      </c>
      <c r="D484" s="226">
        <f t="shared" si="249"/>
        <v>0</v>
      </c>
      <c r="E484" s="226">
        <f t="shared" si="249"/>
        <v>0</v>
      </c>
      <c r="F484" s="226">
        <f t="shared" si="249"/>
        <v>0</v>
      </c>
      <c r="G484" s="226">
        <f t="shared" si="249"/>
        <v>0</v>
      </c>
      <c r="H484" s="226">
        <f t="shared" si="249"/>
        <v>0</v>
      </c>
      <c r="I484" s="226">
        <f t="shared" si="249"/>
        <v>0</v>
      </c>
      <c r="J484" s="226">
        <f t="shared" si="249"/>
        <v>0</v>
      </c>
      <c r="K484" s="226">
        <f t="shared" si="249"/>
        <v>0</v>
      </c>
      <c r="L484" s="226">
        <f t="shared" si="249"/>
        <v>0</v>
      </c>
      <c r="M484" s="226">
        <f t="shared" si="249"/>
        <v>0</v>
      </c>
      <c r="N484" s="226">
        <f t="shared" si="249"/>
        <v>0</v>
      </c>
      <c r="O484" s="226">
        <f t="shared" si="249"/>
        <v>0</v>
      </c>
      <c r="P484" s="226">
        <f t="shared" si="249"/>
        <v>0</v>
      </c>
      <c r="Q484" s="226">
        <f t="shared" si="249"/>
        <v>0</v>
      </c>
      <c r="R484" s="226">
        <f t="shared" si="249"/>
        <v>0</v>
      </c>
      <c r="S484" s="226">
        <f t="shared" si="249"/>
        <v>0</v>
      </c>
      <c r="T484" s="279">
        <f t="shared" si="249"/>
        <v>0</v>
      </c>
    </row>
    <row r="485" spans="1:20" ht="12.75" hidden="1" customHeight="1" outlineLevel="2" x14ac:dyDescent="0.2">
      <c r="A485" s="198" t="str">
        <f>"            "&amp;Labels!B317</f>
        <v xml:space="preserve">            Channels 1</v>
      </c>
      <c r="B485" s="189">
        <f t="shared" ref="B485:T485" si="250">SUM(B405,B445)</f>
        <v>0</v>
      </c>
      <c r="C485" s="189">
        <f t="shared" si="250"/>
        <v>0</v>
      </c>
      <c r="D485" s="189">
        <f t="shared" si="250"/>
        <v>0</v>
      </c>
      <c r="E485" s="189">
        <f t="shared" si="250"/>
        <v>0</v>
      </c>
      <c r="F485" s="189">
        <f t="shared" si="250"/>
        <v>0</v>
      </c>
      <c r="G485" s="189">
        <f t="shared" si="250"/>
        <v>0</v>
      </c>
      <c r="H485" s="189">
        <f t="shared" si="250"/>
        <v>0</v>
      </c>
      <c r="I485" s="189">
        <f t="shared" si="250"/>
        <v>0</v>
      </c>
      <c r="J485" s="189">
        <f t="shared" si="250"/>
        <v>0</v>
      </c>
      <c r="K485" s="189">
        <f t="shared" si="250"/>
        <v>0</v>
      </c>
      <c r="L485" s="189">
        <f t="shared" si="250"/>
        <v>0</v>
      </c>
      <c r="M485" s="189">
        <f t="shared" si="250"/>
        <v>0</v>
      </c>
      <c r="N485" s="189">
        <f t="shared" si="250"/>
        <v>0</v>
      </c>
      <c r="O485" s="189">
        <f t="shared" si="250"/>
        <v>0</v>
      </c>
      <c r="P485" s="189">
        <f t="shared" si="250"/>
        <v>0</v>
      </c>
      <c r="Q485" s="189">
        <f t="shared" si="250"/>
        <v>0</v>
      </c>
      <c r="R485" s="189">
        <f t="shared" si="250"/>
        <v>0</v>
      </c>
      <c r="S485" s="189">
        <f t="shared" si="250"/>
        <v>0</v>
      </c>
      <c r="T485" s="294">
        <f t="shared" si="250"/>
        <v>0</v>
      </c>
    </row>
    <row r="486" spans="1:20" ht="12.75" hidden="1" customHeight="1" outlineLevel="2" x14ac:dyDescent="0.2">
      <c r="A486" s="198" t="str">
        <f>"            "&amp;Labels!B318</f>
        <v xml:space="preserve">            Channels 2</v>
      </c>
      <c r="B486" s="189">
        <f t="shared" ref="B486:T486" si="251">SUM(B406,B446)</f>
        <v>0</v>
      </c>
      <c r="C486" s="189">
        <f t="shared" si="251"/>
        <v>0</v>
      </c>
      <c r="D486" s="189">
        <f t="shared" si="251"/>
        <v>0</v>
      </c>
      <c r="E486" s="189">
        <f t="shared" si="251"/>
        <v>0</v>
      </c>
      <c r="F486" s="189">
        <f t="shared" si="251"/>
        <v>0</v>
      </c>
      <c r="G486" s="189">
        <f t="shared" si="251"/>
        <v>0</v>
      </c>
      <c r="H486" s="189">
        <f t="shared" si="251"/>
        <v>0</v>
      </c>
      <c r="I486" s="189">
        <f t="shared" si="251"/>
        <v>0</v>
      </c>
      <c r="J486" s="189">
        <f t="shared" si="251"/>
        <v>0</v>
      </c>
      <c r="K486" s="189">
        <f t="shared" si="251"/>
        <v>0</v>
      </c>
      <c r="L486" s="189">
        <f t="shared" si="251"/>
        <v>0</v>
      </c>
      <c r="M486" s="189">
        <f t="shared" si="251"/>
        <v>0</v>
      </c>
      <c r="N486" s="189">
        <f t="shared" si="251"/>
        <v>0</v>
      </c>
      <c r="O486" s="189">
        <f t="shared" si="251"/>
        <v>0</v>
      </c>
      <c r="P486" s="189">
        <f t="shared" si="251"/>
        <v>0</v>
      </c>
      <c r="Q486" s="189">
        <f t="shared" si="251"/>
        <v>0</v>
      </c>
      <c r="R486" s="189">
        <f t="shared" si="251"/>
        <v>0</v>
      </c>
      <c r="S486" s="189">
        <f t="shared" si="251"/>
        <v>0</v>
      </c>
      <c r="T486" s="294">
        <f t="shared" si="251"/>
        <v>0</v>
      </c>
    </row>
    <row r="487" spans="1:20" ht="12.75" hidden="1" customHeight="1" outlineLevel="2" x14ac:dyDescent="0.2">
      <c r="A487" s="198" t="str">
        <f>"            "&amp;Labels!C316</f>
        <v xml:space="preserve">            Total</v>
      </c>
      <c r="B487" s="226">
        <f t="shared" ref="B487:T487" si="252">SUM(B404,B444)</f>
        <v>0</v>
      </c>
      <c r="C487" s="226">
        <f t="shared" si="252"/>
        <v>0</v>
      </c>
      <c r="D487" s="226">
        <f t="shared" si="252"/>
        <v>0</v>
      </c>
      <c r="E487" s="226">
        <f t="shared" si="252"/>
        <v>0</v>
      </c>
      <c r="F487" s="226">
        <f t="shared" si="252"/>
        <v>0</v>
      </c>
      <c r="G487" s="226">
        <f t="shared" si="252"/>
        <v>0</v>
      </c>
      <c r="H487" s="226">
        <f t="shared" si="252"/>
        <v>0</v>
      </c>
      <c r="I487" s="226">
        <f t="shared" si="252"/>
        <v>0</v>
      </c>
      <c r="J487" s="226">
        <f t="shared" si="252"/>
        <v>0</v>
      </c>
      <c r="K487" s="226">
        <f t="shared" si="252"/>
        <v>0</v>
      </c>
      <c r="L487" s="226">
        <f t="shared" si="252"/>
        <v>0</v>
      </c>
      <c r="M487" s="226">
        <f t="shared" si="252"/>
        <v>0</v>
      </c>
      <c r="N487" s="226">
        <f t="shared" si="252"/>
        <v>0</v>
      </c>
      <c r="O487" s="226">
        <f t="shared" si="252"/>
        <v>0</v>
      </c>
      <c r="P487" s="226">
        <f t="shared" si="252"/>
        <v>0</v>
      </c>
      <c r="Q487" s="226">
        <f t="shared" si="252"/>
        <v>0</v>
      </c>
      <c r="R487" s="226">
        <f t="shared" si="252"/>
        <v>0</v>
      </c>
      <c r="S487" s="226">
        <f t="shared" si="252"/>
        <v>0</v>
      </c>
      <c r="T487" s="279">
        <f t="shared" si="252"/>
        <v>0</v>
      </c>
    </row>
    <row r="488" spans="1:20" ht="12.75" hidden="1" customHeight="1" outlineLevel="2" x14ac:dyDescent="0.2">
      <c r="A488" s="188" t="str">
        <f>"      "&amp;Labels!C380</f>
        <v xml:space="preserve">      Total</v>
      </c>
      <c r="B488" s="196">
        <f t="shared" ref="B488:T488" si="253">SUM(B408,B448)</f>
        <v>0</v>
      </c>
      <c r="C488" s="196">
        <f t="shared" si="253"/>
        <v>0</v>
      </c>
      <c r="D488" s="196">
        <f t="shared" si="253"/>
        <v>0</v>
      </c>
      <c r="E488" s="196">
        <f t="shared" si="253"/>
        <v>0</v>
      </c>
      <c r="F488" s="196">
        <f t="shared" si="253"/>
        <v>0</v>
      </c>
      <c r="G488" s="196">
        <f t="shared" si="253"/>
        <v>0</v>
      </c>
      <c r="H488" s="196">
        <f t="shared" si="253"/>
        <v>0</v>
      </c>
      <c r="I488" s="196">
        <f t="shared" si="253"/>
        <v>0</v>
      </c>
      <c r="J488" s="196">
        <f t="shared" si="253"/>
        <v>0</v>
      </c>
      <c r="K488" s="196">
        <f t="shared" si="253"/>
        <v>0</v>
      </c>
      <c r="L488" s="196">
        <f t="shared" si="253"/>
        <v>0</v>
      </c>
      <c r="M488" s="196">
        <f t="shared" si="253"/>
        <v>0</v>
      </c>
      <c r="N488" s="196">
        <f t="shared" si="253"/>
        <v>0</v>
      </c>
      <c r="O488" s="196">
        <f t="shared" si="253"/>
        <v>0</v>
      </c>
      <c r="P488" s="196">
        <f t="shared" si="253"/>
        <v>0</v>
      </c>
      <c r="Q488" s="196">
        <f t="shared" si="253"/>
        <v>0</v>
      </c>
      <c r="R488" s="196">
        <f t="shared" si="253"/>
        <v>0</v>
      </c>
      <c r="S488" s="196">
        <f t="shared" si="253"/>
        <v>0</v>
      </c>
      <c r="T488" s="267">
        <f t="shared" si="253"/>
        <v>0</v>
      </c>
    </row>
    <row r="489" spans="1:20" ht="12.75" hidden="1" customHeight="1" outlineLevel="2" x14ac:dyDescent="0.2">
      <c r="A489" s="198" t="str">
        <f>"         "&amp;Labels!B385</f>
        <v xml:space="preserve">         Prof Level 1</v>
      </c>
      <c r="B489" s="226"/>
      <c r="C489" s="226"/>
      <c r="D489" s="226"/>
      <c r="E489" s="226"/>
      <c r="F489" s="226"/>
      <c r="G489" s="226"/>
      <c r="H489" s="226"/>
      <c r="I489" s="226"/>
      <c r="J489" s="226"/>
      <c r="K489" s="226"/>
      <c r="L489" s="226"/>
      <c r="M489" s="226"/>
      <c r="N489" s="226"/>
      <c r="O489" s="226"/>
      <c r="P489" s="226"/>
      <c r="Q489" s="226"/>
      <c r="R489" s="226"/>
      <c r="S489" s="226"/>
      <c r="T489" s="279"/>
    </row>
    <row r="490" spans="1:20" ht="12.75" hidden="1" customHeight="1" outlineLevel="2" x14ac:dyDescent="0.2">
      <c r="A490" s="198" t="str">
        <f>"            "&amp;Labels!B317</f>
        <v xml:space="preserve">            Channels 1</v>
      </c>
      <c r="B490" s="189">
        <f t="shared" ref="B490:T490" si="254">SUM(B410,B450)</f>
        <v>0</v>
      </c>
      <c r="C490" s="189">
        <f t="shared" si="254"/>
        <v>0</v>
      </c>
      <c r="D490" s="189">
        <f t="shared" si="254"/>
        <v>0</v>
      </c>
      <c r="E490" s="189">
        <f t="shared" si="254"/>
        <v>0</v>
      </c>
      <c r="F490" s="189">
        <f t="shared" si="254"/>
        <v>0</v>
      </c>
      <c r="G490" s="189">
        <f t="shared" si="254"/>
        <v>0</v>
      </c>
      <c r="H490" s="189">
        <f t="shared" si="254"/>
        <v>0</v>
      </c>
      <c r="I490" s="189">
        <f t="shared" si="254"/>
        <v>0</v>
      </c>
      <c r="J490" s="189">
        <f t="shared" si="254"/>
        <v>0</v>
      </c>
      <c r="K490" s="189">
        <f t="shared" si="254"/>
        <v>0</v>
      </c>
      <c r="L490" s="189">
        <f t="shared" si="254"/>
        <v>0</v>
      </c>
      <c r="M490" s="189">
        <f t="shared" si="254"/>
        <v>0</v>
      </c>
      <c r="N490" s="189">
        <f t="shared" si="254"/>
        <v>0</v>
      </c>
      <c r="O490" s="189">
        <f t="shared" si="254"/>
        <v>0</v>
      </c>
      <c r="P490" s="189">
        <f t="shared" si="254"/>
        <v>0</v>
      </c>
      <c r="Q490" s="189">
        <f t="shared" si="254"/>
        <v>0</v>
      </c>
      <c r="R490" s="189">
        <f t="shared" si="254"/>
        <v>0</v>
      </c>
      <c r="S490" s="189">
        <f t="shared" si="254"/>
        <v>0</v>
      </c>
      <c r="T490" s="294">
        <f t="shared" si="254"/>
        <v>0</v>
      </c>
    </row>
    <row r="491" spans="1:20" ht="12.75" hidden="1" customHeight="1" outlineLevel="2" x14ac:dyDescent="0.2">
      <c r="A491" s="198" t="str">
        <f>"            "&amp;Labels!B318</f>
        <v xml:space="preserve">            Channels 2</v>
      </c>
      <c r="B491" s="189">
        <f t="shared" ref="B491:T491" si="255">SUM(B411,B451)</f>
        <v>0</v>
      </c>
      <c r="C491" s="189">
        <f t="shared" si="255"/>
        <v>0</v>
      </c>
      <c r="D491" s="189">
        <f t="shared" si="255"/>
        <v>0</v>
      </c>
      <c r="E491" s="189">
        <f t="shared" si="255"/>
        <v>0</v>
      </c>
      <c r="F491" s="189">
        <f t="shared" si="255"/>
        <v>0</v>
      </c>
      <c r="G491" s="189">
        <f t="shared" si="255"/>
        <v>0</v>
      </c>
      <c r="H491" s="189">
        <f t="shared" si="255"/>
        <v>0</v>
      </c>
      <c r="I491" s="189">
        <f t="shared" si="255"/>
        <v>0</v>
      </c>
      <c r="J491" s="189">
        <f t="shared" si="255"/>
        <v>0</v>
      </c>
      <c r="K491" s="189">
        <f t="shared" si="255"/>
        <v>0</v>
      </c>
      <c r="L491" s="189">
        <f t="shared" si="255"/>
        <v>0</v>
      </c>
      <c r="M491" s="189">
        <f t="shared" si="255"/>
        <v>0</v>
      </c>
      <c r="N491" s="189">
        <f t="shared" si="255"/>
        <v>0</v>
      </c>
      <c r="O491" s="189">
        <f t="shared" si="255"/>
        <v>0</v>
      </c>
      <c r="P491" s="189">
        <f t="shared" si="255"/>
        <v>0</v>
      </c>
      <c r="Q491" s="189">
        <f t="shared" si="255"/>
        <v>0</v>
      </c>
      <c r="R491" s="189">
        <f t="shared" si="255"/>
        <v>0</v>
      </c>
      <c r="S491" s="189">
        <f t="shared" si="255"/>
        <v>0</v>
      </c>
      <c r="T491" s="294">
        <f t="shared" si="255"/>
        <v>0</v>
      </c>
    </row>
    <row r="492" spans="1:20" ht="12.75" hidden="1" customHeight="1" outlineLevel="2" x14ac:dyDescent="0.2">
      <c r="A492" s="198" t="str">
        <f>"            "&amp;Labels!C316</f>
        <v xml:space="preserve">            Total</v>
      </c>
      <c r="B492" s="226">
        <f t="shared" ref="B492:T492" si="256">SUM(B412,B452)</f>
        <v>0</v>
      </c>
      <c r="C492" s="226">
        <f t="shared" si="256"/>
        <v>0</v>
      </c>
      <c r="D492" s="226">
        <f t="shared" si="256"/>
        <v>0</v>
      </c>
      <c r="E492" s="226">
        <f t="shared" si="256"/>
        <v>0</v>
      </c>
      <c r="F492" s="226">
        <f t="shared" si="256"/>
        <v>0</v>
      </c>
      <c r="G492" s="226">
        <f t="shared" si="256"/>
        <v>0</v>
      </c>
      <c r="H492" s="226">
        <f t="shared" si="256"/>
        <v>0</v>
      </c>
      <c r="I492" s="226">
        <f t="shared" si="256"/>
        <v>0</v>
      </c>
      <c r="J492" s="226">
        <f t="shared" si="256"/>
        <v>0</v>
      </c>
      <c r="K492" s="226">
        <f t="shared" si="256"/>
        <v>0</v>
      </c>
      <c r="L492" s="226">
        <f t="shared" si="256"/>
        <v>0</v>
      </c>
      <c r="M492" s="226">
        <f t="shared" si="256"/>
        <v>0</v>
      </c>
      <c r="N492" s="226">
        <f t="shared" si="256"/>
        <v>0</v>
      </c>
      <c r="O492" s="226">
        <f t="shared" si="256"/>
        <v>0</v>
      </c>
      <c r="P492" s="226">
        <f t="shared" si="256"/>
        <v>0</v>
      </c>
      <c r="Q492" s="226">
        <f t="shared" si="256"/>
        <v>0</v>
      </c>
      <c r="R492" s="226">
        <f t="shared" si="256"/>
        <v>0</v>
      </c>
      <c r="S492" s="226">
        <f t="shared" si="256"/>
        <v>0</v>
      </c>
      <c r="T492" s="279">
        <f t="shared" si="256"/>
        <v>0</v>
      </c>
    </row>
    <row r="493" spans="1:20" ht="12.75" hidden="1" customHeight="1" outlineLevel="2" x14ac:dyDescent="0.2">
      <c r="A493" s="198" t="str">
        <f>"         "&amp;Labels!B386</f>
        <v xml:space="preserve">         Prof Level 2</v>
      </c>
      <c r="B493" s="226"/>
      <c r="C493" s="226"/>
      <c r="D493" s="226"/>
      <c r="E493" s="226"/>
      <c r="F493" s="226"/>
      <c r="G493" s="226"/>
      <c r="H493" s="226"/>
      <c r="I493" s="226"/>
      <c r="J493" s="226"/>
      <c r="K493" s="226"/>
      <c r="L493" s="226"/>
      <c r="M493" s="226"/>
      <c r="N493" s="226"/>
      <c r="O493" s="226"/>
      <c r="P493" s="226"/>
      <c r="Q493" s="226"/>
      <c r="R493" s="226"/>
      <c r="S493" s="226"/>
      <c r="T493" s="279"/>
    </row>
    <row r="494" spans="1:20" ht="12.75" hidden="1" customHeight="1" outlineLevel="2" x14ac:dyDescent="0.2">
      <c r="A494" s="198" t="str">
        <f>"            "&amp;Labels!B317</f>
        <v xml:space="preserve">            Channels 1</v>
      </c>
      <c r="B494" s="189">
        <f t="shared" ref="B494:T494" si="257">SUM(B414,B454)</f>
        <v>0</v>
      </c>
      <c r="C494" s="189">
        <f t="shared" si="257"/>
        <v>0</v>
      </c>
      <c r="D494" s="189">
        <f t="shared" si="257"/>
        <v>0</v>
      </c>
      <c r="E494" s="189">
        <f t="shared" si="257"/>
        <v>0</v>
      </c>
      <c r="F494" s="189">
        <f t="shared" si="257"/>
        <v>0</v>
      </c>
      <c r="G494" s="189">
        <f t="shared" si="257"/>
        <v>0</v>
      </c>
      <c r="H494" s="189">
        <f t="shared" si="257"/>
        <v>0</v>
      </c>
      <c r="I494" s="189">
        <f t="shared" si="257"/>
        <v>0</v>
      </c>
      <c r="J494" s="189">
        <f t="shared" si="257"/>
        <v>0</v>
      </c>
      <c r="K494" s="189">
        <f t="shared" si="257"/>
        <v>0</v>
      </c>
      <c r="L494" s="189">
        <f t="shared" si="257"/>
        <v>0</v>
      </c>
      <c r="M494" s="189">
        <f t="shared" si="257"/>
        <v>0</v>
      </c>
      <c r="N494" s="189">
        <f t="shared" si="257"/>
        <v>0</v>
      </c>
      <c r="O494" s="189">
        <f t="shared" si="257"/>
        <v>0</v>
      </c>
      <c r="P494" s="189">
        <f t="shared" si="257"/>
        <v>0</v>
      </c>
      <c r="Q494" s="189">
        <f t="shared" si="257"/>
        <v>0</v>
      </c>
      <c r="R494" s="189">
        <f t="shared" si="257"/>
        <v>0</v>
      </c>
      <c r="S494" s="189">
        <f t="shared" si="257"/>
        <v>0</v>
      </c>
      <c r="T494" s="294">
        <f t="shared" si="257"/>
        <v>0</v>
      </c>
    </row>
    <row r="495" spans="1:20" ht="12.75" hidden="1" customHeight="1" outlineLevel="2" x14ac:dyDescent="0.2">
      <c r="A495" s="198" t="str">
        <f>"            "&amp;Labels!B318</f>
        <v xml:space="preserve">            Channels 2</v>
      </c>
      <c r="B495" s="189">
        <f t="shared" ref="B495:T495" si="258">SUM(B415,B455)</f>
        <v>0</v>
      </c>
      <c r="C495" s="189">
        <f t="shared" si="258"/>
        <v>0</v>
      </c>
      <c r="D495" s="189">
        <f t="shared" si="258"/>
        <v>0</v>
      </c>
      <c r="E495" s="189">
        <f t="shared" si="258"/>
        <v>0</v>
      </c>
      <c r="F495" s="189">
        <f t="shared" si="258"/>
        <v>0</v>
      </c>
      <c r="G495" s="189">
        <f t="shared" si="258"/>
        <v>0</v>
      </c>
      <c r="H495" s="189">
        <f t="shared" si="258"/>
        <v>0</v>
      </c>
      <c r="I495" s="189">
        <f t="shared" si="258"/>
        <v>0</v>
      </c>
      <c r="J495" s="189">
        <f t="shared" si="258"/>
        <v>0</v>
      </c>
      <c r="K495" s="189">
        <f t="shared" si="258"/>
        <v>0</v>
      </c>
      <c r="L495" s="189">
        <f t="shared" si="258"/>
        <v>0</v>
      </c>
      <c r="M495" s="189">
        <f t="shared" si="258"/>
        <v>0</v>
      </c>
      <c r="N495" s="189">
        <f t="shared" si="258"/>
        <v>0</v>
      </c>
      <c r="O495" s="189">
        <f t="shared" si="258"/>
        <v>0</v>
      </c>
      <c r="P495" s="189">
        <f t="shared" si="258"/>
        <v>0</v>
      </c>
      <c r="Q495" s="189">
        <f t="shared" si="258"/>
        <v>0</v>
      </c>
      <c r="R495" s="189">
        <f t="shared" si="258"/>
        <v>0</v>
      </c>
      <c r="S495" s="189">
        <f t="shared" si="258"/>
        <v>0</v>
      </c>
      <c r="T495" s="294">
        <f t="shared" si="258"/>
        <v>0</v>
      </c>
    </row>
    <row r="496" spans="1:20" ht="12.75" hidden="1" customHeight="1" outlineLevel="2" x14ac:dyDescent="0.2">
      <c r="A496" s="198" t="str">
        <f>"            "&amp;Labels!C316</f>
        <v xml:space="preserve">            Total</v>
      </c>
      <c r="B496" s="226">
        <f t="shared" ref="B496:T496" si="259">SUM(B416,B456)</f>
        <v>0</v>
      </c>
      <c r="C496" s="226">
        <f t="shared" si="259"/>
        <v>0</v>
      </c>
      <c r="D496" s="226">
        <f t="shared" si="259"/>
        <v>0</v>
      </c>
      <c r="E496" s="226">
        <f t="shared" si="259"/>
        <v>0</v>
      </c>
      <c r="F496" s="226">
        <f t="shared" si="259"/>
        <v>0</v>
      </c>
      <c r="G496" s="226">
        <f t="shared" si="259"/>
        <v>0</v>
      </c>
      <c r="H496" s="226">
        <f t="shared" si="259"/>
        <v>0</v>
      </c>
      <c r="I496" s="226">
        <f t="shared" si="259"/>
        <v>0</v>
      </c>
      <c r="J496" s="226">
        <f t="shared" si="259"/>
        <v>0</v>
      </c>
      <c r="K496" s="226">
        <f t="shared" si="259"/>
        <v>0</v>
      </c>
      <c r="L496" s="226">
        <f t="shared" si="259"/>
        <v>0</v>
      </c>
      <c r="M496" s="226">
        <f t="shared" si="259"/>
        <v>0</v>
      </c>
      <c r="N496" s="226">
        <f t="shared" si="259"/>
        <v>0</v>
      </c>
      <c r="O496" s="226">
        <f t="shared" si="259"/>
        <v>0</v>
      </c>
      <c r="P496" s="226">
        <f t="shared" si="259"/>
        <v>0</v>
      </c>
      <c r="Q496" s="226">
        <f t="shared" si="259"/>
        <v>0</v>
      </c>
      <c r="R496" s="226">
        <f t="shared" si="259"/>
        <v>0</v>
      </c>
      <c r="S496" s="226">
        <f t="shared" si="259"/>
        <v>0</v>
      </c>
      <c r="T496" s="279">
        <f t="shared" si="259"/>
        <v>0</v>
      </c>
    </row>
    <row r="497" spans="1:20" ht="12.75" hidden="1" customHeight="1" outlineLevel="2" x14ac:dyDescent="0.2">
      <c r="A497" s="198" t="str">
        <f>"         "&amp;Labels!C384</f>
        <v xml:space="preserve">         Total</v>
      </c>
      <c r="B497" s="226">
        <f t="shared" ref="B497:T497" si="260">SUM(B408,B448)</f>
        <v>0</v>
      </c>
      <c r="C497" s="226">
        <f t="shared" si="260"/>
        <v>0</v>
      </c>
      <c r="D497" s="226">
        <f t="shared" si="260"/>
        <v>0</v>
      </c>
      <c r="E497" s="226">
        <f t="shared" si="260"/>
        <v>0</v>
      </c>
      <c r="F497" s="226">
        <f t="shared" si="260"/>
        <v>0</v>
      </c>
      <c r="G497" s="226">
        <f t="shared" si="260"/>
        <v>0</v>
      </c>
      <c r="H497" s="226">
        <f t="shared" si="260"/>
        <v>0</v>
      </c>
      <c r="I497" s="226">
        <f t="shared" si="260"/>
        <v>0</v>
      </c>
      <c r="J497" s="226">
        <f t="shared" si="260"/>
        <v>0</v>
      </c>
      <c r="K497" s="226">
        <f t="shared" si="260"/>
        <v>0</v>
      </c>
      <c r="L497" s="226">
        <f t="shared" si="260"/>
        <v>0</v>
      </c>
      <c r="M497" s="226">
        <f t="shared" si="260"/>
        <v>0</v>
      </c>
      <c r="N497" s="226">
        <f t="shared" si="260"/>
        <v>0</v>
      </c>
      <c r="O497" s="226">
        <f t="shared" si="260"/>
        <v>0</v>
      </c>
      <c r="P497" s="226">
        <f t="shared" si="260"/>
        <v>0</v>
      </c>
      <c r="Q497" s="226">
        <f t="shared" si="260"/>
        <v>0</v>
      </c>
      <c r="R497" s="226">
        <f t="shared" si="260"/>
        <v>0</v>
      </c>
      <c r="S497" s="226">
        <f t="shared" si="260"/>
        <v>0</v>
      </c>
      <c r="T497" s="279">
        <f t="shared" si="260"/>
        <v>0</v>
      </c>
    </row>
    <row r="498" spans="1:20" ht="12.75" hidden="1" customHeight="1" outlineLevel="2" x14ac:dyDescent="0.2">
      <c r="A498" s="198" t="str">
        <f>"            "&amp;Labels!B317</f>
        <v xml:space="preserve">            Channels 1</v>
      </c>
      <c r="B498" s="189">
        <f t="shared" ref="B498:T498" si="261">SUM(B418,B458)</f>
        <v>0</v>
      </c>
      <c r="C498" s="189">
        <f t="shared" si="261"/>
        <v>0</v>
      </c>
      <c r="D498" s="189">
        <f t="shared" si="261"/>
        <v>0</v>
      </c>
      <c r="E498" s="189">
        <f t="shared" si="261"/>
        <v>0</v>
      </c>
      <c r="F498" s="189">
        <f t="shared" si="261"/>
        <v>0</v>
      </c>
      <c r="G498" s="189">
        <f t="shared" si="261"/>
        <v>0</v>
      </c>
      <c r="H498" s="189">
        <f t="shared" si="261"/>
        <v>0</v>
      </c>
      <c r="I498" s="189">
        <f t="shared" si="261"/>
        <v>0</v>
      </c>
      <c r="J498" s="189">
        <f t="shared" si="261"/>
        <v>0</v>
      </c>
      <c r="K498" s="189">
        <f t="shared" si="261"/>
        <v>0</v>
      </c>
      <c r="L498" s="189">
        <f t="shared" si="261"/>
        <v>0</v>
      </c>
      <c r="M498" s="189">
        <f t="shared" si="261"/>
        <v>0</v>
      </c>
      <c r="N498" s="189">
        <f t="shared" si="261"/>
        <v>0</v>
      </c>
      <c r="O498" s="189">
        <f t="shared" si="261"/>
        <v>0</v>
      </c>
      <c r="P498" s="189">
        <f t="shared" si="261"/>
        <v>0</v>
      </c>
      <c r="Q498" s="189">
        <f t="shared" si="261"/>
        <v>0</v>
      </c>
      <c r="R498" s="189">
        <f t="shared" si="261"/>
        <v>0</v>
      </c>
      <c r="S498" s="189">
        <f t="shared" si="261"/>
        <v>0</v>
      </c>
      <c r="T498" s="294">
        <f t="shared" si="261"/>
        <v>0</v>
      </c>
    </row>
    <row r="499" spans="1:20" ht="12.75" hidden="1" customHeight="1" outlineLevel="2" x14ac:dyDescent="0.2">
      <c r="A499" s="198" t="str">
        <f>"            "&amp;Labels!B318</f>
        <v xml:space="preserve">            Channels 2</v>
      </c>
      <c r="B499" s="189">
        <f t="shared" ref="B499:T499" si="262">SUM(B419,B459)</f>
        <v>0</v>
      </c>
      <c r="C499" s="189">
        <f t="shared" si="262"/>
        <v>0</v>
      </c>
      <c r="D499" s="189">
        <f t="shared" si="262"/>
        <v>0</v>
      </c>
      <c r="E499" s="189">
        <f t="shared" si="262"/>
        <v>0</v>
      </c>
      <c r="F499" s="189">
        <f t="shared" si="262"/>
        <v>0</v>
      </c>
      <c r="G499" s="189">
        <f t="shared" si="262"/>
        <v>0</v>
      </c>
      <c r="H499" s="189">
        <f t="shared" si="262"/>
        <v>0</v>
      </c>
      <c r="I499" s="189">
        <f t="shared" si="262"/>
        <v>0</v>
      </c>
      <c r="J499" s="189">
        <f t="shared" si="262"/>
        <v>0</v>
      </c>
      <c r="K499" s="189">
        <f t="shared" si="262"/>
        <v>0</v>
      </c>
      <c r="L499" s="189">
        <f t="shared" si="262"/>
        <v>0</v>
      </c>
      <c r="M499" s="189">
        <f t="shared" si="262"/>
        <v>0</v>
      </c>
      <c r="N499" s="189">
        <f t="shared" si="262"/>
        <v>0</v>
      </c>
      <c r="O499" s="189">
        <f t="shared" si="262"/>
        <v>0</v>
      </c>
      <c r="P499" s="189">
        <f t="shared" si="262"/>
        <v>0</v>
      </c>
      <c r="Q499" s="189">
        <f t="shared" si="262"/>
        <v>0</v>
      </c>
      <c r="R499" s="189">
        <f t="shared" si="262"/>
        <v>0</v>
      </c>
      <c r="S499" s="189">
        <f t="shared" si="262"/>
        <v>0</v>
      </c>
      <c r="T499" s="294">
        <f t="shared" si="262"/>
        <v>0</v>
      </c>
    </row>
    <row r="500" spans="1:20" ht="12.75" hidden="1" customHeight="1" outlineLevel="2" x14ac:dyDescent="0.2">
      <c r="A500" s="198" t="str">
        <f>"            "&amp;Labels!C316</f>
        <v xml:space="preserve">            Total</v>
      </c>
      <c r="B500" s="226">
        <f t="shared" ref="B500:T500" si="263">SUM(B408,B448)</f>
        <v>0</v>
      </c>
      <c r="C500" s="226">
        <f t="shared" si="263"/>
        <v>0</v>
      </c>
      <c r="D500" s="226">
        <f t="shared" si="263"/>
        <v>0</v>
      </c>
      <c r="E500" s="226">
        <f t="shared" si="263"/>
        <v>0</v>
      </c>
      <c r="F500" s="226">
        <f t="shared" si="263"/>
        <v>0</v>
      </c>
      <c r="G500" s="226">
        <f t="shared" si="263"/>
        <v>0</v>
      </c>
      <c r="H500" s="226">
        <f t="shared" si="263"/>
        <v>0</v>
      </c>
      <c r="I500" s="226">
        <f t="shared" si="263"/>
        <v>0</v>
      </c>
      <c r="J500" s="226">
        <f t="shared" si="263"/>
        <v>0</v>
      </c>
      <c r="K500" s="226">
        <f t="shared" si="263"/>
        <v>0</v>
      </c>
      <c r="L500" s="226">
        <f t="shared" si="263"/>
        <v>0</v>
      </c>
      <c r="M500" s="226">
        <f t="shared" si="263"/>
        <v>0</v>
      </c>
      <c r="N500" s="226">
        <f t="shared" si="263"/>
        <v>0</v>
      </c>
      <c r="O500" s="226">
        <f t="shared" si="263"/>
        <v>0</v>
      </c>
      <c r="P500" s="226">
        <f t="shared" si="263"/>
        <v>0</v>
      </c>
      <c r="Q500" s="226">
        <f t="shared" si="263"/>
        <v>0</v>
      </c>
      <c r="R500" s="226">
        <f t="shared" si="263"/>
        <v>0</v>
      </c>
      <c r="S500" s="226">
        <f t="shared" si="263"/>
        <v>0</v>
      </c>
      <c r="T500" s="279">
        <f t="shared" si="263"/>
        <v>0</v>
      </c>
    </row>
    <row r="501" spans="1:20" ht="12.75" hidden="1" customHeight="1" outlineLevel="2" x14ac:dyDescent="0.2">
      <c r="A501" s="97"/>
      <c r="B501" s="6"/>
      <c r="C501" s="6"/>
      <c r="D501" s="6"/>
      <c r="E501" s="6"/>
      <c r="F501" s="6"/>
      <c r="G501" s="6"/>
      <c r="H501" s="6"/>
      <c r="I501" s="6"/>
      <c r="J501" s="6"/>
      <c r="K501" s="6"/>
      <c r="L501" s="6"/>
      <c r="M501" s="6"/>
      <c r="N501" s="6"/>
      <c r="O501" s="6"/>
      <c r="P501" s="6"/>
      <c r="Q501" s="6"/>
      <c r="R501" s="6"/>
      <c r="S501" s="6"/>
      <c r="T501" s="7"/>
    </row>
    <row r="502" spans="1:20" ht="12.75" hidden="1" customHeight="1" outlineLevel="2" x14ac:dyDescent="0.2">
      <c r="A502" s="191" t="str">
        <f>Labels!B242</f>
        <v>Sales Leads (Hrs)</v>
      </c>
      <c r="B502" s="260"/>
      <c r="C502" s="260"/>
      <c r="D502" s="260"/>
      <c r="E502" s="260"/>
      <c r="F502" s="260"/>
      <c r="G502" s="260"/>
      <c r="H502" s="260"/>
      <c r="I502" s="260"/>
      <c r="J502" s="260"/>
      <c r="K502" s="260"/>
      <c r="L502" s="260"/>
      <c r="M502" s="260"/>
      <c r="N502" s="260"/>
      <c r="O502" s="260"/>
      <c r="P502" s="260"/>
      <c r="Q502" s="260"/>
      <c r="R502" s="260"/>
      <c r="S502" s="260"/>
      <c r="T502" s="289"/>
    </row>
    <row r="503" spans="1:20" ht="12.75" hidden="1" customHeight="1" outlineLevel="2" x14ac:dyDescent="0.2">
      <c r="A503" s="188" t="str">
        <f>"   "&amp;Labels!B389</f>
        <v xml:space="preserve">   Lead Qual 1</v>
      </c>
      <c r="B503" s="256"/>
      <c r="C503" s="256"/>
      <c r="D503" s="256"/>
      <c r="E503" s="256"/>
      <c r="F503" s="256"/>
      <c r="G503" s="256"/>
      <c r="H503" s="256"/>
      <c r="I503" s="256"/>
      <c r="J503" s="256"/>
      <c r="K503" s="256"/>
      <c r="L503" s="256"/>
      <c r="M503" s="256"/>
      <c r="N503" s="256"/>
      <c r="O503" s="256"/>
      <c r="P503" s="256"/>
      <c r="Q503" s="256"/>
      <c r="R503" s="256"/>
      <c r="S503" s="256"/>
      <c r="T503" s="290"/>
    </row>
    <row r="504" spans="1:20" ht="12.75" hidden="1" customHeight="1" outlineLevel="2" x14ac:dyDescent="0.2">
      <c r="A504" s="198" t="str">
        <f>"      "&amp;Labels!B381</f>
        <v xml:space="preserve">      Practice 1</v>
      </c>
      <c r="B504" s="258"/>
      <c r="C504" s="258"/>
      <c r="D504" s="258"/>
      <c r="E504" s="258"/>
      <c r="F504" s="258"/>
      <c r="G504" s="258"/>
      <c r="H504" s="258"/>
      <c r="I504" s="258"/>
      <c r="J504" s="258"/>
      <c r="K504" s="258"/>
      <c r="L504" s="258"/>
      <c r="M504" s="258"/>
      <c r="N504" s="258"/>
      <c r="O504" s="258"/>
      <c r="P504" s="258"/>
      <c r="Q504" s="258"/>
      <c r="R504" s="258"/>
      <c r="S504" s="258"/>
      <c r="T504" s="291"/>
    </row>
    <row r="505" spans="1:20" ht="12.75" hidden="1" customHeight="1" outlineLevel="2" x14ac:dyDescent="0.2">
      <c r="A505" s="198" t="str">
        <f>"         "&amp;Labels!B385</f>
        <v xml:space="preserve">         Prof Level 1</v>
      </c>
      <c r="B505" s="258"/>
      <c r="C505" s="258"/>
      <c r="D505" s="258"/>
      <c r="E505" s="258"/>
      <c r="F505" s="258"/>
      <c r="G505" s="258"/>
      <c r="H505" s="258"/>
      <c r="I505" s="258"/>
      <c r="J505" s="258"/>
      <c r="K505" s="258"/>
      <c r="L505" s="258"/>
      <c r="M505" s="258"/>
      <c r="N505" s="258"/>
      <c r="O505" s="258"/>
      <c r="P505" s="258"/>
      <c r="Q505" s="258"/>
      <c r="R505" s="258"/>
      <c r="S505" s="258"/>
      <c r="T505" s="291"/>
    </row>
    <row r="506" spans="1:20" ht="12.75" hidden="1" customHeight="1" outlineLevel="2" x14ac:dyDescent="0.2">
      <c r="A506" s="198" t="str">
        <f>"            "&amp;Labels!B317</f>
        <v xml:space="preserve">            Channels 1</v>
      </c>
      <c r="B506" s="295">
        <f>Inputs!F56</f>
        <v>0</v>
      </c>
      <c r="C506" s="295">
        <f>0+(B506+C750)*(1-'(Tables)'!B486-'(Tables)'!B608)</f>
        <v>0</v>
      </c>
      <c r="D506" s="295">
        <f>0+(C506+D750)*(1-'(Tables)'!C486-'(Tables)'!C608)</f>
        <v>0</v>
      </c>
      <c r="E506" s="295">
        <f>0+(D506+E750)*(1-'(Tables)'!D486-'(Tables)'!D608)</f>
        <v>0</v>
      </c>
      <c r="F506" s="295">
        <f>0+(E506+F750)*(1-'(Tables)'!E486-'(Tables)'!E608)</f>
        <v>0</v>
      </c>
      <c r="G506" s="295">
        <f>0+(F506+G750)*(1-'(Tables)'!F486-'(Tables)'!F608)</f>
        <v>0</v>
      </c>
      <c r="H506" s="295">
        <f>0+(G506+H750)*(1-'(Tables)'!G486-'(Tables)'!G608)</f>
        <v>0</v>
      </c>
      <c r="I506" s="295">
        <f>0+(H506+I750)*(1-'(Tables)'!H486-'(Tables)'!H608)</f>
        <v>0</v>
      </c>
      <c r="J506" s="295">
        <f>0+(I506+J750)*(1-'(Tables)'!I486-'(Tables)'!I608)</f>
        <v>0</v>
      </c>
      <c r="K506" s="295">
        <f>0+(J506+K750)*(1-'(Tables)'!J486-'(Tables)'!J608)</f>
        <v>0</v>
      </c>
      <c r="L506" s="295">
        <f>0+(K506+L750)*(1-'(Tables)'!K486-'(Tables)'!K608)</f>
        <v>0</v>
      </c>
      <c r="M506" s="295">
        <f>0+(L506+M750)*(1-'(Tables)'!L486-'(Tables)'!L608)</f>
        <v>0</v>
      </c>
      <c r="N506" s="295">
        <f>0+(M506+N750)*(1-'(Tables)'!M486-'(Tables)'!M608)</f>
        <v>0</v>
      </c>
      <c r="O506" s="295">
        <f>0+(N506+O750)*(1-'(Tables)'!N486-'(Tables)'!N608)</f>
        <v>0</v>
      </c>
      <c r="P506" s="295">
        <f>0+(O506+P750)*(1-'(Tables)'!O486-'(Tables)'!O608)</f>
        <v>0</v>
      </c>
      <c r="Q506" s="295">
        <f>0+(P506+Q750)*(1-'(Tables)'!P486-'(Tables)'!P608)</f>
        <v>0</v>
      </c>
      <c r="R506" s="295">
        <f>0+(Q506+R750)*(1-'(Tables)'!Q486-'(Tables)'!Q608)</f>
        <v>0</v>
      </c>
      <c r="S506" s="295">
        <f>0+(R506+S750)*(1-'(Tables)'!R486-'(Tables)'!R608)</f>
        <v>0</v>
      </c>
      <c r="T506" s="296">
        <f>0+(S506+T750)*(1-'(Tables)'!S486-'(Tables)'!S608)</f>
        <v>0</v>
      </c>
    </row>
    <row r="507" spans="1:20" ht="12.75" hidden="1" customHeight="1" outlineLevel="2" x14ac:dyDescent="0.2">
      <c r="A507" s="198" t="str">
        <f>"            "&amp;Labels!B318</f>
        <v xml:space="preserve">            Channels 2</v>
      </c>
      <c r="B507" s="295">
        <f>Inputs!F57</f>
        <v>0</v>
      </c>
      <c r="C507" s="295">
        <f>0+(B507+C751)*(1-'(Tables)'!B487-'(Tables)'!B609)</f>
        <v>0</v>
      </c>
      <c r="D507" s="295">
        <f>0+(C507+D751)*(1-'(Tables)'!C487-'(Tables)'!C609)</f>
        <v>0</v>
      </c>
      <c r="E507" s="295">
        <f>0+(D507+E751)*(1-'(Tables)'!D487-'(Tables)'!D609)</f>
        <v>0</v>
      </c>
      <c r="F507" s="295">
        <f>0+(E507+F751)*(1-'(Tables)'!E487-'(Tables)'!E609)</f>
        <v>0</v>
      </c>
      <c r="G507" s="295">
        <f>0+(F507+G751)*(1-'(Tables)'!F487-'(Tables)'!F609)</f>
        <v>0</v>
      </c>
      <c r="H507" s="295">
        <f>0+(G507+H751)*(1-'(Tables)'!G487-'(Tables)'!G609)</f>
        <v>0</v>
      </c>
      <c r="I507" s="295">
        <f>0+(H507+I751)*(1-'(Tables)'!H487-'(Tables)'!H609)</f>
        <v>0</v>
      </c>
      <c r="J507" s="295">
        <f>0+(I507+J751)*(1-'(Tables)'!I487-'(Tables)'!I609)</f>
        <v>0</v>
      </c>
      <c r="K507" s="295">
        <f>0+(J507+K751)*(1-'(Tables)'!J487-'(Tables)'!J609)</f>
        <v>0</v>
      </c>
      <c r="L507" s="295">
        <f>0+(K507+L751)*(1-'(Tables)'!K487-'(Tables)'!K609)</f>
        <v>0</v>
      </c>
      <c r="M507" s="295">
        <f>0+(L507+M751)*(1-'(Tables)'!L487-'(Tables)'!L609)</f>
        <v>0</v>
      </c>
      <c r="N507" s="295">
        <f>0+(M507+N751)*(1-'(Tables)'!M487-'(Tables)'!M609)</f>
        <v>0</v>
      </c>
      <c r="O507" s="295">
        <f>0+(N507+O751)*(1-'(Tables)'!N487-'(Tables)'!N609)</f>
        <v>0</v>
      </c>
      <c r="P507" s="295">
        <f>0+(O507+P751)*(1-'(Tables)'!O487-'(Tables)'!O609)</f>
        <v>0</v>
      </c>
      <c r="Q507" s="295">
        <f>0+(P507+Q751)*(1-'(Tables)'!P487-'(Tables)'!P609)</f>
        <v>0</v>
      </c>
      <c r="R507" s="295">
        <f>0+(Q507+R751)*(1-'(Tables)'!Q487-'(Tables)'!Q609)</f>
        <v>0</v>
      </c>
      <c r="S507" s="295">
        <f>0+(R507+S751)*(1-'(Tables)'!R487-'(Tables)'!R609)</f>
        <v>0</v>
      </c>
      <c r="T507" s="296">
        <f>0+(S507+T751)*(1-'(Tables)'!S487-'(Tables)'!S609)</f>
        <v>0</v>
      </c>
    </row>
    <row r="508" spans="1:20" ht="12.75" hidden="1" customHeight="1" outlineLevel="2" x14ac:dyDescent="0.2">
      <c r="A508" s="198" t="str">
        <f>"            "&amp;Labels!C316</f>
        <v xml:space="preserve">            Total</v>
      </c>
      <c r="B508" s="258">
        <f t="shared" ref="B508:T508" si="264">SUM(B506:B507)</f>
        <v>0</v>
      </c>
      <c r="C508" s="258">
        <f t="shared" si="264"/>
        <v>0</v>
      </c>
      <c r="D508" s="258">
        <f t="shared" si="264"/>
        <v>0</v>
      </c>
      <c r="E508" s="258">
        <f t="shared" si="264"/>
        <v>0</v>
      </c>
      <c r="F508" s="258">
        <f t="shared" si="264"/>
        <v>0</v>
      </c>
      <c r="G508" s="258">
        <f t="shared" si="264"/>
        <v>0</v>
      </c>
      <c r="H508" s="258">
        <f t="shared" si="264"/>
        <v>0</v>
      </c>
      <c r="I508" s="258">
        <f t="shared" si="264"/>
        <v>0</v>
      </c>
      <c r="J508" s="258">
        <f t="shared" si="264"/>
        <v>0</v>
      </c>
      <c r="K508" s="258">
        <f t="shared" si="264"/>
        <v>0</v>
      </c>
      <c r="L508" s="258">
        <f t="shared" si="264"/>
        <v>0</v>
      </c>
      <c r="M508" s="258">
        <f t="shared" si="264"/>
        <v>0</v>
      </c>
      <c r="N508" s="258">
        <f t="shared" si="264"/>
        <v>0</v>
      </c>
      <c r="O508" s="258">
        <f t="shared" si="264"/>
        <v>0</v>
      </c>
      <c r="P508" s="258">
        <f t="shared" si="264"/>
        <v>0</v>
      </c>
      <c r="Q508" s="258">
        <f t="shared" si="264"/>
        <v>0</v>
      </c>
      <c r="R508" s="258">
        <f t="shared" si="264"/>
        <v>0</v>
      </c>
      <c r="S508" s="258">
        <f t="shared" si="264"/>
        <v>0</v>
      </c>
      <c r="T508" s="291">
        <f t="shared" si="264"/>
        <v>0</v>
      </c>
    </row>
    <row r="509" spans="1:20" ht="12.75" hidden="1" customHeight="1" outlineLevel="2" x14ac:dyDescent="0.2">
      <c r="A509" s="198" t="str">
        <f>"         "&amp;Labels!B386</f>
        <v xml:space="preserve">         Prof Level 2</v>
      </c>
      <c r="B509" s="258"/>
      <c r="C509" s="258"/>
      <c r="D509" s="258"/>
      <c r="E509" s="258"/>
      <c r="F509" s="258"/>
      <c r="G509" s="258"/>
      <c r="H509" s="258"/>
      <c r="I509" s="258"/>
      <c r="J509" s="258"/>
      <c r="K509" s="258"/>
      <c r="L509" s="258"/>
      <c r="M509" s="258"/>
      <c r="N509" s="258"/>
      <c r="O509" s="258"/>
      <c r="P509" s="258"/>
      <c r="Q509" s="258"/>
      <c r="R509" s="258"/>
      <c r="S509" s="258"/>
      <c r="T509" s="291"/>
    </row>
    <row r="510" spans="1:20" ht="12.75" hidden="1" customHeight="1" outlineLevel="2" x14ac:dyDescent="0.2">
      <c r="A510" s="198" t="str">
        <f>"            "&amp;Labels!B317</f>
        <v xml:space="preserve">            Channels 1</v>
      </c>
      <c r="B510" s="295">
        <f>Inputs!F58</f>
        <v>0</v>
      </c>
      <c r="C510" s="295">
        <f>0+(B510+C754)*(1-'(Tables)'!B490-'(Tables)'!B612)</f>
        <v>0</v>
      </c>
      <c r="D510" s="295">
        <f>0+(C510+D754)*(1-'(Tables)'!C490-'(Tables)'!C612)</f>
        <v>0</v>
      </c>
      <c r="E510" s="295">
        <f>0+(D510+E754)*(1-'(Tables)'!D490-'(Tables)'!D612)</f>
        <v>0</v>
      </c>
      <c r="F510" s="295">
        <f>0+(E510+F754)*(1-'(Tables)'!E490-'(Tables)'!E612)</f>
        <v>0</v>
      </c>
      <c r="G510" s="295">
        <f>0+(F510+G754)*(1-'(Tables)'!F490-'(Tables)'!F612)</f>
        <v>0</v>
      </c>
      <c r="H510" s="295">
        <f>0+(G510+H754)*(1-'(Tables)'!G490-'(Tables)'!G612)</f>
        <v>0</v>
      </c>
      <c r="I510" s="295">
        <f>0+(H510+I754)*(1-'(Tables)'!H490-'(Tables)'!H612)</f>
        <v>0</v>
      </c>
      <c r="J510" s="295">
        <f>0+(I510+J754)*(1-'(Tables)'!I490-'(Tables)'!I612)</f>
        <v>0</v>
      </c>
      <c r="K510" s="295">
        <f>0+(J510+K754)*(1-'(Tables)'!J490-'(Tables)'!J612)</f>
        <v>0</v>
      </c>
      <c r="L510" s="295">
        <f>0+(K510+L754)*(1-'(Tables)'!K490-'(Tables)'!K612)</f>
        <v>0</v>
      </c>
      <c r="M510" s="295">
        <f>0+(L510+M754)*(1-'(Tables)'!L490-'(Tables)'!L612)</f>
        <v>0</v>
      </c>
      <c r="N510" s="295">
        <f>0+(M510+N754)*(1-'(Tables)'!M490-'(Tables)'!M612)</f>
        <v>0</v>
      </c>
      <c r="O510" s="295">
        <f>0+(N510+O754)*(1-'(Tables)'!N490-'(Tables)'!N612)</f>
        <v>0</v>
      </c>
      <c r="P510" s="295">
        <f>0+(O510+P754)*(1-'(Tables)'!O490-'(Tables)'!O612)</f>
        <v>0</v>
      </c>
      <c r="Q510" s="295">
        <f>0+(P510+Q754)*(1-'(Tables)'!P490-'(Tables)'!P612)</f>
        <v>0</v>
      </c>
      <c r="R510" s="295">
        <f>0+(Q510+R754)*(1-'(Tables)'!Q490-'(Tables)'!Q612)</f>
        <v>0</v>
      </c>
      <c r="S510" s="295">
        <f>0+(R510+S754)*(1-'(Tables)'!R490-'(Tables)'!R612)</f>
        <v>0</v>
      </c>
      <c r="T510" s="296">
        <f>0+(S510+T754)*(1-'(Tables)'!S490-'(Tables)'!S612)</f>
        <v>0</v>
      </c>
    </row>
    <row r="511" spans="1:20" ht="12.75" hidden="1" customHeight="1" outlineLevel="2" x14ac:dyDescent="0.2">
      <c r="A511" s="198" t="str">
        <f>"            "&amp;Labels!B318</f>
        <v xml:space="preserve">            Channels 2</v>
      </c>
      <c r="B511" s="295">
        <f>Inputs!F59</f>
        <v>0</v>
      </c>
      <c r="C511" s="295">
        <f>0+(B511+C755)*(1-'(Tables)'!B491-'(Tables)'!B613)</f>
        <v>0</v>
      </c>
      <c r="D511" s="295">
        <f>0+(C511+D755)*(1-'(Tables)'!C491-'(Tables)'!C613)</f>
        <v>0</v>
      </c>
      <c r="E511" s="295">
        <f>0+(D511+E755)*(1-'(Tables)'!D491-'(Tables)'!D613)</f>
        <v>0</v>
      </c>
      <c r="F511" s="295">
        <f>0+(E511+F755)*(1-'(Tables)'!E491-'(Tables)'!E613)</f>
        <v>0</v>
      </c>
      <c r="G511" s="295">
        <f>0+(F511+G755)*(1-'(Tables)'!F491-'(Tables)'!F613)</f>
        <v>0</v>
      </c>
      <c r="H511" s="295">
        <f>0+(G511+H755)*(1-'(Tables)'!G491-'(Tables)'!G613)</f>
        <v>0</v>
      </c>
      <c r="I511" s="295">
        <f>0+(H511+I755)*(1-'(Tables)'!H491-'(Tables)'!H613)</f>
        <v>0</v>
      </c>
      <c r="J511" s="295">
        <f>0+(I511+J755)*(1-'(Tables)'!I491-'(Tables)'!I613)</f>
        <v>0</v>
      </c>
      <c r="K511" s="295">
        <f>0+(J511+K755)*(1-'(Tables)'!J491-'(Tables)'!J613)</f>
        <v>0</v>
      </c>
      <c r="L511" s="295">
        <f>0+(K511+L755)*(1-'(Tables)'!K491-'(Tables)'!K613)</f>
        <v>0</v>
      </c>
      <c r="M511" s="295">
        <f>0+(L511+M755)*(1-'(Tables)'!L491-'(Tables)'!L613)</f>
        <v>0</v>
      </c>
      <c r="N511" s="295">
        <f>0+(M511+N755)*(1-'(Tables)'!M491-'(Tables)'!M613)</f>
        <v>0</v>
      </c>
      <c r="O511" s="295">
        <f>0+(N511+O755)*(1-'(Tables)'!N491-'(Tables)'!N613)</f>
        <v>0</v>
      </c>
      <c r="P511" s="295">
        <f>0+(O511+P755)*(1-'(Tables)'!O491-'(Tables)'!O613)</f>
        <v>0</v>
      </c>
      <c r="Q511" s="295">
        <f>0+(P511+Q755)*(1-'(Tables)'!P491-'(Tables)'!P613)</f>
        <v>0</v>
      </c>
      <c r="R511" s="295">
        <f>0+(Q511+R755)*(1-'(Tables)'!Q491-'(Tables)'!Q613)</f>
        <v>0</v>
      </c>
      <c r="S511" s="295">
        <f>0+(R511+S755)*(1-'(Tables)'!R491-'(Tables)'!R613)</f>
        <v>0</v>
      </c>
      <c r="T511" s="296">
        <f>0+(S511+T755)*(1-'(Tables)'!S491-'(Tables)'!S613)</f>
        <v>0</v>
      </c>
    </row>
    <row r="512" spans="1:20" ht="12.75" hidden="1" customHeight="1" outlineLevel="2" x14ac:dyDescent="0.2">
      <c r="A512" s="198" t="str">
        <f>"            "&amp;Labels!C316</f>
        <v xml:space="preserve">            Total</v>
      </c>
      <c r="B512" s="258">
        <f t="shared" ref="B512:T512" si="265">SUM(B510:B511)</f>
        <v>0</v>
      </c>
      <c r="C512" s="258">
        <f t="shared" si="265"/>
        <v>0</v>
      </c>
      <c r="D512" s="258">
        <f t="shared" si="265"/>
        <v>0</v>
      </c>
      <c r="E512" s="258">
        <f t="shared" si="265"/>
        <v>0</v>
      </c>
      <c r="F512" s="258">
        <f t="shared" si="265"/>
        <v>0</v>
      </c>
      <c r="G512" s="258">
        <f t="shared" si="265"/>
        <v>0</v>
      </c>
      <c r="H512" s="258">
        <f t="shared" si="265"/>
        <v>0</v>
      </c>
      <c r="I512" s="258">
        <f t="shared" si="265"/>
        <v>0</v>
      </c>
      <c r="J512" s="258">
        <f t="shared" si="265"/>
        <v>0</v>
      </c>
      <c r="K512" s="258">
        <f t="shared" si="265"/>
        <v>0</v>
      </c>
      <c r="L512" s="258">
        <f t="shared" si="265"/>
        <v>0</v>
      </c>
      <c r="M512" s="258">
        <f t="shared" si="265"/>
        <v>0</v>
      </c>
      <c r="N512" s="258">
        <f t="shared" si="265"/>
        <v>0</v>
      </c>
      <c r="O512" s="258">
        <f t="shared" si="265"/>
        <v>0</v>
      </c>
      <c r="P512" s="258">
        <f t="shared" si="265"/>
        <v>0</v>
      </c>
      <c r="Q512" s="258">
        <f t="shared" si="265"/>
        <v>0</v>
      </c>
      <c r="R512" s="258">
        <f t="shared" si="265"/>
        <v>0</v>
      </c>
      <c r="S512" s="258">
        <f t="shared" si="265"/>
        <v>0</v>
      </c>
      <c r="T512" s="291">
        <f t="shared" si="265"/>
        <v>0</v>
      </c>
    </row>
    <row r="513" spans="1:20" ht="12.75" hidden="1" customHeight="1" outlineLevel="2" x14ac:dyDescent="0.2">
      <c r="A513" s="198" t="str">
        <f>"         "&amp;Labels!C384</f>
        <v xml:space="preserve">         Total</v>
      </c>
      <c r="B513" s="258">
        <f t="shared" ref="B513:T513" si="266">SUM(B508,B512)</f>
        <v>0</v>
      </c>
      <c r="C513" s="258">
        <f t="shared" si="266"/>
        <v>0</v>
      </c>
      <c r="D513" s="258">
        <f t="shared" si="266"/>
        <v>0</v>
      </c>
      <c r="E513" s="258">
        <f t="shared" si="266"/>
        <v>0</v>
      </c>
      <c r="F513" s="258">
        <f t="shared" si="266"/>
        <v>0</v>
      </c>
      <c r="G513" s="258">
        <f t="shared" si="266"/>
        <v>0</v>
      </c>
      <c r="H513" s="258">
        <f t="shared" si="266"/>
        <v>0</v>
      </c>
      <c r="I513" s="258">
        <f t="shared" si="266"/>
        <v>0</v>
      </c>
      <c r="J513" s="258">
        <f t="shared" si="266"/>
        <v>0</v>
      </c>
      <c r="K513" s="258">
        <f t="shared" si="266"/>
        <v>0</v>
      </c>
      <c r="L513" s="258">
        <f t="shared" si="266"/>
        <v>0</v>
      </c>
      <c r="M513" s="258">
        <f t="shared" si="266"/>
        <v>0</v>
      </c>
      <c r="N513" s="258">
        <f t="shared" si="266"/>
        <v>0</v>
      </c>
      <c r="O513" s="258">
        <f t="shared" si="266"/>
        <v>0</v>
      </c>
      <c r="P513" s="258">
        <f t="shared" si="266"/>
        <v>0</v>
      </c>
      <c r="Q513" s="258">
        <f t="shared" si="266"/>
        <v>0</v>
      </c>
      <c r="R513" s="258">
        <f t="shared" si="266"/>
        <v>0</v>
      </c>
      <c r="S513" s="258">
        <f t="shared" si="266"/>
        <v>0</v>
      </c>
      <c r="T513" s="291">
        <f t="shared" si="266"/>
        <v>0</v>
      </c>
    </row>
    <row r="514" spans="1:20" ht="12.75" hidden="1" customHeight="1" outlineLevel="2" x14ac:dyDescent="0.2">
      <c r="A514" s="198" t="str">
        <f>"            "&amp;Labels!B317</f>
        <v xml:space="preserve">            Channels 1</v>
      </c>
      <c r="B514" s="295">
        <f t="shared" ref="B514:T514" si="267">SUM(B506,B510)</f>
        <v>0</v>
      </c>
      <c r="C514" s="295">
        <f t="shared" si="267"/>
        <v>0</v>
      </c>
      <c r="D514" s="295">
        <f t="shared" si="267"/>
        <v>0</v>
      </c>
      <c r="E514" s="295">
        <f t="shared" si="267"/>
        <v>0</v>
      </c>
      <c r="F514" s="295">
        <f t="shared" si="267"/>
        <v>0</v>
      </c>
      <c r="G514" s="295">
        <f t="shared" si="267"/>
        <v>0</v>
      </c>
      <c r="H514" s="295">
        <f t="shared" si="267"/>
        <v>0</v>
      </c>
      <c r="I514" s="295">
        <f t="shared" si="267"/>
        <v>0</v>
      </c>
      <c r="J514" s="295">
        <f t="shared" si="267"/>
        <v>0</v>
      </c>
      <c r="K514" s="295">
        <f t="shared" si="267"/>
        <v>0</v>
      </c>
      <c r="L514" s="295">
        <f t="shared" si="267"/>
        <v>0</v>
      </c>
      <c r="M514" s="295">
        <f t="shared" si="267"/>
        <v>0</v>
      </c>
      <c r="N514" s="295">
        <f t="shared" si="267"/>
        <v>0</v>
      </c>
      <c r="O514" s="295">
        <f t="shared" si="267"/>
        <v>0</v>
      </c>
      <c r="P514" s="295">
        <f t="shared" si="267"/>
        <v>0</v>
      </c>
      <c r="Q514" s="295">
        <f t="shared" si="267"/>
        <v>0</v>
      </c>
      <c r="R514" s="295">
        <f t="shared" si="267"/>
        <v>0</v>
      </c>
      <c r="S514" s="295">
        <f t="shared" si="267"/>
        <v>0</v>
      </c>
      <c r="T514" s="296">
        <f t="shared" si="267"/>
        <v>0</v>
      </c>
    </row>
    <row r="515" spans="1:20" ht="12.75" hidden="1" customHeight="1" outlineLevel="2" x14ac:dyDescent="0.2">
      <c r="A515" s="198" t="str">
        <f>"            "&amp;Labels!B318</f>
        <v xml:space="preserve">            Channels 2</v>
      </c>
      <c r="B515" s="295">
        <f t="shared" ref="B515:T515" si="268">SUM(B507,B511)</f>
        <v>0</v>
      </c>
      <c r="C515" s="295">
        <f t="shared" si="268"/>
        <v>0</v>
      </c>
      <c r="D515" s="295">
        <f t="shared" si="268"/>
        <v>0</v>
      </c>
      <c r="E515" s="295">
        <f t="shared" si="268"/>
        <v>0</v>
      </c>
      <c r="F515" s="295">
        <f t="shared" si="268"/>
        <v>0</v>
      </c>
      <c r="G515" s="295">
        <f t="shared" si="268"/>
        <v>0</v>
      </c>
      <c r="H515" s="295">
        <f t="shared" si="268"/>
        <v>0</v>
      </c>
      <c r="I515" s="295">
        <f t="shared" si="268"/>
        <v>0</v>
      </c>
      <c r="J515" s="295">
        <f t="shared" si="268"/>
        <v>0</v>
      </c>
      <c r="K515" s="295">
        <f t="shared" si="268"/>
        <v>0</v>
      </c>
      <c r="L515" s="295">
        <f t="shared" si="268"/>
        <v>0</v>
      </c>
      <c r="M515" s="295">
        <f t="shared" si="268"/>
        <v>0</v>
      </c>
      <c r="N515" s="295">
        <f t="shared" si="268"/>
        <v>0</v>
      </c>
      <c r="O515" s="295">
        <f t="shared" si="268"/>
        <v>0</v>
      </c>
      <c r="P515" s="295">
        <f t="shared" si="268"/>
        <v>0</v>
      </c>
      <c r="Q515" s="295">
        <f t="shared" si="268"/>
        <v>0</v>
      </c>
      <c r="R515" s="295">
        <f t="shared" si="268"/>
        <v>0</v>
      </c>
      <c r="S515" s="295">
        <f t="shared" si="268"/>
        <v>0</v>
      </c>
      <c r="T515" s="296">
        <f t="shared" si="268"/>
        <v>0</v>
      </c>
    </row>
    <row r="516" spans="1:20" ht="12.75" hidden="1" customHeight="1" outlineLevel="2" x14ac:dyDescent="0.2">
      <c r="A516" s="198" t="str">
        <f>"            "&amp;Labels!C316</f>
        <v xml:space="preserve">            Total</v>
      </c>
      <c r="B516" s="258">
        <f t="shared" ref="B516:T516" si="269">SUM(B508,B512)</f>
        <v>0</v>
      </c>
      <c r="C516" s="258">
        <f t="shared" si="269"/>
        <v>0</v>
      </c>
      <c r="D516" s="258">
        <f t="shared" si="269"/>
        <v>0</v>
      </c>
      <c r="E516" s="258">
        <f t="shared" si="269"/>
        <v>0</v>
      </c>
      <c r="F516" s="258">
        <f t="shared" si="269"/>
        <v>0</v>
      </c>
      <c r="G516" s="258">
        <f t="shared" si="269"/>
        <v>0</v>
      </c>
      <c r="H516" s="258">
        <f t="shared" si="269"/>
        <v>0</v>
      </c>
      <c r="I516" s="258">
        <f t="shared" si="269"/>
        <v>0</v>
      </c>
      <c r="J516" s="258">
        <f t="shared" si="269"/>
        <v>0</v>
      </c>
      <c r="K516" s="258">
        <f t="shared" si="269"/>
        <v>0</v>
      </c>
      <c r="L516" s="258">
        <f t="shared" si="269"/>
        <v>0</v>
      </c>
      <c r="M516" s="258">
        <f t="shared" si="269"/>
        <v>0</v>
      </c>
      <c r="N516" s="258">
        <f t="shared" si="269"/>
        <v>0</v>
      </c>
      <c r="O516" s="258">
        <f t="shared" si="269"/>
        <v>0</v>
      </c>
      <c r="P516" s="258">
        <f t="shared" si="269"/>
        <v>0</v>
      </c>
      <c r="Q516" s="258">
        <f t="shared" si="269"/>
        <v>0</v>
      </c>
      <c r="R516" s="258">
        <f t="shared" si="269"/>
        <v>0</v>
      </c>
      <c r="S516" s="258">
        <f t="shared" si="269"/>
        <v>0</v>
      </c>
      <c r="T516" s="291">
        <f t="shared" si="269"/>
        <v>0</v>
      </c>
    </row>
    <row r="517" spans="1:20" ht="12.75" hidden="1" customHeight="1" outlineLevel="2" x14ac:dyDescent="0.2">
      <c r="A517" s="198" t="str">
        <f>"      "&amp;Labels!B382</f>
        <v xml:space="preserve">      Practice 2</v>
      </c>
      <c r="B517" s="258"/>
      <c r="C517" s="258"/>
      <c r="D517" s="258"/>
      <c r="E517" s="258"/>
      <c r="F517" s="258"/>
      <c r="G517" s="258"/>
      <c r="H517" s="258"/>
      <c r="I517" s="258"/>
      <c r="J517" s="258"/>
      <c r="K517" s="258"/>
      <c r="L517" s="258"/>
      <c r="M517" s="258"/>
      <c r="N517" s="258"/>
      <c r="O517" s="258"/>
      <c r="P517" s="258"/>
      <c r="Q517" s="258"/>
      <c r="R517" s="258"/>
      <c r="S517" s="258"/>
      <c r="T517" s="291"/>
    </row>
    <row r="518" spans="1:20" ht="12.75" hidden="1" customHeight="1" outlineLevel="2" x14ac:dyDescent="0.2">
      <c r="A518" s="198" t="str">
        <f>"         "&amp;Labels!B385</f>
        <v xml:space="preserve">         Prof Level 1</v>
      </c>
      <c r="B518" s="258"/>
      <c r="C518" s="258"/>
      <c r="D518" s="258"/>
      <c r="E518" s="258"/>
      <c r="F518" s="258"/>
      <c r="G518" s="258"/>
      <c r="H518" s="258"/>
      <c r="I518" s="258"/>
      <c r="J518" s="258"/>
      <c r="K518" s="258"/>
      <c r="L518" s="258"/>
      <c r="M518" s="258"/>
      <c r="N518" s="258"/>
      <c r="O518" s="258"/>
      <c r="P518" s="258"/>
      <c r="Q518" s="258"/>
      <c r="R518" s="258"/>
      <c r="S518" s="258"/>
      <c r="T518" s="291"/>
    </row>
    <row r="519" spans="1:20" ht="12.75" hidden="1" customHeight="1" outlineLevel="2" x14ac:dyDescent="0.2">
      <c r="A519" s="198" t="str">
        <f>"            "&amp;Labels!B317</f>
        <v xml:space="preserve">            Channels 1</v>
      </c>
      <c r="B519" s="295">
        <f>Inputs!F60</f>
        <v>0</v>
      </c>
      <c r="C519" s="295">
        <f>0+(B519+C763)*(1-'(Tables)'!B499-'(Tables)'!B621)</f>
        <v>0</v>
      </c>
      <c r="D519" s="295">
        <f>0+(C519+D763)*(1-'(Tables)'!C499-'(Tables)'!C621)</f>
        <v>0</v>
      </c>
      <c r="E519" s="295">
        <f>0+(D519+E763)*(1-'(Tables)'!D499-'(Tables)'!D621)</f>
        <v>0</v>
      </c>
      <c r="F519" s="295">
        <f>0+(E519+F763)*(1-'(Tables)'!E499-'(Tables)'!E621)</f>
        <v>0</v>
      </c>
      <c r="G519" s="295">
        <f>0+(F519+G763)*(1-'(Tables)'!F499-'(Tables)'!F621)</f>
        <v>0</v>
      </c>
      <c r="H519" s="295">
        <f>0+(G519+H763)*(1-'(Tables)'!G499-'(Tables)'!G621)</f>
        <v>0</v>
      </c>
      <c r="I519" s="295">
        <f>0+(H519+I763)*(1-'(Tables)'!H499-'(Tables)'!H621)</f>
        <v>0</v>
      </c>
      <c r="J519" s="295">
        <f>0+(I519+J763)*(1-'(Tables)'!I499-'(Tables)'!I621)</f>
        <v>0</v>
      </c>
      <c r="K519" s="295">
        <f>0+(J519+K763)*(1-'(Tables)'!J499-'(Tables)'!J621)</f>
        <v>0</v>
      </c>
      <c r="L519" s="295">
        <f>0+(K519+L763)*(1-'(Tables)'!K499-'(Tables)'!K621)</f>
        <v>0</v>
      </c>
      <c r="M519" s="295">
        <f>0+(L519+M763)*(1-'(Tables)'!L499-'(Tables)'!L621)</f>
        <v>0</v>
      </c>
      <c r="N519" s="295">
        <f>0+(M519+N763)*(1-'(Tables)'!M499-'(Tables)'!M621)</f>
        <v>0</v>
      </c>
      <c r="O519" s="295">
        <f>0+(N519+O763)*(1-'(Tables)'!N499-'(Tables)'!N621)</f>
        <v>0</v>
      </c>
      <c r="P519" s="295">
        <f>0+(O519+P763)*(1-'(Tables)'!O499-'(Tables)'!O621)</f>
        <v>0</v>
      </c>
      <c r="Q519" s="295">
        <f>0+(P519+Q763)*(1-'(Tables)'!P499-'(Tables)'!P621)</f>
        <v>0</v>
      </c>
      <c r="R519" s="295">
        <f>0+(Q519+R763)*(1-'(Tables)'!Q499-'(Tables)'!Q621)</f>
        <v>0</v>
      </c>
      <c r="S519" s="295">
        <f>0+(R519+S763)*(1-'(Tables)'!R499-'(Tables)'!R621)</f>
        <v>0</v>
      </c>
      <c r="T519" s="296">
        <f>0+(S519+T763)*(1-'(Tables)'!S499-'(Tables)'!S621)</f>
        <v>0</v>
      </c>
    </row>
    <row r="520" spans="1:20" ht="12.75" hidden="1" customHeight="1" outlineLevel="2" x14ac:dyDescent="0.2">
      <c r="A520" s="198" t="str">
        <f>"            "&amp;Labels!B318</f>
        <v xml:space="preserve">            Channels 2</v>
      </c>
      <c r="B520" s="295">
        <f>Inputs!F61</f>
        <v>0</v>
      </c>
      <c r="C520" s="295">
        <f>0+(B520+C764)*(1-'(Tables)'!B500-'(Tables)'!B622)</f>
        <v>0</v>
      </c>
      <c r="D520" s="295">
        <f>0+(C520+D764)*(1-'(Tables)'!C500-'(Tables)'!C622)</f>
        <v>0</v>
      </c>
      <c r="E520" s="295">
        <f>0+(D520+E764)*(1-'(Tables)'!D500-'(Tables)'!D622)</f>
        <v>0</v>
      </c>
      <c r="F520" s="295">
        <f>0+(E520+F764)*(1-'(Tables)'!E500-'(Tables)'!E622)</f>
        <v>0</v>
      </c>
      <c r="G520" s="295">
        <f>0+(F520+G764)*(1-'(Tables)'!F500-'(Tables)'!F622)</f>
        <v>0</v>
      </c>
      <c r="H520" s="295">
        <f>0+(G520+H764)*(1-'(Tables)'!G500-'(Tables)'!G622)</f>
        <v>0</v>
      </c>
      <c r="I520" s="295">
        <f>0+(H520+I764)*(1-'(Tables)'!H500-'(Tables)'!H622)</f>
        <v>0</v>
      </c>
      <c r="J520" s="295">
        <f>0+(I520+J764)*(1-'(Tables)'!I500-'(Tables)'!I622)</f>
        <v>0</v>
      </c>
      <c r="K520" s="295">
        <f>0+(J520+K764)*(1-'(Tables)'!J500-'(Tables)'!J622)</f>
        <v>0</v>
      </c>
      <c r="L520" s="295">
        <f>0+(K520+L764)*(1-'(Tables)'!K500-'(Tables)'!K622)</f>
        <v>0</v>
      </c>
      <c r="M520" s="295">
        <f>0+(L520+M764)*(1-'(Tables)'!L500-'(Tables)'!L622)</f>
        <v>0</v>
      </c>
      <c r="N520" s="295">
        <f>0+(M520+N764)*(1-'(Tables)'!M500-'(Tables)'!M622)</f>
        <v>0</v>
      </c>
      <c r="O520" s="295">
        <f>0+(N520+O764)*(1-'(Tables)'!N500-'(Tables)'!N622)</f>
        <v>0</v>
      </c>
      <c r="P520" s="295">
        <f>0+(O520+P764)*(1-'(Tables)'!O500-'(Tables)'!O622)</f>
        <v>0</v>
      </c>
      <c r="Q520" s="295">
        <f>0+(P520+Q764)*(1-'(Tables)'!P500-'(Tables)'!P622)</f>
        <v>0</v>
      </c>
      <c r="R520" s="295">
        <f>0+(Q520+R764)*(1-'(Tables)'!Q500-'(Tables)'!Q622)</f>
        <v>0</v>
      </c>
      <c r="S520" s="295">
        <f>0+(R520+S764)*(1-'(Tables)'!R500-'(Tables)'!R622)</f>
        <v>0</v>
      </c>
      <c r="T520" s="296">
        <f>0+(S520+T764)*(1-'(Tables)'!S500-'(Tables)'!S622)</f>
        <v>0</v>
      </c>
    </row>
    <row r="521" spans="1:20" ht="12.75" hidden="1" customHeight="1" outlineLevel="2" x14ac:dyDescent="0.2">
      <c r="A521" s="198" t="str">
        <f>"            "&amp;Labels!C316</f>
        <v xml:space="preserve">            Total</v>
      </c>
      <c r="B521" s="258">
        <f t="shared" ref="B521:T521" si="270">SUM(B519:B520)</f>
        <v>0</v>
      </c>
      <c r="C521" s="258">
        <f t="shared" si="270"/>
        <v>0</v>
      </c>
      <c r="D521" s="258">
        <f t="shared" si="270"/>
        <v>0</v>
      </c>
      <c r="E521" s="258">
        <f t="shared" si="270"/>
        <v>0</v>
      </c>
      <c r="F521" s="258">
        <f t="shared" si="270"/>
        <v>0</v>
      </c>
      <c r="G521" s="258">
        <f t="shared" si="270"/>
        <v>0</v>
      </c>
      <c r="H521" s="258">
        <f t="shared" si="270"/>
        <v>0</v>
      </c>
      <c r="I521" s="258">
        <f t="shared" si="270"/>
        <v>0</v>
      </c>
      <c r="J521" s="258">
        <f t="shared" si="270"/>
        <v>0</v>
      </c>
      <c r="K521" s="258">
        <f t="shared" si="270"/>
        <v>0</v>
      </c>
      <c r="L521" s="258">
        <f t="shared" si="270"/>
        <v>0</v>
      </c>
      <c r="M521" s="258">
        <f t="shared" si="270"/>
        <v>0</v>
      </c>
      <c r="N521" s="258">
        <f t="shared" si="270"/>
        <v>0</v>
      </c>
      <c r="O521" s="258">
        <f t="shared" si="270"/>
        <v>0</v>
      </c>
      <c r="P521" s="258">
        <f t="shared" si="270"/>
        <v>0</v>
      </c>
      <c r="Q521" s="258">
        <f t="shared" si="270"/>
        <v>0</v>
      </c>
      <c r="R521" s="258">
        <f t="shared" si="270"/>
        <v>0</v>
      </c>
      <c r="S521" s="258">
        <f t="shared" si="270"/>
        <v>0</v>
      </c>
      <c r="T521" s="291">
        <f t="shared" si="270"/>
        <v>0</v>
      </c>
    </row>
    <row r="522" spans="1:20" ht="12.75" hidden="1" customHeight="1" outlineLevel="2" x14ac:dyDescent="0.2">
      <c r="A522" s="198" t="str">
        <f>"         "&amp;Labels!B386</f>
        <v xml:space="preserve">         Prof Level 2</v>
      </c>
      <c r="B522" s="258"/>
      <c r="C522" s="258"/>
      <c r="D522" s="258"/>
      <c r="E522" s="258"/>
      <c r="F522" s="258"/>
      <c r="G522" s="258"/>
      <c r="H522" s="258"/>
      <c r="I522" s="258"/>
      <c r="J522" s="258"/>
      <c r="K522" s="258"/>
      <c r="L522" s="258"/>
      <c r="M522" s="258"/>
      <c r="N522" s="258"/>
      <c r="O522" s="258"/>
      <c r="P522" s="258"/>
      <c r="Q522" s="258"/>
      <c r="R522" s="258"/>
      <c r="S522" s="258"/>
      <c r="T522" s="291"/>
    </row>
    <row r="523" spans="1:20" ht="12.75" hidden="1" customHeight="1" outlineLevel="2" x14ac:dyDescent="0.2">
      <c r="A523" s="198" t="str">
        <f>"            "&amp;Labels!B317</f>
        <v xml:space="preserve">            Channels 1</v>
      </c>
      <c r="B523" s="295">
        <f>Inputs!F62</f>
        <v>0</v>
      </c>
      <c r="C523" s="295">
        <f>0+(B523+C767)*(1-'(Tables)'!B503-'(Tables)'!B625)</f>
        <v>0</v>
      </c>
      <c r="D523" s="295">
        <f>0+(C523+D767)*(1-'(Tables)'!C503-'(Tables)'!C625)</f>
        <v>0</v>
      </c>
      <c r="E523" s="295">
        <f>0+(D523+E767)*(1-'(Tables)'!D503-'(Tables)'!D625)</f>
        <v>0</v>
      </c>
      <c r="F523" s="295">
        <f>0+(E523+F767)*(1-'(Tables)'!E503-'(Tables)'!E625)</f>
        <v>0</v>
      </c>
      <c r="G523" s="295">
        <f>0+(F523+G767)*(1-'(Tables)'!F503-'(Tables)'!F625)</f>
        <v>0</v>
      </c>
      <c r="H523" s="295">
        <f>0+(G523+H767)*(1-'(Tables)'!G503-'(Tables)'!G625)</f>
        <v>0</v>
      </c>
      <c r="I523" s="295">
        <f>0+(H523+I767)*(1-'(Tables)'!H503-'(Tables)'!H625)</f>
        <v>0</v>
      </c>
      <c r="J523" s="295">
        <f>0+(I523+J767)*(1-'(Tables)'!I503-'(Tables)'!I625)</f>
        <v>0</v>
      </c>
      <c r="K523" s="295">
        <f>0+(J523+K767)*(1-'(Tables)'!J503-'(Tables)'!J625)</f>
        <v>0</v>
      </c>
      <c r="L523" s="295">
        <f>0+(K523+L767)*(1-'(Tables)'!K503-'(Tables)'!K625)</f>
        <v>0</v>
      </c>
      <c r="M523" s="295">
        <f>0+(L523+M767)*(1-'(Tables)'!L503-'(Tables)'!L625)</f>
        <v>0</v>
      </c>
      <c r="N523" s="295">
        <f>0+(M523+N767)*(1-'(Tables)'!M503-'(Tables)'!M625)</f>
        <v>0</v>
      </c>
      <c r="O523" s="295">
        <f>0+(N523+O767)*(1-'(Tables)'!N503-'(Tables)'!N625)</f>
        <v>0</v>
      </c>
      <c r="P523" s="295">
        <f>0+(O523+P767)*(1-'(Tables)'!O503-'(Tables)'!O625)</f>
        <v>0</v>
      </c>
      <c r="Q523" s="295">
        <f>0+(P523+Q767)*(1-'(Tables)'!P503-'(Tables)'!P625)</f>
        <v>0</v>
      </c>
      <c r="R523" s="295">
        <f>0+(Q523+R767)*(1-'(Tables)'!Q503-'(Tables)'!Q625)</f>
        <v>0</v>
      </c>
      <c r="S523" s="295">
        <f>0+(R523+S767)*(1-'(Tables)'!R503-'(Tables)'!R625)</f>
        <v>0</v>
      </c>
      <c r="T523" s="296">
        <f>0+(S523+T767)*(1-'(Tables)'!S503-'(Tables)'!S625)</f>
        <v>0</v>
      </c>
    </row>
    <row r="524" spans="1:20" ht="12.75" hidden="1" customHeight="1" outlineLevel="2" x14ac:dyDescent="0.2">
      <c r="A524" s="198" t="str">
        <f>"            "&amp;Labels!B318</f>
        <v xml:space="preserve">            Channels 2</v>
      </c>
      <c r="B524" s="295">
        <f>Inputs!F63</f>
        <v>0</v>
      </c>
      <c r="C524" s="295">
        <f>0+(B524+C768)*(1-'(Tables)'!B504-'(Tables)'!B626)</f>
        <v>0</v>
      </c>
      <c r="D524" s="295">
        <f>0+(C524+D768)*(1-'(Tables)'!C504-'(Tables)'!C626)</f>
        <v>0</v>
      </c>
      <c r="E524" s="295">
        <f>0+(D524+E768)*(1-'(Tables)'!D504-'(Tables)'!D626)</f>
        <v>0</v>
      </c>
      <c r="F524" s="295">
        <f>0+(E524+F768)*(1-'(Tables)'!E504-'(Tables)'!E626)</f>
        <v>0</v>
      </c>
      <c r="G524" s="295">
        <f>0+(F524+G768)*(1-'(Tables)'!F504-'(Tables)'!F626)</f>
        <v>0</v>
      </c>
      <c r="H524" s="295">
        <f>0+(G524+H768)*(1-'(Tables)'!G504-'(Tables)'!G626)</f>
        <v>0</v>
      </c>
      <c r="I524" s="295">
        <f>0+(H524+I768)*(1-'(Tables)'!H504-'(Tables)'!H626)</f>
        <v>0</v>
      </c>
      <c r="J524" s="295">
        <f>0+(I524+J768)*(1-'(Tables)'!I504-'(Tables)'!I626)</f>
        <v>0</v>
      </c>
      <c r="K524" s="295">
        <f>0+(J524+K768)*(1-'(Tables)'!J504-'(Tables)'!J626)</f>
        <v>0</v>
      </c>
      <c r="L524" s="295">
        <f>0+(K524+L768)*(1-'(Tables)'!K504-'(Tables)'!K626)</f>
        <v>0</v>
      </c>
      <c r="M524" s="295">
        <f>0+(L524+M768)*(1-'(Tables)'!L504-'(Tables)'!L626)</f>
        <v>0</v>
      </c>
      <c r="N524" s="295">
        <f>0+(M524+N768)*(1-'(Tables)'!M504-'(Tables)'!M626)</f>
        <v>0</v>
      </c>
      <c r="O524" s="295">
        <f>0+(N524+O768)*(1-'(Tables)'!N504-'(Tables)'!N626)</f>
        <v>0</v>
      </c>
      <c r="P524" s="295">
        <f>0+(O524+P768)*(1-'(Tables)'!O504-'(Tables)'!O626)</f>
        <v>0</v>
      </c>
      <c r="Q524" s="295">
        <f>0+(P524+Q768)*(1-'(Tables)'!P504-'(Tables)'!P626)</f>
        <v>0</v>
      </c>
      <c r="R524" s="295">
        <f>0+(Q524+R768)*(1-'(Tables)'!Q504-'(Tables)'!Q626)</f>
        <v>0</v>
      </c>
      <c r="S524" s="295">
        <f>0+(R524+S768)*(1-'(Tables)'!R504-'(Tables)'!R626)</f>
        <v>0</v>
      </c>
      <c r="T524" s="296">
        <f>0+(S524+T768)*(1-'(Tables)'!S504-'(Tables)'!S626)</f>
        <v>0</v>
      </c>
    </row>
    <row r="525" spans="1:20" ht="12.75" hidden="1" customHeight="1" outlineLevel="2" x14ac:dyDescent="0.2">
      <c r="A525" s="198" t="str">
        <f>"            "&amp;Labels!C316</f>
        <v xml:space="preserve">            Total</v>
      </c>
      <c r="B525" s="258">
        <f t="shared" ref="B525:T525" si="271">SUM(B523:B524)</f>
        <v>0</v>
      </c>
      <c r="C525" s="258">
        <f t="shared" si="271"/>
        <v>0</v>
      </c>
      <c r="D525" s="258">
        <f t="shared" si="271"/>
        <v>0</v>
      </c>
      <c r="E525" s="258">
        <f t="shared" si="271"/>
        <v>0</v>
      </c>
      <c r="F525" s="258">
        <f t="shared" si="271"/>
        <v>0</v>
      </c>
      <c r="G525" s="258">
        <f t="shared" si="271"/>
        <v>0</v>
      </c>
      <c r="H525" s="258">
        <f t="shared" si="271"/>
        <v>0</v>
      </c>
      <c r="I525" s="258">
        <f t="shared" si="271"/>
        <v>0</v>
      </c>
      <c r="J525" s="258">
        <f t="shared" si="271"/>
        <v>0</v>
      </c>
      <c r="K525" s="258">
        <f t="shared" si="271"/>
        <v>0</v>
      </c>
      <c r="L525" s="258">
        <f t="shared" si="271"/>
        <v>0</v>
      </c>
      <c r="M525" s="258">
        <f t="shared" si="271"/>
        <v>0</v>
      </c>
      <c r="N525" s="258">
        <f t="shared" si="271"/>
        <v>0</v>
      </c>
      <c r="O525" s="258">
        <f t="shared" si="271"/>
        <v>0</v>
      </c>
      <c r="P525" s="258">
        <f t="shared" si="271"/>
        <v>0</v>
      </c>
      <c r="Q525" s="258">
        <f t="shared" si="271"/>
        <v>0</v>
      </c>
      <c r="R525" s="258">
        <f t="shared" si="271"/>
        <v>0</v>
      </c>
      <c r="S525" s="258">
        <f t="shared" si="271"/>
        <v>0</v>
      </c>
      <c r="T525" s="291">
        <f t="shared" si="271"/>
        <v>0</v>
      </c>
    </row>
    <row r="526" spans="1:20" ht="12.75" hidden="1" customHeight="1" outlineLevel="2" x14ac:dyDescent="0.2">
      <c r="A526" s="198" t="str">
        <f>"         "&amp;Labels!C384</f>
        <v xml:space="preserve">         Total</v>
      </c>
      <c r="B526" s="258">
        <f t="shared" ref="B526:T526" si="272">SUM(B521,B525)</f>
        <v>0</v>
      </c>
      <c r="C526" s="258">
        <f t="shared" si="272"/>
        <v>0</v>
      </c>
      <c r="D526" s="258">
        <f t="shared" si="272"/>
        <v>0</v>
      </c>
      <c r="E526" s="258">
        <f t="shared" si="272"/>
        <v>0</v>
      </c>
      <c r="F526" s="258">
        <f t="shared" si="272"/>
        <v>0</v>
      </c>
      <c r="G526" s="258">
        <f t="shared" si="272"/>
        <v>0</v>
      </c>
      <c r="H526" s="258">
        <f t="shared" si="272"/>
        <v>0</v>
      </c>
      <c r="I526" s="258">
        <f t="shared" si="272"/>
        <v>0</v>
      </c>
      <c r="J526" s="258">
        <f t="shared" si="272"/>
        <v>0</v>
      </c>
      <c r="K526" s="258">
        <f t="shared" si="272"/>
        <v>0</v>
      </c>
      <c r="L526" s="258">
        <f t="shared" si="272"/>
        <v>0</v>
      </c>
      <c r="M526" s="258">
        <f t="shared" si="272"/>
        <v>0</v>
      </c>
      <c r="N526" s="258">
        <f t="shared" si="272"/>
        <v>0</v>
      </c>
      <c r="O526" s="258">
        <f t="shared" si="272"/>
        <v>0</v>
      </c>
      <c r="P526" s="258">
        <f t="shared" si="272"/>
        <v>0</v>
      </c>
      <c r="Q526" s="258">
        <f t="shared" si="272"/>
        <v>0</v>
      </c>
      <c r="R526" s="258">
        <f t="shared" si="272"/>
        <v>0</v>
      </c>
      <c r="S526" s="258">
        <f t="shared" si="272"/>
        <v>0</v>
      </c>
      <c r="T526" s="291">
        <f t="shared" si="272"/>
        <v>0</v>
      </c>
    </row>
    <row r="527" spans="1:20" ht="12.75" hidden="1" customHeight="1" outlineLevel="2" x14ac:dyDescent="0.2">
      <c r="A527" s="198" t="str">
        <f>"            "&amp;Labels!B317</f>
        <v xml:space="preserve">            Channels 1</v>
      </c>
      <c r="B527" s="295">
        <f t="shared" ref="B527:T527" si="273">SUM(B519,B523)</f>
        <v>0</v>
      </c>
      <c r="C527" s="295">
        <f t="shared" si="273"/>
        <v>0</v>
      </c>
      <c r="D527" s="295">
        <f t="shared" si="273"/>
        <v>0</v>
      </c>
      <c r="E527" s="295">
        <f t="shared" si="273"/>
        <v>0</v>
      </c>
      <c r="F527" s="295">
        <f t="shared" si="273"/>
        <v>0</v>
      </c>
      <c r="G527" s="295">
        <f t="shared" si="273"/>
        <v>0</v>
      </c>
      <c r="H527" s="295">
        <f t="shared" si="273"/>
        <v>0</v>
      </c>
      <c r="I527" s="295">
        <f t="shared" si="273"/>
        <v>0</v>
      </c>
      <c r="J527" s="295">
        <f t="shared" si="273"/>
        <v>0</v>
      </c>
      <c r="K527" s="295">
        <f t="shared" si="273"/>
        <v>0</v>
      </c>
      <c r="L527" s="295">
        <f t="shared" si="273"/>
        <v>0</v>
      </c>
      <c r="M527" s="295">
        <f t="shared" si="273"/>
        <v>0</v>
      </c>
      <c r="N527" s="295">
        <f t="shared" si="273"/>
        <v>0</v>
      </c>
      <c r="O527" s="295">
        <f t="shared" si="273"/>
        <v>0</v>
      </c>
      <c r="P527" s="295">
        <f t="shared" si="273"/>
        <v>0</v>
      </c>
      <c r="Q527" s="295">
        <f t="shared" si="273"/>
        <v>0</v>
      </c>
      <c r="R527" s="295">
        <f t="shared" si="273"/>
        <v>0</v>
      </c>
      <c r="S527" s="295">
        <f t="shared" si="273"/>
        <v>0</v>
      </c>
      <c r="T527" s="296">
        <f t="shared" si="273"/>
        <v>0</v>
      </c>
    </row>
    <row r="528" spans="1:20" ht="12.75" hidden="1" customHeight="1" outlineLevel="2" x14ac:dyDescent="0.2">
      <c r="A528" s="198" t="str">
        <f>"            "&amp;Labels!B318</f>
        <v xml:space="preserve">            Channels 2</v>
      </c>
      <c r="B528" s="295">
        <f t="shared" ref="B528:T528" si="274">SUM(B520,B524)</f>
        <v>0</v>
      </c>
      <c r="C528" s="295">
        <f t="shared" si="274"/>
        <v>0</v>
      </c>
      <c r="D528" s="295">
        <f t="shared" si="274"/>
        <v>0</v>
      </c>
      <c r="E528" s="295">
        <f t="shared" si="274"/>
        <v>0</v>
      </c>
      <c r="F528" s="295">
        <f t="shared" si="274"/>
        <v>0</v>
      </c>
      <c r="G528" s="295">
        <f t="shared" si="274"/>
        <v>0</v>
      </c>
      <c r="H528" s="295">
        <f t="shared" si="274"/>
        <v>0</v>
      </c>
      <c r="I528" s="295">
        <f t="shared" si="274"/>
        <v>0</v>
      </c>
      <c r="J528" s="295">
        <f t="shared" si="274"/>
        <v>0</v>
      </c>
      <c r="K528" s="295">
        <f t="shared" si="274"/>
        <v>0</v>
      </c>
      <c r="L528" s="295">
        <f t="shared" si="274"/>
        <v>0</v>
      </c>
      <c r="M528" s="295">
        <f t="shared" si="274"/>
        <v>0</v>
      </c>
      <c r="N528" s="295">
        <f t="shared" si="274"/>
        <v>0</v>
      </c>
      <c r="O528" s="295">
        <f t="shared" si="274"/>
        <v>0</v>
      </c>
      <c r="P528" s="295">
        <f t="shared" si="274"/>
        <v>0</v>
      </c>
      <c r="Q528" s="295">
        <f t="shared" si="274"/>
        <v>0</v>
      </c>
      <c r="R528" s="295">
        <f t="shared" si="274"/>
        <v>0</v>
      </c>
      <c r="S528" s="295">
        <f t="shared" si="274"/>
        <v>0</v>
      </c>
      <c r="T528" s="296">
        <f t="shared" si="274"/>
        <v>0</v>
      </c>
    </row>
    <row r="529" spans="1:20" ht="12.75" hidden="1" customHeight="1" outlineLevel="2" x14ac:dyDescent="0.2">
      <c r="A529" s="198" t="str">
        <f>"            "&amp;Labels!C316</f>
        <v xml:space="preserve">            Total</v>
      </c>
      <c r="B529" s="258">
        <f t="shared" ref="B529:T529" si="275">SUM(B521,B525)</f>
        <v>0</v>
      </c>
      <c r="C529" s="258">
        <f t="shared" si="275"/>
        <v>0</v>
      </c>
      <c r="D529" s="258">
        <f t="shared" si="275"/>
        <v>0</v>
      </c>
      <c r="E529" s="258">
        <f t="shared" si="275"/>
        <v>0</v>
      </c>
      <c r="F529" s="258">
        <f t="shared" si="275"/>
        <v>0</v>
      </c>
      <c r="G529" s="258">
        <f t="shared" si="275"/>
        <v>0</v>
      </c>
      <c r="H529" s="258">
        <f t="shared" si="275"/>
        <v>0</v>
      </c>
      <c r="I529" s="258">
        <f t="shared" si="275"/>
        <v>0</v>
      </c>
      <c r="J529" s="258">
        <f t="shared" si="275"/>
        <v>0</v>
      </c>
      <c r="K529" s="258">
        <f t="shared" si="275"/>
        <v>0</v>
      </c>
      <c r="L529" s="258">
        <f t="shared" si="275"/>
        <v>0</v>
      </c>
      <c r="M529" s="258">
        <f t="shared" si="275"/>
        <v>0</v>
      </c>
      <c r="N529" s="258">
        <f t="shared" si="275"/>
        <v>0</v>
      </c>
      <c r="O529" s="258">
        <f t="shared" si="275"/>
        <v>0</v>
      </c>
      <c r="P529" s="258">
        <f t="shared" si="275"/>
        <v>0</v>
      </c>
      <c r="Q529" s="258">
        <f t="shared" si="275"/>
        <v>0</v>
      </c>
      <c r="R529" s="258">
        <f t="shared" si="275"/>
        <v>0</v>
      </c>
      <c r="S529" s="258">
        <f t="shared" si="275"/>
        <v>0</v>
      </c>
      <c r="T529" s="291">
        <f t="shared" si="275"/>
        <v>0</v>
      </c>
    </row>
    <row r="530" spans="1:20" ht="12.75" hidden="1" customHeight="1" outlineLevel="2" x14ac:dyDescent="0.2">
      <c r="A530" s="188" t="str">
        <f>"      "&amp;Labels!C380</f>
        <v xml:space="preserve">      Total</v>
      </c>
      <c r="B530" s="256">
        <f t="shared" ref="B530:T530" si="276">SUM(B513,B526)</f>
        <v>0</v>
      </c>
      <c r="C530" s="256">
        <f t="shared" si="276"/>
        <v>0</v>
      </c>
      <c r="D530" s="256">
        <f t="shared" si="276"/>
        <v>0</v>
      </c>
      <c r="E530" s="256">
        <f t="shared" si="276"/>
        <v>0</v>
      </c>
      <c r="F530" s="256">
        <f t="shared" si="276"/>
        <v>0</v>
      </c>
      <c r="G530" s="256">
        <f t="shared" si="276"/>
        <v>0</v>
      </c>
      <c r="H530" s="256">
        <f t="shared" si="276"/>
        <v>0</v>
      </c>
      <c r="I530" s="256">
        <f t="shared" si="276"/>
        <v>0</v>
      </c>
      <c r="J530" s="256">
        <f t="shared" si="276"/>
        <v>0</v>
      </c>
      <c r="K530" s="256">
        <f t="shared" si="276"/>
        <v>0</v>
      </c>
      <c r="L530" s="256">
        <f t="shared" si="276"/>
        <v>0</v>
      </c>
      <c r="M530" s="256">
        <f t="shared" si="276"/>
        <v>0</v>
      </c>
      <c r="N530" s="256">
        <f t="shared" si="276"/>
        <v>0</v>
      </c>
      <c r="O530" s="256">
        <f t="shared" si="276"/>
        <v>0</v>
      </c>
      <c r="P530" s="256">
        <f t="shared" si="276"/>
        <v>0</v>
      </c>
      <c r="Q530" s="256">
        <f t="shared" si="276"/>
        <v>0</v>
      </c>
      <c r="R530" s="256">
        <f t="shared" si="276"/>
        <v>0</v>
      </c>
      <c r="S530" s="256">
        <f t="shared" si="276"/>
        <v>0</v>
      </c>
      <c r="T530" s="290">
        <f t="shared" si="276"/>
        <v>0</v>
      </c>
    </row>
    <row r="531" spans="1:20" ht="12.75" hidden="1" customHeight="1" outlineLevel="2" x14ac:dyDescent="0.2">
      <c r="A531" s="198" t="str">
        <f>"         "&amp;Labels!B385</f>
        <v xml:space="preserve">         Prof Level 1</v>
      </c>
      <c r="B531" s="258"/>
      <c r="C531" s="258"/>
      <c r="D531" s="258"/>
      <c r="E531" s="258"/>
      <c r="F531" s="258"/>
      <c r="G531" s="258"/>
      <c r="H531" s="258"/>
      <c r="I531" s="258"/>
      <c r="J531" s="258"/>
      <c r="K531" s="258"/>
      <c r="L531" s="258"/>
      <c r="M531" s="258"/>
      <c r="N531" s="258"/>
      <c r="O531" s="258"/>
      <c r="P531" s="258"/>
      <c r="Q531" s="258"/>
      <c r="R531" s="258"/>
      <c r="S531" s="258"/>
      <c r="T531" s="291"/>
    </row>
    <row r="532" spans="1:20" ht="12.75" hidden="1" customHeight="1" outlineLevel="2" x14ac:dyDescent="0.2">
      <c r="A532" s="198" t="str">
        <f>"            "&amp;Labels!B317</f>
        <v xml:space="preserve">            Channels 1</v>
      </c>
      <c r="B532" s="295">
        <f t="shared" ref="B532:T532" si="277">SUM(B506,B519)</f>
        <v>0</v>
      </c>
      <c r="C532" s="295">
        <f t="shared" si="277"/>
        <v>0</v>
      </c>
      <c r="D532" s="295">
        <f t="shared" si="277"/>
        <v>0</v>
      </c>
      <c r="E532" s="295">
        <f t="shared" si="277"/>
        <v>0</v>
      </c>
      <c r="F532" s="295">
        <f t="shared" si="277"/>
        <v>0</v>
      </c>
      <c r="G532" s="295">
        <f t="shared" si="277"/>
        <v>0</v>
      </c>
      <c r="H532" s="295">
        <f t="shared" si="277"/>
        <v>0</v>
      </c>
      <c r="I532" s="295">
        <f t="shared" si="277"/>
        <v>0</v>
      </c>
      <c r="J532" s="295">
        <f t="shared" si="277"/>
        <v>0</v>
      </c>
      <c r="K532" s="295">
        <f t="shared" si="277"/>
        <v>0</v>
      </c>
      <c r="L532" s="295">
        <f t="shared" si="277"/>
        <v>0</v>
      </c>
      <c r="M532" s="295">
        <f t="shared" si="277"/>
        <v>0</v>
      </c>
      <c r="N532" s="295">
        <f t="shared" si="277"/>
        <v>0</v>
      </c>
      <c r="O532" s="295">
        <f t="shared" si="277"/>
        <v>0</v>
      </c>
      <c r="P532" s="295">
        <f t="shared" si="277"/>
        <v>0</v>
      </c>
      <c r="Q532" s="295">
        <f t="shared" si="277"/>
        <v>0</v>
      </c>
      <c r="R532" s="295">
        <f t="shared" si="277"/>
        <v>0</v>
      </c>
      <c r="S532" s="295">
        <f t="shared" si="277"/>
        <v>0</v>
      </c>
      <c r="T532" s="296">
        <f t="shared" si="277"/>
        <v>0</v>
      </c>
    </row>
    <row r="533" spans="1:20" ht="12.75" hidden="1" customHeight="1" outlineLevel="2" x14ac:dyDescent="0.2">
      <c r="A533" s="198" t="str">
        <f>"            "&amp;Labels!B318</f>
        <v xml:space="preserve">            Channels 2</v>
      </c>
      <c r="B533" s="295">
        <f t="shared" ref="B533:T533" si="278">SUM(B507,B520)</f>
        <v>0</v>
      </c>
      <c r="C533" s="295">
        <f t="shared" si="278"/>
        <v>0</v>
      </c>
      <c r="D533" s="295">
        <f t="shared" si="278"/>
        <v>0</v>
      </c>
      <c r="E533" s="295">
        <f t="shared" si="278"/>
        <v>0</v>
      </c>
      <c r="F533" s="295">
        <f t="shared" si="278"/>
        <v>0</v>
      </c>
      <c r="G533" s="295">
        <f t="shared" si="278"/>
        <v>0</v>
      </c>
      <c r="H533" s="295">
        <f t="shared" si="278"/>
        <v>0</v>
      </c>
      <c r="I533" s="295">
        <f t="shared" si="278"/>
        <v>0</v>
      </c>
      <c r="J533" s="295">
        <f t="shared" si="278"/>
        <v>0</v>
      </c>
      <c r="K533" s="295">
        <f t="shared" si="278"/>
        <v>0</v>
      </c>
      <c r="L533" s="295">
        <f t="shared" si="278"/>
        <v>0</v>
      </c>
      <c r="M533" s="295">
        <f t="shared" si="278"/>
        <v>0</v>
      </c>
      <c r="N533" s="295">
        <f t="shared" si="278"/>
        <v>0</v>
      </c>
      <c r="O533" s="295">
        <f t="shared" si="278"/>
        <v>0</v>
      </c>
      <c r="P533" s="295">
        <f t="shared" si="278"/>
        <v>0</v>
      </c>
      <c r="Q533" s="295">
        <f t="shared" si="278"/>
        <v>0</v>
      </c>
      <c r="R533" s="295">
        <f t="shared" si="278"/>
        <v>0</v>
      </c>
      <c r="S533" s="295">
        <f t="shared" si="278"/>
        <v>0</v>
      </c>
      <c r="T533" s="296">
        <f t="shared" si="278"/>
        <v>0</v>
      </c>
    </row>
    <row r="534" spans="1:20" ht="12.75" hidden="1" customHeight="1" outlineLevel="2" x14ac:dyDescent="0.2">
      <c r="A534" s="198" t="str">
        <f>"            "&amp;Labels!C316</f>
        <v xml:space="preserve">            Total</v>
      </c>
      <c r="B534" s="258">
        <f t="shared" ref="B534:T534" si="279">SUM(B508,B521)</f>
        <v>0</v>
      </c>
      <c r="C534" s="258">
        <f t="shared" si="279"/>
        <v>0</v>
      </c>
      <c r="D534" s="258">
        <f t="shared" si="279"/>
        <v>0</v>
      </c>
      <c r="E534" s="258">
        <f t="shared" si="279"/>
        <v>0</v>
      </c>
      <c r="F534" s="258">
        <f t="shared" si="279"/>
        <v>0</v>
      </c>
      <c r="G534" s="258">
        <f t="shared" si="279"/>
        <v>0</v>
      </c>
      <c r="H534" s="258">
        <f t="shared" si="279"/>
        <v>0</v>
      </c>
      <c r="I534" s="258">
        <f t="shared" si="279"/>
        <v>0</v>
      </c>
      <c r="J534" s="258">
        <f t="shared" si="279"/>
        <v>0</v>
      </c>
      <c r="K534" s="258">
        <f t="shared" si="279"/>
        <v>0</v>
      </c>
      <c r="L534" s="258">
        <f t="shared" si="279"/>
        <v>0</v>
      </c>
      <c r="M534" s="258">
        <f t="shared" si="279"/>
        <v>0</v>
      </c>
      <c r="N534" s="258">
        <f t="shared" si="279"/>
        <v>0</v>
      </c>
      <c r="O534" s="258">
        <f t="shared" si="279"/>
        <v>0</v>
      </c>
      <c r="P534" s="258">
        <f t="shared" si="279"/>
        <v>0</v>
      </c>
      <c r="Q534" s="258">
        <f t="shared" si="279"/>
        <v>0</v>
      </c>
      <c r="R534" s="258">
        <f t="shared" si="279"/>
        <v>0</v>
      </c>
      <c r="S534" s="258">
        <f t="shared" si="279"/>
        <v>0</v>
      </c>
      <c r="T534" s="291">
        <f t="shared" si="279"/>
        <v>0</v>
      </c>
    </row>
    <row r="535" spans="1:20" ht="12.75" hidden="1" customHeight="1" outlineLevel="2" x14ac:dyDescent="0.2">
      <c r="A535" s="198" t="str">
        <f>"         "&amp;Labels!B386</f>
        <v xml:space="preserve">         Prof Level 2</v>
      </c>
      <c r="B535" s="258"/>
      <c r="C535" s="258"/>
      <c r="D535" s="258"/>
      <c r="E535" s="258"/>
      <c r="F535" s="258"/>
      <c r="G535" s="258"/>
      <c r="H535" s="258"/>
      <c r="I535" s="258"/>
      <c r="J535" s="258"/>
      <c r="K535" s="258"/>
      <c r="L535" s="258"/>
      <c r="M535" s="258"/>
      <c r="N535" s="258"/>
      <c r="O535" s="258"/>
      <c r="P535" s="258"/>
      <c r="Q535" s="258"/>
      <c r="R535" s="258"/>
      <c r="S535" s="258"/>
      <c r="T535" s="291"/>
    </row>
    <row r="536" spans="1:20" ht="12.75" hidden="1" customHeight="1" outlineLevel="2" x14ac:dyDescent="0.2">
      <c r="A536" s="198" t="str">
        <f>"            "&amp;Labels!B317</f>
        <v xml:space="preserve">            Channels 1</v>
      </c>
      <c r="B536" s="295">
        <f t="shared" ref="B536:T536" si="280">SUM(B510,B523)</f>
        <v>0</v>
      </c>
      <c r="C536" s="295">
        <f t="shared" si="280"/>
        <v>0</v>
      </c>
      <c r="D536" s="295">
        <f t="shared" si="280"/>
        <v>0</v>
      </c>
      <c r="E536" s="295">
        <f t="shared" si="280"/>
        <v>0</v>
      </c>
      <c r="F536" s="295">
        <f t="shared" si="280"/>
        <v>0</v>
      </c>
      <c r="G536" s="295">
        <f t="shared" si="280"/>
        <v>0</v>
      </c>
      <c r="H536" s="295">
        <f t="shared" si="280"/>
        <v>0</v>
      </c>
      <c r="I536" s="295">
        <f t="shared" si="280"/>
        <v>0</v>
      </c>
      <c r="J536" s="295">
        <f t="shared" si="280"/>
        <v>0</v>
      </c>
      <c r="K536" s="295">
        <f t="shared" si="280"/>
        <v>0</v>
      </c>
      <c r="L536" s="295">
        <f t="shared" si="280"/>
        <v>0</v>
      </c>
      <c r="M536" s="295">
        <f t="shared" si="280"/>
        <v>0</v>
      </c>
      <c r="N536" s="295">
        <f t="shared" si="280"/>
        <v>0</v>
      </c>
      <c r="O536" s="295">
        <f t="shared" si="280"/>
        <v>0</v>
      </c>
      <c r="P536" s="295">
        <f t="shared" si="280"/>
        <v>0</v>
      </c>
      <c r="Q536" s="295">
        <f t="shared" si="280"/>
        <v>0</v>
      </c>
      <c r="R536" s="295">
        <f t="shared" si="280"/>
        <v>0</v>
      </c>
      <c r="S536" s="295">
        <f t="shared" si="280"/>
        <v>0</v>
      </c>
      <c r="T536" s="296">
        <f t="shared" si="280"/>
        <v>0</v>
      </c>
    </row>
    <row r="537" spans="1:20" ht="12.75" hidden="1" customHeight="1" outlineLevel="2" x14ac:dyDescent="0.2">
      <c r="A537" s="198" t="str">
        <f>"            "&amp;Labels!B318</f>
        <v xml:space="preserve">            Channels 2</v>
      </c>
      <c r="B537" s="295">
        <f t="shared" ref="B537:T537" si="281">SUM(B511,B524)</f>
        <v>0</v>
      </c>
      <c r="C537" s="295">
        <f t="shared" si="281"/>
        <v>0</v>
      </c>
      <c r="D537" s="295">
        <f t="shared" si="281"/>
        <v>0</v>
      </c>
      <c r="E537" s="295">
        <f t="shared" si="281"/>
        <v>0</v>
      </c>
      <c r="F537" s="295">
        <f t="shared" si="281"/>
        <v>0</v>
      </c>
      <c r="G537" s="295">
        <f t="shared" si="281"/>
        <v>0</v>
      </c>
      <c r="H537" s="295">
        <f t="shared" si="281"/>
        <v>0</v>
      </c>
      <c r="I537" s="295">
        <f t="shared" si="281"/>
        <v>0</v>
      </c>
      <c r="J537" s="295">
        <f t="shared" si="281"/>
        <v>0</v>
      </c>
      <c r="K537" s="295">
        <f t="shared" si="281"/>
        <v>0</v>
      </c>
      <c r="L537" s="295">
        <f t="shared" si="281"/>
        <v>0</v>
      </c>
      <c r="M537" s="295">
        <f t="shared" si="281"/>
        <v>0</v>
      </c>
      <c r="N537" s="295">
        <f t="shared" si="281"/>
        <v>0</v>
      </c>
      <c r="O537" s="295">
        <f t="shared" si="281"/>
        <v>0</v>
      </c>
      <c r="P537" s="295">
        <f t="shared" si="281"/>
        <v>0</v>
      </c>
      <c r="Q537" s="295">
        <f t="shared" si="281"/>
        <v>0</v>
      </c>
      <c r="R537" s="295">
        <f t="shared" si="281"/>
        <v>0</v>
      </c>
      <c r="S537" s="295">
        <f t="shared" si="281"/>
        <v>0</v>
      </c>
      <c r="T537" s="296">
        <f t="shared" si="281"/>
        <v>0</v>
      </c>
    </row>
    <row r="538" spans="1:20" ht="12.75" hidden="1" customHeight="1" outlineLevel="2" x14ac:dyDescent="0.2">
      <c r="A538" s="198" t="str">
        <f>"            "&amp;Labels!C316</f>
        <v xml:space="preserve">            Total</v>
      </c>
      <c r="B538" s="258">
        <f t="shared" ref="B538:T538" si="282">SUM(B512,B525)</f>
        <v>0</v>
      </c>
      <c r="C538" s="258">
        <f t="shared" si="282"/>
        <v>0</v>
      </c>
      <c r="D538" s="258">
        <f t="shared" si="282"/>
        <v>0</v>
      </c>
      <c r="E538" s="258">
        <f t="shared" si="282"/>
        <v>0</v>
      </c>
      <c r="F538" s="258">
        <f t="shared" si="282"/>
        <v>0</v>
      </c>
      <c r="G538" s="258">
        <f t="shared" si="282"/>
        <v>0</v>
      </c>
      <c r="H538" s="258">
        <f t="shared" si="282"/>
        <v>0</v>
      </c>
      <c r="I538" s="258">
        <f t="shared" si="282"/>
        <v>0</v>
      </c>
      <c r="J538" s="258">
        <f t="shared" si="282"/>
        <v>0</v>
      </c>
      <c r="K538" s="258">
        <f t="shared" si="282"/>
        <v>0</v>
      </c>
      <c r="L538" s="258">
        <f t="shared" si="282"/>
        <v>0</v>
      </c>
      <c r="M538" s="258">
        <f t="shared" si="282"/>
        <v>0</v>
      </c>
      <c r="N538" s="258">
        <f t="shared" si="282"/>
        <v>0</v>
      </c>
      <c r="O538" s="258">
        <f t="shared" si="282"/>
        <v>0</v>
      </c>
      <c r="P538" s="258">
        <f t="shared" si="282"/>
        <v>0</v>
      </c>
      <c r="Q538" s="258">
        <f t="shared" si="282"/>
        <v>0</v>
      </c>
      <c r="R538" s="258">
        <f t="shared" si="282"/>
        <v>0</v>
      </c>
      <c r="S538" s="258">
        <f t="shared" si="282"/>
        <v>0</v>
      </c>
      <c r="T538" s="291">
        <f t="shared" si="282"/>
        <v>0</v>
      </c>
    </row>
    <row r="539" spans="1:20" ht="12.75" hidden="1" customHeight="1" outlineLevel="2" x14ac:dyDescent="0.2">
      <c r="A539" s="198" t="str">
        <f>"         "&amp;Labels!C384</f>
        <v xml:space="preserve">         Total</v>
      </c>
      <c r="B539" s="258">
        <f t="shared" ref="B539:T539" si="283">SUM(B513,B526)</f>
        <v>0</v>
      </c>
      <c r="C539" s="258">
        <f t="shared" si="283"/>
        <v>0</v>
      </c>
      <c r="D539" s="258">
        <f t="shared" si="283"/>
        <v>0</v>
      </c>
      <c r="E539" s="258">
        <f t="shared" si="283"/>
        <v>0</v>
      </c>
      <c r="F539" s="258">
        <f t="shared" si="283"/>
        <v>0</v>
      </c>
      <c r="G539" s="258">
        <f t="shared" si="283"/>
        <v>0</v>
      </c>
      <c r="H539" s="258">
        <f t="shared" si="283"/>
        <v>0</v>
      </c>
      <c r="I539" s="258">
        <f t="shared" si="283"/>
        <v>0</v>
      </c>
      <c r="J539" s="258">
        <f t="shared" si="283"/>
        <v>0</v>
      </c>
      <c r="K539" s="258">
        <f t="shared" si="283"/>
        <v>0</v>
      </c>
      <c r="L539" s="258">
        <f t="shared" si="283"/>
        <v>0</v>
      </c>
      <c r="M539" s="258">
        <f t="shared" si="283"/>
        <v>0</v>
      </c>
      <c r="N539" s="258">
        <f t="shared" si="283"/>
        <v>0</v>
      </c>
      <c r="O539" s="258">
        <f t="shared" si="283"/>
        <v>0</v>
      </c>
      <c r="P539" s="258">
        <f t="shared" si="283"/>
        <v>0</v>
      </c>
      <c r="Q539" s="258">
        <f t="shared" si="283"/>
        <v>0</v>
      </c>
      <c r="R539" s="258">
        <f t="shared" si="283"/>
        <v>0</v>
      </c>
      <c r="S539" s="258">
        <f t="shared" si="283"/>
        <v>0</v>
      </c>
      <c r="T539" s="291">
        <f t="shared" si="283"/>
        <v>0</v>
      </c>
    </row>
    <row r="540" spans="1:20" ht="12.75" hidden="1" customHeight="1" outlineLevel="2" x14ac:dyDescent="0.2">
      <c r="A540" s="198" t="str">
        <f>"            "&amp;Labels!B317</f>
        <v xml:space="preserve">            Channels 1</v>
      </c>
      <c r="B540" s="295">
        <f t="shared" ref="B540:T540" si="284">SUM(B514,B527)</f>
        <v>0</v>
      </c>
      <c r="C540" s="295">
        <f t="shared" si="284"/>
        <v>0</v>
      </c>
      <c r="D540" s="295">
        <f t="shared" si="284"/>
        <v>0</v>
      </c>
      <c r="E540" s="295">
        <f t="shared" si="284"/>
        <v>0</v>
      </c>
      <c r="F540" s="295">
        <f t="shared" si="284"/>
        <v>0</v>
      </c>
      <c r="G540" s="295">
        <f t="shared" si="284"/>
        <v>0</v>
      </c>
      <c r="H540" s="295">
        <f t="shared" si="284"/>
        <v>0</v>
      </c>
      <c r="I540" s="295">
        <f t="shared" si="284"/>
        <v>0</v>
      </c>
      <c r="J540" s="295">
        <f t="shared" si="284"/>
        <v>0</v>
      </c>
      <c r="K540" s="295">
        <f t="shared" si="284"/>
        <v>0</v>
      </c>
      <c r="L540" s="295">
        <f t="shared" si="284"/>
        <v>0</v>
      </c>
      <c r="M540" s="295">
        <f t="shared" si="284"/>
        <v>0</v>
      </c>
      <c r="N540" s="295">
        <f t="shared" si="284"/>
        <v>0</v>
      </c>
      <c r="O540" s="295">
        <f t="shared" si="284"/>
        <v>0</v>
      </c>
      <c r="P540" s="295">
        <f t="shared" si="284"/>
        <v>0</v>
      </c>
      <c r="Q540" s="295">
        <f t="shared" si="284"/>
        <v>0</v>
      </c>
      <c r="R540" s="295">
        <f t="shared" si="284"/>
        <v>0</v>
      </c>
      <c r="S540" s="295">
        <f t="shared" si="284"/>
        <v>0</v>
      </c>
      <c r="T540" s="296">
        <f t="shared" si="284"/>
        <v>0</v>
      </c>
    </row>
    <row r="541" spans="1:20" ht="12.75" hidden="1" customHeight="1" outlineLevel="2" x14ac:dyDescent="0.2">
      <c r="A541" s="198" t="str">
        <f>"            "&amp;Labels!B318</f>
        <v xml:space="preserve">            Channels 2</v>
      </c>
      <c r="B541" s="295">
        <f t="shared" ref="B541:T541" si="285">SUM(B515,B528)</f>
        <v>0</v>
      </c>
      <c r="C541" s="295">
        <f t="shared" si="285"/>
        <v>0</v>
      </c>
      <c r="D541" s="295">
        <f t="shared" si="285"/>
        <v>0</v>
      </c>
      <c r="E541" s="295">
        <f t="shared" si="285"/>
        <v>0</v>
      </c>
      <c r="F541" s="295">
        <f t="shared" si="285"/>
        <v>0</v>
      </c>
      <c r="G541" s="295">
        <f t="shared" si="285"/>
        <v>0</v>
      </c>
      <c r="H541" s="295">
        <f t="shared" si="285"/>
        <v>0</v>
      </c>
      <c r="I541" s="295">
        <f t="shared" si="285"/>
        <v>0</v>
      </c>
      <c r="J541" s="295">
        <f t="shared" si="285"/>
        <v>0</v>
      </c>
      <c r="K541" s="295">
        <f t="shared" si="285"/>
        <v>0</v>
      </c>
      <c r="L541" s="295">
        <f t="shared" si="285"/>
        <v>0</v>
      </c>
      <c r="M541" s="295">
        <f t="shared" si="285"/>
        <v>0</v>
      </c>
      <c r="N541" s="295">
        <f t="shared" si="285"/>
        <v>0</v>
      </c>
      <c r="O541" s="295">
        <f t="shared" si="285"/>
        <v>0</v>
      </c>
      <c r="P541" s="295">
        <f t="shared" si="285"/>
        <v>0</v>
      </c>
      <c r="Q541" s="295">
        <f t="shared" si="285"/>
        <v>0</v>
      </c>
      <c r="R541" s="295">
        <f t="shared" si="285"/>
        <v>0</v>
      </c>
      <c r="S541" s="295">
        <f t="shared" si="285"/>
        <v>0</v>
      </c>
      <c r="T541" s="296">
        <f t="shared" si="285"/>
        <v>0</v>
      </c>
    </row>
    <row r="542" spans="1:20" ht="12.75" hidden="1" customHeight="1" outlineLevel="2" x14ac:dyDescent="0.2">
      <c r="A542" s="198" t="str">
        <f>"            "&amp;Labels!C316</f>
        <v xml:space="preserve">            Total</v>
      </c>
      <c r="B542" s="258">
        <f t="shared" ref="B542:T542" si="286">SUM(B513,B526)</f>
        <v>0</v>
      </c>
      <c r="C542" s="258">
        <f t="shared" si="286"/>
        <v>0</v>
      </c>
      <c r="D542" s="258">
        <f t="shared" si="286"/>
        <v>0</v>
      </c>
      <c r="E542" s="258">
        <f t="shared" si="286"/>
        <v>0</v>
      </c>
      <c r="F542" s="258">
        <f t="shared" si="286"/>
        <v>0</v>
      </c>
      <c r="G542" s="258">
        <f t="shared" si="286"/>
        <v>0</v>
      </c>
      <c r="H542" s="258">
        <f t="shared" si="286"/>
        <v>0</v>
      </c>
      <c r="I542" s="258">
        <f t="shared" si="286"/>
        <v>0</v>
      </c>
      <c r="J542" s="258">
        <f t="shared" si="286"/>
        <v>0</v>
      </c>
      <c r="K542" s="258">
        <f t="shared" si="286"/>
        <v>0</v>
      </c>
      <c r="L542" s="258">
        <f t="shared" si="286"/>
        <v>0</v>
      </c>
      <c r="M542" s="258">
        <f t="shared" si="286"/>
        <v>0</v>
      </c>
      <c r="N542" s="258">
        <f t="shared" si="286"/>
        <v>0</v>
      </c>
      <c r="O542" s="258">
        <f t="shared" si="286"/>
        <v>0</v>
      </c>
      <c r="P542" s="258">
        <f t="shared" si="286"/>
        <v>0</v>
      </c>
      <c r="Q542" s="258">
        <f t="shared" si="286"/>
        <v>0</v>
      </c>
      <c r="R542" s="258">
        <f t="shared" si="286"/>
        <v>0</v>
      </c>
      <c r="S542" s="258">
        <f t="shared" si="286"/>
        <v>0</v>
      </c>
      <c r="T542" s="291">
        <f t="shared" si="286"/>
        <v>0</v>
      </c>
    </row>
    <row r="543" spans="1:20" ht="12.75" hidden="1" customHeight="1" outlineLevel="2" x14ac:dyDescent="0.2">
      <c r="A543" s="188" t="str">
        <f>"   "&amp;Labels!B390</f>
        <v xml:space="preserve">   Lead Qual 2</v>
      </c>
      <c r="B543" s="256"/>
      <c r="C543" s="256"/>
      <c r="D543" s="256"/>
      <c r="E543" s="256"/>
      <c r="F543" s="256"/>
      <c r="G543" s="256"/>
      <c r="H543" s="256"/>
      <c r="I543" s="256"/>
      <c r="J543" s="256"/>
      <c r="K543" s="256"/>
      <c r="L543" s="256"/>
      <c r="M543" s="256"/>
      <c r="N543" s="256"/>
      <c r="O543" s="256"/>
      <c r="P543" s="256"/>
      <c r="Q543" s="256"/>
      <c r="R543" s="256"/>
      <c r="S543" s="256"/>
      <c r="T543" s="290"/>
    </row>
    <row r="544" spans="1:20" ht="12.75" hidden="1" customHeight="1" outlineLevel="2" x14ac:dyDescent="0.2">
      <c r="A544" s="198" t="str">
        <f>"      "&amp;Labels!B381</f>
        <v xml:space="preserve">      Practice 1</v>
      </c>
      <c r="B544" s="258"/>
      <c r="C544" s="258"/>
      <c r="D544" s="258"/>
      <c r="E544" s="258"/>
      <c r="F544" s="258"/>
      <c r="G544" s="258"/>
      <c r="H544" s="258"/>
      <c r="I544" s="258"/>
      <c r="J544" s="258"/>
      <c r="K544" s="258"/>
      <c r="L544" s="258"/>
      <c r="M544" s="258"/>
      <c r="N544" s="258"/>
      <c r="O544" s="258"/>
      <c r="P544" s="258"/>
      <c r="Q544" s="258"/>
      <c r="R544" s="258"/>
      <c r="S544" s="258"/>
      <c r="T544" s="291"/>
    </row>
    <row r="545" spans="1:20" ht="12.75" hidden="1" customHeight="1" outlineLevel="2" x14ac:dyDescent="0.2">
      <c r="A545" s="198" t="str">
        <f>"         "&amp;Labels!B385</f>
        <v xml:space="preserve">         Prof Level 1</v>
      </c>
      <c r="B545" s="258"/>
      <c r="C545" s="258"/>
      <c r="D545" s="258"/>
      <c r="E545" s="258"/>
      <c r="F545" s="258"/>
      <c r="G545" s="258"/>
      <c r="H545" s="258"/>
      <c r="I545" s="258"/>
      <c r="J545" s="258"/>
      <c r="K545" s="258"/>
      <c r="L545" s="258"/>
      <c r="M545" s="258"/>
      <c r="N545" s="258"/>
      <c r="O545" s="258"/>
      <c r="P545" s="258"/>
      <c r="Q545" s="258"/>
      <c r="R545" s="258"/>
      <c r="S545" s="258"/>
      <c r="T545" s="291"/>
    </row>
    <row r="546" spans="1:20" ht="12.75" hidden="1" customHeight="1" outlineLevel="2" x14ac:dyDescent="0.2">
      <c r="A546" s="198" t="str">
        <f>"            "&amp;Labels!B317</f>
        <v xml:space="preserve">            Channels 1</v>
      </c>
      <c r="B546" s="295">
        <f>Inputs!G56</f>
        <v>0</v>
      </c>
      <c r="C546" s="295">
        <f>(B506+C750)*'(Tables)'!B486+(B546+C790)*(1-'(Tables)'!B526-'(Tables)'!B648)</f>
        <v>0</v>
      </c>
      <c r="D546" s="295">
        <f>(C506+D750)*'(Tables)'!C486+(C546+D790)*(1-'(Tables)'!C526-'(Tables)'!C648)</f>
        <v>0</v>
      </c>
      <c r="E546" s="295">
        <f>(D506+E750)*'(Tables)'!D486+(D546+E790)*(1-'(Tables)'!D526-'(Tables)'!D648)</f>
        <v>0</v>
      </c>
      <c r="F546" s="295">
        <f>(E506+F750)*'(Tables)'!E486+(E546+F790)*(1-'(Tables)'!E526-'(Tables)'!E648)</f>
        <v>0</v>
      </c>
      <c r="G546" s="295">
        <f>(F506+G750)*'(Tables)'!F486+(F546+G790)*(1-'(Tables)'!F526-'(Tables)'!F648)</f>
        <v>0</v>
      </c>
      <c r="H546" s="295">
        <f>(G506+H750)*'(Tables)'!G486+(G546+H790)*(1-'(Tables)'!G526-'(Tables)'!G648)</f>
        <v>0</v>
      </c>
      <c r="I546" s="295">
        <f>(H506+I750)*'(Tables)'!H486+(H546+I790)*(1-'(Tables)'!H526-'(Tables)'!H648)</f>
        <v>0</v>
      </c>
      <c r="J546" s="295">
        <f>(I506+J750)*'(Tables)'!I486+(I546+J790)*(1-'(Tables)'!I526-'(Tables)'!I648)</f>
        <v>0</v>
      </c>
      <c r="K546" s="295">
        <f>(J506+K750)*'(Tables)'!J486+(J546+K790)*(1-'(Tables)'!J526-'(Tables)'!J648)</f>
        <v>0</v>
      </c>
      <c r="L546" s="295">
        <f>(K506+L750)*'(Tables)'!K486+(K546+L790)*(1-'(Tables)'!K526-'(Tables)'!K648)</f>
        <v>0</v>
      </c>
      <c r="M546" s="295">
        <f>(L506+M750)*'(Tables)'!L486+(L546+M790)*(1-'(Tables)'!L526-'(Tables)'!L648)</f>
        <v>0</v>
      </c>
      <c r="N546" s="295">
        <f>(M506+N750)*'(Tables)'!M486+(M546+N790)*(1-'(Tables)'!M526-'(Tables)'!M648)</f>
        <v>0</v>
      </c>
      <c r="O546" s="295">
        <f>(N506+O750)*'(Tables)'!N486+(N546+O790)*(1-'(Tables)'!N526-'(Tables)'!N648)</f>
        <v>0</v>
      </c>
      <c r="P546" s="295">
        <f>(O506+P750)*'(Tables)'!O486+(O546+P790)*(1-'(Tables)'!O526-'(Tables)'!O648)</f>
        <v>0</v>
      </c>
      <c r="Q546" s="295">
        <f>(P506+Q750)*'(Tables)'!P486+(P546+Q790)*(1-'(Tables)'!P526-'(Tables)'!P648)</f>
        <v>0</v>
      </c>
      <c r="R546" s="295">
        <f>(Q506+R750)*'(Tables)'!Q486+(Q546+R790)*(1-'(Tables)'!Q526-'(Tables)'!Q648)</f>
        <v>0</v>
      </c>
      <c r="S546" s="295">
        <f>(R506+S750)*'(Tables)'!R486+(R546+S790)*(1-'(Tables)'!R526-'(Tables)'!R648)</f>
        <v>0</v>
      </c>
      <c r="T546" s="296">
        <f>(S506+T750)*'(Tables)'!S486+(S546+T790)*(1-'(Tables)'!S526-'(Tables)'!S648)</f>
        <v>0</v>
      </c>
    </row>
    <row r="547" spans="1:20" ht="12.75" hidden="1" customHeight="1" outlineLevel="2" x14ac:dyDescent="0.2">
      <c r="A547" s="198" t="str">
        <f>"            "&amp;Labels!B318</f>
        <v xml:space="preserve">            Channels 2</v>
      </c>
      <c r="B547" s="295">
        <f>Inputs!G57</f>
        <v>0</v>
      </c>
      <c r="C547" s="295">
        <f>(B507+C751)*'(Tables)'!B487+(B547+C791)*(1-'(Tables)'!B527-'(Tables)'!B649)</f>
        <v>0</v>
      </c>
      <c r="D547" s="295">
        <f>(C507+D751)*'(Tables)'!C487+(C547+D791)*(1-'(Tables)'!C527-'(Tables)'!C649)</f>
        <v>0</v>
      </c>
      <c r="E547" s="295">
        <f>(D507+E751)*'(Tables)'!D487+(D547+E791)*(1-'(Tables)'!D527-'(Tables)'!D649)</f>
        <v>0</v>
      </c>
      <c r="F547" s="295">
        <f>(E507+F751)*'(Tables)'!E487+(E547+F791)*(1-'(Tables)'!E527-'(Tables)'!E649)</f>
        <v>0</v>
      </c>
      <c r="G547" s="295">
        <f>(F507+G751)*'(Tables)'!F487+(F547+G791)*(1-'(Tables)'!F527-'(Tables)'!F649)</f>
        <v>0</v>
      </c>
      <c r="H547" s="295">
        <f>(G507+H751)*'(Tables)'!G487+(G547+H791)*(1-'(Tables)'!G527-'(Tables)'!G649)</f>
        <v>0</v>
      </c>
      <c r="I547" s="295">
        <f>(H507+I751)*'(Tables)'!H487+(H547+I791)*(1-'(Tables)'!H527-'(Tables)'!H649)</f>
        <v>0</v>
      </c>
      <c r="J547" s="295">
        <f>(I507+J751)*'(Tables)'!I487+(I547+J791)*(1-'(Tables)'!I527-'(Tables)'!I649)</f>
        <v>0</v>
      </c>
      <c r="K547" s="295">
        <f>(J507+K751)*'(Tables)'!J487+(J547+K791)*(1-'(Tables)'!J527-'(Tables)'!J649)</f>
        <v>0</v>
      </c>
      <c r="L547" s="295">
        <f>(K507+L751)*'(Tables)'!K487+(K547+L791)*(1-'(Tables)'!K527-'(Tables)'!K649)</f>
        <v>0</v>
      </c>
      <c r="M547" s="295">
        <f>(L507+M751)*'(Tables)'!L487+(L547+M791)*(1-'(Tables)'!L527-'(Tables)'!L649)</f>
        <v>0</v>
      </c>
      <c r="N547" s="295">
        <f>(M507+N751)*'(Tables)'!M487+(M547+N791)*(1-'(Tables)'!M527-'(Tables)'!M649)</f>
        <v>0</v>
      </c>
      <c r="O547" s="295">
        <f>(N507+O751)*'(Tables)'!N487+(N547+O791)*(1-'(Tables)'!N527-'(Tables)'!N649)</f>
        <v>0</v>
      </c>
      <c r="P547" s="295">
        <f>(O507+P751)*'(Tables)'!O487+(O547+P791)*(1-'(Tables)'!O527-'(Tables)'!O649)</f>
        <v>0</v>
      </c>
      <c r="Q547" s="295">
        <f>(P507+Q751)*'(Tables)'!P487+(P547+Q791)*(1-'(Tables)'!P527-'(Tables)'!P649)</f>
        <v>0</v>
      </c>
      <c r="R547" s="295">
        <f>(Q507+R751)*'(Tables)'!Q487+(Q547+R791)*(1-'(Tables)'!Q527-'(Tables)'!Q649)</f>
        <v>0</v>
      </c>
      <c r="S547" s="295">
        <f>(R507+S751)*'(Tables)'!R487+(R547+S791)*(1-'(Tables)'!R527-'(Tables)'!R649)</f>
        <v>0</v>
      </c>
      <c r="T547" s="296">
        <f>(S507+T751)*'(Tables)'!S487+(S547+T791)*(1-'(Tables)'!S527-'(Tables)'!S649)</f>
        <v>0</v>
      </c>
    </row>
    <row r="548" spans="1:20" ht="12.75" hidden="1" customHeight="1" outlineLevel="2" x14ac:dyDescent="0.2">
      <c r="A548" s="198" t="str">
        <f>"            "&amp;Labels!C316</f>
        <v xml:space="preserve">            Total</v>
      </c>
      <c r="B548" s="258">
        <f t="shared" ref="B548:T548" si="287">SUM(B546:B547)</f>
        <v>0</v>
      </c>
      <c r="C548" s="258">
        <f t="shared" si="287"/>
        <v>0</v>
      </c>
      <c r="D548" s="258">
        <f t="shared" si="287"/>
        <v>0</v>
      </c>
      <c r="E548" s="258">
        <f t="shared" si="287"/>
        <v>0</v>
      </c>
      <c r="F548" s="258">
        <f t="shared" si="287"/>
        <v>0</v>
      </c>
      <c r="G548" s="258">
        <f t="shared" si="287"/>
        <v>0</v>
      </c>
      <c r="H548" s="258">
        <f t="shared" si="287"/>
        <v>0</v>
      </c>
      <c r="I548" s="258">
        <f t="shared" si="287"/>
        <v>0</v>
      </c>
      <c r="J548" s="258">
        <f t="shared" si="287"/>
        <v>0</v>
      </c>
      <c r="K548" s="258">
        <f t="shared" si="287"/>
        <v>0</v>
      </c>
      <c r="L548" s="258">
        <f t="shared" si="287"/>
        <v>0</v>
      </c>
      <c r="M548" s="258">
        <f t="shared" si="287"/>
        <v>0</v>
      </c>
      <c r="N548" s="258">
        <f t="shared" si="287"/>
        <v>0</v>
      </c>
      <c r="O548" s="258">
        <f t="shared" si="287"/>
        <v>0</v>
      </c>
      <c r="P548" s="258">
        <f t="shared" si="287"/>
        <v>0</v>
      </c>
      <c r="Q548" s="258">
        <f t="shared" si="287"/>
        <v>0</v>
      </c>
      <c r="R548" s="258">
        <f t="shared" si="287"/>
        <v>0</v>
      </c>
      <c r="S548" s="258">
        <f t="shared" si="287"/>
        <v>0</v>
      </c>
      <c r="T548" s="291">
        <f t="shared" si="287"/>
        <v>0</v>
      </c>
    </row>
    <row r="549" spans="1:20" ht="12.75" hidden="1" customHeight="1" outlineLevel="2" x14ac:dyDescent="0.2">
      <c r="A549" s="198" t="str">
        <f>"         "&amp;Labels!B386</f>
        <v xml:space="preserve">         Prof Level 2</v>
      </c>
      <c r="B549" s="258"/>
      <c r="C549" s="258"/>
      <c r="D549" s="258"/>
      <c r="E549" s="258"/>
      <c r="F549" s="258"/>
      <c r="G549" s="258"/>
      <c r="H549" s="258"/>
      <c r="I549" s="258"/>
      <c r="J549" s="258"/>
      <c r="K549" s="258"/>
      <c r="L549" s="258"/>
      <c r="M549" s="258"/>
      <c r="N549" s="258"/>
      <c r="O549" s="258"/>
      <c r="P549" s="258"/>
      <c r="Q549" s="258"/>
      <c r="R549" s="258"/>
      <c r="S549" s="258"/>
      <c r="T549" s="291"/>
    </row>
    <row r="550" spans="1:20" ht="12.75" hidden="1" customHeight="1" outlineLevel="2" x14ac:dyDescent="0.2">
      <c r="A550" s="198" t="str">
        <f>"            "&amp;Labels!B317</f>
        <v xml:space="preserve">            Channels 1</v>
      </c>
      <c r="B550" s="295">
        <f>Inputs!G58</f>
        <v>0</v>
      </c>
      <c r="C550" s="295">
        <f>(B510+C754)*'(Tables)'!B490+(B550+C794)*(1-'(Tables)'!B530-'(Tables)'!B652)</f>
        <v>0</v>
      </c>
      <c r="D550" s="295">
        <f>(C510+D754)*'(Tables)'!C490+(C550+D794)*(1-'(Tables)'!C530-'(Tables)'!C652)</f>
        <v>0</v>
      </c>
      <c r="E550" s="295">
        <f>(D510+E754)*'(Tables)'!D490+(D550+E794)*(1-'(Tables)'!D530-'(Tables)'!D652)</f>
        <v>0</v>
      </c>
      <c r="F550" s="295">
        <f>(E510+F754)*'(Tables)'!E490+(E550+F794)*(1-'(Tables)'!E530-'(Tables)'!E652)</f>
        <v>0</v>
      </c>
      <c r="G550" s="295">
        <f>(F510+G754)*'(Tables)'!F490+(F550+G794)*(1-'(Tables)'!F530-'(Tables)'!F652)</f>
        <v>0</v>
      </c>
      <c r="H550" s="295">
        <f>(G510+H754)*'(Tables)'!G490+(G550+H794)*(1-'(Tables)'!G530-'(Tables)'!G652)</f>
        <v>0</v>
      </c>
      <c r="I550" s="295">
        <f>(H510+I754)*'(Tables)'!H490+(H550+I794)*(1-'(Tables)'!H530-'(Tables)'!H652)</f>
        <v>0</v>
      </c>
      <c r="J550" s="295">
        <f>(I510+J754)*'(Tables)'!I490+(I550+J794)*(1-'(Tables)'!I530-'(Tables)'!I652)</f>
        <v>0</v>
      </c>
      <c r="K550" s="295">
        <f>(J510+K754)*'(Tables)'!J490+(J550+K794)*(1-'(Tables)'!J530-'(Tables)'!J652)</f>
        <v>0</v>
      </c>
      <c r="L550" s="295">
        <f>(K510+L754)*'(Tables)'!K490+(K550+L794)*(1-'(Tables)'!K530-'(Tables)'!K652)</f>
        <v>0</v>
      </c>
      <c r="M550" s="295">
        <f>(L510+M754)*'(Tables)'!L490+(L550+M794)*(1-'(Tables)'!L530-'(Tables)'!L652)</f>
        <v>0</v>
      </c>
      <c r="N550" s="295">
        <f>(M510+N754)*'(Tables)'!M490+(M550+N794)*(1-'(Tables)'!M530-'(Tables)'!M652)</f>
        <v>0</v>
      </c>
      <c r="O550" s="295">
        <f>(N510+O754)*'(Tables)'!N490+(N550+O794)*(1-'(Tables)'!N530-'(Tables)'!N652)</f>
        <v>0</v>
      </c>
      <c r="P550" s="295">
        <f>(O510+P754)*'(Tables)'!O490+(O550+P794)*(1-'(Tables)'!O530-'(Tables)'!O652)</f>
        <v>0</v>
      </c>
      <c r="Q550" s="295">
        <f>(P510+Q754)*'(Tables)'!P490+(P550+Q794)*(1-'(Tables)'!P530-'(Tables)'!P652)</f>
        <v>0</v>
      </c>
      <c r="R550" s="295">
        <f>(Q510+R754)*'(Tables)'!Q490+(Q550+R794)*(1-'(Tables)'!Q530-'(Tables)'!Q652)</f>
        <v>0</v>
      </c>
      <c r="S550" s="295">
        <f>(R510+S754)*'(Tables)'!R490+(R550+S794)*(1-'(Tables)'!R530-'(Tables)'!R652)</f>
        <v>0</v>
      </c>
      <c r="T550" s="296">
        <f>(S510+T754)*'(Tables)'!S490+(S550+T794)*(1-'(Tables)'!S530-'(Tables)'!S652)</f>
        <v>0</v>
      </c>
    </row>
    <row r="551" spans="1:20" ht="12.75" hidden="1" customHeight="1" outlineLevel="2" x14ac:dyDescent="0.2">
      <c r="A551" s="198" t="str">
        <f>"            "&amp;Labels!B318</f>
        <v xml:space="preserve">            Channels 2</v>
      </c>
      <c r="B551" s="295">
        <f>Inputs!G59</f>
        <v>0</v>
      </c>
      <c r="C551" s="295">
        <f>(B511+C755)*'(Tables)'!B491+(B551+C795)*(1-'(Tables)'!B531-'(Tables)'!B653)</f>
        <v>0</v>
      </c>
      <c r="D551" s="295">
        <f>(C511+D755)*'(Tables)'!C491+(C551+D795)*(1-'(Tables)'!C531-'(Tables)'!C653)</f>
        <v>0</v>
      </c>
      <c r="E551" s="295">
        <f>(D511+E755)*'(Tables)'!D491+(D551+E795)*(1-'(Tables)'!D531-'(Tables)'!D653)</f>
        <v>0</v>
      </c>
      <c r="F551" s="295">
        <f>(E511+F755)*'(Tables)'!E491+(E551+F795)*(1-'(Tables)'!E531-'(Tables)'!E653)</f>
        <v>0</v>
      </c>
      <c r="G551" s="295">
        <f>(F511+G755)*'(Tables)'!F491+(F551+G795)*(1-'(Tables)'!F531-'(Tables)'!F653)</f>
        <v>0</v>
      </c>
      <c r="H551" s="295">
        <f>(G511+H755)*'(Tables)'!G491+(G551+H795)*(1-'(Tables)'!G531-'(Tables)'!G653)</f>
        <v>0</v>
      </c>
      <c r="I551" s="295">
        <f>(H511+I755)*'(Tables)'!H491+(H551+I795)*(1-'(Tables)'!H531-'(Tables)'!H653)</f>
        <v>0</v>
      </c>
      <c r="J551" s="295">
        <f>(I511+J755)*'(Tables)'!I491+(I551+J795)*(1-'(Tables)'!I531-'(Tables)'!I653)</f>
        <v>0</v>
      </c>
      <c r="K551" s="295">
        <f>(J511+K755)*'(Tables)'!J491+(J551+K795)*(1-'(Tables)'!J531-'(Tables)'!J653)</f>
        <v>0</v>
      </c>
      <c r="L551" s="295">
        <f>(K511+L755)*'(Tables)'!K491+(K551+L795)*(1-'(Tables)'!K531-'(Tables)'!K653)</f>
        <v>0</v>
      </c>
      <c r="M551" s="295">
        <f>(L511+M755)*'(Tables)'!L491+(L551+M795)*(1-'(Tables)'!L531-'(Tables)'!L653)</f>
        <v>0</v>
      </c>
      <c r="N551" s="295">
        <f>(M511+N755)*'(Tables)'!M491+(M551+N795)*(1-'(Tables)'!M531-'(Tables)'!M653)</f>
        <v>0</v>
      </c>
      <c r="O551" s="295">
        <f>(N511+O755)*'(Tables)'!N491+(N551+O795)*(1-'(Tables)'!N531-'(Tables)'!N653)</f>
        <v>0</v>
      </c>
      <c r="P551" s="295">
        <f>(O511+P755)*'(Tables)'!O491+(O551+P795)*(1-'(Tables)'!O531-'(Tables)'!O653)</f>
        <v>0</v>
      </c>
      <c r="Q551" s="295">
        <f>(P511+Q755)*'(Tables)'!P491+(P551+Q795)*(1-'(Tables)'!P531-'(Tables)'!P653)</f>
        <v>0</v>
      </c>
      <c r="R551" s="295">
        <f>(Q511+R755)*'(Tables)'!Q491+(Q551+R795)*(1-'(Tables)'!Q531-'(Tables)'!Q653)</f>
        <v>0</v>
      </c>
      <c r="S551" s="295">
        <f>(R511+S755)*'(Tables)'!R491+(R551+S795)*(1-'(Tables)'!R531-'(Tables)'!R653)</f>
        <v>0</v>
      </c>
      <c r="T551" s="296">
        <f>(S511+T755)*'(Tables)'!S491+(S551+T795)*(1-'(Tables)'!S531-'(Tables)'!S653)</f>
        <v>0</v>
      </c>
    </row>
    <row r="552" spans="1:20" ht="12.75" hidden="1" customHeight="1" outlineLevel="2" x14ac:dyDescent="0.2">
      <c r="A552" s="198" t="str">
        <f>"            "&amp;Labels!C316</f>
        <v xml:space="preserve">            Total</v>
      </c>
      <c r="B552" s="258">
        <f t="shared" ref="B552:T552" si="288">SUM(B550:B551)</f>
        <v>0</v>
      </c>
      <c r="C552" s="258">
        <f t="shared" si="288"/>
        <v>0</v>
      </c>
      <c r="D552" s="258">
        <f t="shared" si="288"/>
        <v>0</v>
      </c>
      <c r="E552" s="258">
        <f t="shared" si="288"/>
        <v>0</v>
      </c>
      <c r="F552" s="258">
        <f t="shared" si="288"/>
        <v>0</v>
      </c>
      <c r="G552" s="258">
        <f t="shared" si="288"/>
        <v>0</v>
      </c>
      <c r="H552" s="258">
        <f t="shared" si="288"/>
        <v>0</v>
      </c>
      <c r="I552" s="258">
        <f t="shared" si="288"/>
        <v>0</v>
      </c>
      <c r="J552" s="258">
        <f t="shared" si="288"/>
        <v>0</v>
      </c>
      <c r="K552" s="258">
        <f t="shared" si="288"/>
        <v>0</v>
      </c>
      <c r="L552" s="258">
        <f t="shared" si="288"/>
        <v>0</v>
      </c>
      <c r="M552" s="258">
        <f t="shared" si="288"/>
        <v>0</v>
      </c>
      <c r="N552" s="258">
        <f t="shared" si="288"/>
        <v>0</v>
      </c>
      <c r="O552" s="258">
        <f t="shared" si="288"/>
        <v>0</v>
      </c>
      <c r="P552" s="258">
        <f t="shared" si="288"/>
        <v>0</v>
      </c>
      <c r="Q552" s="258">
        <f t="shared" si="288"/>
        <v>0</v>
      </c>
      <c r="R552" s="258">
        <f t="shared" si="288"/>
        <v>0</v>
      </c>
      <c r="S552" s="258">
        <f t="shared" si="288"/>
        <v>0</v>
      </c>
      <c r="T552" s="291">
        <f t="shared" si="288"/>
        <v>0</v>
      </c>
    </row>
    <row r="553" spans="1:20" ht="12.75" hidden="1" customHeight="1" outlineLevel="2" x14ac:dyDescent="0.2">
      <c r="A553" s="198" t="str">
        <f>"         "&amp;Labels!C384</f>
        <v xml:space="preserve">         Total</v>
      </c>
      <c r="B553" s="258">
        <f t="shared" ref="B553:T553" si="289">SUM(B548,B552)</f>
        <v>0</v>
      </c>
      <c r="C553" s="258">
        <f t="shared" si="289"/>
        <v>0</v>
      </c>
      <c r="D553" s="258">
        <f t="shared" si="289"/>
        <v>0</v>
      </c>
      <c r="E553" s="258">
        <f t="shared" si="289"/>
        <v>0</v>
      </c>
      <c r="F553" s="258">
        <f t="shared" si="289"/>
        <v>0</v>
      </c>
      <c r="G553" s="258">
        <f t="shared" si="289"/>
        <v>0</v>
      </c>
      <c r="H553" s="258">
        <f t="shared" si="289"/>
        <v>0</v>
      </c>
      <c r="I553" s="258">
        <f t="shared" si="289"/>
        <v>0</v>
      </c>
      <c r="J553" s="258">
        <f t="shared" si="289"/>
        <v>0</v>
      </c>
      <c r="K553" s="258">
        <f t="shared" si="289"/>
        <v>0</v>
      </c>
      <c r="L553" s="258">
        <f t="shared" si="289"/>
        <v>0</v>
      </c>
      <c r="M553" s="258">
        <f t="shared" si="289"/>
        <v>0</v>
      </c>
      <c r="N553" s="258">
        <f t="shared" si="289"/>
        <v>0</v>
      </c>
      <c r="O553" s="258">
        <f t="shared" si="289"/>
        <v>0</v>
      </c>
      <c r="P553" s="258">
        <f t="shared" si="289"/>
        <v>0</v>
      </c>
      <c r="Q553" s="258">
        <f t="shared" si="289"/>
        <v>0</v>
      </c>
      <c r="R553" s="258">
        <f t="shared" si="289"/>
        <v>0</v>
      </c>
      <c r="S553" s="258">
        <f t="shared" si="289"/>
        <v>0</v>
      </c>
      <c r="T553" s="291">
        <f t="shared" si="289"/>
        <v>0</v>
      </c>
    </row>
    <row r="554" spans="1:20" ht="12.75" hidden="1" customHeight="1" outlineLevel="2" x14ac:dyDescent="0.2">
      <c r="A554" s="198" t="str">
        <f>"            "&amp;Labels!B317</f>
        <v xml:space="preserve">            Channels 1</v>
      </c>
      <c r="B554" s="295">
        <f t="shared" ref="B554:T554" si="290">SUM(B546,B550)</f>
        <v>0</v>
      </c>
      <c r="C554" s="295">
        <f t="shared" si="290"/>
        <v>0</v>
      </c>
      <c r="D554" s="295">
        <f t="shared" si="290"/>
        <v>0</v>
      </c>
      <c r="E554" s="295">
        <f t="shared" si="290"/>
        <v>0</v>
      </c>
      <c r="F554" s="295">
        <f t="shared" si="290"/>
        <v>0</v>
      </c>
      <c r="G554" s="295">
        <f t="shared" si="290"/>
        <v>0</v>
      </c>
      <c r="H554" s="295">
        <f t="shared" si="290"/>
        <v>0</v>
      </c>
      <c r="I554" s="295">
        <f t="shared" si="290"/>
        <v>0</v>
      </c>
      <c r="J554" s="295">
        <f t="shared" si="290"/>
        <v>0</v>
      </c>
      <c r="K554" s="295">
        <f t="shared" si="290"/>
        <v>0</v>
      </c>
      <c r="L554" s="295">
        <f t="shared" si="290"/>
        <v>0</v>
      </c>
      <c r="M554" s="295">
        <f t="shared" si="290"/>
        <v>0</v>
      </c>
      <c r="N554" s="295">
        <f t="shared" si="290"/>
        <v>0</v>
      </c>
      <c r="O554" s="295">
        <f t="shared" si="290"/>
        <v>0</v>
      </c>
      <c r="P554" s="295">
        <f t="shared" si="290"/>
        <v>0</v>
      </c>
      <c r="Q554" s="295">
        <f t="shared" si="290"/>
        <v>0</v>
      </c>
      <c r="R554" s="295">
        <f t="shared" si="290"/>
        <v>0</v>
      </c>
      <c r="S554" s="295">
        <f t="shared" si="290"/>
        <v>0</v>
      </c>
      <c r="T554" s="296">
        <f t="shared" si="290"/>
        <v>0</v>
      </c>
    </row>
    <row r="555" spans="1:20" ht="12.75" hidden="1" customHeight="1" outlineLevel="2" x14ac:dyDescent="0.2">
      <c r="A555" s="198" t="str">
        <f>"            "&amp;Labels!B318</f>
        <v xml:space="preserve">            Channels 2</v>
      </c>
      <c r="B555" s="295">
        <f t="shared" ref="B555:T555" si="291">SUM(B547,B551)</f>
        <v>0</v>
      </c>
      <c r="C555" s="295">
        <f t="shared" si="291"/>
        <v>0</v>
      </c>
      <c r="D555" s="295">
        <f t="shared" si="291"/>
        <v>0</v>
      </c>
      <c r="E555" s="295">
        <f t="shared" si="291"/>
        <v>0</v>
      </c>
      <c r="F555" s="295">
        <f t="shared" si="291"/>
        <v>0</v>
      </c>
      <c r="G555" s="295">
        <f t="shared" si="291"/>
        <v>0</v>
      </c>
      <c r="H555" s="295">
        <f t="shared" si="291"/>
        <v>0</v>
      </c>
      <c r="I555" s="295">
        <f t="shared" si="291"/>
        <v>0</v>
      </c>
      <c r="J555" s="295">
        <f t="shared" si="291"/>
        <v>0</v>
      </c>
      <c r="K555" s="295">
        <f t="shared" si="291"/>
        <v>0</v>
      </c>
      <c r="L555" s="295">
        <f t="shared" si="291"/>
        <v>0</v>
      </c>
      <c r="M555" s="295">
        <f t="shared" si="291"/>
        <v>0</v>
      </c>
      <c r="N555" s="295">
        <f t="shared" si="291"/>
        <v>0</v>
      </c>
      <c r="O555" s="295">
        <f t="shared" si="291"/>
        <v>0</v>
      </c>
      <c r="P555" s="295">
        <f t="shared" si="291"/>
        <v>0</v>
      </c>
      <c r="Q555" s="295">
        <f t="shared" si="291"/>
        <v>0</v>
      </c>
      <c r="R555" s="295">
        <f t="shared" si="291"/>
        <v>0</v>
      </c>
      <c r="S555" s="295">
        <f t="shared" si="291"/>
        <v>0</v>
      </c>
      <c r="T555" s="296">
        <f t="shared" si="291"/>
        <v>0</v>
      </c>
    </row>
    <row r="556" spans="1:20" ht="12.75" hidden="1" customHeight="1" outlineLevel="2" x14ac:dyDescent="0.2">
      <c r="A556" s="198" t="str">
        <f>"            "&amp;Labels!C316</f>
        <v xml:space="preserve">            Total</v>
      </c>
      <c r="B556" s="258">
        <f t="shared" ref="B556:T556" si="292">SUM(B548,B552)</f>
        <v>0</v>
      </c>
      <c r="C556" s="258">
        <f t="shared" si="292"/>
        <v>0</v>
      </c>
      <c r="D556" s="258">
        <f t="shared" si="292"/>
        <v>0</v>
      </c>
      <c r="E556" s="258">
        <f t="shared" si="292"/>
        <v>0</v>
      </c>
      <c r="F556" s="258">
        <f t="shared" si="292"/>
        <v>0</v>
      </c>
      <c r="G556" s="258">
        <f t="shared" si="292"/>
        <v>0</v>
      </c>
      <c r="H556" s="258">
        <f t="shared" si="292"/>
        <v>0</v>
      </c>
      <c r="I556" s="258">
        <f t="shared" si="292"/>
        <v>0</v>
      </c>
      <c r="J556" s="258">
        <f t="shared" si="292"/>
        <v>0</v>
      </c>
      <c r="K556" s="258">
        <f t="shared" si="292"/>
        <v>0</v>
      </c>
      <c r="L556" s="258">
        <f t="shared" si="292"/>
        <v>0</v>
      </c>
      <c r="M556" s="258">
        <f t="shared" si="292"/>
        <v>0</v>
      </c>
      <c r="N556" s="258">
        <f t="shared" si="292"/>
        <v>0</v>
      </c>
      <c r="O556" s="258">
        <f t="shared" si="292"/>
        <v>0</v>
      </c>
      <c r="P556" s="258">
        <f t="shared" si="292"/>
        <v>0</v>
      </c>
      <c r="Q556" s="258">
        <f t="shared" si="292"/>
        <v>0</v>
      </c>
      <c r="R556" s="258">
        <f t="shared" si="292"/>
        <v>0</v>
      </c>
      <c r="S556" s="258">
        <f t="shared" si="292"/>
        <v>0</v>
      </c>
      <c r="T556" s="291">
        <f t="shared" si="292"/>
        <v>0</v>
      </c>
    </row>
    <row r="557" spans="1:20" ht="12.75" hidden="1" customHeight="1" outlineLevel="2" x14ac:dyDescent="0.2">
      <c r="A557" s="198" t="str">
        <f>"      "&amp;Labels!B382</f>
        <v xml:space="preserve">      Practice 2</v>
      </c>
      <c r="B557" s="258"/>
      <c r="C557" s="258"/>
      <c r="D557" s="258"/>
      <c r="E557" s="258"/>
      <c r="F557" s="258"/>
      <c r="G557" s="258"/>
      <c r="H557" s="258"/>
      <c r="I557" s="258"/>
      <c r="J557" s="258"/>
      <c r="K557" s="258"/>
      <c r="L557" s="258"/>
      <c r="M557" s="258"/>
      <c r="N557" s="258"/>
      <c r="O557" s="258"/>
      <c r="P557" s="258"/>
      <c r="Q557" s="258"/>
      <c r="R557" s="258"/>
      <c r="S557" s="258"/>
      <c r="T557" s="291"/>
    </row>
    <row r="558" spans="1:20" ht="12.75" hidden="1" customHeight="1" outlineLevel="2" x14ac:dyDescent="0.2">
      <c r="A558" s="198" t="str">
        <f>"         "&amp;Labels!B385</f>
        <v xml:space="preserve">         Prof Level 1</v>
      </c>
      <c r="B558" s="258"/>
      <c r="C558" s="258"/>
      <c r="D558" s="258"/>
      <c r="E558" s="258"/>
      <c r="F558" s="258"/>
      <c r="G558" s="258"/>
      <c r="H558" s="258"/>
      <c r="I558" s="258"/>
      <c r="J558" s="258"/>
      <c r="K558" s="258"/>
      <c r="L558" s="258"/>
      <c r="M558" s="258"/>
      <c r="N558" s="258"/>
      <c r="O558" s="258"/>
      <c r="P558" s="258"/>
      <c r="Q558" s="258"/>
      <c r="R558" s="258"/>
      <c r="S558" s="258"/>
      <c r="T558" s="291"/>
    </row>
    <row r="559" spans="1:20" ht="12.75" hidden="1" customHeight="1" outlineLevel="2" x14ac:dyDescent="0.2">
      <c r="A559" s="198" t="str">
        <f>"            "&amp;Labels!B317</f>
        <v xml:space="preserve">            Channels 1</v>
      </c>
      <c r="B559" s="295">
        <f>Inputs!G60</f>
        <v>0</v>
      </c>
      <c r="C559" s="295">
        <f>(B519+C763)*'(Tables)'!B499+(B559+C803)*(1-'(Tables)'!B539-'(Tables)'!B661)</f>
        <v>0</v>
      </c>
      <c r="D559" s="295">
        <f>(C519+D763)*'(Tables)'!C499+(C559+D803)*(1-'(Tables)'!C539-'(Tables)'!C661)</f>
        <v>0</v>
      </c>
      <c r="E559" s="295">
        <f>(D519+E763)*'(Tables)'!D499+(D559+E803)*(1-'(Tables)'!D539-'(Tables)'!D661)</f>
        <v>0</v>
      </c>
      <c r="F559" s="295">
        <f>(E519+F763)*'(Tables)'!E499+(E559+F803)*(1-'(Tables)'!E539-'(Tables)'!E661)</f>
        <v>0</v>
      </c>
      <c r="G559" s="295">
        <f>(F519+G763)*'(Tables)'!F499+(F559+G803)*(1-'(Tables)'!F539-'(Tables)'!F661)</f>
        <v>0</v>
      </c>
      <c r="H559" s="295">
        <f>(G519+H763)*'(Tables)'!G499+(G559+H803)*(1-'(Tables)'!G539-'(Tables)'!G661)</f>
        <v>0</v>
      </c>
      <c r="I559" s="295">
        <f>(H519+I763)*'(Tables)'!H499+(H559+I803)*(1-'(Tables)'!H539-'(Tables)'!H661)</f>
        <v>0</v>
      </c>
      <c r="J559" s="295">
        <f>(I519+J763)*'(Tables)'!I499+(I559+J803)*(1-'(Tables)'!I539-'(Tables)'!I661)</f>
        <v>0</v>
      </c>
      <c r="K559" s="295">
        <f>(J519+K763)*'(Tables)'!J499+(J559+K803)*(1-'(Tables)'!J539-'(Tables)'!J661)</f>
        <v>0</v>
      </c>
      <c r="L559" s="295">
        <f>(K519+L763)*'(Tables)'!K499+(K559+L803)*(1-'(Tables)'!K539-'(Tables)'!K661)</f>
        <v>0</v>
      </c>
      <c r="M559" s="295">
        <f>(L519+M763)*'(Tables)'!L499+(L559+M803)*(1-'(Tables)'!L539-'(Tables)'!L661)</f>
        <v>0</v>
      </c>
      <c r="N559" s="295">
        <f>(M519+N763)*'(Tables)'!M499+(M559+N803)*(1-'(Tables)'!M539-'(Tables)'!M661)</f>
        <v>0</v>
      </c>
      <c r="O559" s="295">
        <f>(N519+O763)*'(Tables)'!N499+(N559+O803)*(1-'(Tables)'!N539-'(Tables)'!N661)</f>
        <v>0</v>
      </c>
      <c r="P559" s="295">
        <f>(O519+P763)*'(Tables)'!O499+(O559+P803)*(1-'(Tables)'!O539-'(Tables)'!O661)</f>
        <v>0</v>
      </c>
      <c r="Q559" s="295">
        <f>(P519+Q763)*'(Tables)'!P499+(P559+Q803)*(1-'(Tables)'!P539-'(Tables)'!P661)</f>
        <v>0</v>
      </c>
      <c r="R559" s="295">
        <f>(Q519+R763)*'(Tables)'!Q499+(Q559+R803)*(1-'(Tables)'!Q539-'(Tables)'!Q661)</f>
        <v>0</v>
      </c>
      <c r="S559" s="295">
        <f>(R519+S763)*'(Tables)'!R499+(R559+S803)*(1-'(Tables)'!R539-'(Tables)'!R661)</f>
        <v>0</v>
      </c>
      <c r="T559" s="296">
        <f>(S519+T763)*'(Tables)'!S499+(S559+T803)*(1-'(Tables)'!S539-'(Tables)'!S661)</f>
        <v>0</v>
      </c>
    </row>
    <row r="560" spans="1:20" ht="12.75" hidden="1" customHeight="1" outlineLevel="2" x14ac:dyDescent="0.2">
      <c r="A560" s="198" t="str">
        <f>"            "&amp;Labels!B318</f>
        <v xml:space="preserve">            Channels 2</v>
      </c>
      <c r="B560" s="295">
        <f>Inputs!G61</f>
        <v>0</v>
      </c>
      <c r="C560" s="295">
        <f>(B520+C764)*'(Tables)'!B500+(B560+C804)*(1-'(Tables)'!B540-'(Tables)'!B662)</f>
        <v>0</v>
      </c>
      <c r="D560" s="295">
        <f>(C520+D764)*'(Tables)'!C500+(C560+D804)*(1-'(Tables)'!C540-'(Tables)'!C662)</f>
        <v>0</v>
      </c>
      <c r="E560" s="295">
        <f>(D520+E764)*'(Tables)'!D500+(D560+E804)*(1-'(Tables)'!D540-'(Tables)'!D662)</f>
        <v>0</v>
      </c>
      <c r="F560" s="295">
        <f>(E520+F764)*'(Tables)'!E500+(E560+F804)*(1-'(Tables)'!E540-'(Tables)'!E662)</f>
        <v>0</v>
      </c>
      <c r="G560" s="295">
        <f>(F520+G764)*'(Tables)'!F500+(F560+G804)*(1-'(Tables)'!F540-'(Tables)'!F662)</f>
        <v>0</v>
      </c>
      <c r="H560" s="295">
        <f>(G520+H764)*'(Tables)'!G500+(G560+H804)*(1-'(Tables)'!G540-'(Tables)'!G662)</f>
        <v>0</v>
      </c>
      <c r="I560" s="295">
        <f>(H520+I764)*'(Tables)'!H500+(H560+I804)*(1-'(Tables)'!H540-'(Tables)'!H662)</f>
        <v>0</v>
      </c>
      <c r="J560" s="295">
        <f>(I520+J764)*'(Tables)'!I500+(I560+J804)*(1-'(Tables)'!I540-'(Tables)'!I662)</f>
        <v>0</v>
      </c>
      <c r="K560" s="295">
        <f>(J520+K764)*'(Tables)'!J500+(J560+K804)*(1-'(Tables)'!J540-'(Tables)'!J662)</f>
        <v>0</v>
      </c>
      <c r="L560" s="295">
        <f>(K520+L764)*'(Tables)'!K500+(K560+L804)*(1-'(Tables)'!K540-'(Tables)'!K662)</f>
        <v>0</v>
      </c>
      <c r="M560" s="295">
        <f>(L520+M764)*'(Tables)'!L500+(L560+M804)*(1-'(Tables)'!L540-'(Tables)'!L662)</f>
        <v>0</v>
      </c>
      <c r="N560" s="295">
        <f>(M520+N764)*'(Tables)'!M500+(M560+N804)*(1-'(Tables)'!M540-'(Tables)'!M662)</f>
        <v>0</v>
      </c>
      <c r="O560" s="295">
        <f>(N520+O764)*'(Tables)'!N500+(N560+O804)*(1-'(Tables)'!N540-'(Tables)'!N662)</f>
        <v>0</v>
      </c>
      <c r="P560" s="295">
        <f>(O520+P764)*'(Tables)'!O500+(O560+P804)*(1-'(Tables)'!O540-'(Tables)'!O662)</f>
        <v>0</v>
      </c>
      <c r="Q560" s="295">
        <f>(P520+Q764)*'(Tables)'!P500+(P560+Q804)*(1-'(Tables)'!P540-'(Tables)'!P662)</f>
        <v>0</v>
      </c>
      <c r="R560" s="295">
        <f>(Q520+R764)*'(Tables)'!Q500+(Q560+R804)*(1-'(Tables)'!Q540-'(Tables)'!Q662)</f>
        <v>0</v>
      </c>
      <c r="S560" s="295">
        <f>(R520+S764)*'(Tables)'!R500+(R560+S804)*(1-'(Tables)'!R540-'(Tables)'!R662)</f>
        <v>0</v>
      </c>
      <c r="T560" s="296">
        <f>(S520+T764)*'(Tables)'!S500+(S560+T804)*(1-'(Tables)'!S540-'(Tables)'!S662)</f>
        <v>0</v>
      </c>
    </row>
    <row r="561" spans="1:20" ht="12.75" hidden="1" customHeight="1" outlineLevel="2" x14ac:dyDescent="0.2">
      <c r="A561" s="198" t="str">
        <f>"            "&amp;Labels!C316</f>
        <v xml:space="preserve">            Total</v>
      </c>
      <c r="B561" s="258">
        <f t="shared" ref="B561:T561" si="293">SUM(B559:B560)</f>
        <v>0</v>
      </c>
      <c r="C561" s="258">
        <f t="shared" si="293"/>
        <v>0</v>
      </c>
      <c r="D561" s="258">
        <f t="shared" si="293"/>
        <v>0</v>
      </c>
      <c r="E561" s="258">
        <f t="shared" si="293"/>
        <v>0</v>
      </c>
      <c r="F561" s="258">
        <f t="shared" si="293"/>
        <v>0</v>
      </c>
      <c r="G561" s="258">
        <f t="shared" si="293"/>
        <v>0</v>
      </c>
      <c r="H561" s="258">
        <f t="shared" si="293"/>
        <v>0</v>
      </c>
      <c r="I561" s="258">
        <f t="shared" si="293"/>
        <v>0</v>
      </c>
      <c r="J561" s="258">
        <f t="shared" si="293"/>
        <v>0</v>
      </c>
      <c r="K561" s="258">
        <f t="shared" si="293"/>
        <v>0</v>
      </c>
      <c r="L561" s="258">
        <f t="shared" si="293"/>
        <v>0</v>
      </c>
      <c r="M561" s="258">
        <f t="shared" si="293"/>
        <v>0</v>
      </c>
      <c r="N561" s="258">
        <f t="shared" si="293"/>
        <v>0</v>
      </c>
      <c r="O561" s="258">
        <f t="shared" si="293"/>
        <v>0</v>
      </c>
      <c r="P561" s="258">
        <f t="shared" si="293"/>
        <v>0</v>
      </c>
      <c r="Q561" s="258">
        <f t="shared" si="293"/>
        <v>0</v>
      </c>
      <c r="R561" s="258">
        <f t="shared" si="293"/>
        <v>0</v>
      </c>
      <c r="S561" s="258">
        <f t="shared" si="293"/>
        <v>0</v>
      </c>
      <c r="T561" s="291">
        <f t="shared" si="293"/>
        <v>0</v>
      </c>
    </row>
    <row r="562" spans="1:20" ht="12.75" hidden="1" customHeight="1" outlineLevel="2" x14ac:dyDescent="0.2">
      <c r="A562" s="198" t="str">
        <f>"         "&amp;Labels!B386</f>
        <v xml:space="preserve">         Prof Level 2</v>
      </c>
      <c r="B562" s="258"/>
      <c r="C562" s="258"/>
      <c r="D562" s="258"/>
      <c r="E562" s="258"/>
      <c r="F562" s="258"/>
      <c r="G562" s="258"/>
      <c r="H562" s="258"/>
      <c r="I562" s="258"/>
      <c r="J562" s="258"/>
      <c r="K562" s="258"/>
      <c r="L562" s="258"/>
      <c r="M562" s="258"/>
      <c r="N562" s="258"/>
      <c r="O562" s="258"/>
      <c r="P562" s="258"/>
      <c r="Q562" s="258"/>
      <c r="R562" s="258"/>
      <c r="S562" s="258"/>
      <c r="T562" s="291"/>
    </row>
    <row r="563" spans="1:20" ht="12.75" hidden="1" customHeight="1" outlineLevel="2" x14ac:dyDescent="0.2">
      <c r="A563" s="198" t="str">
        <f>"            "&amp;Labels!B317</f>
        <v xml:space="preserve">            Channels 1</v>
      </c>
      <c r="B563" s="295">
        <f>Inputs!G62</f>
        <v>0</v>
      </c>
      <c r="C563" s="295">
        <f>(B523+C767)*'(Tables)'!B503+(B563+C807)*(1-'(Tables)'!B543-'(Tables)'!B665)</f>
        <v>0</v>
      </c>
      <c r="D563" s="295">
        <f>(C523+D767)*'(Tables)'!C503+(C563+D807)*(1-'(Tables)'!C543-'(Tables)'!C665)</f>
        <v>0</v>
      </c>
      <c r="E563" s="295">
        <f>(D523+E767)*'(Tables)'!D503+(D563+E807)*(1-'(Tables)'!D543-'(Tables)'!D665)</f>
        <v>0</v>
      </c>
      <c r="F563" s="295">
        <f>(E523+F767)*'(Tables)'!E503+(E563+F807)*(1-'(Tables)'!E543-'(Tables)'!E665)</f>
        <v>0</v>
      </c>
      <c r="G563" s="295">
        <f>(F523+G767)*'(Tables)'!F503+(F563+G807)*(1-'(Tables)'!F543-'(Tables)'!F665)</f>
        <v>0</v>
      </c>
      <c r="H563" s="295">
        <f>(G523+H767)*'(Tables)'!G503+(G563+H807)*(1-'(Tables)'!G543-'(Tables)'!G665)</f>
        <v>0</v>
      </c>
      <c r="I563" s="295">
        <f>(H523+I767)*'(Tables)'!H503+(H563+I807)*(1-'(Tables)'!H543-'(Tables)'!H665)</f>
        <v>0</v>
      </c>
      <c r="J563" s="295">
        <f>(I523+J767)*'(Tables)'!I503+(I563+J807)*(1-'(Tables)'!I543-'(Tables)'!I665)</f>
        <v>0</v>
      </c>
      <c r="K563" s="295">
        <f>(J523+K767)*'(Tables)'!J503+(J563+K807)*(1-'(Tables)'!J543-'(Tables)'!J665)</f>
        <v>0</v>
      </c>
      <c r="L563" s="295">
        <f>(K523+L767)*'(Tables)'!K503+(K563+L807)*(1-'(Tables)'!K543-'(Tables)'!K665)</f>
        <v>0</v>
      </c>
      <c r="M563" s="295">
        <f>(L523+M767)*'(Tables)'!L503+(L563+M807)*(1-'(Tables)'!L543-'(Tables)'!L665)</f>
        <v>0</v>
      </c>
      <c r="N563" s="295">
        <f>(M523+N767)*'(Tables)'!M503+(M563+N807)*(1-'(Tables)'!M543-'(Tables)'!M665)</f>
        <v>0</v>
      </c>
      <c r="O563" s="295">
        <f>(N523+O767)*'(Tables)'!N503+(N563+O807)*(1-'(Tables)'!N543-'(Tables)'!N665)</f>
        <v>0</v>
      </c>
      <c r="P563" s="295">
        <f>(O523+P767)*'(Tables)'!O503+(O563+P807)*(1-'(Tables)'!O543-'(Tables)'!O665)</f>
        <v>0</v>
      </c>
      <c r="Q563" s="295">
        <f>(P523+Q767)*'(Tables)'!P503+(P563+Q807)*(1-'(Tables)'!P543-'(Tables)'!P665)</f>
        <v>0</v>
      </c>
      <c r="R563" s="295">
        <f>(Q523+R767)*'(Tables)'!Q503+(Q563+R807)*(1-'(Tables)'!Q543-'(Tables)'!Q665)</f>
        <v>0</v>
      </c>
      <c r="S563" s="295">
        <f>(R523+S767)*'(Tables)'!R503+(R563+S807)*(1-'(Tables)'!R543-'(Tables)'!R665)</f>
        <v>0</v>
      </c>
      <c r="T563" s="296">
        <f>(S523+T767)*'(Tables)'!S503+(S563+T807)*(1-'(Tables)'!S543-'(Tables)'!S665)</f>
        <v>0</v>
      </c>
    </row>
    <row r="564" spans="1:20" ht="12.75" hidden="1" customHeight="1" outlineLevel="2" x14ac:dyDescent="0.2">
      <c r="A564" s="198" t="str">
        <f>"            "&amp;Labels!B318</f>
        <v xml:space="preserve">            Channels 2</v>
      </c>
      <c r="B564" s="295">
        <f>Inputs!G63</f>
        <v>0</v>
      </c>
      <c r="C564" s="295">
        <f>(B524+C768)*'(Tables)'!B504+(B564+C808)*(1-'(Tables)'!B544-'(Tables)'!B666)</f>
        <v>0</v>
      </c>
      <c r="D564" s="295">
        <f>(C524+D768)*'(Tables)'!C504+(C564+D808)*(1-'(Tables)'!C544-'(Tables)'!C666)</f>
        <v>0</v>
      </c>
      <c r="E564" s="295">
        <f>(D524+E768)*'(Tables)'!D504+(D564+E808)*(1-'(Tables)'!D544-'(Tables)'!D666)</f>
        <v>0</v>
      </c>
      <c r="F564" s="295">
        <f>(E524+F768)*'(Tables)'!E504+(E564+F808)*(1-'(Tables)'!E544-'(Tables)'!E666)</f>
        <v>0</v>
      </c>
      <c r="G564" s="295">
        <f>(F524+G768)*'(Tables)'!F504+(F564+G808)*(1-'(Tables)'!F544-'(Tables)'!F666)</f>
        <v>0</v>
      </c>
      <c r="H564" s="295">
        <f>(G524+H768)*'(Tables)'!G504+(G564+H808)*(1-'(Tables)'!G544-'(Tables)'!G666)</f>
        <v>0</v>
      </c>
      <c r="I564" s="295">
        <f>(H524+I768)*'(Tables)'!H504+(H564+I808)*(1-'(Tables)'!H544-'(Tables)'!H666)</f>
        <v>0</v>
      </c>
      <c r="J564" s="295">
        <f>(I524+J768)*'(Tables)'!I504+(I564+J808)*(1-'(Tables)'!I544-'(Tables)'!I666)</f>
        <v>0</v>
      </c>
      <c r="K564" s="295">
        <f>(J524+K768)*'(Tables)'!J504+(J564+K808)*(1-'(Tables)'!J544-'(Tables)'!J666)</f>
        <v>0</v>
      </c>
      <c r="L564" s="295">
        <f>(K524+L768)*'(Tables)'!K504+(K564+L808)*(1-'(Tables)'!K544-'(Tables)'!K666)</f>
        <v>0</v>
      </c>
      <c r="M564" s="295">
        <f>(L524+M768)*'(Tables)'!L504+(L564+M808)*(1-'(Tables)'!L544-'(Tables)'!L666)</f>
        <v>0</v>
      </c>
      <c r="N564" s="295">
        <f>(M524+N768)*'(Tables)'!M504+(M564+N808)*(1-'(Tables)'!M544-'(Tables)'!M666)</f>
        <v>0</v>
      </c>
      <c r="O564" s="295">
        <f>(N524+O768)*'(Tables)'!N504+(N564+O808)*(1-'(Tables)'!N544-'(Tables)'!N666)</f>
        <v>0</v>
      </c>
      <c r="P564" s="295">
        <f>(O524+P768)*'(Tables)'!O504+(O564+P808)*(1-'(Tables)'!O544-'(Tables)'!O666)</f>
        <v>0</v>
      </c>
      <c r="Q564" s="295">
        <f>(P524+Q768)*'(Tables)'!P504+(P564+Q808)*(1-'(Tables)'!P544-'(Tables)'!P666)</f>
        <v>0</v>
      </c>
      <c r="R564" s="295">
        <f>(Q524+R768)*'(Tables)'!Q504+(Q564+R808)*(1-'(Tables)'!Q544-'(Tables)'!Q666)</f>
        <v>0</v>
      </c>
      <c r="S564" s="295">
        <f>(R524+S768)*'(Tables)'!R504+(R564+S808)*(1-'(Tables)'!R544-'(Tables)'!R666)</f>
        <v>0</v>
      </c>
      <c r="T564" s="296">
        <f>(S524+T768)*'(Tables)'!S504+(S564+T808)*(1-'(Tables)'!S544-'(Tables)'!S666)</f>
        <v>0</v>
      </c>
    </row>
    <row r="565" spans="1:20" ht="12.75" hidden="1" customHeight="1" outlineLevel="2" x14ac:dyDescent="0.2">
      <c r="A565" s="198" t="str">
        <f>"            "&amp;Labels!C316</f>
        <v xml:space="preserve">            Total</v>
      </c>
      <c r="B565" s="258">
        <f t="shared" ref="B565:T565" si="294">SUM(B563:B564)</f>
        <v>0</v>
      </c>
      <c r="C565" s="258">
        <f t="shared" si="294"/>
        <v>0</v>
      </c>
      <c r="D565" s="258">
        <f t="shared" si="294"/>
        <v>0</v>
      </c>
      <c r="E565" s="258">
        <f t="shared" si="294"/>
        <v>0</v>
      </c>
      <c r="F565" s="258">
        <f t="shared" si="294"/>
        <v>0</v>
      </c>
      <c r="G565" s="258">
        <f t="shared" si="294"/>
        <v>0</v>
      </c>
      <c r="H565" s="258">
        <f t="shared" si="294"/>
        <v>0</v>
      </c>
      <c r="I565" s="258">
        <f t="shared" si="294"/>
        <v>0</v>
      </c>
      <c r="J565" s="258">
        <f t="shared" si="294"/>
        <v>0</v>
      </c>
      <c r="K565" s="258">
        <f t="shared" si="294"/>
        <v>0</v>
      </c>
      <c r="L565" s="258">
        <f t="shared" si="294"/>
        <v>0</v>
      </c>
      <c r="M565" s="258">
        <f t="shared" si="294"/>
        <v>0</v>
      </c>
      <c r="N565" s="258">
        <f t="shared" si="294"/>
        <v>0</v>
      </c>
      <c r="O565" s="258">
        <f t="shared" si="294"/>
        <v>0</v>
      </c>
      <c r="P565" s="258">
        <f t="shared" si="294"/>
        <v>0</v>
      </c>
      <c r="Q565" s="258">
        <f t="shared" si="294"/>
        <v>0</v>
      </c>
      <c r="R565" s="258">
        <f t="shared" si="294"/>
        <v>0</v>
      </c>
      <c r="S565" s="258">
        <f t="shared" si="294"/>
        <v>0</v>
      </c>
      <c r="T565" s="291">
        <f t="shared" si="294"/>
        <v>0</v>
      </c>
    </row>
    <row r="566" spans="1:20" ht="12.75" hidden="1" customHeight="1" outlineLevel="2" x14ac:dyDescent="0.2">
      <c r="A566" s="198" t="str">
        <f>"         "&amp;Labels!C384</f>
        <v xml:space="preserve">         Total</v>
      </c>
      <c r="B566" s="258">
        <f t="shared" ref="B566:T566" si="295">SUM(B561,B565)</f>
        <v>0</v>
      </c>
      <c r="C566" s="258">
        <f t="shared" si="295"/>
        <v>0</v>
      </c>
      <c r="D566" s="258">
        <f t="shared" si="295"/>
        <v>0</v>
      </c>
      <c r="E566" s="258">
        <f t="shared" si="295"/>
        <v>0</v>
      </c>
      <c r="F566" s="258">
        <f t="shared" si="295"/>
        <v>0</v>
      </c>
      <c r="G566" s="258">
        <f t="shared" si="295"/>
        <v>0</v>
      </c>
      <c r="H566" s="258">
        <f t="shared" si="295"/>
        <v>0</v>
      </c>
      <c r="I566" s="258">
        <f t="shared" si="295"/>
        <v>0</v>
      </c>
      <c r="J566" s="258">
        <f t="shared" si="295"/>
        <v>0</v>
      </c>
      <c r="K566" s="258">
        <f t="shared" si="295"/>
        <v>0</v>
      </c>
      <c r="L566" s="258">
        <f t="shared" si="295"/>
        <v>0</v>
      </c>
      <c r="M566" s="258">
        <f t="shared" si="295"/>
        <v>0</v>
      </c>
      <c r="N566" s="258">
        <f t="shared" si="295"/>
        <v>0</v>
      </c>
      <c r="O566" s="258">
        <f t="shared" si="295"/>
        <v>0</v>
      </c>
      <c r="P566" s="258">
        <f t="shared" si="295"/>
        <v>0</v>
      </c>
      <c r="Q566" s="258">
        <f t="shared" si="295"/>
        <v>0</v>
      </c>
      <c r="R566" s="258">
        <f t="shared" si="295"/>
        <v>0</v>
      </c>
      <c r="S566" s="258">
        <f t="shared" si="295"/>
        <v>0</v>
      </c>
      <c r="T566" s="291">
        <f t="shared" si="295"/>
        <v>0</v>
      </c>
    </row>
    <row r="567" spans="1:20" ht="12.75" hidden="1" customHeight="1" outlineLevel="2" x14ac:dyDescent="0.2">
      <c r="A567" s="198" t="str">
        <f>"            "&amp;Labels!B317</f>
        <v xml:space="preserve">            Channels 1</v>
      </c>
      <c r="B567" s="295">
        <f t="shared" ref="B567:T567" si="296">SUM(B559,B563)</f>
        <v>0</v>
      </c>
      <c r="C567" s="295">
        <f t="shared" si="296"/>
        <v>0</v>
      </c>
      <c r="D567" s="295">
        <f t="shared" si="296"/>
        <v>0</v>
      </c>
      <c r="E567" s="295">
        <f t="shared" si="296"/>
        <v>0</v>
      </c>
      <c r="F567" s="295">
        <f t="shared" si="296"/>
        <v>0</v>
      </c>
      <c r="G567" s="295">
        <f t="shared" si="296"/>
        <v>0</v>
      </c>
      <c r="H567" s="295">
        <f t="shared" si="296"/>
        <v>0</v>
      </c>
      <c r="I567" s="295">
        <f t="shared" si="296"/>
        <v>0</v>
      </c>
      <c r="J567" s="295">
        <f t="shared" si="296"/>
        <v>0</v>
      </c>
      <c r="K567" s="295">
        <f t="shared" si="296"/>
        <v>0</v>
      </c>
      <c r="L567" s="295">
        <f t="shared" si="296"/>
        <v>0</v>
      </c>
      <c r="M567" s="295">
        <f t="shared" si="296"/>
        <v>0</v>
      </c>
      <c r="N567" s="295">
        <f t="shared" si="296"/>
        <v>0</v>
      </c>
      <c r="O567" s="295">
        <f t="shared" si="296"/>
        <v>0</v>
      </c>
      <c r="P567" s="295">
        <f t="shared" si="296"/>
        <v>0</v>
      </c>
      <c r="Q567" s="295">
        <f t="shared" si="296"/>
        <v>0</v>
      </c>
      <c r="R567" s="295">
        <f t="shared" si="296"/>
        <v>0</v>
      </c>
      <c r="S567" s="295">
        <f t="shared" si="296"/>
        <v>0</v>
      </c>
      <c r="T567" s="296">
        <f t="shared" si="296"/>
        <v>0</v>
      </c>
    </row>
    <row r="568" spans="1:20" ht="12.75" hidden="1" customHeight="1" outlineLevel="2" x14ac:dyDescent="0.2">
      <c r="A568" s="198" t="str">
        <f>"            "&amp;Labels!B318</f>
        <v xml:space="preserve">            Channels 2</v>
      </c>
      <c r="B568" s="295">
        <f t="shared" ref="B568:T568" si="297">SUM(B560,B564)</f>
        <v>0</v>
      </c>
      <c r="C568" s="295">
        <f t="shared" si="297"/>
        <v>0</v>
      </c>
      <c r="D568" s="295">
        <f t="shared" si="297"/>
        <v>0</v>
      </c>
      <c r="E568" s="295">
        <f t="shared" si="297"/>
        <v>0</v>
      </c>
      <c r="F568" s="295">
        <f t="shared" si="297"/>
        <v>0</v>
      </c>
      <c r="G568" s="295">
        <f t="shared" si="297"/>
        <v>0</v>
      </c>
      <c r="H568" s="295">
        <f t="shared" si="297"/>
        <v>0</v>
      </c>
      <c r="I568" s="295">
        <f t="shared" si="297"/>
        <v>0</v>
      </c>
      <c r="J568" s="295">
        <f t="shared" si="297"/>
        <v>0</v>
      </c>
      <c r="K568" s="295">
        <f t="shared" si="297"/>
        <v>0</v>
      </c>
      <c r="L568" s="295">
        <f t="shared" si="297"/>
        <v>0</v>
      </c>
      <c r="M568" s="295">
        <f t="shared" si="297"/>
        <v>0</v>
      </c>
      <c r="N568" s="295">
        <f t="shared" si="297"/>
        <v>0</v>
      </c>
      <c r="O568" s="295">
        <f t="shared" si="297"/>
        <v>0</v>
      </c>
      <c r="P568" s="295">
        <f t="shared" si="297"/>
        <v>0</v>
      </c>
      <c r="Q568" s="295">
        <f t="shared" si="297"/>
        <v>0</v>
      </c>
      <c r="R568" s="295">
        <f t="shared" si="297"/>
        <v>0</v>
      </c>
      <c r="S568" s="295">
        <f t="shared" si="297"/>
        <v>0</v>
      </c>
      <c r="T568" s="296">
        <f t="shared" si="297"/>
        <v>0</v>
      </c>
    </row>
    <row r="569" spans="1:20" ht="12.75" hidden="1" customHeight="1" outlineLevel="2" x14ac:dyDescent="0.2">
      <c r="A569" s="198" t="str">
        <f>"            "&amp;Labels!C316</f>
        <v xml:space="preserve">            Total</v>
      </c>
      <c r="B569" s="258">
        <f t="shared" ref="B569:T569" si="298">SUM(B561,B565)</f>
        <v>0</v>
      </c>
      <c r="C569" s="258">
        <f t="shared" si="298"/>
        <v>0</v>
      </c>
      <c r="D569" s="258">
        <f t="shared" si="298"/>
        <v>0</v>
      </c>
      <c r="E569" s="258">
        <f t="shared" si="298"/>
        <v>0</v>
      </c>
      <c r="F569" s="258">
        <f t="shared" si="298"/>
        <v>0</v>
      </c>
      <c r="G569" s="258">
        <f t="shared" si="298"/>
        <v>0</v>
      </c>
      <c r="H569" s="258">
        <f t="shared" si="298"/>
        <v>0</v>
      </c>
      <c r="I569" s="258">
        <f t="shared" si="298"/>
        <v>0</v>
      </c>
      <c r="J569" s="258">
        <f t="shared" si="298"/>
        <v>0</v>
      </c>
      <c r="K569" s="258">
        <f t="shared" si="298"/>
        <v>0</v>
      </c>
      <c r="L569" s="258">
        <f t="shared" si="298"/>
        <v>0</v>
      </c>
      <c r="M569" s="258">
        <f t="shared" si="298"/>
        <v>0</v>
      </c>
      <c r="N569" s="258">
        <f t="shared" si="298"/>
        <v>0</v>
      </c>
      <c r="O569" s="258">
        <f t="shared" si="298"/>
        <v>0</v>
      </c>
      <c r="P569" s="258">
        <f t="shared" si="298"/>
        <v>0</v>
      </c>
      <c r="Q569" s="258">
        <f t="shared" si="298"/>
        <v>0</v>
      </c>
      <c r="R569" s="258">
        <f t="shared" si="298"/>
        <v>0</v>
      </c>
      <c r="S569" s="258">
        <f t="shared" si="298"/>
        <v>0</v>
      </c>
      <c r="T569" s="291">
        <f t="shared" si="298"/>
        <v>0</v>
      </c>
    </row>
    <row r="570" spans="1:20" ht="12.75" hidden="1" customHeight="1" outlineLevel="2" x14ac:dyDescent="0.2">
      <c r="A570" s="188" t="str">
        <f>"      "&amp;Labels!C380</f>
        <v xml:space="preserve">      Total</v>
      </c>
      <c r="B570" s="256">
        <f t="shared" ref="B570:T570" si="299">SUM(B553,B566)</f>
        <v>0</v>
      </c>
      <c r="C570" s="256">
        <f t="shared" si="299"/>
        <v>0</v>
      </c>
      <c r="D570" s="256">
        <f t="shared" si="299"/>
        <v>0</v>
      </c>
      <c r="E570" s="256">
        <f t="shared" si="299"/>
        <v>0</v>
      </c>
      <c r="F570" s="256">
        <f t="shared" si="299"/>
        <v>0</v>
      </c>
      <c r="G570" s="256">
        <f t="shared" si="299"/>
        <v>0</v>
      </c>
      <c r="H570" s="256">
        <f t="shared" si="299"/>
        <v>0</v>
      </c>
      <c r="I570" s="256">
        <f t="shared" si="299"/>
        <v>0</v>
      </c>
      <c r="J570" s="256">
        <f t="shared" si="299"/>
        <v>0</v>
      </c>
      <c r="K570" s="256">
        <f t="shared" si="299"/>
        <v>0</v>
      </c>
      <c r="L570" s="256">
        <f t="shared" si="299"/>
        <v>0</v>
      </c>
      <c r="M570" s="256">
        <f t="shared" si="299"/>
        <v>0</v>
      </c>
      <c r="N570" s="256">
        <f t="shared" si="299"/>
        <v>0</v>
      </c>
      <c r="O570" s="256">
        <f t="shared" si="299"/>
        <v>0</v>
      </c>
      <c r="P570" s="256">
        <f t="shared" si="299"/>
        <v>0</v>
      </c>
      <c r="Q570" s="256">
        <f t="shared" si="299"/>
        <v>0</v>
      </c>
      <c r="R570" s="256">
        <f t="shared" si="299"/>
        <v>0</v>
      </c>
      <c r="S570" s="256">
        <f t="shared" si="299"/>
        <v>0</v>
      </c>
      <c r="T570" s="290">
        <f t="shared" si="299"/>
        <v>0</v>
      </c>
    </row>
    <row r="571" spans="1:20" ht="12.75" hidden="1" customHeight="1" outlineLevel="2" x14ac:dyDescent="0.2">
      <c r="A571" s="198" t="str">
        <f>"         "&amp;Labels!B385</f>
        <v xml:space="preserve">         Prof Level 1</v>
      </c>
      <c r="B571" s="258"/>
      <c r="C571" s="258"/>
      <c r="D571" s="258"/>
      <c r="E571" s="258"/>
      <c r="F571" s="258"/>
      <c r="G571" s="258"/>
      <c r="H571" s="258"/>
      <c r="I571" s="258"/>
      <c r="J571" s="258"/>
      <c r="K571" s="258"/>
      <c r="L571" s="258"/>
      <c r="M571" s="258"/>
      <c r="N571" s="258"/>
      <c r="O571" s="258"/>
      <c r="P571" s="258"/>
      <c r="Q571" s="258"/>
      <c r="R571" s="258"/>
      <c r="S571" s="258"/>
      <c r="T571" s="291"/>
    </row>
    <row r="572" spans="1:20" ht="12.75" hidden="1" customHeight="1" outlineLevel="2" x14ac:dyDescent="0.2">
      <c r="A572" s="198" t="str">
        <f>"            "&amp;Labels!B317</f>
        <v xml:space="preserve">            Channels 1</v>
      </c>
      <c r="B572" s="295">
        <f t="shared" ref="B572:T572" si="300">SUM(B546,B559)</f>
        <v>0</v>
      </c>
      <c r="C572" s="295">
        <f t="shared" si="300"/>
        <v>0</v>
      </c>
      <c r="D572" s="295">
        <f t="shared" si="300"/>
        <v>0</v>
      </c>
      <c r="E572" s="295">
        <f t="shared" si="300"/>
        <v>0</v>
      </c>
      <c r="F572" s="295">
        <f t="shared" si="300"/>
        <v>0</v>
      </c>
      <c r="G572" s="295">
        <f t="shared" si="300"/>
        <v>0</v>
      </c>
      <c r="H572" s="295">
        <f t="shared" si="300"/>
        <v>0</v>
      </c>
      <c r="I572" s="295">
        <f t="shared" si="300"/>
        <v>0</v>
      </c>
      <c r="J572" s="295">
        <f t="shared" si="300"/>
        <v>0</v>
      </c>
      <c r="K572" s="295">
        <f t="shared" si="300"/>
        <v>0</v>
      </c>
      <c r="L572" s="295">
        <f t="shared" si="300"/>
        <v>0</v>
      </c>
      <c r="M572" s="295">
        <f t="shared" si="300"/>
        <v>0</v>
      </c>
      <c r="N572" s="295">
        <f t="shared" si="300"/>
        <v>0</v>
      </c>
      <c r="O572" s="295">
        <f t="shared" si="300"/>
        <v>0</v>
      </c>
      <c r="P572" s="295">
        <f t="shared" si="300"/>
        <v>0</v>
      </c>
      <c r="Q572" s="295">
        <f t="shared" si="300"/>
        <v>0</v>
      </c>
      <c r="R572" s="295">
        <f t="shared" si="300"/>
        <v>0</v>
      </c>
      <c r="S572" s="295">
        <f t="shared" si="300"/>
        <v>0</v>
      </c>
      <c r="T572" s="296">
        <f t="shared" si="300"/>
        <v>0</v>
      </c>
    </row>
    <row r="573" spans="1:20" ht="12.75" hidden="1" customHeight="1" outlineLevel="2" x14ac:dyDescent="0.2">
      <c r="A573" s="198" t="str">
        <f>"            "&amp;Labels!B318</f>
        <v xml:space="preserve">            Channels 2</v>
      </c>
      <c r="B573" s="295">
        <f t="shared" ref="B573:T573" si="301">SUM(B547,B560)</f>
        <v>0</v>
      </c>
      <c r="C573" s="295">
        <f t="shared" si="301"/>
        <v>0</v>
      </c>
      <c r="D573" s="295">
        <f t="shared" si="301"/>
        <v>0</v>
      </c>
      <c r="E573" s="295">
        <f t="shared" si="301"/>
        <v>0</v>
      </c>
      <c r="F573" s="295">
        <f t="shared" si="301"/>
        <v>0</v>
      </c>
      <c r="G573" s="295">
        <f t="shared" si="301"/>
        <v>0</v>
      </c>
      <c r="H573" s="295">
        <f t="shared" si="301"/>
        <v>0</v>
      </c>
      <c r="I573" s="295">
        <f t="shared" si="301"/>
        <v>0</v>
      </c>
      <c r="J573" s="295">
        <f t="shared" si="301"/>
        <v>0</v>
      </c>
      <c r="K573" s="295">
        <f t="shared" si="301"/>
        <v>0</v>
      </c>
      <c r="L573" s="295">
        <f t="shared" si="301"/>
        <v>0</v>
      </c>
      <c r="M573" s="295">
        <f t="shared" si="301"/>
        <v>0</v>
      </c>
      <c r="N573" s="295">
        <f t="shared" si="301"/>
        <v>0</v>
      </c>
      <c r="O573" s="295">
        <f t="shared" si="301"/>
        <v>0</v>
      </c>
      <c r="P573" s="295">
        <f t="shared" si="301"/>
        <v>0</v>
      </c>
      <c r="Q573" s="295">
        <f t="shared" si="301"/>
        <v>0</v>
      </c>
      <c r="R573" s="295">
        <f t="shared" si="301"/>
        <v>0</v>
      </c>
      <c r="S573" s="295">
        <f t="shared" si="301"/>
        <v>0</v>
      </c>
      <c r="T573" s="296">
        <f t="shared" si="301"/>
        <v>0</v>
      </c>
    </row>
    <row r="574" spans="1:20" ht="12.75" hidden="1" customHeight="1" outlineLevel="2" x14ac:dyDescent="0.2">
      <c r="A574" s="198" t="str">
        <f>"            "&amp;Labels!C316</f>
        <v xml:space="preserve">            Total</v>
      </c>
      <c r="B574" s="258">
        <f t="shared" ref="B574:T574" si="302">SUM(B548,B561)</f>
        <v>0</v>
      </c>
      <c r="C574" s="258">
        <f t="shared" si="302"/>
        <v>0</v>
      </c>
      <c r="D574" s="258">
        <f t="shared" si="302"/>
        <v>0</v>
      </c>
      <c r="E574" s="258">
        <f t="shared" si="302"/>
        <v>0</v>
      </c>
      <c r="F574" s="258">
        <f t="shared" si="302"/>
        <v>0</v>
      </c>
      <c r="G574" s="258">
        <f t="shared" si="302"/>
        <v>0</v>
      </c>
      <c r="H574" s="258">
        <f t="shared" si="302"/>
        <v>0</v>
      </c>
      <c r="I574" s="258">
        <f t="shared" si="302"/>
        <v>0</v>
      </c>
      <c r="J574" s="258">
        <f t="shared" si="302"/>
        <v>0</v>
      </c>
      <c r="K574" s="258">
        <f t="shared" si="302"/>
        <v>0</v>
      </c>
      <c r="L574" s="258">
        <f t="shared" si="302"/>
        <v>0</v>
      </c>
      <c r="M574" s="258">
        <f t="shared" si="302"/>
        <v>0</v>
      </c>
      <c r="N574" s="258">
        <f t="shared" si="302"/>
        <v>0</v>
      </c>
      <c r="O574" s="258">
        <f t="shared" si="302"/>
        <v>0</v>
      </c>
      <c r="P574" s="258">
        <f t="shared" si="302"/>
        <v>0</v>
      </c>
      <c r="Q574" s="258">
        <f t="shared" si="302"/>
        <v>0</v>
      </c>
      <c r="R574" s="258">
        <f t="shared" si="302"/>
        <v>0</v>
      </c>
      <c r="S574" s="258">
        <f t="shared" si="302"/>
        <v>0</v>
      </c>
      <c r="T574" s="291">
        <f t="shared" si="302"/>
        <v>0</v>
      </c>
    </row>
    <row r="575" spans="1:20" ht="12.75" hidden="1" customHeight="1" outlineLevel="2" x14ac:dyDescent="0.2">
      <c r="A575" s="198" t="str">
        <f>"         "&amp;Labels!B386</f>
        <v xml:space="preserve">         Prof Level 2</v>
      </c>
      <c r="B575" s="258"/>
      <c r="C575" s="258"/>
      <c r="D575" s="258"/>
      <c r="E575" s="258"/>
      <c r="F575" s="258"/>
      <c r="G575" s="258"/>
      <c r="H575" s="258"/>
      <c r="I575" s="258"/>
      <c r="J575" s="258"/>
      <c r="K575" s="258"/>
      <c r="L575" s="258"/>
      <c r="M575" s="258"/>
      <c r="N575" s="258"/>
      <c r="O575" s="258"/>
      <c r="P575" s="258"/>
      <c r="Q575" s="258"/>
      <c r="R575" s="258"/>
      <c r="S575" s="258"/>
      <c r="T575" s="291"/>
    </row>
    <row r="576" spans="1:20" ht="12.75" hidden="1" customHeight="1" outlineLevel="2" x14ac:dyDescent="0.2">
      <c r="A576" s="198" t="str">
        <f>"            "&amp;Labels!B317</f>
        <v xml:space="preserve">            Channels 1</v>
      </c>
      <c r="B576" s="295">
        <f t="shared" ref="B576:T576" si="303">SUM(B550,B563)</f>
        <v>0</v>
      </c>
      <c r="C576" s="295">
        <f t="shared" si="303"/>
        <v>0</v>
      </c>
      <c r="D576" s="295">
        <f t="shared" si="303"/>
        <v>0</v>
      </c>
      <c r="E576" s="295">
        <f t="shared" si="303"/>
        <v>0</v>
      </c>
      <c r="F576" s="295">
        <f t="shared" si="303"/>
        <v>0</v>
      </c>
      <c r="G576" s="295">
        <f t="shared" si="303"/>
        <v>0</v>
      </c>
      <c r="H576" s="295">
        <f t="shared" si="303"/>
        <v>0</v>
      </c>
      <c r="I576" s="295">
        <f t="shared" si="303"/>
        <v>0</v>
      </c>
      <c r="J576" s="295">
        <f t="shared" si="303"/>
        <v>0</v>
      </c>
      <c r="K576" s="295">
        <f t="shared" si="303"/>
        <v>0</v>
      </c>
      <c r="L576" s="295">
        <f t="shared" si="303"/>
        <v>0</v>
      </c>
      <c r="M576" s="295">
        <f t="shared" si="303"/>
        <v>0</v>
      </c>
      <c r="N576" s="295">
        <f t="shared" si="303"/>
        <v>0</v>
      </c>
      <c r="O576" s="295">
        <f t="shared" si="303"/>
        <v>0</v>
      </c>
      <c r="P576" s="295">
        <f t="shared" si="303"/>
        <v>0</v>
      </c>
      <c r="Q576" s="295">
        <f t="shared" si="303"/>
        <v>0</v>
      </c>
      <c r="R576" s="295">
        <f t="shared" si="303"/>
        <v>0</v>
      </c>
      <c r="S576" s="295">
        <f t="shared" si="303"/>
        <v>0</v>
      </c>
      <c r="T576" s="296">
        <f t="shared" si="303"/>
        <v>0</v>
      </c>
    </row>
    <row r="577" spans="1:20" ht="12.75" hidden="1" customHeight="1" outlineLevel="2" x14ac:dyDescent="0.2">
      <c r="A577" s="198" t="str">
        <f>"            "&amp;Labels!B318</f>
        <v xml:space="preserve">            Channels 2</v>
      </c>
      <c r="B577" s="295">
        <f t="shared" ref="B577:T577" si="304">SUM(B551,B564)</f>
        <v>0</v>
      </c>
      <c r="C577" s="295">
        <f t="shared" si="304"/>
        <v>0</v>
      </c>
      <c r="D577" s="295">
        <f t="shared" si="304"/>
        <v>0</v>
      </c>
      <c r="E577" s="295">
        <f t="shared" si="304"/>
        <v>0</v>
      </c>
      <c r="F577" s="295">
        <f t="shared" si="304"/>
        <v>0</v>
      </c>
      <c r="G577" s="295">
        <f t="shared" si="304"/>
        <v>0</v>
      </c>
      <c r="H577" s="295">
        <f t="shared" si="304"/>
        <v>0</v>
      </c>
      <c r="I577" s="295">
        <f t="shared" si="304"/>
        <v>0</v>
      </c>
      <c r="J577" s="295">
        <f t="shared" si="304"/>
        <v>0</v>
      </c>
      <c r="K577" s="295">
        <f t="shared" si="304"/>
        <v>0</v>
      </c>
      <c r="L577" s="295">
        <f t="shared" si="304"/>
        <v>0</v>
      </c>
      <c r="M577" s="295">
        <f t="shared" si="304"/>
        <v>0</v>
      </c>
      <c r="N577" s="295">
        <f t="shared" si="304"/>
        <v>0</v>
      </c>
      <c r="O577" s="295">
        <f t="shared" si="304"/>
        <v>0</v>
      </c>
      <c r="P577" s="295">
        <f t="shared" si="304"/>
        <v>0</v>
      </c>
      <c r="Q577" s="295">
        <f t="shared" si="304"/>
        <v>0</v>
      </c>
      <c r="R577" s="295">
        <f t="shared" si="304"/>
        <v>0</v>
      </c>
      <c r="S577" s="295">
        <f t="shared" si="304"/>
        <v>0</v>
      </c>
      <c r="T577" s="296">
        <f t="shared" si="304"/>
        <v>0</v>
      </c>
    </row>
    <row r="578" spans="1:20" ht="12.75" hidden="1" customHeight="1" outlineLevel="2" x14ac:dyDescent="0.2">
      <c r="A578" s="198" t="str">
        <f>"            "&amp;Labels!C316</f>
        <v xml:space="preserve">            Total</v>
      </c>
      <c r="B578" s="258">
        <f t="shared" ref="B578:T578" si="305">SUM(B552,B565)</f>
        <v>0</v>
      </c>
      <c r="C578" s="258">
        <f t="shared" si="305"/>
        <v>0</v>
      </c>
      <c r="D578" s="258">
        <f t="shared" si="305"/>
        <v>0</v>
      </c>
      <c r="E578" s="258">
        <f t="shared" si="305"/>
        <v>0</v>
      </c>
      <c r="F578" s="258">
        <f t="shared" si="305"/>
        <v>0</v>
      </c>
      <c r="G578" s="258">
        <f t="shared" si="305"/>
        <v>0</v>
      </c>
      <c r="H578" s="258">
        <f t="shared" si="305"/>
        <v>0</v>
      </c>
      <c r="I578" s="258">
        <f t="shared" si="305"/>
        <v>0</v>
      </c>
      <c r="J578" s="258">
        <f t="shared" si="305"/>
        <v>0</v>
      </c>
      <c r="K578" s="258">
        <f t="shared" si="305"/>
        <v>0</v>
      </c>
      <c r="L578" s="258">
        <f t="shared" si="305"/>
        <v>0</v>
      </c>
      <c r="M578" s="258">
        <f t="shared" si="305"/>
        <v>0</v>
      </c>
      <c r="N578" s="258">
        <f t="shared" si="305"/>
        <v>0</v>
      </c>
      <c r="O578" s="258">
        <f t="shared" si="305"/>
        <v>0</v>
      </c>
      <c r="P578" s="258">
        <f t="shared" si="305"/>
        <v>0</v>
      </c>
      <c r="Q578" s="258">
        <f t="shared" si="305"/>
        <v>0</v>
      </c>
      <c r="R578" s="258">
        <f t="shared" si="305"/>
        <v>0</v>
      </c>
      <c r="S578" s="258">
        <f t="shared" si="305"/>
        <v>0</v>
      </c>
      <c r="T578" s="291">
        <f t="shared" si="305"/>
        <v>0</v>
      </c>
    </row>
    <row r="579" spans="1:20" ht="12.75" hidden="1" customHeight="1" outlineLevel="2" x14ac:dyDescent="0.2">
      <c r="A579" s="198" t="str">
        <f>"         "&amp;Labels!C384</f>
        <v xml:space="preserve">         Total</v>
      </c>
      <c r="B579" s="258">
        <f t="shared" ref="B579:T579" si="306">SUM(B553,B566)</f>
        <v>0</v>
      </c>
      <c r="C579" s="258">
        <f t="shared" si="306"/>
        <v>0</v>
      </c>
      <c r="D579" s="258">
        <f t="shared" si="306"/>
        <v>0</v>
      </c>
      <c r="E579" s="258">
        <f t="shared" si="306"/>
        <v>0</v>
      </c>
      <c r="F579" s="258">
        <f t="shared" si="306"/>
        <v>0</v>
      </c>
      <c r="G579" s="258">
        <f t="shared" si="306"/>
        <v>0</v>
      </c>
      <c r="H579" s="258">
        <f t="shared" si="306"/>
        <v>0</v>
      </c>
      <c r="I579" s="258">
        <f t="shared" si="306"/>
        <v>0</v>
      </c>
      <c r="J579" s="258">
        <f t="shared" si="306"/>
        <v>0</v>
      </c>
      <c r="K579" s="258">
        <f t="shared" si="306"/>
        <v>0</v>
      </c>
      <c r="L579" s="258">
        <f t="shared" si="306"/>
        <v>0</v>
      </c>
      <c r="M579" s="258">
        <f t="shared" si="306"/>
        <v>0</v>
      </c>
      <c r="N579" s="258">
        <f t="shared" si="306"/>
        <v>0</v>
      </c>
      <c r="O579" s="258">
        <f t="shared" si="306"/>
        <v>0</v>
      </c>
      <c r="P579" s="258">
        <f t="shared" si="306"/>
        <v>0</v>
      </c>
      <c r="Q579" s="258">
        <f t="shared" si="306"/>
        <v>0</v>
      </c>
      <c r="R579" s="258">
        <f t="shared" si="306"/>
        <v>0</v>
      </c>
      <c r="S579" s="258">
        <f t="shared" si="306"/>
        <v>0</v>
      </c>
      <c r="T579" s="291">
        <f t="shared" si="306"/>
        <v>0</v>
      </c>
    </row>
    <row r="580" spans="1:20" ht="12.75" hidden="1" customHeight="1" outlineLevel="2" x14ac:dyDescent="0.2">
      <c r="A580" s="198" t="str">
        <f>"            "&amp;Labels!B317</f>
        <v xml:space="preserve">            Channels 1</v>
      </c>
      <c r="B580" s="295">
        <f t="shared" ref="B580:T580" si="307">SUM(B554,B567)</f>
        <v>0</v>
      </c>
      <c r="C580" s="295">
        <f t="shared" si="307"/>
        <v>0</v>
      </c>
      <c r="D580" s="295">
        <f t="shared" si="307"/>
        <v>0</v>
      </c>
      <c r="E580" s="295">
        <f t="shared" si="307"/>
        <v>0</v>
      </c>
      <c r="F580" s="295">
        <f t="shared" si="307"/>
        <v>0</v>
      </c>
      <c r="G580" s="295">
        <f t="shared" si="307"/>
        <v>0</v>
      </c>
      <c r="H580" s="295">
        <f t="shared" si="307"/>
        <v>0</v>
      </c>
      <c r="I580" s="295">
        <f t="shared" si="307"/>
        <v>0</v>
      </c>
      <c r="J580" s="295">
        <f t="shared" si="307"/>
        <v>0</v>
      </c>
      <c r="K580" s="295">
        <f t="shared" si="307"/>
        <v>0</v>
      </c>
      <c r="L580" s="295">
        <f t="shared" si="307"/>
        <v>0</v>
      </c>
      <c r="M580" s="295">
        <f t="shared" si="307"/>
        <v>0</v>
      </c>
      <c r="N580" s="295">
        <f t="shared" si="307"/>
        <v>0</v>
      </c>
      <c r="O580" s="295">
        <f t="shared" si="307"/>
        <v>0</v>
      </c>
      <c r="P580" s="295">
        <f t="shared" si="307"/>
        <v>0</v>
      </c>
      <c r="Q580" s="295">
        <f t="shared" si="307"/>
        <v>0</v>
      </c>
      <c r="R580" s="295">
        <f t="shared" si="307"/>
        <v>0</v>
      </c>
      <c r="S580" s="295">
        <f t="shared" si="307"/>
        <v>0</v>
      </c>
      <c r="T580" s="296">
        <f t="shared" si="307"/>
        <v>0</v>
      </c>
    </row>
    <row r="581" spans="1:20" ht="12.75" hidden="1" customHeight="1" outlineLevel="2" x14ac:dyDescent="0.2">
      <c r="A581" s="198" t="str">
        <f>"            "&amp;Labels!B318</f>
        <v xml:space="preserve">            Channels 2</v>
      </c>
      <c r="B581" s="295">
        <f t="shared" ref="B581:T581" si="308">SUM(B555,B568)</f>
        <v>0</v>
      </c>
      <c r="C581" s="295">
        <f t="shared" si="308"/>
        <v>0</v>
      </c>
      <c r="D581" s="295">
        <f t="shared" si="308"/>
        <v>0</v>
      </c>
      <c r="E581" s="295">
        <f t="shared" si="308"/>
        <v>0</v>
      </c>
      <c r="F581" s="295">
        <f t="shared" si="308"/>
        <v>0</v>
      </c>
      <c r="G581" s="295">
        <f t="shared" si="308"/>
        <v>0</v>
      </c>
      <c r="H581" s="295">
        <f t="shared" si="308"/>
        <v>0</v>
      </c>
      <c r="I581" s="295">
        <f t="shared" si="308"/>
        <v>0</v>
      </c>
      <c r="J581" s="295">
        <f t="shared" si="308"/>
        <v>0</v>
      </c>
      <c r="K581" s="295">
        <f t="shared" si="308"/>
        <v>0</v>
      </c>
      <c r="L581" s="295">
        <f t="shared" si="308"/>
        <v>0</v>
      </c>
      <c r="M581" s="295">
        <f t="shared" si="308"/>
        <v>0</v>
      </c>
      <c r="N581" s="295">
        <f t="shared" si="308"/>
        <v>0</v>
      </c>
      <c r="O581" s="295">
        <f t="shared" si="308"/>
        <v>0</v>
      </c>
      <c r="P581" s="295">
        <f t="shared" si="308"/>
        <v>0</v>
      </c>
      <c r="Q581" s="295">
        <f t="shared" si="308"/>
        <v>0</v>
      </c>
      <c r="R581" s="295">
        <f t="shared" si="308"/>
        <v>0</v>
      </c>
      <c r="S581" s="295">
        <f t="shared" si="308"/>
        <v>0</v>
      </c>
      <c r="T581" s="296">
        <f t="shared" si="308"/>
        <v>0</v>
      </c>
    </row>
    <row r="582" spans="1:20" ht="12.75" hidden="1" customHeight="1" outlineLevel="2" x14ac:dyDescent="0.2">
      <c r="A582" s="198" t="str">
        <f>"            "&amp;Labels!C316</f>
        <v xml:space="preserve">            Total</v>
      </c>
      <c r="B582" s="258">
        <f t="shared" ref="B582:T582" si="309">SUM(B553,B566)</f>
        <v>0</v>
      </c>
      <c r="C582" s="258">
        <f t="shared" si="309"/>
        <v>0</v>
      </c>
      <c r="D582" s="258">
        <f t="shared" si="309"/>
        <v>0</v>
      </c>
      <c r="E582" s="258">
        <f t="shared" si="309"/>
        <v>0</v>
      </c>
      <c r="F582" s="258">
        <f t="shared" si="309"/>
        <v>0</v>
      </c>
      <c r="G582" s="258">
        <f t="shared" si="309"/>
        <v>0</v>
      </c>
      <c r="H582" s="258">
        <f t="shared" si="309"/>
        <v>0</v>
      </c>
      <c r="I582" s="258">
        <f t="shared" si="309"/>
        <v>0</v>
      </c>
      <c r="J582" s="258">
        <f t="shared" si="309"/>
        <v>0</v>
      </c>
      <c r="K582" s="258">
        <f t="shared" si="309"/>
        <v>0</v>
      </c>
      <c r="L582" s="258">
        <f t="shared" si="309"/>
        <v>0</v>
      </c>
      <c r="M582" s="258">
        <f t="shared" si="309"/>
        <v>0</v>
      </c>
      <c r="N582" s="258">
        <f t="shared" si="309"/>
        <v>0</v>
      </c>
      <c r="O582" s="258">
        <f t="shared" si="309"/>
        <v>0</v>
      </c>
      <c r="P582" s="258">
        <f t="shared" si="309"/>
        <v>0</v>
      </c>
      <c r="Q582" s="258">
        <f t="shared" si="309"/>
        <v>0</v>
      </c>
      <c r="R582" s="258">
        <f t="shared" si="309"/>
        <v>0</v>
      </c>
      <c r="S582" s="258">
        <f t="shared" si="309"/>
        <v>0</v>
      </c>
      <c r="T582" s="291">
        <f t="shared" si="309"/>
        <v>0</v>
      </c>
    </row>
    <row r="583" spans="1:20" ht="12.75" hidden="1" customHeight="1" outlineLevel="2" x14ac:dyDescent="0.2">
      <c r="A583" s="191" t="str">
        <f>"   "&amp;Labels!C388</f>
        <v xml:space="preserve">   Total</v>
      </c>
      <c r="B583" s="260">
        <f t="shared" ref="B583:T583" si="310">SUM(B530,B570)</f>
        <v>0</v>
      </c>
      <c r="C583" s="260">
        <f t="shared" si="310"/>
        <v>0</v>
      </c>
      <c r="D583" s="260">
        <f t="shared" si="310"/>
        <v>0</v>
      </c>
      <c r="E583" s="260">
        <f t="shared" si="310"/>
        <v>0</v>
      </c>
      <c r="F583" s="260">
        <f t="shared" si="310"/>
        <v>0</v>
      </c>
      <c r="G583" s="260">
        <f t="shared" si="310"/>
        <v>0</v>
      </c>
      <c r="H583" s="260">
        <f t="shared" si="310"/>
        <v>0</v>
      </c>
      <c r="I583" s="260">
        <f t="shared" si="310"/>
        <v>0</v>
      </c>
      <c r="J583" s="260">
        <f t="shared" si="310"/>
        <v>0</v>
      </c>
      <c r="K583" s="260">
        <f t="shared" si="310"/>
        <v>0</v>
      </c>
      <c r="L583" s="260">
        <f t="shared" si="310"/>
        <v>0</v>
      </c>
      <c r="M583" s="260">
        <f t="shared" si="310"/>
        <v>0</v>
      </c>
      <c r="N583" s="260">
        <f t="shared" si="310"/>
        <v>0</v>
      </c>
      <c r="O583" s="260">
        <f t="shared" si="310"/>
        <v>0</v>
      </c>
      <c r="P583" s="260">
        <f t="shared" si="310"/>
        <v>0</v>
      </c>
      <c r="Q583" s="260">
        <f t="shared" si="310"/>
        <v>0</v>
      </c>
      <c r="R583" s="260">
        <f t="shared" si="310"/>
        <v>0</v>
      </c>
      <c r="S583" s="260">
        <f t="shared" si="310"/>
        <v>0</v>
      </c>
      <c r="T583" s="289">
        <f t="shared" si="310"/>
        <v>0</v>
      </c>
    </row>
    <row r="584" spans="1:20" ht="12.75" hidden="1" customHeight="1" outlineLevel="2" x14ac:dyDescent="0.2">
      <c r="A584" s="198" t="str">
        <f>"      "&amp;Labels!B381</f>
        <v xml:space="preserve">      Practice 1</v>
      </c>
      <c r="B584" s="258"/>
      <c r="C584" s="258"/>
      <c r="D584" s="258"/>
      <c r="E584" s="258"/>
      <c r="F584" s="258"/>
      <c r="G584" s="258"/>
      <c r="H584" s="258"/>
      <c r="I584" s="258"/>
      <c r="J584" s="258"/>
      <c r="K584" s="258"/>
      <c r="L584" s="258"/>
      <c r="M584" s="258"/>
      <c r="N584" s="258"/>
      <c r="O584" s="258"/>
      <c r="P584" s="258"/>
      <c r="Q584" s="258"/>
      <c r="R584" s="258"/>
      <c r="S584" s="258"/>
      <c r="T584" s="291"/>
    </row>
    <row r="585" spans="1:20" ht="12.75" hidden="1" customHeight="1" outlineLevel="2" x14ac:dyDescent="0.2">
      <c r="A585" s="198" t="str">
        <f>"         "&amp;Labels!B385</f>
        <v xml:space="preserve">         Prof Level 1</v>
      </c>
      <c r="B585" s="258"/>
      <c r="C585" s="258"/>
      <c r="D585" s="258"/>
      <c r="E585" s="258"/>
      <c r="F585" s="258"/>
      <c r="G585" s="258"/>
      <c r="H585" s="258"/>
      <c r="I585" s="258"/>
      <c r="J585" s="258"/>
      <c r="K585" s="258"/>
      <c r="L585" s="258"/>
      <c r="M585" s="258"/>
      <c r="N585" s="258"/>
      <c r="O585" s="258"/>
      <c r="P585" s="258"/>
      <c r="Q585" s="258"/>
      <c r="R585" s="258"/>
      <c r="S585" s="258"/>
      <c r="T585" s="291"/>
    </row>
    <row r="586" spans="1:20" ht="12.75" hidden="1" customHeight="1" outlineLevel="2" x14ac:dyDescent="0.2">
      <c r="A586" s="198" t="str">
        <f>"            "&amp;Labels!B317</f>
        <v xml:space="preserve">            Channels 1</v>
      </c>
      <c r="B586" s="295">
        <f t="shared" ref="B586:T586" si="311">SUM(B506,B546)</f>
        <v>0</v>
      </c>
      <c r="C586" s="295">
        <f t="shared" si="311"/>
        <v>0</v>
      </c>
      <c r="D586" s="295">
        <f t="shared" si="311"/>
        <v>0</v>
      </c>
      <c r="E586" s="295">
        <f t="shared" si="311"/>
        <v>0</v>
      </c>
      <c r="F586" s="295">
        <f t="shared" si="311"/>
        <v>0</v>
      </c>
      <c r="G586" s="295">
        <f t="shared" si="311"/>
        <v>0</v>
      </c>
      <c r="H586" s="295">
        <f t="shared" si="311"/>
        <v>0</v>
      </c>
      <c r="I586" s="295">
        <f t="shared" si="311"/>
        <v>0</v>
      </c>
      <c r="J586" s="295">
        <f t="shared" si="311"/>
        <v>0</v>
      </c>
      <c r="K586" s="295">
        <f t="shared" si="311"/>
        <v>0</v>
      </c>
      <c r="L586" s="295">
        <f t="shared" si="311"/>
        <v>0</v>
      </c>
      <c r="M586" s="295">
        <f t="shared" si="311"/>
        <v>0</v>
      </c>
      <c r="N586" s="295">
        <f t="shared" si="311"/>
        <v>0</v>
      </c>
      <c r="O586" s="295">
        <f t="shared" si="311"/>
        <v>0</v>
      </c>
      <c r="P586" s="295">
        <f t="shared" si="311"/>
        <v>0</v>
      </c>
      <c r="Q586" s="295">
        <f t="shared" si="311"/>
        <v>0</v>
      </c>
      <c r="R586" s="295">
        <f t="shared" si="311"/>
        <v>0</v>
      </c>
      <c r="S586" s="295">
        <f t="shared" si="311"/>
        <v>0</v>
      </c>
      <c r="T586" s="296">
        <f t="shared" si="311"/>
        <v>0</v>
      </c>
    </row>
    <row r="587" spans="1:20" ht="12.75" hidden="1" customHeight="1" outlineLevel="2" x14ac:dyDescent="0.2">
      <c r="A587" s="198" t="str">
        <f>"            "&amp;Labels!B318</f>
        <v xml:space="preserve">            Channels 2</v>
      </c>
      <c r="B587" s="295">
        <f t="shared" ref="B587:T587" si="312">SUM(B507,B547)</f>
        <v>0</v>
      </c>
      <c r="C587" s="295">
        <f t="shared" si="312"/>
        <v>0</v>
      </c>
      <c r="D587" s="295">
        <f t="shared" si="312"/>
        <v>0</v>
      </c>
      <c r="E587" s="295">
        <f t="shared" si="312"/>
        <v>0</v>
      </c>
      <c r="F587" s="295">
        <f t="shared" si="312"/>
        <v>0</v>
      </c>
      <c r="G587" s="295">
        <f t="shared" si="312"/>
        <v>0</v>
      </c>
      <c r="H587" s="295">
        <f t="shared" si="312"/>
        <v>0</v>
      </c>
      <c r="I587" s="295">
        <f t="shared" si="312"/>
        <v>0</v>
      </c>
      <c r="J587" s="295">
        <f t="shared" si="312"/>
        <v>0</v>
      </c>
      <c r="K587" s="295">
        <f t="shared" si="312"/>
        <v>0</v>
      </c>
      <c r="L587" s="295">
        <f t="shared" si="312"/>
        <v>0</v>
      </c>
      <c r="M587" s="295">
        <f t="shared" si="312"/>
        <v>0</v>
      </c>
      <c r="N587" s="295">
        <f t="shared" si="312"/>
        <v>0</v>
      </c>
      <c r="O587" s="295">
        <f t="shared" si="312"/>
        <v>0</v>
      </c>
      <c r="P587" s="295">
        <f t="shared" si="312"/>
        <v>0</v>
      </c>
      <c r="Q587" s="295">
        <f t="shared" si="312"/>
        <v>0</v>
      </c>
      <c r="R587" s="295">
        <f t="shared" si="312"/>
        <v>0</v>
      </c>
      <c r="S587" s="295">
        <f t="shared" si="312"/>
        <v>0</v>
      </c>
      <c r="T587" s="296">
        <f t="shared" si="312"/>
        <v>0</v>
      </c>
    </row>
    <row r="588" spans="1:20" ht="12.75" hidden="1" customHeight="1" outlineLevel="2" x14ac:dyDescent="0.2">
      <c r="A588" s="198" t="str">
        <f>"            "&amp;Labels!C316</f>
        <v xml:space="preserve">            Total</v>
      </c>
      <c r="B588" s="258">
        <f t="shared" ref="B588:T588" si="313">SUM(B508,B548)</f>
        <v>0</v>
      </c>
      <c r="C588" s="258">
        <f t="shared" si="313"/>
        <v>0</v>
      </c>
      <c r="D588" s="258">
        <f t="shared" si="313"/>
        <v>0</v>
      </c>
      <c r="E588" s="258">
        <f t="shared" si="313"/>
        <v>0</v>
      </c>
      <c r="F588" s="258">
        <f t="shared" si="313"/>
        <v>0</v>
      </c>
      <c r="G588" s="258">
        <f t="shared" si="313"/>
        <v>0</v>
      </c>
      <c r="H588" s="258">
        <f t="shared" si="313"/>
        <v>0</v>
      </c>
      <c r="I588" s="258">
        <f t="shared" si="313"/>
        <v>0</v>
      </c>
      <c r="J588" s="258">
        <f t="shared" si="313"/>
        <v>0</v>
      </c>
      <c r="K588" s="258">
        <f t="shared" si="313"/>
        <v>0</v>
      </c>
      <c r="L588" s="258">
        <f t="shared" si="313"/>
        <v>0</v>
      </c>
      <c r="M588" s="258">
        <f t="shared" si="313"/>
        <v>0</v>
      </c>
      <c r="N588" s="258">
        <f t="shared" si="313"/>
        <v>0</v>
      </c>
      <c r="O588" s="258">
        <f t="shared" si="313"/>
        <v>0</v>
      </c>
      <c r="P588" s="258">
        <f t="shared" si="313"/>
        <v>0</v>
      </c>
      <c r="Q588" s="258">
        <f t="shared" si="313"/>
        <v>0</v>
      </c>
      <c r="R588" s="258">
        <f t="shared" si="313"/>
        <v>0</v>
      </c>
      <c r="S588" s="258">
        <f t="shared" si="313"/>
        <v>0</v>
      </c>
      <c r="T588" s="291">
        <f t="shared" si="313"/>
        <v>0</v>
      </c>
    </row>
    <row r="589" spans="1:20" ht="12.75" hidden="1" customHeight="1" outlineLevel="2" x14ac:dyDescent="0.2">
      <c r="A589" s="198" t="str">
        <f>"         "&amp;Labels!B386</f>
        <v xml:space="preserve">         Prof Level 2</v>
      </c>
      <c r="B589" s="258"/>
      <c r="C589" s="258"/>
      <c r="D589" s="258"/>
      <c r="E589" s="258"/>
      <c r="F589" s="258"/>
      <c r="G589" s="258"/>
      <c r="H589" s="258"/>
      <c r="I589" s="258"/>
      <c r="J589" s="258"/>
      <c r="K589" s="258"/>
      <c r="L589" s="258"/>
      <c r="M589" s="258"/>
      <c r="N589" s="258"/>
      <c r="O589" s="258"/>
      <c r="P589" s="258"/>
      <c r="Q589" s="258"/>
      <c r="R589" s="258"/>
      <c r="S589" s="258"/>
      <c r="T589" s="291"/>
    </row>
    <row r="590" spans="1:20" ht="12.75" hidden="1" customHeight="1" outlineLevel="2" x14ac:dyDescent="0.2">
      <c r="A590" s="198" t="str">
        <f>"            "&amp;Labels!B317</f>
        <v xml:space="preserve">            Channels 1</v>
      </c>
      <c r="B590" s="295">
        <f t="shared" ref="B590:T590" si="314">SUM(B510,B550)</f>
        <v>0</v>
      </c>
      <c r="C590" s="295">
        <f t="shared" si="314"/>
        <v>0</v>
      </c>
      <c r="D590" s="295">
        <f t="shared" si="314"/>
        <v>0</v>
      </c>
      <c r="E590" s="295">
        <f t="shared" si="314"/>
        <v>0</v>
      </c>
      <c r="F590" s="295">
        <f t="shared" si="314"/>
        <v>0</v>
      </c>
      <c r="G590" s="295">
        <f t="shared" si="314"/>
        <v>0</v>
      </c>
      <c r="H590" s="295">
        <f t="shared" si="314"/>
        <v>0</v>
      </c>
      <c r="I590" s="295">
        <f t="shared" si="314"/>
        <v>0</v>
      </c>
      <c r="J590" s="295">
        <f t="shared" si="314"/>
        <v>0</v>
      </c>
      <c r="K590" s="295">
        <f t="shared" si="314"/>
        <v>0</v>
      </c>
      <c r="L590" s="295">
        <f t="shared" si="314"/>
        <v>0</v>
      </c>
      <c r="M590" s="295">
        <f t="shared" si="314"/>
        <v>0</v>
      </c>
      <c r="N590" s="295">
        <f t="shared" si="314"/>
        <v>0</v>
      </c>
      <c r="O590" s="295">
        <f t="shared" si="314"/>
        <v>0</v>
      </c>
      <c r="P590" s="295">
        <f t="shared" si="314"/>
        <v>0</v>
      </c>
      <c r="Q590" s="295">
        <f t="shared" si="314"/>
        <v>0</v>
      </c>
      <c r="R590" s="295">
        <f t="shared" si="314"/>
        <v>0</v>
      </c>
      <c r="S590" s="295">
        <f t="shared" si="314"/>
        <v>0</v>
      </c>
      <c r="T590" s="296">
        <f t="shared" si="314"/>
        <v>0</v>
      </c>
    </row>
    <row r="591" spans="1:20" ht="12.75" hidden="1" customHeight="1" outlineLevel="2" x14ac:dyDescent="0.2">
      <c r="A591" s="198" t="str">
        <f>"            "&amp;Labels!B318</f>
        <v xml:space="preserve">            Channels 2</v>
      </c>
      <c r="B591" s="295">
        <f t="shared" ref="B591:T591" si="315">SUM(B511,B551)</f>
        <v>0</v>
      </c>
      <c r="C591" s="295">
        <f t="shared" si="315"/>
        <v>0</v>
      </c>
      <c r="D591" s="295">
        <f t="shared" si="315"/>
        <v>0</v>
      </c>
      <c r="E591" s="295">
        <f t="shared" si="315"/>
        <v>0</v>
      </c>
      <c r="F591" s="295">
        <f t="shared" si="315"/>
        <v>0</v>
      </c>
      <c r="G591" s="295">
        <f t="shared" si="315"/>
        <v>0</v>
      </c>
      <c r="H591" s="295">
        <f t="shared" si="315"/>
        <v>0</v>
      </c>
      <c r="I591" s="295">
        <f t="shared" si="315"/>
        <v>0</v>
      </c>
      <c r="J591" s="295">
        <f t="shared" si="315"/>
        <v>0</v>
      </c>
      <c r="K591" s="295">
        <f t="shared" si="315"/>
        <v>0</v>
      </c>
      <c r="L591" s="295">
        <f t="shared" si="315"/>
        <v>0</v>
      </c>
      <c r="M591" s="295">
        <f t="shared" si="315"/>
        <v>0</v>
      </c>
      <c r="N591" s="295">
        <f t="shared" si="315"/>
        <v>0</v>
      </c>
      <c r="O591" s="295">
        <f t="shared" si="315"/>
        <v>0</v>
      </c>
      <c r="P591" s="295">
        <f t="shared" si="315"/>
        <v>0</v>
      </c>
      <c r="Q591" s="295">
        <f t="shared" si="315"/>
        <v>0</v>
      </c>
      <c r="R591" s="295">
        <f t="shared" si="315"/>
        <v>0</v>
      </c>
      <c r="S591" s="295">
        <f t="shared" si="315"/>
        <v>0</v>
      </c>
      <c r="T591" s="296">
        <f t="shared" si="315"/>
        <v>0</v>
      </c>
    </row>
    <row r="592" spans="1:20" ht="12.75" hidden="1" customHeight="1" outlineLevel="2" x14ac:dyDescent="0.2">
      <c r="A592" s="198" t="str">
        <f>"            "&amp;Labels!C316</f>
        <v xml:space="preserve">            Total</v>
      </c>
      <c r="B592" s="258">
        <f t="shared" ref="B592:T592" si="316">SUM(B512,B552)</f>
        <v>0</v>
      </c>
      <c r="C592" s="258">
        <f t="shared" si="316"/>
        <v>0</v>
      </c>
      <c r="D592" s="258">
        <f t="shared" si="316"/>
        <v>0</v>
      </c>
      <c r="E592" s="258">
        <f t="shared" si="316"/>
        <v>0</v>
      </c>
      <c r="F592" s="258">
        <f t="shared" si="316"/>
        <v>0</v>
      </c>
      <c r="G592" s="258">
        <f t="shared" si="316"/>
        <v>0</v>
      </c>
      <c r="H592" s="258">
        <f t="shared" si="316"/>
        <v>0</v>
      </c>
      <c r="I592" s="258">
        <f t="shared" si="316"/>
        <v>0</v>
      </c>
      <c r="J592" s="258">
        <f t="shared" si="316"/>
        <v>0</v>
      </c>
      <c r="K592" s="258">
        <f t="shared" si="316"/>
        <v>0</v>
      </c>
      <c r="L592" s="258">
        <f t="shared" si="316"/>
        <v>0</v>
      </c>
      <c r="M592" s="258">
        <f t="shared" si="316"/>
        <v>0</v>
      </c>
      <c r="N592" s="258">
        <f t="shared" si="316"/>
        <v>0</v>
      </c>
      <c r="O592" s="258">
        <f t="shared" si="316"/>
        <v>0</v>
      </c>
      <c r="P592" s="258">
        <f t="shared" si="316"/>
        <v>0</v>
      </c>
      <c r="Q592" s="258">
        <f t="shared" si="316"/>
        <v>0</v>
      </c>
      <c r="R592" s="258">
        <f t="shared" si="316"/>
        <v>0</v>
      </c>
      <c r="S592" s="258">
        <f t="shared" si="316"/>
        <v>0</v>
      </c>
      <c r="T592" s="291">
        <f t="shared" si="316"/>
        <v>0</v>
      </c>
    </row>
    <row r="593" spans="1:20" ht="12.75" hidden="1" customHeight="1" outlineLevel="2" x14ac:dyDescent="0.2">
      <c r="A593" s="198" t="str">
        <f>"         "&amp;Labels!C384</f>
        <v xml:space="preserve">         Total</v>
      </c>
      <c r="B593" s="258">
        <f t="shared" ref="B593:T593" si="317">SUM(B513,B553)</f>
        <v>0</v>
      </c>
      <c r="C593" s="258">
        <f t="shared" si="317"/>
        <v>0</v>
      </c>
      <c r="D593" s="258">
        <f t="shared" si="317"/>
        <v>0</v>
      </c>
      <c r="E593" s="258">
        <f t="shared" si="317"/>
        <v>0</v>
      </c>
      <c r="F593" s="258">
        <f t="shared" si="317"/>
        <v>0</v>
      </c>
      <c r="G593" s="258">
        <f t="shared" si="317"/>
        <v>0</v>
      </c>
      <c r="H593" s="258">
        <f t="shared" si="317"/>
        <v>0</v>
      </c>
      <c r="I593" s="258">
        <f t="shared" si="317"/>
        <v>0</v>
      </c>
      <c r="J593" s="258">
        <f t="shared" si="317"/>
        <v>0</v>
      </c>
      <c r="K593" s="258">
        <f t="shared" si="317"/>
        <v>0</v>
      </c>
      <c r="L593" s="258">
        <f t="shared" si="317"/>
        <v>0</v>
      </c>
      <c r="M593" s="258">
        <f t="shared" si="317"/>
        <v>0</v>
      </c>
      <c r="N593" s="258">
        <f t="shared" si="317"/>
        <v>0</v>
      </c>
      <c r="O593" s="258">
        <f t="shared" si="317"/>
        <v>0</v>
      </c>
      <c r="P593" s="258">
        <f t="shared" si="317"/>
        <v>0</v>
      </c>
      <c r="Q593" s="258">
        <f t="shared" si="317"/>
        <v>0</v>
      </c>
      <c r="R593" s="258">
        <f t="shared" si="317"/>
        <v>0</v>
      </c>
      <c r="S593" s="258">
        <f t="shared" si="317"/>
        <v>0</v>
      </c>
      <c r="T593" s="291">
        <f t="shared" si="317"/>
        <v>0</v>
      </c>
    </row>
    <row r="594" spans="1:20" ht="12.75" hidden="1" customHeight="1" outlineLevel="2" x14ac:dyDescent="0.2">
      <c r="A594" s="198" t="str">
        <f>"            "&amp;Labels!B317</f>
        <v xml:space="preserve">            Channels 1</v>
      </c>
      <c r="B594" s="295">
        <f t="shared" ref="B594:T594" si="318">SUM(B514,B554)</f>
        <v>0</v>
      </c>
      <c r="C594" s="295">
        <f t="shared" si="318"/>
        <v>0</v>
      </c>
      <c r="D594" s="295">
        <f t="shared" si="318"/>
        <v>0</v>
      </c>
      <c r="E594" s="295">
        <f t="shared" si="318"/>
        <v>0</v>
      </c>
      <c r="F594" s="295">
        <f t="shared" si="318"/>
        <v>0</v>
      </c>
      <c r="G594" s="295">
        <f t="shared" si="318"/>
        <v>0</v>
      </c>
      <c r="H594" s="295">
        <f t="shared" si="318"/>
        <v>0</v>
      </c>
      <c r="I594" s="295">
        <f t="shared" si="318"/>
        <v>0</v>
      </c>
      <c r="J594" s="295">
        <f t="shared" si="318"/>
        <v>0</v>
      </c>
      <c r="K594" s="295">
        <f t="shared" si="318"/>
        <v>0</v>
      </c>
      <c r="L594" s="295">
        <f t="shared" si="318"/>
        <v>0</v>
      </c>
      <c r="M594" s="295">
        <f t="shared" si="318"/>
        <v>0</v>
      </c>
      <c r="N594" s="295">
        <f t="shared" si="318"/>
        <v>0</v>
      </c>
      <c r="O594" s="295">
        <f t="shared" si="318"/>
        <v>0</v>
      </c>
      <c r="P594" s="295">
        <f t="shared" si="318"/>
        <v>0</v>
      </c>
      <c r="Q594" s="295">
        <f t="shared" si="318"/>
        <v>0</v>
      </c>
      <c r="R594" s="295">
        <f t="shared" si="318"/>
        <v>0</v>
      </c>
      <c r="S594" s="295">
        <f t="shared" si="318"/>
        <v>0</v>
      </c>
      <c r="T594" s="296">
        <f t="shared" si="318"/>
        <v>0</v>
      </c>
    </row>
    <row r="595" spans="1:20" ht="12.75" hidden="1" customHeight="1" outlineLevel="2" x14ac:dyDescent="0.2">
      <c r="A595" s="198" t="str">
        <f>"            "&amp;Labels!B318</f>
        <v xml:space="preserve">            Channels 2</v>
      </c>
      <c r="B595" s="295">
        <f t="shared" ref="B595:T595" si="319">SUM(B515,B555)</f>
        <v>0</v>
      </c>
      <c r="C595" s="295">
        <f t="shared" si="319"/>
        <v>0</v>
      </c>
      <c r="D595" s="295">
        <f t="shared" si="319"/>
        <v>0</v>
      </c>
      <c r="E595" s="295">
        <f t="shared" si="319"/>
        <v>0</v>
      </c>
      <c r="F595" s="295">
        <f t="shared" si="319"/>
        <v>0</v>
      </c>
      <c r="G595" s="295">
        <f t="shared" si="319"/>
        <v>0</v>
      </c>
      <c r="H595" s="295">
        <f t="shared" si="319"/>
        <v>0</v>
      </c>
      <c r="I595" s="295">
        <f t="shared" si="319"/>
        <v>0</v>
      </c>
      <c r="J595" s="295">
        <f t="shared" si="319"/>
        <v>0</v>
      </c>
      <c r="K595" s="295">
        <f t="shared" si="319"/>
        <v>0</v>
      </c>
      <c r="L595" s="295">
        <f t="shared" si="319"/>
        <v>0</v>
      </c>
      <c r="M595" s="295">
        <f t="shared" si="319"/>
        <v>0</v>
      </c>
      <c r="N595" s="295">
        <f t="shared" si="319"/>
        <v>0</v>
      </c>
      <c r="O595" s="295">
        <f t="shared" si="319"/>
        <v>0</v>
      </c>
      <c r="P595" s="295">
        <f t="shared" si="319"/>
        <v>0</v>
      </c>
      <c r="Q595" s="295">
        <f t="shared" si="319"/>
        <v>0</v>
      </c>
      <c r="R595" s="295">
        <f t="shared" si="319"/>
        <v>0</v>
      </c>
      <c r="S595" s="295">
        <f t="shared" si="319"/>
        <v>0</v>
      </c>
      <c r="T595" s="296">
        <f t="shared" si="319"/>
        <v>0</v>
      </c>
    </row>
    <row r="596" spans="1:20" ht="12.75" hidden="1" customHeight="1" outlineLevel="2" x14ac:dyDescent="0.2">
      <c r="A596" s="198" t="str">
        <f>"            "&amp;Labels!C316</f>
        <v xml:space="preserve">            Total</v>
      </c>
      <c r="B596" s="258">
        <f t="shared" ref="B596:T596" si="320">SUM(B513,B553)</f>
        <v>0</v>
      </c>
      <c r="C596" s="258">
        <f t="shared" si="320"/>
        <v>0</v>
      </c>
      <c r="D596" s="258">
        <f t="shared" si="320"/>
        <v>0</v>
      </c>
      <c r="E596" s="258">
        <f t="shared" si="320"/>
        <v>0</v>
      </c>
      <c r="F596" s="258">
        <f t="shared" si="320"/>
        <v>0</v>
      </c>
      <c r="G596" s="258">
        <f t="shared" si="320"/>
        <v>0</v>
      </c>
      <c r="H596" s="258">
        <f t="shared" si="320"/>
        <v>0</v>
      </c>
      <c r="I596" s="258">
        <f t="shared" si="320"/>
        <v>0</v>
      </c>
      <c r="J596" s="258">
        <f t="shared" si="320"/>
        <v>0</v>
      </c>
      <c r="K596" s="258">
        <f t="shared" si="320"/>
        <v>0</v>
      </c>
      <c r="L596" s="258">
        <f t="shared" si="320"/>
        <v>0</v>
      </c>
      <c r="M596" s="258">
        <f t="shared" si="320"/>
        <v>0</v>
      </c>
      <c r="N596" s="258">
        <f t="shared" si="320"/>
        <v>0</v>
      </c>
      <c r="O596" s="258">
        <f t="shared" si="320"/>
        <v>0</v>
      </c>
      <c r="P596" s="258">
        <f t="shared" si="320"/>
        <v>0</v>
      </c>
      <c r="Q596" s="258">
        <f t="shared" si="320"/>
        <v>0</v>
      </c>
      <c r="R596" s="258">
        <f t="shared" si="320"/>
        <v>0</v>
      </c>
      <c r="S596" s="258">
        <f t="shared" si="320"/>
        <v>0</v>
      </c>
      <c r="T596" s="291">
        <f t="shared" si="320"/>
        <v>0</v>
      </c>
    </row>
    <row r="597" spans="1:20" ht="12.75" hidden="1" customHeight="1" outlineLevel="2" x14ac:dyDescent="0.2">
      <c r="A597" s="198" t="str">
        <f>"      "&amp;Labels!B382</f>
        <v xml:space="preserve">      Practice 2</v>
      </c>
      <c r="B597" s="258"/>
      <c r="C597" s="258"/>
      <c r="D597" s="258"/>
      <c r="E597" s="258"/>
      <c r="F597" s="258"/>
      <c r="G597" s="258"/>
      <c r="H597" s="258"/>
      <c r="I597" s="258"/>
      <c r="J597" s="258"/>
      <c r="K597" s="258"/>
      <c r="L597" s="258"/>
      <c r="M597" s="258"/>
      <c r="N597" s="258"/>
      <c r="O597" s="258"/>
      <c r="P597" s="258"/>
      <c r="Q597" s="258"/>
      <c r="R597" s="258"/>
      <c r="S597" s="258"/>
      <c r="T597" s="291"/>
    </row>
    <row r="598" spans="1:20" ht="12.75" hidden="1" customHeight="1" outlineLevel="2" x14ac:dyDescent="0.2">
      <c r="A598" s="198" t="str">
        <f>"         "&amp;Labels!B385</f>
        <v xml:space="preserve">         Prof Level 1</v>
      </c>
      <c r="B598" s="258"/>
      <c r="C598" s="258"/>
      <c r="D598" s="258"/>
      <c r="E598" s="258"/>
      <c r="F598" s="258"/>
      <c r="G598" s="258"/>
      <c r="H598" s="258"/>
      <c r="I598" s="258"/>
      <c r="J598" s="258"/>
      <c r="K598" s="258"/>
      <c r="L598" s="258"/>
      <c r="M598" s="258"/>
      <c r="N598" s="258"/>
      <c r="O598" s="258"/>
      <c r="P598" s="258"/>
      <c r="Q598" s="258"/>
      <c r="R598" s="258"/>
      <c r="S598" s="258"/>
      <c r="T598" s="291"/>
    </row>
    <row r="599" spans="1:20" ht="12.75" hidden="1" customHeight="1" outlineLevel="2" x14ac:dyDescent="0.2">
      <c r="A599" s="198" t="str">
        <f>"            "&amp;Labels!B317</f>
        <v xml:space="preserve">            Channels 1</v>
      </c>
      <c r="B599" s="295">
        <f t="shared" ref="B599:T599" si="321">SUM(B519,B559)</f>
        <v>0</v>
      </c>
      <c r="C599" s="295">
        <f t="shared" si="321"/>
        <v>0</v>
      </c>
      <c r="D599" s="295">
        <f t="shared" si="321"/>
        <v>0</v>
      </c>
      <c r="E599" s="295">
        <f t="shared" si="321"/>
        <v>0</v>
      </c>
      <c r="F599" s="295">
        <f t="shared" si="321"/>
        <v>0</v>
      </c>
      <c r="G599" s="295">
        <f t="shared" si="321"/>
        <v>0</v>
      </c>
      <c r="H599" s="295">
        <f t="shared" si="321"/>
        <v>0</v>
      </c>
      <c r="I599" s="295">
        <f t="shared" si="321"/>
        <v>0</v>
      </c>
      <c r="J599" s="295">
        <f t="shared" si="321"/>
        <v>0</v>
      </c>
      <c r="K599" s="295">
        <f t="shared" si="321"/>
        <v>0</v>
      </c>
      <c r="L599" s="295">
        <f t="shared" si="321"/>
        <v>0</v>
      </c>
      <c r="M599" s="295">
        <f t="shared" si="321"/>
        <v>0</v>
      </c>
      <c r="N599" s="295">
        <f t="shared" si="321"/>
        <v>0</v>
      </c>
      <c r="O599" s="295">
        <f t="shared" si="321"/>
        <v>0</v>
      </c>
      <c r="P599" s="295">
        <f t="shared" si="321"/>
        <v>0</v>
      </c>
      <c r="Q599" s="295">
        <f t="shared" si="321"/>
        <v>0</v>
      </c>
      <c r="R599" s="295">
        <f t="shared" si="321"/>
        <v>0</v>
      </c>
      <c r="S599" s="295">
        <f t="shared" si="321"/>
        <v>0</v>
      </c>
      <c r="T599" s="296">
        <f t="shared" si="321"/>
        <v>0</v>
      </c>
    </row>
    <row r="600" spans="1:20" ht="12.75" hidden="1" customHeight="1" outlineLevel="2" x14ac:dyDescent="0.2">
      <c r="A600" s="198" t="str">
        <f>"            "&amp;Labels!B318</f>
        <v xml:space="preserve">            Channels 2</v>
      </c>
      <c r="B600" s="295">
        <f t="shared" ref="B600:T600" si="322">SUM(B520,B560)</f>
        <v>0</v>
      </c>
      <c r="C600" s="295">
        <f t="shared" si="322"/>
        <v>0</v>
      </c>
      <c r="D600" s="295">
        <f t="shared" si="322"/>
        <v>0</v>
      </c>
      <c r="E600" s="295">
        <f t="shared" si="322"/>
        <v>0</v>
      </c>
      <c r="F600" s="295">
        <f t="shared" si="322"/>
        <v>0</v>
      </c>
      <c r="G600" s="295">
        <f t="shared" si="322"/>
        <v>0</v>
      </c>
      <c r="H600" s="295">
        <f t="shared" si="322"/>
        <v>0</v>
      </c>
      <c r="I600" s="295">
        <f t="shared" si="322"/>
        <v>0</v>
      </c>
      <c r="J600" s="295">
        <f t="shared" si="322"/>
        <v>0</v>
      </c>
      <c r="K600" s="295">
        <f t="shared" si="322"/>
        <v>0</v>
      </c>
      <c r="L600" s="295">
        <f t="shared" si="322"/>
        <v>0</v>
      </c>
      <c r="M600" s="295">
        <f t="shared" si="322"/>
        <v>0</v>
      </c>
      <c r="N600" s="295">
        <f t="shared" si="322"/>
        <v>0</v>
      </c>
      <c r="O600" s="295">
        <f t="shared" si="322"/>
        <v>0</v>
      </c>
      <c r="P600" s="295">
        <f t="shared" si="322"/>
        <v>0</v>
      </c>
      <c r="Q600" s="295">
        <f t="shared" si="322"/>
        <v>0</v>
      </c>
      <c r="R600" s="295">
        <f t="shared" si="322"/>
        <v>0</v>
      </c>
      <c r="S600" s="295">
        <f t="shared" si="322"/>
        <v>0</v>
      </c>
      <c r="T600" s="296">
        <f t="shared" si="322"/>
        <v>0</v>
      </c>
    </row>
    <row r="601" spans="1:20" ht="12.75" hidden="1" customHeight="1" outlineLevel="2" x14ac:dyDescent="0.2">
      <c r="A601" s="198" t="str">
        <f>"            "&amp;Labels!C316</f>
        <v xml:space="preserve">            Total</v>
      </c>
      <c r="B601" s="258">
        <f t="shared" ref="B601:T601" si="323">SUM(B521,B561)</f>
        <v>0</v>
      </c>
      <c r="C601" s="258">
        <f t="shared" si="323"/>
        <v>0</v>
      </c>
      <c r="D601" s="258">
        <f t="shared" si="323"/>
        <v>0</v>
      </c>
      <c r="E601" s="258">
        <f t="shared" si="323"/>
        <v>0</v>
      </c>
      <c r="F601" s="258">
        <f t="shared" si="323"/>
        <v>0</v>
      </c>
      <c r="G601" s="258">
        <f t="shared" si="323"/>
        <v>0</v>
      </c>
      <c r="H601" s="258">
        <f t="shared" si="323"/>
        <v>0</v>
      </c>
      <c r="I601" s="258">
        <f t="shared" si="323"/>
        <v>0</v>
      </c>
      <c r="J601" s="258">
        <f t="shared" si="323"/>
        <v>0</v>
      </c>
      <c r="K601" s="258">
        <f t="shared" si="323"/>
        <v>0</v>
      </c>
      <c r="L601" s="258">
        <f t="shared" si="323"/>
        <v>0</v>
      </c>
      <c r="M601" s="258">
        <f t="shared" si="323"/>
        <v>0</v>
      </c>
      <c r="N601" s="258">
        <f t="shared" si="323"/>
        <v>0</v>
      </c>
      <c r="O601" s="258">
        <f t="shared" si="323"/>
        <v>0</v>
      </c>
      <c r="P601" s="258">
        <f t="shared" si="323"/>
        <v>0</v>
      </c>
      <c r="Q601" s="258">
        <f t="shared" si="323"/>
        <v>0</v>
      </c>
      <c r="R601" s="258">
        <f t="shared" si="323"/>
        <v>0</v>
      </c>
      <c r="S601" s="258">
        <f t="shared" si="323"/>
        <v>0</v>
      </c>
      <c r="T601" s="291">
        <f t="shared" si="323"/>
        <v>0</v>
      </c>
    </row>
    <row r="602" spans="1:20" ht="12.75" hidden="1" customHeight="1" outlineLevel="2" x14ac:dyDescent="0.2">
      <c r="A602" s="198" t="str">
        <f>"         "&amp;Labels!B386</f>
        <v xml:space="preserve">         Prof Level 2</v>
      </c>
      <c r="B602" s="258"/>
      <c r="C602" s="258"/>
      <c r="D602" s="258"/>
      <c r="E602" s="258"/>
      <c r="F602" s="258"/>
      <c r="G602" s="258"/>
      <c r="H602" s="258"/>
      <c r="I602" s="258"/>
      <c r="J602" s="258"/>
      <c r="K602" s="258"/>
      <c r="L602" s="258"/>
      <c r="M602" s="258"/>
      <c r="N602" s="258"/>
      <c r="O602" s="258"/>
      <c r="P602" s="258"/>
      <c r="Q602" s="258"/>
      <c r="R602" s="258"/>
      <c r="S602" s="258"/>
      <c r="T602" s="291"/>
    </row>
    <row r="603" spans="1:20" ht="12.75" hidden="1" customHeight="1" outlineLevel="2" x14ac:dyDescent="0.2">
      <c r="A603" s="198" t="str">
        <f>"            "&amp;Labels!B317</f>
        <v xml:space="preserve">            Channels 1</v>
      </c>
      <c r="B603" s="295">
        <f t="shared" ref="B603:T603" si="324">SUM(B523,B563)</f>
        <v>0</v>
      </c>
      <c r="C603" s="295">
        <f t="shared" si="324"/>
        <v>0</v>
      </c>
      <c r="D603" s="295">
        <f t="shared" si="324"/>
        <v>0</v>
      </c>
      <c r="E603" s="295">
        <f t="shared" si="324"/>
        <v>0</v>
      </c>
      <c r="F603" s="295">
        <f t="shared" si="324"/>
        <v>0</v>
      </c>
      <c r="G603" s="295">
        <f t="shared" si="324"/>
        <v>0</v>
      </c>
      <c r="H603" s="295">
        <f t="shared" si="324"/>
        <v>0</v>
      </c>
      <c r="I603" s="295">
        <f t="shared" si="324"/>
        <v>0</v>
      </c>
      <c r="J603" s="295">
        <f t="shared" si="324"/>
        <v>0</v>
      </c>
      <c r="K603" s="295">
        <f t="shared" si="324"/>
        <v>0</v>
      </c>
      <c r="L603" s="295">
        <f t="shared" si="324"/>
        <v>0</v>
      </c>
      <c r="M603" s="295">
        <f t="shared" si="324"/>
        <v>0</v>
      </c>
      <c r="N603" s="295">
        <f t="shared" si="324"/>
        <v>0</v>
      </c>
      <c r="O603" s="295">
        <f t="shared" si="324"/>
        <v>0</v>
      </c>
      <c r="P603" s="295">
        <f t="shared" si="324"/>
        <v>0</v>
      </c>
      <c r="Q603" s="295">
        <f t="shared" si="324"/>
        <v>0</v>
      </c>
      <c r="R603" s="295">
        <f t="shared" si="324"/>
        <v>0</v>
      </c>
      <c r="S603" s="295">
        <f t="shared" si="324"/>
        <v>0</v>
      </c>
      <c r="T603" s="296">
        <f t="shared" si="324"/>
        <v>0</v>
      </c>
    </row>
    <row r="604" spans="1:20" ht="12.75" hidden="1" customHeight="1" outlineLevel="2" x14ac:dyDescent="0.2">
      <c r="A604" s="198" t="str">
        <f>"            "&amp;Labels!B318</f>
        <v xml:space="preserve">            Channels 2</v>
      </c>
      <c r="B604" s="295">
        <f t="shared" ref="B604:T604" si="325">SUM(B524,B564)</f>
        <v>0</v>
      </c>
      <c r="C604" s="295">
        <f t="shared" si="325"/>
        <v>0</v>
      </c>
      <c r="D604" s="295">
        <f t="shared" si="325"/>
        <v>0</v>
      </c>
      <c r="E604" s="295">
        <f t="shared" si="325"/>
        <v>0</v>
      </c>
      <c r="F604" s="295">
        <f t="shared" si="325"/>
        <v>0</v>
      </c>
      <c r="G604" s="295">
        <f t="shared" si="325"/>
        <v>0</v>
      </c>
      <c r="H604" s="295">
        <f t="shared" si="325"/>
        <v>0</v>
      </c>
      <c r="I604" s="295">
        <f t="shared" si="325"/>
        <v>0</v>
      </c>
      <c r="J604" s="295">
        <f t="shared" si="325"/>
        <v>0</v>
      </c>
      <c r="K604" s="295">
        <f t="shared" si="325"/>
        <v>0</v>
      </c>
      <c r="L604" s="295">
        <f t="shared" si="325"/>
        <v>0</v>
      </c>
      <c r="M604" s="295">
        <f t="shared" si="325"/>
        <v>0</v>
      </c>
      <c r="N604" s="295">
        <f t="shared" si="325"/>
        <v>0</v>
      </c>
      <c r="O604" s="295">
        <f t="shared" si="325"/>
        <v>0</v>
      </c>
      <c r="P604" s="295">
        <f t="shared" si="325"/>
        <v>0</v>
      </c>
      <c r="Q604" s="295">
        <f t="shared" si="325"/>
        <v>0</v>
      </c>
      <c r="R604" s="295">
        <f t="shared" si="325"/>
        <v>0</v>
      </c>
      <c r="S604" s="295">
        <f t="shared" si="325"/>
        <v>0</v>
      </c>
      <c r="T604" s="296">
        <f t="shared" si="325"/>
        <v>0</v>
      </c>
    </row>
    <row r="605" spans="1:20" ht="12.75" hidden="1" customHeight="1" outlineLevel="2" x14ac:dyDescent="0.2">
      <c r="A605" s="198" t="str">
        <f>"            "&amp;Labels!C316</f>
        <v xml:space="preserve">            Total</v>
      </c>
      <c r="B605" s="258">
        <f t="shared" ref="B605:T605" si="326">SUM(B525,B565)</f>
        <v>0</v>
      </c>
      <c r="C605" s="258">
        <f t="shared" si="326"/>
        <v>0</v>
      </c>
      <c r="D605" s="258">
        <f t="shared" si="326"/>
        <v>0</v>
      </c>
      <c r="E605" s="258">
        <f t="shared" si="326"/>
        <v>0</v>
      </c>
      <c r="F605" s="258">
        <f t="shared" si="326"/>
        <v>0</v>
      </c>
      <c r="G605" s="258">
        <f t="shared" si="326"/>
        <v>0</v>
      </c>
      <c r="H605" s="258">
        <f t="shared" si="326"/>
        <v>0</v>
      </c>
      <c r="I605" s="258">
        <f t="shared" si="326"/>
        <v>0</v>
      </c>
      <c r="J605" s="258">
        <f t="shared" si="326"/>
        <v>0</v>
      </c>
      <c r="K605" s="258">
        <f t="shared" si="326"/>
        <v>0</v>
      </c>
      <c r="L605" s="258">
        <f t="shared" si="326"/>
        <v>0</v>
      </c>
      <c r="M605" s="258">
        <f t="shared" si="326"/>
        <v>0</v>
      </c>
      <c r="N605" s="258">
        <f t="shared" si="326"/>
        <v>0</v>
      </c>
      <c r="O605" s="258">
        <f t="shared" si="326"/>
        <v>0</v>
      </c>
      <c r="P605" s="258">
        <f t="shared" si="326"/>
        <v>0</v>
      </c>
      <c r="Q605" s="258">
        <f t="shared" si="326"/>
        <v>0</v>
      </c>
      <c r="R605" s="258">
        <f t="shared" si="326"/>
        <v>0</v>
      </c>
      <c r="S605" s="258">
        <f t="shared" si="326"/>
        <v>0</v>
      </c>
      <c r="T605" s="291">
        <f t="shared" si="326"/>
        <v>0</v>
      </c>
    </row>
    <row r="606" spans="1:20" ht="12.75" hidden="1" customHeight="1" outlineLevel="2" x14ac:dyDescent="0.2">
      <c r="A606" s="198" t="str">
        <f>"         "&amp;Labels!C384</f>
        <v xml:space="preserve">         Total</v>
      </c>
      <c r="B606" s="258">
        <f t="shared" ref="B606:T606" si="327">SUM(B526,B566)</f>
        <v>0</v>
      </c>
      <c r="C606" s="258">
        <f t="shared" si="327"/>
        <v>0</v>
      </c>
      <c r="D606" s="258">
        <f t="shared" si="327"/>
        <v>0</v>
      </c>
      <c r="E606" s="258">
        <f t="shared" si="327"/>
        <v>0</v>
      </c>
      <c r="F606" s="258">
        <f t="shared" si="327"/>
        <v>0</v>
      </c>
      <c r="G606" s="258">
        <f t="shared" si="327"/>
        <v>0</v>
      </c>
      <c r="H606" s="258">
        <f t="shared" si="327"/>
        <v>0</v>
      </c>
      <c r="I606" s="258">
        <f t="shared" si="327"/>
        <v>0</v>
      </c>
      <c r="J606" s="258">
        <f t="shared" si="327"/>
        <v>0</v>
      </c>
      <c r="K606" s="258">
        <f t="shared" si="327"/>
        <v>0</v>
      </c>
      <c r="L606" s="258">
        <f t="shared" si="327"/>
        <v>0</v>
      </c>
      <c r="M606" s="258">
        <f t="shared" si="327"/>
        <v>0</v>
      </c>
      <c r="N606" s="258">
        <f t="shared" si="327"/>
        <v>0</v>
      </c>
      <c r="O606" s="258">
        <f t="shared" si="327"/>
        <v>0</v>
      </c>
      <c r="P606" s="258">
        <f t="shared" si="327"/>
        <v>0</v>
      </c>
      <c r="Q606" s="258">
        <f t="shared" si="327"/>
        <v>0</v>
      </c>
      <c r="R606" s="258">
        <f t="shared" si="327"/>
        <v>0</v>
      </c>
      <c r="S606" s="258">
        <f t="shared" si="327"/>
        <v>0</v>
      </c>
      <c r="T606" s="291">
        <f t="shared" si="327"/>
        <v>0</v>
      </c>
    </row>
    <row r="607" spans="1:20" ht="12.75" hidden="1" customHeight="1" outlineLevel="2" x14ac:dyDescent="0.2">
      <c r="A607" s="198" t="str">
        <f>"            "&amp;Labels!B317</f>
        <v xml:space="preserve">            Channels 1</v>
      </c>
      <c r="B607" s="295">
        <f t="shared" ref="B607:T607" si="328">SUM(B527,B567)</f>
        <v>0</v>
      </c>
      <c r="C607" s="295">
        <f t="shared" si="328"/>
        <v>0</v>
      </c>
      <c r="D607" s="295">
        <f t="shared" si="328"/>
        <v>0</v>
      </c>
      <c r="E607" s="295">
        <f t="shared" si="328"/>
        <v>0</v>
      </c>
      <c r="F607" s="295">
        <f t="shared" si="328"/>
        <v>0</v>
      </c>
      <c r="G607" s="295">
        <f t="shared" si="328"/>
        <v>0</v>
      </c>
      <c r="H607" s="295">
        <f t="shared" si="328"/>
        <v>0</v>
      </c>
      <c r="I607" s="295">
        <f t="shared" si="328"/>
        <v>0</v>
      </c>
      <c r="J607" s="295">
        <f t="shared" si="328"/>
        <v>0</v>
      </c>
      <c r="K607" s="295">
        <f t="shared" si="328"/>
        <v>0</v>
      </c>
      <c r="L607" s="295">
        <f t="shared" si="328"/>
        <v>0</v>
      </c>
      <c r="M607" s="295">
        <f t="shared" si="328"/>
        <v>0</v>
      </c>
      <c r="N607" s="295">
        <f t="shared" si="328"/>
        <v>0</v>
      </c>
      <c r="O607" s="295">
        <f t="shared" si="328"/>
        <v>0</v>
      </c>
      <c r="P607" s="295">
        <f t="shared" si="328"/>
        <v>0</v>
      </c>
      <c r="Q607" s="295">
        <f t="shared" si="328"/>
        <v>0</v>
      </c>
      <c r="R607" s="295">
        <f t="shared" si="328"/>
        <v>0</v>
      </c>
      <c r="S607" s="295">
        <f t="shared" si="328"/>
        <v>0</v>
      </c>
      <c r="T607" s="296">
        <f t="shared" si="328"/>
        <v>0</v>
      </c>
    </row>
    <row r="608" spans="1:20" ht="12.75" hidden="1" customHeight="1" outlineLevel="2" x14ac:dyDescent="0.2">
      <c r="A608" s="198" t="str">
        <f>"            "&amp;Labels!B318</f>
        <v xml:space="preserve">            Channels 2</v>
      </c>
      <c r="B608" s="295">
        <f t="shared" ref="B608:T608" si="329">SUM(B528,B568)</f>
        <v>0</v>
      </c>
      <c r="C608" s="295">
        <f t="shared" si="329"/>
        <v>0</v>
      </c>
      <c r="D608" s="295">
        <f t="shared" si="329"/>
        <v>0</v>
      </c>
      <c r="E608" s="295">
        <f t="shared" si="329"/>
        <v>0</v>
      </c>
      <c r="F608" s="295">
        <f t="shared" si="329"/>
        <v>0</v>
      </c>
      <c r="G608" s="295">
        <f t="shared" si="329"/>
        <v>0</v>
      </c>
      <c r="H608" s="295">
        <f t="shared" si="329"/>
        <v>0</v>
      </c>
      <c r="I608" s="295">
        <f t="shared" si="329"/>
        <v>0</v>
      </c>
      <c r="J608" s="295">
        <f t="shared" si="329"/>
        <v>0</v>
      </c>
      <c r="K608" s="295">
        <f t="shared" si="329"/>
        <v>0</v>
      </c>
      <c r="L608" s="295">
        <f t="shared" si="329"/>
        <v>0</v>
      </c>
      <c r="M608" s="295">
        <f t="shared" si="329"/>
        <v>0</v>
      </c>
      <c r="N608" s="295">
        <f t="shared" si="329"/>
        <v>0</v>
      </c>
      <c r="O608" s="295">
        <f t="shared" si="329"/>
        <v>0</v>
      </c>
      <c r="P608" s="295">
        <f t="shared" si="329"/>
        <v>0</v>
      </c>
      <c r="Q608" s="295">
        <f t="shared" si="329"/>
        <v>0</v>
      </c>
      <c r="R608" s="295">
        <f t="shared" si="329"/>
        <v>0</v>
      </c>
      <c r="S608" s="295">
        <f t="shared" si="329"/>
        <v>0</v>
      </c>
      <c r="T608" s="296">
        <f t="shared" si="329"/>
        <v>0</v>
      </c>
    </row>
    <row r="609" spans="1:20" ht="12.75" hidden="1" customHeight="1" outlineLevel="2" x14ac:dyDescent="0.2">
      <c r="A609" s="198" t="str">
        <f>"            "&amp;Labels!C316</f>
        <v xml:space="preserve">            Total</v>
      </c>
      <c r="B609" s="258">
        <f t="shared" ref="B609:T609" si="330">SUM(B526,B566)</f>
        <v>0</v>
      </c>
      <c r="C609" s="258">
        <f t="shared" si="330"/>
        <v>0</v>
      </c>
      <c r="D609" s="258">
        <f t="shared" si="330"/>
        <v>0</v>
      </c>
      <c r="E609" s="258">
        <f t="shared" si="330"/>
        <v>0</v>
      </c>
      <c r="F609" s="258">
        <f t="shared" si="330"/>
        <v>0</v>
      </c>
      <c r="G609" s="258">
        <f t="shared" si="330"/>
        <v>0</v>
      </c>
      <c r="H609" s="258">
        <f t="shared" si="330"/>
        <v>0</v>
      </c>
      <c r="I609" s="258">
        <f t="shared" si="330"/>
        <v>0</v>
      </c>
      <c r="J609" s="258">
        <f t="shared" si="330"/>
        <v>0</v>
      </c>
      <c r="K609" s="258">
        <f t="shared" si="330"/>
        <v>0</v>
      </c>
      <c r="L609" s="258">
        <f t="shared" si="330"/>
        <v>0</v>
      </c>
      <c r="M609" s="258">
        <f t="shared" si="330"/>
        <v>0</v>
      </c>
      <c r="N609" s="258">
        <f t="shared" si="330"/>
        <v>0</v>
      </c>
      <c r="O609" s="258">
        <f t="shared" si="330"/>
        <v>0</v>
      </c>
      <c r="P609" s="258">
        <f t="shared" si="330"/>
        <v>0</v>
      </c>
      <c r="Q609" s="258">
        <f t="shared" si="330"/>
        <v>0</v>
      </c>
      <c r="R609" s="258">
        <f t="shared" si="330"/>
        <v>0</v>
      </c>
      <c r="S609" s="258">
        <f t="shared" si="330"/>
        <v>0</v>
      </c>
      <c r="T609" s="291">
        <f t="shared" si="330"/>
        <v>0</v>
      </c>
    </row>
    <row r="610" spans="1:20" ht="12.75" hidden="1" customHeight="1" outlineLevel="2" x14ac:dyDescent="0.2">
      <c r="A610" s="188" t="str">
        <f>"      "&amp;Labels!C380</f>
        <v xml:space="preserve">      Total</v>
      </c>
      <c r="B610" s="256">
        <f t="shared" ref="B610:T610" si="331">SUM(B530,B570)</f>
        <v>0</v>
      </c>
      <c r="C610" s="256">
        <f t="shared" si="331"/>
        <v>0</v>
      </c>
      <c r="D610" s="256">
        <f t="shared" si="331"/>
        <v>0</v>
      </c>
      <c r="E610" s="256">
        <f t="shared" si="331"/>
        <v>0</v>
      </c>
      <c r="F610" s="256">
        <f t="shared" si="331"/>
        <v>0</v>
      </c>
      <c r="G610" s="256">
        <f t="shared" si="331"/>
        <v>0</v>
      </c>
      <c r="H610" s="256">
        <f t="shared" si="331"/>
        <v>0</v>
      </c>
      <c r="I610" s="256">
        <f t="shared" si="331"/>
        <v>0</v>
      </c>
      <c r="J610" s="256">
        <f t="shared" si="331"/>
        <v>0</v>
      </c>
      <c r="K610" s="256">
        <f t="shared" si="331"/>
        <v>0</v>
      </c>
      <c r="L610" s="256">
        <f t="shared" si="331"/>
        <v>0</v>
      </c>
      <c r="M610" s="256">
        <f t="shared" si="331"/>
        <v>0</v>
      </c>
      <c r="N610" s="256">
        <f t="shared" si="331"/>
        <v>0</v>
      </c>
      <c r="O610" s="256">
        <f t="shared" si="331"/>
        <v>0</v>
      </c>
      <c r="P610" s="256">
        <f t="shared" si="331"/>
        <v>0</v>
      </c>
      <c r="Q610" s="256">
        <f t="shared" si="331"/>
        <v>0</v>
      </c>
      <c r="R610" s="256">
        <f t="shared" si="331"/>
        <v>0</v>
      </c>
      <c r="S610" s="256">
        <f t="shared" si="331"/>
        <v>0</v>
      </c>
      <c r="T610" s="290">
        <f t="shared" si="331"/>
        <v>0</v>
      </c>
    </row>
    <row r="611" spans="1:20" ht="12.75" hidden="1" customHeight="1" outlineLevel="2" x14ac:dyDescent="0.2">
      <c r="A611" s="198" t="str">
        <f>"         "&amp;Labels!B385</f>
        <v xml:space="preserve">         Prof Level 1</v>
      </c>
      <c r="B611" s="258"/>
      <c r="C611" s="258"/>
      <c r="D611" s="258"/>
      <c r="E611" s="258"/>
      <c r="F611" s="258"/>
      <c r="G611" s="258"/>
      <c r="H611" s="258"/>
      <c r="I611" s="258"/>
      <c r="J611" s="258"/>
      <c r="K611" s="258"/>
      <c r="L611" s="258"/>
      <c r="M611" s="258"/>
      <c r="N611" s="258"/>
      <c r="O611" s="258"/>
      <c r="P611" s="258"/>
      <c r="Q611" s="258"/>
      <c r="R611" s="258"/>
      <c r="S611" s="258"/>
      <c r="T611" s="291"/>
    </row>
    <row r="612" spans="1:20" ht="12.75" hidden="1" customHeight="1" outlineLevel="2" x14ac:dyDescent="0.2">
      <c r="A612" s="198" t="str">
        <f>"            "&amp;Labels!B317</f>
        <v xml:space="preserve">            Channels 1</v>
      </c>
      <c r="B612" s="295">
        <f t="shared" ref="B612:T612" si="332">SUM(B532,B572)</f>
        <v>0</v>
      </c>
      <c r="C612" s="295">
        <f t="shared" si="332"/>
        <v>0</v>
      </c>
      <c r="D612" s="295">
        <f t="shared" si="332"/>
        <v>0</v>
      </c>
      <c r="E612" s="295">
        <f t="shared" si="332"/>
        <v>0</v>
      </c>
      <c r="F612" s="295">
        <f t="shared" si="332"/>
        <v>0</v>
      </c>
      <c r="G612" s="295">
        <f t="shared" si="332"/>
        <v>0</v>
      </c>
      <c r="H612" s="295">
        <f t="shared" si="332"/>
        <v>0</v>
      </c>
      <c r="I612" s="295">
        <f t="shared" si="332"/>
        <v>0</v>
      </c>
      <c r="J612" s="295">
        <f t="shared" si="332"/>
        <v>0</v>
      </c>
      <c r="K612" s="295">
        <f t="shared" si="332"/>
        <v>0</v>
      </c>
      <c r="L612" s="295">
        <f t="shared" si="332"/>
        <v>0</v>
      </c>
      <c r="M612" s="295">
        <f t="shared" si="332"/>
        <v>0</v>
      </c>
      <c r="N612" s="295">
        <f t="shared" si="332"/>
        <v>0</v>
      </c>
      <c r="O612" s="295">
        <f t="shared" si="332"/>
        <v>0</v>
      </c>
      <c r="P612" s="295">
        <f t="shared" si="332"/>
        <v>0</v>
      </c>
      <c r="Q612" s="295">
        <f t="shared" si="332"/>
        <v>0</v>
      </c>
      <c r="R612" s="295">
        <f t="shared" si="332"/>
        <v>0</v>
      </c>
      <c r="S612" s="295">
        <f t="shared" si="332"/>
        <v>0</v>
      </c>
      <c r="T612" s="296">
        <f t="shared" si="332"/>
        <v>0</v>
      </c>
    </row>
    <row r="613" spans="1:20" ht="12.75" hidden="1" customHeight="1" outlineLevel="2" x14ac:dyDescent="0.2">
      <c r="A613" s="198" t="str">
        <f>"            "&amp;Labels!B318</f>
        <v xml:space="preserve">            Channels 2</v>
      </c>
      <c r="B613" s="295">
        <f t="shared" ref="B613:T613" si="333">SUM(B533,B573)</f>
        <v>0</v>
      </c>
      <c r="C613" s="295">
        <f t="shared" si="333"/>
        <v>0</v>
      </c>
      <c r="D613" s="295">
        <f t="shared" si="333"/>
        <v>0</v>
      </c>
      <c r="E613" s="295">
        <f t="shared" si="333"/>
        <v>0</v>
      </c>
      <c r="F613" s="295">
        <f t="shared" si="333"/>
        <v>0</v>
      </c>
      <c r="G613" s="295">
        <f t="shared" si="333"/>
        <v>0</v>
      </c>
      <c r="H613" s="295">
        <f t="shared" si="333"/>
        <v>0</v>
      </c>
      <c r="I613" s="295">
        <f t="shared" si="333"/>
        <v>0</v>
      </c>
      <c r="J613" s="295">
        <f t="shared" si="333"/>
        <v>0</v>
      </c>
      <c r="K613" s="295">
        <f t="shared" si="333"/>
        <v>0</v>
      </c>
      <c r="L613" s="295">
        <f t="shared" si="333"/>
        <v>0</v>
      </c>
      <c r="M613" s="295">
        <f t="shared" si="333"/>
        <v>0</v>
      </c>
      <c r="N613" s="295">
        <f t="shared" si="333"/>
        <v>0</v>
      </c>
      <c r="O613" s="295">
        <f t="shared" si="333"/>
        <v>0</v>
      </c>
      <c r="P613" s="295">
        <f t="shared" si="333"/>
        <v>0</v>
      </c>
      <c r="Q613" s="295">
        <f t="shared" si="333"/>
        <v>0</v>
      </c>
      <c r="R613" s="295">
        <f t="shared" si="333"/>
        <v>0</v>
      </c>
      <c r="S613" s="295">
        <f t="shared" si="333"/>
        <v>0</v>
      </c>
      <c r="T613" s="296">
        <f t="shared" si="333"/>
        <v>0</v>
      </c>
    </row>
    <row r="614" spans="1:20" ht="12.75" hidden="1" customHeight="1" outlineLevel="2" x14ac:dyDescent="0.2">
      <c r="A614" s="198" t="str">
        <f>"            "&amp;Labels!C316</f>
        <v xml:space="preserve">            Total</v>
      </c>
      <c r="B614" s="258">
        <f t="shared" ref="B614:T614" si="334">SUM(B534,B574)</f>
        <v>0</v>
      </c>
      <c r="C614" s="258">
        <f t="shared" si="334"/>
        <v>0</v>
      </c>
      <c r="D614" s="258">
        <f t="shared" si="334"/>
        <v>0</v>
      </c>
      <c r="E614" s="258">
        <f t="shared" si="334"/>
        <v>0</v>
      </c>
      <c r="F614" s="258">
        <f t="shared" si="334"/>
        <v>0</v>
      </c>
      <c r="G614" s="258">
        <f t="shared" si="334"/>
        <v>0</v>
      </c>
      <c r="H614" s="258">
        <f t="shared" si="334"/>
        <v>0</v>
      </c>
      <c r="I614" s="258">
        <f t="shared" si="334"/>
        <v>0</v>
      </c>
      <c r="J614" s="258">
        <f t="shared" si="334"/>
        <v>0</v>
      </c>
      <c r="K614" s="258">
        <f t="shared" si="334"/>
        <v>0</v>
      </c>
      <c r="L614" s="258">
        <f t="shared" si="334"/>
        <v>0</v>
      </c>
      <c r="M614" s="258">
        <f t="shared" si="334"/>
        <v>0</v>
      </c>
      <c r="N614" s="258">
        <f t="shared" si="334"/>
        <v>0</v>
      </c>
      <c r="O614" s="258">
        <f t="shared" si="334"/>
        <v>0</v>
      </c>
      <c r="P614" s="258">
        <f t="shared" si="334"/>
        <v>0</v>
      </c>
      <c r="Q614" s="258">
        <f t="shared" si="334"/>
        <v>0</v>
      </c>
      <c r="R614" s="258">
        <f t="shared" si="334"/>
        <v>0</v>
      </c>
      <c r="S614" s="258">
        <f t="shared" si="334"/>
        <v>0</v>
      </c>
      <c r="T614" s="291">
        <f t="shared" si="334"/>
        <v>0</v>
      </c>
    </row>
    <row r="615" spans="1:20" ht="12.75" hidden="1" customHeight="1" outlineLevel="2" x14ac:dyDescent="0.2">
      <c r="A615" s="198" t="str">
        <f>"         "&amp;Labels!B386</f>
        <v xml:space="preserve">         Prof Level 2</v>
      </c>
      <c r="B615" s="258"/>
      <c r="C615" s="258"/>
      <c r="D615" s="258"/>
      <c r="E615" s="258"/>
      <c r="F615" s="258"/>
      <c r="G615" s="258"/>
      <c r="H615" s="258"/>
      <c r="I615" s="258"/>
      <c r="J615" s="258"/>
      <c r="K615" s="258"/>
      <c r="L615" s="258"/>
      <c r="M615" s="258"/>
      <c r="N615" s="258"/>
      <c r="O615" s="258"/>
      <c r="P615" s="258"/>
      <c r="Q615" s="258"/>
      <c r="R615" s="258"/>
      <c r="S615" s="258"/>
      <c r="T615" s="291"/>
    </row>
    <row r="616" spans="1:20" ht="12.75" hidden="1" customHeight="1" outlineLevel="2" x14ac:dyDescent="0.2">
      <c r="A616" s="198" t="str">
        <f>"            "&amp;Labels!B317</f>
        <v xml:space="preserve">            Channels 1</v>
      </c>
      <c r="B616" s="295">
        <f t="shared" ref="B616:T616" si="335">SUM(B536,B576)</f>
        <v>0</v>
      </c>
      <c r="C616" s="295">
        <f t="shared" si="335"/>
        <v>0</v>
      </c>
      <c r="D616" s="295">
        <f t="shared" si="335"/>
        <v>0</v>
      </c>
      <c r="E616" s="295">
        <f t="shared" si="335"/>
        <v>0</v>
      </c>
      <c r="F616" s="295">
        <f t="shared" si="335"/>
        <v>0</v>
      </c>
      <c r="G616" s="295">
        <f t="shared" si="335"/>
        <v>0</v>
      </c>
      <c r="H616" s="295">
        <f t="shared" si="335"/>
        <v>0</v>
      </c>
      <c r="I616" s="295">
        <f t="shared" si="335"/>
        <v>0</v>
      </c>
      <c r="J616" s="295">
        <f t="shared" si="335"/>
        <v>0</v>
      </c>
      <c r="K616" s="295">
        <f t="shared" si="335"/>
        <v>0</v>
      </c>
      <c r="L616" s="295">
        <f t="shared" si="335"/>
        <v>0</v>
      </c>
      <c r="M616" s="295">
        <f t="shared" si="335"/>
        <v>0</v>
      </c>
      <c r="N616" s="295">
        <f t="shared" si="335"/>
        <v>0</v>
      </c>
      <c r="O616" s="295">
        <f t="shared" si="335"/>
        <v>0</v>
      </c>
      <c r="P616" s="295">
        <f t="shared" si="335"/>
        <v>0</v>
      </c>
      <c r="Q616" s="295">
        <f t="shared" si="335"/>
        <v>0</v>
      </c>
      <c r="R616" s="295">
        <f t="shared" si="335"/>
        <v>0</v>
      </c>
      <c r="S616" s="295">
        <f t="shared" si="335"/>
        <v>0</v>
      </c>
      <c r="T616" s="296">
        <f t="shared" si="335"/>
        <v>0</v>
      </c>
    </row>
    <row r="617" spans="1:20" ht="12.75" hidden="1" customHeight="1" outlineLevel="2" x14ac:dyDescent="0.2">
      <c r="A617" s="198" t="str">
        <f>"            "&amp;Labels!B318</f>
        <v xml:space="preserve">            Channels 2</v>
      </c>
      <c r="B617" s="295">
        <f t="shared" ref="B617:T617" si="336">SUM(B537,B577)</f>
        <v>0</v>
      </c>
      <c r="C617" s="295">
        <f t="shared" si="336"/>
        <v>0</v>
      </c>
      <c r="D617" s="295">
        <f t="shared" si="336"/>
        <v>0</v>
      </c>
      <c r="E617" s="295">
        <f t="shared" si="336"/>
        <v>0</v>
      </c>
      <c r="F617" s="295">
        <f t="shared" si="336"/>
        <v>0</v>
      </c>
      <c r="G617" s="295">
        <f t="shared" si="336"/>
        <v>0</v>
      </c>
      <c r="H617" s="295">
        <f t="shared" si="336"/>
        <v>0</v>
      </c>
      <c r="I617" s="295">
        <f t="shared" si="336"/>
        <v>0</v>
      </c>
      <c r="J617" s="295">
        <f t="shared" si="336"/>
        <v>0</v>
      </c>
      <c r="K617" s="295">
        <f t="shared" si="336"/>
        <v>0</v>
      </c>
      <c r="L617" s="295">
        <f t="shared" si="336"/>
        <v>0</v>
      </c>
      <c r="M617" s="295">
        <f t="shared" si="336"/>
        <v>0</v>
      </c>
      <c r="N617" s="295">
        <f t="shared" si="336"/>
        <v>0</v>
      </c>
      <c r="O617" s="295">
        <f t="shared" si="336"/>
        <v>0</v>
      </c>
      <c r="P617" s="295">
        <f t="shared" si="336"/>
        <v>0</v>
      </c>
      <c r="Q617" s="295">
        <f t="shared" si="336"/>
        <v>0</v>
      </c>
      <c r="R617" s="295">
        <f t="shared" si="336"/>
        <v>0</v>
      </c>
      <c r="S617" s="295">
        <f t="shared" si="336"/>
        <v>0</v>
      </c>
      <c r="T617" s="296">
        <f t="shared" si="336"/>
        <v>0</v>
      </c>
    </row>
    <row r="618" spans="1:20" ht="12.75" hidden="1" customHeight="1" outlineLevel="2" x14ac:dyDescent="0.2">
      <c r="A618" s="198" t="str">
        <f>"            "&amp;Labels!C316</f>
        <v xml:space="preserve">            Total</v>
      </c>
      <c r="B618" s="258">
        <f t="shared" ref="B618:T618" si="337">SUM(B538,B578)</f>
        <v>0</v>
      </c>
      <c r="C618" s="258">
        <f t="shared" si="337"/>
        <v>0</v>
      </c>
      <c r="D618" s="258">
        <f t="shared" si="337"/>
        <v>0</v>
      </c>
      <c r="E618" s="258">
        <f t="shared" si="337"/>
        <v>0</v>
      </c>
      <c r="F618" s="258">
        <f t="shared" si="337"/>
        <v>0</v>
      </c>
      <c r="G618" s="258">
        <f t="shared" si="337"/>
        <v>0</v>
      </c>
      <c r="H618" s="258">
        <f t="shared" si="337"/>
        <v>0</v>
      </c>
      <c r="I618" s="258">
        <f t="shared" si="337"/>
        <v>0</v>
      </c>
      <c r="J618" s="258">
        <f t="shared" si="337"/>
        <v>0</v>
      </c>
      <c r="K618" s="258">
        <f t="shared" si="337"/>
        <v>0</v>
      </c>
      <c r="L618" s="258">
        <f t="shared" si="337"/>
        <v>0</v>
      </c>
      <c r="M618" s="258">
        <f t="shared" si="337"/>
        <v>0</v>
      </c>
      <c r="N618" s="258">
        <f t="shared" si="337"/>
        <v>0</v>
      </c>
      <c r="O618" s="258">
        <f t="shared" si="337"/>
        <v>0</v>
      </c>
      <c r="P618" s="258">
        <f t="shared" si="337"/>
        <v>0</v>
      </c>
      <c r="Q618" s="258">
        <f t="shared" si="337"/>
        <v>0</v>
      </c>
      <c r="R618" s="258">
        <f t="shared" si="337"/>
        <v>0</v>
      </c>
      <c r="S618" s="258">
        <f t="shared" si="337"/>
        <v>0</v>
      </c>
      <c r="T618" s="291">
        <f t="shared" si="337"/>
        <v>0</v>
      </c>
    </row>
    <row r="619" spans="1:20" ht="12.75" hidden="1" customHeight="1" outlineLevel="2" x14ac:dyDescent="0.2">
      <c r="A619" s="198" t="str">
        <f>"         "&amp;Labels!C384</f>
        <v xml:space="preserve">         Total</v>
      </c>
      <c r="B619" s="258">
        <f t="shared" ref="B619:T619" si="338">SUM(B530,B570)</f>
        <v>0</v>
      </c>
      <c r="C619" s="258">
        <f t="shared" si="338"/>
        <v>0</v>
      </c>
      <c r="D619" s="258">
        <f t="shared" si="338"/>
        <v>0</v>
      </c>
      <c r="E619" s="258">
        <f t="shared" si="338"/>
        <v>0</v>
      </c>
      <c r="F619" s="258">
        <f t="shared" si="338"/>
        <v>0</v>
      </c>
      <c r="G619" s="258">
        <f t="shared" si="338"/>
        <v>0</v>
      </c>
      <c r="H619" s="258">
        <f t="shared" si="338"/>
        <v>0</v>
      </c>
      <c r="I619" s="258">
        <f t="shared" si="338"/>
        <v>0</v>
      </c>
      <c r="J619" s="258">
        <f t="shared" si="338"/>
        <v>0</v>
      </c>
      <c r="K619" s="258">
        <f t="shared" si="338"/>
        <v>0</v>
      </c>
      <c r="L619" s="258">
        <f t="shared" si="338"/>
        <v>0</v>
      </c>
      <c r="M619" s="258">
        <f t="shared" si="338"/>
        <v>0</v>
      </c>
      <c r="N619" s="258">
        <f t="shared" si="338"/>
        <v>0</v>
      </c>
      <c r="O619" s="258">
        <f t="shared" si="338"/>
        <v>0</v>
      </c>
      <c r="P619" s="258">
        <f t="shared" si="338"/>
        <v>0</v>
      </c>
      <c r="Q619" s="258">
        <f t="shared" si="338"/>
        <v>0</v>
      </c>
      <c r="R619" s="258">
        <f t="shared" si="338"/>
        <v>0</v>
      </c>
      <c r="S619" s="258">
        <f t="shared" si="338"/>
        <v>0</v>
      </c>
      <c r="T619" s="291">
        <f t="shared" si="338"/>
        <v>0</v>
      </c>
    </row>
    <row r="620" spans="1:20" ht="12.75" hidden="1" customHeight="1" outlineLevel="2" x14ac:dyDescent="0.2">
      <c r="A620" s="198" t="str">
        <f>"            "&amp;Labels!B317</f>
        <v xml:space="preserve">            Channels 1</v>
      </c>
      <c r="B620" s="295">
        <f t="shared" ref="B620:T620" si="339">SUM(B540,B580)</f>
        <v>0</v>
      </c>
      <c r="C620" s="295">
        <f t="shared" si="339"/>
        <v>0</v>
      </c>
      <c r="D620" s="295">
        <f t="shared" si="339"/>
        <v>0</v>
      </c>
      <c r="E620" s="295">
        <f t="shared" si="339"/>
        <v>0</v>
      </c>
      <c r="F620" s="295">
        <f t="shared" si="339"/>
        <v>0</v>
      </c>
      <c r="G620" s="295">
        <f t="shared" si="339"/>
        <v>0</v>
      </c>
      <c r="H620" s="295">
        <f t="shared" si="339"/>
        <v>0</v>
      </c>
      <c r="I620" s="295">
        <f t="shared" si="339"/>
        <v>0</v>
      </c>
      <c r="J620" s="295">
        <f t="shared" si="339"/>
        <v>0</v>
      </c>
      <c r="K620" s="295">
        <f t="shared" si="339"/>
        <v>0</v>
      </c>
      <c r="L620" s="295">
        <f t="shared" si="339"/>
        <v>0</v>
      </c>
      <c r="M620" s="295">
        <f t="shared" si="339"/>
        <v>0</v>
      </c>
      <c r="N620" s="295">
        <f t="shared" si="339"/>
        <v>0</v>
      </c>
      <c r="O620" s="295">
        <f t="shared" si="339"/>
        <v>0</v>
      </c>
      <c r="P620" s="295">
        <f t="shared" si="339"/>
        <v>0</v>
      </c>
      <c r="Q620" s="295">
        <f t="shared" si="339"/>
        <v>0</v>
      </c>
      <c r="R620" s="295">
        <f t="shared" si="339"/>
        <v>0</v>
      </c>
      <c r="S620" s="295">
        <f t="shared" si="339"/>
        <v>0</v>
      </c>
      <c r="T620" s="296">
        <f t="shared" si="339"/>
        <v>0</v>
      </c>
    </row>
    <row r="621" spans="1:20" ht="12.75" hidden="1" customHeight="1" outlineLevel="2" x14ac:dyDescent="0.2">
      <c r="A621" s="198" t="str">
        <f>"            "&amp;Labels!B318</f>
        <v xml:space="preserve">            Channels 2</v>
      </c>
      <c r="B621" s="295">
        <f t="shared" ref="B621:T621" si="340">SUM(B541,B581)</f>
        <v>0</v>
      </c>
      <c r="C621" s="295">
        <f t="shared" si="340"/>
        <v>0</v>
      </c>
      <c r="D621" s="295">
        <f t="shared" si="340"/>
        <v>0</v>
      </c>
      <c r="E621" s="295">
        <f t="shared" si="340"/>
        <v>0</v>
      </c>
      <c r="F621" s="295">
        <f t="shared" si="340"/>
        <v>0</v>
      </c>
      <c r="G621" s="295">
        <f t="shared" si="340"/>
        <v>0</v>
      </c>
      <c r="H621" s="295">
        <f t="shared" si="340"/>
        <v>0</v>
      </c>
      <c r="I621" s="295">
        <f t="shared" si="340"/>
        <v>0</v>
      </c>
      <c r="J621" s="295">
        <f t="shared" si="340"/>
        <v>0</v>
      </c>
      <c r="K621" s="295">
        <f t="shared" si="340"/>
        <v>0</v>
      </c>
      <c r="L621" s="295">
        <f t="shared" si="340"/>
        <v>0</v>
      </c>
      <c r="M621" s="295">
        <f t="shared" si="340"/>
        <v>0</v>
      </c>
      <c r="N621" s="295">
        <f t="shared" si="340"/>
        <v>0</v>
      </c>
      <c r="O621" s="295">
        <f t="shared" si="340"/>
        <v>0</v>
      </c>
      <c r="P621" s="295">
        <f t="shared" si="340"/>
        <v>0</v>
      </c>
      <c r="Q621" s="295">
        <f t="shared" si="340"/>
        <v>0</v>
      </c>
      <c r="R621" s="295">
        <f t="shared" si="340"/>
        <v>0</v>
      </c>
      <c r="S621" s="295">
        <f t="shared" si="340"/>
        <v>0</v>
      </c>
      <c r="T621" s="296">
        <f t="shared" si="340"/>
        <v>0</v>
      </c>
    </row>
    <row r="622" spans="1:20" ht="12.75" hidden="1" customHeight="1" outlineLevel="2" x14ac:dyDescent="0.2">
      <c r="A622" s="198" t="str">
        <f>"            "&amp;Labels!C316</f>
        <v xml:space="preserve">            Total</v>
      </c>
      <c r="B622" s="258">
        <f t="shared" ref="B622:T622" si="341">SUM(B530,B570)</f>
        <v>0</v>
      </c>
      <c r="C622" s="258">
        <f t="shared" si="341"/>
        <v>0</v>
      </c>
      <c r="D622" s="258">
        <f t="shared" si="341"/>
        <v>0</v>
      </c>
      <c r="E622" s="258">
        <f t="shared" si="341"/>
        <v>0</v>
      </c>
      <c r="F622" s="258">
        <f t="shared" si="341"/>
        <v>0</v>
      </c>
      <c r="G622" s="258">
        <f t="shared" si="341"/>
        <v>0</v>
      </c>
      <c r="H622" s="258">
        <f t="shared" si="341"/>
        <v>0</v>
      </c>
      <c r="I622" s="258">
        <f t="shared" si="341"/>
        <v>0</v>
      </c>
      <c r="J622" s="258">
        <f t="shared" si="341"/>
        <v>0</v>
      </c>
      <c r="K622" s="258">
        <f t="shared" si="341"/>
        <v>0</v>
      </c>
      <c r="L622" s="258">
        <f t="shared" si="341"/>
        <v>0</v>
      </c>
      <c r="M622" s="258">
        <f t="shared" si="341"/>
        <v>0</v>
      </c>
      <c r="N622" s="258">
        <f t="shared" si="341"/>
        <v>0</v>
      </c>
      <c r="O622" s="258">
        <f t="shared" si="341"/>
        <v>0</v>
      </c>
      <c r="P622" s="258">
        <f t="shared" si="341"/>
        <v>0</v>
      </c>
      <c r="Q622" s="258">
        <f t="shared" si="341"/>
        <v>0</v>
      </c>
      <c r="R622" s="258">
        <f t="shared" si="341"/>
        <v>0</v>
      </c>
      <c r="S622" s="258">
        <f t="shared" si="341"/>
        <v>0</v>
      </c>
      <c r="T622" s="291">
        <f t="shared" si="341"/>
        <v>0</v>
      </c>
    </row>
    <row r="623" spans="1:20" ht="12.75" hidden="1" customHeight="1" outlineLevel="2" x14ac:dyDescent="0.2">
      <c r="A623" s="97"/>
      <c r="B623" s="6"/>
      <c r="C623" s="6"/>
      <c r="D623" s="6"/>
      <c r="E623" s="6"/>
      <c r="F623" s="6"/>
      <c r="G623" s="6"/>
      <c r="H623" s="6"/>
      <c r="I623" s="6"/>
      <c r="J623" s="6"/>
      <c r="K623" s="6"/>
      <c r="L623" s="6"/>
      <c r="M623" s="6"/>
      <c r="N623" s="6"/>
      <c r="O623" s="6"/>
      <c r="P623" s="6"/>
      <c r="Q623" s="6"/>
      <c r="R623" s="6"/>
      <c r="S623" s="6"/>
      <c r="T623" s="7"/>
    </row>
    <row r="624" spans="1:20" ht="12.75" hidden="1" customHeight="1" outlineLevel="2" x14ac:dyDescent="0.2">
      <c r="A624" s="191" t="str">
        <f>Labels!B243</f>
        <v>New Sales Leads</v>
      </c>
      <c r="B624" s="192"/>
      <c r="C624" s="192"/>
      <c r="D624" s="192"/>
      <c r="E624" s="192"/>
      <c r="F624" s="192"/>
      <c r="G624" s="192"/>
      <c r="H624" s="192"/>
      <c r="I624" s="192"/>
      <c r="J624" s="192"/>
      <c r="K624" s="192"/>
      <c r="L624" s="192"/>
      <c r="M624" s="192"/>
      <c r="N624" s="192"/>
      <c r="O624" s="192"/>
      <c r="P624" s="192"/>
      <c r="Q624" s="192"/>
      <c r="R624" s="192"/>
      <c r="S624" s="192"/>
      <c r="T624" s="280"/>
    </row>
    <row r="625" spans="1:20" ht="12.75" hidden="1" customHeight="1" outlineLevel="2" x14ac:dyDescent="0.2">
      <c r="A625" s="188" t="str">
        <f>"   "&amp;Labels!B389</f>
        <v xml:space="preserve">   Lead Qual 1</v>
      </c>
      <c r="B625" s="196"/>
      <c r="C625" s="196"/>
      <c r="D625" s="196"/>
      <c r="E625" s="196"/>
      <c r="F625" s="196"/>
      <c r="G625" s="196"/>
      <c r="H625" s="196"/>
      <c r="I625" s="196"/>
      <c r="J625" s="196"/>
      <c r="K625" s="196"/>
      <c r="L625" s="196"/>
      <c r="M625" s="196"/>
      <c r="N625" s="196"/>
      <c r="O625" s="196"/>
      <c r="P625" s="196"/>
      <c r="Q625" s="196"/>
      <c r="R625" s="196"/>
      <c r="S625" s="196"/>
      <c r="T625" s="267"/>
    </row>
    <row r="626" spans="1:20" ht="12.75" hidden="1" customHeight="1" outlineLevel="2" x14ac:dyDescent="0.2">
      <c r="A626" s="198" t="str">
        <f>"      "&amp;Labels!B381</f>
        <v xml:space="preserve">      Practice 1</v>
      </c>
      <c r="B626" s="226"/>
      <c r="C626" s="226"/>
      <c r="D626" s="226"/>
      <c r="E626" s="226"/>
      <c r="F626" s="226"/>
      <c r="G626" s="226"/>
      <c r="H626" s="226"/>
      <c r="I626" s="226"/>
      <c r="J626" s="226"/>
      <c r="K626" s="226"/>
      <c r="L626" s="226"/>
      <c r="M626" s="226"/>
      <c r="N626" s="226"/>
      <c r="O626" s="226"/>
      <c r="P626" s="226"/>
      <c r="Q626" s="226"/>
      <c r="R626" s="226"/>
      <c r="S626" s="226"/>
      <c r="T626" s="279"/>
    </row>
    <row r="627" spans="1:20" ht="12.75" hidden="1" customHeight="1" outlineLevel="2" x14ac:dyDescent="0.2">
      <c r="A627" s="198" t="str">
        <f>"         "&amp;Labels!B385</f>
        <v xml:space="preserve">         Prof Level 1</v>
      </c>
      <c r="B627" s="226"/>
      <c r="C627" s="226"/>
      <c r="D627" s="226"/>
      <c r="E627" s="226"/>
      <c r="F627" s="226"/>
      <c r="G627" s="226"/>
      <c r="H627" s="226"/>
      <c r="I627" s="226"/>
      <c r="J627" s="226"/>
      <c r="K627" s="226"/>
      <c r="L627" s="226"/>
      <c r="M627" s="226"/>
      <c r="N627" s="226"/>
      <c r="O627" s="226"/>
      <c r="P627" s="226"/>
      <c r="Q627" s="226"/>
      <c r="R627" s="226"/>
      <c r="S627" s="226"/>
      <c r="T627" s="279"/>
    </row>
    <row r="628" spans="1:20" ht="12.75" hidden="1" customHeight="1" outlineLevel="2" x14ac:dyDescent="0.2">
      <c r="A628" s="198" t="str">
        <f>"            "&amp;Labels!B317</f>
        <v xml:space="preserve">            Channels 1</v>
      </c>
      <c r="B628" s="189"/>
      <c r="C628" s="189">
        <f>1000/2/2/2/2</f>
        <v>62.5</v>
      </c>
      <c r="D628" s="189">
        <f>Sales!C278*D750</f>
        <v>0</v>
      </c>
      <c r="E628" s="189">
        <f>Sales!D278*E750</f>
        <v>0</v>
      </c>
      <c r="F628" s="189">
        <f>Sales!F278*F750</f>
        <v>0</v>
      </c>
      <c r="G628" s="189">
        <f>Sales!G278*G750</f>
        <v>0</v>
      </c>
      <c r="H628" s="189">
        <f>Sales!H278*H750</f>
        <v>0</v>
      </c>
      <c r="I628" s="189">
        <f>Sales!J278*I750</f>
        <v>0</v>
      </c>
      <c r="J628" s="189">
        <f>Sales!K278*J750</f>
        <v>0</v>
      </c>
      <c r="K628" s="189">
        <f>Sales!L278*K750</f>
        <v>0</v>
      </c>
      <c r="L628" s="189">
        <f>Sales!N278*L750</f>
        <v>0</v>
      </c>
      <c r="M628" s="189">
        <f>Sales!O278*M750</f>
        <v>0</v>
      </c>
      <c r="N628" s="189">
        <f>Sales!P278*N750</f>
        <v>0</v>
      </c>
      <c r="O628" s="189">
        <f>Sales!R278*O750</f>
        <v>0</v>
      </c>
      <c r="P628" s="189">
        <f>Sales!S278*P750</f>
        <v>0</v>
      </c>
      <c r="Q628" s="189">
        <f>Sales!T278*Q750</f>
        <v>0</v>
      </c>
      <c r="R628" s="189">
        <f>Sales!V278*R750</f>
        <v>0</v>
      </c>
      <c r="S628" s="189">
        <f>Sales!W278*S750</f>
        <v>0</v>
      </c>
      <c r="T628" s="294">
        <f>Sales!X278*T750</f>
        <v>0</v>
      </c>
    </row>
    <row r="629" spans="1:20" ht="12.75" hidden="1" customHeight="1" outlineLevel="2" x14ac:dyDescent="0.2">
      <c r="A629" s="198" t="str">
        <f>"            "&amp;Labels!B318</f>
        <v xml:space="preserve">            Channels 2</v>
      </c>
      <c r="B629" s="189"/>
      <c r="C629" s="189">
        <f>1000/2/2/2/2</f>
        <v>62.5</v>
      </c>
      <c r="D629" s="189">
        <f>Sales!C278*D751</f>
        <v>0</v>
      </c>
      <c r="E629" s="189">
        <f>Sales!D278*E751</f>
        <v>0</v>
      </c>
      <c r="F629" s="189">
        <f>Sales!F278*F751</f>
        <v>0</v>
      </c>
      <c r="G629" s="189">
        <f>Sales!G278*G751</f>
        <v>0</v>
      </c>
      <c r="H629" s="189">
        <f>Sales!H278*H751</f>
        <v>0</v>
      </c>
      <c r="I629" s="189">
        <f>Sales!J278*I751</f>
        <v>0</v>
      </c>
      <c r="J629" s="189">
        <f>Sales!K278*J751</f>
        <v>0</v>
      </c>
      <c r="K629" s="189">
        <f>Sales!L278*K751</f>
        <v>0</v>
      </c>
      <c r="L629" s="189">
        <f>Sales!N278*L751</f>
        <v>0</v>
      </c>
      <c r="M629" s="189">
        <f>Sales!O278*M751</f>
        <v>0</v>
      </c>
      <c r="N629" s="189">
        <f>Sales!P278*N751</f>
        <v>0</v>
      </c>
      <c r="O629" s="189">
        <f>Sales!R278*O751</f>
        <v>0</v>
      </c>
      <c r="P629" s="189">
        <f>Sales!S278*P751</f>
        <v>0</v>
      </c>
      <c r="Q629" s="189">
        <f>Sales!T278*Q751</f>
        <v>0</v>
      </c>
      <c r="R629" s="189">
        <f>Sales!V278*R751</f>
        <v>0</v>
      </c>
      <c r="S629" s="189">
        <f>Sales!W278*S751</f>
        <v>0</v>
      </c>
      <c r="T629" s="294">
        <f>Sales!X278*T751</f>
        <v>0</v>
      </c>
    </row>
    <row r="630" spans="1:20" ht="12.75" hidden="1" customHeight="1" outlineLevel="2" x14ac:dyDescent="0.2">
      <c r="A630" s="198" t="str">
        <f>"            "&amp;Labels!C316</f>
        <v xml:space="preserve">            Total</v>
      </c>
      <c r="B630" s="226"/>
      <c r="C630" s="226">
        <f t="shared" ref="C630:T630" si="342">SUM(C628:C629)</f>
        <v>125</v>
      </c>
      <c r="D630" s="226">
        <f t="shared" si="342"/>
        <v>0</v>
      </c>
      <c r="E630" s="226">
        <f t="shared" si="342"/>
        <v>0</v>
      </c>
      <c r="F630" s="226">
        <f t="shared" si="342"/>
        <v>0</v>
      </c>
      <c r="G630" s="226">
        <f t="shared" si="342"/>
        <v>0</v>
      </c>
      <c r="H630" s="226">
        <f t="shared" si="342"/>
        <v>0</v>
      </c>
      <c r="I630" s="226">
        <f t="shared" si="342"/>
        <v>0</v>
      </c>
      <c r="J630" s="226">
        <f t="shared" si="342"/>
        <v>0</v>
      </c>
      <c r="K630" s="226">
        <f t="shared" si="342"/>
        <v>0</v>
      </c>
      <c r="L630" s="226">
        <f t="shared" si="342"/>
        <v>0</v>
      </c>
      <c r="M630" s="226">
        <f t="shared" si="342"/>
        <v>0</v>
      </c>
      <c r="N630" s="226">
        <f t="shared" si="342"/>
        <v>0</v>
      </c>
      <c r="O630" s="226">
        <f t="shared" si="342"/>
        <v>0</v>
      </c>
      <c r="P630" s="226">
        <f t="shared" si="342"/>
        <v>0</v>
      </c>
      <c r="Q630" s="226">
        <f t="shared" si="342"/>
        <v>0</v>
      </c>
      <c r="R630" s="226">
        <f t="shared" si="342"/>
        <v>0</v>
      </c>
      <c r="S630" s="226">
        <f t="shared" si="342"/>
        <v>0</v>
      </c>
      <c r="T630" s="279">
        <f t="shared" si="342"/>
        <v>0</v>
      </c>
    </row>
    <row r="631" spans="1:20" ht="12.75" hidden="1" customHeight="1" outlineLevel="2" x14ac:dyDescent="0.2">
      <c r="A631" s="198" t="str">
        <f>"         "&amp;Labels!B386</f>
        <v xml:space="preserve">         Prof Level 2</v>
      </c>
      <c r="B631" s="226"/>
      <c r="C631" s="226"/>
      <c r="D631" s="226"/>
      <c r="E631" s="226"/>
      <c r="F631" s="226"/>
      <c r="G631" s="226"/>
      <c r="H631" s="226"/>
      <c r="I631" s="226"/>
      <c r="J631" s="226"/>
      <c r="K631" s="226"/>
      <c r="L631" s="226"/>
      <c r="M631" s="226"/>
      <c r="N631" s="226"/>
      <c r="O631" s="226"/>
      <c r="P631" s="226"/>
      <c r="Q631" s="226"/>
      <c r="R631" s="226"/>
      <c r="S631" s="226"/>
      <c r="T631" s="279"/>
    </row>
    <row r="632" spans="1:20" ht="12.75" hidden="1" customHeight="1" outlineLevel="2" x14ac:dyDescent="0.2">
      <c r="A632" s="198" t="str">
        <f>"            "&amp;Labels!B317</f>
        <v xml:space="preserve">            Channels 1</v>
      </c>
      <c r="B632" s="189"/>
      <c r="C632" s="189">
        <f>1000/2/2/2/2</f>
        <v>62.5</v>
      </c>
      <c r="D632" s="189">
        <f>Sales!C279*D754</f>
        <v>0</v>
      </c>
      <c r="E632" s="189">
        <f>Sales!D279*E754</f>
        <v>0</v>
      </c>
      <c r="F632" s="189">
        <f>Sales!F279*F754</f>
        <v>0</v>
      </c>
      <c r="G632" s="189">
        <f>Sales!G279*G754</f>
        <v>0</v>
      </c>
      <c r="H632" s="189">
        <f>Sales!H279*H754</f>
        <v>0</v>
      </c>
      <c r="I632" s="189">
        <f>Sales!J279*I754</f>
        <v>0</v>
      </c>
      <c r="J632" s="189">
        <f>Sales!K279*J754</f>
        <v>0</v>
      </c>
      <c r="K632" s="189">
        <f>Sales!L279*K754</f>
        <v>0</v>
      </c>
      <c r="L632" s="189">
        <f>Sales!N279*L754</f>
        <v>0</v>
      </c>
      <c r="M632" s="189">
        <f>Sales!O279*M754</f>
        <v>0</v>
      </c>
      <c r="N632" s="189">
        <f>Sales!P279*N754</f>
        <v>0</v>
      </c>
      <c r="O632" s="189">
        <f>Sales!R279*O754</f>
        <v>0</v>
      </c>
      <c r="P632" s="189">
        <f>Sales!S279*P754</f>
        <v>0</v>
      </c>
      <c r="Q632" s="189">
        <f>Sales!T279*Q754</f>
        <v>0</v>
      </c>
      <c r="R632" s="189">
        <f>Sales!V279*R754</f>
        <v>0</v>
      </c>
      <c r="S632" s="189">
        <f>Sales!W279*S754</f>
        <v>0</v>
      </c>
      <c r="T632" s="294">
        <f>Sales!X279*T754</f>
        <v>0</v>
      </c>
    </row>
    <row r="633" spans="1:20" ht="12.75" hidden="1" customHeight="1" outlineLevel="2" x14ac:dyDescent="0.2">
      <c r="A633" s="198" t="str">
        <f>"            "&amp;Labels!B318</f>
        <v xml:space="preserve">            Channels 2</v>
      </c>
      <c r="B633" s="189"/>
      <c r="C633" s="189">
        <f>1000/2/2/2/2</f>
        <v>62.5</v>
      </c>
      <c r="D633" s="189">
        <f>Sales!C279*D755</f>
        <v>0</v>
      </c>
      <c r="E633" s="189">
        <f>Sales!D279*E755</f>
        <v>0</v>
      </c>
      <c r="F633" s="189">
        <f>Sales!F279*F755</f>
        <v>0</v>
      </c>
      <c r="G633" s="189">
        <f>Sales!G279*G755</f>
        <v>0</v>
      </c>
      <c r="H633" s="189">
        <f>Sales!H279*H755</f>
        <v>0</v>
      </c>
      <c r="I633" s="189">
        <f>Sales!J279*I755</f>
        <v>0</v>
      </c>
      <c r="J633" s="189">
        <f>Sales!K279*J755</f>
        <v>0</v>
      </c>
      <c r="K633" s="189">
        <f>Sales!L279*K755</f>
        <v>0</v>
      </c>
      <c r="L633" s="189">
        <f>Sales!N279*L755</f>
        <v>0</v>
      </c>
      <c r="M633" s="189">
        <f>Sales!O279*M755</f>
        <v>0</v>
      </c>
      <c r="N633" s="189">
        <f>Sales!P279*N755</f>
        <v>0</v>
      </c>
      <c r="O633" s="189">
        <f>Sales!R279*O755</f>
        <v>0</v>
      </c>
      <c r="P633" s="189">
        <f>Sales!S279*P755</f>
        <v>0</v>
      </c>
      <c r="Q633" s="189">
        <f>Sales!T279*Q755</f>
        <v>0</v>
      </c>
      <c r="R633" s="189">
        <f>Sales!V279*R755</f>
        <v>0</v>
      </c>
      <c r="S633" s="189">
        <f>Sales!W279*S755</f>
        <v>0</v>
      </c>
      <c r="T633" s="294">
        <f>Sales!X279*T755</f>
        <v>0</v>
      </c>
    </row>
    <row r="634" spans="1:20" ht="12.75" hidden="1" customHeight="1" outlineLevel="2" x14ac:dyDescent="0.2">
      <c r="A634" s="198" t="str">
        <f>"            "&amp;Labels!C316</f>
        <v xml:space="preserve">            Total</v>
      </c>
      <c r="B634" s="226"/>
      <c r="C634" s="226">
        <f t="shared" ref="C634:T634" si="343">SUM(C632:C633)</f>
        <v>125</v>
      </c>
      <c r="D634" s="226">
        <f t="shared" si="343"/>
        <v>0</v>
      </c>
      <c r="E634" s="226">
        <f t="shared" si="343"/>
        <v>0</v>
      </c>
      <c r="F634" s="226">
        <f t="shared" si="343"/>
        <v>0</v>
      </c>
      <c r="G634" s="226">
        <f t="shared" si="343"/>
        <v>0</v>
      </c>
      <c r="H634" s="226">
        <f t="shared" si="343"/>
        <v>0</v>
      </c>
      <c r="I634" s="226">
        <f t="shared" si="343"/>
        <v>0</v>
      </c>
      <c r="J634" s="226">
        <f t="shared" si="343"/>
        <v>0</v>
      </c>
      <c r="K634" s="226">
        <f t="shared" si="343"/>
        <v>0</v>
      </c>
      <c r="L634" s="226">
        <f t="shared" si="343"/>
        <v>0</v>
      </c>
      <c r="M634" s="226">
        <f t="shared" si="343"/>
        <v>0</v>
      </c>
      <c r="N634" s="226">
        <f t="shared" si="343"/>
        <v>0</v>
      </c>
      <c r="O634" s="226">
        <f t="shared" si="343"/>
        <v>0</v>
      </c>
      <c r="P634" s="226">
        <f t="shared" si="343"/>
        <v>0</v>
      </c>
      <c r="Q634" s="226">
        <f t="shared" si="343"/>
        <v>0</v>
      </c>
      <c r="R634" s="226">
        <f t="shared" si="343"/>
        <v>0</v>
      </c>
      <c r="S634" s="226">
        <f t="shared" si="343"/>
        <v>0</v>
      </c>
      <c r="T634" s="279">
        <f t="shared" si="343"/>
        <v>0</v>
      </c>
    </row>
    <row r="635" spans="1:20" ht="12.75" hidden="1" customHeight="1" outlineLevel="2" x14ac:dyDescent="0.2">
      <c r="A635" s="198" t="str">
        <f>"         "&amp;Labels!C384</f>
        <v xml:space="preserve">         Total</v>
      </c>
      <c r="B635" s="226"/>
      <c r="C635" s="226">
        <f t="shared" ref="C635:T635" si="344">SUM(C630,C634)</f>
        <v>250</v>
      </c>
      <c r="D635" s="226">
        <f t="shared" si="344"/>
        <v>0</v>
      </c>
      <c r="E635" s="226">
        <f t="shared" si="344"/>
        <v>0</v>
      </c>
      <c r="F635" s="226">
        <f t="shared" si="344"/>
        <v>0</v>
      </c>
      <c r="G635" s="226">
        <f t="shared" si="344"/>
        <v>0</v>
      </c>
      <c r="H635" s="226">
        <f t="shared" si="344"/>
        <v>0</v>
      </c>
      <c r="I635" s="226">
        <f t="shared" si="344"/>
        <v>0</v>
      </c>
      <c r="J635" s="226">
        <f t="shared" si="344"/>
        <v>0</v>
      </c>
      <c r="K635" s="226">
        <f t="shared" si="344"/>
        <v>0</v>
      </c>
      <c r="L635" s="226">
        <f t="shared" si="344"/>
        <v>0</v>
      </c>
      <c r="M635" s="226">
        <f t="shared" si="344"/>
        <v>0</v>
      </c>
      <c r="N635" s="226">
        <f t="shared" si="344"/>
        <v>0</v>
      </c>
      <c r="O635" s="226">
        <f t="shared" si="344"/>
        <v>0</v>
      </c>
      <c r="P635" s="226">
        <f t="shared" si="344"/>
        <v>0</v>
      </c>
      <c r="Q635" s="226">
        <f t="shared" si="344"/>
        <v>0</v>
      </c>
      <c r="R635" s="226">
        <f t="shared" si="344"/>
        <v>0</v>
      </c>
      <c r="S635" s="226">
        <f t="shared" si="344"/>
        <v>0</v>
      </c>
      <c r="T635" s="279">
        <f t="shared" si="344"/>
        <v>0</v>
      </c>
    </row>
    <row r="636" spans="1:20" ht="12.75" hidden="1" customHeight="1" outlineLevel="2" x14ac:dyDescent="0.2">
      <c r="A636" s="198" t="str">
        <f>"            "&amp;Labels!B317</f>
        <v xml:space="preserve">            Channels 1</v>
      </c>
      <c r="B636" s="189"/>
      <c r="C636" s="189">
        <f t="shared" ref="C636:T636" si="345">SUM(C628,C632)</f>
        <v>125</v>
      </c>
      <c r="D636" s="189">
        <f t="shared" si="345"/>
        <v>0</v>
      </c>
      <c r="E636" s="189">
        <f t="shared" si="345"/>
        <v>0</v>
      </c>
      <c r="F636" s="189">
        <f t="shared" si="345"/>
        <v>0</v>
      </c>
      <c r="G636" s="189">
        <f t="shared" si="345"/>
        <v>0</v>
      </c>
      <c r="H636" s="189">
        <f t="shared" si="345"/>
        <v>0</v>
      </c>
      <c r="I636" s="189">
        <f t="shared" si="345"/>
        <v>0</v>
      </c>
      <c r="J636" s="189">
        <f t="shared" si="345"/>
        <v>0</v>
      </c>
      <c r="K636" s="189">
        <f t="shared" si="345"/>
        <v>0</v>
      </c>
      <c r="L636" s="189">
        <f t="shared" si="345"/>
        <v>0</v>
      </c>
      <c r="M636" s="189">
        <f t="shared" si="345"/>
        <v>0</v>
      </c>
      <c r="N636" s="189">
        <f t="shared" si="345"/>
        <v>0</v>
      </c>
      <c r="O636" s="189">
        <f t="shared" si="345"/>
        <v>0</v>
      </c>
      <c r="P636" s="189">
        <f t="shared" si="345"/>
        <v>0</v>
      </c>
      <c r="Q636" s="189">
        <f t="shared" si="345"/>
        <v>0</v>
      </c>
      <c r="R636" s="189">
        <f t="shared" si="345"/>
        <v>0</v>
      </c>
      <c r="S636" s="189">
        <f t="shared" si="345"/>
        <v>0</v>
      </c>
      <c r="T636" s="294">
        <f t="shared" si="345"/>
        <v>0</v>
      </c>
    </row>
    <row r="637" spans="1:20" ht="12.75" hidden="1" customHeight="1" outlineLevel="2" x14ac:dyDescent="0.2">
      <c r="A637" s="198" t="str">
        <f>"            "&amp;Labels!B318</f>
        <v xml:space="preserve">            Channels 2</v>
      </c>
      <c r="B637" s="189"/>
      <c r="C637" s="189">
        <f t="shared" ref="C637:T637" si="346">SUM(C629,C633)</f>
        <v>125</v>
      </c>
      <c r="D637" s="189">
        <f t="shared" si="346"/>
        <v>0</v>
      </c>
      <c r="E637" s="189">
        <f t="shared" si="346"/>
        <v>0</v>
      </c>
      <c r="F637" s="189">
        <f t="shared" si="346"/>
        <v>0</v>
      </c>
      <c r="G637" s="189">
        <f t="shared" si="346"/>
        <v>0</v>
      </c>
      <c r="H637" s="189">
        <f t="shared" si="346"/>
        <v>0</v>
      </c>
      <c r="I637" s="189">
        <f t="shared" si="346"/>
        <v>0</v>
      </c>
      <c r="J637" s="189">
        <f t="shared" si="346"/>
        <v>0</v>
      </c>
      <c r="K637" s="189">
        <f t="shared" si="346"/>
        <v>0</v>
      </c>
      <c r="L637" s="189">
        <f t="shared" si="346"/>
        <v>0</v>
      </c>
      <c r="M637" s="189">
        <f t="shared" si="346"/>
        <v>0</v>
      </c>
      <c r="N637" s="189">
        <f t="shared" si="346"/>
        <v>0</v>
      </c>
      <c r="O637" s="189">
        <f t="shared" si="346"/>
        <v>0</v>
      </c>
      <c r="P637" s="189">
        <f t="shared" si="346"/>
        <v>0</v>
      </c>
      <c r="Q637" s="189">
        <f t="shared" si="346"/>
        <v>0</v>
      </c>
      <c r="R637" s="189">
        <f t="shared" si="346"/>
        <v>0</v>
      </c>
      <c r="S637" s="189">
        <f t="shared" si="346"/>
        <v>0</v>
      </c>
      <c r="T637" s="294">
        <f t="shared" si="346"/>
        <v>0</v>
      </c>
    </row>
    <row r="638" spans="1:20" ht="12.75" hidden="1" customHeight="1" outlineLevel="2" x14ac:dyDescent="0.2">
      <c r="A638" s="198" t="str">
        <f>"            "&amp;Labels!C316</f>
        <v xml:space="preserve">            Total</v>
      </c>
      <c r="B638" s="226"/>
      <c r="C638" s="226">
        <f t="shared" ref="C638:T638" si="347">SUM(C630,C634)</f>
        <v>250</v>
      </c>
      <c r="D638" s="226">
        <f t="shared" si="347"/>
        <v>0</v>
      </c>
      <c r="E638" s="226">
        <f t="shared" si="347"/>
        <v>0</v>
      </c>
      <c r="F638" s="226">
        <f t="shared" si="347"/>
        <v>0</v>
      </c>
      <c r="G638" s="226">
        <f t="shared" si="347"/>
        <v>0</v>
      </c>
      <c r="H638" s="226">
        <f t="shared" si="347"/>
        <v>0</v>
      </c>
      <c r="I638" s="226">
        <f t="shared" si="347"/>
        <v>0</v>
      </c>
      <c r="J638" s="226">
        <f t="shared" si="347"/>
        <v>0</v>
      </c>
      <c r="K638" s="226">
        <f t="shared" si="347"/>
        <v>0</v>
      </c>
      <c r="L638" s="226">
        <f t="shared" si="347"/>
        <v>0</v>
      </c>
      <c r="M638" s="226">
        <f t="shared" si="347"/>
        <v>0</v>
      </c>
      <c r="N638" s="226">
        <f t="shared" si="347"/>
        <v>0</v>
      </c>
      <c r="O638" s="226">
        <f t="shared" si="347"/>
        <v>0</v>
      </c>
      <c r="P638" s="226">
        <f t="shared" si="347"/>
        <v>0</v>
      </c>
      <c r="Q638" s="226">
        <f t="shared" si="347"/>
        <v>0</v>
      </c>
      <c r="R638" s="226">
        <f t="shared" si="347"/>
        <v>0</v>
      </c>
      <c r="S638" s="226">
        <f t="shared" si="347"/>
        <v>0</v>
      </c>
      <c r="T638" s="279">
        <f t="shared" si="347"/>
        <v>0</v>
      </c>
    </row>
    <row r="639" spans="1:20" ht="12.75" hidden="1" customHeight="1" outlineLevel="2" x14ac:dyDescent="0.2">
      <c r="A639" s="198" t="str">
        <f>"      "&amp;Labels!B382</f>
        <v xml:space="preserve">      Practice 2</v>
      </c>
      <c r="B639" s="226"/>
      <c r="C639" s="226"/>
      <c r="D639" s="226"/>
      <c r="E639" s="226"/>
      <c r="F639" s="226"/>
      <c r="G639" s="226"/>
      <c r="H639" s="226"/>
      <c r="I639" s="226"/>
      <c r="J639" s="226"/>
      <c r="K639" s="226"/>
      <c r="L639" s="226"/>
      <c r="M639" s="226"/>
      <c r="N639" s="226"/>
      <c r="O639" s="226"/>
      <c r="P639" s="226"/>
      <c r="Q639" s="226"/>
      <c r="R639" s="226"/>
      <c r="S639" s="226"/>
      <c r="T639" s="279"/>
    </row>
    <row r="640" spans="1:20" ht="12.75" hidden="1" customHeight="1" outlineLevel="2" x14ac:dyDescent="0.2">
      <c r="A640" s="198" t="str">
        <f>"         "&amp;Labels!B385</f>
        <v xml:space="preserve">         Prof Level 1</v>
      </c>
      <c r="B640" s="226"/>
      <c r="C640" s="226"/>
      <c r="D640" s="226"/>
      <c r="E640" s="226"/>
      <c r="F640" s="226"/>
      <c r="G640" s="226"/>
      <c r="H640" s="226"/>
      <c r="I640" s="226"/>
      <c r="J640" s="226"/>
      <c r="K640" s="226"/>
      <c r="L640" s="226"/>
      <c r="M640" s="226"/>
      <c r="N640" s="226"/>
      <c r="O640" s="226"/>
      <c r="P640" s="226"/>
      <c r="Q640" s="226"/>
      <c r="R640" s="226"/>
      <c r="S640" s="226"/>
      <c r="T640" s="279"/>
    </row>
    <row r="641" spans="1:20" ht="12.75" hidden="1" customHeight="1" outlineLevel="2" x14ac:dyDescent="0.2">
      <c r="A641" s="198" t="str">
        <f>"            "&amp;Labels!B317</f>
        <v xml:space="preserve">            Channels 1</v>
      </c>
      <c r="B641" s="189"/>
      <c r="C641" s="189">
        <f>1000/2/2/2/2</f>
        <v>62.5</v>
      </c>
      <c r="D641" s="189">
        <f>Sales!C282*D763</f>
        <v>0</v>
      </c>
      <c r="E641" s="189">
        <f>Sales!D282*E763</f>
        <v>0</v>
      </c>
      <c r="F641" s="189">
        <f>Sales!F282*F763</f>
        <v>0</v>
      </c>
      <c r="G641" s="189">
        <f>Sales!G282*G763</f>
        <v>0</v>
      </c>
      <c r="H641" s="189">
        <f>Sales!H282*H763</f>
        <v>0</v>
      </c>
      <c r="I641" s="189">
        <f>Sales!J282*I763</f>
        <v>0</v>
      </c>
      <c r="J641" s="189">
        <f>Sales!K282*J763</f>
        <v>0</v>
      </c>
      <c r="K641" s="189">
        <f>Sales!L282*K763</f>
        <v>0</v>
      </c>
      <c r="L641" s="189">
        <f>Sales!N282*L763</f>
        <v>0</v>
      </c>
      <c r="M641" s="189">
        <f>Sales!O282*M763</f>
        <v>0</v>
      </c>
      <c r="N641" s="189">
        <f>Sales!P282*N763</f>
        <v>0</v>
      </c>
      <c r="O641" s="189">
        <f>Sales!R282*O763</f>
        <v>0</v>
      </c>
      <c r="P641" s="189">
        <f>Sales!S282*P763</f>
        <v>0</v>
      </c>
      <c r="Q641" s="189">
        <f>Sales!T282*Q763</f>
        <v>0</v>
      </c>
      <c r="R641" s="189">
        <f>Sales!V282*R763</f>
        <v>0</v>
      </c>
      <c r="S641" s="189">
        <f>Sales!W282*S763</f>
        <v>0</v>
      </c>
      <c r="T641" s="294">
        <f>Sales!X282*T763</f>
        <v>0</v>
      </c>
    </row>
    <row r="642" spans="1:20" ht="12.75" hidden="1" customHeight="1" outlineLevel="2" x14ac:dyDescent="0.2">
      <c r="A642" s="198" t="str">
        <f>"            "&amp;Labels!B318</f>
        <v xml:space="preserve">            Channels 2</v>
      </c>
      <c r="B642" s="189"/>
      <c r="C642" s="189">
        <f>1000/2/2/2/2</f>
        <v>62.5</v>
      </c>
      <c r="D642" s="189">
        <f>Sales!C282*D764</f>
        <v>0</v>
      </c>
      <c r="E642" s="189">
        <f>Sales!D282*E764</f>
        <v>0</v>
      </c>
      <c r="F642" s="189">
        <f>Sales!F282*F764</f>
        <v>0</v>
      </c>
      <c r="G642" s="189">
        <f>Sales!G282*G764</f>
        <v>0</v>
      </c>
      <c r="H642" s="189">
        <f>Sales!H282*H764</f>
        <v>0</v>
      </c>
      <c r="I642" s="189">
        <f>Sales!J282*I764</f>
        <v>0</v>
      </c>
      <c r="J642" s="189">
        <f>Sales!K282*J764</f>
        <v>0</v>
      </c>
      <c r="K642" s="189">
        <f>Sales!L282*K764</f>
        <v>0</v>
      </c>
      <c r="L642" s="189">
        <f>Sales!N282*L764</f>
        <v>0</v>
      </c>
      <c r="M642" s="189">
        <f>Sales!O282*M764</f>
        <v>0</v>
      </c>
      <c r="N642" s="189">
        <f>Sales!P282*N764</f>
        <v>0</v>
      </c>
      <c r="O642" s="189">
        <f>Sales!R282*O764</f>
        <v>0</v>
      </c>
      <c r="P642" s="189">
        <f>Sales!S282*P764</f>
        <v>0</v>
      </c>
      <c r="Q642" s="189">
        <f>Sales!T282*Q764</f>
        <v>0</v>
      </c>
      <c r="R642" s="189">
        <f>Sales!V282*R764</f>
        <v>0</v>
      </c>
      <c r="S642" s="189">
        <f>Sales!W282*S764</f>
        <v>0</v>
      </c>
      <c r="T642" s="294">
        <f>Sales!X282*T764</f>
        <v>0</v>
      </c>
    </row>
    <row r="643" spans="1:20" ht="12.75" hidden="1" customHeight="1" outlineLevel="2" x14ac:dyDescent="0.2">
      <c r="A643" s="198" t="str">
        <f>"            "&amp;Labels!C316</f>
        <v xml:space="preserve">            Total</v>
      </c>
      <c r="B643" s="226"/>
      <c r="C643" s="226">
        <f t="shared" ref="C643:T643" si="348">SUM(C641:C642)</f>
        <v>125</v>
      </c>
      <c r="D643" s="226">
        <f t="shared" si="348"/>
        <v>0</v>
      </c>
      <c r="E643" s="226">
        <f t="shared" si="348"/>
        <v>0</v>
      </c>
      <c r="F643" s="226">
        <f t="shared" si="348"/>
        <v>0</v>
      </c>
      <c r="G643" s="226">
        <f t="shared" si="348"/>
        <v>0</v>
      </c>
      <c r="H643" s="226">
        <f t="shared" si="348"/>
        <v>0</v>
      </c>
      <c r="I643" s="226">
        <f t="shared" si="348"/>
        <v>0</v>
      </c>
      <c r="J643" s="226">
        <f t="shared" si="348"/>
        <v>0</v>
      </c>
      <c r="K643" s="226">
        <f t="shared" si="348"/>
        <v>0</v>
      </c>
      <c r="L643" s="226">
        <f t="shared" si="348"/>
        <v>0</v>
      </c>
      <c r="M643" s="226">
        <f t="shared" si="348"/>
        <v>0</v>
      </c>
      <c r="N643" s="226">
        <f t="shared" si="348"/>
        <v>0</v>
      </c>
      <c r="O643" s="226">
        <f t="shared" si="348"/>
        <v>0</v>
      </c>
      <c r="P643" s="226">
        <f t="shared" si="348"/>
        <v>0</v>
      </c>
      <c r="Q643" s="226">
        <f t="shared" si="348"/>
        <v>0</v>
      </c>
      <c r="R643" s="226">
        <f t="shared" si="348"/>
        <v>0</v>
      </c>
      <c r="S643" s="226">
        <f t="shared" si="348"/>
        <v>0</v>
      </c>
      <c r="T643" s="279">
        <f t="shared" si="348"/>
        <v>0</v>
      </c>
    </row>
    <row r="644" spans="1:20" ht="12.75" hidden="1" customHeight="1" outlineLevel="2" x14ac:dyDescent="0.2">
      <c r="A644" s="198" t="str">
        <f>"         "&amp;Labels!B386</f>
        <v xml:space="preserve">         Prof Level 2</v>
      </c>
      <c r="B644" s="226"/>
      <c r="C644" s="226"/>
      <c r="D644" s="226"/>
      <c r="E644" s="226"/>
      <c r="F644" s="226"/>
      <c r="G644" s="226"/>
      <c r="H644" s="226"/>
      <c r="I644" s="226"/>
      <c r="J644" s="226"/>
      <c r="K644" s="226"/>
      <c r="L644" s="226"/>
      <c r="M644" s="226"/>
      <c r="N644" s="226"/>
      <c r="O644" s="226"/>
      <c r="P644" s="226"/>
      <c r="Q644" s="226"/>
      <c r="R644" s="226"/>
      <c r="S644" s="226"/>
      <c r="T644" s="279"/>
    </row>
    <row r="645" spans="1:20" ht="12.75" hidden="1" customHeight="1" outlineLevel="2" x14ac:dyDescent="0.2">
      <c r="A645" s="198" t="str">
        <f>"            "&amp;Labels!B317</f>
        <v xml:space="preserve">            Channels 1</v>
      </c>
      <c r="B645" s="189"/>
      <c r="C645" s="189">
        <f>1000/2/2/2/2</f>
        <v>62.5</v>
      </c>
      <c r="D645" s="189">
        <f>Sales!C283*D767</f>
        <v>0</v>
      </c>
      <c r="E645" s="189">
        <f>Sales!D283*E767</f>
        <v>0</v>
      </c>
      <c r="F645" s="189">
        <f>Sales!F283*F767</f>
        <v>0</v>
      </c>
      <c r="G645" s="189">
        <f>Sales!G283*G767</f>
        <v>0</v>
      </c>
      <c r="H645" s="189">
        <f>Sales!H283*H767</f>
        <v>0</v>
      </c>
      <c r="I645" s="189">
        <f>Sales!J283*I767</f>
        <v>0</v>
      </c>
      <c r="J645" s="189">
        <f>Sales!K283*J767</f>
        <v>0</v>
      </c>
      <c r="K645" s="189">
        <f>Sales!L283*K767</f>
        <v>0</v>
      </c>
      <c r="L645" s="189">
        <f>Sales!N283*L767</f>
        <v>0</v>
      </c>
      <c r="M645" s="189">
        <f>Sales!O283*M767</f>
        <v>0</v>
      </c>
      <c r="N645" s="189">
        <f>Sales!P283*N767</f>
        <v>0</v>
      </c>
      <c r="O645" s="189">
        <f>Sales!R283*O767</f>
        <v>0</v>
      </c>
      <c r="P645" s="189">
        <f>Sales!S283*P767</f>
        <v>0</v>
      </c>
      <c r="Q645" s="189">
        <f>Sales!T283*Q767</f>
        <v>0</v>
      </c>
      <c r="R645" s="189">
        <f>Sales!V283*R767</f>
        <v>0</v>
      </c>
      <c r="S645" s="189">
        <f>Sales!W283*S767</f>
        <v>0</v>
      </c>
      <c r="T645" s="294">
        <f>Sales!X283*T767</f>
        <v>0</v>
      </c>
    </row>
    <row r="646" spans="1:20" ht="12.75" hidden="1" customHeight="1" outlineLevel="2" x14ac:dyDescent="0.2">
      <c r="A646" s="198" t="str">
        <f>"            "&amp;Labels!B318</f>
        <v xml:space="preserve">            Channels 2</v>
      </c>
      <c r="B646" s="189"/>
      <c r="C646" s="189">
        <f>1000/2/2/2/2</f>
        <v>62.5</v>
      </c>
      <c r="D646" s="189">
        <f>Sales!C283*D768</f>
        <v>0</v>
      </c>
      <c r="E646" s="189">
        <f>Sales!D283*E768</f>
        <v>0</v>
      </c>
      <c r="F646" s="189">
        <f>Sales!F283*F768</f>
        <v>0</v>
      </c>
      <c r="G646" s="189">
        <f>Sales!G283*G768</f>
        <v>0</v>
      </c>
      <c r="H646" s="189">
        <f>Sales!H283*H768</f>
        <v>0</v>
      </c>
      <c r="I646" s="189">
        <f>Sales!J283*I768</f>
        <v>0</v>
      </c>
      <c r="J646" s="189">
        <f>Sales!K283*J768</f>
        <v>0</v>
      </c>
      <c r="K646" s="189">
        <f>Sales!L283*K768</f>
        <v>0</v>
      </c>
      <c r="L646" s="189">
        <f>Sales!N283*L768</f>
        <v>0</v>
      </c>
      <c r="M646" s="189">
        <f>Sales!O283*M768</f>
        <v>0</v>
      </c>
      <c r="N646" s="189">
        <f>Sales!P283*N768</f>
        <v>0</v>
      </c>
      <c r="O646" s="189">
        <f>Sales!R283*O768</f>
        <v>0</v>
      </c>
      <c r="P646" s="189">
        <f>Sales!S283*P768</f>
        <v>0</v>
      </c>
      <c r="Q646" s="189">
        <f>Sales!T283*Q768</f>
        <v>0</v>
      </c>
      <c r="R646" s="189">
        <f>Sales!V283*R768</f>
        <v>0</v>
      </c>
      <c r="S646" s="189">
        <f>Sales!W283*S768</f>
        <v>0</v>
      </c>
      <c r="T646" s="294">
        <f>Sales!X283*T768</f>
        <v>0</v>
      </c>
    </row>
    <row r="647" spans="1:20" ht="12.75" hidden="1" customHeight="1" outlineLevel="2" x14ac:dyDescent="0.2">
      <c r="A647" s="198" t="str">
        <f>"            "&amp;Labels!C316</f>
        <v xml:space="preserve">            Total</v>
      </c>
      <c r="B647" s="226"/>
      <c r="C647" s="226">
        <f t="shared" ref="C647:T647" si="349">SUM(C645:C646)</f>
        <v>125</v>
      </c>
      <c r="D647" s="226">
        <f t="shared" si="349"/>
        <v>0</v>
      </c>
      <c r="E647" s="226">
        <f t="shared" si="349"/>
        <v>0</v>
      </c>
      <c r="F647" s="226">
        <f t="shared" si="349"/>
        <v>0</v>
      </c>
      <c r="G647" s="226">
        <f t="shared" si="349"/>
        <v>0</v>
      </c>
      <c r="H647" s="226">
        <f t="shared" si="349"/>
        <v>0</v>
      </c>
      <c r="I647" s="226">
        <f t="shared" si="349"/>
        <v>0</v>
      </c>
      <c r="J647" s="226">
        <f t="shared" si="349"/>
        <v>0</v>
      </c>
      <c r="K647" s="226">
        <f t="shared" si="349"/>
        <v>0</v>
      </c>
      <c r="L647" s="226">
        <f t="shared" si="349"/>
        <v>0</v>
      </c>
      <c r="M647" s="226">
        <f t="shared" si="349"/>
        <v>0</v>
      </c>
      <c r="N647" s="226">
        <f t="shared" si="349"/>
        <v>0</v>
      </c>
      <c r="O647" s="226">
        <f t="shared" si="349"/>
        <v>0</v>
      </c>
      <c r="P647" s="226">
        <f t="shared" si="349"/>
        <v>0</v>
      </c>
      <c r="Q647" s="226">
        <f t="shared" si="349"/>
        <v>0</v>
      </c>
      <c r="R647" s="226">
        <f t="shared" si="349"/>
        <v>0</v>
      </c>
      <c r="S647" s="226">
        <f t="shared" si="349"/>
        <v>0</v>
      </c>
      <c r="T647" s="279">
        <f t="shared" si="349"/>
        <v>0</v>
      </c>
    </row>
    <row r="648" spans="1:20" ht="12.75" hidden="1" customHeight="1" outlineLevel="2" x14ac:dyDescent="0.2">
      <c r="A648" s="198" t="str">
        <f>"         "&amp;Labels!C384</f>
        <v xml:space="preserve">         Total</v>
      </c>
      <c r="B648" s="226"/>
      <c r="C648" s="226">
        <f t="shared" ref="C648:T648" si="350">SUM(C643,C647)</f>
        <v>250</v>
      </c>
      <c r="D648" s="226">
        <f t="shared" si="350"/>
        <v>0</v>
      </c>
      <c r="E648" s="226">
        <f t="shared" si="350"/>
        <v>0</v>
      </c>
      <c r="F648" s="226">
        <f t="shared" si="350"/>
        <v>0</v>
      </c>
      <c r="G648" s="226">
        <f t="shared" si="350"/>
        <v>0</v>
      </c>
      <c r="H648" s="226">
        <f t="shared" si="350"/>
        <v>0</v>
      </c>
      <c r="I648" s="226">
        <f t="shared" si="350"/>
        <v>0</v>
      </c>
      <c r="J648" s="226">
        <f t="shared" si="350"/>
        <v>0</v>
      </c>
      <c r="K648" s="226">
        <f t="shared" si="350"/>
        <v>0</v>
      </c>
      <c r="L648" s="226">
        <f t="shared" si="350"/>
        <v>0</v>
      </c>
      <c r="M648" s="226">
        <f t="shared" si="350"/>
        <v>0</v>
      </c>
      <c r="N648" s="226">
        <f t="shared" si="350"/>
        <v>0</v>
      </c>
      <c r="O648" s="226">
        <f t="shared" si="350"/>
        <v>0</v>
      </c>
      <c r="P648" s="226">
        <f t="shared" si="350"/>
        <v>0</v>
      </c>
      <c r="Q648" s="226">
        <f t="shared" si="350"/>
        <v>0</v>
      </c>
      <c r="R648" s="226">
        <f t="shared" si="350"/>
        <v>0</v>
      </c>
      <c r="S648" s="226">
        <f t="shared" si="350"/>
        <v>0</v>
      </c>
      <c r="T648" s="279">
        <f t="shared" si="350"/>
        <v>0</v>
      </c>
    </row>
    <row r="649" spans="1:20" ht="12.75" hidden="1" customHeight="1" outlineLevel="2" x14ac:dyDescent="0.2">
      <c r="A649" s="198" t="str">
        <f>"            "&amp;Labels!B317</f>
        <v xml:space="preserve">            Channels 1</v>
      </c>
      <c r="B649" s="189"/>
      <c r="C649" s="189">
        <f t="shared" ref="C649:T649" si="351">SUM(C641,C645)</f>
        <v>125</v>
      </c>
      <c r="D649" s="189">
        <f t="shared" si="351"/>
        <v>0</v>
      </c>
      <c r="E649" s="189">
        <f t="shared" si="351"/>
        <v>0</v>
      </c>
      <c r="F649" s="189">
        <f t="shared" si="351"/>
        <v>0</v>
      </c>
      <c r="G649" s="189">
        <f t="shared" si="351"/>
        <v>0</v>
      </c>
      <c r="H649" s="189">
        <f t="shared" si="351"/>
        <v>0</v>
      </c>
      <c r="I649" s="189">
        <f t="shared" si="351"/>
        <v>0</v>
      </c>
      <c r="J649" s="189">
        <f t="shared" si="351"/>
        <v>0</v>
      </c>
      <c r="K649" s="189">
        <f t="shared" si="351"/>
        <v>0</v>
      </c>
      <c r="L649" s="189">
        <f t="shared" si="351"/>
        <v>0</v>
      </c>
      <c r="M649" s="189">
        <f t="shared" si="351"/>
        <v>0</v>
      </c>
      <c r="N649" s="189">
        <f t="shared" si="351"/>
        <v>0</v>
      </c>
      <c r="O649" s="189">
        <f t="shared" si="351"/>
        <v>0</v>
      </c>
      <c r="P649" s="189">
        <f t="shared" si="351"/>
        <v>0</v>
      </c>
      <c r="Q649" s="189">
        <f t="shared" si="351"/>
        <v>0</v>
      </c>
      <c r="R649" s="189">
        <f t="shared" si="351"/>
        <v>0</v>
      </c>
      <c r="S649" s="189">
        <f t="shared" si="351"/>
        <v>0</v>
      </c>
      <c r="T649" s="294">
        <f t="shared" si="351"/>
        <v>0</v>
      </c>
    </row>
    <row r="650" spans="1:20" ht="12.75" hidden="1" customHeight="1" outlineLevel="2" x14ac:dyDescent="0.2">
      <c r="A650" s="198" t="str">
        <f>"            "&amp;Labels!B318</f>
        <v xml:space="preserve">            Channels 2</v>
      </c>
      <c r="B650" s="189"/>
      <c r="C650" s="189">
        <f t="shared" ref="C650:T650" si="352">SUM(C642,C646)</f>
        <v>125</v>
      </c>
      <c r="D650" s="189">
        <f t="shared" si="352"/>
        <v>0</v>
      </c>
      <c r="E650" s="189">
        <f t="shared" si="352"/>
        <v>0</v>
      </c>
      <c r="F650" s="189">
        <f t="shared" si="352"/>
        <v>0</v>
      </c>
      <c r="G650" s="189">
        <f t="shared" si="352"/>
        <v>0</v>
      </c>
      <c r="H650" s="189">
        <f t="shared" si="352"/>
        <v>0</v>
      </c>
      <c r="I650" s="189">
        <f t="shared" si="352"/>
        <v>0</v>
      </c>
      <c r="J650" s="189">
        <f t="shared" si="352"/>
        <v>0</v>
      </c>
      <c r="K650" s="189">
        <f t="shared" si="352"/>
        <v>0</v>
      </c>
      <c r="L650" s="189">
        <f t="shared" si="352"/>
        <v>0</v>
      </c>
      <c r="M650" s="189">
        <f t="shared" si="352"/>
        <v>0</v>
      </c>
      <c r="N650" s="189">
        <f t="shared" si="352"/>
        <v>0</v>
      </c>
      <c r="O650" s="189">
        <f t="shared" si="352"/>
        <v>0</v>
      </c>
      <c r="P650" s="189">
        <f t="shared" si="352"/>
        <v>0</v>
      </c>
      <c r="Q650" s="189">
        <f t="shared" si="352"/>
        <v>0</v>
      </c>
      <c r="R650" s="189">
        <f t="shared" si="352"/>
        <v>0</v>
      </c>
      <c r="S650" s="189">
        <f t="shared" si="352"/>
        <v>0</v>
      </c>
      <c r="T650" s="294">
        <f t="shared" si="352"/>
        <v>0</v>
      </c>
    </row>
    <row r="651" spans="1:20" ht="12.75" hidden="1" customHeight="1" outlineLevel="2" x14ac:dyDescent="0.2">
      <c r="A651" s="198" t="str">
        <f>"            "&amp;Labels!C316</f>
        <v xml:space="preserve">            Total</v>
      </c>
      <c r="B651" s="226"/>
      <c r="C651" s="226">
        <f t="shared" ref="C651:T651" si="353">SUM(C643,C647)</f>
        <v>250</v>
      </c>
      <c r="D651" s="226">
        <f t="shared" si="353"/>
        <v>0</v>
      </c>
      <c r="E651" s="226">
        <f t="shared" si="353"/>
        <v>0</v>
      </c>
      <c r="F651" s="226">
        <f t="shared" si="353"/>
        <v>0</v>
      </c>
      <c r="G651" s="226">
        <f t="shared" si="353"/>
        <v>0</v>
      </c>
      <c r="H651" s="226">
        <f t="shared" si="353"/>
        <v>0</v>
      </c>
      <c r="I651" s="226">
        <f t="shared" si="353"/>
        <v>0</v>
      </c>
      <c r="J651" s="226">
        <f t="shared" si="353"/>
        <v>0</v>
      </c>
      <c r="K651" s="226">
        <f t="shared" si="353"/>
        <v>0</v>
      </c>
      <c r="L651" s="226">
        <f t="shared" si="353"/>
        <v>0</v>
      </c>
      <c r="M651" s="226">
        <f t="shared" si="353"/>
        <v>0</v>
      </c>
      <c r="N651" s="226">
        <f t="shared" si="353"/>
        <v>0</v>
      </c>
      <c r="O651" s="226">
        <f t="shared" si="353"/>
        <v>0</v>
      </c>
      <c r="P651" s="226">
        <f t="shared" si="353"/>
        <v>0</v>
      </c>
      <c r="Q651" s="226">
        <f t="shared" si="353"/>
        <v>0</v>
      </c>
      <c r="R651" s="226">
        <f t="shared" si="353"/>
        <v>0</v>
      </c>
      <c r="S651" s="226">
        <f t="shared" si="353"/>
        <v>0</v>
      </c>
      <c r="T651" s="279">
        <f t="shared" si="353"/>
        <v>0</v>
      </c>
    </row>
    <row r="652" spans="1:20" ht="12.75" hidden="1" customHeight="1" outlineLevel="2" x14ac:dyDescent="0.2">
      <c r="A652" s="188" t="str">
        <f>"      "&amp;Labels!C380</f>
        <v xml:space="preserve">      Total</v>
      </c>
      <c r="B652" s="196"/>
      <c r="C652" s="196">
        <f t="shared" ref="C652:T652" si="354">SUM(C635,C648)</f>
        <v>500</v>
      </c>
      <c r="D652" s="196">
        <f t="shared" si="354"/>
        <v>0</v>
      </c>
      <c r="E652" s="196">
        <f t="shared" si="354"/>
        <v>0</v>
      </c>
      <c r="F652" s="196">
        <f t="shared" si="354"/>
        <v>0</v>
      </c>
      <c r="G652" s="196">
        <f t="shared" si="354"/>
        <v>0</v>
      </c>
      <c r="H652" s="196">
        <f t="shared" si="354"/>
        <v>0</v>
      </c>
      <c r="I652" s="196">
        <f t="shared" si="354"/>
        <v>0</v>
      </c>
      <c r="J652" s="196">
        <f t="shared" si="354"/>
        <v>0</v>
      </c>
      <c r="K652" s="196">
        <f t="shared" si="354"/>
        <v>0</v>
      </c>
      <c r="L652" s="196">
        <f t="shared" si="354"/>
        <v>0</v>
      </c>
      <c r="M652" s="196">
        <f t="shared" si="354"/>
        <v>0</v>
      </c>
      <c r="N652" s="196">
        <f t="shared" si="354"/>
        <v>0</v>
      </c>
      <c r="O652" s="196">
        <f t="shared" si="354"/>
        <v>0</v>
      </c>
      <c r="P652" s="196">
        <f t="shared" si="354"/>
        <v>0</v>
      </c>
      <c r="Q652" s="196">
        <f t="shared" si="354"/>
        <v>0</v>
      </c>
      <c r="R652" s="196">
        <f t="shared" si="354"/>
        <v>0</v>
      </c>
      <c r="S652" s="196">
        <f t="shared" si="354"/>
        <v>0</v>
      </c>
      <c r="T652" s="267">
        <f t="shared" si="354"/>
        <v>0</v>
      </c>
    </row>
    <row r="653" spans="1:20" ht="12.75" hidden="1" customHeight="1" outlineLevel="2" x14ac:dyDescent="0.2">
      <c r="A653" s="198" t="str">
        <f>"         "&amp;Labels!B385</f>
        <v xml:space="preserve">         Prof Level 1</v>
      </c>
      <c r="B653" s="226"/>
      <c r="C653" s="226"/>
      <c r="D653" s="226"/>
      <c r="E653" s="226"/>
      <c r="F653" s="226"/>
      <c r="G653" s="226"/>
      <c r="H653" s="226"/>
      <c r="I653" s="226"/>
      <c r="J653" s="226"/>
      <c r="K653" s="226"/>
      <c r="L653" s="226"/>
      <c r="M653" s="226"/>
      <c r="N653" s="226"/>
      <c r="O653" s="226"/>
      <c r="P653" s="226"/>
      <c r="Q653" s="226"/>
      <c r="R653" s="226"/>
      <c r="S653" s="226"/>
      <c r="T653" s="279"/>
    </row>
    <row r="654" spans="1:20" ht="12.75" hidden="1" customHeight="1" outlineLevel="2" x14ac:dyDescent="0.2">
      <c r="A654" s="198" t="str">
        <f>"            "&amp;Labels!B317</f>
        <v xml:space="preserve">            Channels 1</v>
      </c>
      <c r="B654" s="189"/>
      <c r="C654" s="189">
        <f t="shared" ref="C654:T654" si="355">SUM(C628,C641)</f>
        <v>125</v>
      </c>
      <c r="D654" s="189">
        <f t="shared" si="355"/>
        <v>0</v>
      </c>
      <c r="E654" s="189">
        <f t="shared" si="355"/>
        <v>0</v>
      </c>
      <c r="F654" s="189">
        <f t="shared" si="355"/>
        <v>0</v>
      </c>
      <c r="G654" s="189">
        <f t="shared" si="355"/>
        <v>0</v>
      </c>
      <c r="H654" s="189">
        <f t="shared" si="355"/>
        <v>0</v>
      </c>
      <c r="I654" s="189">
        <f t="shared" si="355"/>
        <v>0</v>
      </c>
      <c r="J654" s="189">
        <f t="shared" si="355"/>
        <v>0</v>
      </c>
      <c r="K654" s="189">
        <f t="shared" si="355"/>
        <v>0</v>
      </c>
      <c r="L654" s="189">
        <f t="shared" si="355"/>
        <v>0</v>
      </c>
      <c r="M654" s="189">
        <f t="shared" si="355"/>
        <v>0</v>
      </c>
      <c r="N654" s="189">
        <f t="shared" si="355"/>
        <v>0</v>
      </c>
      <c r="O654" s="189">
        <f t="shared" si="355"/>
        <v>0</v>
      </c>
      <c r="P654" s="189">
        <f t="shared" si="355"/>
        <v>0</v>
      </c>
      <c r="Q654" s="189">
        <f t="shared" si="355"/>
        <v>0</v>
      </c>
      <c r="R654" s="189">
        <f t="shared" si="355"/>
        <v>0</v>
      </c>
      <c r="S654" s="189">
        <f t="shared" si="355"/>
        <v>0</v>
      </c>
      <c r="T654" s="294">
        <f t="shared" si="355"/>
        <v>0</v>
      </c>
    </row>
    <row r="655" spans="1:20" ht="12.75" hidden="1" customHeight="1" outlineLevel="2" x14ac:dyDescent="0.2">
      <c r="A655" s="198" t="str">
        <f>"            "&amp;Labels!B318</f>
        <v xml:space="preserve">            Channels 2</v>
      </c>
      <c r="B655" s="189"/>
      <c r="C655" s="189">
        <f t="shared" ref="C655:T655" si="356">SUM(C629,C642)</f>
        <v>125</v>
      </c>
      <c r="D655" s="189">
        <f t="shared" si="356"/>
        <v>0</v>
      </c>
      <c r="E655" s="189">
        <f t="shared" si="356"/>
        <v>0</v>
      </c>
      <c r="F655" s="189">
        <f t="shared" si="356"/>
        <v>0</v>
      </c>
      <c r="G655" s="189">
        <f t="shared" si="356"/>
        <v>0</v>
      </c>
      <c r="H655" s="189">
        <f t="shared" si="356"/>
        <v>0</v>
      </c>
      <c r="I655" s="189">
        <f t="shared" si="356"/>
        <v>0</v>
      </c>
      <c r="J655" s="189">
        <f t="shared" si="356"/>
        <v>0</v>
      </c>
      <c r="K655" s="189">
        <f t="shared" si="356"/>
        <v>0</v>
      </c>
      <c r="L655" s="189">
        <f t="shared" si="356"/>
        <v>0</v>
      </c>
      <c r="M655" s="189">
        <f t="shared" si="356"/>
        <v>0</v>
      </c>
      <c r="N655" s="189">
        <f t="shared" si="356"/>
        <v>0</v>
      </c>
      <c r="O655" s="189">
        <f t="shared" si="356"/>
        <v>0</v>
      </c>
      <c r="P655" s="189">
        <f t="shared" si="356"/>
        <v>0</v>
      </c>
      <c r="Q655" s="189">
        <f t="shared" si="356"/>
        <v>0</v>
      </c>
      <c r="R655" s="189">
        <f t="shared" si="356"/>
        <v>0</v>
      </c>
      <c r="S655" s="189">
        <f t="shared" si="356"/>
        <v>0</v>
      </c>
      <c r="T655" s="294">
        <f t="shared" si="356"/>
        <v>0</v>
      </c>
    </row>
    <row r="656" spans="1:20" ht="12.75" hidden="1" customHeight="1" outlineLevel="2" x14ac:dyDescent="0.2">
      <c r="A656" s="198" t="str">
        <f>"            "&amp;Labels!C316</f>
        <v xml:space="preserve">            Total</v>
      </c>
      <c r="B656" s="226"/>
      <c r="C656" s="226">
        <f t="shared" ref="C656:T656" si="357">SUM(C630,C643)</f>
        <v>250</v>
      </c>
      <c r="D656" s="226">
        <f t="shared" si="357"/>
        <v>0</v>
      </c>
      <c r="E656" s="226">
        <f t="shared" si="357"/>
        <v>0</v>
      </c>
      <c r="F656" s="226">
        <f t="shared" si="357"/>
        <v>0</v>
      </c>
      <c r="G656" s="226">
        <f t="shared" si="357"/>
        <v>0</v>
      </c>
      <c r="H656" s="226">
        <f t="shared" si="357"/>
        <v>0</v>
      </c>
      <c r="I656" s="226">
        <f t="shared" si="357"/>
        <v>0</v>
      </c>
      <c r="J656" s="226">
        <f t="shared" si="357"/>
        <v>0</v>
      </c>
      <c r="K656" s="226">
        <f t="shared" si="357"/>
        <v>0</v>
      </c>
      <c r="L656" s="226">
        <f t="shared" si="357"/>
        <v>0</v>
      </c>
      <c r="M656" s="226">
        <f t="shared" si="357"/>
        <v>0</v>
      </c>
      <c r="N656" s="226">
        <f t="shared" si="357"/>
        <v>0</v>
      </c>
      <c r="O656" s="226">
        <f t="shared" si="357"/>
        <v>0</v>
      </c>
      <c r="P656" s="226">
        <f t="shared" si="357"/>
        <v>0</v>
      </c>
      <c r="Q656" s="226">
        <f t="shared" si="357"/>
        <v>0</v>
      </c>
      <c r="R656" s="226">
        <f t="shared" si="357"/>
        <v>0</v>
      </c>
      <c r="S656" s="226">
        <f t="shared" si="357"/>
        <v>0</v>
      </c>
      <c r="T656" s="279">
        <f t="shared" si="357"/>
        <v>0</v>
      </c>
    </row>
    <row r="657" spans="1:20" ht="12.75" hidden="1" customHeight="1" outlineLevel="2" x14ac:dyDescent="0.2">
      <c r="A657" s="198" t="str">
        <f>"         "&amp;Labels!B386</f>
        <v xml:space="preserve">         Prof Level 2</v>
      </c>
      <c r="B657" s="226"/>
      <c r="C657" s="226"/>
      <c r="D657" s="226"/>
      <c r="E657" s="226"/>
      <c r="F657" s="226"/>
      <c r="G657" s="226"/>
      <c r="H657" s="226"/>
      <c r="I657" s="226"/>
      <c r="J657" s="226"/>
      <c r="K657" s="226"/>
      <c r="L657" s="226"/>
      <c r="M657" s="226"/>
      <c r="N657" s="226"/>
      <c r="O657" s="226"/>
      <c r="P657" s="226"/>
      <c r="Q657" s="226"/>
      <c r="R657" s="226"/>
      <c r="S657" s="226"/>
      <c r="T657" s="279"/>
    </row>
    <row r="658" spans="1:20" ht="12.75" hidden="1" customHeight="1" outlineLevel="2" x14ac:dyDescent="0.2">
      <c r="A658" s="198" t="str">
        <f>"            "&amp;Labels!B317</f>
        <v xml:space="preserve">            Channels 1</v>
      </c>
      <c r="B658" s="189"/>
      <c r="C658" s="189">
        <f t="shared" ref="C658:T658" si="358">SUM(C632,C645)</f>
        <v>125</v>
      </c>
      <c r="D658" s="189">
        <f t="shared" si="358"/>
        <v>0</v>
      </c>
      <c r="E658" s="189">
        <f t="shared" si="358"/>
        <v>0</v>
      </c>
      <c r="F658" s="189">
        <f t="shared" si="358"/>
        <v>0</v>
      </c>
      <c r="G658" s="189">
        <f t="shared" si="358"/>
        <v>0</v>
      </c>
      <c r="H658" s="189">
        <f t="shared" si="358"/>
        <v>0</v>
      </c>
      <c r="I658" s="189">
        <f t="shared" si="358"/>
        <v>0</v>
      </c>
      <c r="J658" s="189">
        <f t="shared" si="358"/>
        <v>0</v>
      </c>
      <c r="K658" s="189">
        <f t="shared" si="358"/>
        <v>0</v>
      </c>
      <c r="L658" s="189">
        <f t="shared" si="358"/>
        <v>0</v>
      </c>
      <c r="M658" s="189">
        <f t="shared" si="358"/>
        <v>0</v>
      </c>
      <c r="N658" s="189">
        <f t="shared" si="358"/>
        <v>0</v>
      </c>
      <c r="O658" s="189">
        <f t="shared" si="358"/>
        <v>0</v>
      </c>
      <c r="P658" s="189">
        <f t="shared" si="358"/>
        <v>0</v>
      </c>
      <c r="Q658" s="189">
        <f t="shared" si="358"/>
        <v>0</v>
      </c>
      <c r="R658" s="189">
        <f t="shared" si="358"/>
        <v>0</v>
      </c>
      <c r="S658" s="189">
        <f t="shared" si="358"/>
        <v>0</v>
      </c>
      <c r="T658" s="294">
        <f t="shared" si="358"/>
        <v>0</v>
      </c>
    </row>
    <row r="659" spans="1:20" ht="12.75" hidden="1" customHeight="1" outlineLevel="2" x14ac:dyDescent="0.2">
      <c r="A659" s="198" t="str">
        <f>"            "&amp;Labels!B318</f>
        <v xml:space="preserve">            Channels 2</v>
      </c>
      <c r="B659" s="189"/>
      <c r="C659" s="189">
        <f t="shared" ref="C659:T659" si="359">SUM(C633,C646)</f>
        <v>125</v>
      </c>
      <c r="D659" s="189">
        <f t="shared" si="359"/>
        <v>0</v>
      </c>
      <c r="E659" s="189">
        <f t="shared" si="359"/>
        <v>0</v>
      </c>
      <c r="F659" s="189">
        <f t="shared" si="359"/>
        <v>0</v>
      </c>
      <c r="G659" s="189">
        <f t="shared" si="359"/>
        <v>0</v>
      </c>
      <c r="H659" s="189">
        <f t="shared" si="359"/>
        <v>0</v>
      </c>
      <c r="I659" s="189">
        <f t="shared" si="359"/>
        <v>0</v>
      </c>
      <c r="J659" s="189">
        <f t="shared" si="359"/>
        <v>0</v>
      </c>
      <c r="K659" s="189">
        <f t="shared" si="359"/>
        <v>0</v>
      </c>
      <c r="L659" s="189">
        <f t="shared" si="359"/>
        <v>0</v>
      </c>
      <c r="M659" s="189">
        <f t="shared" si="359"/>
        <v>0</v>
      </c>
      <c r="N659" s="189">
        <f t="shared" si="359"/>
        <v>0</v>
      </c>
      <c r="O659" s="189">
        <f t="shared" si="359"/>
        <v>0</v>
      </c>
      <c r="P659" s="189">
        <f t="shared" si="359"/>
        <v>0</v>
      </c>
      <c r="Q659" s="189">
        <f t="shared" si="359"/>
        <v>0</v>
      </c>
      <c r="R659" s="189">
        <f t="shared" si="359"/>
        <v>0</v>
      </c>
      <c r="S659" s="189">
        <f t="shared" si="359"/>
        <v>0</v>
      </c>
      <c r="T659" s="294">
        <f t="shared" si="359"/>
        <v>0</v>
      </c>
    </row>
    <row r="660" spans="1:20" ht="12.75" hidden="1" customHeight="1" outlineLevel="2" x14ac:dyDescent="0.2">
      <c r="A660" s="198" t="str">
        <f>"            "&amp;Labels!C316</f>
        <v xml:space="preserve">            Total</v>
      </c>
      <c r="B660" s="226"/>
      <c r="C660" s="226">
        <f t="shared" ref="C660:T660" si="360">SUM(C634,C647)</f>
        <v>250</v>
      </c>
      <c r="D660" s="226">
        <f t="shared" si="360"/>
        <v>0</v>
      </c>
      <c r="E660" s="226">
        <f t="shared" si="360"/>
        <v>0</v>
      </c>
      <c r="F660" s="226">
        <f t="shared" si="360"/>
        <v>0</v>
      </c>
      <c r="G660" s="226">
        <f t="shared" si="360"/>
        <v>0</v>
      </c>
      <c r="H660" s="226">
        <f t="shared" si="360"/>
        <v>0</v>
      </c>
      <c r="I660" s="226">
        <f t="shared" si="360"/>
        <v>0</v>
      </c>
      <c r="J660" s="226">
        <f t="shared" si="360"/>
        <v>0</v>
      </c>
      <c r="K660" s="226">
        <f t="shared" si="360"/>
        <v>0</v>
      </c>
      <c r="L660" s="226">
        <f t="shared" si="360"/>
        <v>0</v>
      </c>
      <c r="M660" s="226">
        <f t="shared" si="360"/>
        <v>0</v>
      </c>
      <c r="N660" s="226">
        <f t="shared" si="360"/>
        <v>0</v>
      </c>
      <c r="O660" s="226">
        <f t="shared" si="360"/>
        <v>0</v>
      </c>
      <c r="P660" s="226">
        <f t="shared" si="360"/>
        <v>0</v>
      </c>
      <c r="Q660" s="226">
        <f t="shared" si="360"/>
        <v>0</v>
      </c>
      <c r="R660" s="226">
        <f t="shared" si="360"/>
        <v>0</v>
      </c>
      <c r="S660" s="226">
        <f t="shared" si="360"/>
        <v>0</v>
      </c>
      <c r="T660" s="279">
        <f t="shared" si="360"/>
        <v>0</v>
      </c>
    </row>
    <row r="661" spans="1:20" ht="12.75" hidden="1" customHeight="1" outlineLevel="2" x14ac:dyDescent="0.2">
      <c r="A661" s="198" t="str">
        <f>"         "&amp;Labels!C384</f>
        <v xml:space="preserve">         Total</v>
      </c>
      <c r="B661" s="226"/>
      <c r="C661" s="226">
        <f t="shared" ref="C661:T661" si="361">SUM(C635,C648)</f>
        <v>500</v>
      </c>
      <c r="D661" s="226">
        <f t="shared" si="361"/>
        <v>0</v>
      </c>
      <c r="E661" s="226">
        <f t="shared" si="361"/>
        <v>0</v>
      </c>
      <c r="F661" s="226">
        <f t="shared" si="361"/>
        <v>0</v>
      </c>
      <c r="G661" s="226">
        <f t="shared" si="361"/>
        <v>0</v>
      </c>
      <c r="H661" s="226">
        <f t="shared" si="361"/>
        <v>0</v>
      </c>
      <c r="I661" s="226">
        <f t="shared" si="361"/>
        <v>0</v>
      </c>
      <c r="J661" s="226">
        <f t="shared" si="361"/>
        <v>0</v>
      </c>
      <c r="K661" s="226">
        <f t="shared" si="361"/>
        <v>0</v>
      </c>
      <c r="L661" s="226">
        <f t="shared" si="361"/>
        <v>0</v>
      </c>
      <c r="M661" s="226">
        <f t="shared" si="361"/>
        <v>0</v>
      </c>
      <c r="N661" s="226">
        <f t="shared" si="361"/>
        <v>0</v>
      </c>
      <c r="O661" s="226">
        <f t="shared" si="361"/>
        <v>0</v>
      </c>
      <c r="P661" s="226">
        <f t="shared" si="361"/>
        <v>0</v>
      </c>
      <c r="Q661" s="226">
        <f t="shared" si="361"/>
        <v>0</v>
      </c>
      <c r="R661" s="226">
        <f t="shared" si="361"/>
        <v>0</v>
      </c>
      <c r="S661" s="226">
        <f t="shared" si="361"/>
        <v>0</v>
      </c>
      <c r="T661" s="279">
        <f t="shared" si="361"/>
        <v>0</v>
      </c>
    </row>
    <row r="662" spans="1:20" ht="12.75" hidden="1" customHeight="1" outlineLevel="2" x14ac:dyDescent="0.2">
      <c r="A662" s="198" t="str">
        <f>"            "&amp;Labels!B317</f>
        <v xml:space="preserve">            Channels 1</v>
      </c>
      <c r="B662" s="189"/>
      <c r="C662" s="189">
        <f t="shared" ref="C662:T662" si="362">SUM(C636,C649)</f>
        <v>250</v>
      </c>
      <c r="D662" s="189">
        <f t="shared" si="362"/>
        <v>0</v>
      </c>
      <c r="E662" s="189">
        <f t="shared" si="362"/>
        <v>0</v>
      </c>
      <c r="F662" s="189">
        <f t="shared" si="362"/>
        <v>0</v>
      </c>
      <c r="G662" s="189">
        <f t="shared" si="362"/>
        <v>0</v>
      </c>
      <c r="H662" s="189">
        <f t="shared" si="362"/>
        <v>0</v>
      </c>
      <c r="I662" s="189">
        <f t="shared" si="362"/>
        <v>0</v>
      </c>
      <c r="J662" s="189">
        <f t="shared" si="362"/>
        <v>0</v>
      </c>
      <c r="K662" s="189">
        <f t="shared" si="362"/>
        <v>0</v>
      </c>
      <c r="L662" s="189">
        <f t="shared" si="362"/>
        <v>0</v>
      </c>
      <c r="M662" s="189">
        <f t="shared" si="362"/>
        <v>0</v>
      </c>
      <c r="N662" s="189">
        <f t="shared" si="362"/>
        <v>0</v>
      </c>
      <c r="O662" s="189">
        <f t="shared" si="362"/>
        <v>0</v>
      </c>
      <c r="P662" s="189">
        <f t="shared" si="362"/>
        <v>0</v>
      </c>
      <c r="Q662" s="189">
        <f t="shared" si="362"/>
        <v>0</v>
      </c>
      <c r="R662" s="189">
        <f t="shared" si="362"/>
        <v>0</v>
      </c>
      <c r="S662" s="189">
        <f t="shared" si="362"/>
        <v>0</v>
      </c>
      <c r="T662" s="294">
        <f t="shared" si="362"/>
        <v>0</v>
      </c>
    </row>
    <row r="663" spans="1:20" ht="12.75" hidden="1" customHeight="1" outlineLevel="2" x14ac:dyDescent="0.2">
      <c r="A663" s="198" t="str">
        <f>"            "&amp;Labels!B318</f>
        <v xml:space="preserve">            Channels 2</v>
      </c>
      <c r="B663" s="189"/>
      <c r="C663" s="189">
        <f t="shared" ref="C663:T663" si="363">SUM(C637,C650)</f>
        <v>250</v>
      </c>
      <c r="D663" s="189">
        <f t="shared" si="363"/>
        <v>0</v>
      </c>
      <c r="E663" s="189">
        <f t="shared" si="363"/>
        <v>0</v>
      </c>
      <c r="F663" s="189">
        <f t="shared" si="363"/>
        <v>0</v>
      </c>
      <c r="G663" s="189">
        <f t="shared" si="363"/>
        <v>0</v>
      </c>
      <c r="H663" s="189">
        <f t="shared" si="363"/>
        <v>0</v>
      </c>
      <c r="I663" s="189">
        <f t="shared" si="363"/>
        <v>0</v>
      </c>
      <c r="J663" s="189">
        <f t="shared" si="363"/>
        <v>0</v>
      </c>
      <c r="K663" s="189">
        <f t="shared" si="363"/>
        <v>0</v>
      </c>
      <c r="L663" s="189">
        <f t="shared" si="363"/>
        <v>0</v>
      </c>
      <c r="M663" s="189">
        <f t="shared" si="363"/>
        <v>0</v>
      </c>
      <c r="N663" s="189">
        <f t="shared" si="363"/>
        <v>0</v>
      </c>
      <c r="O663" s="189">
        <f t="shared" si="363"/>
        <v>0</v>
      </c>
      <c r="P663" s="189">
        <f t="shared" si="363"/>
        <v>0</v>
      </c>
      <c r="Q663" s="189">
        <f t="shared" si="363"/>
        <v>0</v>
      </c>
      <c r="R663" s="189">
        <f t="shared" si="363"/>
        <v>0</v>
      </c>
      <c r="S663" s="189">
        <f t="shared" si="363"/>
        <v>0</v>
      </c>
      <c r="T663" s="294">
        <f t="shared" si="363"/>
        <v>0</v>
      </c>
    </row>
    <row r="664" spans="1:20" ht="12.75" hidden="1" customHeight="1" outlineLevel="2" x14ac:dyDescent="0.2">
      <c r="A664" s="198" t="str">
        <f>"            "&amp;Labels!C316</f>
        <v xml:space="preserve">            Total</v>
      </c>
      <c r="B664" s="226"/>
      <c r="C664" s="226">
        <f t="shared" ref="C664:T664" si="364">SUM(C635,C648)</f>
        <v>500</v>
      </c>
      <c r="D664" s="226">
        <f t="shared" si="364"/>
        <v>0</v>
      </c>
      <c r="E664" s="226">
        <f t="shared" si="364"/>
        <v>0</v>
      </c>
      <c r="F664" s="226">
        <f t="shared" si="364"/>
        <v>0</v>
      </c>
      <c r="G664" s="226">
        <f t="shared" si="364"/>
        <v>0</v>
      </c>
      <c r="H664" s="226">
        <f t="shared" si="364"/>
        <v>0</v>
      </c>
      <c r="I664" s="226">
        <f t="shared" si="364"/>
        <v>0</v>
      </c>
      <c r="J664" s="226">
        <f t="shared" si="364"/>
        <v>0</v>
      </c>
      <c r="K664" s="226">
        <f t="shared" si="364"/>
        <v>0</v>
      </c>
      <c r="L664" s="226">
        <f t="shared" si="364"/>
        <v>0</v>
      </c>
      <c r="M664" s="226">
        <f t="shared" si="364"/>
        <v>0</v>
      </c>
      <c r="N664" s="226">
        <f t="shared" si="364"/>
        <v>0</v>
      </c>
      <c r="O664" s="226">
        <f t="shared" si="364"/>
        <v>0</v>
      </c>
      <c r="P664" s="226">
        <f t="shared" si="364"/>
        <v>0</v>
      </c>
      <c r="Q664" s="226">
        <f t="shared" si="364"/>
        <v>0</v>
      </c>
      <c r="R664" s="226">
        <f t="shared" si="364"/>
        <v>0</v>
      </c>
      <c r="S664" s="226">
        <f t="shared" si="364"/>
        <v>0</v>
      </c>
      <c r="T664" s="279">
        <f t="shared" si="364"/>
        <v>0</v>
      </c>
    </row>
    <row r="665" spans="1:20" ht="12.75" hidden="1" customHeight="1" outlineLevel="2" x14ac:dyDescent="0.2">
      <c r="A665" s="188" t="str">
        <f>"   "&amp;Labels!B390</f>
        <v xml:space="preserve">   Lead Qual 2</v>
      </c>
      <c r="B665" s="196"/>
      <c r="C665" s="196"/>
      <c r="D665" s="196"/>
      <c r="E665" s="196"/>
      <c r="F665" s="196"/>
      <c r="G665" s="196"/>
      <c r="H665" s="196"/>
      <c r="I665" s="196"/>
      <c r="J665" s="196"/>
      <c r="K665" s="196"/>
      <c r="L665" s="196"/>
      <c r="M665" s="196"/>
      <c r="N665" s="196"/>
      <c r="O665" s="196"/>
      <c r="P665" s="196"/>
      <c r="Q665" s="196"/>
      <c r="R665" s="196"/>
      <c r="S665" s="196"/>
      <c r="T665" s="267"/>
    </row>
    <row r="666" spans="1:20" ht="12.75" hidden="1" customHeight="1" outlineLevel="2" x14ac:dyDescent="0.2">
      <c r="A666" s="198" t="str">
        <f>"      "&amp;Labels!B381</f>
        <v xml:space="preserve">      Practice 1</v>
      </c>
      <c r="B666" s="226"/>
      <c r="C666" s="226"/>
      <c r="D666" s="226"/>
      <c r="E666" s="226"/>
      <c r="F666" s="226"/>
      <c r="G666" s="226"/>
      <c r="H666" s="226"/>
      <c r="I666" s="226"/>
      <c r="J666" s="226"/>
      <c r="K666" s="226"/>
      <c r="L666" s="226"/>
      <c r="M666" s="226"/>
      <c r="N666" s="226"/>
      <c r="O666" s="226"/>
      <c r="P666" s="226"/>
      <c r="Q666" s="226"/>
      <c r="R666" s="226"/>
      <c r="S666" s="226"/>
      <c r="T666" s="279"/>
    </row>
    <row r="667" spans="1:20" ht="12.75" hidden="1" customHeight="1" outlineLevel="2" x14ac:dyDescent="0.2">
      <c r="A667" s="198" t="str">
        <f>"         "&amp;Labels!B385</f>
        <v xml:space="preserve">         Prof Level 1</v>
      </c>
      <c r="B667" s="226"/>
      <c r="C667" s="226"/>
      <c r="D667" s="226"/>
      <c r="E667" s="226"/>
      <c r="F667" s="226"/>
      <c r="G667" s="226"/>
      <c r="H667" s="226"/>
      <c r="I667" s="226"/>
      <c r="J667" s="226"/>
      <c r="K667" s="226"/>
      <c r="L667" s="226"/>
      <c r="M667" s="226"/>
      <c r="N667" s="226"/>
      <c r="O667" s="226"/>
      <c r="P667" s="226"/>
      <c r="Q667" s="226"/>
      <c r="R667" s="226"/>
      <c r="S667" s="226"/>
      <c r="T667" s="279"/>
    </row>
    <row r="668" spans="1:20" ht="12.75" hidden="1" customHeight="1" outlineLevel="2" x14ac:dyDescent="0.2">
      <c r="A668" s="198" t="str">
        <f>"            "&amp;Labels!B317</f>
        <v xml:space="preserve">            Channels 1</v>
      </c>
      <c r="B668" s="189"/>
      <c r="C668" s="189">
        <f>1000/2/2/2/2</f>
        <v>62.5</v>
      </c>
      <c r="D668" s="189">
        <f>Sales!C278*D790</f>
        <v>0</v>
      </c>
      <c r="E668" s="189">
        <f>Sales!D278*E790</f>
        <v>0</v>
      </c>
      <c r="F668" s="189">
        <f>Sales!F278*F790</f>
        <v>0</v>
      </c>
      <c r="G668" s="189">
        <f>Sales!G278*G790</f>
        <v>0</v>
      </c>
      <c r="H668" s="189">
        <f>Sales!H278*H790</f>
        <v>0</v>
      </c>
      <c r="I668" s="189">
        <f>Sales!J278*I790</f>
        <v>0</v>
      </c>
      <c r="J668" s="189">
        <f>Sales!K278*J790</f>
        <v>0</v>
      </c>
      <c r="K668" s="189">
        <f>Sales!L278*K790</f>
        <v>0</v>
      </c>
      <c r="L668" s="189">
        <f>Sales!N278*L790</f>
        <v>0</v>
      </c>
      <c r="M668" s="189">
        <f>Sales!O278*M790</f>
        <v>0</v>
      </c>
      <c r="N668" s="189">
        <f>Sales!P278*N790</f>
        <v>0</v>
      </c>
      <c r="O668" s="189">
        <f>Sales!R278*O790</f>
        <v>0</v>
      </c>
      <c r="P668" s="189">
        <f>Sales!S278*P790</f>
        <v>0</v>
      </c>
      <c r="Q668" s="189">
        <f>Sales!T278*Q790</f>
        <v>0</v>
      </c>
      <c r="R668" s="189">
        <f>Sales!V278*R790</f>
        <v>0</v>
      </c>
      <c r="S668" s="189">
        <f>Sales!W278*S790</f>
        <v>0</v>
      </c>
      <c r="T668" s="294">
        <f>Sales!X278*T790</f>
        <v>0</v>
      </c>
    </row>
    <row r="669" spans="1:20" ht="12.75" hidden="1" customHeight="1" outlineLevel="2" x14ac:dyDescent="0.2">
      <c r="A669" s="198" t="str">
        <f>"            "&amp;Labels!B318</f>
        <v xml:space="preserve">            Channels 2</v>
      </c>
      <c r="B669" s="189"/>
      <c r="C669" s="189">
        <f>1000/2/2/2/2</f>
        <v>62.5</v>
      </c>
      <c r="D669" s="189">
        <f>Sales!C278*D791</f>
        <v>0</v>
      </c>
      <c r="E669" s="189">
        <f>Sales!D278*E791</f>
        <v>0</v>
      </c>
      <c r="F669" s="189">
        <f>Sales!F278*F791</f>
        <v>0</v>
      </c>
      <c r="G669" s="189">
        <f>Sales!G278*G791</f>
        <v>0</v>
      </c>
      <c r="H669" s="189">
        <f>Sales!H278*H791</f>
        <v>0</v>
      </c>
      <c r="I669" s="189">
        <f>Sales!J278*I791</f>
        <v>0</v>
      </c>
      <c r="J669" s="189">
        <f>Sales!K278*J791</f>
        <v>0</v>
      </c>
      <c r="K669" s="189">
        <f>Sales!L278*K791</f>
        <v>0</v>
      </c>
      <c r="L669" s="189">
        <f>Sales!N278*L791</f>
        <v>0</v>
      </c>
      <c r="M669" s="189">
        <f>Sales!O278*M791</f>
        <v>0</v>
      </c>
      <c r="N669" s="189">
        <f>Sales!P278*N791</f>
        <v>0</v>
      </c>
      <c r="O669" s="189">
        <f>Sales!R278*O791</f>
        <v>0</v>
      </c>
      <c r="P669" s="189">
        <f>Sales!S278*P791</f>
        <v>0</v>
      </c>
      <c r="Q669" s="189">
        <f>Sales!T278*Q791</f>
        <v>0</v>
      </c>
      <c r="R669" s="189">
        <f>Sales!V278*R791</f>
        <v>0</v>
      </c>
      <c r="S669" s="189">
        <f>Sales!W278*S791</f>
        <v>0</v>
      </c>
      <c r="T669" s="294">
        <f>Sales!X278*T791</f>
        <v>0</v>
      </c>
    </row>
    <row r="670" spans="1:20" ht="12.75" hidden="1" customHeight="1" outlineLevel="2" x14ac:dyDescent="0.2">
      <c r="A670" s="198" t="str">
        <f>"            "&amp;Labels!C316</f>
        <v xml:space="preserve">            Total</v>
      </c>
      <c r="B670" s="226"/>
      <c r="C670" s="226">
        <f t="shared" ref="C670:T670" si="365">SUM(C668:C669)</f>
        <v>125</v>
      </c>
      <c r="D670" s="226">
        <f t="shared" si="365"/>
        <v>0</v>
      </c>
      <c r="E670" s="226">
        <f t="shared" si="365"/>
        <v>0</v>
      </c>
      <c r="F670" s="226">
        <f t="shared" si="365"/>
        <v>0</v>
      </c>
      <c r="G670" s="226">
        <f t="shared" si="365"/>
        <v>0</v>
      </c>
      <c r="H670" s="226">
        <f t="shared" si="365"/>
        <v>0</v>
      </c>
      <c r="I670" s="226">
        <f t="shared" si="365"/>
        <v>0</v>
      </c>
      <c r="J670" s="226">
        <f t="shared" si="365"/>
        <v>0</v>
      </c>
      <c r="K670" s="226">
        <f t="shared" si="365"/>
        <v>0</v>
      </c>
      <c r="L670" s="226">
        <f t="shared" si="365"/>
        <v>0</v>
      </c>
      <c r="M670" s="226">
        <f t="shared" si="365"/>
        <v>0</v>
      </c>
      <c r="N670" s="226">
        <f t="shared" si="365"/>
        <v>0</v>
      </c>
      <c r="O670" s="226">
        <f t="shared" si="365"/>
        <v>0</v>
      </c>
      <c r="P670" s="226">
        <f t="shared" si="365"/>
        <v>0</v>
      </c>
      <c r="Q670" s="226">
        <f t="shared" si="365"/>
        <v>0</v>
      </c>
      <c r="R670" s="226">
        <f t="shared" si="365"/>
        <v>0</v>
      </c>
      <c r="S670" s="226">
        <f t="shared" si="365"/>
        <v>0</v>
      </c>
      <c r="T670" s="279">
        <f t="shared" si="365"/>
        <v>0</v>
      </c>
    </row>
    <row r="671" spans="1:20" ht="12.75" hidden="1" customHeight="1" outlineLevel="2" x14ac:dyDescent="0.2">
      <c r="A671" s="198" t="str">
        <f>"         "&amp;Labels!B386</f>
        <v xml:space="preserve">         Prof Level 2</v>
      </c>
      <c r="B671" s="226"/>
      <c r="C671" s="226"/>
      <c r="D671" s="226"/>
      <c r="E671" s="226"/>
      <c r="F671" s="226"/>
      <c r="G671" s="226"/>
      <c r="H671" s="226"/>
      <c r="I671" s="226"/>
      <c r="J671" s="226"/>
      <c r="K671" s="226"/>
      <c r="L671" s="226"/>
      <c r="M671" s="226"/>
      <c r="N671" s="226"/>
      <c r="O671" s="226"/>
      <c r="P671" s="226"/>
      <c r="Q671" s="226"/>
      <c r="R671" s="226"/>
      <c r="S671" s="226"/>
      <c r="T671" s="279"/>
    </row>
    <row r="672" spans="1:20" ht="12.75" hidden="1" customHeight="1" outlineLevel="2" x14ac:dyDescent="0.2">
      <c r="A672" s="198" t="str">
        <f>"            "&amp;Labels!B317</f>
        <v xml:space="preserve">            Channels 1</v>
      </c>
      <c r="B672" s="189"/>
      <c r="C672" s="189">
        <f>1000/2/2/2/2</f>
        <v>62.5</v>
      </c>
      <c r="D672" s="189">
        <f>Sales!C279*D794</f>
        <v>0</v>
      </c>
      <c r="E672" s="189">
        <f>Sales!D279*E794</f>
        <v>0</v>
      </c>
      <c r="F672" s="189">
        <f>Sales!F279*F794</f>
        <v>0</v>
      </c>
      <c r="G672" s="189">
        <f>Sales!G279*G794</f>
        <v>0</v>
      </c>
      <c r="H672" s="189">
        <f>Sales!H279*H794</f>
        <v>0</v>
      </c>
      <c r="I672" s="189">
        <f>Sales!J279*I794</f>
        <v>0</v>
      </c>
      <c r="J672" s="189">
        <f>Sales!K279*J794</f>
        <v>0</v>
      </c>
      <c r="K672" s="189">
        <f>Sales!L279*K794</f>
        <v>0</v>
      </c>
      <c r="L672" s="189">
        <f>Sales!N279*L794</f>
        <v>0</v>
      </c>
      <c r="M672" s="189">
        <f>Sales!O279*M794</f>
        <v>0</v>
      </c>
      <c r="N672" s="189">
        <f>Sales!P279*N794</f>
        <v>0</v>
      </c>
      <c r="O672" s="189">
        <f>Sales!R279*O794</f>
        <v>0</v>
      </c>
      <c r="P672" s="189">
        <f>Sales!S279*P794</f>
        <v>0</v>
      </c>
      <c r="Q672" s="189">
        <f>Sales!T279*Q794</f>
        <v>0</v>
      </c>
      <c r="R672" s="189">
        <f>Sales!V279*R794</f>
        <v>0</v>
      </c>
      <c r="S672" s="189">
        <f>Sales!W279*S794</f>
        <v>0</v>
      </c>
      <c r="T672" s="294">
        <f>Sales!X279*T794</f>
        <v>0</v>
      </c>
    </row>
    <row r="673" spans="1:20" ht="12.75" hidden="1" customHeight="1" outlineLevel="2" x14ac:dyDescent="0.2">
      <c r="A673" s="198" t="str">
        <f>"            "&amp;Labels!B318</f>
        <v xml:space="preserve">            Channels 2</v>
      </c>
      <c r="B673" s="189"/>
      <c r="C673" s="189">
        <f>1000/2/2/2/2</f>
        <v>62.5</v>
      </c>
      <c r="D673" s="189">
        <f>Sales!C279*D795</f>
        <v>0</v>
      </c>
      <c r="E673" s="189">
        <f>Sales!D279*E795</f>
        <v>0</v>
      </c>
      <c r="F673" s="189">
        <f>Sales!F279*F795</f>
        <v>0</v>
      </c>
      <c r="G673" s="189">
        <f>Sales!G279*G795</f>
        <v>0</v>
      </c>
      <c r="H673" s="189">
        <f>Sales!H279*H795</f>
        <v>0</v>
      </c>
      <c r="I673" s="189">
        <f>Sales!J279*I795</f>
        <v>0</v>
      </c>
      <c r="J673" s="189">
        <f>Sales!K279*J795</f>
        <v>0</v>
      </c>
      <c r="K673" s="189">
        <f>Sales!L279*K795</f>
        <v>0</v>
      </c>
      <c r="L673" s="189">
        <f>Sales!N279*L795</f>
        <v>0</v>
      </c>
      <c r="M673" s="189">
        <f>Sales!O279*M795</f>
        <v>0</v>
      </c>
      <c r="N673" s="189">
        <f>Sales!P279*N795</f>
        <v>0</v>
      </c>
      <c r="O673" s="189">
        <f>Sales!R279*O795</f>
        <v>0</v>
      </c>
      <c r="P673" s="189">
        <f>Sales!S279*P795</f>
        <v>0</v>
      </c>
      <c r="Q673" s="189">
        <f>Sales!T279*Q795</f>
        <v>0</v>
      </c>
      <c r="R673" s="189">
        <f>Sales!V279*R795</f>
        <v>0</v>
      </c>
      <c r="S673" s="189">
        <f>Sales!W279*S795</f>
        <v>0</v>
      </c>
      <c r="T673" s="294">
        <f>Sales!X279*T795</f>
        <v>0</v>
      </c>
    </row>
    <row r="674" spans="1:20" ht="12.75" hidden="1" customHeight="1" outlineLevel="2" x14ac:dyDescent="0.2">
      <c r="A674" s="198" t="str">
        <f>"            "&amp;Labels!C316</f>
        <v xml:space="preserve">            Total</v>
      </c>
      <c r="B674" s="226"/>
      <c r="C674" s="226">
        <f t="shared" ref="C674:T674" si="366">SUM(C672:C673)</f>
        <v>125</v>
      </c>
      <c r="D674" s="226">
        <f t="shared" si="366"/>
        <v>0</v>
      </c>
      <c r="E674" s="226">
        <f t="shared" si="366"/>
        <v>0</v>
      </c>
      <c r="F674" s="226">
        <f t="shared" si="366"/>
        <v>0</v>
      </c>
      <c r="G674" s="226">
        <f t="shared" si="366"/>
        <v>0</v>
      </c>
      <c r="H674" s="226">
        <f t="shared" si="366"/>
        <v>0</v>
      </c>
      <c r="I674" s="226">
        <f t="shared" si="366"/>
        <v>0</v>
      </c>
      <c r="J674" s="226">
        <f t="shared" si="366"/>
        <v>0</v>
      </c>
      <c r="K674" s="226">
        <f t="shared" si="366"/>
        <v>0</v>
      </c>
      <c r="L674" s="226">
        <f t="shared" si="366"/>
        <v>0</v>
      </c>
      <c r="M674" s="226">
        <f t="shared" si="366"/>
        <v>0</v>
      </c>
      <c r="N674" s="226">
        <f t="shared" si="366"/>
        <v>0</v>
      </c>
      <c r="O674" s="226">
        <f t="shared" si="366"/>
        <v>0</v>
      </c>
      <c r="P674" s="226">
        <f t="shared" si="366"/>
        <v>0</v>
      </c>
      <c r="Q674" s="226">
        <f t="shared" si="366"/>
        <v>0</v>
      </c>
      <c r="R674" s="226">
        <f t="shared" si="366"/>
        <v>0</v>
      </c>
      <c r="S674" s="226">
        <f t="shared" si="366"/>
        <v>0</v>
      </c>
      <c r="T674" s="279">
        <f t="shared" si="366"/>
        <v>0</v>
      </c>
    </row>
    <row r="675" spans="1:20" ht="12.75" hidden="1" customHeight="1" outlineLevel="2" x14ac:dyDescent="0.2">
      <c r="A675" s="198" t="str">
        <f>"         "&amp;Labels!C384</f>
        <v xml:space="preserve">         Total</v>
      </c>
      <c r="B675" s="226"/>
      <c r="C675" s="226">
        <f t="shared" ref="C675:T675" si="367">SUM(C670,C674)</f>
        <v>250</v>
      </c>
      <c r="D675" s="226">
        <f t="shared" si="367"/>
        <v>0</v>
      </c>
      <c r="E675" s="226">
        <f t="shared" si="367"/>
        <v>0</v>
      </c>
      <c r="F675" s="226">
        <f t="shared" si="367"/>
        <v>0</v>
      </c>
      <c r="G675" s="226">
        <f t="shared" si="367"/>
        <v>0</v>
      </c>
      <c r="H675" s="226">
        <f t="shared" si="367"/>
        <v>0</v>
      </c>
      <c r="I675" s="226">
        <f t="shared" si="367"/>
        <v>0</v>
      </c>
      <c r="J675" s="226">
        <f t="shared" si="367"/>
        <v>0</v>
      </c>
      <c r="K675" s="226">
        <f t="shared" si="367"/>
        <v>0</v>
      </c>
      <c r="L675" s="226">
        <f t="shared" si="367"/>
        <v>0</v>
      </c>
      <c r="M675" s="226">
        <f t="shared" si="367"/>
        <v>0</v>
      </c>
      <c r="N675" s="226">
        <f t="shared" si="367"/>
        <v>0</v>
      </c>
      <c r="O675" s="226">
        <f t="shared" si="367"/>
        <v>0</v>
      </c>
      <c r="P675" s="226">
        <f t="shared" si="367"/>
        <v>0</v>
      </c>
      <c r="Q675" s="226">
        <f t="shared" si="367"/>
        <v>0</v>
      </c>
      <c r="R675" s="226">
        <f t="shared" si="367"/>
        <v>0</v>
      </c>
      <c r="S675" s="226">
        <f t="shared" si="367"/>
        <v>0</v>
      </c>
      <c r="T675" s="279">
        <f t="shared" si="367"/>
        <v>0</v>
      </c>
    </row>
    <row r="676" spans="1:20" ht="12.75" hidden="1" customHeight="1" outlineLevel="2" x14ac:dyDescent="0.2">
      <c r="A676" s="198" t="str">
        <f>"            "&amp;Labels!B317</f>
        <v xml:space="preserve">            Channels 1</v>
      </c>
      <c r="B676" s="189"/>
      <c r="C676" s="189">
        <f t="shared" ref="C676:T676" si="368">SUM(C668,C672)</f>
        <v>125</v>
      </c>
      <c r="D676" s="189">
        <f t="shared" si="368"/>
        <v>0</v>
      </c>
      <c r="E676" s="189">
        <f t="shared" si="368"/>
        <v>0</v>
      </c>
      <c r="F676" s="189">
        <f t="shared" si="368"/>
        <v>0</v>
      </c>
      <c r="G676" s="189">
        <f t="shared" si="368"/>
        <v>0</v>
      </c>
      <c r="H676" s="189">
        <f t="shared" si="368"/>
        <v>0</v>
      </c>
      <c r="I676" s="189">
        <f t="shared" si="368"/>
        <v>0</v>
      </c>
      <c r="J676" s="189">
        <f t="shared" si="368"/>
        <v>0</v>
      </c>
      <c r="K676" s="189">
        <f t="shared" si="368"/>
        <v>0</v>
      </c>
      <c r="L676" s="189">
        <f t="shared" si="368"/>
        <v>0</v>
      </c>
      <c r="M676" s="189">
        <f t="shared" si="368"/>
        <v>0</v>
      </c>
      <c r="N676" s="189">
        <f t="shared" si="368"/>
        <v>0</v>
      </c>
      <c r="O676" s="189">
        <f t="shared" si="368"/>
        <v>0</v>
      </c>
      <c r="P676" s="189">
        <f t="shared" si="368"/>
        <v>0</v>
      </c>
      <c r="Q676" s="189">
        <f t="shared" si="368"/>
        <v>0</v>
      </c>
      <c r="R676" s="189">
        <f t="shared" si="368"/>
        <v>0</v>
      </c>
      <c r="S676" s="189">
        <f t="shared" si="368"/>
        <v>0</v>
      </c>
      <c r="T676" s="294">
        <f t="shared" si="368"/>
        <v>0</v>
      </c>
    </row>
    <row r="677" spans="1:20" ht="12.75" hidden="1" customHeight="1" outlineLevel="2" x14ac:dyDescent="0.2">
      <c r="A677" s="198" t="str">
        <f>"            "&amp;Labels!B318</f>
        <v xml:space="preserve">            Channels 2</v>
      </c>
      <c r="B677" s="189"/>
      <c r="C677" s="189">
        <f t="shared" ref="C677:T677" si="369">SUM(C669,C673)</f>
        <v>125</v>
      </c>
      <c r="D677" s="189">
        <f t="shared" si="369"/>
        <v>0</v>
      </c>
      <c r="E677" s="189">
        <f t="shared" si="369"/>
        <v>0</v>
      </c>
      <c r="F677" s="189">
        <f t="shared" si="369"/>
        <v>0</v>
      </c>
      <c r="G677" s="189">
        <f t="shared" si="369"/>
        <v>0</v>
      </c>
      <c r="H677" s="189">
        <f t="shared" si="369"/>
        <v>0</v>
      </c>
      <c r="I677" s="189">
        <f t="shared" si="369"/>
        <v>0</v>
      </c>
      <c r="J677" s="189">
        <f t="shared" si="369"/>
        <v>0</v>
      </c>
      <c r="K677" s="189">
        <f t="shared" si="369"/>
        <v>0</v>
      </c>
      <c r="L677" s="189">
        <f t="shared" si="369"/>
        <v>0</v>
      </c>
      <c r="M677" s="189">
        <f t="shared" si="369"/>
        <v>0</v>
      </c>
      <c r="N677" s="189">
        <f t="shared" si="369"/>
        <v>0</v>
      </c>
      <c r="O677" s="189">
        <f t="shared" si="369"/>
        <v>0</v>
      </c>
      <c r="P677" s="189">
        <f t="shared" si="369"/>
        <v>0</v>
      </c>
      <c r="Q677" s="189">
        <f t="shared" si="369"/>
        <v>0</v>
      </c>
      <c r="R677" s="189">
        <f t="shared" si="369"/>
        <v>0</v>
      </c>
      <c r="S677" s="189">
        <f t="shared" si="369"/>
        <v>0</v>
      </c>
      <c r="T677" s="294">
        <f t="shared" si="369"/>
        <v>0</v>
      </c>
    </row>
    <row r="678" spans="1:20" ht="12.75" hidden="1" customHeight="1" outlineLevel="2" x14ac:dyDescent="0.2">
      <c r="A678" s="198" t="str">
        <f>"            "&amp;Labels!C316</f>
        <v xml:space="preserve">            Total</v>
      </c>
      <c r="B678" s="226"/>
      <c r="C678" s="226">
        <f t="shared" ref="C678:T678" si="370">SUM(C670,C674)</f>
        <v>250</v>
      </c>
      <c r="D678" s="226">
        <f t="shared" si="370"/>
        <v>0</v>
      </c>
      <c r="E678" s="226">
        <f t="shared" si="370"/>
        <v>0</v>
      </c>
      <c r="F678" s="226">
        <f t="shared" si="370"/>
        <v>0</v>
      </c>
      <c r="G678" s="226">
        <f t="shared" si="370"/>
        <v>0</v>
      </c>
      <c r="H678" s="226">
        <f t="shared" si="370"/>
        <v>0</v>
      </c>
      <c r="I678" s="226">
        <f t="shared" si="370"/>
        <v>0</v>
      </c>
      <c r="J678" s="226">
        <f t="shared" si="370"/>
        <v>0</v>
      </c>
      <c r="K678" s="226">
        <f t="shared" si="370"/>
        <v>0</v>
      </c>
      <c r="L678" s="226">
        <f t="shared" si="370"/>
        <v>0</v>
      </c>
      <c r="M678" s="226">
        <f t="shared" si="370"/>
        <v>0</v>
      </c>
      <c r="N678" s="226">
        <f t="shared" si="370"/>
        <v>0</v>
      </c>
      <c r="O678" s="226">
        <f t="shared" si="370"/>
        <v>0</v>
      </c>
      <c r="P678" s="226">
        <f t="shared" si="370"/>
        <v>0</v>
      </c>
      <c r="Q678" s="226">
        <f t="shared" si="370"/>
        <v>0</v>
      </c>
      <c r="R678" s="226">
        <f t="shared" si="370"/>
        <v>0</v>
      </c>
      <c r="S678" s="226">
        <f t="shared" si="370"/>
        <v>0</v>
      </c>
      <c r="T678" s="279">
        <f t="shared" si="370"/>
        <v>0</v>
      </c>
    </row>
    <row r="679" spans="1:20" ht="12.75" hidden="1" customHeight="1" outlineLevel="2" x14ac:dyDescent="0.2">
      <c r="A679" s="198" t="str">
        <f>"      "&amp;Labels!B382</f>
        <v xml:space="preserve">      Practice 2</v>
      </c>
      <c r="B679" s="226"/>
      <c r="C679" s="226"/>
      <c r="D679" s="226"/>
      <c r="E679" s="226"/>
      <c r="F679" s="226"/>
      <c r="G679" s="226"/>
      <c r="H679" s="226"/>
      <c r="I679" s="226"/>
      <c r="J679" s="226"/>
      <c r="K679" s="226"/>
      <c r="L679" s="226"/>
      <c r="M679" s="226"/>
      <c r="N679" s="226"/>
      <c r="O679" s="226"/>
      <c r="P679" s="226"/>
      <c r="Q679" s="226"/>
      <c r="R679" s="226"/>
      <c r="S679" s="226"/>
      <c r="T679" s="279"/>
    </row>
    <row r="680" spans="1:20" ht="12.75" hidden="1" customHeight="1" outlineLevel="2" x14ac:dyDescent="0.2">
      <c r="A680" s="198" t="str">
        <f>"         "&amp;Labels!B385</f>
        <v xml:space="preserve">         Prof Level 1</v>
      </c>
      <c r="B680" s="226"/>
      <c r="C680" s="226"/>
      <c r="D680" s="226"/>
      <c r="E680" s="226"/>
      <c r="F680" s="226"/>
      <c r="G680" s="226"/>
      <c r="H680" s="226"/>
      <c r="I680" s="226"/>
      <c r="J680" s="226"/>
      <c r="K680" s="226"/>
      <c r="L680" s="226"/>
      <c r="M680" s="226"/>
      <c r="N680" s="226"/>
      <c r="O680" s="226"/>
      <c r="P680" s="226"/>
      <c r="Q680" s="226"/>
      <c r="R680" s="226"/>
      <c r="S680" s="226"/>
      <c r="T680" s="279"/>
    </row>
    <row r="681" spans="1:20" ht="12.75" hidden="1" customHeight="1" outlineLevel="2" x14ac:dyDescent="0.2">
      <c r="A681" s="198" t="str">
        <f>"            "&amp;Labels!B317</f>
        <v xml:space="preserve">            Channels 1</v>
      </c>
      <c r="B681" s="189"/>
      <c r="C681" s="189">
        <f>1000/2/2/2/2</f>
        <v>62.5</v>
      </c>
      <c r="D681" s="189">
        <f>Sales!C282*D803</f>
        <v>0</v>
      </c>
      <c r="E681" s="189">
        <f>Sales!D282*E803</f>
        <v>0</v>
      </c>
      <c r="F681" s="189">
        <f>Sales!F282*F803</f>
        <v>0</v>
      </c>
      <c r="G681" s="189">
        <f>Sales!G282*G803</f>
        <v>0</v>
      </c>
      <c r="H681" s="189">
        <f>Sales!H282*H803</f>
        <v>0</v>
      </c>
      <c r="I681" s="189">
        <f>Sales!J282*I803</f>
        <v>0</v>
      </c>
      <c r="J681" s="189">
        <f>Sales!K282*J803</f>
        <v>0</v>
      </c>
      <c r="K681" s="189">
        <f>Sales!L282*K803</f>
        <v>0</v>
      </c>
      <c r="L681" s="189">
        <f>Sales!N282*L803</f>
        <v>0</v>
      </c>
      <c r="M681" s="189">
        <f>Sales!O282*M803</f>
        <v>0</v>
      </c>
      <c r="N681" s="189">
        <f>Sales!P282*N803</f>
        <v>0</v>
      </c>
      <c r="O681" s="189">
        <f>Sales!R282*O803</f>
        <v>0</v>
      </c>
      <c r="P681" s="189">
        <f>Sales!S282*P803</f>
        <v>0</v>
      </c>
      <c r="Q681" s="189">
        <f>Sales!T282*Q803</f>
        <v>0</v>
      </c>
      <c r="R681" s="189">
        <f>Sales!V282*R803</f>
        <v>0</v>
      </c>
      <c r="S681" s="189">
        <f>Sales!W282*S803</f>
        <v>0</v>
      </c>
      <c r="T681" s="294">
        <f>Sales!X282*T803</f>
        <v>0</v>
      </c>
    </row>
    <row r="682" spans="1:20" ht="12.75" hidden="1" customHeight="1" outlineLevel="2" x14ac:dyDescent="0.2">
      <c r="A682" s="198" t="str">
        <f>"            "&amp;Labels!B318</f>
        <v xml:space="preserve">            Channels 2</v>
      </c>
      <c r="B682" s="189"/>
      <c r="C682" s="189">
        <f>1000/2/2/2/2</f>
        <v>62.5</v>
      </c>
      <c r="D682" s="189">
        <f>Sales!C282*D804</f>
        <v>0</v>
      </c>
      <c r="E682" s="189">
        <f>Sales!D282*E804</f>
        <v>0</v>
      </c>
      <c r="F682" s="189">
        <f>Sales!F282*F804</f>
        <v>0</v>
      </c>
      <c r="G682" s="189">
        <f>Sales!G282*G804</f>
        <v>0</v>
      </c>
      <c r="H682" s="189">
        <f>Sales!H282*H804</f>
        <v>0</v>
      </c>
      <c r="I682" s="189">
        <f>Sales!J282*I804</f>
        <v>0</v>
      </c>
      <c r="J682" s="189">
        <f>Sales!K282*J804</f>
        <v>0</v>
      </c>
      <c r="K682" s="189">
        <f>Sales!L282*K804</f>
        <v>0</v>
      </c>
      <c r="L682" s="189">
        <f>Sales!N282*L804</f>
        <v>0</v>
      </c>
      <c r="M682" s="189">
        <f>Sales!O282*M804</f>
        <v>0</v>
      </c>
      <c r="N682" s="189">
        <f>Sales!P282*N804</f>
        <v>0</v>
      </c>
      <c r="O682" s="189">
        <f>Sales!R282*O804</f>
        <v>0</v>
      </c>
      <c r="P682" s="189">
        <f>Sales!S282*P804</f>
        <v>0</v>
      </c>
      <c r="Q682" s="189">
        <f>Sales!T282*Q804</f>
        <v>0</v>
      </c>
      <c r="R682" s="189">
        <f>Sales!V282*R804</f>
        <v>0</v>
      </c>
      <c r="S682" s="189">
        <f>Sales!W282*S804</f>
        <v>0</v>
      </c>
      <c r="T682" s="294">
        <f>Sales!X282*T804</f>
        <v>0</v>
      </c>
    </row>
    <row r="683" spans="1:20" ht="12.75" hidden="1" customHeight="1" outlineLevel="2" x14ac:dyDescent="0.2">
      <c r="A683" s="198" t="str">
        <f>"            "&amp;Labels!C316</f>
        <v xml:space="preserve">            Total</v>
      </c>
      <c r="B683" s="226"/>
      <c r="C683" s="226">
        <f t="shared" ref="C683:T683" si="371">SUM(C681:C682)</f>
        <v>125</v>
      </c>
      <c r="D683" s="226">
        <f t="shared" si="371"/>
        <v>0</v>
      </c>
      <c r="E683" s="226">
        <f t="shared" si="371"/>
        <v>0</v>
      </c>
      <c r="F683" s="226">
        <f t="shared" si="371"/>
        <v>0</v>
      </c>
      <c r="G683" s="226">
        <f t="shared" si="371"/>
        <v>0</v>
      </c>
      <c r="H683" s="226">
        <f t="shared" si="371"/>
        <v>0</v>
      </c>
      <c r="I683" s="226">
        <f t="shared" si="371"/>
        <v>0</v>
      </c>
      <c r="J683" s="226">
        <f t="shared" si="371"/>
        <v>0</v>
      </c>
      <c r="K683" s="226">
        <f t="shared" si="371"/>
        <v>0</v>
      </c>
      <c r="L683" s="226">
        <f t="shared" si="371"/>
        <v>0</v>
      </c>
      <c r="M683" s="226">
        <f t="shared" si="371"/>
        <v>0</v>
      </c>
      <c r="N683" s="226">
        <f t="shared" si="371"/>
        <v>0</v>
      </c>
      <c r="O683" s="226">
        <f t="shared" si="371"/>
        <v>0</v>
      </c>
      <c r="P683" s="226">
        <f t="shared" si="371"/>
        <v>0</v>
      </c>
      <c r="Q683" s="226">
        <f t="shared" si="371"/>
        <v>0</v>
      </c>
      <c r="R683" s="226">
        <f t="shared" si="371"/>
        <v>0</v>
      </c>
      <c r="S683" s="226">
        <f t="shared" si="371"/>
        <v>0</v>
      </c>
      <c r="T683" s="279">
        <f t="shared" si="371"/>
        <v>0</v>
      </c>
    </row>
    <row r="684" spans="1:20" ht="12.75" hidden="1" customHeight="1" outlineLevel="2" x14ac:dyDescent="0.2">
      <c r="A684" s="198" t="str">
        <f>"         "&amp;Labels!B386</f>
        <v xml:space="preserve">         Prof Level 2</v>
      </c>
      <c r="B684" s="226"/>
      <c r="C684" s="226"/>
      <c r="D684" s="226"/>
      <c r="E684" s="226"/>
      <c r="F684" s="226"/>
      <c r="G684" s="226"/>
      <c r="H684" s="226"/>
      <c r="I684" s="226"/>
      <c r="J684" s="226"/>
      <c r="K684" s="226"/>
      <c r="L684" s="226"/>
      <c r="M684" s="226"/>
      <c r="N684" s="226"/>
      <c r="O684" s="226"/>
      <c r="P684" s="226"/>
      <c r="Q684" s="226"/>
      <c r="R684" s="226"/>
      <c r="S684" s="226"/>
      <c r="T684" s="279"/>
    </row>
    <row r="685" spans="1:20" ht="12.75" hidden="1" customHeight="1" outlineLevel="2" x14ac:dyDescent="0.2">
      <c r="A685" s="198" t="str">
        <f>"            "&amp;Labels!B317</f>
        <v xml:space="preserve">            Channels 1</v>
      </c>
      <c r="B685" s="189"/>
      <c r="C685" s="189">
        <f>1000/2/2/2/2</f>
        <v>62.5</v>
      </c>
      <c r="D685" s="189">
        <f>Sales!C283*D807</f>
        <v>0</v>
      </c>
      <c r="E685" s="189">
        <f>Sales!D283*E807</f>
        <v>0</v>
      </c>
      <c r="F685" s="189">
        <f>Sales!F283*F807</f>
        <v>0</v>
      </c>
      <c r="G685" s="189">
        <f>Sales!G283*G807</f>
        <v>0</v>
      </c>
      <c r="H685" s="189">
        <f>Sales!H283*H807</f>
        <v>0</v>
      </c>
      <c r="I685" s="189">
        <f>Sales!J283*I807</f>
        <v>0</v>
      </c>
      <c r="J685" s="189">
        <f>Sales!K283*J807</f>
        <v>0</v>
      </c>
      <c r="K685" s="189">
        <f>Sales!L283*K807</f>
        <v>0</v>
      </c>
      <c r="L685" s="189">
        <f>Sales!N283*L807</f>
        <v>0</v>
      </c>
      <c r="M685" s="189">
        <f>Sales!O283*M807</f>
        <v>0</v>
      </c>
      <c r="N685" s="189">
        <f>Sales!P283*N807</f>
        <v>0</v>
      </c>
      <c r="O685" s="189">
        <f>Sales!R283*O807</f>
        <v>0</v>
      </c>
      <c r="P685" s="189">
        <f>Sales!S283*P807</f>
        <v>0</v>
      </c>
      <c r="Q685" s="189">
        <f>Sales!T283*Q807</f>
        <v>0</v>
      </c>
      <c r="R685" s="189">
        <f>Sales!V283*R807</f>
        <v>0</v>
      </c>
      <c r="S685" s="189">
        <f>Sales!W283*S807</f>
        <v>0</v>
      </c>
      <c r="T685" s="294">
        <f>Sales!X283*T807</f>
        <v>0</v>
      </c>
    </row>
    <row r="686" spans="1:20" ht="12.75" hidden="1" customHeight="1" outlineLevel="2" x14ac:dyDescent="0.2">
      <c r="A686" s="198" t="str">
        <f>"            "&amp;Labels!B318</f>
        <v xml:space="preserve">            Channels 2</v>
      </c>
      <c r="B686" s="189"/>
      <c r="C686" s="189">
        <f>1000/2/2/2/2</f>
        <v>62.5</v>
      </c>
      <c r="D686" s="189">
        <f>Sales!C283*D808</f>
        <v>0</v>
      </c>
      <c r="E686" s="189">
        <f>Sales!D283*E808</f>
        <v>0</v>
      </c>
      <c r="F686" s="189">
        <f>Sales!F283*F808</f>
        <v>0</v>
      </c>
      <c r="G686" s="189">
        <f>Sales!G283*G808</f>
        <v>0</v>
      </c>
      <c r="H686" s="189">
        <f>Sales!H283*H808</f>
        <v>0</v>
      </c>
      <c r="I686" s="189">
        <f>Sales!J283*I808</f>
        <v>0</v>
      </c>
      <c r="J686" s="189">
        <f>Sales!K283*J808</f>
        <v>0</v>
      </c>
      <c r="K686" s="189">
        <f>Sales!L283*K808</f>
        <v>0</v>
      </c>
      <c r="L686" s="189">
        <f>Sales!N283*L808</f>
        <v>0</v>
      </c>
      <c r="M686" s="189">
        <f>Sales!O283*M808</f>
        <v>0</v>
      </c>
      <c r="N686" s="189">
        <f>Sales!P283*N808</f>
        <v>0</v>
      </c>
      <c r="O686" s="189">
        <f>Sales!R283*O808</f>
        <v>0</v>
      </c>
      <c r="P686" s="189">
        <f>Sales!S283*P808</f>
        <v>0</v>
      </c>
      <c r="Q686" s="189">
        <f>Sales!T283*Q808</f>
        <v>0</v>
      </c>
      <c r="R686" s="189">
        <f>Sales!V283*R808</f>
        <v>0</v>
      </c>
      <c r="S686" s="189">
        <f>Sales!W283*S808</f>
        <v>0</v>
      </c>
      <c r="T686" s="294">
        <f>Sales!X283*T808</f>
        <v>0</v>
      </c>
    </row>
    <row r="687" spans="1:20" ht="12.75" hidden="1" customHeight="1" outlineLevel="2" x14ac:dyDescent="0.2">
      <c r="A687" s="198" t="str">
        <f>"            "&amp;Labels!C316</f>
        <v xml:space="preserve">            Total</v>
      </c>
      <c r="B687" s="226"/>
      <c r="C687" s="226">
        <f t="shared" ref="C687:T687" si="372">SUM(C685:C686)</f>
        <v>125</v>
      </c>
      <c r="D687" s="226">
        <f t="shared" si="372"/>
        <v>0</v>
      </c>
      <c r="E687" s="226">
        <f t="shared" si="372"/>
        <v>0</v>
      </c>
      <c r="F687" s="226">
        <f t="shared" si="372"/>
        <v>0</v>
      </c>
      <c r="G687" s="226">
        <f t="shared" si="372"/>
        <v>0</v>
      </c>
      <c r="H687" s="226">
        <f t="shared" si="372"/>
        <v>0</v>
      </c>
      <c r="I687" s="226">
        <f t="shared" si="372"/>
        <v>0</v>
      </c>
      <c r="J687" s="226">
        <f t="shared" si="372"/>
        <v>0</v>
      </c>
      <c r="K687" s="226">
        <f t="shared" si="372"/>
        <v>0</v>
      </c>
      <c r="L687" s="226">
        <f t="shared" si="372"/>
        <v>0</v>
      </c>
      <c r="M687" s="226">
        <f t="shared" si="372"/>
        <v>0</v>
      </c>
      <c r="N687" s="226">
        <f t="shared" si="372"/>
        <v>0</v>
      </c>
      <c r="O687" s="226">
        <f t="shared" si="372"/>
        <v>0</v>
      </c>
      <c r="P687" s="226">
        <f t="shared" si="372"/>
        <v>0</v>
      </c>
      <c r="Q687" s="226">
        <f t="shared" si="372"/>
        <v>0</v>
      </c>
      <c r="R687" s="226">
        <f t="shared" si="372"/>
        <v>0</v>
      </c>
      <c r="S687" s="226">
        <f t="shared" si="372"/>
        <v>0</v>
      </c>
      <c r="T687" s="279">
        <f t="shared" si="372"/>
        <v>0</v>
      </c>
    </row>
    <row r="688" spans="1:20" ht="12.75" hidden="1" customHeight="1" outlineLevel="2" x14ac:dyDescent="0.2">
      <c r="A688" s="198" t="str">
        <f>"         "&amp;Labels!C384</f>
        <v xml:space="preserve">         Total</v>
      </c>
      <c r="B688" s="226"/>
      <c r="C688" s="226">
        <f t="shared" ref="C688:T688" si="373">SUM(C683,C687)</f>
        <v>250</v>
      </c>
      <c r="D688" s="226">
        <f t="shared" si="373"/>
        <v>0</v>
      </c>
      <c r="E688" s="226">
        <f t="shared" si="373"/>
        <v>0</v>
      </c>
      <c r="F688" s="226">
        <f t="shared" si="373"/>
        <v>0</v>
      </c>
      <c r="G688" s="226">
        <f t="shared" si="373"/>
        <v>0</v>
      </c>
      <c r="H688" s="226">
        <f t="shared" si="373"/>
        <v>0</v>
      </c>
      <c r="I688" s="226">
        <f t="shared" si="373"/>
        <v>0</v>
      </c>
      <c r="J688" s="226">
        <f t="shared" si="373"/>
        <v>0</v>
      </c>
      <c r="K688" s="226">
        <f t="shared" si="373"/>
        <v>0</v>
      </c>
      <c r="L688" s="226">
        <f t="shared" si="373"/>
        <v>0</v>
      </c>
      <c r="M688" s="226">
        <f t="shared" si="373"/>
        <v>0</v>
      </c>
      <c r="N688" s="226">
        <f t="shared" si="373"/>
        <v>0</v>
      </c>
      <c r="O688" s="226">
        <f t="shared" si="373"/>
        <v>0</v>
      </c>
      <c r="P688" s="226">
        <f t="shared" si="373"/>
        <v>0</v>
      </c>
      <c r="Q688" s="226">
        <f t="shared" si="373"/>
        <v>0</v>
      </c>
      <c r="R688" s="226">
        <f t="shared" si="373"/>
        <v>0</v>
      </c>
      <c r="S688" s="226">
        <f t="shared" si="373"/>
        <v>0</v>
      </c>
      <c r="T688" s="279">
        <f t="shared" si="373"/>
        <v>0</v>
      </c>
    </row>
    <row r="689" spans="1:20" ht="12.75" hidden="1" customHeight="1" outlineLevel="2" x14ac:dyDescent="0.2">
      <c r="A689" s="198" t="str">
        <f>"            "&amp;Labels!B317</f>
        <v xml:space="preserve">            Channels 1</v>
      </c>
      <c r="B689" s="189"/>
      <c r="C689" s="189">
        <f t="shared" ref="C689:T689" si="374">SUM(C681,C685)</f>
        <v>125</v>
      </c>
      <c r="D689" s="189">
        <f t="shared" si="374"/>
        <v>0</v>
      </c>
      <c r="E689" s="189">
        <f t="shared" si="374"/>
        <v>0</v>
      </c>
      <c r="F689" s="189">
        <f t="shared" si="374"/>
        <v>0</v>
      </c>
      <c r="G689" s="189">
        <f t="shared" si="374"/>
        <v>0</v>
      </c>
      <c r="H689" s="189">
        <f t="shared" si="374"/>
        <v>0</v>
      </c>
      <c r="I689" s="189">
        <f t="shared" si="374"/>
        <v>0</v>
      </c>
      <c r="J689" s="189">
        <f t="shared" si="374"/>
        <v>0</v>
      </c>
      <c r="K689" s="189">
        <f t="shared" si="374"/>
        <v>0</v>
      </c>
      <c r="L689" s="189">
        <f t="shared" si="374"/>
        <v>0</v>
      </c>
      <c r="M689" s="189">
        <f t="shared" si="374"/>
        <v>0</v>
      </c>
      <c r="N689" s="189">
        <f t="shared" si="374"/>
        <v>0</v>
      </c>
      <c r="O689" s="189">
        <f t="shared" si="374"/>
        <v>0</v>
      </c>
      <c r="P689" s="189">
        <f t="shared" si="374"/>
        <v>0</v>
      </c>
      <c r="Q689" s="189">
        <f t="shared" si="374"/>
        <v>0</v>
      </c>
      <c r="R689" s="189">
        <f t="shared" si="374"/>
        <v>0</v>
      </c>
      <c r="S689" s="189">
        <f t="shared" si="374"/>
        <v>0</v>
      </c>
      <c r="T689" s="294">
        <f t="shared" si="374"/>
        <v>0</v>
      </c>
    </row>
    <row r="690" spans="1:20" ht="12.75" hidden="1" customHeight="1" outlineLevel="2" x14ac:dyDescent="0.2">
      <c r="A690" s="198" t="str">
        <f>"            "&amp;Labels!B318</f>
        <v xml:space="preserve">            Channels 2</v>
      </c>
      <c r="B690" s="189"/>
      <c r="C690" s="189">
        <f t="shared" ref="C690:T690" si="375">SUM(C682,C686)</f>
        <v>125</v>
      </c>
      <c r="D690" s="189">
        <f t="shared" si="375"/>
        <v>0</v>
      </c>
      <c r="E690" s="189">
        <f t="shared" si="375"/>
        <v>0</v>
      </c>
      <c r="F690" s="189">
        <f t="shared" si="375"/>
        <v>0</v>
      </c>
      <c r="G690" s="189">
        <f t="shared" si="375"/>
        <v>0</v>
      </c>
      <c r="H690" s="189">
        <f t="shared" si="375"/>
        <v>0</v>
      </c>
      <c r="I690" s="189">
        <f t="shared" si="375"/>
        <v>0</v>
      </c>
      <c r="J690" s="189">
        <f t="shared" si="375"/>
        <v>0</v>
      </c>
      <c r="K690" s="189">
        <f t="shared" si="375"/>
        <v>0</v>
      </c>
      <c r="L690" s="189">
        <f t="shared" si="375"/>
        <v>0</v>
      </c>
      <c r="M690" s="189">
        <f t="shared" si="375"/>
        <v>0</v>
      </c>
      <c r="N690" s="189">
        <f t="shared" si="375"/>
        <v>0</v>
      </c>
      <c r="O690" s="189">
        <f t="shared" si="375"/>
        <v>0</v>
      </c>
      <c r="P690" s="189">
        <f t="shared" si="375"/>
        <v>0</v>
      </c>
      <c r="Q690" s="189">
        <f t="shared" si="375"/>
        <v>0</v>
      </c>
      <c r="R690" s="189">
        <f t="shared" si="375"/>
        <v>0</v>
      </c>
      <c r="S690" s="189">
        <f t="shared" si="375"/>
        <v>0</v>
      </c>
      <c r="T690" s="294">
        <f t="shared" si="375"/>
        <v>0</v>
      </c>
    </row>
    <row r="691" spans="1:20" ht="12.75" hidden="1" customHeight="1" outlineLevel="2" x14ac:dyDescent="0.2">
      <c r="A691" s="198" t="str">
        <f>"            "&amp;Labels!C316</f>
        <v xml:space="preserve">            Total</v>
      </c>
      <c r="B691" s="226"/>
      <c r="C691" s="226">
        <f t="shared" ref="C691:T691" si="376">SUM(C683,C687)</f>
        <v>250</v>
      </c>
      <c r="D691" s="226">
        <f t="shared" si="376"/>
        <v>0</v>
      </c>
      <c r="E691" s="226">
        <f t="shared" si="376"/>
        <v>0</v>
      </c>
      <c r="F691" s="226">
        <f t="shared" si="376"/>
        <v>0</v>
      </c>
      <c r="G691" s="226">
        <f t="shared" si="376"/>
        <v>0</v>
      </c>
      <c r="H691" s="226">
        <f t="shared" si="376"/>
        <v>0</v>
      </c>
      <c r="I691" s="226">
        <f t="shared" si="376"/>
        <v>0</v>
      </c>
      <c r="J691" s="226">
        <f t="shared" si="376"/>
        <v>0</v>
      </c>
      <c r="K691" s="226">
        <f t="shared" si="376"/>
        <v>0</v>
      </c>
      <c r="L691" s="226">
        <f t="shared" si="376"/>
        <v>0</v>
      </c>
      <c r="M691" s="226">
        <f t="shared" si="376"/>
        <v>0</v>
      </c>
      <c r="N691" s="226">
        <f t="shared" si="376"/>
        <v>0</v>
      </c>
      <c r="O691" s="226">
        <f t="shared" si="376"/>
        <v>0</v>
      </c>
      <c r="P691" s="226">
        <f t="shared" si="376"/>
        <v>0</v>
      </c>
      <c r="Q691" s="226">
        <f t="shared" si="376"/>
        <v>0</v>
      </c>
      <c r="R691" s="226">
        <f t="shared" si="376"/>
        <v>0</v>
      </c>
      <c r="S691" s="226">
        <f t="shared" si="376"/>
        <v>0</v>
      </c>
      <c r="T691" s="279">
        <f t="shared" si="376"/>
        <v>0</v>
      </c>
    </row>
    <row r="692" spans="1:20" ht="12.75" hidden="1" customHeight="1" outlineLevel="2" x14ac:dyDescent="0.2">
      <c r="A692" s="188" t="str">
        <f>"      "&amp;Labels!C380</f>
        <v xml:space="preserve">      Total</v>
      </c>
      <c r="B692" s="196"/>
      <c r="C692" s="196">
        <f t="shared" ref="C692:T692" si="377">SUM(C675,C688)</f>
        <v>500</v>
      </c>
      <c r="D692" s="196">
        <f t="shared" si="377"/>
        <v>0</v>
      </c>
      <c r="E692" s="196">
        <f t="shared" si="377"/>
        <v>0</v>
      </c>
      <c r="F692" s="196">
        <f t="shared" si="377"/>
        <v>0</v>
      </c>
      <c r="G692" s="196">
        <f t="shared" si="377"/>
        <v>0</v>
      </c>
      <c r="H692" s="196">
        <f t="shared" si="377"/>
        <v>0</v>
      </c>
      <c r="I692" s="196">
        <f t="shared" si="377"/>
        <v>0</v>
      </c>
      <c r="J692" s="196">
        <f t="shared" si="377"/>
        <v>0</v>
      </c>
      <c r="K692" s="196">
        <f t="shared" si="377"/>
        <v>0</v>
      </c>
      <c r="L692" s="196">
        <f t="shared" si="377"/>
        <v>0</v>
      </c>
      <c r="M692" s="196">
        <f t="shared" si="377"/>
        <v>0</v>
      </c>
      <c r="N692" s="196">
        <f t="shared" si="377"/>
        <v>0</v>
      </c>
      <c r="O692" s="196">
        <f t="shared" si="377"/>
        <v>0</v>
      </c>
      <c r="P692" s="196">
        <f t="shared" si="377"/>
        <v>0</v>
      </c>
      <c r="Q692" s="196">
        <f t="shared" si="377"/>
        <v>0</v>
      </c>
      <c r="R692" s="196">
        <f t="shared" si="377"/>
        <v>0</v>
      </c>
      <c r="S692" s="196">
        <f t="shared" si="377"/>
        <v>0</v>
      </c>
      <c r="T692" s="267">
        <f t="shared" si="377"/>
        <v>0</v>
      </c>
    </row>
    <row r="693" spans="1:20" ht="12.75" hidden="1" customHeight="1" outlineLevel="2" x14ac:dyDescent="0.2">
      <c r="A693" s="198" t="str">
        <f>"         "&amp;Labels!B385</f>
        <v xml:space="preserve">         Prof Level 1</v>
      </c>
      <c r="B693" s="226"/>
      <c r="C693" s="226"/>
      <c r="D693" s="226"/>
      <c r="E693" s="226"/>
      <c r="F693" s="226"/>
      <c r="G693" s="226"/>
      <c r="H693" s="226"/>
      <c r="I693" s="226"/>
      <c r="J693" s="226"/>
      <c r="K693" s="226"/>
      <c r="L693" s="226"/>
      <c r="M693" s="226"/>
      <c r="N693" s="226"/>
      <c r="O693" s="226"/>
      <c r="P693" s="226"/>
      <c r="Q693" s="226"/>
      <c r="R693" s="226"/>
      <c r="S693" s="226"/>
      <c r="T693" s="279"/>
    </row>
    <row r="694" spans="1:20" ht="12.75" hidden="1" customHeight="1" outlineLevel="2" x14ac:dyDescent="0.2">
      <c r="A694" s="198" t="str">
        <f>"            "&amp;Labels!B317</f>
        <v xml:space="preserve">            Channels 1</v>
      </c>
      <c r="B694" s="189"/>
      <c r="C694" s="189">
        <f t="shared" ref="C694:T694" si="378">SUM(C668,C681)</f>
        <v>125</v>
      </c>
      <c r="D694" s="189">
        <f t="shared" si="378"/>
        <v>0</v>
      </c>
      <c r="E694" s="189">
        <f t="shared" si="378"/>
        <v>0</v>
      </c>
      <c r="F694" s="189">
        <f t="shared" si="378"/>
        <v>0</v>
      </c>
      <c r="G694" s="189">
        <f t="shared" si="378"/>
        <v>0</v>
      </c>
      <c r="H694" s="189">
        <f t="shared" si="378"/>
        <v>0</v>
      </c>
      <c r="I694" s="189">
        <f t="shared" si="378"/>
        <v>0</v>
      </c>
      <c r="J694" s="189">
        <f t="shared" si="378"/>
        <v>0</v>
      </c>
      <c r="K694" s="189">
        <f t="shared" si="378"/>
        <v>0</v>
      </c>
      <c r="L694" s="189">
        <f t="shared" si="378"/>
        <v>0</v>
      </c>
      <c r="M694" s="189">
        <f t="shared" si="378"/>
        <v>0</v>
      </c>
      <c r="N694" s="189">
        <f t="shared" si="378"/>
        <v>0</v>
      </c>
      <c r="O694" s="189">
        <f t="shared" si="378"/>
        <v>0</v>
      </c>
      <c r="P694" s="189">
        <f t="shared" si="378"/>
        <v>0</v>
      </c>
      <c r="Q694" s="189">
        <f t="shared" si="378"/>
        <v>0</v>
      </c>
      <c r="R694" s="189">
        <f t="shared" si="378"/>
        <v>0</v>
      </c>
      <c r="S694" s="189">
        <f t="shared" si="378"/>
        <v>0</v>
      </c>
      <c r="T694" s="294">
        <f t="shared" si="378"/>
        <v>0</v>
      </c>
    </row>
    <row r="695" spans="1:20" ht="12.75" hidden="1" customHeight="1" outlineLevel="2" x14ac:dyDescent="0.2">
      <c r="A695" s="198" t="str">
        <f>"            "&amp;Labels!B318</f>
        <v xml:space="preserve">            Channels 2</v>
      </c>
      <c r="B695" s="189"/>
      <c r="C695" s="189">
        <f t="shared" ref="C695:T695" si="379">SUM(C669,C682)</f>
        <v>125</v>
      </c>
      <c r="D695" s="189">
        <f t="shared" si="379"/>
        <v>0</v>
      </c>
      <c r="E695" s="189">
        <f t="shared" si="379"/>
        <v>0</v>
      </c>
      <c r="F695" s="189">
        <f t="shared" si="379"/>
        <v>0</v>
      </c>
      <c r="G695" s="189">
        <f t="shared" si="379"/>
        <v>0</v>
      </c>
      <c r="H695" s="189">
        <f t="shared" si="379"/>
        <v>0</v>
      </c>
      <c r="I695" s="189">
        <f t="shared" si="379"/>
        <v>0</v>
      </c>
      <c r="J695" s="189">
        <f t="shared" si="379"/>
        <v>0</v>
      </c>
      <c r="K695" s="189">
        <f t="shared" si="379"/>
        <v>0</v>
      </c>
      <c r="L695" s="189">
        <f t="shared" si="379"/>
        <v>0</v>
      </c>
      <c r="M695" s="189">
        <f t="shared" si="379"/>
        <v>0</v>
      </c>
      <c r="N695" s="189">
        <f t="shared" si="379"/>
        <v>0</v>
      </c>
      <c r="O695" s="189">
        <f t="shared" si="379"/>
        <v>0</v>
      </c>
      <c r="P695" s="189">
        <f t="shared" si="379"/>
        <v>0</v>
      </c>
      <c r="Q695" s="189">
        <f t="shared" si="379"/>
        <v>0</v>
      </c>
      <c r="R695" s="189">
        <f t="shared" si="379"/>
        <v>0</v>
      </c>
      <c r="S695" s="189">
        <f t="shared" si="379"/>
        <v>0</v>
      </c>
      <c r="T695" s="294">
        <f t="shared" si="379"/>
        <v>0</v>
      </c>
    </row>
    <row r="696" spans="1:20" ht="12.75" hidden="1" customHeight="1" outlineLevel="2" x14ac:dyDescent="0.2">
      <c r="A696" s="198" t="str">
        <f>"            "&amp;Labels!C316</f>
        <v xml:space="preserve">            Total</v>
      </c>
      <c r="B696" s="226"/>
      <c r="C696" s="226">
        <f t="shared" ref="C696:T696" si="380">SUM(C670,C683)</f>
        <v>250</v>
      </c>
      <c r="D696" s="226">
        <f t="shared" si="380"/>
        <v>0</v>
      </c>
      <c r="E696" s="226">
        <f t="shared" si="380"/>
        <v>0</v>
      </c>
      <c r="F696" s="226">
        <f t="shared" si="380"/>
        <v>0</v>
      </c>
      <c r="G696" s="226">
        <f t="shared" si="380"/>
        <v>0</v>
      </c>
      <c r="H696" s="226">
        <f t="shared" si="380"/>
        <v>0</v>
      </c>
      <c r="I696" s="226">
        <f t="shared" si="380"/>
        <v>0</v>
      </c>
      <c r="J696" s="226">
        <f t="shared" si="380"/>
        <v>0</v>
      </c>
      <c r="K696" s="226">
        <f t="shared" si="380"/>
        <v>0</v>
      </c>
      <c r="L696" s="226">
        <f t="shared" si="380"/>
        <v>0</v>
      </c>
      <c r="M696" s="226">
        <f t="shared" si="380"/>
        <v>0</v>
      </c>
      <c r="N696" s="226">
        <f t="shared" si="380"/>
        <v>0</v>
      </c>
      <c r="O696" s="226">
        <f t="shared" si="380"/>
        <v>0</v>
      </c>
      <c r="P696" s="226">
        <f t="shared" si="380"/>
        <v>0</v>
      </c>
      <c r="Q696" s="226">
        <f t="shared" si="380"/>
        <v>0</v>
      </c>
      <c r="R696" s="226">
        <f t="shared" si="380"/>
        <v>0</v>
      </c>
      <c r="S696" s="226">
        <f t="shared" si="380"/>
        <v>0</v>
      </c>
      <c r="T696" s="279">
        <f t="shared" si="380"/>
        <v>0</v>
      </c>
    </row>
    <row r="697" spans="1:20" ht="12.75" hidden="1" customHeight="1" outlineLevel="2" x14ac:dyDescent="0.2">
      <c r="A697" s="198" t="str">
        <f>"         "&amp;Labels!B386</f>
        <v xml:space="preserve">         Prof Level 2</v>
      </c>
      <c r="B697" s="226"/>
      <c r="C697" s="226"/>
      <c r="D697" s="226"/>
      <c r="E697" s="226"/>
      <c r="F697" s="226"/>
      <c r="G697" s="226"/>
      <c r="H697" s="226"/>
      <c r="I697" s="226"/>
      <c r="J697" s="226"/>
      <c r="K697" s="226"/>
      <c r="L697" s="226"/>
      <c r="M697" s="226"/>
      <c r="N697" s="226"/>
      <c r="O697" s="226"/>
      <c r="P697" s="226"/>
      <c r="Q697" s="226"/>
      <c r="R697" s="226"/>
      <c r="S697" s="226"/>
      <c r="T697" s="279"/>
    </row>
    <row r="698" spans="1:20" ht="12.75" hidden="1" customHeight="1" outlineLevel="2" x14ac:dyDescent="0.2">
      <c r="A698" s="198" t="str">
        <f>"            "&amp;Labels!B317</f>
        <v xml:space="preserve">            Channels 1</v>
      </c>
      <c r="B698" s="189"/>
      <c r="C698" s="189">
        <f t="shared" ref="C698:T698" si="381">SUM(C672,C685)</f>
        <v>125</v>
      </c>
      <c r="D698" s="189">
        <f t="shared" si="381"/>
        <v>0</v>
      </c>
      <c r="E698" s="189">
        <f t="shared" si="381"/>
        <v>0</v>
      </c>
      <c r="F698" s="189">
        <f t="shared" si="381"/>
        <v>0</v>
      </c>
      <c r="G698" s="189">
        <f t="shared" si="381"/>
        <v>0</v>
      </c>
      <c r="H698" s="189">
        <f t="shared" si="381"/>
        <v>0</v>
      </c>
      <c r="I698" s="189">
        <f t="shared" si="381"/>
        <v>0</v>
      </c>
      <c r="J698" s="189">
        <f t="shared" si="381"/>
        <v>0</v>
      </c>
      <c r="K698" s="189">
        <f t="shared" si="381"/>
        <v>0</v>
      </c>
      <c r="L698" s="189">
        <f t="shared" si="381"/>
        <v>0</v>
      </c>
      <c r="M698" s="189">
        <f t="shared" si="381"/>
        <v>0</v>
      </c>
      <c r="N698" s="189">
        <f t="shared" si="381"/>
        <v>0</v>
      </c>
      <c r="O698" s="189">
        <f t="shared" si="381"/>
        <v>0</v>
      </c>
      <c r="P698" s="189">
        <f t="shared" si="381"/>
        <v>0</v>
      </c>
      <c r="Q698" s="189">
        <f t="shared" si="381"/>
        <v>0</v>
      </c>
      <c r="R698" s="189">
        <f t="shared" si="381"/>
        <v>0</v>
      </c>
      <c r="S698" s="189">
        <f t="shared" si="381"/>
        <v>0</v>
      </c>
      <c r="T698" s="294">
        <f t="shared" si="381"/>
        <v>0</v>
      </c>
    </row>
    <row r="699" spans="1:20" ht="12.75" hidden="1" customHeight="1" outlineLevel="2" x14ac:dyDescent="0.2">
      <c r="A699" s="198" t="str">
        <f>"            "&amp;Labels!B318</f>
        <v xml:space="preserve">            Channels 2</v>
      </c>
      <c r="B699" s="189"/>
      <c r="C699" s="189">
        <f t="shared" ref="C699:T699" si="382">SUM(C673,C686)</f>
        <v>125</v>
      </c>
      <c r="D699" s="189">
        <f t="shared" si="382"/>
        <v>0</v>
      </c>
      <c r="E699" s="189">
        <f t="shared" si="382"/>
        <v>0</v>
      </c>
      <c r="F699" s="189">
        <f t="shared" si="382"/>
        <v>0</v>
      </c>
      <c r="G699" s="189">
        <f t="shared" si="382"/>
        <v>0</v>
      </c>
      <c r="H699" s="189">
        <f t="shared" si="382"/>
        <v>0</v>
      </c>
      <c r="I699" s="189">
        <f t="shared" si="382"/>
        <v>0</v>
      </c>
      <c r="J699" s="189">
        <f t="shared" si="382"/>
        <v>0</v>
      </c>
      <c r="K699" s="189">
        <f t="shared" si="382"/>
        <v>0</v>
      </c>
      <c r="L699" s="189">
        <f t="shared" si="382"/>
        <v>0</v>
      </c>
      <c r="M699" s="189">
        <f t="shared" si="382"/>
        <v>0</v>
      </c>
      <c r="N699" s="189">
        <f t="shared" si="382"/>
        <v>0</v>
      </c>
      <c r="O699" s="189">
        <f t="shared" si="382"/>
        <v>0</v>
      </c>
      <c r="P699" s="189">
        <f t="shared" si="382"/>
        <v>0</v>
      </c>
      <c r="Q699" s="189">
        <f t="shared" si="382"/>
        <v>0</v>
      </c>
      <c r="R699" s="189">
        <f t="shared" si="382"/>
        <v>0</v>
      </c>
      <c r="S699" s="189">
        <f t="shared" si="382"/>
        <v>0</v>
      </c>
      <c r="T699" s="294">
        <f t="shared" si="382"/>
        <v>0</v>
      </c>
    </row>
    <row r="700" spans="1:20" ht="12.75" hidden="1" customHeight="1" outlineLevel="2" x14ac:dyDescent="0.2">
      <c r="A700" s="198" t="str">
        <f>"            "&amp;Labels!C316</f>
        <v xml:space="preserve">            Total</v>
      </c>
      <c r="B700" s="226"/>
      <c r="C700" s="226">
        <f t="shared" ref="C700:T700" si="383">SUM(C674,C687)</f>
        <v>250</v>
      </c>
      <c r="D700" s="226">
        <f t="shared" si="383"/>
        <v>0</v>
      </c>
      <c r="E700" s="226">
        <f t="shared" si="383"/>
        <v>0</v>
      </c>
      <c r="F700" s="226">
        <f t="shared" si="383"/>
        <v>0</v>
      </c>
      <c r="G700" s="226">
        <f t="shared" si="383"/>
        <v>0</v>
      </c>
      <c r="H700" s="226">
        <f t="shared" si="383"/>
        <v>0</v>
      </c>
      <c r="I700" s="226">
        <f t="shared" si="383"/>
        <v>0</v>
      </c>
      <c r="J700" s="226">
        <f t="shared" si="383"/>
        <v>0</v>
      </c>
      <c r="K700" s="226">
        <f t="shared" si="383"/>
        <v>0</v>
      </c>
      <c r="L700" s="226">
        <f t="shared" si="383"/>
        <v>0</v>
      </c>
      <c r="M700" s="226">
        <f t="shared" si="383"/>
        <v>0</v>
      </c>
      <c r="N700" s="226">
        <f t="shared" si="383"/>
        <v>0</v>
      </c>
      <c r="O700" s="226">
        <f t="shared" si="383"/>
        <v>0</v>
      </c>
      <c r="P700" s="226">
        <f t="shared" si="383"/>
        <v>0</v>
      </c>
      <c r="Q700" s="226">
        <f t="shared" si="383"/>
        <v>0</v>
      </c>
      <c r="R700" s="226">
        <f t="shared" si="383"/>
        <v>0</v>
      </c>
      <c r="S700" s="226">
        <f t="shared" si="383"/>
        <v>0</v>
      </c>
      <c r="T700" s="279">
        <f t="shared" si="383"/>
        <v>0</v>
      </c>
    </row>
    <row r="701" spans="1:20" ht="12.75" hidden="1" customHeight="1" outlineLevel="2" x14ac:dyDescent="0.2">
      <c r="A701" s="198" t="str">
        <f>"         "&amp;Labels!C384</f>
        <v xml:space="preserve">         Total</v>
      </c>
      <c r="B701" s="226"/>
      <c r="C701" s="226">
        <f t="shared" ref="C701:T701" si="384">SUM(C675,C688)</f>
        <v>500</v>
      </c>
      <c r="D701" s="226">
        <f t="shared" si="384"/>
        <v>0</v>
      </c>
      <c r="E701" s="226">
        <f t="shared" si="384"/>
        <v>0</v>
      </c>
      <c r="F701" s="226">
        <f t="shared" si="384"/>
        <v>0</v>
      </c>
      <c r="G701" s="226">
        <f t="shared" si="384"/>
        <v>0</v>
      </c>
      <c r="H701" s="226">
        <f t="shared" si="384"/>
        <v>0</v>
      </c>
      <c r="I701" s="226">
        <f t="shared" si="384"/>
        <v>0</v>
      </c>
      <c r="J701" s="226">
        <f t="shared" si="384"/>
        <v>0</v>
      </c>
      <c r="K701" s="226">
        <f t="shared" si="384"/>
        <v>0</v>
      </c>
      <c r="L701" s="226">
        <f t="shared" si="384"/>
        <v>0</v>
      </c>
      <c r="M701" s="226">
        <f t="shared" si="384"/>
        <v>0</v>
      </c>
      <c r="N701" s="226">
        <f t="shared" si="384"/>
        <v>0</v>
      </c>
      <c r="O701" s="226">
        <f t="shared" si="384"/>
        <v>0</v>
      </c>
      <c r="P701" s="226">
        <f t="shared" si="384"/>
        <v>0</v>
      </c>
      <c r="Q701" s="226">
        <f t="shared" si="384"/>
        <v>0</v>
      </c>
      <c r="R701" s="226">
        <f t="shared" si="384"/>
        <v>0</v>
      </c>
      <c r="S701" s="226">
        <f t="shared" si="384"/>
        <v>0</v>
      </c>
      <c r="T701" s="279">
        <f t="shared" si="384"/>
        <v>0</v>
      </c>
    </row>
    <row r="702" spans="1:20" ht="12.75" hidden="1" customHeight="1" outlineLevel="2" x14ac:dyDescent="0.2">
      <c r="A702" s="198" t="str">
        <f>"            "&amp;Labels!B317</f>
        <v xml:space="preserve">            Channels 1</v>
      </c>
      <c r="B702" s="189"/>
      <c r="C702" s="189">
        <f t="shared" ref="C702:T702" si="385">SUM(C676,C689)</f>
        <v>250</v>
      </c>
      <c r="D702" s="189">
        <f t="shared" si="385"/>
        <v>0</v>
      </c>
      <c r="E702" s="189">
        <f t="shared" si="385"/>
        <v>0</v>
      </c>
      <c r="F702" s="189">
        <f t="shared" si="385"/>
        <v>0</v>
      </c>
      <c r="G702" s="189">
        <f t="shared" si="385"/>
        <v>0</v>
      </c>
      <c r="H702" s="189">
        <f t="shared" si="385"/>
        <v>0</v>
      </c>
      <c r="I702" s="189">
        <f t="shared" si="385"/>
        <v>0</v>
      </c>
      <c r="J702" s="189">
        <f t="shared" si="385"/>
        <v>0</v>
      </c>
      <c r="K702" s="189">
        <f t="shared" si="385"/>
        <v>0</v>
      </c>
      <c r="L702" s="189">
        <f t="shared" si="385"/>
        <v>0</v>
      </c>
      <c r="M702" s="189">
        <f t="shared" si="385"/>
        <v>0</v>
      </c>
      <c r="N702" s="189">
        <f t="shared" si="385"/>
        <v>0</v>
      </c>
      <c r="O702" s="189">
        <f t="shared" si="385"/>
        <v>0</v>
      </c>
      <c r="P702" s="189">
        <f t="shared" si="385"/>
        <v>0</v>
      </c>
      <c r="Q702" s="189">
        <f t="shared" si="385"/>
        <v>0</v>
      </c>
      <c r="R702" s="189">
        <f t="shared" si="385"/>
        <v>0</v>
      </c>
      <c r="S702" s="189">
        <f t="shared" si="385"/>
        <v>0</v>
      </c>
      <c r="T702" s="294">
        <f t="shared" si="385"/>
        <v>0</v>
      </c>
    </row>
    <row r="703" spans="1:20" ht="12.75" hidden="1" customHeight="1" outlineLevel="2" x14ac:dyDescent="0.2">
      <c r="A703" s="198" t="str">
        <f>"            "&amp;Labels!B318</f>
        <v xml:space="preserve">            Channels 2</v>
      </c>
      <c r="B703" s="189"/>
      <c r="C703" s="189">
        <f t="shared" ref="C703:T703" si="386">SUM(C677,C690)</f>
        <v>250</v>
      </c>
      <c r="D703" s="189">
        <f t="shared" si="386"/>
        <v>0</v>
      </c>
      <c r="E703" s="189">
        <f t="shared" si="386"/>
        <v>0</v>
      </c>
      <c r="F703" s="189">
        <f t="shared" si="386"/>
        <v>0</v>
      </c>
      <c r="G703" s="189">
        <f t="shared" si="386"/>
        <v>0</v>
      </c>
      <c r="H703" s="189">
        <f t="shared" si="386"/>
        <v>0</v>
      </c>
      <c r="I703" s="189">
        <f t="shared" si="386"/>
        <v>0</v>
      </c>
      <c r="J703" s="189">
        <f t="shared" si="386"/>
        <v>0</v>
      </c>
      <c r="K703" s="189">
        <f t="shared" si="386"/>
        <v>0</v>
      </c>
      <c r="L703" s="189">
        <f t="shared" si="386"/>
        <v>0</v>
      </c>
      <c r="M703" s="189">
        <f t="shared" si="386"/>
        <v>0</v>
      </c>
      <c r="N703" s="189">
        <f t="shared" si="386"/>
        <v>0</v>
      </c>
      <c r="O703" s="189">
        <f t="shared" si="386"/>
        <v>0</v>
      </c>
      <c r="P703" s="189">
        <f t="shared" si="386"/>
        <v>0</v>
      </c>
      <c r="Q703" s="189">
        <f t="shared" si="386"/>
        <v>0</v>
      </c>
      <c r="R703" s="189">
        <f t="shared" si="386"/>
        <v>0</v>
      </c>
      <c r="S703" s="189">
        <f t="shared" si="386"/>
        <v>0</v>
      </c>
      <c r="T703" s="294">
        <f t="shared" si="386"/>
        <v>0</v>
      </c>
    </row>
    <row r="704" spans="1:20" ht="12.75" hidden="1" customHeight="1" outlineLevel="2" x14ac:dyDescent="0.2">
      <c r="A704" s="198" t="str">
        <f>"            "&amp;Labels!C316</f>
        <v xml:space="preserve">            Total</v>
      </c>
      <c r="B704" s="226"/>
      <c r="C704" s="226">
        <f t="shared" ref="C704:T704" si="387">SUM(C675,C688)</f>
        <v>500</v>
      </c>
      <c r="D704" s="226">
        <f t="shared" si="387"/>
        <v>0</v>
      </c>
      <c r="E704" s="226">
        <f t="shared" si="387"/>
        <v>0</v>
      </c>
      <c r="F704" s="226">
        <f t="shared" si="387"/>
        <v>0</v>
      </c>
      <c r="G704" s="226">
        <f t="shared" si="387"/>
        <v>0</v>
      </c>
      <c r="H704" s="226">
        <f t="shared" si="387"/>
        <v>0</v>
      </c>
      <c r="I704" s="226">
        <f t="shared" si="387"/>
        <v>0</v>
      </c>
      <c r="J704" s="226">
        <f t="shared" si="387"/>
        <v>0</v>
      </c>
      <c r="K704" s="226">
        <f t="shared" si="387"/>
        <v>0</v>
      </c>
      <c r="L704" s="226">
        <f t="shared" si="387"/>
        <v>0</v>
      </c>
      <c r="M704" s="226">
        <f t="shared" si="387"/>
        <v>0</v>
      </c>
      <c r="N704" s="226">
        <f t="shared" si="387"/>
        <v>0</v>
      </c>
      <c r="O704" s="226">
        <f t="shared" si="387"/>
        <v>0</v>
      </c>
      <c r="P704" s="226">
        <f t="shared" si="387"/>
        <v>0</v>
      </c>
      <c r="Q704" s="226">
        <f t="shared" si="387"/>
        <v>0</v>
      </c>
      <c r="R704" s="226">
        <f t="shared" si="387"/>
        <v>0</v>
      </c>
      <c r="S704" s="226">
        <f t="shared" si="387"/>
        <v>0</v>
      </c>
      <c r="T704" s="279">
        <f t="shared" si="387"/>
        <v>0</v>
      </c>
    </row>
    <row r="705" spans="1:20" ht="12.75" hidden="1" customHeight="1" outlineLevel="2" x14ac:dyDescent="0.2">
      <c r="A705" s="191" t="str">
        <f>"   "&amp;Labels!C388</f>
        <v xml:space="preserve">   Total</v>
      </c>
      <c r="B705" s="192"/>
      <c r="C705" s="192">
        <f t="shared" ref="C705:T705" si="388">SUM(C652,C692)</f>
        <v>1000</v>
      </c>
      <c r="D705" s="192">
        <f t="shared" si="388"/>
        <v>0</v>
      </c>
      <c r="E705" s="192">
        <f t="shared" si="388"/>
        <v>0</v>
      </c>
      <c r="F705" s="192">
        <f t="shared" si="388"/>
        <v>0</v>
      </c>
      <c r="G705" s="192">
        <f t="shared" si="388"/>
        <v>0</v>
      </c>
      <c r="H705" s="192">
        <f t="shared" si="388"/>
        <v>0</v>
      </c>
      <c r="I705" s="192">
        <f t="shared" si="388"/>
        <v>0</v>
      </c>
      <c r="J705" s="192">
        <f t="shared" si="388"/>
        <v>0</v>
      </c>
      <c r="K705" s="192">
        <f t="shared" si="388"/>
        <v>0</v>
      </c>
      <c r="L705" s="192">
        <f t="shared" si="388"/>
        <v>0</v>
      </c>
      <c r="M705" s="192">
        <f t="shared" si="388"/>
        <v>0</v>
      </c>
      <c r="N705" s="192">
        <f t="shared" si="388"/>
        <v>0</v>
      </c>
      <c r="O705" s="192">
        <f t="shared" si="388"/>
        <v>0</v>
      </c>
      <c r="P705" s="192">
        <f t="shared" si="388"/>
        <v>0</v>
      </c>
      <c r="Q705" s="192">
        <f t="shared" si="388"/>
        <v>0</v>
      </c>
      <c r="R705" s="192">
        <f t="shared" si="388"/>
        <v>0</v>
      </c>
      <c r="S705" s="192">
        <f t="shared" si="388"/>
        <v>0</v>
      </c>
      <c r="T705" s="280">
        <f t="shared" si="388"/>
        <v>0</v>
      </c>
    </row>
    <row r="706" spans="1:20" ht="12.75" hidden="1" customHeight="1" outlineLevel="2" x14ac:dyDescent="0.2">
      <c r="A706" s="198" t="str">
        <f>"      "&amp;Labels!B381</f>
        <v xml:space="preserve">      Practice 1</v>
      </c>
      <c r="B706" s="226"/>
      <c r="C706" s="226"/>
      <c r="D706" s="226"/>
      <c r="E706" s="226"/>
      <c r="F706" s="226"/>
      <c r="G706" s="226"/>
      <c r="H706" s="226"/>
      <c r="I706" s="226"/>
      <c r="J706" s="226"/>
      <c r="K706" s="226"/>
      <c r="L706" s="226"/>
      <c r="M706" s="226"/>
      <c r="N706" s="226"/>
      <c r="O706" s="226"/>
      <c r="P706" s="226"/>
      <c r="Q706" s="226"/>
      <c r="R706" s="226"/>
      <c r="S706" s="226"/>
      <c r="T706" s="279"/>
    </row>
    <row r="707" spans="1:20" ht="12.75" hidden="1" customHeight="1" outlineLevel="2" x14ac:dyDescent="0.2">
      <c r="A707" s="198" t="str">
        <f>"         "&amp;Labels!B385</f>
        <v xml:space="preserve">         Prof Level 1</v>
      </c>
      <c r="B707" s="226"/>
      <c r="C707" s="226"/>
      <c r="D707" s="226"/>
      <c r="E707" s="226"/>
      <c r="F707" s="226"/>
      <c r="G707" s="226"/>
      <c r="H707" s="226"/>
      <c r="I707" s="226"/>
      <c r="J707" s="226"/>
      <c r="K707" s="226"/>
      <c r="L707" s="226"/>
      <c r="M707" s="226"/>
      <c r="N707" s="226"/>
      <c r="O707" s="226"/>
      <c r="P707" s="226"/>
      <c r="Q707" s="226"/>
      <c r="R707" s="226"/>
      <c r="S707" s="226"/>
      <c r="T707" s="279"/>
    </row>
    <row r="708" spans="1:20" ht="12.75" hidden="1" customHeight="1" outlineLevel="2" x14ac:dyDescent="0.2">
      <c r="A708" s="198" t="str">
        <f>"            "&amp;Labels!B317</f>
        <v xml:space="preserve">            Channels 1</v>
      </c>
      <c r="B708" s="189"/>
      <c r="C708" s="189">
        <f t="shared" ref="C708:T708" si="389">SUM(C628,C668)</f>
        <v>125</v>
      </c>
      <c r="D708" s="189">
        <f t="shared" si="389"/>
        <v>0</v>
      </c>
      <c r="E708" s="189">
        <f t="shared" si="389"/>
        <v>0</v>
      </c>
      <c r="F708" s="189">
        <f t="shared" si="389"/>
        <v>0</v>
      </c>
      <c r="G708" s="189">
        <f t="shared" si="389"/>
        <v>0</v>
      </c>
      <c r="H708" s="189">
        <f t="shared" si="389"/>
        <v>0</v>
      </c>
      <c r="I708" s="189">
        <f t="shared" si="389"/>
        <v>0</v>
      </c>
      <c r="J708" s="189">
        <f t="shared" si="389"/>
        <v>0</v>
      </c>
      <c r="K708" s="189">
        <f t="shared" si="389"/>
        <v>0</v>
      </c>
      <c r="L708" s="189">
        <f t="shared" si="389"/>
        <v>0</v>
      </c>
      <c r="M708" s="189">
        <f t="shared" si="389"/>
        <v>0</v>
      </c>
      <c r="N708" s="189">
        <f t="shared" si="389"/>
        <v>0</v>
      </c>
      <c r="O708" s="189">
        <f t="shared" si="389"/>
        <v>0</v>
      </c>
      <c r="P708" s="189">
        <f t="shared" si="389"/>
        <v>0</v>
      </c>
      <c r="Q708" s="189">
        <f t="shared" si="389"/>
        <v>0</v>
      </c>
      <c r="R708" s="189">
        <f t="shared" si="389"/>
        <v>0</v>
      </c>
      <c r="S708" s="189">
        <f t="shared" si="389"/>
        <v>0</v>
      </c>
      <c r="T708" s="294">
        <f t="shared" si="389"/>
        <v>0</v>
      </c>
    </row>
    <row r="709" spans="1:20" ht="12.75" hidden="1" customHeight="1" outlineLevel="2" x14ac:dyDescent="0.2">
      <c r="A709" s="198" t="str">
        <f>"            "&amp;Labels!B318</f>
        <v xml:space="preserve">            Channels 2</v>
      </c>
      <c r="B709" s="189"/>
      <c r="C709" s="189">
        <f t="shared" ref="C709:T709" si="390">SUM(C629,C669)</f>
        <v>125</v>
      </c>
      <c r="D709" s="189">
        <f t="shared" si="390"/>
        <v>0</v>
      </c>
      <c r="E709" s="189">
        <f t="shared" si="390"/>
        <v>0</v>
      </c>
      <c r="F709" s="189">
        <f t="shared" si="390"/>
        <v>0</v>
      </c>
      <c r="G709" s="189">
        <f t="shared" si="390"/>
        <v>0</v>
      </c>
      <c r="H709" s="189">
        <f t="shared" si="390"/>
        <v>0</v>
      </c>
      <c r="I709" s="189">
        <f t="shared" si="390"/>
        <v>0</v>
      </c>
      <c r="J709" s="189">
        <f t="shared" si="390"/>
        <v>0</v>
      </c>
      <c r="K709" s="189">
        <f t="shared" si="390"/>
        <v>0</v>
      </c>
      <c r="L709" s="189">
        <f t="shared" si="390"/>
        <v>0</v>
      </c>
      <c r="M709" s="189">
        <f t="shared" si="390"/>
        <v>0</v>
      </c>
      <c r="N709" s="189">
        <f t="shared" si="390"/>
        <v>0</v>
      </c>
      <c r="O709" s="189">
        <f t="shared" si="390"/>
        <v>0</v>
      </c>
      <c r="P709" s="189">
        <f t="shared" si="390"/>
        <v>0</v>
      </c>
      <c r="Q709" s="189">
        <f t="shared" si="390"/>
        <v>0</v>
      </c>
      <c r="R709" s="189">
        <f t="shared" si="390"/>
        <v>0</v>
      </c>
      <c r="S709" s="189">
        <f t="shared" si="390"/>
        <v>0</v>
      </c>
      <c r="T709" s="294">
        <f t="shared" si="390"/>
        <v>0</v>
      </c>
    </row>
    <row r="710" spans="1:20" ht="12.75" hidden="1" customHeight="1" outlineLevel="2" x14ac:dyDescent="0.2">
      <c r="A710" s="198" t="str">
        <f>"            "&amp;Labels!C316</f>
        <v xml:space="preserve">            Total</v>
      </c>
      <c r="B710" s="226"/>
      <c r="C710" s="226">
        <f t="shared" ref="C710:T710" si="391">SUM(C630,C670)</f>
        <v>250</v>
      </c>
      <c r="D710" s="226">
        <f t="shared" si="391"/>
        <v>0</v>
      </c>
      <c r="E710" s="226">
        <f t="shared" si="391"/>
        <v>0</v>
      </c>
      <c r="F710" s="226">
        <f t="shared" si="391"/>
        <v>0</v>
      </c>
      <c r="G710" s="226">
        <f t="shared" si="391"/>
        <v>0</v>
      </c>
      <c r="H710" s="226">
        <f t="shared" si="391"/>
        <v>0</v>
      </c>
      <c r="I710" s="226">
        <f t="shared" si="391"/>
        <v>0</v>
      </c>
      <c r="J710" s="226">
        <f t="shared" si="391"/>
        <v>0</v>
      </c>
      <c r="K710" s="226">
        <f t="shared" si="391"/>
        <v>0</v>
      </c>
      <c r="L710" s="226">
        <f t="shared" si="391"/>
        <v>0</v>
      </c>
      <c r="M710" s="226">
        <f t="shared" si="391"/>
        <v>0</v>
      </c>
      <c r="N710" s="226">
        <f t="shared" si="391"/>
        <v>0</v>
      </c>
      <c r="O710" s="226">
        <f t="shared" si="391"/>
        <v>0</v>
      </c>
      <c r="P710" s="226">
        <f t="shared" si="391"/>
        <v>0</v>
      </c>
      <c r="Q710" s="226">
        <f t="shared" si="391"/>
        <v>0</v>
      </c>
      <c r="R710" s="226">
        <f t="shared" si="391"/>
        <v>0</v>
      </c>
      <c r="S710" s="226">
        <f t="shared" si="391"/>
        <v>0</v>
      </c>
      <c r="T710" s="279">
        <f t="shared" si="391"/>
        <v>0</v>
      </c>
    </row>
    <row r="711" spans="1:20" ht="12.75" hidden="1" customHeight="1" outlineLevel="2" x14ac:dyDescent="0.2">
      <c r="A711" s="198" t="str">
        <f>"         "&amp;Labels!B386</f>
        <v xml:space="preserve">         Prof Level 2</v>
      </c>
      <c r="B711" s="226"/>
      <c r="C711" s="226"/>
      <c r="D711" s="226"/>
      <c r="E711" s="226"/>
      <c r="F711" s="226"/>
      <c r="G711" s="226"/>
      <c r="H711" s="226"/>
      <c r="I711" s="226"/>
      <c r="J711" s="226"/>
      <c r="K711" s="226"/>
      <c r="L711" s="226"/>
      <c r="M711" s="226"/>
      <c r="N711" s="226"/>
      <c r="O711" s="226"/>
      <c r="P711" s="226"/>
      <c r="Q711" s="226"/>
      <c r="R711" s="226"/>
      <c r="S711" s="226"/>
      <c r="T711" s="279"/>
    </row>
    <row r="712" spans="1:20" ht="12.75" hidden="1" customHeight="1" outlineLevel="2" x14ac:dyDescent="0.2">
      <c r="A712" s="198" t="str">
        <f>"            "&amp;Labels!B317</f>
        <v xml:space="preserve">            Channels 1</v>
      </c>
      <c r="B712" s="189"/>
      <c r="C712" s="189">
        <f t="shared" ref="C712:T712" si="392">SUM(C632,C672)</f>
        <v>125</v>
      </c>
      <c r="D712" s="189">
        <f t="shared" si="392"/>
        <v>0</v>
      </c>
      <c r="E712" s="189">
        <f t="shared" si="392"/>
        <v>0</v>
      </c>
      <c r="F712" s="189">
        <f t="shared" si="392"/>
        <v>0</v>
      </c>
      <c r="G712" s="189">
        <f t="shared" si="392"/>
        <v>0</v>
      </c>
      <c r="H712" s="189">
        <f t="shared" si="392"/>
        <v>0</v>
      </c>
      <c r="I712" s="189">
        <f t="shared" si="392"/>
        <v>0</v>
      </c>
      <c r="J712" s="189">
        <f t="shared" si="392"/>
        <v>0</v>
      </c>
      <c r="K712" s="189">
        <f t="shared" si="392"/>
        <v>0</v>
      </c>
      <c r="L712" s="189">
        <f t="shared" si="392"/>
        <v>0</v>
      </c>
      <c r="M712" s="189">
        <f t="shared" si="392"/>
        <v>0</v>
      </c>
      <c r="N712" s="189">
        <f t="shared" si="392"/>
        <v>0</v>
      </c>
      <c r="O712" s="189">
        <f t="shared" si="392"/>
        <v>0</v>
      </c>
      <c r="P712" s="189">
        <f t="shared" si="392"/>
        <v>0</v>
      </c>
      <c r="Q712" s="189">
        <f t="shared" si="392"/>
        <v>0</v>
      </c>
      <c r="R712" s="189">
        <f t="shared" si="392"/>
        <v>0</v>
      </c>
      <c r="S712" s="189">
        <f t="shared" si="392"/>
        <v>0</v>
      </c>
      <c r="T712" s="294">
        <f t="shared" si="392"/>
        <v>0</v>
      </c>
    </row>
    <row r="713" spans="1:20" ht="12.75" hidden="1" customHeight="1" outlineLevel="2" x14ac:dyDescent="0.2">
      <c r="A713" s="198" t="str">
        <f>"            "&amp;Labels!B318</f>
        <v xml:space="preserve">            Channels 2</v>
      </c>
      <c r="B713" s="189"/>
      <c r="C713" s="189">
        <f t="shared" ref="C713:T713" si="393">SUM(C633,C673)</f>
        <v>125</v>
      </c>
      <c r="D713" s="189">
        <f t="shared" si="393"/>
        <v>0</v>
      </c>
      <c r="E713" s="189">
        <f t="shared" si="393"/>
        <v>0</v>
      </c>
      <c r="F713" s="189">
        <f t="shared" si="393"/>
        <v>0</v>
      </c>
      <c r="G713" s="189">
        <f t="shared" si="393"/>
        <v>0</v>
      </c>
      <c r="H713" s="189">
        <f t="shared" si="393"/>
        <v>0</v>
      </c>
      <c r="I713" s="189">
        <f t="shared" si="393"/>
        <v>0</v>
      </c>
      <c r="J713" s="189">
        <f t="shared" si="393"/>
        <v>0</v>
      </c>
      <c r="K713" s="189">
        <f t="shared" si="393"/>
        <v>0</v>
      </c>
      <c r="L713" s="189">
        <f t="shared" si="393"/>
        <v>0</v>
      </c>
      <c r="M713" s="189">
        <f t="shared" si="393"/>
        <v>0</v>
      </c>
      <c r="N713" s="189">
        <f t="shared" si="393"/>
        <v>0</v>
      </c>
      <c r="O713" s="189">
        <f t="shared" si="393"/>
        <v>0</v>
      </c>
      <c r="P713" s="189">
        <f t="shared" si="393"/>
        <v>0</v>
      </c>
      <c r="Q713" s="189">
        <f t="shared" si="393"/>
        <v>0</v>
      </c>
      <c r="R713" s="189">
        <f t="shared" si="393"/>
        <v>0</v>
      </c>
      <c r="S713" s="189">
        <f t="shared" si="393"/>
        <v>0</v>
      </c>
      <c r="T713" s="294">
        <f t="shared" si="393"/>
        <v>0</v>
      </c>
    </row>
    <row r="714" spans="1:20" ht="12.75" hidden="1" customHeight="1" outlineLevel="2" x14ac:dyDescent="0.2">
      <c r="A714" s="198" t="str">
        <f>"            "&amp;Labels!C316</f>
        <v xml:space="preserve">            Total</v>
      </c>
      <c r="B714" s="226"/>
      <c r="C714" s="226">
        <f t="shared" ref="C714:T714" si="394">SUM(C634,C674)</f>
        <v>250</v>
      </c>
      <c r="D714" s="226">
        <f t="shared" si="394"/>
        <v>0</v>
      </c>
      <c r="E714" s="226">
        <f t="shared" si="394"/>
        <v>0</v>
      </c>
      <c r="F714" s="226">
        <f t="shared" si="394"/>
        <v>0</v>
      </c>
      <c r="G714" s="226">
        <f t="shared" si="394"/>
        <v>0</v>
      </c>
      <c r="H714" s="226">
        <f t="shared" si="394"/>
        <v>0</v>
      </c>
      <c r="I714" s="226">
        <f t="shared" si="394"/>
        <v>0</v>
      </c>
      <c r="J714" s="226">
        <f t="shared" si="394"/>
        <v>0</v>
      </c>
      <c r="K714" s="226">
        <f t="shared" si="394"/>
        <v>0</v>
      </c>
      <c r="L714" s="226">
        <f t="shared" si="394"/>
        <v>0</v>
      </c>
      <c r="M714" s="226">
        <f t="shared" si="394"/>
        <v>0</v>
      </c>
      <c r="N714" s="226">
        <f t="shared" si="394"/>
        <v>0</v>
      </c>
      <c r="O714" s="226">
        <f t="shared" si="394"/>
        <v>0</v>
      </c>
      <c r="P714" s="226">
        <f t="shared" si="394"/>
        <v>0</v>
      </c>
      <c r="Q714" s="226">
        <f t="shared" si="394"/>
        <v>0</v>
      </c>
      <c r="R714" s="226">
        <f t="shared" si="394"/>
        <v>0</v>
      </c>
      <c r="S714" s="226">
        <f t="shared" si="394"/>
        <v>0</v>
      </c>
      <c r="T714" s="279">
        <f t="shared" si="394"/>
        <v>0</v>
      </c>
    </row>
    <row r="715" spans="1:20" ht="12.75" hidden="1" customHeight="1" outlineLevel="2" x14ac:dyDescent="0.2">
      <c r="A715" s="198" t="str">
        <f>"         "&amp;Labels!C384</f>
        <v xml:space="preserve">         Total</v>
      </c>
      <c r="B715" s="226"/>
      <c r="C715" s="226">
        <f t="shared" ref="C715:T715" si="395">SUM(C635,C675)</f>
        <v>500</v>
      </c>
      <c r="D715" s="226">
        <f t="shared" si="395"/>
        <v>0</v>
      </c>
      <c r="E715" s="226">
        <f t="shared" si="395"/>
        <v>0</v>
      </c>
      <c r="F715" s="226">
        <f t="shared" si="395"/>
        <v>0</v>
      </c>
      <c r="G715" s="226">
        <f t="shared" si="395"/>
        <v>0</v>
      </c>
      <c r="H715" s="226">
        <f t="shared" si="395"/>
        <v>0</v>
      </c>
      <c r="I715" s="226">
        <f t="shared" si="395"/>
        <v>0</v>
      </c>
      <c r="J715" s="226">
        <f t="shared" si="395"/>
        <v>0</v>
      </c>
      <c r="K715" s="226">
        <f t="shared" si="395"/>
        <v>0</v>
      </c>
      <c r="L715" s="226">
        <f t="shared" si="395"/>
        <v>0</v>
      </c>
      <c r="M715" s="226">
        <f t="shared" si="395"/>
        <v>0</v>
      </c>
      <c r="N715" s="226">
        <f t="shared" si="395"/>
        <v>0</v>
      </c>
      <c r="O715" s="226">
        <f t="shared" si="395"/>
        <v>0</v>
      </c>
      <c r="P715" s="226">
        <f t="shared" si="395"/>
        <v>0</v>
      </c>
      <c r="Q715" s="226">
        <f t="shared" si="395"/>
        <v>0</v>
      </c>
      <c r="R715" s="226">
        <f t="shared" si="395"/>
        <v>0</v>
      </c>
      <c r="S715" s="226">
        <f t="shared" si="395"/>
        <v>0</v>
      </c>
      <c r="T715" s="279">
        <f t="shared" si="395"/>
        <v>0</v>
      </c>
    </row>
    <row r="716" spans="1:20" ht="12.75" hidden="1" customHeight="1" outlineLevel="2" x14ac:dyDescent="0.2">
      <c r="A716" s="198" t="str">
        <f>"            "&amp;Labels!B317</f>
        <v xml:space="preserve">            Channels 1</v>
      </c>
      <c r="B716" s="189"/>
      <c r="C716" s="189">
        <f t="shared" ref="C716:T716" si="396">SUM(C636,C676)</f>
        <v>250</v>
      </c>
      <c r="D716" s="189">
        <f t="shared" si="396"/>
        <v>0</v>
      </c>
      <c r="E716" s="189">
        <f t="shared" si="396"/>
        <v>0</v>
      </c>
      <c r="F716" s="189">
        <f t="shared" si="396"/>
        <v>0</v>
      </c>
      <c r="G716" s="189">
        <f t="shared" si="396"/>
        <v>0</v>
      </c>
      <c r="H716" s="189">
        <f t="shared" si="396"/>
        <v>0</v>
      </c>
      <c r="I716" s="189">
        <f t="shared" si="396"/>
        <v>0</v>
      </c>
      <c r="J716" s="189">
        <f t="shared" si="396"/>
        <v>0</v>
      </c>
      <c r="K716" s="189">
        <f t="shared" si="396"/>
        <v>0</v>
      </c>
      <c r="L716" s="189">
        <f t="shared" si="396"/>
        <v>0</v>
      </c>
      <c r="M716" s="189">
        <f t="shared" si="396"/>
        <v>0</v>
      </c>
      <c r="N716" s="189">
        <f t="shared" si="396"/>
        <v>0</v>
      </c>
      <c r="O716" s="189">
        <f t="shared" si="396"/>
        <v>0</v>
      </c>
      <c r="P716" s="189">
        <f t="shared" si="396"/>
        <v>0</v>
      </c>
      <c r="Q716" s="189">
        <f t="shared" si="396"/>
        <v>0</v>
      </c>
      <c r="R716" s="189">
        <f t="shared" si="396"/>
        <v>0</v>
      </c>
      <c r="S716" s="189">
        <f t="shared" si="396"/>
        <v>0</v>
      </c>
      <c r="T716" s="294">
        <f t="shared" si="396"/>
        <v>0</v>
      </c>
    </row>
    <row r="717" spans="1:20" ht="12.75" hidden="1" customHeight="1" outlineLevel="2" x14ac:dyDescent="0.2">
      <c r="A717" s="198" t="str">
        <f>"            "&amp;Labels!B318</f>
        <v xml:space="preserve">            Channels 2</v>
      </c>
      <c r="B717" s="189"/>
      <c r="C717" s="189">
        <f t="shared" ref="C717:T717" si="397">SUM(C637,C677)</f>
        <v>250</v>
      </c>
      <c r="D717" s="189">
        <f t="shared" si="397"/>
        <v>0</v>
      </c>
      <c r="E717" s="189">
        <f t="shared" si="397"/>
        <v>0</v>
      </c>
      <c r="F717" s="189">
        <f t="shared" si="397"/>
        <v>0</v>
      </c>
      <c r="G717" s="189">
        <f t="shared" si="397"/>
        <v>0</v>
      </c>
      <c r="H717" s="189">
        <f t="shared" si="397"/>
        <v>0</v>
      </c>
      <c r="I717" s="189">
        <f t="shared" si="397"/>
        <v>0</v>
      </c>
      <c r="J717" s="189">
        <f t="shared" si="397"/>
        <v>0</v>
      </c>
      <c r="K717" s="189">
        <f t="shared" si="397"/>
        <v>0</v>
      </c>
      <c r="L717" s="189">
        <f t="shared" si="397"/>
        <v>0</v>
      </c>
      <c r="M717" s="189">
        <f t="shared" si="397"/>
        <v>0</v>
      </c>
      <c r="N717" s="189">
        <f t="shared" si="397"/>
        <v>0</v>
      </c>
      <c r="O717" s="189">
        <f t="shared" si="397"/>
        <v>0</v>
      </c>
      <c r="P717" s="189">
        <f t="shared" si="397"/>
        <v>0</v>
      </c>
      <c r="Q717" s="189">
        <f t="shared" si="397"/>
        <v>0</v>
      </c>
      <c r="R717" s="189">
        <f t="shared" si="397"/>
        <v>0</v>
      </c>
      <c r="S717" s="189">
        <f t="shared" si="397"/>
        <v>0</v>
      </c>
      <c r="T717" s="294">
        <f t="shared" si="397"/>
        <v>0</v>
      </c>
    </row>
    <row r="718" spans="1:20" ht="12.75" hidden="1" customHeight="1" outlineLevel="2" x14ac:dyDescent="0.2">
      <c r="A718" s="198" t="str">
        <f>"            "&amp;Labels!C316</f>
        <v xml:space="preserve">            Total</v>
      </c>
      <c r="B718" s="226"/>
      <c r="C718" s="226">
        <f t="shared" ref="C718:T718" si="398">SUM(C635,C675)</f>
        <v>500</v>
      </c>
      <c r="D718" s="226">
        <f t="shared" si="398"/>
        <v>0</v>
      </c>
      <c r="E718" s="226">
        <f t="shared" si="398"/>
        <v>0</v>
      </c>
      <c r="F718" s="226">
        <f t="shared" si="398"/>
        <v>0</v>
      </c>
      <c r="G718" s="226">
        <f t="shared" si="398"/>
        <v>0</v>
      </c>
      <c r="H718" s="226">
        <f t="shared" si="398"/>
        <v>0</v>
      </c>
      <c r="I718" s="226">
        <f t="shared" si="398"/>
        <v>0</v>
      </c>
      <c r="J718" s="226">
        <f t="shared" si="398"/>
        <v>0</v>
      </c>
      <c r="K718" s="226">
        <f t="shared" si="398"/>
        <v>0</v>
      </c>
      <c r="L718" s="226">
        <f t="shared" si="398"/>
        <v>0</v>
      </c>
      <c r="M718" s="226">
        <f t="shared" si="398"/>
        <v>0</v>
      </c>
      <c r="N718" s="226">
        <f t="shared" si="398"/>
        <v>0</v>
      </c>
      <c r="O718" s="226">
        <f t="shared" si="398"/>
        <v>0</v>
      </c>
      <c r="P718" s="226">
        <f t="shared" si="398"/>
        <v>0</v>
      </c>
      <c r="Q718" s="226">
        <f t="shared" si="398"/>
        <v>0</v>
      </c>
      <c r="R718" s="226">
        <f t="shared" si="398"/>
        <v>0</v>
      </c>
      <c r="S718" s="226">
        <f t="shared" si="398"/>
        <v>0</v>
      </c>
      <c r="T718" s="279">
        <f t="shared" si="398"/>
        <v>0</v>
      </c>
    </row>
    <row r="719" spans="1:20" ht="12.75" hidden="1" customHeight="1" outlineLevel="2" x14ac:dyDescent="0.2">
      <c r="A719" s="198" t="str">
        <f>"      "&amp;Labels!B382</f>
        <v xml:space="preserve">      Practice 2</v>
      </c>
      <c r="B719" s="226"/>
      <c r="C719" s="226"/>
      <c r="D719" s="226"/>
      <c r="E719" s="226"/>
      <c r="F719" s="226"/>
      <c r="G719" s="226"/>
      <c r="H719" s="226"/>
      <c r="I719" s="226"/>
      <c r="J719" s="226"/>
      <c r="K719" s="226"/>
      <c r="L719" s="226"/>
      <c r="M719" s="226"/>
      <c r="N719" s="226"/>
      <c r="O719" s="226"/>
      <c r="P719" s="226"/>
      <c r="Q719" s="226"/>
      <c r="R719" s="226"/>
      <c r="S719" s="226"/>
      <c r="T719" s="279"/>
    </row>
    <row r="720" spans="1:20" ht="12.75" hidden="1" customHeight="1" outlineLevel="2" x14ac:dyDescent="0.2">
      <c r="A720" s="198" t="str">
        <f>"         "&amp;Labels!B385</f>
        <v xml:space="preserve">         Prof Level 1</v>
      </c>
      <c r="B720" s="226"/>
      <c r="C720" s="226"/>
      <c r="D720" s="226"/>
      <c r="E720" s="226"/>
      <c r="F720" s="226"/>
      <c r="G720" s="226"/>
      <c r="H720" s="226"/>
      <c r="I720" s="226"/>
      <c r="J720" s="226"/>
      <c r="K720" s="226"/>
      <c r="L720" s="226"/>
      <c r="M720" s="226"/>
      <c r="N720" s="226"/>
      <c r="O720" s="226"/>
      <c r="P720" s="226"/>
      <c r="Q720" s="226"/>
      <c r="R720" s="226"/>
      <c r="S720" s="226"/>
      <c r="T720" s="279"/>
    </row>
    <row r="721" spans="1:20" ht="12.75" hidden="1" customHeight="1" outlineLevel="2" x14ac:dyDescent="0.2">
      <c r="A721" s="198" t="str">
        <f>"            "&amp;Labels!B317</f>
        <v xml:space="preserve">            Channels 1</v>
      </c>
      <c r="B721" s="189"/>
      <c r="C721" s="189">
        <f t="shared" ref="C721:T721" si="399">SUM(C641,C681)</f>
        <v>125</v>
      </c>
      <c r="D721" s="189">
        <f t="shared" si="399"/>
        <v>0</v>
      </c>
      <c r="E721" s="189">
        <f t="shared" si="399"/>
        <v>0</v>
      </c>
      <c r="F721" s="189">
        <f t="shared" si="399"/>
        <v>0</v>
      </c>
      <c r="G721" s="189">
        <f t="shared" si="399"/>
        <v>0</v>
      </c>
      <c r="H721" s="189">
        <f t="shared" si="399"/>
        <v>0</v>
      </c>
      <c r="I721" s="189">
        <f t="shared" si="399"/>
        <v>0</v>
      </c>
      <c r="J721" s="189">
        <f t="shared" si="399"/>
        <v>0</v>
      </c>
      <c r="K721" s="189">
        <f t="shared" si="399"/>
        <v>0</v>
      </c>
      <c r="L721" s="189">
        <f t="shared" si="399"/>
        <v>0</v>
      </c>
      <c r="M721" s="189">
        <f t="shared" si="399"/>
        <v>0</v>
      </c>
      <c r="N721" s="189">
        <f t="shared" si="399"/>
        <v>0</v>
      </c>
      <c r="O721" s="189">
        <f t="shared" si="399"/>
        <v>0</v>
      </c>
      <c r="P721" s="189">
        <f t="shared" si="399"/>
        <v>0</v>
      </c>
      <c r="Q721" s="189">
        <f t="shared" si="399"/>
        <v>0</v>
      </c>
      <c r="R721" s="189">
        <f t="shared" si="399"/>
        <v>0</v>
      </c>
      <c r="S721" s="189">
        <f t="shared" si="399"/>
        <v>0</v>
      </c>
      <c r="T721" s="294">
        <f t="shared" si="399"/>
        <v>0</v>
      </c>
    </row>
    <row r="722" spans="1:20" ht="12.75" hidden="1" customHeight="1" outlineLevel="2" x14ac:dyDescent="0.2">
      <c r="A722" s="198" t="str">
        <f>"            "&amp;Labels!B318</f>
        <v xml:space="preserve">            Channels 2</v>
      </c>
      <c r="B722" s="189"/>
      <c r="C722" s="189">
        <f t="shared" ref="C722:T722" si="400">SUM(C642,C682)</f>
        <v>125</v>
      </c>
      <c r="D722" s="189">
        <f t="shared" si="400"/>
        <v>0</v>
      </c>
      <c r="E722" s="189">
        <f t="shared" si="400"/>
        <v>0</v>
      </c>
      <c r="F722" s="189">
        <f t="shared" si="400"/>
        <v>0</v>
      </c>
      <c r="G722" s="189">
        <f t="shared" si="400"/>
        <v>0</v>
      </c>
      <c r="H722" s="189">
        <f t="shared" si="400"/>
        <v>0</v>
      </c>
      <c r="I722" s="189">
        <f t="shared" si="400"/>
        <v>0</v>
      </c>
      <c r="J722" s="189">
        <f t="shared" si="400"/>
        <v>0</v>
      </c>
      <c r="K722" s="189">
        <f t="shared" si="400"/>
        <v>0</v>
      </c>
      <c r="L722" s="189">
        <f t="shared" si="400"/>
        <v>0</v>
      </c>
      <c r="M722" s="189">
        <f t="shared" si="400"/>
        <v>0</v>
      </c>
      <c r="N722" s="189">
        <f t="shared" si="400"/>
        <v>0</v>
      </c>
      <c r="O722" s="189">
        <f t="shared" si="400"/>
        <v>0</v>
      </c>
      <c r="P722" s="189">
        <f t="shared" si="400"/>
        <v>0</v>
      </c>
      <c r="Q722" s="189">
        <f t="shared" si="400"/>
        <v>0</v>
      </c>
      <c r="R722" s="189">
        <f t="shared" si="400"/>
        <v>0</v>
      </c>
      <c r="S722" s="189">
        <f t="shared" si="400"/>
        <v>0</v>
      </c>
      <c r="T722" s="294">
        <f t="shared" si="400"/>
        <v>0</v>
      </c>
    </row>
    <row r="723" spans="1:20" ht="12.75" hidden="1" customHeight="1" outlineLevel="2" x14ac:dyDescent="0.2">
      <c r="A723" s="198" t="str">
        <f>"            "&amp;Labels!C316</f>
        <v xml:space="preserve">            Total</v>
      </c>
      <c r="B723" s="226"/>
      <c r="C723" s="226">
        <f t="shared" ref="C723:T723" si="401">SUM(C643,C683)</f>
        <v>250</v>
      </c>
      <c r="D723" s="226">
        <f t="shared" si="401"/>
        <v>0</v>
      </c>
      <c r="E723" s="226">
        <f t="shared" si="401"/>
        <v>0</v>
      </c>
      <c r="F723" s="226">
        <f t="shared" si="401"/>
        <v>0</v>
      </c>
      <c r="G723" s="226">
        <f t="shared" si="401"/>
        <v>0</v>
      </c>
      <c r="H723" s="226">
        <f t="shared" si="401"/>
        <v>0</v>
      </c>
      <c r="I723" s="226">
        <f t="shared" si="401"/>
        <v>0</v>
      </c>
      <c r="J723" s="226">
        <f t="shared" si="401"/>
        <v>0</v>
      </c>
      <c r="K723" s="226">
        <f t="shared" si="401"/>
        <v>0</v>
      </c>
      <c r="L723" s="226">
        <f t="shared" si="401"/>
        <v>0</v>
      </c>
      <c r="M723" s="226">
        <f t="shared" si="401"/>
        <v>0</v>
      </c>
      <c r="N723" s="226">
        <f t="shared" si="401"/>
        <v>0</v>
      </c>
      <c r="O723" s="226">
        <f t="shared" si="401"/>
        <v>0</v>
      </c>
      <c r="P723" s="226">
        <f t="shared" si="401"/>
        <v>0</v>
      </c>
      <c r="Q723" s="226">
        <f t="shared" si="401"/>
        <v>0</v>
      </c>
      <c r="R723" s="226">
        <f t="shared" si="401"/>
        <v>0</v>
      </c>
      <c r="S723" s="226">
        <f t="shared" si="401"/>
        <v>0</v>
      </c>
      <c r="T723" s="279">
        <f t="shared" si="401"/>
        <v>0</v>
      </c>
    </row>
    <row r="724" spans="1:20" ht="12.75" hidden="1" customHeight="1" outlineLevel="2" x14ac:dyDescent="0.2">
      <c r="A724" s="198" t="str">
        <f>"         "&amp;Labels!B386</f>
        <v xml:space="preserve">         Prof Level 2</v>
      </c>
      <c r="B724" s="226"/>
      <c r="C724" s="226"/>
      <c r="D724" s="226"/>
      <c r="E724" s="226"/>
      <c r="F724" s="226"/>
      <c r="G724" s="226"/>
      <c r="H724" s="226"/>
      <c r="I724" s="226"/>
      <c r="J724" s="226"/>
      <c r="K724" s="226"/>
      <c r="L724" s="226"/>
      <c r="M724" s="226"/>
      <c r="N724" s="226"/>
      <c r="O724" s="226"/>
      <c r="P724" s="226"/>
      <c r="Q724" s="226"/>
      <c r="R724" s="226"/>
      <c r="S724" s="226"/>
      <c r="T724" s="279"/>
    </row>
    <row r="725" spans="1:20" ht="12.75" hidden="1" customHeight="1" outlineLevel="2" x14ac:dyDescent="0.2">
      <c r="A725" s="198" t="str">
        <f>"            "&amp;Labels!B317</f>
        <v xml:space="preserve">            Channels 1</v>
      </c>
      <c r="B725" s="189"/>
      <c r="C725" s="189">
        <f t="shared" ref="C725:T725" si="402">SUM(C645,C685)</f>
        <v>125</v>
      </c>
      <c r="D725" s="189">
        <f t="shared" si="402"/>
        <v>0</v>
      </c>
      <c r="E725" s="189">
        <f t="shared" si="402"/>
        <v>0</v>
      </c>
      <c r="F725" s="189">
        <f t="shared" si="402"/>
        <v>0</v>
      </c>
      <c r="G725" s="189">
        <f t="shared" si="402"/>
        <v>0</v>
      </c>
      <c r="H725" s="189">
        <f t="shared" si="402"/>
        <v>0</v>
      </c>
      <c r="I725" s="189">
        <f t="shared" si="402"/>
        <v>0</v>
      </c>
      <c r="J725" s="189">
        <f t="shared" si="402"/>
        <v>0</v>
      </c>
      <c r="K725" s="189">
        <f t="shared" si="402"/>
        <v>0</v>
      </c>
      <c r="L725" s="189">
        <f t="shared" si="402"/>
        <v>0</v>
      </c>
      <c r="M725" s="189">
        <f t="shared" si="402"/>
        <v>0</v>
      </c>
      <c r="N725" s="189">
        <f t="shared" si="402"/>
        <v>0</v>
      </c>
      <c r="O725" s="189">
        <f t="shared" si="402"/>
        <v>0</v>
      </c>
      <c r="P725" s="189">
        <f t="shared" si="402"/>
        <v>0</v>
      </c>
      <c r="Q725" s="189">
        <f t="shared" si="402"/>
        <v>0</v>
      </c>
      <c r="R725" s="189">
        <f t="shared" si="402"/>
        <v>0</v>
      </c>
      <c r="S725" s="189">
        <f t="shared" si="402"/>
        <v>0</v>
      </c>
      <c r="T725" s="294">
        <f t="shared" si="402"/>
        <v>0</v>
      </c>
    </row>
    <row r="726" spans="1:20" ht="12.75" hidden="1" customHeight="1" outlineLevel="2" x14ac:dyDescent="0.2">
      <c r="A726" s="198" t="str">
        <f>"            "&amp;Labels!B318</f>
        <v xml:space="preserve">            Channels 2</v>
      </c>
      <c r="B726" s="189"/>
      <c r="C726" s="189">
        <f t="shared" ref="C726:T726" si="403">SUM(C646,C686)</f>
        <v>125</v>
      </c>
      <c r="D726" s="189">
        <f t="shared" si="403"/>
        <v>0</v>
      </c>
      <c r="E726" s="189">
        <f t="shared" si="403"/>
        <v>0</v>
      </c>
      <c r="F726" s="189">
        <f t="shared" si="403"/>
        <v>0</v>
      </c>
      <c r="G726" s="189">
        <f t="shared" si="403"/>
        <v>0</v>
      </c>
      <c r="H726" s="189">
        <f t="shared" si="403"/>
        <v>0</v>
      </c>
      <c r="I726" s="189">
        <f t="shared" si="403"/>
        <v>0</v>
      </c>
      <c r="J726" s="189">
        <f t="shared" si="403"/>
        <v>0</v>
      </c>
      <c r="K726" s="189">
        <f t="shared" si="403"/>
        <v>0</v>
      </c>
      <c r="L726" s="189">
        <f t="shared" si="403"/>
        <v>0</v>
      </c>
      <c r="M726" s="189">
        <f t="shared" si="403"/>
        <v>0</v>
      </c>
      <c r="N726" s="189">
        <f t="shared" si="403"/>
        <v>0</v>
      </c>
      <c r="O726" s="189">
        <f t="shared" si="403"/>
        <v>0</v>
      </c>
      <c r="P726" s="189">
        <f t="shared" si="403"/>
        <v>0</v>
      </c>
      <c r="Q726" s="189">
        <f t="shared" si="403"/>
        <v>0</v>
      </c>
      <c r="R726" s="189">
        <f t="shared" si="403"/>
        <v>0</v>
      </c>
      <c r="S726" s="189">
        <f t="shared" si="403"/>
        <v>0</v>
      </c>
      <c r="T726" s="294">
        <f t="shared" si="403"/>
        <v>0</v>
      </c>
    </row>
    <row r="727" spans="1:20" ht="12.75" hidden="1" customHeight="1" outlineLevel="2" x14ac:dyDescent="0.2">
      <c r="A727" s="198" t="str">
        <f>"            "&amp;Labels!C316</f>
        <v xml:space="preserve">            Total</v>
      </c>
      <c r="B727" s="226"/>
      <c r="C727" s="226">
        <f t="shared" ref="C727:T727" si="404">SUM(C647,C687)</f>
        <v>250</v>
      </c>
      <c r="D727" s="226">
        <f t="shared" si="404"/>
        <v>0</v>
      </c>
      <c r="E727" s="226">
        <f t="shared" si="404"/>
        <v>0</v>
      </c>
      <c r="F727" s="226">
        <f t="shared" si="404"/>
        <v>0</v>
      </c>
      <c r="G727" s="226">
        <f t="shared" si="404"/>
        <v>0</v>
      </c>
      <c r="H727" s="226">
        <f t="shared" si="404"/>
        <v>0</v>
      </c>
      <c r="I727" s="226">
        <f t="shared" si="404"/>
        <v>0</v>
      </c>
      <c r="J727" s="226">
        <f t="shared" si="404"/>
        <v>0</v>
      </c>
      <c r="K727" s="226">
        <f t="shared" si="404"/>
        <v>0</v>
      </c>
      <c r="L727" s="226">
        <f t="shared" si="404"/>
        <v>0</v>
      </c>
      <c r="M727" s="226">
        <f t="shared" si="404"/>
        <v>0</v>
      </c>
      <c r="N727" s="226">
        <f t="shared" si="404"/>
        <v>0</v>
      </c>
      <c r="O727" s="226">
        <f t="shared" si="404"/>
        <v>0</v>
      </c>
      <c r="P727" s="226">
        <f t="shared" si="404"/>
        <v>0</v>
      </c>
      <c r="Q727" s="226">
        <f t="shared" si="404"/>
        <v>0</v>
      </c>
      <c r="R727" s="226">
        <f t="shared" si="404"/>
        <v>0</v>
      </c>
      <c r="S727" s="226">
        <f t="shared" si="404"/>
        <v>0</v>
      </c>
      <c r="T727" s="279">
        <f t="shared" si="404"/>
        <v>0</v>
      </c>
    </row>
    <row r="728" spans="1:20" ht="12.75" hidden="1" customHeight="1" outlineLevel="2" x14ac:dyDescent="0.2">
      <c r="A728" s="198" t="str">
        <f>"         "&amp;Labels!C384</f>
        <v xml:space="preserve">         Total</v>
      </c>
      <c r="B728" s="226"/>
      <c r="C728" s="226">
        <f t="shared" ref="C728:T728" si="405">SUM(C648,C688)</f>
        <v>500</v>
      </c>
      <c r="D728" s="226">
        <f t="shared" si="405"/>
        <v>0</v>
      </c>
      <c r="E728" s="226">
        <f t="shared" si="405"/>
        <v>0</v>
      </c>
      <c r="F728" s="226">
        <f t="shared" si="405"/>
        <v>0</v>
      </c>
      <c r="G728" s="226">
        <f t="shared" si="405"/>
        <v>0</v>
      </c>
      <c r="H728" s="226">
        <f t="shared" si="405"/>
        <v>0</v>
      </c>
      <c r="I728" s="226">
        <f t="shared" si="405"/>
        <v>0</v>
      </c>
      <c r="J728" s="226">
        <f t="shared" si="405"/>
        <v>0</v>
      </c>
      <c r="K728" s="226">
        <f t="shared" si="405"/>
        <v>0</v>
      </c>
      <c r="L728" s="226">
        <f t="shared" si="405"/>
        <v>0</v>
      </c>
      <c r="M728" s="226">
        <f t="shared" si="405"/>
        <v>0</v>
      </c>
      <c r="N728" s="226">
        <f t="shared" si="405"/>
        <v>0</v>
      </c>
      <c r="O728" s="226">
        <f t="shared" si="405"/>
        <v>0</v>
      </c>
      <c r="P728" s="226">
        <f t="shared" si="405"/>
        <v>0</v>
      </c>
      <c r="Q728" s="226">
        <f t="shared" si="405"/>
        <v>0</v>
      </c>
      <c r="R728" s="226">
        <f t="shared" si="405"/>
        <v>0</v>
      </c>
      <c r="S728" s="226">
        <f t="shared" si="405"/>
        <v>0</v>
      </c>
      <c r="T728" s="279">
        <f t="shared" si="405"/>
        <v>0</v>
      </c>
    </row>
    <row r="729" spans="1:20" ht="12.75" hidden="1" customHeight="1" outlineLevel="2" x14ac:dyDescent="0.2">
      <c r="A729" s="198" t="str">
        <f>"            "&amp;Labels!B317</f>
        <v xml:space="preserve">            Channels 1</v>
      </c>
      <c r="B729" s="189"/>
      <c r="C729" s="189">
        <f t="shared" ref="C729:T729" si="406">SUM(C649,C689)</f>
        <v>250</v>
      </c>
      <c r="D729" s="189">
        <f t="shared" si="406"/>
        <v>0</v>
      </c>
      <c r="E729" s="189">
        <f t="shared" si="406"/>
        <v>0</v>
      </c>
      <c r="F729" s="189">
        <f t="shared" si="406"/>
        <v>0</v>
      </c>
      <c r="G729" s="189">
        <f t="shared" si="406"/>
        <v>0</v>
      </c>
      <c r="H729" s="189">
        <f t="shared" si="406"/>
        <v>0</v>
      </c>
      <c r="I729" s="189">
        <f t="shared" si="406"/>
        <v>0</v>
      </c>
      <c r="J729" s="189">
        <f t="shared" si="406"/>
        <v>0</v>
      </c>
      <c r="K729" s="189">
        <f t="shared" si="406"/>
        <v>0</v>
      </c>
      <c r="L729" s="189">
        <f t="shared" si="406"/>
        <v>0</v>
      </c>
      <c r="M729" s="189">
        <f t="shared" si="406"/>
        <v>0</v>
      </c>
      <c r="N729" s="189">
        <f t="shared" si="406"/>
        <v>0</v>
      </c>
      <c r="O729" s="189">
        <f t="shared" si="406"/>
        <v>0</v>
      </c>
      <c r="P729" s="189">
        <f t="shared" si="406"/>
        <v>0</v>
      </c>
      <c r="Q729" s="189">
        <f t="shared" si="406"/>
        <v>0</v>
      </c>
      <c r="R729" s="189">
        <f t="shared" si="406"/>
        <v>0</v>
      </c>
      <c r="S729" s="189">
        <f t="shared" si="406"/>
        <v>0</v>
      </c>
      <c r="T729" s="294">
        <f t="shared" si="406"/>
        <v>0</v>
      </c>
    </row>
    <row r="730" spans="1:20" ht="12.75" hidden="1" customHeight="1" outlineLevel="2" x14ac:dyDescent="0.2">
      <c r="A730" s="198" t="str">
        <f>"            "&amp;Labels!B318</f>
        <v xml:space="preserve">            Channels 2</v>
      </c>
      <c r="B730" s="189"/>
      <c r="C730" s="189">
        <f t="shared" ref="C730:T730" si="407">SUM(C650,C690)</f>
        <v>250</v>
      </c>
      <c r="D730" s="189">
        <f t="shared" si="407"/>
        <v>0</v>
      </c>
      <c r="E730" s="189">
        <f t="shared" si="407"/>
        <v>0</v>
      </c>
      <c r="F730" s="189">
        <f t="shared" si="407"/>
        <v>0</v>
      </c>
      <c r="G730" s="189">
        <f t="shared" si="407"/>
        <v>0</v>
      </c>
      <c r="H730" s="189">
        <f t="shared" si="407"/>
        <v>0</v>
      </c>
      <c r="I730" s="189">
        <f t="shared" si="407"/>
        <v>0</v>
      </c>
      <c r="J730" s="189">
        <f t="shared" si="407"/>
        <v>0</v>
      </c>
      <c r="K730" s="189">
        <f t="shared" si="407"/>
        <v>0</v>
      </c>
      <c r="L730" s="189">
        <f t="shared" si="407"/>
        <v>0</v>
      </c>
      <c r="M730" s="189">
        <f t="shared" si="407"/>
        <v>0</v>
      </c>
      <c r="N730" s="189">
        <f t="shared" si="407"/>
        <v>0</v>
      </c>
      <c r="O730" s="189">
        <f t="shared" si="407"/>
        <v>0</v>
      </c>
      <c r="P730" s="189">
        <f t="shared" si="407"/>
        <v>0</v>
      </c>
      <c r="Q730" s="189">
        <f t="shared" si="407"/>
        <v>0</v>
      </c>
      <c r="R730" s="189">
        <f t="shared" si="407"/>
        <v>0</v>
      </c>
      <c r="S730" s="189">
        <f t="shared" si="407"/>
        <v>0</v>
      </c>
      <c r="T730" s="294">
        <f t="shared" si="407"/>
        <v>0</v>
      </c>
    </row>
    <row r="731" spans="1:20" ht="12.75" hidden="1" customHeight="1" outlineLevel="2" x14ac:dyDescent="0.2">
      <c r="A731" s="198" t="str">
        <f>"            "&amp;Labels!C316</f>
        <v xml:space="preserve">            Total</v>
      </c>
      <c r="B731" s="226"/>
      <c r="C731" s="226">
        <f t="shared" ref="C731:T731" si="408">SUM(C648,C688)</f>
        <v>500</v>
      </c>
      <c r="D731" s="226">
        <f t="shared" si="408"/>
        <v>0</v>
      </c>
      <c r="E731" s="226">
        <f t="shared" si="408"/>
        <v>0</v>
      </c>
      <c r="F731" s="226">
        <f t="shared" si="408"/>
        <v>0</v>
      </c>
      <c r="G731" s="226">
        <f t="shared" si="408"/>
        <v>0</v>
      </c>
      <c r="H731" s="226">
        <f t="shared" si="408"/>
        <v>0</v>
      </c>
      <c r="I731" s="226">
        <f t="shared" si="408"/>
        <v>0</v>
      </c>
      <c r="J731" s="226">
        <f t="shared" si="408"/>
        <v>0</v>
      </c>
      <c r="K731" s="226">
        <f t="shared" si="408"/>
        <v>0</v>
      </c>
      <c r="L731" s="226">
        <f t="shared" si="408"/>
        <v>0</v>
      </c>
      <c r="M731" s="226">
        <f t="shared" si="408"/>
        <v>0</v>
      </c>
      <c r="N731" s="226">
        <f t="shared" si="408"/>
        <v>0</v>
      </c>
      <c r="O731" s="226">
        <f t="shared" si="408"/>
        <v>0</v>
      </c>
      <c r="P731" s="226">
        <f t="shared" si="408"/>
        <v>0</v>
      </c>
      <c r="Q731" s="226">
        <f t="shared" si="408"/>
        <v>0</v>
      </c>
      <c r="R731" s="226">
        <f t="shared" si="408"/>
        <v>0</v>
      </c>
      <c r="S731" s="226">
        <f t="shared" si="408"/>
        <v>0</v>
      </c>
      <c r="T731" s="279">
        <f t="shared" si="408"/>
        <v>0</v>
      </c>
    </row>
    <row r="732" spans="1:20" ht="12.75" hidden="1" customHeight="1" outlineLevel="2" x14ac:dyDescent="0.2">
      <c r="A732" s="188" t="str">
        <f>"      "&amp;Labels!C380</f>
        <v xml:space="preserve">      Total</v>
      </c>
      <c r="B732" s="196"/>
      <c r="C732" s="196">
        <f t="shared" ref="C732:T732" si="409">SUM(C652,C692)</f>
        <v>1000</v>
      </c>
      <c r="D732" s="196">
        <f t="shared" si="409"/>
        <v>0</v>
      </c>
      <c r="E732" s="196">
        <f t="shared" si="409"/>
        <v>0</v>
      </c>
      <c r="F732" s="196">
        <f t="shared" si="409"/>
        <v>0</v>
      </c>
      <c r="G732" s="196">
        <f t="shared" si="409"/>
        <v>0</v>
      </c>
      <c r="H732" s="196">
        <f t="shared" si="409"/>
        <v>0</v>
      </c>
      <c r="I732" s="196">
        <f t="shared" si="409"/>
        <v>0</v>
      </c>
      <c r="J732" s="196">
        <f t="shared" si="409"/>
        <v>0</v>
      </c>
      <c r="K732" s="196">
        <f t="shared" si="409"/>
        <v>0</v>
      </c>
      <c r="L732" s="196">
        <f t="shared" si="409"/>
        <v>0</v>
      </c>
      <c r="M732" s="196">
        <f t="shared" si="409"/>
        <v>0</v>
      </c>
      <c r="N732" s="196">
        <f t="shared" si="409"/>
        <v>0</v>
      </c>
      <c r="O732" s="196">
        <f t="shared" si="409"/>
        <v>0</v>
      </c>
      <c r="P732" s="196">
        <f t="shared" si="409"/>
        <v>0</v>
      </c>
      <c r="Q732" s="196">
        <f t="shared" si="409"/>
        <v>0</v>
      </c>
      <c r="R732" s="196">
        <f t="shared" si="409"/>
        <v>0</v>
      </c>
      <c r="S732" s="196">
        <f t="shared" si="409"/>
        <v>0</v>
      </c>
      <c r="T732" s="267">
        <f t="shared" si="409"/>
        <v>0</v>
      </c>
    </row>
    <row r="733" spans="1:20" ht="12.75" hidden="1" customHeight="1" outlineLevel="2" x14ac:dyDescent="0.2">
      <c r="A733" s="198" t="str">
        <f>"         "&amp;Labels!B385</f>
        <v xml:space="preserve">         Prof Level 1</v>
      </c>
      <c r="B733" s="226"/>
      <c r="C733" s="226"/>
      <c r="D733" s="226"/>
      <c r="E733" s="226"/>
      <c r="F733" s="226"/>
      <c r="G733" s="226"/>
      <c r="H733" s="226"/>
      <c r="I733" s="226"/>
      <c r="J733" s="226"/>
      <c r="K733" s="226"/>
      <c r="L733" s="226"/>
      <c r="M733" s="226"/>
      <c r="N733" s="226"/>
      <c r="O733" s="226"/>
      <c r="P733" s="226"/>
      <c r="Q733" s="226"/>
      <c r="R733" s="226"/>
      <c r="S733" s="226"/>
      <c r="T733" s="279"/>
    </row>
    <row r="734" spans="1:20" ht="12.75" hidden="1" customHeight="1" outlineLevel="2" x14ac:dyDescent="0.2">
      <c r="A734" s="198" t="str">
        <f>"            "&amp;Labels!B317</f>
        <v xml:space="preserve">            Channels 1</v>
      </c>
      <c r="B734" s="189"/>
      <c r="C734" s="189">
        <f t="shared" ref="C734:T734" si="410">SUM(C654,C694)</f>
        <v>250</v>
      </c>
      <c r="D734" s="189">
        <f t="shared" si="410"/>
        <v>0</v>
      </c>
      <c r="E734" s="189">
        <f t="shared" si="410"/>
        <v>0</v>
      </c>
      <c r="F734" s="189">
        <f t="shared" si="410"/>
        <v>0</v>
      </c>
      <c r="G734" s="189">
        <f t="shared" si="410"/>
        <v>0</v>
      </c>
      <c r="H734" s="189">
        <f t="shared" si="410"/>
        <v>0</v>
      </c>
      <c r="I734" s="189">
        <f t="shared" si="410"/>
        <v>0</v>
      </c>
      <c r="J734" s="189">
        <f t="shared" si="410"/>
        <v>0</v>
      </c>
      <c r="K734" s="189">
        <f t="shared" si="410"/>
        <v>0</v>
      </c>
      <c r="L734" s="189">
        <f t="shared" si="410"/>
        <v>0</v>
      </c>
      <c r="M734" s="189">
        <f t="shared" si="410"/>
        <v>0</v>
      </c>
      <c r="N734" s="189">
        <f t="shared" si="410"/>
        <v>0</v>
      </c>
      <c r="O734" s="189">
        <f t="shared" si="410"/>
        <v>0</v>
      </c>
      <c r="P734" s="189">
        <f t="shared" si="410"/>
        <v>0</v>
      </c>
      <c r="Q734" s="189">
        <f t="shared" si="410"/>
        <v>0</v>
      </c>
      <c r="R734" s="189">
        <f t="shared" si="410"/>
        <v>0</v>
      </c>
      <c r="S734" s="189">
        <f t="shared" si="410"/>
        <v>0</v>
      </c>
      <c r="T734" s="294">
        <f t="shared" si="410"/>
        <v>0</v>
      </c>
    </row>
    <row r="735" spans="1:20" ht="12.75" hidden="1" customHeight="1" outlineLevel="2" x14ac:dyDescent="0.2">
      <c r="A735" s="198" t="str">
        <f>"            "&amp;Labels!B318</f>
        <v xml:space="preserve">            Channels 2</v>
      </c>
      <c r="B735" s="189"/>
      <c r="C735" s="189">
        <f t="shared" ref="C735:T735" si="411">SUM(C655,C695)</f>
        <v>250</v>
      </c>
      <c r="D735" s="189">
        <f t="shared" si="411"/>
        <v>0</v>
      </c>
      <c r="E735" s="189">
        <f t="shared" si="411"/>
        <v>0</v>
      </c>
      <c r="F735" s="189">
        <f t="shared" si="411"/>
        <v>0</v>
      </c>
      <c r="G735" s="189">
        <f t="shared" si="411"/>
        <v>0</v>
      </c>
      <c r="H735" s="189">
        <f t="shared" si="411"/>
        <v>0</v>
      </c>
      <c r="I735" s="189">
        <f t="shared" si="411"/>
        <v>0</v>
      </c>
      <c r="J735" s="189">
        <f t="shared" si="411"/>
        <v>0</v>
      </c>
      <c r="K735" s="189">
        <f t="shared" si="411"/>
        <v>0</v>
      </c>
      <c r="L735" s="189">
        <f t="shared" si="411"/>
        <v>0</v>
      </c>
      <c r="M735" s="189">
        <f t="shared" si="411"/>
        <v>0</v>
      </c>
      <c r="N735" s="189">
        <f t="shared" si="411"/>
        <v>0</v>
      </c>
      <c r="O735" s="189">
        <f t="shared" si="411"/>
        <v>0</v>
      </c>
      <c r="P735" s="189">
        <f t="shared" si="411"/>
        <v>0</v>
      </c>
      <c r="Q735" s="189">
        <f t="shared" si="411"/>
        <v>0</v>
      </c>
      <c r="R735" s="189">
        <f t="shared" si="411"/>
        <v>0</v>
      </c>
      <c r="S735" s="189">
        <f t="shared" si="411"/>
        <v>0</v>
      </c>
      <c r="T735" s="294">
        <f t="shared" si="411"/>
        <v>0</v>
      </c>
    </row>
    <row r="736" spans="1:20" ht="12.75" hidden="1" customHeight="1" outlineLevel="2" x14ac:dyDescent="0.2">
      <c r="A736" s="198" t="str">
        <f>"            "&amp;Labels!C316</f>
        <v xml:space="preserve">            Total</v>
      </c>
      <c r="B736" s="226"/>
      <c r="C736" s="226">
        <f t="shared" ref="C736:T736" si="412">SUM(C656,C696)</f>
        <v>500</v>
      </c>
      <c r="D736" s="226">
        <f t="shared" si="412"/>
        <v>0</v>
      </c>
      <c r="E736" s="226">
        <f t="shared" si="412"/>
        <v>0</v>
      </c>
      <c r="F736" s="226">
        <f t="shared" si="412"/>
        <v>0</v>
      </c>
      <c r="G736" s="226">
        <f t="shared" si="412"/>
        <v>0</v>
      </c>
      <c r="H736" s="226">
        <f t="shared" si="412"/>
        <v>0</v>
      </c>
      <c r="I736" s="226">
        <f t="shared" si="412"/>
        <v>0</v>
      </c>
      <c r="J736" s="226">
        <f t="shared" si="412"/>
        <v>0</v>
      </c>
      <c r="K736" s="226">
        <f t="shared" si="412"/>
        <v>0</v>
      </c>
      <c r="L736" s="226">
        <f t="shared" si="412"/>
        <v>0</v>
      </c>
      <c r="M736" s="226">
        <f t="shared" si="412"/>
        <v>0</v>
      </c>
      <c r="N736" s="226">
        <f t="shared" si="412"/>
        <v>0</v>
      </c>
      <c r="O736" s="226">
        <f t="shared" si="412"/>
        <v>0</v>
      </c>
      <c r="P736" s="226">
        <f t="shared" si="412"/>
        <v>0</v>
      </c>
      <c r="Q736" s="226">
        <f t="shared" si="412"/>
        <v>0</v>
      </c>
      <c r="R736" s="226">
        <f t="shared" si="412"/>
        <v>0</v>
      </c>
      <c r="S736" s="226">
        <f t="shared" si="412"/>
        <v>0</v>
      </c>
      <c r="T736" s="279">
        <f t="shared" si="412"/>
        <v>0</v>
      </c>
    </row>
    <row r="737" spans="1:20" ht="12.75" hidden="1" customHeight="1" outlineLevel="2" x14ac:dyDescent="0.2">
      <c r="A737" s="198" t="str">
        <f>"         "&amp;Labels!B386</f>
        <v xml:space="preserve">         Prof Level 2</v>
      </c>
      <c r="B737" s="226"/>
      <c r="C737" s="226"/>
      <c r="D737" s="226"/>
      <c r="E737" s="226"/>
      <c r="F737" s="226"/>
      <c r="G737" s="226"/>
      <c r="H737" s="226"/>
      <c r="I737" s="226"/>
      <c r="J737" s="226"/>
      <c r="K737" s="226"/>
      <c r="L737" s="226"/>
      <c r="M737" s="226"/>
      <c r="N737" s="226"/>
      <c r="O737" s="226"/>
      <c r="P737" s="226"/>
      <c r="Q737" s="226"/>
      <c r="R737" s="226"/>
      <c r="S737" s="226"/>
      <c r="T737" s="279"/>
    </row>
    <row r="738" spans="1:20" ht="12.75" hidden="1" customHeight="1" outlineLevel="2" x14ac:dyDescent="0.2">
      <c r="A738" s="198" t="str">
        <f>"            "&amp;Labels!B317</f>
        <v xml:space="preserve">            Channels 1</v>
      </c>
      <c r="B738" s="189"/>
      <c r="C738" s="189">
        <f t="shared" ref="C738:T738" si="413">SUM(C658,C698)</f>
        <v>250</v>
      </c>
      <c r="D738" s="189">
        <f t="shared" si="413"/>
        <v>0</v>
      </c>
      <c r="E738" s="189">
        <f t="shared" si="413"/>
        <v>0</v>
      </c>
      <c r="F738" s="189">
        <f t="shared" si="413"/>
        <v>0</v>
      </c>
      <c r="G738" s="189">
        <f t="shared" si="413"/>
        <v>0</v>
      </c>
      <c r="H738" s="189">
        <f t="shared" si="413"/>
        <v>0</v>
      </c>
      <c r="I738" s="189">
        <f t="shared" si="413"/>
        <v>0</v>
      </c>
      <c r="J738" s="189">
        <f t="shared" si="413"/>
        <v>0</v>
      </c>
      <c r="K738" s="189">
        <f t="shared" si="413"/>
        <v>0</v>
      </c>
      <c r="L738" s="189">
        <f t="shared" si="413"/>
        <v>0</v>
      </c>
      <c r="M738" s="189">
        <f t="shared" si="413"/>
        <v>0</v>
      </c>
      <c r="N738" s="189">
        <f t="shared" si="413"/>
        <v>0</v>
      </c>
      <c r="O738" s="189">
        <f t="shared" si="413"/>
        <v>0</v>
      </c>
      <c r="P738" s="189">
        <f t="shared" si="413"/>
        <v>0</v>
      </c>
      <c r="Q738" s="189">
        <f t="shared" si="413"/>
        <v>0</v>
      </c>
      <c r="R738" s="189">
        <f t="shared" si="413"/>
        <v>0</v>
      </c>
      <c r="S738" s="189">
        <f t="shared" si="413"/>
        <v>0</v>
      </c>
      <c r="T738" s="294">
        <f t="shared" si="413"/>
        <v>0</v>
      </c>
    </row>
    <row r="739" spans="1:20" ht="12.75" hidden="1" customHeight="1" outlineLevel="2" x14ac:dyDescent="0.2">
      <c r="A739" s="198" t="str">
        <f>"            "&amp;Labels!B318</f>
        <v xml:space="preserve">            Channels 2</v>
      </c>
      <c r="B739" s="189"/>
      <c r="C739" s="189">
        <f t="shared" ref="C739:T739" si="414">SUM(C659,C699)</f>
        <v>250</v>
      </c>
      <c r="D739" s="189">
        <f t="shared" si="414"/>
        <v>0</v>
      </c>
      <c r="E739" s="189">
        <f t="shared" si="414"/>
        <v>0</v>
      </c>
      <c r="F739" s="189">
        <f t="shared" si="414"/>
        <v>0</v>
      </c>
      <c r="G739" s="189">
        <f t="shared" si="414"/>
        <v>0</v>
      </c>
      <c r="H739" s="189">
        <f t="shared" si="414"/>
        <v>0</v>
      </c>
      <c r="I739" s="189">
        <f t="shared" si="414"/>
        <v>0</v>
      </c>
      <c r="J739" s="189">
        <f t="shared" si="414"/>
        <v>0</v>
      </c>
      <c r="K739" s="189">
        <f t="shared" si="414"/>
        <v>0</v>
      </c>
      <c r="L739" s="189">
        <f t="shared" si="414"/>
        <v>0</v>
      </c>
      <c r="M739" s="189">
        <f t="shared" si="414"/>
        <v>0</v>
      </c>
      <c r="N739" s="189">
        <f t="shared" si="414"/>
        <v>0</v>
      </c>
      <c r="O739" s="189">
        <f t="shared" si="414"/>
        <v>0</v>
      </c>
      <c r="P739" s="189">
        <f t="shared" si="414"/>
        <v>0</v>
      </c>
      <c r="Q739" s="189">
        <f t="shared" si="414"/>
        <v>0</v>
      </c>
      <c r="R739" s="189">
        <f t="shared" si="414"/>
        <v>0</v>
      </c>
      <c r="S739" s="189">
        <f t="shared" si="414"/>
        <v>0</v>
      </c>
      <c r="T739" s="294">
        <f t="shared" si="414"/>
        <v>0</v>
      </c>
    </row>
    <row r="740" spans="1:20" ht="12.75" hidden="1" customHeight="1" outlineLevel="2" x14ac:dyDescent="0.2">
      <c r="A740" s="198" t="str">
        <f>"            "&amp;Labels!C316</f>
        <v xml:space="preserve">            Total</v>
      </c>
      <c r="B740" s="226"/>
      <c r="C740" s="226">
        <f t="shared" ref="C740:T740" si="415">SUM(C660,C700)</f>
        <v>500</v>
      </c>
      <c r="D740" s="226">
        <f t="shared" si="415"/>
        <v>0</v>
      </c>
      <c r="E740" s="226">
        <f t="shared" si="415"/>
        <v>0</v>
      </c>
      <c r="F740" s="226">
        <f t="shared" si="415"/>
        <v>0</v>
      </c>
      <c r="G740" s="226">
        <f t="shared" si="415"/>
        <v>0</v>
      </c>
      <c r="H740" s="226">
        <f t="shared" si="415"/>
        <v>0</v>
      </c>
      <c r="I740" s="226">
        <f t="shared" si="415"/>
        <v>0</v>
      </c>
      <c r="J740" s="226">
        <f t="shared" si="415"/>
        <v>0</v>
      </c>
      <c r="K740" s="226">
        <f t="shared" si="415"/>
        <v>0</v>
      </c>
      <c r="L740" s="226">
        <f t="shared" si="415"/>
        <v>0</v>
      </c>
      <c r="M740" s="226">
        <f t="shared" si="415"/>
        <v>0</v>
      </c>
      <c r="N740" s="226">
        <f t="shared" si="415"/>
        <v>0</v>
      </c>
      <c r="O740" s="226">
        <f t="shared" si="415"/>
        <v>0</v>
      </c>
      <c r="P740" s="226">
        <f t="shared" si="415"/>
        <v>0</v>
      </c>
      <c r="Q740" s="226">
        <f t="shared" si="415"/>
        <v>0</v>
      </c>
      <c r="R740" s="226">
        <f t="shared" si="415"/>
        <v>0</v>
      </c>
      <c r="S740" s="226">
        <f t="shared" si="415"/>
        <v>0</v>
      </c>
      <c r="T740" s="279">
        <f t="shared" si="415"/>
        <v>0</v>
      </c>
    </row>
    <row r="741" spans="1:20" ht="12.75" hidden="1" customHeight="1" outlineLevel="2" x14ac:dyDescent="0.2">
      <c r="A741" s="198" t="str">
        <f>"         "&amp;Labels!C384</f>
        <v xml:space="preserve">         Total</v>
      </c>
      <c r="B741" s="226"/>
      <c r="C741" s="226">
        <f t="shared" ref="C741:T741" si="416">SUM(C652,C692)</f>
        <v>1000</v>
      </c>
      <c r="D741" s="226">
        <f t="shared" si="416"/>
        <v>0</v>
      </c>
      <c r="E741" s="226">
        <f t="shared" si="416"/>
        <v>0</v>
      </c>
      <c r="F741" s="226">
        <f t="shared" si="416"/>
        <v>0</v>
      </c>
      <c r="G741" s="226">
        <f t="shared" si="416"/>
        <v>0</v>
      </c>
      <c r="H741" s="226">
        <f t="shared" si="416"/>
        <v>0</v>
      </c>
      <c r="I741" s="226">
        <f t="shared" si="416"/>
        <v>0</v>
      </c>
      <c r="J741" s="226">
        <f t="shared" si="416"/>
        <v>0</v>
      </c>
      <c r="K741" s="226">
        <f t="shared" si="416"/>
        <v>0</v>
      </c>
      <c r="L741" s="226">
        <f t="shared" si="416"/>
        <v>0</v>
      </c>
      <c r="M741" s="226">
        <f t="shared" si="416"/>
        <v>0</v>
      </c>
      <c r="N741" s="226">
        <f t="shared" si="416"/>
        <v>0</v>
      </c>
      <c r="O741" s="226">
        <f t="shared" si="416"/>
        <v>0</v>
      </c>
      <c r="P741" s="226">
        <f t="shared" si="416"/>
        <v>0</v>
      </c>
      <c r="Q741" s="226">
        <f t="shared" si="416"/>
        <v>0</v>
      </c>
      <c r="R741" s="226">
        <f t="shared" si="416"/>
        <v>0</v>
      </c>
      <c r="S741" s="226">
        <f t="shared" si="416"/>
        <v>0</v>
      </c>
      <c r="T741" s="279">
        <f t="shared" si="416"/>
        <v>0</v>
      </c>
    </row>
    <row r="742" spans="1:20" ht="12.75" hidden="1" customHeight="1" outlineLevel="2" x14ac:dyDescent="0.2">
      <c r="A742" s="198" t="str">
        <f>"            "&amp;Labels!B317</f>
        <v xml:space="preserve">            Channels 1</v>
      </c>
      <c r="B742" s="189"/>
      <c r="C742" s="189">
        <f t="shared" ref="C742:T742" si="417">SUM(C662,C702)</f>
        <v>500</v>
      </c>
      <c r="D742" s="189">
        <f t="shared" si="417"/>
        <v>0</v>
      </c>
      <c r="E742" s="189">
        <f t="shared" si="417"/>
        <v>0</v>
      </c>
      <c r="F742" s="189">
        <f t="shared" si="417"/>
        <v>0</v>
      </c>
      <c r="G742" s="189">
        <f t="shared" si="417"/>
        <v>0</v>
      </c>
      <c r="H742" s="189">
        <f t="shared" si="417"/>
        <v>0</v>
      </c>
      <c r="I742" s="189">
        <f t="shared" si="417"/>
        <v>0</v>
      </c>
      <c r="J742" s="189">
        <f t="shared" si="417"/>
        <v>0</v>
      </c>
      <c r="K742" s="189">
        <f t="shared" si="417"/>
        <v>0</v>
      </c>
      <c r="L742" s="189">
        <f t="shared" si="417"/>
        <v>0</v>
      </c>
      <c r="M742" s="189">
        <f t="shared" si="417"/>
        <v>0</v>
      </c>
      <c r="N742" s="189">
        <f t="shared" si="417"/>
        <v>0</v>
      </c>
      <c r="O742" s="189">
        <f t="shared" si="417"/>
        <v>0</v>
      </c>
      <c r="P742" s="189">
        <f t="shared" si="417"/>
        <v>0</v>
      </c>
      <c r="Q742" s="189">
        <f t="shared" si="417"/>
        <v>0</v>
      </c>
      <c r="R742" s="189">
        <f t="shared" si="417"/>
        <v>0</v>
      </c>
      <c r="S742" s="189">
        <f t="shared" si="417"/>
        <v>0</v>
      </c>
      <c r="T742" s="294">
        <f t="shared" si="417"/>
        <v>0</v>
      </c>
    </row>
    <row r="743" spans="1:20" ht="12.75" hidden="1" customHeight="1" outlineLevel="2" x14ac:dyDescent="0.2">
      <c r="A743" s="198" t="str">
        <f>"            "&amp;Labels!B318</f>
        <v xml:space="preserve">            Channels 2</v>
      </c>
      <c r="B743" s="189"/>
      <c r="C743" s="189">
        <f t="shared" ref="C743:T743" si="418">SUM(C663,C703)</f>
        <v>500</v>
      </c>
      <c r="D743" s="189">
        <f t="shared" si="418"/>
        <v>0</v>
      </c>
      <c r="E743" s="189">
        <f t="shared" si="418"/>
        <v>0</v>
      </c>
      <c r="F743" s="189">
        <f t="shared" si="418"/>
        <v>0</v>
      </c>
      <c r="G743" s="189">
        <f t="shared" si="418"/>
        <v>0</v>
      </c>
      <c r="H743" s="189">
        <f t="shared" si="418"/>
        <v>0</v>
      </c>
      <c r="I743" s="189">
        <f t="shared" si="418"/>
        <v>0</v>
      </c>
      <c r="J743" s="189">
        <f t="shared" si="418"/>
        <v>0</v>
      </c>
      <c r="K743" s="189">
        <f t="shared" si="418"/>
        <v>0</v>
      </c>
      <c r="L743" s="189">
        <f t="shared" si="418"/>
        <v>0</v>
      </c>
      <c r="M743" s="189">
        <f t="shared" si="418"/>
        <v>0</v>
      </c>
      <c r="N743" s="189">
        <f t="shared" si="418"/>
        <v>0</v>
      </c>
      <c r="O743" s="189">
        <f t="shared" si="418"/>
        <v>0</v>
      </c>
      <c r="P743" s="189">
        <f t="shared" si="418"/>
        <v>0</v>
      </c>
      <c r="Q743" s="189">
        <f t="shared" si="418"/>
        <v>0</v>
      </c>
      <c r="R743" s="189">
        <f t="shared" si="418"/>
        <v>0</v>
      </c>
      <c r="S743" s="189">
        <f t="shared" si="418"/>
        <v>0</v>
      </c>
      <c r="T743" s="294">
        <f t="shared" si="418"/>
        <v>0</v>
      </c>
    </row>
    <row r="744" spans="1:20" ht="12.75" hidden="1" customHeight="1" outlineLevel="2" x14ac:dyDescent="0.2">
      <c r="A744" s="198" t="str">
        <f>"            "&amp;Labels!C316</f>
        <v xml:space="preserve">            Total</v>
      </c>
      <c r="B744" s="226"/>
      <c r="C744" s="226">
        <f t="shared" ref="C744:T744" si="419">SUM(C652,C692)</f>
        <v>1000</v>
      </c>
      <c r="D744" s="226">
        <f t="shared" si="419"/>
        <v>0</v>
      </c>
      <c r="E744" s="226">
        <f t="shared" si="419"/>
        <v>0</v>
      </c>
      <c r="F744" s="226">
        <f t="shared" si="419"/>
        <v>0</v>
      </c>
      <c r="G744" s="226">
        <f t="shared" si="419"/>
        <v>0</v>
      </c>
      <c r="H744" s="226">
        <f t="shared" si="419"/>
        <v>0</v>
      </c>
      <c r="I744" s="226">
        <f t="shared" si="419"/>
        <v>0</v>
      </c>
      <c r="J744" s="226">
        <f t="shared" si="419"/>
        <v>0</v>
      </c>
      <c r="K744" s="226">
        <f t="shared" si="419"/>
        <v>0</v>
      </c>
      <c r="L744" s="226">
        <f t="shared" si="419"/>
        <v>0</v>
      </c>
      <c r="M744" s="226">
        <f t="shared" si="419"/>
        <v>0</v>
      </c>
      <c r="N744" s="226">
        <f t="shared" si="419"/>
        <v>0</v>
      </c>
      <c r="O744" s="226">
        <f t="shared" si="419"/>
        <v>0</v>
      </c>
      <c r="P744" s="226">
        <f t="shared" si="419"/>
        <v>0</v>
      </c>
      <c r="Q744" s="226">
        <f t="shared" si="419"/>
        <v>0</v>
      </c>
      <c r="R744" s="226">
        <f t="shared" si="419"/>
        <v>0</v>
      </c>
      <c r="S744" s="226">
        <f t="shared" si="419"/>
        <v>0</v>
      </c>
      <c r="T744" s="279">
        <f t="shared" si="419"/>
        <v>0</v>
      </c>
    </row>
    <row r="745" spans="1:20" ht="12.75" hidden="1" customHeight="1" outlineLevel="2" x14ac:dyDescent="0.2">
      <c r="A745" s="97"/>
      <c r="B745" s="6"/>
      <c r="C745" s="6"/>
      <c r="D745" s="6"/>
      <c r="E745" s="6"/>
      <c r="F745" s="6"/>
      <c r="G745" s="6"/>
      <c r="H745" s="6"/>
      <c r="I745" s="6"/>
      <c r="J745" s="6"/>
      <c r="K745" s="6"/>
      <c r="L745" s="6"/>
      <c r="M745" s="6"/>
      <c r="N745" s="6"/>
      <c r="O745" s="6"/>
      <c r="P745" s="6"/>
      <c r="Q745" s="6"/>
      <c r="R745" s="6"/>
      <c r="S745" s="6"/>
      <c r="T745" s="7"/>
    </row>
    <row r="746" spans="1:20" ht="12.75" hidden="1" customHeight="1" outlineLevel="2" x14ac:dyDescent="0.2">
      <c r="A746" s="191" t="str">
        <f>Labels!B240</f>
        <v>New Sales Leads (Hrs)</v>
      </c>
      <c r="B746" s="260"/>
      <c r="C746" s="260"/>
      <c r="D746" s="260"/>
      <c r="E746" s="260"/>
      <c r="F746" s="260"/>
      <c r="G746" s="260"/>
      <c r="H746" s="260"/>
      <c r="I746" s="260"/>
      <c r="J746" s="260"/>
      <c r="K746" s="260"/>
      <c r="L746" s="260"/>
      <c r="M746" s="260"/>
      <c r="N746" s="260"/>
      <c r="O746" s="260"/>
      <c r="P746" s="260"/>
      <c r="Q746" s="260"/>
      <c r="R746" s="260"/>
      <c r="S746" s="260"/>
      <c r="T746" s="289"/>
    </row>
    <row r="747" spans="1:20" ht="12.75" hidden="1" customHeight="1" outlineLevel="2" x14ac:dyDescent="0.2">
      <c r="A747" s="188" t="str">
        <f>"   "&amp;Labels!B389</f>
        <v xml:space="preserve">   Lead Qual 1</v>
      </c>
      <c r="B747" s="256"/>
      <c r="C747" s="256"/>
      <c r="D747" s="256"/>
      <c r="E747" s="256"/>
      <c r="F747" s="256"/>
      <c r="G747" s="256"/>
      <c r="H747" s="256"/>
      <c r="I747" s="256"/>
      <c r="J747" s="256"/>
      <c r="K747" s="256"/>
      <c r="L747" s="256"/>
      <c r="M747" s="256"/>
      <c r="N747" s="256"/>
      <c r="O747" s="256"/>
      <c r="P747" s="256"/>
      <c r="Q747" s="256"/>
      <c r="R747" s="256"/>
      <c r="S747" s="256"/>
      <c r="T747" s="290"/>
    </row>
    <row r="748" spans="1:20" ht="12.75" hidden="1" customHeight="1" outlineLevel="2" x14ac:dyDescent="0.2">
      <c r="A748" s="198" t="str">
        <f>"      "&amp;Labels!B381</f>
        <v xml:space="preserve">      Practice 1</v>
      </c>
      <c r="B748" s="258"/>
      <c r="C748" s="258"/>
      <c r="D748" s="258"/>
      <c r="E748" s="258"/>
      <c r="F748" s="258"/>
      <c r="G748" s="258"/>
      <c r="H748" s="258"/>
      <c r="I748" s="258"/>
      <c r="J748" s="258"/>
      <c r="K748" s="258"/>
      <c r="L748" s="258"/>
      <c r="M748" s="258"/>
      <c r="N748" s="258"/>
      <c r="O748" s="258"/>
      <c r="P748" s="258"/>
      <c r="Q748" s="258"/>
      <c r="R748" s="258"/>
      <c r="S748" s="258"/>
      <c r="T748" s="291"/>
    </row>
    <row r="749" spans="1:20" ht="12.75" hidden="1" customHeight="1" outlineLevel="2" x14ac:dyDescent="0.2">
      <c r="A749" s="198" t="str">
        <f>"         "&amp;Labels!B385</f>
        <v xml:space="preserve">         Prof Level 1</v>
      </c>
      <c r="B749" s="258"/>
      <c r="C749" s="258"/>
      <c r="D749" s="258"/>
      <c r="E749" s="258"/>
      <c r="F749" s="258"/>
      <c r="G749" s="258"/>
      <c r="H749" s="258"/>
      <c r="I749" s="258"/>
      <c r="J749" s="258"/>
      <c r="K749" s="258"/>
      <c r="L749" s="258"/>
      <c r="M749" s="258"/>
      <c r="N749" s="258"/>
      <c r="O749" s="258"/>
      <c r="P749" s="258"/>
      <c r="Q749" s="258"/>
      <c r="R749" s="258"/>
      <c r="S749" s="258"/>
      <c r="T749" s="291"/>
    </row>
    <row r="750" spans="1:20" ht="12.75" hidden="1" customHeight="1" outlineLevel="2" x14ac:dyDescent="0.2">
      <c r="A750" s="198" t="str">
        <f>"            "&amp;Labels!B317</f>
        <v xml:space="preserve">            Channels 1</v>
      </c>
      <c r="B750" s="295"/>
      <c r="C750" s="295">
        <f>Inputs!F68</f>
        <v>0</v>
      </c>
      <c r="D750" s="295">
        <f>Inputs!G68</f>
        <v>0</v>
      </c>
      <c r="E750" s="295">
        <f>Inputs!H68</f>
        <v>0</v>
      </c>
      <c r="F750" s="295">
        <f>Inputs!I68</f>
        <v>0</v>
      </c>
      <c r="G750" s="295">
        <f>Inputs!J68</f>
        <v>0</v>
      </c>
      <c r="H750" s="295">
        <f>Inputs!K68</f>
        <v>0</v>
      </c>
      <c r="I750" s="295">
        <f>Inputs!L68</f>
        <v>0</v>
      </c>
      <c r="J750" s="295">
        <f>Inputs!M68</f>
        <v>0</v>
      </c>
      <c r="K750" s="295">
        <f>Inputs!N68</f>
        <v>0</v>
      </c>
      <c r="L750" s="295">
        <f>Inputs!O68</f>
        <v>0</v>
      </c>
      <c r="M750" s="295">
        <f>Inputs!P68</f>
        <v>0</v>
      </c>
      <c r="N750" s="295">
        <f>Inputs!Q68</f>
        <v>0</v>
      </c>
      <c r="O750" s="295">
        <f>Inputs!R68</f>
        <v>0</v>
      </c>
      <c r="P750" s="295">
        <f>Inputs!S68</f>
        <v>0</v>
      </c>
      <c r="Q750" s="295">
        <f>Inputs!T68</f>
        <v>0</v>
      </c>
      <c r="R750" s="295">
        <f>Inputs!U68</f>
        <v>0</v>
      </c>
      <c r="S750" s="295">
        <f>Inputs!V68</f>
        <v>0</v>
      </c>
      <c r="T750" s="296">
        <f>Inputs!W68</f>
        <v>0</v>
      </c>
    </row>
    <row r="751" spans="1:20" ht="12.75" hidden="1" customHeight="1" outlineLevel="2" x14ac:dyDescent="0.2">
      <c r="A751" s="198" t="str">
        <f>"            "&amp;Labels!B318</f>
        <v xml:space="preserve">            Channels 2</v>
      </c>
      <c r="B751" s="295"/>
      <c r="C751" s="295">
        <f>Inputs!F69</f>
        <v>0</v>
      </c>
      <c r="D751" s="295">
        <f>Inputs!G69</f>
        <v>0</v>
      </c>
      <c r="E751" s="295">
        <f>Inputs!H69</f>
        <v>0</v>
      </c>
      <c r="F751" s="295">
        <f>Inputs!I69</f>
        <v>0</v>
      </c>
      <c r="G751" s="295">
        <f>Inputs!J69</f>
        <v>0</v>
      </c>
      <c r="H751" s="295">
        <f>Inputs!K69</f>
        <v>0</v>
      </c>
      <c r="I751" s="295">
        <f>Inputs!L69</f>
        <v>0</v>
      </c>
      <c r="J751" s="295">
        <f>Inputs!M69</f>
        <v>0</v>
      </c>
      <c r="K751" s="295">
        <f>Inputs!N69</f>
        <v>0</v>
      </c>
      <c r="L751" s="295">
        <f>Inputs!O69</f>
        <v>0</v>
      </c>
      <c r="M751" s="295">
        <f>Inputs!P69</f>
        <v>0</v>
      </c>
      <c r="N751" s="295">
        <f>Inputs!Q69</f>
        <v>0</v>
      </c>
      <c r="O751" s="295">
        <f>Inputs!R69</f>
        <v>0</v>
      </c>
      <c r="P751" s="295">
        <f>Inputs!S69</f>
        <v>0</v>
      </c>
      <c r="Q751" s="295">
        <f>Inputs!T69</f>
        <v>0</v>
      </c>
      <c r="R751" s="295">
        <f>Inputs!U69</f>
        <v>0</v>
      </c>
      <c r="S751" s="295">
        <f>Inputs!V69</f>
        <v>0</v>
      </c>
      <c r="T751" s="296">
        <f>Inputs!W69</f>
        <v>0</v>
      </c>
    </row>
    <row r="752" spans="1:20" ht="12.75" hidden="1" customHeight="1" outlineLevel="2" x14ac:dyDescent="0.2">
      <c r="A752" s="198" t="str">
        <f>"            "&amp;Labels!C316</f>
        <v xml:space="preserve">            Total</v>
      </c>
      <c r="B752" s="258"/>
      <c r="C752" s="258">
        <f t="shared" ref="C752:T752" si="420">SUM(C750:C751)</f>
        <v>0</v>
      </c>
      <c r="D752" s="258">
        <f t="shared" si="420"/>
        <v>0</v>
      </c>
      <c r="E752" s="258">
        <f t="shared" si="420"/>
        <v>0</v>
      </c>
      <c r="F752" s="258">
        <f t="shared" si="420"/>
        <v>0</v>
      </c>
      <c r="G752" s="258">
        <f t="shared" si="420"/>
        <v>0</v>
      </c>
      <c r="H752" s="258">
        <f t="shared" si="420"/>
        <v>0</v>
      </c>
      <c r="I752" s="258">
        <f t="shared" si="420"/>
        <v>0</v>
      </c>
      <c r="J752" s="258">
        <f t="shared" si="420"/>
        <v>0</v>
      </c>
      <c r="K752" s="258">
        <f t="shared" si="420"/>
        <v>0</v>
      </c>
      <c r="L752" s="258">
        <f t="shared" si="420"/>
        <v>0</v>
      </c>
      <c r="M752" s="258">
        <f t="shared" si="420"/>
        <v>0</v>
      </c>
      <c r="N752" s="258">
        <f t="shared" si="420"/>
        <v>0</v>
      </c>
      <c r="O752" s="258">
        <f t="shared" si="420"/>
        <v>0</v>
      </c>
      <c r="P752" s="258">
        <f t="shared" si="420"/>
        <v>0</v>
      </c>
      <c r="Q752" s="258">
        <f t="shared" si="420"/>
        <v>0</v>
      </c>
      <c r="R752" s="258">
        <f t="shared" si="420"/>
        <v>0</v>
      </c>
      <c r="S752" s="258">
        <f t="shared" si="420"/>
        <v>0</v>
      </c>
      <c r="T752" s="291">
        <f t="shared" si="420"/>
        <v>0</v>
      </c>
    </row>
    <row r="753" spans="1:20" ht="12.75" hidden="1" customHeight="1" outlineLevel="2" x14ac:dyDescent="0.2">
      <c r="A753" s="198" t="str">
        <f>"         "&amp;Labels!B386</f>
        <v xml:space="preserve">         Prof Level 2</v>
      </c>
      <c r="B753" s="258"/>
      <c r="C753" s="258"/>
      <c r="D753" s="258"/>
      <c r="E753" s="258"/>
      <c r="F753" s="258"/>
      <c r="G753" s="258"/>
      <c r="H753" s="258"/>
      <c r="I753" s="258"/>
      <c r="J753" s="258"/>
      <c r="K753" s="258"/>
      <c r="L753" s="258"/>
      <c r="M753" s="258"/>
      <c r="N753" s="258"/>
      <c r="O753" s="258"/>
      <c r="P753" s="258"/>
      <c r="Q753" s="258"/>
      <c r="R753" s="258"/>
      <c r="S753" s="258"/>
      <c r="T753" s="291"/>
    </row>
    <row r="754" spans="1:20" ht="12.75" hidden="1" customHeight="1" outlineLevel="2" x14ac:dyDescent="0.2">
      <c r="A754" s="198" t="str">
        <f>"            "&amp;Labels!B317</f>
        <v xml:space="preserve">            Channels 1</v>
      </c>
      <c r="B754" s="295"/>
      <c r="C754" s="295">
        <f>Inputs!F70</f>
        <v>0</v>
      </c>
      <c r="D754" s="295">
        <f>Inputs!G70</f>
        <v>0</v>
      </c>
      <c r="E754" s="295">
        <f>Inputs!H70</f>
        <v>0</v>
      </c>
      <c r="F754" s="295">
        <f>Inputs!I70</f>
        <v>0</v>
      </c>
      <c r="G754" s="295">
        <f>Inputs!J70</f>
        <v>0</v>
      </c>
      <c r="H754" s="295">
        <f>Inputs!K70</f>
        <v>0</v>
      </c>
      <c r="I754" s="295">
        <f>Inputs!L70</f>
        <v>0</v>
      </c>
      <c r="J754" s="295">
        <f>Inputs!M70</f>
        <v>0</v>
      </c>
      <c r="K754" s="295">
        <f>Inputs!N70</f>
        <v>0</v>
      </c>
      <c r="L754" s="295">
        <f>Inputs!O70</f>
        <v>0</v>
      </c>
      <c r="M754" s="295">
        <f>Inputs!P70</f>
        <v>0</v>
      </c>
      <c r="N754" s="295">
        <f>Inputs!Q70</f>
        <v>0</v>
      </c>
      <c r="O754" s="295">
        <f>Inputs!R70</f>
        <v>0</v>
      </c>
      <c r="P754" s="295">
        <f>Inputs!S70</f>
        <v>0</v>
      </c>
      <c r="Q754" s="295">
        <f>Inputs!T70</f>
        <v>0</v>
      </c>
      <c r="R754" s="295">
        <f>Inputs!U70</f>
        <v>0</v>
      </c>
      <c r="S754" s="295">
        <f>Inputs!V70</f>
        <v>0</v>
      </c>
      <c r="T754" s="296">
        <f>Inputs!W70</f>
        <v>0</v>
      </c>
    </row>
    <row r="755" spans="1:20" ht="12.75" hidden="1" customHeight="1" outlineLevel="2" x14ac:dyDescent="0.2">
      <c r="A755" s="198" t="str">
        <f>"            "&amp;Labels!B318</f>
        <v xml:space="preserve">            Channels 2</v>
      </c>
      <c r="B755" s="295"/>
      <c r="C755" s="295">
        <f>Inputs!F71</f>
        <v>0</v>
      </c>
      <c r="D755" s="295">
        <f>Inputs!G71</f>
        <v>0</v>
      </c>
      <c r="E755" s="295">
        <f>Inputs!H71</f>
        <v>0</v>
      </c>
      <c r="F755" s="295">
        <f>Inputs!I71</f>
        <v>0</v>
      </c>
      <c r="G755" s="295">
        <f>Inputs!J71</f>
        <v>0</v>
      </c>
      <c r="H755" s="295">
        <f>Inputs!K71</f>
        <v>0</v>
      </c>
      <c r="I755" s="295">
        <f>Inputs!L71</f>
        <v>0</v>
      </c>
      <c r="J755" s="295">
        <f>Inputs!M71</f>
        <v>0</v>
      </c>
      <c r="K755" s="295">
        <f>Inputs!N71</f>
        <v>0</v>
      </c>
      <c r="L755" s="295">
        <f>Inputs!O71</f>
        <v>0</v>
      </c>
      <c r="M755" s="295">
        <f>Inputs!P71</f>
        <v>0</v>
      </c>
      <c r="N755" s="295">
        <f>Inputs!Q71</f>
        <v>0</v>
      </c>
      <c r="O755" s="295">
        <f>Inputs!R71</f>
        <v>0</v>
      </c>
      <c r="P755" s="295">
        <f>Inputs!S71</f>
        <v>0</v>
      </c>
      <c r="Q755" s="295">
        <f>Inputs!T71</f>
        <v>0</v>
      </c>
      <c r="R755" s="295">
        <f>Inputs!U71</f>
        <v>0</v>
      </c>
      <c r="S755" s="295">
        <f>Inputs!V71</f>
        <v>0</v>
      </c>
      <c r="T755" s="296">
        <f>Inputs!W71</f>
        <v>0</v>
      </c>
    </row>
    <row r="756" spans="1:20" ht="12.75" hidden="1" customHeight="1" outlineLevel="2" x14ac:dyDescent="0.2">
      <c r="A756" s="198" t="str">
        <f>"            "&amp;Labels!C316</f>
        <v xml:space="preserve">            Total</v>
      </c>
      <c r="B756" s="258"/>
      <c r="C756" s="258">
        <f t="shared" ref="C756:T756" si="421">SUM(C754:C755)</f>
        <v>0</v>
      </c>
      <c r="D756" s="258">
        <f t="shared" si="421"/>
        <v>0</v>
      </c>
      <c r="E756" s="258">
        <f t="shared" si="421"/>
        <v>0</v>
      </c>
      <c r="F756" s="258">
        <f t="shared" si="421"/>
        <v>0</v>
      </c>
      <c r="G756" s="258">
        <f t="shared" si="421"/>
        <v>0</v>
      </c>
      <c r="H756" s="258">
        <f t="shared" si="421"/>
        <v>0</v>
      </c>
      <c r="I756" s="258">
        <f t="shared" si="421"/>
        <v>0</v>
      </c>
      <c r="J756" s="258">
        <f t="shared" si="421"/>
        <v>0</v>
      </c>
      <c r="K756" s="258">
        <f t="shared" si="421"/>
        <v>0</v>
      </c>
      <c r="L756" s="258">
        <f t="shared" si="421"/>
        <v>0</v>
      </c>
      <c r="M756" s="258">
        <f t="shared" si="421"/>
        <v>0</v>
      </c>
      <c r="N756" s="258">
        <f t="shared" si="421"/>
        <v>0</v>
      </c>
      <c r="O756" s="258">
        <f t="shared" si="421"/>
        <v>0</v>
      </c>
      <c r="P756" s="258">
        <f t="shared" si="421"/>
        <v>0</v>
      </c>
      <c r="Q756" s="258">
        <f t="shared" si="421"/>
        <v>0</v>
      </c>
      <c r="R756" s="258">
        <f t="shared" si="421"/>
        <v>0</v>
      </c>
      <c r="S756" s="258">
        <f t="shared" si="421"/>
        <v>0</v>
      </c>
      <c r="T756" s="291">
        <f t="shared" si="421"/>
        <v>0</v>
      </c>
    </row>
    <row r="757" spans="1:20" ht="12.75" hidden="1" customHeight="1" outlineLevel="2" x14ac:dyDescent="0.2">
      <c r="A757" s="198" t="str">
        <f>"         "&amp;Labels!C384</f>
        <v xml:space="preserve">         Total</v>
      </c>
      <c r="B757" s="258"/>
      <c r="C757" s="258">
        <f t="shared" ref="C757:T757" si="422">SUM(C752,C756)</f>
        <v>0</v>
      </c>
      <c r="D757" s="258">
        <f t="shared" si="422"/>
        <v>0</v>
      </c>
      <c r="E757" s="258">
        <f t="shared" si="422"/>
        <v>0</v>
      </c>
      <c r="F757" s="258">
        <f t="shared" si="422"/>
        <v>0</v>
      </c>
      <c r="G757" s="258">
        <f t="shared" si="422"/>
        <v>0</v>
      </c>
      <c r="H757" s="258">
        <f t="shared" si="422"/>
        <v>0</v>
      </c>
      <c r="I757" s="258">
        <f t="shared" si="422"/>
        <v>0</v>
      </c>
      <c r="J757" s="258">
        <f t="shared" si="422"/>
        <v>0</v>
      </c>
      <c r="K757" s="258">
        <f t="shared" si="422"/>
        <v>0</v>
      </c>
      <c r="L757" s="258">
        <f t="shared" si="422"/>
        <v>0</v>
      </c>
      <c r="M757" s="258">
        <f t="shared" si="422"/>
        <v>0</v>
      </c>
      <c r="N757" s="258">
        <f t="shared" si="422"/>
        <v>0</v>
      </c>
      <c r="O757" s="258">
        <f t="shared" si="422"/>
        <v>0</v>
      </c>
      <c r="P757" s="258">
        <f t="shared" si="422"/>
        <v>0</v>
      </c>
      <c r="Q757" s="258">
        <f t="shared" si="422"/>
        <v>0</v>
      </c>
      <c r="R757" s="258">
        <f t="shared" si="422"/>
        <v>0</v>
      </c>
      <c r="S757" s="258">
        <f t="shared" si="422"/>
        <v>0</v>
      </c>
      <c r="T757" s="291">
        <f t="shared" si="422"/>
        <v>0</v>
      </c>
    </row>
    <row r="758" spans="1:20" ht="12.75" hidden="1" customHeight="1" outlineLevel="2" x14ac:dyDescent="0.2">
      <c r="A758" s="198" t="str">
        <f>"            "&amp;Labels!B317</f>
        <v xml:space="preserve">            Channels 1</v>
      </c>
      <c r="B758" s="295"/>
      <c r="C758" s="295">
        <f t="shared" ref="C758:T758" si="423">SUM(C750,C754)</f>
        <v>0</v>
      </c>
      <c r="D758" s="295">
        <f t="shared" si="423"/>
        <v>0</v>
      </c>
      <c r="E758" s="295">
        <f t="shared" si="423"/>
        <v>0</v>
      </c>
      <c r="F758" s="295">
        <f t="shared" si="423"/>
        <v>0</v>
      </c>
      <c r="G758" s="295">
        <f t="shared" si="423"/>
        <v>0</v>
      </c>
      <c r="H758" s="295">
        <f t="shared" si="423"/>
        <v>0</v>
      </c>
      <c r="I758" s="295">
        <f t="shared" si="423"/>
        <v>0</v>
      </c>
      <c r="J758" s="295">
        <f t="shared" si="423"/>
        <v>0</v>
      </c>
      <c r="K758" s="295">
        <f t="shared" si="423"/>
        <v>0</v>
      </c>
      <c r="L758" s="295">
        <f t="shared" si="423"/>
        <v>0</v>
      </c>
      <c r="M758" s="295">
        <f t="shared" si="423"/>
        <v>0</v>
      </c>
      <c r="N758" s="295">
        <f t="shared" si="423"/>
        <v>0</v>
      </c>
      <c r="O758" s="295">
        <f t="shared" si="423"/>
        <v>0</v>
      </c>
      <c r="P758" s="295">
        <f t="shared" si="423"/>
        <v>0</v>
      </c>
      <c r="Q758" s="295">
        <f t="shared" si="423"/>
        <v>0</v>
      </c>
      <c r="R758" s="295">
        <f t="shared" si="423"/>
        <v>0</v>
      </c>
      <c r="S758" s="295">
        <f t="shared" si="423"/>
        <v>0</v>
      </c>
      <c r="T758" s="296">
        <f t="shared" si="423"/>
        <v>0</v>
      </c>
    </row>
    <row r="759" spans="1:20" ht="12.75" hidden="1" customHeight="1" outlineLevel="2" x14ac:dyDescent="0.2">
      <c r="A759" s="198" t="str">
        <f>"            "&amp;Labels!B318</f>
        <v xml:space="preserve">            Channels 2</v>
      </c>
      <c r="B759" s="295"/>
      <c r="C759" s="295">
        <f t="shared" ref="C759:T759" si="424">SUM(C751,C755)</f>
        <v>0</v>
      </c>
      <c r="D759" s="295">
        <f t="shared" si="424"/>
        <v>0</v>
      </c>
      <c r="E759" s="295">
        <f t="shared" si="424"/>
        <v>0</v>
      </c>
      <c r="F759" s="295">
        <f t="shared" si="424"/>
        <v>0</v>
      </c>
      <c r="G759" s="295">
        <f t="shared" si="424"/>
        <v>0</v>
      </c>
      <c r="H759" s="295">
        <f t="shared" si="424"/>
        <v>0</v>
      </c>
      <c r="I759" s="295">
        <f t="shared" si="424"/>
        <v>0</v>
      </c>
      <c r="J759" s="295">
        <f t="shared" si="424"/>
        <v>0</v>
      </c>
      <c r="K759" s="295">
        <f t="shared" si="424"/>
        <v>0</v>
      </c>
      <c r="L759" s="295">
        <f t="shared" si="424"/>
        <v>0</v>
      </c>
      <c r="M759" s="295">
        <f t="shared" si="424"/>
        <v>0</v>
      </c>
      <c r="N759" s="295">
        <f t="shared" si="424"/>
        <v>0</v>
      </c>
      <c r="O759" s="295">
        <f t="shared" si="424"/>
        <v>0</v>
      </c>
      <c r="P759" s="295">
        <f t="shared" si="424"/>
        <v>0</v>
      </c>
      <c r="Q759" s="295">
        <f t="shared" si="424"/>
        <v>0</v>
      </c>
      <c r="R759" s="295">
        <f t="shared" si="424"/>
        <v>0</v>
      </c>
      <c r="S759" s="295">
        <f t="shared" si="424"/>
        <v>0</v>
      </c>
      <c r="T759" s="296">
        <f t="shared" si="424"/>
        <v>0</v>
      </c>
    </row>
    <row r="760" spans="1:20" ht="12.75" hidden="1" customHeight="1" outlineLevel="2" x14ac:dyDescent="0.2">
      <c r="A760" s="198" t="str">
        <f>"            "&amp;Labels!C316</f>
        <v xml:space="preserve">            Total</v>
      </c>
      <c r="B760" s="258"/>
      <c r="C760" s="258">
        <f t="shared" ref="C760:T760" si="425">SUM(C752,C756)</f>
        <v>0</v>
      </c>
      <c r="D760" s="258">
        <f t="shared" si="425"/>
        <v>0</v>
      </c>
      <c r="E760" s="258">
        <f t="shared" si="425"/>
        <v>0</v>
      </c>
      <c r="F760" s="258">
        <f t="shared" si="425"/>
        <v>0</v>
      </c>
      <c r="G760" s="258">
        <f t="shared" si="425"/>
        <v>0</v>
      </c>
      <c r="H760" s="258">
        <f t="shared" si="425"/>
        <v>0</v>
      </c>
      <c r="I760" s="258">
        <f t="shared" si="425"/>
        <v>0</v>
      </c>
      <c r="J760" s="258">
        <f t="shared" si="425"/>
        <v>0</v>
      </c>
      <c r="K760" s="258">
        <f t="shared" si="425"/>
        <v>0</v>
      </c>
      <c r="L760" s="258">
        <f t="shared" si="425"/>
        <v>0</v>
      </c>
      <c r="M760" s="258">
        <f t="shared" si="425"/>
        <v>0</v>
      </c>
      <c r="N760" s="258">
        <f t="shared" si="425"/>
        <v>0</v>
      </c>
      <c r="O760" s="258">
        <f t="shared" si="425"/>
        <v>0</v>
      </c>
      <c r="P760" s="258">
        <f t="shared" si="425"/>
        <v>0</v>
      </c>
      <c r="Q760" s="258">
        <f t="shared" si="425"/>
        <v>0</v>
      </c>
      <c r="R760" s="258">
        <f t="shared" si="425"/>
        <v>0</v>
      </c>
      <c r="S760" s="258">
        <f t="shared" si="425"/>
        <v>0</v>
      </c>
      <c r="T760" s="291">
        <f t="shared" si="425"/>
        <v>0</v>
      </c>
    </row>
    <row r="761" spans="1:20" ht="12.75" hidden="1" customHeight="1" outlineLevel="2" x14ac:dyDescent="0.2">
      <c r="A761" s="198" t="str">
        <f>"      "&amp;Labels!B382</f>
        <v xml:space="preserve">      Practice 2</v>
      </c>
      <c r="B761" s="258"/>
      <c r="C761" s="258"/>
      <c r="D761" s="258"/>
      <c r="E761" s="258"/>
      <c r="F761" s="258"/>
      <c r="G761" s="258"/>
      <c r="H761" s="258"/>
      <c r="I761" s="258"/>
      <c r="J761" s="258"/>
      <c r="K761" s="258"/>
      <c r="L761" s="258"/>
      <c r="M761" s="258"/>
      <c r="N761" s="258"/>
      <c r="O761" s="258"/>
      <c r="P761" s="258"/>
      <c r="Q761" s="258"/>
      <c r="R761" s="258"/>
      <c r="S761" s="258"/>
      <c r="T761" s="291"/>
    </row>
    <row r="762" spans="1:20" ht="12.75" hidden="1" customHeight="1" outlineLevel="2" x14ac:dyDescent="0.2">
      <c r="A762" s="198" t="str">
        <f>"         "&amp;Labels!B385</f>
        <v xml:space="preserve">         Prof Level 1</v>
      </c>
      <c r="B762" s="258"/>
      <c r="C762" s="258"/>
      <c r="D762" s="258"/>
      <c r="E762" s="258"/>
      <c r="F762" s="258"/>
      <c r="G762" s="258"/>
      <c r="H762" s="258"/>
      <c r="I762" s="258"/>
      <c r="J762" s="258"/>
      <c r="K762" s="258"/>
      <c r="L762" s="258"/>
      <c r="M762" s="258"/>
      <c r="N762" s="258"/>
      <c r="O762" s="258"/>
      <c r="P762" s="258"/>
      <c r="Q762" s="258"/>
      <c r="R762" s="258"/>
      <c r="S762" s="258"/>
      <c r="T762" s="291"/>
    </row>
    <row r="763" spans="1:20" ht="12.75" hidden="1" customHeight="1" outlineLevel="2" x14ac:dyDescent="0.2">
      <c r="A763" s="198" t="str">
        <f>"            "&amp;Labels!B317</f>
        <v xml:space="preserve">            Channels 1</v>
      </c>
      <c r="B763" s="295"/>
      <c r="C763" s="295">
        <f>Inputs!F72</f>
        <v>0</v>
      </c>
      <c r="D763" s="295">
        <f>Inputs!G72</f>
        <v>0</v>
      </c>
      <c r="E763" s="295">
        <f>Inputs!H72</f>
        <v>0</v>
      </c>
      <c r="F763" s="295">
        <f>Inputs!I72</f>
        <v>0</v>
      </c>
      <c r="G763" s="295">
        <f>Inputs!J72</f>
        <v>0</v>
      </c>
      <c r="H763" s="295">
        <f>Inputs!K72</f>
        <v>0</v>
      </c>
      <c r="I763" s="295">
        <f>Inputs!L72</f>
        <v>0</v>
      </c>
      <c r="J763" s="295">
        <f>Inputs!M72</f>
        <v>0</v>
      </c>
      <c r="K763" s="295">
        <f>Inputs!N72</f>
        <v>0</v>
      </c>
      <c r="L763" s="295">
        <f>Inputs!O72</f>
        <v>0</v>
      </c>
      <c r="M763" s="295">
        <f>Inputs!P72</f>
        <v>0</v>
      </c>
      <c r="N763" s="295">
        <f>Inputs!Q72</f>
        <v>0</v>
      </c>
      <c r="O763" s="295">
        <f>Inputs!R72</f>
        <v>0</v>
      </c>
      <c r="P763" s="295">
        <f>Inputs!S72</f>
        <v>0</v>
      </c>
      <c r="Q763" s="295">
        <f>Inputs!T72</f>
        <v>0</v>
      </c>
      <c r="R763" s="295">
        <f>Inputs!U72</f>
        <v>0</v>
      </c>
      <c r="S763" s="295">
        <f>Inputs!V72</f>
        <v>0</v>
      </c>
      <c r="T763" s="296">
        <f>Inputs!W72</f>
        <v>0</v>
      </c>
    </row>
    <row r="764" spans="1:20" ht="12.75" hidden="1" customHeight="1" outlineLevel="2" x14ac:dyDescent="0.2">
      <c r="A764" s="198" t="str">
        <f>"            "&amp;Labels!B318</f>
        <v xml:space="preserve">            Channels 2</v>
      </c>
      <c r="B764" s="295"/>
      <c r="C764" s="295">
        <f>Inputs!F73</f>
        <v>0</v>
      </c>
      <c r="D764" s="295">
        <f>Inputs!G73</f>
        <v>0</v>
      </c>
      <c r="E764" s="295">
        <f>Inputs!H73</f>
        <v>0</v>
      </c>
      <c r="F764" s="295">
        <f>Inputs!I73</f>
        <v>0</v>
      </c>
      <c r="G764" s="295">
        <f>Inputs!J73</f>
        <v>0</v>
      </c>
      <c r="H764" s="295">
        <f>Inputs!K73</f>
        <v>0</v>
      </c>
      <c r="I764" s="295">
        <f>Inputs!L73</f>
        <v>0</v>
      </c>
      <c r="J764" s="295">
        <f>Inputs!M73</f>
        <v>0</v>
      </c>
      <c r="K764" s="295">
        <f>Inputs!N73</f>
        <v>0</v>
      </c>
      <c r="L764" s="295">
        <f>Inputs!O73</f>
        <v>0</v>
      </c>
      <c r="M764" s="295">
        <f>Inputs!P73</f>
        <v>0</v>
      </c>
      <c r="N764" s="295">
        <f>Inputs!Q73</f>
        <v>0</v>
      </c>
      <c r="O764" s="295">
        <f>Inputs!R73</f>
        <v>0</v>
      </c>
      <c r="P764" s="295">
        <f>Inputs!S73</f>
        <v>0</v>
      </c>
      <c r="Q764" s="295">
        <f>Inputs!T73</f>
        <v>0</v>
      </c>
      <c r="R764" s="295">
        <f>Inputs!U73</f>
        <v>0</v>
      </c>
      <c r="S764" s="295">
        <f>Inputs!V73</f>
        <v>0</v>
      </c>
      <c r="T764" s="296">
        <f>Inputs!W73</f>
        <v>0</v>
      </c>
    </row>
    <row r="765" spans="1:20" ht="12.75" hidden="1" customHeight="1" outlineLevel="2" x14ac:dyDescent="0.2">
      <c r="A765" s="198" t="str">
        <f>"            "&amp;Labels!C316</f>
        <v xml:space="preserve">            Total</v>
      </c>
      <c r="B765" s="258"/>
      <c r="C765" s="258">
        <f t="shared" ref="C765:T765" si="426">SUM(C763:C764)</f>
        <v>0</v>
      </c>
      <c r="D765" s="258">
        <f t="shared" si="426"/>
        <v>0</v>
      </c>
      <c r="E765" s="258">
        <f t="shared" si="426"/>
        <v>0</v>
      </c>
      <c r="F765" s="258">
        <f t="shared" si="426"/>
        <v>0</v>
      </c>
      <c r="G765" s="258">
        <f t="shared" si="426"/>
        <v>0</v>
      </c>
      <c r="H765" s="258">
        <f t="shared" si="426"/>
        <v>0</v>
      </c>
      <c r="I765" s="258">
        <f t="shared" si="426"/>
        <v>0</v>
      </c>
      <c r="J765" s="258">
        <f t="shared" si="426"/>
        <v>0</v>
      </c>
      <c r="K765" s="258">
        <f t="shared" si="426"/>
        <v>0</v>
      </c>
      <c r="L765" s="258">
        <f t="shared" si="426"/>
        <v>0</v>
      </c>
      <c r="M765" s="258">
        <f t="shared" si="426"/>
        <v>0</v>
      </c>
      <c r="N765" s="258">
        <f t="shared" si="426"/>
        <v>0</v>
      </c>
      <c r="O765" s="258">
        <f t="shared" si="426"/>
        <v>0</v>
      </c>
      <c r="P765" s="258">
        <f t="shared" si="426"/>
        <v>0</v>
      </c>
      <c r="Q765" s="258">
        <f t="shared" si="426"/>
        <v>0</v>
      </c>
      <c r="R765" s="258">
        <f t="shared" si="426"/>
        <v>0</v>
      </c>
      <c r="S765" s="258">
        <f t="shared" si="426"/>
        <v>0</v>
      </c>
      <c r="T765" s="291">
        <f t="shared" si="426"/>
        <v>0</v>
      </c>
    </row>
    <row r="766" spans="1:20" ht="12.75" hidden="1" customHeight="1" outlineLevel="2" x14ac:dyDescent="0.2">
      <c r="A766" s="198" t="str">
        <f>"         "&amp;Labels!B386</f>
        <v xml:space="preserve">         Prof Level 2</v>
      </c>
      <c r="B766" s="258"/>
      <c r="C766" s="258"/>
      <c r="D766" s="258"/>
      <c r="E766" s="258"/>
      <c r="F766" s="258"/>
      <c r="G766" s="258"/>
      <c r="H766" s="258"/>
      <c r="I766" s="258"/>
      <c r="J766" s="258"/>
      <c r="K766" s="258"/>
      <c r="L766" s="258"/>
      <c r="M766" s="258"/>
      <c r="N766" s="258"/>
      <c r="O766" s="258"/>
      <c r="P766" s="258"/>
      <c r="Q766" s="258"/>
      <c r="R766" s="258"/>
      <c r="S766" s="258"/>
      <c r="T766" s="291"/>
    </row>
    <row r="767" spans="1:20" ht="12.75" hidden="1" customHeight="1" outlineLevel="2" x14ac:dyDescent="0.2">
      <c r="A767" s="198" t="str">
        <f>"            "&amp;Labels!B317</f>
        <v xml:space="preserve">            Channels 1</v>
      </c>
      <c r="B767" s="295"/>
      <c r="C767" s="295">
        <f>Inputs!F74</f>
        <v>0</v>
      </c>
      <c r="D767" s="295">
        <f>Inputs!G74</f>
        <v>0</v>
      </c>
      <c r="E767" s="295">
        <f>Inputs!H74</f>
        <v>0</v>
      </c>
      <c r="F767" s="295">
        <f>Inputs!I74</f>
        <v>0</v>
      </c>
      <c r="G767" s="295">
        <f>Inputs!J74</f>
        <v>0</v>
      </c>
      <c r="H767" s="295">
        <f>Inputs!K74</f>
        <v>0</v>
      </c>
      <c r="I767" s="295">
        <f>Inputs!L74</f>
        <v>0</v>
      </c>
      <c r="J767" s="295">
        <f>Inputs!M74</f>
        <v>0</v>
      </c>
      <c r="K767" s="295">
        <f>Inputs!N74</f>
        <v>0</v>
      </c>
      <c r="L767" s="295">
        <f>Inputs!O74</f>
        <v>0</v>
      </c>
      <c r="M767" s="295">
        <f>Inputs!P74</f>
        <v>0</v>
      </c>
      <c r="N767" s="295">
        <f>Inputs!Q74</f>
        <v>0</v>
      </c>
      <c r="O767" s="295">
        <f>Inputs!R74</f>
        <v>0</v>
      </c>
      <c r="P767" s="295">
        <f>Inputs!S74</f>
        <v>0</v>
      </c>
      <c r="Q767" s="295">
        <f>Inputs!T74</f>
        <v>0</v>
      </c>
      <c r="R767" s="295">
        <f>Inputs!U74</f>
        <v>0</v>
      </c>
      <c r="S767" s="295">
        <f>Inputs!V74</f>
        <v>0</v>
      </c>
      <c r="T767" s="296">
        <f>Inputs!W74</f>
        <v>0</v>
      </c>
    </row>
    <row r="768" spans="1:20" ht="12.75" hidden="1" customHeight="1" outlineLevel="2" x14ac:dyDescent="0.2">
      <c r="A768" s="198" t="str">
        <f>"            "&amp;Labels!B318</f>
        <v xml:space="preserve">            Channels 2</v>
      </c>
      <c r="B768" s="295"/>
      <c r="C768" s="295">
        <f>Inputs!F75</f>
        <v>0</v>
      </c>
      <c r="D768" s="295">
        <f>Inputs!G75</f>
        <v>0</v>
      </c>
      <c r="E768" s="295">
        <f>Inputs!H75</f>
        <v>0</v>
      </c>
      <c r="F768" s="295">
        <f>Inputs!I75</f>
        <v>0</v>
      </c>
      <c r="G768" s="295">
        <f>Inputs!J75</f>
        <v>0</v>
      </c>
      <c r="H768" s="295">
        <f>Inputs!K75</f>
        <v>0</v>
      </c>
      <c r="I768" s="295">
        <f>Inputs!L75</f>
        <v>0</v>
      </c>
      <c r="J768" s="295">
        <f>Inputs!M75</f>
        <v>0</v>
      </c>
      <c r="K768" s="295">
        <f>Inputs!N75</f>
        <v>0</v>
      </c>
      <c r="L768" s="295">
        <f>Inputs!O75</f>
        <v>0</v>
      </c>
      <c r="M768" s="295">
        <f>Inputs!P75</f>
        <v>0</v>
      </c>
      <c r="N768" s="295">
        <f>Inputs!Q75</f>
        <v>0</v>
      </c>
      <c r="O768" s="295">
        <f>Inputs!R75</f>
        <v>0</v>
      </c>
      <c r="P768" s="295">
        <f>Inputs!S75</f>
        <v>0</v>
      </c>
      <c r="Q768" s="295">
        <f>Inputs!T75</f>
        <v>0</v>
      </c>
      <c r="R768" s="295">
        <f>Inputs!U75</f>
        <v>0</v>
      </c>
      <c r="S768" s="295">
        <f>Inputs!V75</f>
        <v>0</v>
      </c>
      <c r="T768" s="296">
        <f>Inputs!W75</f>
        <v>0</v>
      </c>
    </row>
    <row r="769" spans="1:20" ht="12.75" hidden="1" customHeight="1" outlineLevel="2" x14ac:dyDescent="0.2">
      <c r="A769" s="198" t="str">
        <f>"            "&amp;Labels!C316</f>
        <v xml:space="preserve">            Total</v>
      </c>
      <c r="B769" s="258"/>
      <c r="C769" s="258">
        <f t="shared" ref="C769:T769" si="427">SUM(C767:C768)</f>
        <v>0</v>
      </c>
      <c r="D769" s="258">
        <f t="shared" si="427"/>
        <v>0</v>
      </c>
      <c r="E769" s="258">
        <f t="shared" si="427"/>
        <v>0</v>
      </c>
      <c r="F769" s="258">
        <f t="shared" si="427"/>
        <v>0</v>
      </c>
      <c r="G769" s="258">
        <f t="shared" si="427"/>
        <v>0</v>
      </c>
      <c r="H769" s="258">
        <f t="shared" si="427"/>
        <v>0</v>
      </c>
      <c r="I769" s="258">
        <f t="shared" si="427"/>
        <v>0</v>
      </c>
      <c r="J769" s="258">
        <f t="shared" si="427"/>
        <v>0</v>
      </c>
      <c r="K769" s="258">
        <f t="shared" si="427"/>
        <v>0</v>
      </c>
      <c r="L769" s="258">
        <f t="shared" si="427"/>
        <v>0</v>
      </c>
      <c r="M769" s="258">
        <f t="shared" si="427"/>
        <v>0</v>
      </c>
      <c r="N769" s="258">
        <f t="shared" si="427"/>
        <v>0</v>
      </c>
      <c r="O769" s="258">
        <f t="shared" si="427"/>
        <v>0</v>
      </c>
      <c r="P769" s="258">
        <f t="shared" si="427"/>
        <v>0</v>
      </c>
      <c r="Q769" s="258">
        <f t="shared" si="427"/>
        <v>0</v>
      </c>
      <c r="R769" s="258">
        <f t="shared" si="427"/>
        <v>0</v>
      </c>
      <c r="S769" s="258">
        <f t="shared" si="427"/>
        <v>0</v>
      </c>
      <c r="T769" s="291">
        <f t="shared" si="427"/>
        <v>0</v>
      </c>
    </row>
    <row r="770" spans="1:20" ht="12.75" hidden="1" customHeight="1" outlineLevel="2" x14ac:dyDescent="0.2">
      <c r="A770" s="198" t="str">
        <f>"         "&amp;Labels!C384</f>
        <v xml:space="preserve">         Total</v>
      </c>
      <c r="B770" s="258"/>
      <c r="C770" s="258">
        <f t="shared" ref="C770:T770" si="428">SUM(C765,C769)</f>
        <v>0</v>
      </c>
      <c r="D770" s="258">
        <f t="shared" si="428"/>
        <v>0</v>
      </c>
      <c r="E770" s="258">
        <f t="shared" si="428"/>
        <v>0</v>
      </c>
      <c r="F770" s="258">
        <f t="shared" si="428"/>
        <v>0</v>
      </c>
      <c r="G770" s="258">
        <f t="shared" si="428"/>
        <v>0</v>
      </c>
      <c r="H770" s="258">
        <f t="shared" si="428"/>
        <v>0</v>
      </c>
      <c r="I770" s="258">
        <f t="shared" si="428"/>
        <v>0</v>
      </c>
      <c r="J770" s="258">
        <f t="shared" si="428"/>
        <v>0</v>
      </c>
      <c r="K770" s="258">
        <f t="shared" si="428"/>
        <v>0</v>
      </c>
      <c r="L770" s="258">
        <f t="shared" si="428"/>
        <v>0</v>
      </c>
      <c r="M770" s="258">
        <f t="shared" si="428"/>
        <v>0</v>
      </c>
      <c r="N770" s="258">
        <f t="shared" si="428"/>
        <v>0</v>
      </c>
      <c r="O770" s="258">
        <f t="shared" si="428"/>
        <v>0</v>
      </c>
      <c r="P770" s="258">
        <f t="shared" si="428"/>
        <v>0</v>
      </c>
      <c r="Q770" s="258">
        <f t="shared" si="428"/>
        <v>0</v>
      </c>
      <c r="R770" s="258">
        <f t="shared" si="428"/>
        <v>0</v>
      </c>
      <c r="S770" s="258">
        <f t="shared" si="428"/>
        <v>0</v>
      </c>
      <c r="T770" s="291">
        <f t="shared" si="428"/>
        <v>0</v>
      </c>
    </row>
    <row r="771" spans="1:20" ht="12.75" hidden="1" customHeight="1" outlineLevel="2" x14ac:dyDescent="0.2">
      <c r="A771" s="198" t="str">
        <f>"            "&amp;Labels!B317</f>
        <v xml:space="preserve">            Channels 1</v>
      </c>
      <c r="B771" s="295"/>
      <c r="C771" s="295">
        <f t="shared" ref="C771:T771" si="429">SUM(C763,C767)</f>
        <v>0</v>
      </c>
      <c r="D771" s="295">
        <f t="shared" si="429"/>
        <v>0</v>
      </c>
      <c r="E771" s="295">
        <f t="shared" si="429"/>
        <v>0</v>
      </c>
      <c r="F771" s="295">
        <f t="shared" si="429"/>
        <v>0</v>
      </c>
      <c r="G771" s="295">
        <f t="shared" si="429"/>
        <v>0</v>
      </c>
      <c r="H771" s="295">
        <f t="shared" si="429"/>
        <v>0</v>
      </c>
      <c r="I771" s="295">
        <f t="shared" si="429"/>
        <v>0</v>
      </c>
      <c r="J771" s="295">
        <f t="shared" si="429"/>
        <v>0</v>
      </c>
      <c r="K771" s="295">
        <f t="shared" si="429"/>
        <v>0</v>
      </c>
      <c r="L771" s="295">
        <f t="shared" si="429"/>
        <v>0</v>
      </c>
      <c r="M771" s="295">
        <f t="shared" si="429"/>
        <v>0</v>
      </c>
      <c r="N771" s="295">
        <f t="shared" si="429"/>
        <v>0</v>
      </c>
      <c r="O771" s="295">
        <f t="shared" si="429"/>
        <v>0</v>
      </c>
      <c r="P771" s="295">
        <f t="shared" si="429"/>
        <v>0</v>
      </c>
      <c r="Q771" s="295">
        <f t="shared" si="429"/>
        <v>0</v>
      </c>
      <c r="R771" s="295">
        <f t="shared" si="429"/>
        <v>0</v>
      </c>
      <c r="S771" s="295">
        <f t="shared" si="429"/>
        <v>0</v>
      </c>
      <c r="T771" s="296">
        <f t="shared" si="429"/>
        <v>0</v>
      </c>
    </row>
    <row r="772" spans="1:20" ht="12.75" hidden="1" customHeight="1" outlineLevel="2" x14ac:dyDescent="0.2">
      <c r="A772" s="198" t="str">
        <f>"            "&amp;Labels!B318</f>
        <v xml:space="preserve">            Channels 2</v>
      </c>
      <c r="B772" s="295"/>
      <c r="C772" s="295">
        <f t="shared" ref="C772:T772" si="430">SUM(C764,C768)</f>
        <v>0</v>
      </c>
      <c r="D772" s="295">
        <f t="shared" si="430"/>
        <v>0</v>
      </c>
      <c r="E772" s="295">
        <f t="shared" si="430"/>
        <v>0</v>
      </c>
      <c r="F772" s="295">
        <f t="shared" si="430"/>
        <v>0</v>
      </c>
      <c r="G772" s="295">
        <f t="shared" si="430"/>
        <v>0</v>
      </c>
      <c r="H772" s="295">
        <f t="shared" si="430"/>
        <v>0</v>
      </c>
      <c r="I772" s="295">
        <f t="shared" si="430"/>
        <v>0</v>
      </c>
      <c r="J772" s="295">
        <f t="shared" si="430"/>
        <v>0</v>
      </c>
      <c r="K772" s="295">
        <f t="shared" si="430"/>
        <v>0</v>
      </c>
      <c r="L772" s="295">
        <f t="shared" si="430"/>
        <v>0</v>
      </c>
      <c r="M772" s="295">
        <f t="shared" si="430"/>
        <v>0</v>
      </c>
      <c r="N772" s="295">
        <f t="shared" si="430"/>
        <v>0</v>
      </c>
      <c r="O772" s="295">
        <f t="shared" si="430"/>
        <v>0</v>
      </c>
      <c r="P772" s="295">
        <f t="shared" si="430"/>
        <v>0</v>
      </c>
      <c r="Q772" s="295">
        <f t="shared" si="430"/>
        <v>0</v>
      </c>
      <c r="R772" s="295">
        <f t="shared" si="430"/>
        <v>0</v>
      </c>
      <c r="S772" s="295">
        <f t="shared" si="430"/>
        <v>0</v>
      </c>
      <c r="T772" s="296">
        <f t="shared" si="430"/>
        <v>0</v>
      </c>
    </row>
    <row r="773" spans="1:20" ht="12.75" hidden="1" customHeight="1" outlineLevel="2" x14ac:dyDescent="0.2">
      <c r="A773" s="198" t="str">
        <f>"            "&amp;Labels!C316</f>
        <v xml:space="preserve">            Total</v>
      </c>
      <c r="B773" s="258"/>
      <c r="C773" s="258">
        <f t="shared" ref="C773:T773" si="431">SUM(C765,C769)</f>
        <v>0</v>
      </c>
      <c r="D773" s="258">
        <f t="shared" si="431"/>
        <v>0</v>
      </c>
      <c r="E773" s="258">
        <f t="shared" si="431"/>
        <v>0</v>
      </c>
      <c r="F773" s="258">
        <f t="shared" si="431"/>
        <v>0</v>
      </c>
      <c r="G773" s="258">
        <f t="shared" si="431"/>
        <v>0</v>
      </c>
      <c r="H773" s="258">
        <f t="shared" si="431"/>
        <v>0</v>
      </c>
      <c r="I773" s="258">
        <f t="shared" si="431"/>
        <v>0</v>
      </c>
      <c r="J773" s="258">
        <f t="shared" si="431"/>
        <v>0</v>
      </c>
      <c r="K773" s="258">
        <f t="shared" si="431"/>
        <v>0</v>
      </c>
      <c r="L773" s="258">
        <f t="shared" si="431"/>
        <v>0</v>
      </c>
      <c r="M773" s="258">
        <f t="shared" si="431"/>
        <v>0</v>
      </c>
      <c r="N773" s="258">
        <f t="shared" si="431"/>
        <v>0</v>
      </c>
      <c r="O773" s="258">
        <f t="shared" si="431"/>
        <v>0</v>
      </c>
      <c r="P773" s="258">
        <f t="shared" si="431"/>
        <v>0</v>
      </c>
      <c r="Q773" s="258">
        <f t="shared" si="431"/>
        <v>0</v>
      </c>
      <c r="R773" s="258">
        <f t="shared" si="431"/>
        <v>0</v>
      </c>
      <c r="S773" s="258">
        <f t="shared" si="431"/>
        <v>0</v>
      </c>
      <c r="T773" s="291">
        <f t="shared" si="431"/>
        <v>0</v>
      </c>
    </row>
    <row r="774" spans="1:20" ht="12.75" hidden="1" customHeight="1" outlineLevel="2" x14ac:dyDescent="0.2">
      <c r="A774" s="188" t="str">
        <f>"      "&amp;Labels!C380</f>
        <v xml:space="preserve">      Total</v>
      </c>
      <c r="B774" s="256"/>
      <c r="C774" s="256">
        <f t="shared" ref="C774:T774" si="432">SUM(C757,C770)</f>
        <v>0</v>
      </c>
      <c r="D774" s="256">
        <f t="shared" si="432"/>
        <v>0</v>
      </c>
      <c r="E774" s="256">
        <f t="shared" si="432"/>
        <v>0</v>
      </c>
      <c r="F774" s="256">
        <f t="shared" si="432"/>
        <v>0</v>
      </c>
      <c r="G774" s="256">
        <f t="shared" si="432"/>
        <v>0</v>
      </c>
      <c r="H774" s="256">
        <f t="shared" si="432"/>
        <v>0</v>
      </c>
      <c r="I774" s="256">
        <f t="shared" si="432"/>
        <v>0</v>
      </c>
      <c r="J774" s="256">
        <f t="shared" si="432"/>
        <v>0</v>
      </c>
      <c r="K774" s="256">
        <f t="shared" si="432"/>
        <v>0</v>
      </c>
      <c r="L774" s="256">
        <f t="shared" si="432"/>
        <v>0</v>
      </c>
      <c r="M774" s="256">
        <f t="shared" si="432"/>
        <v>0</v>
      </c>
      <c r="N774" s="256">
        <f t="shared" si="432"/>
        <v>0</v>
      </c>
      <c r="O774" s="256">
        <f t="shared" si="432"/>
        <v>0</v>
      </c>
      <c r="P774" s="256">
        <f t="shared" si="432"/>
        <v>0</v>
      </c>
      <c r="Q774" s="256">
        <f t="shared" si="432"/>
        <v>0</v>
      </c>
      <c r="R774" s="256">
        <f t="shared" si="432"/>
        <v>0</v>
      </c>
      <c r="S774" s="256">
        <f t="shared" si="432"/>
        <v>0</v>
      </c>
      <c r="T774" s="290">
        <f t="shared" si="432"/>
        <v>0</v>
      </c>
    </row>
    <row r="775" spans="1:20" ht="12.75" hidden="1" customHeight="1" outlineLevel="2" x14ac:dyDescent="0.2">
      <c r="A775" s="198" t="str">
        <f>"         "&amp;Labels!B385</f>
        <v xml:space="preserve">         Prof Level 1</v>
      </c>
      <c r="B775" s="258"/>
      <c r="C775" s="258"/>
      <c r="D775" s="258"/>
      <c r="E775" s="258"/>
      <c r="F775" s="258"/>
      <c r="G775" s="258"/>
      <c r="H775" s="258"/>
      <c r="I775" s="258"/>
      <c r="J775" s="258"/>
      <c r="K775" s="258"/>
      <c r="L775" s="258"/>
      <c r="M775" s="258"/>
      <c r="N775" s="258"/>
      <c r="O775" s="258"/>
      <c r="P775" s="258"/>
      <c r="Q775" s="258"/>
      <c r="R775" s="258"/>
      <c r="S775" s="258"/>
      <c r="T775" s="291"/>
    </row>
    <row r="776" spans="1:20" ht="12.75" hidden="1" customHeight="1" outlineLevel="2" x14ac:dyDescent="0.2">
      <c r="A776" s="198" t="str">
        <f>"            "&amp;Labels!B317</f>
        <v xml:space="preserve">            Channels 1</v>
      </c>
      <c r="B776" s="295"/>
      <c r="C776" s="295">
        <f t="shared" ref="C776:T776" si="433">SUM(C750,C763)</f>
        <v>0</v>
      </c>
      <c r="D776" s="295">
        <f t="shared" si="433"/>
        <v>0</v>
      </c>
      <c r="E776" s="295">
        <f t="shared" si="433"/>
        <v>0</v>
      </c>
      <c r="F776" s="295">
        <f t="shared" si="433"/>
        <v>0</v>
      </c>
      <c r="G776" s="295">
        <f t="shared" si="433"/>
        <v>0</v>
      </c>
      <c r="H776" s="295">
        <f t="shared" si="433"/>
        <v>0</v>
      </c>
      <c r="I776" s="295">
        <f t="shared" si="433"/>
        <v>0</v>
      </c>
      <c r="J776" s="295">
        <f t="shared" si="433"/>
        <v>0</v>
      </c>
      <c r="K776" s="295">
        <f t="shared" si="433"/>
        <v>0</v>
      </c>
      <c r="L776" s="295">
        <f t="shared" si="433"/>
        <v>0</v>
      </c>
      <c r="M776" s="295">
        <f t="shared" si="433"/>
        <v>0</v>
      </c>
      <c r="N776" s="295">
        <f t="shared" si="433"/>
        <v>0</v>
      </c>
      <c r="O776" s="295">
        <f t="shared" si="433"/>
        <v>0</v>
      </c>
      <c r="P776" s="295">
        <f t="shared" si="433"/>
        <v>0</v>
      </c>
      <c r="Q776" s="295">
        <f t="shared" si="433"/>
        <v>0</v>
      </c>
      <c r="R776" s="295">
        <f t="shared" si="433"/>
        <v>0</v>
      </c>
      <c r="S776" s="295">
        <f t="shared" si="433"/>
        <v>0</v>
      </c>
      <c r="T776" s="296">
        <f t="shared" si="433"/>
        <v>0</v>
      </c>
    </row>
    <row r="777" spans="1:20" ht="12.75" hidden="1" customHeight="1" outlineLevel="2" x14ac:dyDescent="0.2">
      <c r="A777" s="198" t="str">
        <f>"            "&amp;Labels!B318</f>
        <v xml:space="preserve">            Channels 2</v>
      </c>
      <c r="B777" s="295"/>
      <c r="C777" s="295">
        <f t="shared" ref="C777:T777" si="434">SUM(C751,C764)</f>
        <v>0</v>
      </c>
      <c r="D777" s="295">
        <f t="shared" si="434"/>
        <v>0</v>
      </c>
      <c r="E777" s="295">
        <f t="shared" si="434"/>
        <v>0</v>
      </c>
      <c r="F777" s="295">
        <f t="shared" si="434"/>
        <v>0</v>
      </c>
      <c r="G777" s="295">
        <f t="shared" si="434"/>
        <v>0</v>
      </c>
      <c r="H777" s="295">
        <f t="shared" si="434"/>
        <v>0</v>
      </c>
      <c r="I777" s="295">
        <f t="shared" si="434"/>
        <v>0</v>
      </c>
      <c r="J777" s="295">
        <f t="shared" si="434"/>
        <v>0</v>
      </c>
      <c r="K777" s="295">
        <f t="shared" si="434"/>
        <v>0</v>
      </c>
      <c r="L777" s="295">
        <f t="shared" si="434"/>
        <v>0</v>
      </c>
      <c r="M777" s="295">
        <f t="shared" si="434"/>
        <v>0</v>
      </c>
      <c r="N777" s="295">
        <f t="shared" si="434"/>
        <v>0</v>
      </c>
      <c r="O777" s="295">
        <f t="shared" si="434"/>
        <v>0</v>
      </c>
      <c r="P777" s="295">
        <f t="shared" si="434"/>
        <v>0</v>
      </c>
      <c r="Q777" s="295">
        <f t="shared" si="434"/>
        <v>0</v>
      </c>
      <c r="R777" s="295">
        <f t="shared" si="434"/>
        <v>0</v>
      </c>
      <c r="S777" s="295">
        <f t="shared" si="434"/>
        <v>0</v>
      </c>
      <c r="T777" s="296">
        <f t="shared" si="434"/>
        <v>0</v>
      </c>
    </row>
    <row r="778" spans="1:20" ht="12.75" hidden="1" customHeight="1" outlineLevel="2" x14ac:dyDescent="0.2">
      <c r="A778" s="198" t="str">
        <f>"            "&amp;Labels!C316</f>
        <v xml:space="preserve">            Total</v>
      </c>
      <c r="B778" s="258"/>
      <c r="C778" s="258">
        <f t="shared" ref="C778:T778" si="435">SUM(C752,C765)</f>
        <v>0</v>
      </c>
      <c r="D778" s="258">
        <f t="shared" si="435"/>
        <v>0</v>
      </c>
      <c r="E778" s="258">
        <f t="shared" si="435"/>
        <v>0</v>
      </c>
      <c r="F778" s="258">
        <f t="shared" si="435"/>
        <v>0</v>
      </c>
      <c r="G778" s="258">
        <f t="shared" si="435"/>
        <v>0</v>
      </c>
      <c r="H778" s="258">
        <f t="shared" si="435"/>
        <v>0</v>
      </c>
      <c r="I778" s="258">
        <f t="shared" si="435"/>
        <v>0</v>
      </c>
      <c r="J778" s="258">
        <f t="shared" si="435"/>
        <v>0</v>
      </c>
      <c r="K778" s="258">
        <f t="shared" si="435"/>
        <v>0</v>
      </c>
      <c r="L778" s="258">
        <f t="shared" si="435"/>
        <v>0</v>
      </c>
      <c r="M778" s="258">
        <f t="shared" si="435"/>
        <v>0</v>
      </c>
      <c r="N778" s="258">
        <f t="shared" si="435"/>
        <v>0</v>
      </c>
      <c r="O778" s="258">
        <f t="shared" si="435"/>
        <v>0</v>
      </c>
      <c r="P778" s="258">
        <f t="shared" si="435"/>
        <v>0</v>
      </c>
      <c r="Q778" s="258">
        <f t="shared" si="435"/>
        <v>0</v>
      </c>
      <c r="R778" s="258">
        <f t="shared" si="435"/>
        <v>0</v>
      </c>
      <c r="S778" s="258">
        <f t="shared" si="435"/>
        <v>0</v>
      </c>
      <c r="T778" s="291">
        <f t="shared" si="435"/>
        <v>0</v>
      </c>
    </row>
    <row r="779" spans="1:20" ht="12.75" hidden="1" customHeight="1" outlineLevel="2" x14ac:dyDescent="0.2">
      <c r="A779" s="198" t="str">
        <f>"         "&amp;Labels!B386</f>
        <v xml:space="preserve">         Prof Level 2</v>
      </c>
      <c r="B779" s="258"/>
      <c r="C779" s="258"/>
      <c r="D779" s="258"/>
      <c r="E779" s="258"/>
      <c r="F779" s="258"/>
      <c r="G779" s="258"/>
      <c r="H779" s="258"/>
      <c r="I779" s="258"/>
      <c r="J779" s="258"/>
      <c r="K779" s="258"/>
      <c r="L779" s="258"/>
      <c r="M779" s="258"/>
      <c r="N779" s="258"/>
      <c r="O779" s="258"/>
      <c r="P779" s="258"/>
      <c r="Q779" s="258"/>
      <c r="R779" s="258"/>
      <c r="S779" s="258"/>
      <c r="T779" s="291"/>
    </row>
    <row r="780" spans="1:20" ht="12.75" hidden="1" customHeight="1" outlineLevel="2" x14ac:dyDescent="0.2">
      <c r="A780" s="198" t="str">
        <f>"            "&amp;Labels!B317</f>
        <v xml:space="preserve">            Channels 1</v>
      </c>
      <c r="B780" s="295"/>
      <c r="C780" s="295">
        <f t="shared" ref="C780:T780" si="436">SUM(C754,C767)</f>
        <v>0</v>
      </c>
      <c r="D780" s="295">
        <f t="shared" si="436"/>
        <v>0</v>
      </c>
      <c r="E780" s="295">
        <f t="shared" si="436"/>
        <v>0</v>
      </c>
      <c r="F780" s="295">
        <f t="shared" si="436"/>
        <v>0</v>
      </c>
      <c r="G780" s="295">
        <f t="shared" si="436"/>
        <v>0</v>
      </c>
      <c r="H780" s="295">
        <f t="shared" si="436"/>
        <v>0</v>
      </c>
      <c r="I780" s="295">
        <f t="shared" si="436"/>
        <v>0</v>
      </c>
      <c r="J780" s="295">
        <f t="shared" si="436"/>
        <v>0</v>
      </c>
      <c r="K780" s="295">
        <f t="shared" si="436"/>
        <v>0</v>
      </c>
      <c r="L780" s="295">
        <f t="shared" si="436"/>
        <v>0</v>
      </c>
      <c r="M780" s="295">
        <f t="shared" si="436"/>
        <v>0</v>
      </c>
      <c r="N780" s="295">
        <f t="shared" si="436"/>
        <v>0</v>
      </c>
      <c r="O780" s="295">
        <f t="shared" si="436"/>
        <v>0</v>
      </c>
      <c r="P780" s="295">
        <f t="shared" si="436"/>
        <v>0</v>
      </c>
      <c r="Q780" s="295">
        <f t="shared" si="436"/>
        <v>0</v>
      </c>
      <c r="R780" s="295">
        <f t="shared" si="436"/>
        <v>0</v>
      </c>
      <c r="S780" s="295">
        <f t="shared" si="436"/>
        <v>0</v>
      </c>
      <c r="T780" s="296">
        <f t="shared" si="436"/>
        <v>0</v>
      </c>
    </row>
    <row r="781" spans="1:20" ht="12.75" hidden="1" customHeight="1" outlineLevel="2" x14ac:dyDescent="0.2">
      <c r="A781" s="198" t="str">
        <f>"            "&amp;Labels!B318</f>
        <v xml:space="preserve">            Channels 2</v>
      </c>
      <c r="B781" s="295"/>
      <c r="C781" s="295">
        <f t="shared" ref="C781:T781" si="437">SUM(C755,C768)</f>
        <v>0</v>
      </c>
      <c r="D781" s="295">
        <f t="shared" si="437"/>
        <v>0</v>
      </c>
      <c r="E781" s="295">
        <f t="shared" si="437"/>
        <v>0</v>
      </c>
      <c r="F781" s="295">
        <f t="shared" si="437"/>
        <v>0</v>
      </c>
      <c r="G781" s="295">
        <f t="shared" si="437"/>
        <v>0</v>
      </c>
      <c r="H781" s="295">
        <f t="shared" si="437"/>
        <v>0</v>
      </c>
      <c r="I781" s="295">
        <f t="shared" si="437"/>
        <v>0</v>
      </c>
      <c r="J781" s="295">
        <f t="shared" si="437"/>
        <v>0</v>
      </c>
      <c r="K781" s="295">
        <f t="shared" si="437"/>
        <v>0</v>
      </c>
      <c r="L781" s="295">
        <f t="shared" si="437"/>
        <v>0</v>
      </c>
      <c r="M781" s="295">
        <f t="shared" si="437"/>
        <v>0</v>
      </c>
      <c r="N781" s="295">
        <f t="shared" si="437"/>
        <v>0</v>
      </c>
      <c r="O781" s="295">
        <f t="shared" si="437"/>
        <v>0</v>
      </c>
      <c r="P781" s="295">
        <f t="shared" si="437"/>
        <v>0</v>
      </c>
      <c r="Q781" s="295">
        <f t="shared" si="437"/>
        <v>0</v>
      </c>
      <c r="R781" s="295">
        <f t="shared" si="437"/>
        <v>0</v>
      </c>
      <c r="S781" s="295">
        <f t="shared" si="437"/>
        <v>0</v>
      </c>
      <c r="T781" s="296">
        <f t="shared" si="437"/>
        <v>0</v>
      </c>
    </row>
    <row r="782" spans="1:20" ht="12.75" hidden="1" customHeight="1" outlineLevel="2" x14ac:dyDescent="0.2">
      <c r="A782" s="198" t="str">
        <f>"            "&amp;Labels!C316</f>
        <v xml:space="preserve">            Total</v>
      </c>
      <c r="B782" s="258"/>
      <c r="C782" s="258">
        <f t="shared" ref="C782:T782" si="438">SUM(C756,C769)</f>
        <v>0</v>
      </c>
      <c r="D782" s="258">
        <f t="shared" si="438"/>
        <v>0</v>
      </c>
      <c r="E782" s="258">
        <f t="shared" si="438"/>
        <v>0</v>
      </c>
      <c r="F782" s="258">
        <f t="shared" si="438"/>
        <v>0</v>
      </c>
      <c r="G782" s="258">
        <f t="shared" si="438"/>
        <v>0</v>
      </c>
      <c r="H782" s="258">
        <f t="shared" si="438"/>
        <v>0</v>
      </c>
      <c r="I782" s="258">
        <f t="shared" si="438"/>
        <v>0</v>
      </c>
      <c r="J782" s="258">
        <f t="shared" si="438"/>
        <v>0</v>
      </c>
      <c r="K782" s="258">
        <f t="shared" si="438"/>
        <v>0</v>
      </c>
      <c r="L782" s="258">
        <f t="shared" si="438"/>
        <v>0</v>
      </c>
      <c r="M782" s="258">
        <f t="shared" si="438"/>
        <v>0</v>
      </c>
      <c r="N782" s="258">
        <f t="shared" si="438"/>
        <v>0</v>
      </c>
      <c r="O782" s="258">
        <f t="shared" si="438"/>
        <v>0</v>
      </c>
      <c r="P782" s="258">
        <f t="shared" si="438"/>
        <v>0</v>
      </c>
      <c r="Q782" s="258">
        <f t="shared" si="438"/>
        <v>0</v>
      </c>
      <c r="R782" s="258">
        <f t="shared" si="438"/>
        <v>0</v>
      </c>
      <c r="S782" s="258">
        <f t="shared" si="438"/>
        <v>0</v>
      </c>
      <c r="T782" s="291">
        <f t="shared" si="438"/>
        <v>0</v>
      </c>
    </row>
    <row r="783" spans="1:20" ht="12.75" hidden="1" customHeight="1" outlineLevel="2" x14ac:dyDescent="0.2">
      <c r="A783" s="198" t="str">
        <f>"         "&amp;Labels!C384</f>
        <v xml:space="preserve">         Total</v>
      </c>
      <c r="B783" s="258"/>
      <c r="C783" s="258">
        <f t="shared" ref="C783:T783" si="439">SUM(C757,C770)</f>
        <v>0</v>
      </c>
      <c r="D783" s="258">
        <f t="shared" si="439"/>
        <v>0</v>
      </c>
      <c r="E783" s="258">
        <f t="shared" si="439"/>
        <v>0</v>
      </c>
      <c r="F783" s="258">
        <f t="shared" si="439"/>
        <v>0</v>
      </c>
      <c r="G783" s="258">
        <f t="shared" si="439"/>
        <v>0</v>
      </c>
      <c r="H783" s="258">
        <f t="shared" si="439"/>
        <v>0</v>
      </c>
      <c r="I783" s="258">
        <f t="shared" si="439"/>
        <v>0</v>
      </c>
      <c r="J783" s="258">
        <f t="shared" si="439"/>
        <v>0</v>
      </c>
      <c r="K783" s="258">
        <f t="shared" si="439"/>
        <v>0</v>
      </c>
      <c r="L783" s="258">
        <f t="shared" si="439"/>
        <v>0</v>
      </c>
      <c r="M783" s="258">
        <f t="shared" si="439"/>
        <v>0</v>
      </c>
      <c r="N783" s="258">
        <f t="shared" si="439"/>
        <v>0</v>
      </c>
      <c r="O783" s="258">
        <f t="shared" si="439"/>
        <v>0</v>
      </c>
      <c r="P783" s="258">
        <f t="shared" si="439"/>
        <v>0</v>
      </c>
      <c r="Q783" s="258">
        <f t="shared" si="439"/>
        <v>0</v>
      </c>
      <c r="R783" s="258">
        <f t="shared" si="439"/>
        <v>0</v>
      </c>
      <c r="S783" s="258">
        <f t="shared" si="439"/>
        <v>0</v>
      </c>
      <c r="T783" s="291">
        <f t="shared" si="439"/>
        <v>0</v>
      </c>
    </row>
    <row r="784" spans="1:20" ht="12.75" hidden="1" customHeight="1" outlineLevel="2" x14ac:dyDescent="0.2">
      <c r="A784" s="198" t="str">
        <f>"            "&amp;Labels!B317</f>
        <v xml:space="preserve">            Channels 1</v>
      </c>
      <c r="B784" s="295"/>
      <c r="C784" s="295">
        <f t="shared" ref="C784:T784" si="440">SUM(C758,C771)</f>
        <v>0</v>
      </c>
      <c r="D784" s="295">
        <f t="shared" si="440"/>
        <v>0</v>
      </c>
      <c r="E784" s="295">
        <f t="shared" si="440"/>
        <v>0</v>
      </c>
      <c r="F784" s="295">
        <f t="shared" si="440"/>
        <v>0</v>
      </c>
      <c r="G784" s="295">
        <f t="shared" si="440"/>
        <v>0</v>
      </c>
      <c r="H784" s="295">
        <f t="shared" si="440"/>
        <v>0</v>
      </c>
      <c r="I784" s="295">
        <f t="shared" si="440"/>
        <v>0</v>
      </c>
      <c r="J784" s="295">
        <f t="shared" si="440"/>
        <v>0</v>
      </c>
      <c r="K784" s="295">
        <f t="shared" si="440"/>
        <v>0</v>
      </c>
      <c r="L784" s="295">
        <f t="shared" si="440"/>
        <v>0</v>
      </c>
      <c r="M784" s="295">
        <f t="shared" si="440"/>
        <v>0</v>
      </c>
      <c r="N784" s="295">
        <f t="shared" si="440"/>
        <v>0</v>
      </c>
      <c r="O784" s="295">
        <f t="shared" si="440"/>
        <v>0</v>
      </c>
      <c r="P784" s="295">
        <f t="shared" si="440"/>
        <v>0</v>
      </c>
      <c r="Q784" s="295">
        <f t="shared" si="440"/>
        <v>0</v>
      </c>
      <c r="R784" s="295">
        <f t="shared" si="440"/>
        <v>0</v>
      </c>
      <c r="S784" s="295">
        <f t="shared" si="440"/>
        <v>0</v>
      </c>
      <c r="T784" s="296">
        <f t="shared" si="440"/>
        <v>0</v>
      </c>
    </row>
    <row r="785" spans="1:20" ht="12.75" hidden="1" customHeight="1" outlineLevel="2" x14ac:dyDescent="0.2">
      <c r="A785" s="198" t="str">
        <f>"            "&amp;Labels!B318</f>
        <v xml:space="preserve">            Channels 2</v>
      </c>
      <c r="B785" s="295"/>
      <c r="C785" s="295">
        <f t="shared" ref="C785:T785" si="441">SUM(C759,C772)</f>
        <v>0</v>
      </c>
      <c r="D785" s="295">
        <f t="shared" si="441"/>
        <v>0</v>
      </c>
      <c r="E785" s="295">
        <f t="shared" si="441"/>
        <v>0</v>
      </c>
      <c r="F785" s="295">
        <f t="shared" si="441"/>
        <v>0</v>
      </c>
      <c r="G785" s="295">
        <f t="shared" si="441"/>
        <v>0</v>
      </c>
      <c r="H785" s="295">
        <f t="shared" si="441"/>
        <v>0</v>
      </c>
      <c r="I785" s="295">
        <f t="shared" si="441"/>
        <v>0</v>
      </c>
      <c r="J785" s="295">
        <f t="shared" si="441"/>
        <v>0</v>
      </c>
      <c r="K785" s="295">
        <f t="shared" si="441"/>
        <v>0</v>
      </c>
      <c r="L785" s="295">
        <f t="shared" si="441"/>
        <v>0</v>
      </c>
      <c r="M785" s="295">
        <f t="shared" si="441"/>
        <v>0</v>
      </c>
      <c r="N785" s="295">
        <f t="shared" si="441"/>
        <v>0</v>
      </c>
      <c r="O785" s="295">
        <f t="shared" si="441"/>
        <v>0</v>
      </c>
      <c r="P785" s="295">
        <f t="shared" si="441"/>
        <v>0</v>
      </c>
      <c r="Q785" s="295">
        <f t="shared" si="441"/>
        <v>0</v>
      </c>
      <c r="R785" s="295">
        <f t="shared" si="441"/>
        <v>0</v>
      </c>
      <c r="S785" s="295">
        <f t="shared" si="441"/>
        <v>0</v>
      </c>
      <c r="T785" s="296">
        <f t="shared" si="441"/>
        <v>0</v>
      </c>
    </row>
    <row r="786" spans="1:20" ht="12.75" hidden="1" customHeight="1" outlineLevel="2" x14ac:dyDescent="0.2">
      <c r="A786" s="198" t="str">
        <f>"            "&amp;Labels!C316</f>
        <v xml:space="preserve">            Total</v>
      </c>
      <c r="B786" s="258"/>
      <c r="C786" s="258">
        <f t="shared" ref="C786:T786" si="442">SUM(C757,C770)</f>
        <v>0</v>
      </c>
      <c r="D786" s="258">
        <f t="shared" si="442"/>
        <v>0</v>
      </c>
      <c r="E786" s="258">
        <f t="shared" si="442"/>
        <v>0</v>
      </c>
      <c r="F786" s="258">
        <f t="shared" si="442"/>
        <v>0</v>
      </c>
      <c r="G786" s="258">
        <f t="shared" si="442"/>
        <v>0</v>
      </c>
      <c r="H786" s="258">
        <f t="shared" si="442"/>
        <v>0</v>
      </c>
      <c r="I786" s="258">
        <f t="shared" si="442"/>
        <v>0</v>
      </c>
      <c r="J786" s="258">
        <f t="shared" si="442"/>
        <v>0</v>
      </c>
      <c r="K786" s="258">
        <f t="shared" si="442"/>
        <v>0</v>
      </c>
      <c r="L786" s="258">
        <f t="shared" si="442"/>
        <v>0</v>
      </c>
      <c r="M786" s="258">
        <f t="shared" si="442"/>
        <v>0</v>
      </c>
      <c r="N786" s="258">
        <f t="shared" si="442"/>
        <v>0</v>
      </c>
      <c r="O786" s="258">
        <f t="shared" si="442"/>
        <v>0</v>
      </c>
      <c r="P786" s="258">
        <f t="shared" si="442"/>
        <v>0</v>
      </c>
      <c r="Q786" s="258">
        <f t="shared" si="442"/>
        <v>0</v>
      </c>
      <c r="R786" s="258">
        <f t="shared" si="442"/>
        <v>0</v>
      </c>
      <c r="S786" s="258">
        <f t="shared" si="442"/>
        <v>0</v>
      </c>
      <c r="T786" s="291">
        <f t="shared" si="442"/>
        <v>0</v>
      </c>
    </row>
    <row r="787" spans="1:20" ht="12.75" hidden="1" customHeight="1" outlineLevel="2" x14ac:dyDescent="0.2">
      <c r="A787" s="188" t="str">
        <f>"   "&amp;Labels!B390</f>
        <v xml:space="preserve">   Lead Qual 2</v>
      </c>
      <c r="B787" s="256"/>
      <c r="C787" s="256"/>
      <c r="D787" s="256"/>
      <c r="E787" s="256"/>
      <c r="F787" s="256"/>
      <c r="G787" s="256"/>
      <c r="H787" s="256"/>
      <c r="I787" s="256"/>
      <c r="J787" s="256"/>
      <c r="K787" s="256"/>
      <c r="L787" s="256"/>
      <c r="M787" s="256"/>
      <c r="N787" s="256"/>
      <c r="O787" s="256"/>
      <c r="P787" s="256"/>
      <c r="Q787" s="256"/>
      <c r="R787" s="256"/>
      <c r="S787" s="256"/>
      <c r="T787" s="290"/>
    </row>
    <row r="788" spans="1:20" ht="12.75" hidden="1" customHeight="1" outlineLevel="2" x14ac:dyDescent="0.2">
      <c r="A788" s="198" t="str">
        <f>"      "&amp;Labels!B381</f>
        <v xml:space="preserve">      Practice 1</v>
      </c>
      <c r="B788" s="258"/>
      <c r="C788" s="258"/>
      <c r="D788" s="258"/>
      <c r="E788" s="258"/>
      <c r="F788" s="258"/>
      <c r="G788" s="258"/>
      <c r="H788" s="258"/>
      <c r="I788" s="258"/>
      <c r="J788" s="258"/>
      <c r="K788" s="258"/>
      <c r="L788" s="258"/>
      <c r="M788" s="258"/>
      <c r="N788" s="258"/>
      <c r="O788" s="258"/>
      <c r="P788" s="258"/>
      <c r="Q788" s="258"/>
      <c r="R788" s="258"/>
      <c r="S788" s="258"/>
      <c r="T788" s="291"/>
    </row>
    <row r="789" spans="1:20" ht="12.75" hidden="1" customHeight="1" outlineLevel="2" x14ac:dyDescent="0.2">
      <c r="A789" s="198" t="str">
        <f>"         "&amp;Labels!B385</f>
        <v xml:space="preserve">         Prof Level 1</v>
      </c>
      <c r="B789" s="258"/>
      <c r="C789" s="258"/>
      <c r="D789" s="258"/>
      <c r="E789" s="258"/>
      <c r="F789" s="258"/>
      <c r="G789" s="258"/>
      <c r="H789" s="258"/>
      <c r="I789" s="258"/>
      <c r="J789" s="258"/>
      <c r="K789" s="258"/>
      <c r="L789" s="258"/>
      <c r="M789" s="258"/>
      <c r="N789" s="258"/>
      <c r="O789" s="258"/>
      <c r="P789" s="258"/>
      <c r="Q789" s="258"/>
      <c r="R789" s="258"/>
      <c r="S789" s="258"/>
      <c r="T789" s="291"/>
    </row>
    <row r="790" spans="1:20" ht="12.75" hidden="1" customHeight="1" outlineLevel="2" x14ac:dyDescent="0.2">
      <c r="A790" s="198" t="str">
        <f>"            "&amp;Labels!B317</f>
        <v xml:space="preserve">            Channels 1</v>
      </c>
      <c r="B790" s="295"/>
      <c r="C790" s="295">
        <f>Inputs!F76</f>
        <v>0</v>
      </c>
      <c r="D790" s="295">
        <f>Inputs!G76</f>
        <v>0</v>
      </c>
      <c r="E790" s="295">
        <f>Inputs!H76</f>
        <v>0</v>
      </c>
      <c r="F790" s="295">
        <f>Inputs!I76</f>
        <v>0</v>
      </c>
      <c r="G790" s="295">
        <f>Inputs!J76</f>
        <v>0</v>
      </c>
      <c r="H790" s="295">
        <f>Inputs!K76</f>
        <v>0</v>
      </c>
      <c r="I790" s="295">
        <f>Inputs!L76</f>
        <v>0</v>
      </c>
      <c r="J790" s="295">
        <f>Inputs!M76</f>
        <v>0</v>
      </c>
      <c r="K790" s="295">
        <f>Inputs!N76</f>
        <v>0</v>
      </c>
      <c r="L790" s="295">
        <f>Inputs!O76</f>
        <v>0</v>
      </c>
      <c r="M790" s="295">
        <f>Inputs!P76</f>
        <v>0</v>
      </c>
      <c r="N790" s="295">
        <f>Inputs!Q76</f>
        <v>0</v>
      </c>
      <c r="O790" s="295">
        <f>Inputs!R76</f>
        <v>0</v>
      </c>
      <c r="P790" s="295">
        <f>Inputs!S76</f>
        <v>0</v>
      </c>
      <c r="Q790" s="295">
        <f>Inputs!T76</f>
        <v>0</v>
      </c>
      <c r="R790" s="295">
        <f>Inputs!U76</f>
        <v>0</v>
      </c>
      <c r="S790" s="295">
        <f>Inputs!V76</f>
        <v>0</v>
      </c>
      <c r="T790" s="296">
        <f>Inputs!W76</f>
        <v>0</v>
      </c>
    </row>
    <row r="791" spans="1:20" ht="12.75" hidden="1" customHeight="1" outlineLevel="2" x14ac:dyDescent="0.2">
      <c r="A791" s="198" t="str">
        <f>"            "&amp;Labels!B318</f>
        <v xml:space="preserve">            Channels 2</v>
      </c>
      <c r="B791" s="295"/>
      <c r="C791" s="295">
        <f>Inputs!F77</f>
        <v>0</v>
      </c>
      <c r="D791" s="295">
        <f>Inputs!G77</f>
        <v>0</v>
      </c>
      <c r="E791" s="295">
        <f>Inputs!H77</f>
        <v>0</v>
      </c>
      <c r="F791" s="295">
        <f>Inputs!I77</f>
        <v>0</v>
      </c>
      <c r="G791" s="295">
        <f>Inputs!J77</f>
        <v>0</v>
      </c>
      <c r="H791" s="295">
        <f>Inputs!K77</f>
        <v>0</v>
      </c>
      <c r="I791" s="295">
        <f>Inputs!L77</f>
        <v>0</v>
      </c>
      <c r="J791" s="295">
        <f>Inputs!M77</f>
        <v>0</v>
      </c>
      <c r="K791" s="295">
        <f>Inputs!N77</f>
        <v>0</v>
      </c>
      <c r="L791" s="295">
        <f>Inputs!O77</f>
        <v>0</v>
      </c>
      <c r="M791" s="295">
        <f>Inputs!P77</f>
        <v>0</v>
      </c>
      <c r="N791" s="295">
        <f>Inputs!Q77</f>
        <v>0</v>
      </c>
      <c r="O791" s="295">
        <f>Inputs!R77</f>
        <v>0</v>
      </c>
      <c r="P791" s="295">
        <f>Inputs!S77</f>
        <v>0</v>
      </c>
      <c r="Q791" s="295">
        <f>Inputs!T77</f>
        <v>0</v>
      </c>
      <c r="R791" s="295">
        <f>Inputs!U77</f>
        <v>0</v>
      </c>
      <c r="S791" s="295">
        <f>Inputs!V77</f>
        <v>0</v>
      </c>
      <c r="T791" s="296">
        <f>Inputs!W77</f>
        <v>0</v>
      </c>
    </row>
    <row r="792" spans="1:20" ht="12.75" hidden="1" customHeight="1" outlineLevel="2" x14ac:dyDescent="0.2">
      <c r="A792" s="198" t="str">
        <f>"            "&amp;Labels!C316</f>
        <v xml:space="preserve">            Total</v>
      </c>
      <c r="B792" s="258"/>
      <c r="C792" s="258">
        <f t="shared" ref="C792:T792" si="443">SUM(C790:C791)</f>
        <v>0</v>
      </c>
      <c r="D792" s="258">
        <f t="shared" si="443"/>
        <v>0</v>
      </c>
      <c r="E792" s="258">
        <f t="shared" si="443"/>
        <v>0</v>
      </c>
      <c r="F792" s="258">
        <f t="shared" si="443"/>
        <v>0</v>
      </c>
      <c r="G792" s="258">
        <f t="shared" si="443"/>
        <v>0</v>
      </c>
      <c r="H792" s="258">
        <f t="shared" si="443"/>
        <v>0</v>
      </c>
      <c r="I792" s="258">
        <f t="shared" si="443"/>
        <v>0</v>
      </c>
      <c r="J792" s="258">
        <f t="shared" si="443"/>
        <v>0</v>
      </c>
      <c r="K792" s="258">
        <f t="shared" si="443"/>
        <v>0</v>
      </c>
      <c r="L792" s="258">
        <f t="shared" si="443"/>
        <v>0</v>
      </c>
      <c r="M792" s="258">
        <f t="shared" si="443"/>
        <v>0</v>
      </c>
      <c r="N792" s="258">
        <f t="shared" si="443"/>
        <v>0</v>
      </c>
      <c r="O792" s="258">
        <f t="shared" si="443"/>
        <v>0</v>
      </c>
      <c r="P792" s="258">
        <f t="shared" si="443"/>
        <v>0</v>
      </c>
      <c r="Q792" s="258">
        <f t="shared" si="443"/>
        <v>0</v>
      </c>
      <c r="R792" s="258">
        <f t="shared" si="443"/>
        <v>0</v>
      </c>
      <c r="S792" s="258">
        <f t="shared" si="443"/>
        <v>0</v>
      </c>
      <c r="T792" s="291">
        <f t="shared" si="443"/>
        <v>0</v>
      </c>
    </row>
    <row r="793" spans="1:20" ht="12.75" hidden="1" customHeight="1" outlineLevel="2" x14ac:dyDescent="0.2">
      <c r="A793" s="198" t="str">
        <f>"         "&amp;Labels!B386</f>
        <v xml:space="preserve">         Prof Level 2</v>
      </c>
      <c r="B793" s="258"/>
      <c r="C793" s="258"/>
      <c r="D793" s="258"/>
      <c r="E793" s="258"/>
      <c r="F793" s="258"/>
      <c r="G793" s="258"/>
      <c r="H793" s="258"/>
      <c r="I793" s="258"/>
      <c r="J793" s="258"/>
      <c r="K793" s="258"/>
      <c r="L793" s="258"/>
      <c r="M793" s="258"/>
      <c r="N793" s="258"/>
      <c r="O793" s="258"/>
      <c r="P793" s="258"/>
      <c r="Q793" s="258"/>
      <c r="R793" s="258"/>
      <c r="S793" s="258"/>
      <c r="T793" s="291"/>
    </row>
    <row r="794" spans="1:20" ht="12.75" hidden="1" customHeight="1" outlineLevel="2" x14ac:dyDescent="0.2">
      <c r="A794" s="198" t="str">
        <f>"            "&amp;Labels!B317</f>
        <v xml:space="preserve">            Channels 1</v>
      </c>
      <c r="B794" s="295"/>
      <c r="C794" s="295">
        <f>Inputs!F78</f>
        <v>0</v>
      </c>
      <c r="D794" s="295">
        <f>Inputs!G78</f>
        <v>0</v>
      </c>
      <c r="E794" s="295">
        <f>Inputs!H78</f>
        <v>0</v>
      </c>
      <c r="F794" s="295">
        <f>Inputs!I78</f>
        <v>0</v>
      </c>
      <c r="G794" s="295">
        <f>Inputs!J78</f>
        <v>0</v>
      </c>
      <c r="H794" s="295">
        <f>Inputs!K78</f>
        <v>0</v>
      </c>
      <c r="I794" s="295">
        <f>Inputs!L78</f>
        <v>0</v>
      </c>
      <c r="J794" s="295">
        <f>Inputs!M78</f>
        <v>0</v>
      </c>
      <c r="K794" s="295">
        <f>Inputs!N78</f>
        <v>0</v>
      </c>
      <c r="L794" s="295">
        <f>Inputs!O78</f>
        <v>0</v>
      </c>
      <c r="M794" s="295">
        <f>Inputs!P78</f>
        <v>0</v>
      </c>
      <c r="N794" s="295">
        <f>Inputs!Q78</f>
        <v>0</v>
      </c>
      <c r="O794" s="295">
        <f>Inputs!R78</f>
        <v>0</v>
      </c>
      <c r="P794" s="295">
        <f>Inputs!S78</f>
        <v>0</v>
      </c>
      <c r="Q794" s="295">
        <f>Inputs!T78</f>
        <v>0</v>
      </c>
      <c r="R794" s="295">
        <f>Inputs!U78</f>
        <v>0</v>
      </c>
      <c r="S794" s="295">
        <f>Inputs!V78</f>
        <v>0</v>
      </c>
      <c r="T794" s="296">
        <f>Inputs!W78</f>
        <v>0</v>
      </c>
    </row>
    <row r="795" spans="1:20" ht="12.75" hidden="1" customHeight="1" outlineLevel="2" x14ac:dyDescent="0.2">
      <c r="A795" s="198" t="str">
        <f>"            "&amp;Labels!B318</f>
        <v xml:space="preserve">            Channels 2</v>
      </c>
      <c r="B795" s="295"/>
      <c r="C795" s="295">
        <f>Inputs!F79</f>
        <v>0</v>
      </c>
      <c r="D795" s="295">
        <f>Inputs!G79</f>
        <v>0</v>
      </c>
      <c r="E795" s="295">
        <f>Inputs!H79</f>
        <v>0</v>
      </c>
      <c r="F795" s="295">
        <f>Inputs!I79</f>
        <v>0</v>
      </c>
      <c r="G795" s="295">
        <f>Inputs!J79</f>
        <v>0</v>
      </c>
      <c r="H795" s="295">
        <f>Inputs!K79</f>
        <v>0</v>
      </c>
      <c r="I795" s="295">
        <f>Inputs!L79</f>
        <v>0</v>
      </c>
      <c r="J795" s="295">
        <f>Inputs!M79</f>
        <v>0</v>
      </c>
      <c r="K795" s="295">
        <f>Inputs!N79</f>
        <v>0</v>
      </c>
      <c r="L795" s="295">
        <f>Inputs!O79</f>
        <v>0</v>
      </c>
      <c r="M795" s="295">
        <f>Inputs!P79</f>
        <v>0</v>
      </c>
      <c r="N795" s="295">
        <f>Inputs!Q79</f>
        <v>0</v>
      </c>
      <c r="O795" s="295">
        <f>Inputs!R79</f>
        <v>0</v>
      </c>
      <c r="P795" s="295">
        <f>Inputs!S79</f>
        <v>0</v>
      </c>
      <c r="Q795" s="295">
        <f>Inputs!T79</f>
        <v>0</v>
      </c>
      <c r="R795" s="295">
        <f>Inputs!U79</f>
        <v>0</v>
      </c>
      <c r="S795" s="295">
        <f>Inputs!V79</f>
        <v>0</v>
      </c>
      <c r="T795" s="296">
        <f>Inputs!W79</f>
        <v>0</v>
      </c>
    </row>
    <row r="796" spans="1:20" ht="12.75" hidden="1" customHeight="1" outlineLevel="2" x14ac:dyDescent="0.2">
      <c r="A796" s="198" t="str">
        <f>"            "&amp;Labels!C316</f>
        <v xml:space="preserve">            Total</v>
      </c>
      <c r="B796" s="258"/>
      <c r="C796" s="258">
        <f t="shared" ref="C796:T796" si="444">SUM(C794:C795)</f>
        <v>0</v>
      </c>
      <c r="D796" s="258">
        <f t="shared" si="444"/>
        <v>0</v>
      </c>
      <c r="E796" s="258">
        <f t="shared" si="444"/>
        <v>0</v>
      </c>
      <c r="F796" s="258">
        <f t="shared" si="444"/>
        <v>0</v>
      </c>
      <c r="G796" s="258">
        <f t="shared" si="444"/>
        <v>0</v>
      </c>
      <c r="H796" s="258">
        <f t="shared" si="444"/>
        <v>0</v>
      </c>
      <c r="I796" s="258">
        <f t="shared" si="444"/>
        <v>0</v>
      </c>
      <c r="J796" s="258">
        <f t="shared" si="444"/>
        <v>0</v>
      </c>
      <c r="K796" s="258">
        <f t="shared" si="444"/>
        <v>0</v>
      </c>
      <c r="L796" s="258">
        <f t="shared" si="444"/>
        <v>0</v>
      </c>
      <c r="M796" s="258">
        <f t="shared" si="444"/>
        <v>0</v>
      </c>
      <c r="N796" s="258">
        <f t="shared" si="444"/>
        <v>0</v>
      </c>
      <c r="O796" s="258">
        <f t="shared" si="444"/>
        <v>0</v>
      </c>
      <c r="P796" s="258">
        <f t="shared" si="444"/>
        <v>0</v>
      </c>
      <c r="Q796" s="258">
        <f t="shared" si="444"/>
        <v>0</v>
      </c>
      <c r="R796" s="258">
        <f t="shared" si="444"/>
        <v>0</v>
      </c>
      <c r="S796" s="258">
        <f t="shared" si="444"/>
        <v>0</v>
      </c>
      <c r="T796" s="291">
        <f t="shared" si="444"/>
        <v>0</v>
      </c>
    </row>
    <row r="797" spans="1:20" ht="12.75" hidden="1" customHeight="1" outlineLevel="2" x14ac:dyDescent="0.2">
      <c r="A797" s="198" t="str">
        <f>"         "&amp;Labels!C384</f>
        <v xml:space="preserve">         Total</v>
      </c>
      <c r="B797" s="258"/>
      <c r="C797" s="258">
        <f t="shared" ref="C797:T797" si="445">SUM(C792,C796)</f>
        <v>0</v>
      </c>
      <c r="D797" s="258">
        <f t="shared" si="445"/>
        <v>0</v>
      </c>
      <c r="E797" s="258">
        <f t="shared" si="445"/>
        <v>0</v>
      </c>
      <c r="F797" s="258">
        <f t="shared" si="445"/>
        <v>0</v>
      </c>
      <c r="G797" s="258">
        <f t="shared" si="445"/>
        <v>0</v>
      </c>
      <c r="H797" s="258">
        <f t="shared" si="445"/>
        <v>0</v>
      </c>
      <c r="I797" s="258">
        <f t="shared" si="445"/>
        <v>0</v>
      </c>
      <c r="J797" s="258">
        <f t="shared" si="445"/>
        <v>0</v>
      </c>
      <c r="K797" s="258">
        <f t="shared" si="445"/>
        <v>0</v>
      </c>
      <c r="L797" s="258">
        <f t="shared" si="445"/>
        <v>0</v>
      </c>
      <c r="M797" s="258">
        <f t="shared" si="445"/>
        <v>0</v>
      </c>
      <c r="N797" s="258">
        <f t="shared" si="445"/>
        <v>0</v>
      </c>
      <c r="O797" s="258">
        <f t="shared" si="445"/>
        <v>0</v>
      </c>
      <c r="P797" s="258">
        <f t="shared" si="445"/>
        <v>0</v>
      </c>
      <c r="Q797" s="258">
        <f t="shared" si="445"/>
        <v>0</v>
      </c>
      <c r="R797" s="258">
        <f t="shared" si="445"/>
        <v>0</v>
      </c>
      <c r="S797" s="258">
        <f t="shared" si="445"/>
        <v>0</v>
      </c>
      <c r="T797" s="291">
        <f t="shared" si="445"/>
        <v>0</v>
      </c>
    </row>
    <row r="798" spans="1:20" ht="12.75" hidden="1" customHeight="1" outlineLevel="2" x14ac:dyDescent="0.2">
      <c r="A798" s="198" t="str">
        <f>"            "&amp;Labels!B317</f>
        <v xml:space="preserve">            Channels 1</v>
      </c>
      <c r="B798" s="295"/>
      <c r="C798" s="295">
        <f t="shared" ref="C798:T798" si="446">SUM(C790,C794)</f>
        <v>0</v>
      </c>
      <c r="D798" s="295">
        <f t="shared" si="446"/>
        <v>0</v>
      </c>
      <c r="E798" s="295">
        <f t="shared" si="446"/>
        <v>0</v>
      </c>
      <c r="F798" s="295">
        <f t="shared" si="446"/>
        <v>0</v>
      </c>
      <c r="G798" s="295">
        <f t="shared" si="446"/>
        <v>0</v>
      </c>
      <c r="H798" s="295">
        <f t="shared" si="446"/>
        <v>0</v>
      </c>
      <c r="I798" s="295">
        <f t="shared" si="446"/>
        <v>0</v>
      </c>
      <c r="J798" s="295">
        <f t="shared" si="446"/>
        <v>0</v>
      </c>
      <c r="K798" s="295">
        <f t="shared" si="446"/>
        <v>0</v>
      </c>
      <c r="L798" s="295">
        <f t="shared" si="446"/>
        <v>0</v>
      </c>
      <c r="M798" s="295">
        <f t="shared" si="446"/>
        <v>0</v>
      </c>
      <c r="N798" s="295">
        <f t="shared" si="446"/>
        <v>0</v>
      </c>
      <c r="O798" s="295">
        <f t="shared" si="446"/>
        <v>0</v>
      </c>
      <c r="P798" s="295">
        <f t="shared" si="446"/>
        <v>0</v>
      </c>
      <c r="Q798" s="295">
        <f t="shared" si="446"/>
        <v>0</v>
      </c>
      <c r="R798" s="295">
        <f t="shared" si="446"/>
        <v>0</v>
      </c>
      <c r="S798" s="295">
        <f t="shared" si="446"/>
        <v>0</v>
      </c>
      <c r="T798" s="296">
        <f t="shared" si="446"/>
        <v>0</v>
      </c>
    </row>
    <row r="799" spans="1:20" ht="12.75" hidden="1" customHeight="1" outlineLevel="2" x14ac:dyDescent="0.2">
      <c r="A799" s="198" t="str">
        <f>"            "&amp;Labels!B318</f>
        <v xml:space="preserve">            Channels 2</v>
      </c>
      <c r="B799" s="295"/>
      <c r="C799" s="295">
        <f t="shared" ref="C799:T799" si="447">SUM(C791,C795)</f>
        <v>0</v>
      </c>
      <c r="D799" s="295">
        <f t="shared" si="447"/>
        <v>0</v>
      </c>
      <c r="E799" s="295">
        <f t="shared" si="447"/>
        <v>0</v>
      </c>
      <c r="F799" s="295">
        <f t="shared" si="447"/>
        <v>0</v>
      </c>
      <c r="G799" s="295">
        <f t="shared" si="447"/>
        <v>0</v>
      </c>
      <c r="H799" s="295">
        <f t="shared" si="447"/>
        <v>0</v>
      </c>
      <c r="I799" s="295">
        <f t="shared" si="447"/>
        <v>0</v>
      </c>
      <c r="J799" s="295">
        <f t="shared" si="447"/>
        <v>0</v>
      </c>
      <c r="K799" s="295">
        <f t="shared" si="447"/>
        <v>0</v>
      </c>
      <c r="L799" s="295">
        <f t="shared" si="447"/>
        <v>0</v>
      </c>
      <c r="M799" s="295">
        <f t="shared" si="447"/>
        <v>0</v>
      </c>
      <c r="N799" s="295">
        <f t="shared" si="447"/>
        <v>0</v>
      </c>
      <c r="O799" s="295">
        <f t="shared" si="447"/>
        <v>0</v>
      </c>
      <c r="P799" s="295">
        <f t="shared" si="447"/>
        <v>0</v>
      </c>
      <c r="Q799" s="295">
        <f t="shared" si="447"/>
        <v>0</v>
      </c>
      <c r="R799" s="295">
        <f t="shared" si="447"/>
        <v>0</v>
      </c>
      <c r="S799" s="295">
        <f t="shared" si="447"/>
        <v>0</v>
      </c>
      <c r="T799" s="296">
        <f t="shared" si="447"/>
        <v>0</v>
      </c>
    </row>
    <row r="800" spans="1:20" ht="12.75" hidden="1" customHeight="1" outlineLevel="2" x14ac:dyDescent="0.2">
      <c r="A800" s="198" t="str">
        <f>"            "&amp;Labels!C316</f>
        <v xml:space="preserve">            Total</v>
      </c>
      <c r="B800" s="258"/>
      <c r="C800" s="258">
        <f t="shared" ref="C800:T800" si="448">SUM(C792,C796)</f>
        <v>0</v>
      </c>
      <c r="D800" s="258">
        <f t="shared" si="448"/>
        <v>0</v>
      </c>
      <c r="E800" s="258">
        <f t="shared" si="448"/>
        <v>0</v>
      </c>
      <c r="F800" s="258">
        <f t="shared" si="448"/>
        <v>0</v>
      </c>
      <c r="G800" s="258">
        <f t="shared" si="448"/>
        <v>0</v>
      </c>
      <c r="H800" s="258">
        <f t="shared" si="448"/>
        <v>0</v>
      </c>
      <c r="I800" s="258">
        <f t="shared" si="448"/>
        <v>0</v>
      </c>
      <c r="J800" s="258">
        <f t="shared" si="448"/>
        <v>0</v>
      </c>
      <c r="K800" s="258">
        <f t="shared" si="448"/>
        <v>0</v>
      </c>
      <c r="L800" s="258">
        <f t="shared" si="448"/>
        <v>0</v>
      </c>
      <c r="M800" s="258">
        <f t="shared" si="448"/>
        <v>0</v>
      </c>
      <c r="N800" s="258">
        <f t="shared" si="448"/>
        <v>0</v>
      </c>
      <c r="O800" s="258">
        <f t="shared" si="448"/>
        <v>0</v>
      </c>
      <c r="P800" s="258">
        <f t="shared" si="448"/>
        <v>0</v>
      </c>
      <c r="Q800" s="258">
        <f t="shared" si="448"/>
        <v>0</v>
      </c>
      <c r="R800" s="258">
        <f t="shared" si="448"/>
        <v>0</v>
      </c>
      <c r="S800" s="258">
        <f t="shared" si="448"/>
        <v>0</v>
      </c>
      <c r="T800" s="291">
        <f t="shared" si="448"/>
        <v>0</v>
      </c>
    </row>
    <row r="801" spans="1:20" ht="12.75" hidden="1" customHeight="1" outlineLevel="2" x14ac:dyDescent="0.2">
      <c r="A801" s="198" t="str">
        <f>"      "&amp;Labels!B382</f>
        <v xml:space="preserve">      Practice 2</v>
      </c>
      <c r="B801" s="258"/>
      <c r="C801" s="258"/>
      <c r="D801" s="258"/>
      <c r="E801" s="258"/>
      <c r="F801" s="258"/>
      <c r="G801" s="258"/>
      <c r="H801" s="258"/>
      <c r="I801" s="258"/>
      <c r="J801" s="258"/>
      <c r="K801" s="258"/>
      <c r="L801" s="258"/>
      <c r="M801" s="258"/>
      <c r="N801" s="258"/>
      <c r="O801" s="258"/>
      <c r="P801" s="258"/>
      <c r="Q801" s="258"/>
      <c r="R801" s="258"/>
      <c r="S801" s="258"/>
      <c r="T801" s="291"/>
    </row>
    <row r="802" spans="1:20" ht="12.75" hidden="1" customHeight="1" outlineLevel="2" x14ac:dyDescent="0.2">
      <c r="A802" s="198" t="str">
        <f>"         "&amp;Labels!B385</f>
        <v xml:space="preserve">         Prof Level 1</v>
      </c>
      <c r="B802" s="258"/>
      <c r="C802" s="258"/>
      <c r="D802" s="258"/>
      <c r="E802" s="258"/>
      <c r="F802" s="258"/>
      <c r="G802" s="258"/>
      <c r="H802" s="258"/>
      <c r="I802" s="258"/>
      <c r="J802" s="258"/>
      <c r="K802" s="258"/>
      <c r="L802" s="258"/>
      <c r="M802" s="258"/>
      <c r="N802" s="258"/>
      <c r="O802" s="258"/>
      <c r="P802" s="258"/>
      <c r="Q802" s="258"/>
      <c r="R802" s="258"/>
      <c r="S802" s="258"/>
      <c r="T802" s="291"/>
    </row>
    <row r="803" spans="1:20" ht="12.75" hidden="1" customHeight="1" outlineLevel="2" x14ac:dyDescent="0.2">
      <c r="A803" s="198" t="str">
        <f>"            "&amp;Labels!B317</f>
        <v xml:space="preserve">            Channels 1</v>
      </c>
      <c r="B803" s="295"/>
      <c r="C803" s="295">
        <f>Inputs!F80</f>
        <v>0</v>
      </c>
      <c r="D803" s="295">
        <f>Inputs!G80</f>
        <v>0</v>
      </c>
      <c r="E803" s="295">
        <f>Inputs!H80</f>
        <v>0</v>
      </c>
      <c r="F803" s="295">
        <f>Inputs!I80</f>
        <v>0</v>
      </c>
      <c r="G803" s="295">
        <f>Inputs!J80</f>
        <v>0</v>
      </c>
      <c r="H803" s="295">
        <f>Inputs!K80</f>
        <v>0</v>
      </c>
      <c r="I803" s="295">
        <f>Inputs!L80</f>
        <v>0</v>
      </c>
      <c r="J803" s="295">
        <f>Inputs!M80</f>
        <v>0</v>
      </c>
      <c r="K803" s="295">
        <f>Inputs!N80</f>
        <v>0</v>
      </c>
      <c r="L803" s="295">
        <f>Inputs!O80</f>
        <v>0</v>
      </c>
      <c r="M803" s="295">
        <f>Inputs!P80</f>
        <v>0</v>
      </c>
      <c r="N803" s="295">
        <f>Inputs!Q80</f>
        <v>0</v>
      </c>
      <c r="O803" s="295">
        <f>Inputs!R80</f>
        <v>0</v>
      </c>
      <c r="P803" s="295">
        <f>Inputs!S80</f>
        <v>0</v>
      </c>
      <c r="Q803" s="295">
        <f>Inputs!T80</f>
        <v>0</v>
      </c>
      <c r="R803" s="295">
        <f>Inputs!U80</f>
        <v>0</v>
      </c>
      <c r="S803" s="295">
        <f>Inputs!V80</f>
        <v>0</v>
      </c>
      <c r="T803" s="296">
        <f>Inputs!W80</f>
        <v>0</v>
      </c>
    </row>
    <row r="804" spans="1:20" ht="12.75" hidden="1" customHeight="1" outlineLevel="2" x14ac:dyDescent="0.2">
      <c r="A804" s="198" t="str">
        <f>"            "&amp;Labels!B318</f>
        <v xml:space="preserve">            Channels 2</v>
      </c>
      <c r="B804" s="295"/>
      <c r="C804" s="295">
        <f>Inputs!F81</f>
        <v>0</v>
      </c>
      <c r="D804" s="295">
        <f>Inputs!G81</f>
        <v>0</v>
      </c>
      <c r="E804" s="295">
        <f>Inputs!H81</f>
        <v>0</v>
      </c>
      <c r="F804" s="295">
        <f>Inputs!I81</f>
        <v>0</v>
      </c>
      <c r="G804" s="295">
        <f>Inputs!J81</f>
        <v>0</v>
      </c>
      <c r="H804" s="295">
        <f>Inputs!K81</f>
        <v>0</v>
      </c>
      <c r="I804" s="295">
        <f>Inputs!L81</f>
        <v>0</v>
      </c>
      <c r="J804" s="295">
        <f>Inputs!M81</f>
        <v>0</v>
      </c>
      <c r="K804" s="295">
        <f>Inputs!N81</f>
        <v>0</v>
      </c>
      <c r="L804" s="295">
        <f>Inputs!O81</f>
        <v>0</v>
      </c>
      <c r="M804" s="295">
        <f>Inputs!P81</f>
        <v>0</v>
      </c>
      <c r="N804" s="295">
        <f>Inputs!Q81</f>
        <v>0</v>
      </c>
      <c r="O804" s="295">
        <f>Inputs!R81</f>
        <v>0</v>
      </c>
      <c r="P804" s="295">
        <f>Inputs!S81</f>
        <v>0</v>
      </c>
      <c r="Q804" s="295">
        <f>Inputs!T81</f>
        <v>0</v>
      </c>
      <c r="R804" s="295">
        <f>Inputs!U81</f>
        <v>0</v>
      </c>
      <c r="S804" s="295">
        <f>Inputs!V81</f>
        <v>0</v>
      </c>
      <c r="T804" s="296">
        <f>Inputs!W81</f>
        <v>0</v>
      </c>
    </row>
    <row r="805" spans="1:20" ht="12.75" hidden="1" customHeight="1" outlineLevel="2" x14ac:dyDescent="0.2">
      <c r="A805" s="198" t="str">
        <f>"            "&amp;Labels!C316</f>
        <v xml:space="preserve">            Total</v>
      </c>
      <c r="B805" s="258"/>
      <c r="C805" s="258">
        <f t="shared" ref="C805:T805" si="449">SUM(C803:C804)</f>
        <v>0</v>
      </c>
      <c r="D805" s="258">
        <f t="shared" si="449"/>
        <v>0</v>
      </c>
      <c r="E805" s="258">
        <f t="shared" si="449"/>
        <v>0</v>
      </c>
      <c r="F805" s="258">
        <f t="shared" si="449"/>
        <v>0</v>
      </c>
      <c r="G805" s="258">
        <f t="shared" si="449"/>
        <v>0</v>
      </c>
      <c r="H805" s="258">
        <f t="shared" si="449"/>
        <v>0</v>
      </c>
      <c r="I805" s="258">
        <f t="shared" si="449"/>
        <v>0</v>
      </c>
      <c r="J805" s="258">
        <f t="shared" si="449"/>
        <v>0</v>
      </c>
      <c r="K805" s="258">
        <f t="shared" si="449"/>
        <v>0</v>
      </c>
      <c r="L805" s="258">
        <f t="shared" si="449"/>
        <v>0</v>
      </c>
      <c r="M805" s="258">
        <f t="shared" si="449"/>
        <v>0</v>
      </c>
      <c r="N805" s="258">
        <f t="shared" si="449"/>
        <v>0</v>
      </c>
      <c r="O805" s="258">
        <f t="shared" si="449"/>
        <v>0</v>
      </c>
      <c r="P805" s="258">
        <f t="shared" si="449"/>
        <v>0</v>
      </c>
      <c r="Q805" s="258">
        <f t="shared" si="449"/>
        <v>0</v>
      </c>
      <c r="R805" s="258">
        <f t="shared" si="449"/>
        <v>0</v>
      </c>
      <c r="S805" s="258">
        <f t="shared" si="449"/>
        <v>0</v>
      </c>
      <c r="T805" s="291">
        <f t="shared" si="449"/>
        <v>0</v>
      </c>
    </row>
    <row r="806" spans="1:20" ht="12.75" hidden="1" customHeight="1" outlineLevel="2" x14ac:dyDescent="0.2">
      <c r="A806" s="198" t="str">
        <f>"         "&amp;Labels!B386</f>
        <v xml:space="preserve">         Prof Level 2</v>
      </c>
      <c r="B806" s="258"/>
      <c r="C806" s="258"/>
      <c r="D806" s="258"/>
      <c r="E806" s="258"/>
      <c r="F806" s="258"/>
      <c r="G806" s="258"/>
      <c r="H806" s="258"/>
      <c r="I806" s="258"/>
      <c r="J806" s="258"/>
      <c r="K806" s="258"/>
      <c r="L806" s="258"/>
      <c r="M806" s="258"/>
      <c r="N806" s="258"/>
      <c r="O806" s="258"/>
      <c r="P806" s="258"/>
      <c r="Q806" s="258"/>
      <c r="R806" s="258"/>
      <c r="S806" s="258"/>
      <c r="T806" s="291"/>
    </row>
    <row r="807" spans="1:20" ht="12.75" hidden="1" customHeight="1" outlineLevel="2" x14ac:dyDescent="0.2">
      <c r="A807" s="198" t="str">
        <f>"            "&amp;Labels!B317</f>
        <v xml:space="preserve">            Channels 1</v>
      </c>
      <c r="B807" s="295"/>
      <c r="C807" s="295">
        <f>Inputs!F82</f>
        <v>0</v>
      </c>
      <c r="D807" s="295">
        <f>Inputs!G82</f>
        <v>0</v>
      </c>
      <c r="E807" s="295">
        <f>Inputs!H82</f>
        <v>0</v>
      </c>
      <c r="F807" s="295">
        <f>Inputs!I82</f>
        <v>0</v>
      </c>
      <c r="G807" s="295">
        <f>Inputs!J82</f>
        <v>0</v>
      </c>
      <c r="H807" s="295">
        <f>Inputs!K82</f>
        <v>0</v>
      </c>
      <c r="I807" s="295">
        <f>Inputs!L82</f>
        <v>0</v>
      </c>
      <c r="J807" s="295">
        <f>Inputs!M82</f>
        <v>0</v>
      </c>
      <c r="K807" s="295">
        <f>Inputs!N82</f>
        <v>0</v>
      </c>
      <c r="L807" s="295">
        <f>Inputs!O82</f>
        <v>0</v>
      </c>
      <c r="M807" s="295">
        <f>Inputs!P82</f>
        <v>0</v>
      </c>
      <c r="N807" s="295">
        <f>Inputs!Q82</f>
        <v>0</v>
      </c>
      <c r="O807" s="295">
        <f>Inputs!R82</f>
        <v>0</v>
      </c>
      <c r="P807" s="295">
        <f>Inputs!S82</f>
        <v>0</v>
      </c>
      <c r="Q807" s="295">
        <f>Inputs!T82</f>
        <v>0</v>
      </c>
      <c r="R807" s="295">
        <f>Inputs!U82</f>
        <v>0</v>
      </c>
      <c r="S807" s="295">
        <f>Inputs!V82</f>
        <v>0</v>
      </c>
      <c r="T807" s="296">
        <f>Inputs!W82</f>
        <v>0</v>
      </c>
    </row>
    <row r="808" spans="1:20" ht="12.75" hidden="1" customHeight="1" outlineLevel="2" x14ac:dyDescent="0.2">
      <c r="A808" s="198" t="str">
        <f>"            "&amp;Labels!B318</f>
        <v xml:space="preserve">            Channels 2</v>
      </c>
      <c r="B808" s="295"/>
      <c r="C808" s="295">
        <f>Inputs!F83</f>
        <v>0</v>
      </c>
      <c r="D808" s="295">
        <f>Inputs!G83</f>
        <v>0</v>
      </c>
      <c r="E808" s="295">
        <f>Inputs!H83</f>
        <v>0</v>
      </c>
      <c r="F808" s="295">
        <f>Inputs!I83</f>
        <v>0</v>
      </c>
      <c r="G808" s="295">
        <f>Inputs!J83</f>
        <v>0</v>
      </c>
      <c r="H808" s="295">
        <f>Inputs!K83</f>
        <v>0</v>
      </c>
      <c r="I808" s="295">
        <f>Inputs!L83</f>
        <v>0</v>
      </c>
      <c r="J808" s="295">
        <f>Inputs!M83</f>
        <v>0</v>
      </c>
      <c r="K808" s="295">
        <f>Inputs!N83</f>
        <v>0</v>
      </c>
      <c r="L808" s="295">
        <f>Inputs!O83</f>
        <v>0</v>
      </c>
      <c r="M808" s="295">
        <f>Inputs!P83</f>
        <v>0</v>
      </c>
      <c r="N808" s="295">
        <f>Inputs!Q83</f>
        <v>0</v>
      </c>
      <c r="O808" s="295">
        <f>Inputs!R83</f>
        <v>0</v>
      </c>
      <c r="P808" s="295">
        <f>Inputs!S83</f>
        <v>0</v>
      </c>
      <c r="Q808" s="295">
        <f>Inputs!T83</f>
        <v>0</v>
      </c>
      <c r="R808" s="295">
        <f>Inputs!U83</f>
        <v>0</v>
      </c>
      <c r="S808" s="295">
        <f>Inputs!V83</f>
        <v>0</v>
      </c>
      <c r="T808" s="296">
        <f>Inputs!W83</f>
        <v>0</v>
      </c>
    </row>
    <row r="809" spans="1:20" ht="12.75" hidden="1" customHeight="1" outlineLevel="2" x14ac:dyDescent="0.2">
      <c r="A809" s="198" t="str">
        <f>"            "&amp;Labels!C316</f>
        <v xml:space="preserve">            Total</v>
      </c>
      <c r="B809" s="258"/>
      <c r="C809" s="258">
        <f t="shared" ref="C809:T809" si="450">SUM(C807:C808)</f>
        <v>0</v>
      </c>
      <c r="D809" s="258">
        <f t="shared" si="450"/>
        <v>0</v>
      </c>
      <c r="E809" s="258">
        <f t="shared" si="450"/>
        <v>0</v>
      </c>
      <c r="F809" s="258">
        <f t="shared" si="450"/>
        <v>0</v>
      </c>
      <c r="G809" s="258">
        <f t="shared" si="450"/>
        <v>0</v>
      </c>
      <c r="H809" s="258">
        <f t="shared" si="450"/>
        <v>0</v>
      </c>
      <c r="I809" s="258">
        <f t="shared" si="450"/>
        <v>0</v>
      </c>
      <c r="J809" s="258">
        <f t="shared" si="450"/>
        <v>0</v>
      </c>
      <c r="K809" s="258">
        <f t="shared" si="450"/>
        <v>0</v>
      </c>
      <c r="L809" s="258">
        <f t="shared" si="450"/>
        <v>0</v>
      </c>
      <c r="M809" s="258">
        <f t="shared" si="450"/>
        <v>0</v>
      </c>
      <c r="N809" s="258">
        <f t="shared" si="450"/>
        <v>0</v>
      </c>
      <c r="O809" s="258">
        <f t="shared" si="450"/>
        <v>0</v>
      </c>
      <c r="P809" s="258">
        <f t="shared" si="450"/>
        <v>0</v>
      </c>
      <c r="Q809" s="258">
        <f t="shared" si="450"/>
        <v>0</v>
      </c>
      <c r="R809" s="258">
        <f t="shared" si="450"/>
        <v>0</v>
      </c>
      <c r="S809" s="258">
        <f t="shared" si="450"/>
        <v>0</v>
      </c>
      <c r="T809" s="291">
        <f t="shared" si="450"/>
        <v>0</v>
      </c>
    </row>
    <row r="810" spans="1:20" ht="12.75" hidden="1" customHeight="1" outlineLevel="2" x14ac:dyDescent="0.2">
      <c r="A810" s="198" t="str">
        <f>"         "&amp;Labels!C384</f>
        <v xml:space="preserve">         Total</v>
      </c>
      <c r="B810" s="258"/>
      <c r="C810" s="258">
        <f t="shared" ref="C810:T810" si="451">SUM(C805,C809)</f>
        <v>0</v>
      </c>
      <c r="D810" s="258">
        <f t="shared" si="451"/>
        <v>0</v>
      </c>
      <c r="E810" s="258">
        <f t="shared" si="451"/>
        <v>0</v>
      </c>
      <c r="F810" s="258">
        <f t="shared" si="451"/>
        <v>0</v>
      </c>
      <c r="G810" s="258">
        <f t="shared" si="451"/>
        <v>0</v>
      </c>
      <c r="H810" s="258">
        <f t="shared" si="451"/>
        <v>0</v>
      </c>
      <c r="I810" s="258">
        <f t="shared" si="451"/>
        <v>0</v>
      </c>
      <c r="J810" s="258">
        <f t="shared" si="451"/>
        <v>0</v>
      </c>
      <c r="K810" s="258">
        <f t="shared" si="451"/>
        <v>0</v>
      </c>
      <c r="L810" s="258">
        <f t="shared" si="451"/>
        <v>0</v>
      </c>
      <c r="M810" s="258">
        <f t="shared" si="451"/>
        <v>0</v>
      </c>
      <c r="N810" s="258">
        <f t="shared" si="451"/>
        <v>0</v>
      </c>
      <c r="O810" s="258">
        <f t="shared" si="451"/>
        <v>0</v>
      </c>
      <c r="P810" s="258">
        <f t="shared" si="451"/>
        <v>0</v>
      </c>
      <c r="Q810" s="258">
        <f t="shared" si="451"/>
        <v>0</v>
      </c>
      <c r="R810" s="258">
        <f t="shared" si="451"/>
        <v>0</v>
      </c>
      <c r="S810" s="258">
        <f t="shared" si="451"/>
        <v>0</v>
      </c>
      <c r="T810" s="291">
        <f t="shared" si="451"/>
        <v>0</v>
      </c>
    </row>
    <row r="811" spans="1:20" ht="12.75" hidden="1" customHeight="1" outlineLevel="2" x14ac:dyDescent="0.2">
      <c r="A811" s="198" t="str">
        <f>"            "&amp;Labels!B317</f>
        <v xml:space="preserve">            Channels 1</v>
      </c>
      <c r="B811" s="295"/>
      <c r="C811" s="295">
        <f t="shared" ref="C811:T811" si="452">SUM(C803,C807)</f>
        <v>0</v>
      </c>
      <c r="D811" s="295">
        <f t="shared" si="452"/>
        <v>0</v>
      </c>
      <c r="E811" s="295">
        <f t="shared" si="452"/>
        <v>0</v>
      </c>
      <c r="F811" s="295">
        <f t="shared" si="452"/>
        <v>0</v>
      </c>
      <c r="G811" s="295">
        <f t="shared" si="452"/>
        <v>0</v>
      </c>
      <c r="H811" s="295">
        <f t="shared" si="452"/>
        <v>0</v>
      </c>
      <c r="I811" s="295">
        <f t="shared" si="452"/>
        <v>0</v>
      </c>
      <c r="J811" s="295">
        <f t="shared" si="452"/>
        <v>0</v>
      </c>
      <c r="K811" s="295">
        <f t="shared" si="452"/>
        <v>0</v>
      </c>
      <c r="L811" s="295">
        <f t="shared" si="452"/>
        <v>0</v>
      </c>
      <c r="M811" s="295">
        <f t="shared" si="452"/>
        <v>0</v>
      </c>
      <c r="N811" s="295">
        <f t="shared" si="452"/>
        <v>0</v>
      </c>
      <c r="O811" s="295">
        <f t="shared" si="452"/>
        <v>0</v>
      </c>
      <c r="P811" s="295">
        <f t="shared" si="452"/>
        <v>0</v>
      </c>
      <c r="Q811" s="295">
        <f t="shared" si="452"/>
        <v>0</v>
      </c>
      <c r="R811" s="295">
        <f t="shared" si="452"/>
        <v>0</v>
      </c>
      <c r="S811" s="295">
        <f t="shared" si="452"/>
        <v>0</v>
      </c>
      <c r="T811" s="296">
        <f t="shared" si="452"/>
        <v>0</v>
      </c>
    </row>
    <row r="812" spans="1:20" ht="12.75" hidden="1" customHeight="1" outlineLevel="2" x14ac:dyDescent="0.2">
      <c r="A812" s="198" t="str">
        <f>"            "&amp;Labels!B318</f>
        <v xml:space="preserve">            Channels 2</v>
      </c>
      <c r="B812" s="295"/>
      <c r="C812" s="295">
        <f t="shared" ref="C812:T812" si="453">SUM(C804,C808)</f>
        <v>0</v>
      </c>
      <c r="D812" s="295">
        <f t="shared" si="453"/>
        <v>0</v>
      </c>
      <c r="E812" s="295">
        <f t="shared" si="453"/>
        <v>0</v>
      </c>
      <c r="F812" s="295">
        <f t="shared" si="453"/>
        <v>0</v>
      </c>
      <c r="G812" s="295">
        <f t="shared" si="453"/>
        <v>0</v>
      </c>
      <c r="H812" s="295">
        <f t="shared" si="453"/>
        <v>0</v>
      </c>
      <c r="I812" s="295">
        <f t="shared" si="453"/>
        <v>0</v>
      </c>
      <c r="J812" s="295">
        <f t="shared" si="453"/>
        <v>0</v>
      </c>
      <c r="K812" s="295">
        <f t="shared" si="453"/>
        <v>0</v>
      </c>
      <c r="L812" s="295">
        <f t="shared" si="453"/>
        <v>0</v>
      </c>
      <c r="M812" s="295">
        <f t="shared" si="453"/>
        <v>0</v>
      </c>
      <c r="N812" s="295">
        <f t="shared" si="453"/>
        <v>0</v>
      </c>
      <c r="O812" s="295">
        <f t="shared" si="453"/>
        <v>0</v>
      </c>
      <c r="P812" s="295">
        <f t="shared" si="453"/>
        <v>0</v>
      </c>
      <c r="Q812" s="295">
        <f t="shared" si="453"/>
        <v>0</v>
      </c>
      <c r="R812" s="295">
        <f t="shared" si="453"/>
        <v>0</v>
      </c>
      <c r="S812" s="295">
        <f t="shared" si="453"/>
        <v>0</v>
      </c>
      <c r="T812" s="296">
        <f t="shared" si="453"/>
        <v>0</v>
      </c>
    </row>
    <row r="813" spans="1:20" ht="12.75" hidden="1" customHeight="1" outlineLevel="2" x14ac:dyDescent="0.2">
      <c r="A813" s="198" t="str">
        <f>"            "&amp;Labels!C316</f>
        <v xml:space="preserve">            Total</v>
      </c>
      <c r="B813" s="258"/>
      <c r="C813" s="258">
        <f t="shared" ref="C813:T813" si="454">SUM(C805,C809)</f>
        <v>0</v>
      </c>
      <c r="D813" s="258">
        <f t="shared" si="454"/>
        <v>0</v>
      </c>
      <c r="E813" s="258">
        <f t="shared" si="454"/>
        <v>0</v>
      </c>
      <c r="F813" s="258">
        <f t="shared" si="454"/>
        <v>0</v>
      </c>
      <c r="G813" s="258">
        <f t="shared" si="454"/>
        <v>0</v>
      </c>
      <c r="H813" s="258">
        <f t="shared" si="454"/>
        <v>0</v>
      </c>
      <c r="I813" s="258">
        <f t="shared" si="454"/>
        <v>0</v>
      </c>
      <c r="J813" s="258">
        <f t="shared" si="454"/>
        <v>0</v>
      </c>
      <c r="K813" s="258">
        <f t="shared" si="454"/>
        <v>0</v>
      </c>
      <c r="L813" s="258">
        <f t="shared" si="454"/>
        <v>0</v>
      </c>
      <c r="M813" s="258">
        <f t="shared" si="454"/>
        <v>0</v>
      </c>
      <c r="N813" s="258">
        <f t="shared" si="454"/>
        <v>0</v>
      </c>
      <c r="O813" s="258">
        <f t="shared" si="454"/>
        <v>0</v>
      </c>
      <c r="P813" s="258">
        <f t="shared" si="454"/>
        <v>0</v>
      </c>
      <c r="Q813" s="258">
        <f t="shared" si="454"/>
        <v>0</v>
      </c>
      <c r="R813" s="258">
        <f t="shared" si="454"/>
        <v>0</v>
      </c>
      <c r="S813" s="258">
        <f t="shared" si="454"/>
        <v>0</v>
      </c>
      <c r="T813" s="291">
        <f t="shared" si="454"/>
        <v>0</v>
      </c>
    </row>
    <row r="814" spans="1:20" ht="12.75" hidden="1" customHeight="1" outlineLevel="2" x14ac:dyDescent="0.2">
      <c r="A814" s="188" t="str">
        <f>"      "&amp;Labels!C380</f>
        <v xml:space="preserve">      Total</v>
      </c>
      <c r="B814" s="256"/>
      <c r="C814" s="256">
        <f t="shared" ref="C814:T814" si="455">SUM(C797,C810)</f>
        <v>0</v>
      </c>
      <c r="D814" s="256">
        <f t="shared" si="455"/>
        <v>0</v>
      </c>
      <c r="E814" s="256">
        <f t="shared" si="455"/>
        <v>0</v>
      </c>
      <c r="F814" s="256">
        <f t="shared" si="455"/>
        <v>0</v>
      </c>
      <c r="G814" s="256">
        <f t="shared" si="455"/>
        <v>0</v>
      </c>
      <c r="H814" s="256">
        <f t="shared" si="455"/>
        <v>0</v>
      </c>
      <c r="I814" s="256">
        <f t="shared" si="455"/>
        <v>0</v>
      </c>
      <c r="J814" s="256">
        <f t="shared" si="455"/>
        <v>0</v>
      </c>
      <c r="K814" s="256">
        <f t="shared" si="455"/>
        <v>0</v>
      </c>
      <c r="L814" s="256">
        <f t="shared" si="455"/>
        <v>0</v>
      </c>
      <c r="M814" s="256">
        <f t="shared" si="455"/>
        <v>0</v>
      </c>
      <c r="N814" s="256">
        <f t="shared" si="455"/>
        <v>0</v>
      </c>
      <c r="O814" s="256">
        <f t="shared" si="455"/>
        <v>0</v>
      </c>
      <c r="P814" s="256">
        <f t="shared" si="455"/>
        <v>0</v>
      </c>
      <c r="Q814" s="256">
        <f t="shared" si="455"/>
        <v>0</v>
      </c>
      <c r="R814" s="256">
        <f t="shared" si="455"/>
        <v>0</v>
      </c>
      <c r="S814" s="256">
        <f t="shared" si="455"/>
        <v>0</v>
      </c>
      <c r="T814" s="290">
        <f t="shared" si="455"/>
        <v>0</v>
      </c>
    </row>
    <row r="815" spans="1:20" ht="12.75" hidden="1" customHeight="1" outlineLevel="2" x14ac:dyDescent="0.2">
      <c r="A815" s="198" t="str">
        <f>"         "&amp;Labels!B385</f>
        <v xml:space="preserve">         Prof Level 1</v>
      </c>
      <c r="B815" s="258"/>
      <c r="C815" s="258"/>
      <c r="D815" s="258"/>
      <c r="E815" s="258"/>
      <c r="F815" s="258"/>
      <c r="G815" s="258"/>
      <c r="H815" s="258"/>
      <c r="I815" s="258"/>
      <c r="J815" s="258"/>
      <c r="K815" s="258"/>
      <c r="L815" s="258"/>
      <c r="M815" s="258"/>
      <c r="N815" s="258"/>
      <c r="O815" s="258"/>
      <c r="P815" s="258"/>
      <c r="Q815" s="258"/>
      <c r="R815" s="258"/>
      <c r="S815" s="258"/>
      <c r="T815" s="291"/>
    </row>
    <row r="816" spans="1:20" ht="12.75" hidden="1" customHeight="1" outlineLevel="2" x14ac:dyDescent="0.2">
      <c r="A816" s="198" t="str">
        <f>"            "&amp;Labels!B317</f>
        <v xml:space="preserve">            Channels 1</v>
      </c>
      <c r="B816" s="295"/>
      <c r="C816" s="295">
        <f t="shared" ref="C816:T816" si="456">SUM(C790,C803)</f>
        <v>0</v>
      </c>
      <c r="D816" s="295">
        <f t="shared" si="456"/>
        <v>0</v>
      </c>
      <c r="E816" s="295">
        <f t="shared" si="456"/>
        <v>0</v>
      </c>
      <c r="F816" s="295">
        <f t="shared" si="456"/>
        <v>0</v>
      </c>
      <c r="G816" s="295">
        <f t="shared" si="456"/>
        <v>0</v>
      </c>
      <c r="H816" s="295">
        <f t="shared" si="456"/>
        <v>0</v>
      </c>
      <c r="I816" s="295">
        <f t="shared" si="456"/>
        <v>0</v>
      </c>
      <c r="J816" s="295">
        <f t="shared" si="456"/>
        <v>0</v>
      </c>
      <c r="K816" s="295">
        <f t="shared" si="456"/>
        <v>0</v>
      </c>
      <c r="L816" s="295">
        <f t="shared" si="456"/>
        <v>0</v>
      </c>
      <c r="M816" s="295">
        <f t="shared" si="456"/>
        <v>0</v>
      </c>
      <c r="N816" s="295">
        <f t="shared" si="456"/>
        <v>0</v>
      </c>
      <c r="O816" s="295">
        <f t="shared" si="456"/>
        <v>0</v>
      </c>
      <c r="P816" s="295">
        <f t="shared" si="456"/>
        <v>0</v>
      </c>
      <c r="Q816" s="295">
        <f t="shared" si="456"/>
        <v>0</v>
      </c>
      <c r="R816" s="295">
        <f t="shared" si="456"/>
        <v>0</v>
      </c>
      <c r="S816" s="295">
        <f t="shared" si="456"/>
        <v>0</v>
      </c>
      <c r="T816" s="296">
        <f t="shared" si="456"/>
        <v>0</v>
      </c>
    </row>
    <row r="817" spans="1:20" ht="12.75" hidden="1" customHeight="1" outlineLevel="2" x14ac:dyDescent="0.2">
      <c r="A817" s="198" t="str">
        <f>"            "&amp;Labels!B318</f>
        <v xml:space="preserve">            Channels 2</v>
      </c>
      <c r="B817" s="295"/>
      <c r="C817" s="295">
        <f t="shared" ref="C817:T817" si="457">SUM(C791,C804)</f>
        <v>0</v>
      </c>
      <c r="D817" s="295">
        <f t="shared" si="457"/>
        <v>0</v>
      </c>
      <c r="E817" s="295">
        <f t="shared" si="457"/>
        <v>0</v>
      </c>
      <c r="F817" s="295">
        <f t="shared" si="457"/>
        <v>0</v>
      </c>
      <c r="G817" s="295">
        <f t="shared" si="457"/>
        <v>0</v>
      </c>
      <c r="H817" s="295">
        <f t="shared" si="457"/>
        <v>0</v>
      </c>
      <c r="I817" s="295">
        <f t="shared" si="457"/>
        <v>0</v>
      </c>
      <c r="J817" s="295">
        <f t="shared" si="457"/>
        <v>0</v>
      </c>
      <c r="K817" s="295">
        <f t="shared" si="457"/>
        <v>0</v>
      </c>
      <c r="L817" s="295">
        <f t="shared" si="457"/>
        <v>0</v>
      </c>
      <c r="M817" s="295">
        <f t="shared" si="457"/>
        <v>0</v>
      </c>
      <c r="N817" s="295">
        <f t="shared" si="457"/>
        <v>0</v>
      </c>
      <c r="O817" s="295">
        <f t="shared" si="457"/>
        <v>0</v>
      </c>
      <c r="P817" s="295">
        <f t="shared" si="457"/>
        <v>0</v>
      </c>
      <c r="Q817" s="295">
        <f t="shared" si="457"/>
        <v>0</v>
      </c>
      <c r="R817" s="295">
        <f t="shared" si="457"/>
        <v>0</v>
      </c>
      <c r="S817" s="295">
        <f t="shared" si="457"/>
        <v>0</v>
      </c>
      <c r="T817" s="296">
        <f t="shared" si="457"/>
        <v>0</v>
      </c>
    </row>
    <row r="818" spans="1:20" ht="12.75" hidden="1" customHeight="1" outlineLevel="2" x14ac:dyDescent="0.2">
      <c r="A818" s="198" t="str">
        <f>"            "&amp;Labels!C316</f>
        <v xml:space="preserve">            Total</v>
      </c>
      <c r="B818" s="258"/>
      <c r="C818" s="258">
        <f t="shared" ref="C818:T818" si="458">SUM(C792,C805)</f>
        <v>0</v>
      </c>
      <c r="D818" s="258">
        <f t="shared" si="458"/>
        <v>0</v>
      </c>
      <c r="E818" s="258">
        <f t="shared" si="458"/>
        <v>0</v>
      </c>
      <c r="F818" s="258">
        <f t="shared" si="458"/>
        <v>0</v>
      </c>
      <c r="G818" s="258">
        <f t="shared" si="458"/>
        <v>0</v>
      </c>
      <c r="H818" s="258">
        <f t="shared" si="458"/>
        <v>0</v>
      </c>
      <c r="I818" s="258">
        <f t="shared" si="458"/>
        <v>0</v>
      </c>
      <c r="J818" s="258">
        <f t="shared" si="458"/>
        <v>0</v>
      </c>
      <c r="K818" s="258">
        <f t="shared" si="458"/>
        <v>0</v>
      </c>
      <c r="L818" s="258">
        <f t="shared" si="458"/>
        <v>0</v>
      </c>
      <c r="M818" s="258">
        <f t="shared" si="458"/>
        <v>0</v>
      </c>
      <c r="N818" s="258">
        <f t="shared" si="458"/>
        <v>0</v>
      </c>
      <c r="O818" s="258">
        <f t="shared" si="458"/>
        <v>0</v>
      </c>
      <c r="P818" s="258">
        <f t="shared" si="458"/>
        <v>0</v>
      </c>
      <c r="Q818" s="258">
        <f t="shared" si="458"/>
        <v>0</v>
      </c>
      <c r="R818" s="258">
        <f t="shared" si="458"/>
        <v>0</v>
      </c>
      <c r="S818" s="258">
        <f t="shared" si="458"/>
        <v>0</v>
      </c>
      <c r="T818" s="291">
        <f t="shared" si="458"/>
        <v>0</v>
      </c>
    </row>
    <row r="819" spans="1:20" ht="12.75" hidden="1" customHeight="1" outlineLevel="2" x14ac:dyDescent="0.2">
      <c r="A819" s="198" t="str">
        <f>"         "&amp;Labels!B386</f>
        <v xml:space="preserve">         Prof Level 2</v>
      </c>
      <c r="B819" s="258"/>
      <c r="C819" s="258"/>
      <c r="D819" s="258"/>
      <c r="E819" s="258"/>
      <c r="F819" s="258"/>
      <c r="G819" s="258"/>
      <c r="H819" s="258"/>
      <c r="I819" s="258"/>
      <c r="J819" s="258"/>
      <c r="K819" s="258"/>
      <c r="L819" s="258"/>
      <c r="M819" s="258"/>
      <c r="N819" s="258"/>
      <c r="O819" s="258"/>
      <c r="P819" s="258"/>
      <c r="Q819" s="258"/>
      <c r="R819" s="258"/>
      <c r="S819" s="258"/>
      <c r="T819" s="291"/>
    </row>
    <row r="820" spans="1:20" ht="12.75" hidden="1" customHeight="1" outlineLevel="2" x14ac:dyDescent="0.2">
      <c r="A820" s="198" t="str">
        <f>"            "&amp;Labels!B317</f>
        <v xml:space="preserve">            Channels 1</v>
      </c>
      <c r="B820" s="295"/>
      <c r="C820" s="295">
        <f t="shared" ref="C820:T820" si="459">SUM(C794,C807)</f>
        <v>0</v>
      </c>
      <c r="D820" s="295">
        <f t="shared" si="459"/>
        <v>0</v>
      </c>
      <c r="E820" s="295">
        <f t="shared" si="459"/>
        <v>0</v>
      </c>
      <c r="F820" s="295">
        <f t="shared" si="459"/>
        <v>0</v>
      </c>
      <c r="G820" s="295">
        <f t="shared" si="459"/>
        <v>0</v>
      </c>
      <c r="H820" s="295">
        <f t="shared" si="459"/>
        <v>0</v>
      </c>
      <c r="I820" s="295">
        <f t="shared" si="459"/>
        <v>0</v>
      </c>
      <c r="J820" s="295">
        <f t="shared" si="459"/>
        <v>0</v>
      </c>
      <c r="K820" s="295">
        <f t="shared" si="459"/>
        <v>0</v>
      </c>
      <c r="L820" s="295">
        <f t="shared" si="459"/>
        <v>0</v>
      </c>
      <c r="M820" s="295">
        <f t="shared" si="459"/>
        <v>0</v>
      </c>
      <c r="N820" s="295">
        <f t="shared" si="459"/>
        <v>0</v>
      </c>
      <c r="O820" s="295">
        <f t="shared" si="459"/>
        <v>0</v>
      </c>
      <c r="P820" s="295">
        <f t="shared" si="459"/>
        <v>0</v>
      </c>
      <c r="Q820" s="295">
        <f t="shared" si="459"/>
        <v>0</v>
      </c>
      <c r="R820" s="295">
        <f t="shared" si="459"/>
        <v>0</v>
      </c>
      <c r="S820" s="295">
        <f t="shared" si="459"/>
        <v>0</v>
      </c>
      <c r="T820" s="296">
        <f t="shared" si="459"/>
        <v>0</v>
      </c>
    </row>
    <row r="821" spans="1:20" ht="12.75" hidden="1" customHeight="1" outlineLevel="2" x14ac:dyDescent="0.2">
      <c r="A821" s="198" t="str">
        <f>"            "&amp;Labels!B318</f>
        <v xml:space="preserve">            Channels 2</v>
      </c>
      <c r="B821" s="295"/>
      <c r="C821" s="295">
        <f t="shared" ref="C821:T821" si="460">SUM(C795,C808)</f>
        <v>0</v>
      </c>
      <c r="D821" s="295">
        <f t="shared" si="460"/>
        <v>0</v>
      </c>
      <c r="E821" s="295">
        <f t="shared" si="460"/>
        <v>0</v>
      </c>
      <c r="F821" s="295">
        <f t="shared" si="460"/>
        <v>0</v>
      </c>
      <c r="G821" s="295">
        <f t="shared" si="460"/>
        <v>0</v>
      </c>
      <c r="H821" s="295">
        <f t="shared" si="460"/>
        <v>0</v>
      </c>
      <c r="I821" s="295">
        <f t="shared" si="460"/>
        <v>0</v>
      </c>
      <c r="J821" s="295">
        <f t="shared" si="460"/>
        <v>0</v>
      </c>
      <c r="K821" s="295">
        <f t="shared" si="460"/>
        <v>0</v>
      </c>
      <c r="L821" s="295">
        <f t="shared" si="460"/>
        <v>0</v>
      </c>
      <c r="M821" s="295">
        <f t="shared" si="460"/>
        <v>0</v>
      </c>
      <c r="N821" s="295">
        <f t="shared" si="460"/>
        <v>0</v>
      </c>
      <c r="O821" s="295">
        <f t="shared" si="460"/>
        <v>0</v>
      </c>
      <c r="P821" s="295">
        <f t="shared" si="460"/>
        <v>0</v>
      </c>
      <c r="Q821" s="295">
        <f t="shared" si="460"/>
        <v>0</v>
      </c>
      <c r="R821" s="295">
        <f t="shared" si="460"/>
        <v>0</v>
      </c>
      <c r="S821" s="295">
        <f t="shared" si="460"/>
        <v>0</v>
      </c>
      <c r="T821" s="296">
        <f t="shared" si="460"/>
        <v>0</v>
      </c>
    </row>
    <row r="822" spans="1:20" ht="12.75" hidden="1" customHeight="1" outlineLevel="2" x14ac:dyDescent="0.2">
      <c r="A822" s="198" t="str">
        <f>"            "&amp;Labels!C316</f>
        <v xml:space="preserve">            Total</v>
      </c>
      <c r="B822" s="258"/>
      <c r="C822" s="258">
        <f t="shared" ref="C822:T822" si="461">SUM(C796,C809)</f>
        <v>0</v>
      </c>
      <c r="D822" s="258">
        <f t="shared" si="461"/>
        <v>0</v>
      </c>
      <c r="E822" s="258">
        <f t="shared" si="461"/>
        <v>0</v>
      </c>
      <c r="F822" s="258">
        <f t="shared" si="461"/>
        <v>0</v>
      </c>
      <c r="G822" s="258">
        <f t="shared" si="461"/>
        <v>0</v>
      </c>
      <c r="H822" s="258">
        <f t="shared" si="461"/>
        <v>0</v>
      </c>
      <c r="I822" s="258">
        <f t="shared" si="461"/>
        <v>0</v>
      </c>
      <c r="J822" s="258">
        <f t="shared" si="461"/>
        <v>0</v>
      </c>
      <c r="K822" s="258">
        <f t="shared" si="461"/>
        <v>0</v>
      </c>
      <c r="L822" s="258">
        <f t="shared" si="461"/>
        <v>0</v>
      </c>
      <c r="M822" s="258">
        <f t="shared" si="461"/>
        <v>0</v>
      </c>
      <c r="N822" s="258">
        <f t="shared" si="461"/>
        <v>0</v>
      </c>
      <c r="O822" s="258">
        <f t="shared" si="461"/>
        <v>0</v>
      </c>
      <c r="P822" s="258">
        <f t="shared" si="461"/>
        <v>0</v>
      </c>
      <c r="Q822" s="258">
        <f t="shared" si="461"/>
        <v>0</v>
      </c>
      <c r="R822" s="258">
        <f t="shared" si="461"/>
        <v>0</v>
      </c>
      <c r="S822" s="258">
        <f t="shared" si="461"/>
        <v>0</v>
      </c>
      <c r="T822" s="291">
        <f t="shared" si="461"/>
        <v>0</v>
      </c>
    </row>
    <row r="823" spans="1:20" ht="12.75" hidden="1" customHeight="1" outlineLevel="2" x14ac:dyDescent="0.2">
      <c r="A823" s="198" t="str">
        <f>"         "&amp;Labels!C384</f>
        <v xml:space="preserve">         Total</v>
      </c>
      <c r="B823" s="258"/>
      <c r="C823" s="258">
        <f t="shared" ref="C823:T823" si="462">SUM(C797,C810)</f>
        <v>0</v>
      </c>
      <c r="D823" s="258">
        <f t="shared" si="462"/>
        <v>0</v>
      </c>
      <c r="E823" s="258">
        <f t="shared" si="462"/>
        <v>0</v>
      </c>
      <c r="F823" s="258">
        <f t="shared" si="462"/>
        <v>0</v>
      </c>
      <c r="G823" s="258">
        <f t="shared" si="462"/>
        <v>0</v>
      </c>
      <c r="H823" s="258">
        <f t="shared" si="462"/>
        <v>0</v>
      </c>
      <c r="I823" s="258">
        <f t="shared" si="462"/>
        <v>0</v>
      </c>
      <c r="J823" s="258">
        <f t="shared" si="462"/>
        <v>0</v>
      </c>
      <c r="K823" s="258">
        <f t="shared" si="462"/>
        <v>0</v>
      </c>
      <c r="L823" s="258">
        <f t="shared" si="462"/>
        <v>0</v>
      </c>
      <c r="M823" s="258">
        <f t="shared" si="462"/>
        <v>0</v>
      </c>
      <c r="N823" s="258">
        <f t="shared" si="462"/>
        <v>0</v>
      </c>
      <c r="O823" s="258">
        <f t="shared" si="462"/>
        <v>0</v>
      </c>
      <c r="P823" s="258">
        <f t="shared" si="462"/>
        <v>0</v>
      </c>
      <c r="Q823" s="258">
        <f t="shared" si="462"/>
        <v>0</v>
      </c>
      <c r="R823" s="258">
        <f t="shared" si="462"/>
        <v>0</v>
      </c>
      <c r="S823" s="258">
        <f t="shared" si="462"/>
        <v>0</v>
      </c>
      <c r="T823" s="291">
        <f t="shared" si="462"/>
        <v>0</v>
      </c>
    </row>
    <row r="824" spans="1:20" ht="12.75" hidden="1" customHeight="1" outlineLevel="2" x14ac:dyDescent="0.2">
      <c r="A824" s="198" t="str">
        <f>"            "&amp;Labels!B317</f>
        <v xml:space="preserve">            Channels 1</v>
      </c>
      <c r="B824" s="295"/>
      <c r="C824" s="295">
        <f t="shared" ref="C824:T824" si="463">SUM(C798,C811)</f>
        <v>0</v>
      </c>
      <c r="D824" s="295">
        <f t="shared" si="463"/>
        <v>0</v>
      </c>
      <c r="E824" s="295">
        <f t="shared" si="463"/>
        <v>0</v>
      </c>
      <c r="F824" s="295">
        <f t="shared" si="463"/>
        <v>0</v>
      </c>
      <c r="G824" s="295">
        <f t="shared" si="463"/>
        <v>0</v>
      </c>
      <c r="H824" s="295">
        <f t="shared" si="463"/>
        <v>0</v>
      </c>
      <c r="I824" s="295">
        <f t="shared" si="463"/>
        <v>0</v>
      </c>
      <c r="J824" s="295">
        <f t="shared" si="463"/>
        <v>0</v>
      </c>
      <c r="K824" s="295">
        <f t="shared" si="463"/>
        <v>0</v>
      </c>
      <c r="L824" s="295">
        <f t="shared" si="463"/>
        <v>0</v>
      </c>
      <c r="M824" s="295">
        <f t="shared" si="463"/>
        <v>0</v>
      </c>
      <c r="N824" s="295">
        <f t="shared" si="463"/>
        <v>0</v>
      </c>
      <c r="O824" s="295">
        <f t="shared" si="463"/>
        <v>0</v>
      </c>
      <c r="P824" s="295">
        <f t="shared" si="463"/>
        <v>0</v>
      </c>
      <c r="Q824" s="295">
        <f t="shared" si="463"/>
        <v>0</v>
      </c>
      <c r="R824" s="295">
        <f t="shared" si="463"/>
        <v>0</v>
      </c>
      <c r="S824" s="295">
        <f t="shared" si="463"/>
        <v>0</v>
      </c>
      <c r="T824" s="296">
        <f t="shared" si="463"/>
        <v>0</v>
      </c>
    </row>
    <row r="825" spans="1:20" ht="12.75" hidden="1" customHeight="1" outlineLevel="2" x14ac:dyDescent="0.2">
      <c r="A825" s="198" t="str">
        <f>"            "&amp;Labels!B318</f>
        <v xml:space="preserve">            Channels 2</v>
      </c>
      <c r="B825" s="295"/>
      <c r="C825" s="295">
        <f t="shared" ref="C825:T825" si="464">SUM(C799,C812)</f>
        <v>0</v>
      </c>
      <c r="D825" s="295">
        <f t="shared" si="464"/>
        <v>0</v>
      </c>
      <c r="E825" s="295">
        <f t="shared" si="464"/>
        <v>0</v>
      </c>
      <c r="F825" s="295">
        <f t="shared" si="464"/>
        <v>0</v>
      </c>
      <c r="G825" s="295">
        <f t="shared" si="464"/>
        <v>0</v>
      </c>
      <c r="H825" s="295">
        <f t="shared" si="464"/>
        <v>0</v>
      </c>
      <c r="I825" s="295">
        <f t="shared" si="464"/>
        <v>0</v>
      </c>
      <c r="J825" s="295">
        <f t="shared" si="464"/>
        <v>0</v>
      </c>
      <c r="K825" s="295">
        <f t="shared" si="464"/>
        <v>0</v>
      </c>
      <c r="L825" s="295">
        <f t="shared" si="464"/>
        <v>0</v>
      </c>
      <c r="M825" s="295">
        <f t="shared" si="464"/>
        <v>0</v>
      </c>
      <c r="N825" s="295">
        <f t="shared" si="464"/>
        <v>0</v>
      </c>
      <c r="O825" s="295">
        <f t="shared" si="464"/>
        <v>0</v>
      </c>
      <c r="P825" s="295">
        <f t="shared" si="464"/>
        <v>0</v>
      </c>
      <c r="Q825" s="295">
        <f t="shared" si="464"/>
        <v>0</v>
      </c>
      <c r="R825" s="295">
        <f t="shared" si="464"/>
        <v>0</v>
      </c>
      <c r="S825" s="295">
        <f t="shared" si="464"/>
        <v>0</v>
      </c>
      <c r="T825" s="296">
        <f t="shared" si="464"/>
        <v>0</v>
      </c>
    </row>
    <row r="826" spans="1:20" ht="12.75" hidden="1" customHeight="1" outlineLevel="2" x14ac:dyDescent="0.2">
      <c r="A826" s="198" t="str">
        <f>"            "&amp;Labels!C316</f>
        <v xml:space="preserve">            Total</v>
      </c>
      <c r="B826" s="258"/>
      <c r="C826" s="258">
        <f t="shared" ref="C826:T826" si="465">SUM(C797,C810)</f>
        <v>0</v>
      </c>
      <c r="D826" s="258">
        <f t="shared" si="465"/>
        <v>0</v>
      </c>
      <c r="E826" s="258">
        <f t="shared" si="465"/>
        <v>0</v>
      </c>
      <c r="F826" s="258">
        <f t="shared" si="465"/>
        <v>0</v>
      </c>
      <c r="G826" s="258">
        <f t="shared" si="465"/>
        <v>0</v>
      </c>
      <c r="H826" s="258">
        <f t="shared" si="465"/>
        <v>0</v>
      </c>
      <c r="I826" s="258">
        <f t="shared" si="465"/>
        <v>0</v>
      </c>
      <c r="J826" s="258">
        <f t="shared" si="465"/>
        <v>0</v>
      </c>
      <c r="K826" s="258">
        <f t="shared" si="465"/>
        <v>0</v>
      </c>
      <c r="L826" s="258">
        <f t="shared" si="465"/>
        <v>0</v>
      </c>
      <c r="M826" s="258">
        <f t="shared" si="465"/>
        <v>0</v>
      </c>
      <c r="N826" s="258">
        <f t="shared" si="465"/>
        <v>0</v>
      </c>
      <c r="O826" s="258">
        <f t="shared" si="465"/>
        <v>0</v>
      </c>
      <c r="P826" s="258">
        <f t="shared" si="465"/>
        <v>0</v>
      </c>
      <c r="Q826" s="258">
        <f t="shared" si="465"/>
        <v>0</v>
      </c>
      <c r="R826" s="258">
        <f t="shared" si="465"/>
        <v>0</v>
      </c>
      <c r="S826" s="258">
        <f t="shared" si="465"/>
        <v>0</v>
      </c>
      <c r="T826" s="291">
        <f t="shared" si="465"/>
        <v>0</v>
      </c>
    </row>
    <row r="827" spans="1:20" ht="12.75" hidden="1" customHeight="1" outlineLevel="2" x14ac:dyDescent="0.2">
      <c r="A827" s="191" t="str">
        <f>"   "&amp;Labels!C388</f>
        <v xml:space="preserve">   Total</v>
      </c>
      <c r="B827" s="260"/>
      <c r="C827" s="260">
        <f t="shared" ref="C827:T827" si="466">SUM(C774,C814)</f>
        <v>0</v>
      </c>
      <c r="D827" s="260">
        <f t="shared" si="466"/>
        <v>0</v>
      </c>
      <c r="E827" s="260">
        <f t="shared" si="466"/>
        <v>0</v>
      </c>
      <c r="F827" s="260">
        <f t="shared" si="466"/>
        <v>0</v>
      </c>
      <c r="G827" s="260">
        <f t="shared" si="466"/>
        <v>0</v>
      </c>
      <c r="H827" s="260">
        <f t="shared" si="466"/>
        <v>0</v>
      </c>
      <c r="I827" s="260">
        <f t="shared" si="466"/>
        <v>0</v>
      </c>
      <c r="J827" s="260">
        <f t="shared" si="466"/>
        <v>0</v>
      </c>
      <c r="K827" s="260">
        <f t="shared" si="466"/>
        <v>0</v>
      </c>
      <c r="L827" s="260">
        <f t="shared" si="466"/>
        <v>0</v>
      </c>
      <c r="M827" s="260">
        <f t="shared" si="466"/>
        <v>0</v>
      </c>
      <c r="N827" s="260">
        <f t="shared" si="466"/>
        <v>0</v>
      </c>
      <c r="O827" s="260">
        <f t="shared" si="466"/>
        <v>0</v>
      </c>
      <c r="P827" s="260">
        <f t="shared" si="466"/>
        <v>0</v>
      </c>
      <c r="Q827" s="260">
        <f t="shared" si="466"/>
        <v>0</v>
      </c>
      <c r="R827" s="260">
        <f t="shared" si="466"/>
        <v>0</v>
      </c>
      <c r="S827" s="260">
        <f t="shared" si="466"/>
        <v>0</v>
      </c>
      <c r="T827" s="289">
        <f t="shared" si="466"/>
        <v>0</v>
      </c>
    </row>
    <row r="828" spans="1:20" ht="12.75" hidden="1" customHeight="1" outlineLevel="2" x14ac:dyDescent="0.2">
      <c r="A828" s="198" t="str">
        <f>"      "&amp;Labels!B381</f>
        <v xml:space="preserve">      Practice 1</v>
      </c>
      <c r="B828" s="258"/>
      <c r="C828" s="258"/>
      <c r="D828" s="258"/>
      <c r="E828" s="258"/>
      <c r="F828" s="258"/>
      <c r="G828" s="258"/>
      <c r="H828" s="258"/>
      <c r="I828" s="258"/>
      <c r="J828" s="258"/>
      <c r="K828" s="258"/>
      <c r="L828" s="258"/>
      <c r="M828" s="258"/>
      <c r="N828" s="258"/>
      <c r="O828" s="258"/>
      <c r="P828" s="258"/>
      <c r="Q828" s="258"/>
      <c r="R828" s="258"/>
      <c r="S828" s="258"/>
      <c r="T828" s="291"/>
    </row>
    <row r="829" spans="1:20" ht="12.75" hidden="1" customHeight="1" outlineLevel="2" x14ac:dyDescent="0.2">
      <c r="A829" s="198" t="str">
        <f>"         "&amp;Labels!B385</f>
        <v xml:space="preserve">         Prof Level 1</v>
      </c>
      <c r="B829" s="258"/>
      <c r="C829" s="258"/>
      <c r="D829" s="258"/>
      <c r="E829" s="258"/>
      <c r="F829" s="258"/>
      <c r="G829" s="258"/>
      <c r="H829" s="258"/>
      <c r="I829" s="258"/>
      <c r="J829" s="258"/>
      <c r="K829" s="258"/>
      <c r="L829" s="258"/>
      <c r="M829" s="258"/>
      <c r="N829" s="258"/>
      <c r="O829" s="258"/>
      <c r="P829" s="258"/>
      <c r="Q829" s="258"/>
      <c r="R829" s="258"/>
      <c r="S829" s="258"/>
      <c r="T829" s="291"/>
    </row>
    <row r="830" spans="1:20" ht="12.75" hidden="1" customHeight="1" outlineLevel="2" x14ac:dyDescent="0.2">
      <c r="A830" s="198" t="str">
        <f>"            "&amp;Labels!B317</f>
        <v xml:space="preserve">            Channels 1</v>
      </c>
      <c r="B830" s="295"/>
      <c r="C830" s="295">
        <f t="shared" ref="C830:T830" si="467">SUM(C750,C790)</f>
        <v>0</v>
      </c>
      <c r="D830" s="295">
        <f t="shared" si="467"/>
        <v>0</v>
      </c>
      <c r="E830" s="295">
        <f t="shared" si="467"/>
        <v>0</v>
      </c>
      <c r="F830" s="295">
        <f t="shared" si="467"/>
        <v>0</v>
      </c>
      <c r="G830" s="295">
        <f t="shared" si="467"/>
        <v>0</v>
      </c>
      <c r="H830" s="295">
        <f t="shared" si="467"/>
        <v>0</v>
      </c>
      <c r="I830" s="295">
        <f t="shared" si="467"/>
        <v>0</v>
      </c>
      <c r="J830" s="295">
        <f t="shared" si="467"/>
        <v>0</v>
      </c>
      <c r="K830" s="295">
        <f t="shared" si="467"/>
        <v>0</v>
      </c>
      <c r="L830" s="295">
        <f t="shared" si="467"/>
        <v>0</v>
      </c>
      <c r="M830" s="295">
        <f t="shared" si="467"/>
        <v>0</v>
      </c>
      <c r="N830" s="295">
        <f t="shared" si="467"/>
        <v>0</v>
      </c>
      <c r="O830" s="295">
        <f t="shared" si="467"/>
        <v>0</v>
      </c>
      <c r="P830" s="295">
        <f t="shared" si="467"/>
        <v>0</v>
      </c>
      <c r="Q830" s="295">
        <f t="shared" si="467"/>
        <v>0</v>
      </c>
      <c r="R830" s="295">
        <f t="shared" si="467"/>
        <v>0</v>
      </c>
      <c r="S830" s="295">
        <f t="shared" si="467"/>
        <v>0</v>
      </c>
      <c r="T830" s="296">
        <f t="shared" si="467"/>
        <v>0</v>
      </c>
    </row>
    <row r="831" spans="1:20" ht="12.75" hidden="1" customHeight="1" outlineLevel="2" x14ac:dyDescent="0.2">
      <c r="A831" s="198" t="str">
        <f>"            "&amp;Labels!B318</f>
        <v xml:space="preserve">            Channels 2</v>
      </c>
      <c r="B831" s="295"/>
      <c r="C831" s="295">
        <f t="shared" ref="C831:T831" si="468">SUM(C751,C791)</f>
        <v>0</v>
      </c>
      <c r="D831" s="295">
        <f t="shared" si="468"/>
        <v>0</v>
      </c>
      <c r="E831" s="295">
        <f t="shared" si="468"/>
        <v>0</v>
      </c>
      <c r="F831" s="295">
        <f t="shared" si="468"/>
        <v>0</v>
      </c>
      <c r="G831" s="295">
        <f t="shared" si="468"/>
        <v>0</v>
      </c>
      <c r="H831" s="295">
        <f t="shared" si="468"/>
        <v>0</v>
      </c>
      <c r="I831" s="295">
        <f t="shared" si="468"/>
        <v>0</v>
      </c>
      <c r="J831" s="295">
        <f t="shared" si="468"/>
        <v>0</v>
      </c>
      <c r="K831" s="295">
        <f t="shared" si="468"/>
        <v>0</v>
      </c>
      <c r="L831" s="295">
        <f t="shared" si="468"/>
        <v>0</v>
      </c>
      <c r="M831" s="295">
        <f t="shared" si="468"/>
        <v>0</v>
      </c>
      <c r="N831" s="295">
        <f t="shared" si="468"/>
        <v>0</v>
      </c>
      <c r="O831" s="295">
        <f t="shared" si="468"/>
        <v>0</v>
      </c>
      <c r="P831" s="295">
        <f t="shared" si="468"/>
        <v>0</v>
      </c>
      <c r="Q831" s="295">
        <f t="shared" si="468"/>
        <v>0</v>
      </c>
      <c r="R831" s="295">
        <f t="shared" si="468"/>
        <v>0</v>
      </c>
      <c r="S831" s="295">
        <f t="shared" si="468"/>
        <v>0</v>
      </c>
      <c r="T831" s="296">
        <f t="shared" si="468"/>
        <v>0</v>
      </c>
    </row>
    <row r="832" spans="1:20" ht="12.75" hidden="1" customHeight="1" outlineLevel="2" x14ac:dyDescent="0.2">
      <c r="A832" s="198" t="str">
        <f>"            "&amp;Labels!C316</f>
        <v xml:space="preserve">            Total</v>
      </c>
      <c r="B832" s="258"/>
      <c r="C832" s="258">
        <f t="shared" ref="C832:T832" si="469">SUM(C752,C792)</f>
        <v>0</v>
      </c>
      <c r="D832" s="258">
        <f t="shared" si="469"/>
        <v>0</v>
      </c>
      <c r="E832" s="258">
        <f t="shared" si="469"/>
        <v>0</v>
      </c>
      <c r="F832" s="258">
        <f t="shared" si="469"/>
        <v>0</v>
      </c>
      <c r="G832" s="258">
        <f t="shared" si="469"/>
        <v>0</v>
      </c>
      <c r="H832" s="258">
        <f t="shared" si="469"/>
        <v>0</v>
      </c>
      <c r="I832" s="258">
        <f t="shared" si="469"/>
        <v>0</v>
      </c>
      <c r="J832" s="258">
        <f t="shared" si="469"/>
        <v>0</v>
      </c>
      <c r="K832" s="258">
        <f t="shared" si="469"/>
        <v>0</v>
      </c>
      <c r="L832" s="258">
        <f t="shared" si="469"/>
        <v>0</v>
      </c>
      <c r="M832" s="258">
        <f t="shared" si="469"/>
        <v>0</v>
      </c>
      <c r="N832" s="258">
        <f t="shared" si="469"/>
        <v>0</v>
      </c>
      <c r="O832" s="258">
        <f t="shared" si="469"/>
        <v>0</v>
      </c>
      <c r="P832" s="258">
        <f t="shared" si="469"/>
        <v>0</v>
      </c>
      <c r="Q832" s="258">
        <f t="shared" si="469"/>
        <v>0</v>
      </c>
      <c r="R832" s="258">
        <f t="shared" si="469"/>
        <v>0</v>
      </c>
      <c r="S832" s="258">
        <f t="shared" si="469"/>
        <v>0</v>
      </c>
      <c r="T832" s="291">
        <f t="shared" si="469"/>
        <v>0</v>
      </c>
    </row>
    <row r="833" spans="1:20" ht="12.75" hidden="1" customHeight="1" outlineLevel="2" x14ac:dyDescent="0.2">
      <c r="A833" s="198" t="str">
        <f>"         "&amp;Labels!B386</f>
        <v xml:space="preserve">         Prof Level 2</v>
      </c>
      <c r="B833" s="258"/>
      <c r="C833" s="258"/>
      <c r="D833" s="258"/>
      <c r="E833" s="258"/>
      <c r="F833" s="258"/>
      <c r="G833" s="258"/>
      <c r="H833" s="258"/>
      <c r="I833" s="258"/>
      <c r="J833" s="258"/>
      <c r="K833" s="258"/>
      <c r="L833" s="258"/>
      <c r="M833" s="258"/>
      <c r="N833" s="258"/>
      <c r="O833" s="258"/>
      <c r="P833" s="258"/>
      <c r="Q833" s="258"/>
      <c r="R833" s="258"/>
      <c r="S833" s="258"/>
      <c r="T833" s="291"/>
    </row>
    <row r="834" spans="1:20" ht="12.75" hidden="1" customHeight="1" outlineLevel="2" x14ac:dyDescent="0.2">
      <c r="A834" s="198" t="str">
        <f>"            "&amp;Labels!B317</f>
        <v xml:space="preserve">            Channels 1</v>
      </c>
      <c r="B834" s="295"/>
      <c r="C834" s="295">
        <f t="shared" ref="C834:T834" si="470">SUM(C754,C794)</f>
        <v>0</v>
      </c>
      <c r="D834" s="295">
        <f t="shared" si="470"/>
        <v>0</v>
      </c>
      <c r="E834" s="295">
        <f t="shared" si="470"/>
        <v>0</v>
      </c>
      <c r="F834" s="295">
        <f t="shared" si="470"/>
        <v>0</v>
      </c>
      <c r="G834" s="295">
        <f t="shared" si="470"/>
        <v>0</v>
      </c>
      <c r="H834" s="295">
        <f t="shared" si="470"/>
        <v>0</v>
      </c>
      <c r="I834" s="295">
        <f t="shared" si="470"/>
        <v>0</v>
      </c>
      <c r="J834" s="295">
        <f t="shared" si="470"/>
        <v>0</v>
      </c>
      <c r="K834" s="295">
        <f t="shared" si="470"/>
        <v>0</v>
      </c>
      <c r="L834" s="295">
        <f t="shared" si="470"/>
        <v>0</v>
      </c>
      <c r="M834" s="295">
        <f t="shared" si="470"/>
        <v>0</v>
      </c>
      <c r="N834" s="295">
        <f t="shared" si="470"/>
        <v>0</v>
      </c>
      <c r="O834" s="295">
        <f t="shared" si="470"/>
        <v>0</v>
      </c>
      <c r="P834" s="295">
        <f t="shared" si="470"/>
        <v>0</v>
      </c>
      <c r="Q834" s="295">
        <f t="shared" si="470"/>
        <v>0</v>
      </c>
      <c r="R834" s="295">
        <f t="shared" si="470"/>
        <v>0</v>
      </c>
      <c r="S834" s="295">
        <f t="shared" si="470"/>
        <v>0</v>
      </c>
      <c r="T834" s="296">
        <f t="shared" si="470"/>
        <v>0</v>
      </c>
    </row>
    <row r="835" spans="1:20" ht="12.75" hidden="1" customHeight="1" outlineLevel="2" x14ac:dyDescent="0.2">
      <c r="A835" s="198" t="str">
        <f>"            "&amp;Labels!B318</f>
        <v xml:space="preserve">            Channels 2</v>
      </c>
      <c r="B835" s="295"/>
      <c r="C835" s="295">
        <f t="shared" ref="C835:T835" si="471">SUM(C755,C795)</f>
        <v>0</v>
      </c>
      <c r="D835" s="295">
        <f t="shared" si="471"/>
        <v>0</v>
      </c>
      <c r="E835" s="295">
        <f t="shared" si="471"/>
        <v>0</v>
      </c>
      <c r="F835" s="295">
        <f t="shared" si="471"/>
        <v>0</v>
      </c>
      <c r="G835" s="295">
        <f t="shared" si="471"/>
        <v>0</v>
      </c>
      <c r="H835" s="295">
        <f t="shared" si="471"/>
        <v>0</v>
      </c>
      <c r="I835" s="295">
        <f t="shared" si="471"/>
        <v>0</v>
      </c>
      <c r="J835" s="295">
        <f t="shared" si="471"/>
        <v>0</v>
      </c>
      <c r="K835" s="295">
        <f t="shared" si="471"/>
        <v>0</v>
      </c>
      <c r="L835" s="295">
        <f t="shared" si="471"/>
        <v>0</v>
      </c>
      <c r="M835" s="295">
        <f t="shared" si="471"/>
        <v>0</v>
      </c>
      <c r="N835" s="295">
        <f t="shared" si="471"/>
        <v>0</v>
      </c>
      <c r="O835" s="295">
        <f t="shared" si="471"/>
        <v>0</v>
      </c>
      <c r="P835" s="295">
        <f t="shared" si="471"/>
        <v>0</v>
      </c>
      <c r="Q835" s="295">
        <f t="shared" si="471"/>
        <v>0</v>
      </c>
      <c r="R835" s="295">
        <f t="shared" si="471"/>
        <v>0</v>
      </c>
      <c r="S835" s="295">
        <f t="shared" si="471"/>
        <v>0</v>
      </c>
      <c r="T835" s="296">
        <f t="shared" si="471"/>
        <v>0</v>
      </c>
    </row>
    <row r="836" spans="1:20" ht="12.75" hidden="1" customHeight="1" outlineLevel="2" x14ac:dyDescent="0.2">
      <c r="A836" s="198" t="str">
        <f>"            "&amp;Labels!C316</f>
        <v xml:space="preserve">            Total</v>
      </c>
      <c r="B836" s="258"/>
      <c r="C836" s="258">
        <f t="shared" ref="C836:T836" si="472">SUM(C756,C796)</f>
        <v>0</v>
      </c>
      <c r="D836" s="258">
        <f t="shared" si="472"/>
        <v>0</v>
      </c>
      <c r="E836" s="258">
        <f t="shared" si="472"/>
        <v>0</v>
      </c>
      <c r="F836" s="258">
        <f t="shared" si="472"/>
        <v>0</v>
      </c>
      <c r="G836" s="258">
        <f t="shared" si="472"/>
        <v>0</v>
      </c>
      <c r="H836" s="258">
        <f t="shared" si="472"/>
        <v>0</v>
      </c>
      <c r="I836" s="258">
        <f t="shared" si="472"/>
        <v>0</v>
      </c>
      <c r="J836" s="258">
        <f t="shared" si="472"/>
        <v>0</v>
      </c>
      <c r="K836" s="258">
        <f t="shared" si="472"/>
        <v>0</v>
      </c>
      <c r="L836" s="258">
        <f t="shared" si="472"/>
        <v>0</v>
      </c>
      <c r="M836" s="258">
        <f t="shared" si="472"/>
        <v>0</v>
      </c>
      <c r="N836" s="258">
        <f t="shared" si="472"/>
        <v>0</v>
      </c>
      <c r="O836" s="258">
        <f t="shared" si="472"/>
        <v>0</v>
      </c>
      <c r="P836" s="258">
        <f t="shared" si="472"/>
        <v>0</v>
      </c>
      <c r="Q836" s="258">
        <f t="shared" si="472"/>
        <v>0</v>
      </c>
      <c r="R836" s="258">
        <f t="shared" si="472"/>
        <v>0</v>
      </c>
      <c r="S836" s="258">
        <f t="shared" si="472"/>
        <v>0</v>
      </c>
      <c r="T836" s="291">
        <f t="shared" si="472"/>
        <v>0</v>
      </c>
    </row>
    <row r="837" spans="1:20" ht="12.75" hidden="1" customHeight="1" outlineLevel="2" x14ac:dyDescent="0.2">
      <c r="A837" s="198" t="str">
        <f>"         "&amp;Labels!C384</f>
        <v xml:space="preserve">         Total</v>
      </c>
      <c r="B837" s="258"/>
      <c r="C837" s="258">
        <f t="shared" ref="C837:T837" si="473">SUM(C757,C797)</f>
        <v>0</v>
      </c>
      <c r="D837" s="258">
        <f t="shared" si="473"/>
        <v>0</v>
      </c>
      <c r="E837" s="258">
        <f t="shared" si="473"/>
        <v>0</v>
      </c>
      <c r="F837" s="258">
        <f t="shared" si="473"/>
        <v>0</v>
      </c>
      <c r="G837" s="258">
        <f t="shared" si="473"/>
        <v>0</v>
      </c>
      <c r="H837" s="258">
        <f t="shared" si="473"/>
        <v>0</v>
      </c>
      <c r="I837" s="258">
        <f t="shared" si="473"/>
        <v>0</v>
      </c>
      <c r="J837" s="258">
        <f t="shared" si="473"/>
        <v>0</v>
      </c>
      <c r="K837" s="258">
        <f t="shared" si="473"/>
        <v>0</v>
      </c>
      <c r="L837" s="258">
        <f t="shared" si="473"/>
        <v>0</v>
      </c>
      <c r="M837" s="258">
        <f t="shared" si="473"/>
        <v>0</v>
      </c>
      <c r="N837" s="258">
        <f t="shared" si="473"/>
        <v>0</v>
      </c>
      <c r="O837" s="258">
        <f t="shared" si="473"/>
        <v>0</v>
      </c>
      <c r="P837" s="258">
        <f t="shared" si="473"/>
        <v>0</v>
      </c>
      <c r="Q837" s="258">
        <f t="shared" si="473"/>
        <v>0</v>
      </c>
      <c r="R837" s="258">
        <f t="shared" si="473"/>
        <v>0</v>
      </c>
      <c r="S837" s="258">
        <f t="shared" si="473"/>
        <v>0</v>
      </c>
      <c r="T837" s="291">
        <f t="shared" si="473"/>
        <v>0</v>
      </c>
    </row>
    <row r="838" spans="1:20" ht="12.75" hidden="1" customHeight="1" outlineLevel="2" x14ac:dyDescent="0.2">
      <c r="A838" s="198" t="str">
        <f>"            "&amp;Labels!B317</f>
        <v xml:space="preserve">            Channels 1</v>
      </c>
      <c r="B838" s="295"/>
      <c r="C838" s="295">
        <f t="shared" ref="C838:T838" si="474">SUM(C758,C798)</f>
        <v>0</v>
      </c>
      <c r="D838" s="295">
        <f t="shared" si="474"/>
        <v>0</v>
      </c>
      <c r="E838" s="295">
        <f t="shared" si="474"/>
        <v>0</v>
      </c>
      <c r="F838" s="295">
        <f t="shared" si="474"/>
        <v>0</v>
      </c>
      <c r="G838" s="295">
        <f t="shared" si="474"/>
        <v>0</v>
      </c>
      <c r="H838" s="295">
        <f t="shared" si="474"/>
        <v>0</v>
      </c>
      <c r="I838" s="295">
        <f t="shared" si="474"/>
        <v>0</v>
      </c>
      <c r="J838" s="295">
        <f t="shared" si="474"/>
        <v>0</v>
      </c>
      <c r="K838" s="295">
        <f t="shared" si="474"/>
        <v>0</v>
      </c>
      <c r="L838" s="295">
        <f t="shared" si="474"/>
        <v>0</v>
      </c>
      <c r="M838" s="295">
        <f t="shared" si="474"/>
        <v>0</v>
      </c>
      <c r="N838" s="295">
        <f t="shared" si="474"/>
        <v>0</v>
      </c>
      <c r="O838" s="295">
        <f t="shared" si="474"/>
        <v>0</v>
      </c>
      <c r="P838" s="295">
        <f t="shared" si="474"/>
        <v>0</v>
      </c>
      <c r="Q838" s="295">
        <f t="shared" si="474"/>
        <v>0</v>
      </c>
      <c r="R838" s="295">
        <f t="shared" si="474"/>
        <v>0</v>
      </c>
      <c r="S838" s="295">
        <f t="shared" si="474"/>
        <v>0</v>
      </c>
      <c r="T838" s="296">
        <f t="shared" si="474"/>
        <v>0</v>
      </c>
    </row>
    <row r="839" spans="1:20" ht="12.75" hidden="1" customHeight="1" outlineLevel="2" x14ac:dyDescent="0.2">
      <c r="A839" s="198" t="str">
        <f>"            "&amp;Labels!B318</f>
        <v xml:space="preserve">            Channels 2</v>
      </c>
      <c r="B839" s="295"/>
      <c r="C839" s="295">
        <f t="shared" ref="C839:T839" si="475">SUM(C759,C799)</f>
        <v>0</v>
      </c>
      <c r="D839" s="295">
        <f t="shared" si="475"/>
        <v>0</v>
      </c>
      <c r="E839" s="295">
        <f t="shared" si="475"/>
        <v>0</v>
      </c>
      <c r="F839" s="295">
        <f t="shared" si="475"/>
        <v>0</v>
      </c>
      <c r="G839" s="295">
        <f t="shared" si="475"/>
        <v>0</v>
      </c>
      <c r="H839" s="295">
        <f t="shared" si="475"/>
        <v>0</v>
      </c>
      <c r="I839" s="295">
        <f t="shared" si="475"/>
        <v>0</v>
      </c>
      <c r="J839" s="295">
        <f t="shared" si="475"/>
        <v>0</v>
      </c>
      <c r="K839" s="295">
        <f t="shared" si="475"/>
        <v>0</v>
      </c>
      <c r="L839" s="295">
        <f t="shared" si="475"/>
        <v>0</v>
      </c>
      <c r="M839" s="295">
        <f t="shared" si="475"/>
        <v>0</v>
      </c>
      <c r="N839" s="295">
        <f t="shared" si="475"/>
        <v>0</v>
      </c>
      <c r="O839" s="295">
        <f t="shared" si="475"/>
        <v>0</v>
      </c>
      <c r="P839" s="295">
        <f t="shared" si="475"/>
        <v>0</v>
      </c>
      <c r="Q839" s="295">
        <f t="shared" si="475"/>
        <v>0</v>
      </c>
      <c r="R839" s="295">
        <f t="shared" si="475"/>
        <v>0</v>
      </c>
      <c r="S839" s="295">
        <f t="shared" si="475"/>
        <v>0</v>
      </c>
      <c r="T839" s="296">
        <f t="shared" si="475"/>
        <v>0</v>
      </c>
    </row>
    <row r="840" spans="1:20" ht="12.75" hidden="1" customHeight="1" outlineLevel="2" x14ac:dyDescent="0.2">
      <c r="A840" s="198" t="str">
        <f>"            "&amp;Labels!C316</f>
        <v xml:space="preserve">            Total</v>
      </c>
      <c r="B840" s="258"/>
      <c r="C840" s="258">
        <f t="shared" ref="C840:T840" si="476">SUM(C757,C797)</f>
        <v>0</v>
      </c>
      <c r="D840" s="258">
        <f t="shared" si="476"/>
        <v>0</v>
      </c>
      <c r="E840" s="258">
        <f t="shared" si="476"/>
        <v>0</v>
      </c>
      <c r="F840" s="258">
        <f t="shared" si="476"/>
        <v>0</v>
      </c>
      <c r="G840" s="258">
        <f t="shared" si="476"/>
        <v>0</v>
      </c>
      <c r="H840" s="258">
        <f t="shared" si="476"/>
        <v>0</v>
      </c>
      <c r="I840" s="258">
        <f t="shared" si="476"/>
        <v>0</v>
      </c>
      <c r="J840" s="258">
        <f t="shared" si="476"/>
        <v>0</v>
      </c>
      <c r="K840" s="258">
        <f t="shared" si="476"/>
        <v>0</v>
      </c>
      <c r="L840" s="258">
        <f t="shared" si="476"/>
        <v>0</v>
      </c>
      <c r="M840" s="258">
        <f t="shared" si="476"/>
        <v>0</v>
      </c>
      <c r="N840" s="258">
        <f t="shared" si="476"/>
        <v>0</v>
      </c>
      <c r="O840" s="258">
        <f t="shared" si="476"/>
        <v>0</v>
      </c>
      <c r="P840" s="258">
        <f t="shared" si="476"/>
        <v>0</v>
      </c>
      <c r="Q840" s="258">
        <f t="shared" si="476"/>
        <v>0</v>
      </c>
      <c r="R840" s="258">
        <f t="shared" si="476"/>
        <v>0</v>
      </c>
      <c r="S840" s="258">
        <f t="shared" si="476"/>
        <v>0</v>
      </c>
      <c r="T840" s="291">
        <f t="shared" si="476"/>
        <v>0</v>
      </c>
    </row>
    <row r="841" spans="1:20" ht="12.75" hidden="1" customHeight="1" outlineLevel="2" x14ac:dyDescent="0.2">
      <c r="A841" s="198" t="str">
        <f>"      "&amp;Labels!B382</f>
        <v xml:space="preserve">      Practice 2</v>
      </c>
      <c r="B841" s="258"/>
      <c r="C841" s="258"/>
      <c r="D841" s="258"/>
      <c r="E841" s="258"/>
      <c r="F841" s="258"/>
      <c r="G841" s="258"/>
      <c r="H841" s="258"/>
      <c r="I841" s="258"/>
      <c r="J841" s="258"/>
      <c r="K841" s="258"/>
      <c r="L841" s="258"/>
      <c r="M841" s="258"/>
      <c r="N841" s="258"/>
      <c r="O841" s="258"/>
      <c r="P841" s="258"/>
      <c r="Q841" s="258"/>
      <c r="R841" s="258"/>
      <c r="S841" s="258"/>
      <c r="T841" s="291"/>
    </row>
    <row r="842" spans="1:20" ht="12.75" hidden="1" customHeight="1" outlineLevel="2" x14ac:dyDescent="0.2">
      <c r="A842" s="198" t="str">
        <f>"         "&amp;Labels!B385</f>
        <v xml:space="preserve">         Prof Level 1</v>
      </c>
      <c r="B842" s="258"/>
      <c r="C842" s="258"/>
      <c r="D842" s="258"/>
      <c r="E842" s="258"/>
      <c r="F842" s="258"/>
      <c r="G842" s="258"/>
      <c r="H842" s="258"/>
      <c r="I842" s="258"/>
      <c r="J842" s="258"/>
      <c r="K842" s="258"/>
      <c r="L842" s="258"/>
      <c r="M842" s="258"/>
      <c r="N842" s="258"/>
      <c r="O842" s="258"/>
      <c r="P842" s="258"/>
      <c r="Q842" s="258"/>
      <c r="R842" s="258"/>
      <c r="S842" s="258"/>
      <c r="T842" s="291"/>
    </row>
    <row r="843" spans="1:20" ht="12.75" hidden="1" customHeight="1" outlineLevel="2" x14ac:dyDescent="0.2">
      <c r="A843" s="198" t="str">
        <f>"            "&amp;Labels!B317</f>
        <v xml:space="preserve">            Channels 1</v>
      </c>
      <c r="B843" s="295"/>
      <c r="C843" s="295">
        <f t="shared" ref="C843:T843" si="477">SUM(C763,C803)</f>
        <v>0</v>
      </c>
      <c r="D843" s="295">
        <f t="shared" si="477"/>
        <v>0</v>
      </c>
      <c r="E843" s="295">
        <f t="shared" si="477"/>
        <v>0</v>
      </c>
      <c r="F843" s="295">
        <f t="shared" si="477"/>
        <v>0</v>
      </c>
      <c r="G843" s="295">
        <f t="shared" si="477"/>
        <v>0</v>
      </c>
      <c r="H843" s="295">
        <f t="shared" si="477"/>
        <v>0</v>
      </c>
      <c r="I843" s="295">
        <f t="shared" si="477"/>
        <v>0</v>
      </c>
      <c r="J843" s="295">
        <f t="shared" si="477"/>
        <v>0</v>
      </c>
      <c r="K843" s="295">
        <f t="shared" si="477"/>
        <v>0</v>
      </c>
      <c r="L843" s="295">
        <f t="shared" si="477"/>
        <v>0</v>
      </c>
      <c r="M843" s="295">
        <f t="shared" si="477"/>
        <v>0</v>
      </c>
      <c r="N843" s="295">
        <f t="shared" si="477"/>
        <v>0</v>
      </c>
      <c r="O843" s="295">
        <f t="shared" si="477"/>
        <v>0</v>
      </c>
      <c r="P843" s="295">
        <f t="shared" si="477"/>
        <v>0</v>
      </c>
      <c r="Q843" s="295">
        <f t="shared" si="477"/>
        <v>0</v>
      </c>
      <c r="R843" s="295">
        <f t="shared" si="477"/>
        <v>0</v>
      </c>
      <c r="S843" s="295">
        <f t="shared" si="477"/>
        <v>0</v>
      </c>
      <c r="T843" s="296">
        <f t="shared" si="477"/>
        <v>0</v>
      </c>
    </row>
    <row r="844" spans="1:20" ht="12.75" hidden="1" customHeight="1" outlineLevel="2" x14ac:dyDescent="0.2">
      <c r="A844" s="198" t="str">
        <f>"            "&amp;Labels!B318</f>
        <v xml:space="preserve">            Channels 2</v>
      </c>
      <c r="B844" s="295"/>
      <c r="C844" s="295">
        <f t="shared" ref="C844:T844" si="478">SUM(C764,C804)</f>
        <v>0</v>
      </c>
      <c r="D844" s="295">
        <f t="shared" si="478"/>
        <v>0</v>
      </c>
      <c r="E844" s="295">
        <f t="shared" si="478"/>
        <v>0</v>
      </c>
      <c r="F844" s="295">
        <f t="shared" si="478"/>
        <v>0</v>
      </c>
      <c r="G844" s="295">
        <f t="shared" si="478"/>
        <v>0</v>
      </c>
      <c r="H844" s="295">
        <f t="shared" si="478"/>
        <v>0</v>
      </c>
      <c r="I844" s="295">
        <f t="shared" si="478"/>
        <v>0</v>
      </c>
      <c r="J844" s="295">
        <f t="shared" si="478"/>
        <v>0</v>
      </c>
      <c r="K844" s="295">
        <f t="shared" si="478"/>
        <v>0</v>
      </c>
      <c r="L844" s="295">
        <f t="shared" si="478"/>
        <v>0</v>
      </c>
      <c r="M844" s="295">
        <f t="shared" si="478"/>
        <v>0</v>
      </c>
      <c r="N844" s="295">
        <f t="shared" si="478"/>
        <v>0</v>
      </c>
      <c r="O844" s="295">
        <f t="shared" si="478"/>
        <v>0</v>
      </c>
      <c r="P844" s="295">
        <f t="shared" si="478"/>
        <v>0</v>
      </c>
      <c r="Q844" s="295">
        <f t="shared" si="478"/>
        <v>0</v>
      </c>
      <c r="R844" s="295">
        <f t="shared" si="478"/>
        <v>0</v>
      </c>
      <c r="S844" s="295">
        <f t="shared" si="478"/>
        <v>0</v>
      </c>
      <c r="T844" s="296">
        <f t="shared" si="478"/>
        <v>0</v>
      </c>
    </row>
    <row r="845" spans="1:20" ht="12.75" hidden="1" customHeight="1" outlineLevel="2" x14ac:dyDescent="0.2">
      <c r="A845" s="198" t="str">
        <f>"            "&amp;Labels!C316</f>
        <v xml:space="preserve">            Total</v>
      </c>
      <c r="B845" s="258"/>
      <c r="C845" s="258">
        <f t="shared" ref="C845:T845" si="479">SUM(C765,C805)</f>
        <v>0</v>
      </c>
      <c r="D845" s="258">
        <f t="shared" si="479"/>
        <v>0</v>
      </c>
      <c r="E845" s="258">
        <f t="shared" si="479"/>
        <v>0</v>
      </c>
      <c r="F845" s="258">
        <f t="shared" si="479"/>
        <v>0</v>
      </c>
      <c r="G845" s="258">
        <f t="shared" si="479"/>
        <v>0</v>
      </c>
      <c r="H845" s="258">
        <f t="shared" si="479"/>
        <v>0</v>
      </c>
      <c r="I845" s="258">
        <f t="shared" si="479"/>
        <v>0</v>
      </c>
      <c r="J845" s="258">
        <f t="shared" si="479"/>
        <v>0</v>
      </c>
      <c r="K845" s="258">
        <f t="shared" si="479"/>
        <v>0</v>
      </c>
      <c r="L845" s="258">
        <f t="shared" si="479"/>
        <v>0</v>
      </c>
      <c r="M845" s="258">
        <f t="shared" si="479"/>
        <v>0</v>
      </c>
      <c r="N845" s="258">
        <f t="shared" si="479"/>
        <v>0</v>
      </c>
      <c r="O845" s="258">
        <f t="shared" si="479"/>
        <v>0</v>
      </c>
      <c r="P845" s="258">
        <f t="shared" si="479"/>
        <v>0</v>
      </c>
      <c r="Q845" s="258">
        <f t="shared" si="479"/>
        <v>0</v>
      </c>
      <c r="R845" s="258">
        <f t="shared" si="479"/>
        <v>0</v>
      </c>
      <c r="S845" s="258">
        <f t="shared" si="479"/>
        <v>0</v>
      </c>
      <c r="T845" s="291">
        <f t="shared" si="479"/>
        <v>0</v>
      </c>
    </row>
    <row r="846" spans="1:20" ht="12.75" hidden="1" customHeight="1" outlineLevel="2" x14ac:dyDescent="0.2">
      <c r="A846" s="198" t="str">
        <f>"         "&amp;Labels!B386</f>
        <v xml:space="preserve">         Prof Level 2</v>
      </c>
      <c r="B846" s="258"/>
      <c r="C846" s="258"/>
      <c r="D846" s="258"/>
      <c r="E846" s="258"/>
      <c r="F846" s="258"/>
      <c r="G846" s="258"/>
      <c r="H846" s="258"/>
      <c r="I846" s="258"/>
      <c r="J846" s="258"/>
      <c r="K846" s="258"/>
      <c r="L846" s="258"/>
      <c r="M846" s="258"/>
      <c r="N846" s="258"/>
      <c r="O846" s="258"/>
      <c r="P846" s="258"/>
      <c r="Q846" s="258"/>
      <c r="R846" s="258"/>
      <c r="S846" s="258"/>
      <c r="T846" s="291"/>
    </row>
    <row r="847" spans="1:20" ht="12.75" hidden="1" customHeight="1" outlineLevel="2" x14ac:dyDescent="0.2">
      <c r="A847" s="198" t="str">
        <f>"            "&amp;Labels!B317</f>
        <v xml:space="preserve">            Channels 1</v>
      </c>
      <c r="B847" s="295"/>
      <c r="C847" s="295">
        <f t="shared" ref="C847:T847" si="480">SUM(C767,C807)</f>
        <v>0</v>
      </c>
      <c r="D847" s="295">
        <f t="shared" si="480"/>
        <v>0</v>
      </c>
      <c r="E847" s="295">
        <f t="shared" si="480"/>
        <v>0</v>
      </c>
      <c r="F847" s="295">
        <f t="shared" si="480"/>
        <v>0</v>
      </c>
      <c r="G847" s="295">
        <f t="shared" si="480"/>
        <v>0</v>
      </c>
      <c r="H847" s="295">
        <f t="shared" si="480"/>
        <v>0</v>
      </c>
      <c r="I847" s="295">
        <f t="shared" si="480"/>
        <v>0</v>
      </c>
      <c r="J847" s="295">
        <f t="shared" si="480"/>
        <v>0</v>
      </c>
      <c r="K847" s="295">
        <f t="shared" si="480"/>
        <v>0</v>
      </c>
      <c r="L847" s="295">
        <f t="shared" si="480"/>
        <v>0</v>
      </c>
      <c r="M847" s="295">
        <f t="shared" si="480"/>
        <v>0</v>
      </c>
      <c r="N847" s="295">
        <f t="shared" si="480"/>
        <v>0</v>
      </c>
      <c r="O847" s="295">
        <f t="shared" si="480"/>
        <v>0</v>
      </c>
      <c r="P847" s="295">
        <f t="shared" si="480"/>
        <v>0</v>
      </c>
      <c r="Q847" s="295">
        <f t="shared" si="480"/>
        <v>0</v>
      </c>
      <c r="R847" s="295">
        <f t="shared" si="480"/>
        <v>0</v>
      </c>
      <c r="S847" s="295">
        <f t="shared" si="480"/>
        <v>0</v>
      </c>
      <c r="T847" s="296">
        <f t="shared" si="480"/>
        <v>0</v>
      </c>
    </row>
    <row r="848" spans="1:20" ht="12.75" hidden="1" customHeight="1" outlineLevel="2" x14ac:dyDescent="0.2">
      <c r="A848" s="198" t="str">
        <f>"            "&amp;Labels!B318</f>
        <v xml:space="preserve">            Channels 2</v>
      </c>
      <c r="B848" s="295"/>
      <c r="C848" s="295">
        <f t="shared" ref="C848:T848" si="481">SUM(C768,C808)</f>
        <v>0</v>
      </c>
      <c r="D848" s="295">
        <f t="shared" si="481"/>
        <v>0</v>
      </c>
      <c r="E848" s="295">
        <f t="shared" si="481"/>
        <v>0</v>
      </c>
      <c r="F848" s="295">
        <f t="shared" si="481"/>
        <v>0</v>
      </c>
      <c r="G848" s="295">
        <f t="shared" si="481"/>
        <v>0</v>
      </c>
      <c r="H848" s="295">
        <f t="shared" si="481"/>
        <v>0</v>
      </c>
      <c r="I848" s="295">
        <f t="shared" si="481"/>
        <v>0</v>
      </c>
      <c r="J848" s="295">
        <f t="shared" si="481"/>
        <v>0</v>
      </c>
      <c r="K848" s="295">
        <f t="shared" si="481"/>
        <v>0</v>
      </c>
      <c r="L848" s="295">
        <f t="shared" si="481"/>
        <v>0</v>
      </c>
      <c r="M848" s="295">
        <f t="shared" si="481"/>
        <v>0</v>
      </c>
      <c r="N848" s="295">
        <f t="shared" si="481"/>
        <v>0</v>
      </c>
      <c r="O848" s="295">
        <f t="shared" si="481"/>
        <v>0</v>
      </c>
      <c r="P848" s="295">
        <f t="shared" si="481"/>
        <v>0</v>
      </c>
      <c r="Q848" s="295">
        <f t="shared" si="481"/>
        <v>0</v>
      </c>
      <c r="R848" s="295">
        <f t="shared" si="481"/>
        <v>0</v>
      </c>
      <c r="S848" s="295">
        <f t="shared" si="481"/>
        <v>0</v>
      </c>
      <c r="T848" s="296">
        <f t="shared" si="481"/>
        <v>0</v>
      </c>
    </row>
    <row r="849" spans="1:20" ht="12.75" hidden="1" customHeight="1" outlineLevel="2" x14ac:dyDescent="0.2">
      <c r="A849" s="198" t="str">
        <f>"            "&amp;Labels!C316</f>
        <v xml:space="preserve">            Total</v>
      </c>
      <c r="B849" s="258"/>
      <c r="C849" s="258">
        <f t="shared" ref="C849:T849" si="482">SUM(C769,C809)</f>
        <v>0</v>
      </c>
      <c r="D849" s="258">
        <f t="shared" si="482"/>
        <v>0</v>
      </c>
      <c r="E849" s="258">
        <f t="shared" si="482"/>
        <v>0</v>
      </c>
      <c r="F849" s="258">
        <f t="shared" si="482"/>
        <v>0</v>
      </c>
      <c r="G849" s="258">
        <f t="shared" si="482"/>
        <v>0</v>
      </c>
      <c r="H849" s="258">
        <f t="shared" si="482"/>
        <v>0</v>
      </c>
      <c r="I849" s="258">
        <f t="shared" si="482"/>
        <v>0</v>
      </c>
      <c r="J849" s="258">
        <f t="shared" si="482"/>
        <v>0</v>
      </c>
      <c r="K849" s="258">
        <f t="shared" si="482"/>
        <v>0</v>
      </c>
      <c r="L849" s="258">
        <f t="shared" si="482"/>
        <v>0</v>
      </c>
      <c r="M849" s="258">
        <f t="shared" si="482"/>
        <v>0</v>
      </c>
      <c r="N849" s="258">
        <f t="shared" si="482"/>
        <v>0</v>
      </c>
      <c r="O849" s="258">
        <f t="shared" si="482"/>
        <v>0</v>
      </c>
      <c r="P849" s="258">
        <f t="shared" si="482"/>
        <v>0</v>
      </c>
      <c r="Q849" s="258">
        <f t="shared" si="482"/>
        <v>0</v>
      </c>
      <c r="R849" s="258">
        <f t="shared" si="482"/>
        <v>0</v>
      </c>
      <c r="S849" s="258">
        <f t="shared" si="482"/>
        <v>0</v>
      </c>
      <c r="T849" s="291">
        <f t="shared" si="482"/>
        <v>0</v>
      </c>
    </row>
    <row r="850" spans="1:20" ht="12.75" hidden="1" customHeight="1" outlineLevel="2" x14ac:dyDescent="0.2">
      <c r="A850" s="198" t="str">
        <f>"         "&amp;Labels!C384</f>
        <v xml:space="preserve">         Total</v>
      </c>
      <c r="B850" s="258"/>
      <c r="C850" s="258">
        <f t="shared" ref="C850:T850" si="483">SUM(C770,C810)</f>
        <v>0</v>
      </c>
      <c r="D850" s="258">
        <f t="shared" si="483"/>
        <v>0</v>
      </c>
      <c r="E850" s="258">
        <f t="shared" si="483"/>
        <v>0</v>
      </c>
      <c r="F850" s="258">
        <f t="shared" si="483"/>
        <v>0</v>
      </c>
      <c r="G850" s="258">
        <f t="shared" si="483"/>
        <v>0</v>
      </c>
      <c r="H850" s="258">
        <f t="shared" si="483"/>
        <v>0</v>
      </c>
      <c r="I850" s="258">
        <f t="shared" si="483"/>
        <v>0</v>
      </c>
      <c r="J850" s="258">
        <f t="shared" si="483"/>
        <v>0</v>
      </c>
      <c r="K850" s="258">
        <f t="shared" si="483"/>
        <v>0</v>
      </c>
      <c r="L850" s="258">
        <f t="shared" si="483"/>
        <v>0</v>
      </c>
      <c r="M850" s="258">
        <f t="shared" si="483"/>
        <v>0</v>
      </c>
      <c r="N850" s="258">
        <f t="shared" si="483"/>
        <v>0</v>
      </c>
      <c r="O850" s="258">
        <f t="shared" si="483"/>
        <v>0</v>
      </c>
      <c r="P850" s="258">
        <f t="shared" si="483"/>
        <v>0</v>
      </c>
      <c r="Q850" s="258">
        <f t="shared" si="483"/>
        <v>0</v>
      </c>
      <c r="R850" s="258">
        <f t="shared" si="483"/>
        <v>0</v>
      </c>
      <c r="S850" s="258">
        <f t="shared" si="483"/>
        <v>0</v>
      </c>
      <c r="T850" s="291">
        <f t="shared" si="483"/>
        <v>0</v>
      </c>
    </row>
    <row r="851" spans="1:20" ht="12.75" hidden="1" customHeight="1" outlineLevel="2" x14ac:dyDescent="0.2">
      <c r="A851" s="198" t="str">
        <f>"            "&amp;Labels!B317</f>
        <v xml:space="preserve">            Channels 1</v>
      </c>
      <c r="B851" s="295"/>
      <c r="C851" s="295">
        <f t="shared" ref="C851:T851" si="484">SUM(C771,C811)</f>
        <v>0</v>
      </c>
      <c r="D851" s="295">
        <f t="shared" si="484"/>
        <v>0</v>
      </c>
      <c r="E851" s="295">
        <f t="shared" si="484"/>
        <v>0</v>
      </c>
      <c r="F851" s="295">
        <f t="shared" si="484"/>
        <v>0</v>
      </c>
      <c r="G851" s="295">
        <f t="shared" si="484"/>
        <v>0</v>
      </c>
      <c r="H851" s="295">
        <f t="shared" si="484"/>
        <v>0</v>
      </c>
      <c r="I851" s="295">
        <f t="shared" si="484"/>
        <v>0</v>
      </c>
      <c r="J851" s="295">
        <f t="shared" si="484"/>
        <v>0</v>
      </c>
      <c r="K851" s="295">
        <f t="shared" si="484"/>
        <v>0</v>
      </c>
      <c r="L851" s="295">
        <f t="shared" si="484"/>
        <v>0</v>
      </c>
      <c r="M851" s="295">
        <f t="shared" si="484"/>
        <v>0</v>
      </c>
      <c r="N851" s="295">
        <f t="shared" si="484"/>
        <v>0</v>
      </c>
      <c r="O851" s="295">
        <f t="shared" si="484"/>
        <v>0</v>
      </c>
      <c r="P851" s="295">
        <f t="shared" si="484"/>
        <v>0</v>
      </c>
      <c r="Q851" s="295">
        <f t="shared" si="484"/>
        <v>0</v>
      </c>
      <c r="R851" s="295">
        <f t="shared" si="484"/>
        <v>0</v>
      </c>
      <c r="S851" s="295">
        <f t="shared" si="484"/>
        <v>0</v>
      </c>
      <c r="T851" s="296">
        <f t="shared" si="484"/>
        <v>0</v>
      </c>
    </row>
    <row r="852" spans="1:20" ht="12.75" hidden="1" customHeight="1" outlineLevel="2" x14ac:dyDescent="0.2">
      <c r="A852" s="198" t="str">
        <f>"            "&amp;Labels!B318</f>
        <v xml:space="preserve">            Channels 2</v>
      </c>
      <c r="B852" s="295"/>
      <c r="C852" s="295">
        <f t="shared" ref="C852:T852" si="485">SUM(C772,C812)</f>
        <v>0</v>
      </c>
      <c r="D852" s="295">
        <f t="shared" si="485"/>
        <v>0</v>
      </c>
      <c r="E852" s="295">
        <f t="shared" si="485"/>
        <v>0</v>
      </c>
      <c r="F852" s="295">
        <f t="shared" si="485"/>
        <v>0</v>
      </c>
      <c r="G852" s="295">
        <f t="shared" si="485"/>
        <v>0</v>
      </c>
      <c r="H852" s="295">
        <f t="shared" si="485"/>
        <v>0</v>
      </c>
      <c r="I852" s="295">
        <f t="shared" si="485"/>
        <v>0</v>
      </c>
      <c r="J852" s="295">
        <f t="shared" si="485"/>
        <v>0</v>
      </c>
      <c r="K852" s="295">
        <f t="shared" si="485"/>
        <v>0</v>
      </c>
      <c r="L852" s="295">
        <f t="shared" si="485"/>
        <v>0</v>
      </c>
      <c r="M852" s="295">
        <f t="shared" si="485"/>
        <v>0</v>
      </c>
      <c r="N852" s="295">
        <f t="shared" si="485"/>
        <v>0</v>
      </c>
      <c r="O852" s="295">
        <f t="shared" si="485"/>
        <v>0</v>
      </c>
      <c r="P852" s="295">
        <f t="shared" si="485"/>
        <v>0</v>
      </c>
      <c r="Q852" s="295">
        <f t="shared" si="485"/>
        <v>0</v>
      </c>
      <c r="R852" s="295">
        <f t="shared" si="485"/>
        <v>0</v>
      </c>
      <c r="S852" s="295">
        <f t="shared" si="485"/>
        <v>0</v>
      </c>
      <c r="T852" s="296">
        <f t="shared" si="485"/>
        <v>0</v>
      </c>
    </row>
    <row r="853" spans="1:20" ht="12.75" hidden="1" customHeight="1" outlineLevel="2" x14ac:dyDescent="0.2">
      <c r="A853" s="198" t="str">
        <f>"            "&amp;Labels!C316</f>
        <v xml:space="preserve">            Total</v>
      </c>
      <c r="B853" s="258"/>
      <c r="C853" s="258">
        <f t="shared" ref="C853:T853" si="486">SUM(C770,C810)</f>
        <v>0</v>
      </c>
      <c r="D853" s="258">
        <f t="shared" si="486"/>
        <v>0</v>
      </c>
      <c r="E853" s="258">
        <f t="shared" si="486"/>
        <v>0</v>
      </c>
      <c r="F853" s="258">
        <f t="shared" si="486"/>
        <v>0</v>
      </c>
      <c r="G853" s="258">
        <f t="shared" si="486"/>
        <v>0</v>
      </c>
      <c r="H853" s="258">
        <f t="shared" si="486"/>
        <v>0</v>
      </c>
      <c r="I853" s="258">
        <f t="shared" si="486"/>
        <v>0</v>
      </c>
      <c r="J853" s="258">
        <f t="shared" si="486"/>
        <v>0</v>
      </c>
      <c r="K853" s="258">
        <f t="shared" si="486"/>
        <v>0</v>
      </c>
      <c r="L853" s="258">
        <f t="shared" si="486"/>
        <v>0</v>
      </c>
      <c r="M853" s="258">
        <f t="shared" si="486"/>
        <v>0</v>
      </c>
      <c r="N853" s="258">
        <f t="shared" si="486"/>
        <v>0</v>
      </c>
      <c r="O853" s="258">
        <f t="shared" si="486"/>
        <v>0</v>
      </c>
      <c r="P853" s="258">
        <f t="shared" si="486"/>
        <v>0</v>
      </c>
      <c r="Q853" s="258">
        <f t="shared" si="486"/>
        <v>0</v>
      </c>
      <c r="R853" s="258">
        <f t="shared" si="486"/>
        <v>0</v>
      </c>
      <c r="S853" s="258">
        <f t="shared" si="486"/>
        <v>0</v>
      </c>
      <c r="T853" s="291">
        <f t="shared" si="486"/>
        <v>0</v>
      </c>
    </row>
    <row r="854" spans="1:20" ht="12.75" hidden="1" customHeight="1" outlineLevel="2" x14ac:dyDescent="0.2">
      <c r="A854" s="188" t="str">
        <f>"      "&amp;Labels!C380</f>
        <v xml:space="preserve">      Total</v>
      </c>
      <c r="B854" s="256"/>
      <c r="C854" s="256">
        <f t="shared" ref="C854:T854" si="487">SUM(C774,C814)</f>
        <v>0</v>
      </c>
      <c r="D854" s="256">
        <f t="shared" si="487"/>
        <v>0</v>
      </c>
      <c r="E854" s="256">
        <f t="shared" si="487"/>
        <v>0</v>
      </c>
      <c r="F854" s="256">
        <f t="shared" si="487"/>
        <v>0</v>
      </c>
      <c r="G854" s="256">
        <f t="shared" si="487"/>
        <v>0</v>
      </c>
      <c r="H854" s="256">
        <f t="shared" si="487"/>
        <v>0</v>
      </c>
      <c r="I854" s="256">
        <f t="shared" si="487"/>
        <v>0</v>
      </c>
      <c r="J854" s="256">
        <f t="shared" si="487"/>
        <v>0</v>
      </c>
      <c r="K854" s="256">
        <f t="shared" si="487"/>
        <v>0</v>
      </c>
      <c r="L854" s="256">
        <f t="shared" si="487"/>
        <v>0</v>
      </c>
      <c r="M854" s="256">
        <f t="shared" si="487"/>
        <v>0</v>
      </c>
      <c r="N854" s="256">
        <f t="shared" si="487"/>
        <v>0</v>
      </c>
      <c r="O854" s="256">
        <f t="shared" si="487"/>
        <v>0</v>
      </c>
      <c r="P854" s="256">
        <f t="shared" si="487"/>
        <v>0</v>
      </c>
      <c r="Q854" s="256">
        <f t="shared" si="487"/>
        <v>0</v>
      </c>
      <c r="R854" s="256">
        <f t="shared" si="487"/>
        <v>0</v>
      </c>
      <c r="S854" s="256">
        <f t="shared" si="487"/>
        <v>0</v>
      </c>
      <c r="T854" s="290">
        <f t="shared" si="487"/>
        <v>0</v>
      </c>
    </row>
    <row r="855" spans="1:20" ht="12.75" hidden="1" customHeight="1" outlineLevel="2" x14ac:dyDescent="0.2">
      <c r="A855" s="198" t="str">
        <f>"         "&amp;Labels!B385</f>
        <v xml:space="preserve">         Prof Level 1</v>
      </c>
      <c r="B855" s="258"/>
      <c r="C855" s="258"/>
      <c r="D855" s="258"/>
      <c r="E855" s="258"/>
      <c r="F855" s="258"/>
      <c r="G855" s="258"/>
      <c r="H855" s="258"/>
      <c r="I855" s="258"/>
      <c r="J855" s="258"/>
      <c r="K855" s="258"/>
      <c r="L855" s="258"/>
      <c r="M855" s="258"/>
      <c r="N855" s="258"/>
      <c r="O855" s="258"/>
      <c r="P855" s="258"/>
      <c r="Q855" s="258"/>
      <c r="R855" s="258"/>
      <c r="S855" s="258"/>
      <c r="T855" s="291"/>
    </row>
    <row r="856" spans="1:20" ht="12.75" hidden="1" customHeight="1" outlineLevel="2" x14ac:dyDescent="0.2">
      <c r="A856" s="198" t="str">
        <f>"            "&amp;Labels!B317</f>
        <v xml:space="preserve">            Channels 1</v>
      </c>
      <c r="B856" s="295"/>
      <c r="C856" s="295">
        <f t="shared" ref="C856:T856" si="488">SUM(C776,C816)</f>
        <v>0</v>
      </c>
      <c r="D856" s="295">
        <f t="shared" si="488"/>
        <v>0</v>
      </c>
      <c r="E856" s="295">
        <f t="shared" si="488"/>
        <v>0</v>
      </c>
      <c r="F856" s="295">
        <f t="shared" si="488"/>
        <v>0</v>
      </c>
      <c r="G856" s="295">
        <f t="shared" si="488"/>
        <v>0</v>
      </c>
      <c r="H856" s="295">
        <f t="shared" si="488"/>
        <v>0</v>
      </c>
      <c r="I856" s="295">
        <f t="shared" si="488"/>
        <v>0</v>
      </c>
      <c r="J856" s="295">
        <f t="shared" si="488"/>
        <v>0</v>
      </c>
      <c r="K856" s="295">
        <f t="shared" si="488"/>
        <v>0</v>
      </c>
      <c r="L856" s="295">
        <f t="shared" si="488"/>
        <v>0</v>
      </c>
      <c r="M856" s="295">
        <f t="shared" si="488"/>
        <v>0</v>
      </c>
      <c r="N856" s="295">
        <f t="shared" si="488"/>
        <v>0</v>
      </c>
      <c r="O856" s="295">
        <f t="shared" si="488"/>
        <v>0</v>
      </c>
      <c r="P856" s="295">
        <f t="shared" si="488"/>
        <v>0</v>
      </c>
      <c r="Q856" s="295">
        <f t="shared" si="488"/>
        <v>0</v>
      </c>
      <c r="R856" s="295">
        <f t="shared" si="488"/>
        <v>0</v>
      </c>
      <c r="S856" s="295">
        <f t="shared" si="488"/>
        <v>0</v>
      </c>
      <c r="T856" s="296">
        <f t="shared" si="488"/>
        <v>0</v>
      </c>
    </row>
    <row r="857" spans="1:20" ht="12.75" hidden="1" customHeight="1" outlineLevel="2" x14ac:dyDescent="0.2">
      <c r="A857" s="198" t="str">
        <f>"            "&amp;Labels!B318</f>
        <v xml:space="preserve">            Channels 2</v>
      </c>
      <c r="B857" s="295"/>
      <c r="C857" s="295">
        <f t="shared" ref="C857:T857" si="489">SUM(C777,C817)</f>
        <v>0</v>
      </c>
      <c r="D857" s="295">
        <f t="shared" si="489"/>
        <v>0</v>
      </c>
      <c r="E857" s="295">
        <f t="shared" si="489"/>
        <v>0</v>
      </c>
      <c r="F857" s="295">
        <f t="shared" si="489"/>
        <v>0</v>
      </c>
      <c r="G857" s="295">
        <f t="shared" si="489"/>
        <v>0</v>
      </c>
      <c r="H857" s="295">
        <f t="shared" si="489"/>
        <v>0</v>
      </c>
      <c r="I857" s="295">
        <f t="shared" si="489"/>
        <v>0</v>
      </c>
      <c r="J857" s="295">
        <f t="shared" si="489"/>
        <v>0</v>
      </c>
      <c r="K857" s="295">
        <f t="shared" si="489"/>
        <v>0</v>
      </c>
      <c r="L857" s="295">
        <f t="shared" si="489"/>
        <v>0</v>
      </c>
      <c r="M857" s="295">
        <f t="shared" si="489"/>
        <v>0</v>
      </c>
      <c r="N857" s="295">
        <f t="shared" si="489"/>
        <v>0</v>
      </c>
      <c r="O857" s="295">
        <f t="shared" si="489"/>
        <v>0</v>
      </c>
      <c r="P857" s="295">
        <f t="shared" si="489"/>
        <v>0</v>
      </c>
      <c r="Q857" s="295">
        <f t="shared" si="489"/>
        <v>0</v>
      </c>
      <c r="R857" s="295">
        <f t="shared" si="489"/>
        <v>0</v>
      </c>
      <c r="S857" s="295">
        <f t="shared" si="489"/>
        <v>0</v>
      </c>
      <c r="T857" s="296">
        <f t="shared" si="489"/>
        <v>0</v>
      </c>
    </row>
    <row r="858" spans="1:20" ht="12.75" hidden="1" customHeight="1" outlineLevel="2" x14ac:dyDescent="0.2">
      <c r="A858" s="198" t="str">
        <f>"            "&amp;Labels!C316</f>
        <v xml:space="preserve">            Total</v>
      </c>
      <c r="B858" s="258"/>
      <c r="C858" s="258">
        <f t="shared" ref="C858:T858" si="490">SUM(C778,C818)</f>
        <v>0</v>
      </c>
      <c r="D858" s="258">
        <f t="shared" si="490"/>
        <v>0</v>
      </c>
      <c r="E858" s="258">
        <f t="shared" si="490"/>
        <v>0</v>
      </c>
      <c r="F858" s="258">
        <f t="shared" si="490"/>
        <v>0</v>
      </c>
      <c r="G858" s="258">
        <f t="shared" si="490"/>
        <v>0</v>
      </c>
      <c r="H858" s="258">
        <f t="shared" si="490"/>
        <v>0</v>
      </c>
      <c r="I858" s="258">
        <f t="shared" si="490"/>
        <v>0</v>
      </c>
      <c r="J858" s="258">
        <f t="shared" si="490"/>
        <v>0</v>
      </c>
      <c r="K858" s="258">
        <f t="shared" si="490"/>
        <v>0</v>
      </c>
      <c r="L858" s="258">
        <f t="shared" si="490"/>
        <v>0</v>
      </c>
      <c r="M858" s="258">
        <f t="shared" si="490"/>
        <v>0</v>
      </c>
      <c r="N858" s="258">
        <f t="shared" si="490"/>
        <v>0</v>
      </c>
      <c r="O858" s="258">
        <f t="shared" si="490"/>
        <v>0</v>
      </c>
      <c r="P858" s="258">
        <f t="shared" si="490"/>
        <v>0</v>
      </c>
      <c r="Q858" s="258">
        <f t="shared" si="490"/>
        <v>0</v>
      </c>
      <c r="R858" s="258">
        <f t="shared" si="490"/>
        <v>0</v>
      </c>
      <c r="S858" s="258">
        <f t="shared" si="490"/>
        <v>0</v>
      </c>
      <c r="T858" s="291">
        <f t="shared" si="490"/>
        <v>0</v>
      </c>
    </row>
    <row r="859" spans="1:20" ht="12.75" hidden="1" customHeight="1" outlineLevel="2" x14ac:dyDescent="0.2">
      <c r="A859" s="198" t="str">
        <f>"         "&amp;Labels!B386</f>
        <v xml:space="preserve">         Prof Level 2</v>
      </c>
      <c r="B859" s="258"/>
      <c r="C859" s="258"/>
      <c r="D859" s="258"/>
      <c r="E859" s="258"/>
      <c r="F859" s="258"/>
      <c r="G859" s="258"/>
      <c r="H859" s="258"/>
      <c r="I859" s="258"/>
      <c r="J859" s="258"/>
      <c r="K859" s="258"/>
      <c r="L859" s="258"/>
      <c r="M859" s="258"/>
      <c r="N859" s="258"/>
      <c r="O859" s="258"/>
      <c r="P859" s="258"/>
      <c r="Q859" s="258"/>
      <c r="R859" s="258"/>
      <c r="S859" s="258"/>
      <c r="T859" s="291"/>
    </row>
    <row r="860" spans="1:20" ht="12.75" hidden="1" customHeight="1" outlineLevel="2" x14ac:dyDescent="0.2">
      <c r="A860" s="198" t="str">
        <f>"            "&amp;Labels!B317</f>
        <v xml:space="preserve">            Channels 1</v>
      </c>
      <c r="B860" s="295"/>
      <c r="C860" s="295">
        <f t="shared" ref="C860:T860" si="491">SUM(C780,C820)</f>
        <v>0</v>
      </c>
      <c r="D860" s="295">
        <f t="shared" si="491"/>
        <v>0</v>
      </c>
      <c r="E860" s="295">
        <f t="shared" si="491"/>
        <v>0</v>
      </c>
      <c r="F860" s="295">
        <f t="shared" si="491"/>
        <v>0</v>
      </c>
      <c r="G860" s="295">
        <f t="shared" si="491"/>
        <v>0</v>
      </c>
      <c r="H860" s="295">
        <f t="shared" si="491"/>
        <v>0</v>
      </c>
      <c r="I860" s="295">
        <f t="shared" si="491"/>
        <v>0</v>
      </c>
      <c r="J860" s="295">
        <f t="shared" si="491"/>
        <v>0</v>
      </c>
      <c r="K860" s="295">
        <f t="shared" si="491"/>
        <v>0</v>
      </c>
      <c r="L860" s="295">
        <f t="shared" si="491"/>
        <v>0</v>
      </c>
      <c r="M860" s="295">
        <f t="shared" si="491"/>
        <v>0</v>
      </c>
      <c r="N860" s="295">
        <f t="shared" si="491"/>
        <v>0</v>
      </c>
      <c r="O860" s="295">
        <f t="shared" si="491"/>
        <v>0</v>
      </c>
      <c r="P860" s="295">
        <f t="shared" si="491"/>
        <v>0</v>
      </c>
      <c r="Q860" s="295">
        <f t="shared" si="491"/>
        <v>0</v>
      </c>
      <c r="R860" s="295">
        <f t="shared" si="491"/>
        <v>0</v>
      </c>
      <c r="S860" s="295">
        <f t="shared" si="491"/>
        <v>0</v>
      </c>
      <c r="T860" s="296">
        <f t="shared" si="491"/>
        <v>0</v>
      </c>
    </row>
    <row r="861" spans="1:20" ht="12.75" hidden="1" customHeight="1" outlineLevel="2" x14ac:dyDescent="0.2">
      <c r="A861" s="198" t="str">
        <f>"            "&amp;Labels!B318</f>
        <v xml:space="preserve">            Channels 2</v>
      </c>
      <c r="B861" s="295"/>
      <c r="C861" s="295">
        <f t="shared" ref="C861:T861" si="492">SUM(C781,C821)</f>
        <v>0</v>
      </c>
      <c r="D861" s="295">
        <f t="shared" si="492"/>
        <v>0</v>
      </c>
      <c r="E861" s="295">
        <f t="shared" si="492"/>
        <v>0</v>
      </c>
      <c r="F861" s="295">
        <f t="shared" si="492"/>
        <v>0</v>
      </c>
      <c r="G861" s="295">
        <f t="shared" si="492"/>
        <v>0</v>
      </c>
      <c r="H861" s="295">
        <f t="shared" si="492"/>
        <v>0</v>
      </c>
      <c r="I861" s="295">
        <f t="shared" si="492"/>
        <v>0</v>
      </c>
      <c r="J861" s="295">
        <f t="shared" si="492"/>
        <v>0</v>
      </c>
      <c r="K861" s="295">
        <f t="shared" si="492"/>
        <v>0</v>
      </c>
      <c r="L861" s="295">
        <f t="shared" si="492"/>
        <v>0</v>
      </c>
      <c r="M861" s="295">
        <f t="shared" si="492"/>
        <v>0</v>
      </c>
      <c r="N861" s="295">
        <f t="shared" si="492"/>
        <v>0</v>
      </c>
      <c r="O861" s="295">
        <f t="shared" si="492"/>
        <v>0</v>
      </c>
      <c r="P861" s="295">
        <f t="shared" si="492"/>
        <v>0</v>
      </c>
      <c r="Q861" s="295">
        <f t="shared" si="492"/>
        <v>0</v>
      </c>
      <c r="R861" s="295">
        <f t="shared" si="492"/>
        <v>0</v>
      </c>
      <c r="S861" s="295">
        <f t="shared" si="492"/>
        <v>0</v>
      </c>
      <c r="T861" s="296">
        <f t="shared" si="492"/>
        <v>0</v>
      </c>
    </row>
    <row r="862" spans="1:20" ht="12.75" hidden="1" customHeight="1" outlineLevel="2" x14ac:dyDescent="0.2">
      <c r="A862" s="198" t="str">
        <f>"            "&amp;Labels!C316</f>
        <v xml:space="preserve">            Total</v>
      </c>
      <c r="B862" s="258"/>
      <c r="C862" s="258">
        <f t="shared" ref="C862:T862" si="493">SUM(C782,C822)</f>
        <v>0</v>
      </c>
      <c r="D862" s="258">
        <f t="shared" si="493"/>
        <v>0</v>
      </c>
      <c r="E862" s="258">
        <f t="shared" si="493"/>
        <v>0</v>
      </c>
      <c r="F862" s="258">
        <f t="shared" si="493"/>
        <v>0</v>
      </c>
      <c r="G862" s="258">
        <f t="shared" si="493"/>
        <v>0</v>
      </c>
      <c r="H862" s="258">
        <f t="shared" si="493"/>
        <v>0</v>
      </c>
      <c r="I862" s="258">
        <f t="shared" si="493"/>
        <v>0</v>
      </c>
      <c r="J862" s="258">
        <f t="shared" si="493"/>
        <v>0</v>
      </c>
      <c r="K862" s="258">
        <f t="shared" si="493"/>
        <v>0</v>
      </c>
      <c r="L862" s="258">
        <f t="shared" si="493"/>
        <v>0</v>
      </c>
      <c r="M862" s="258">
        <f t="shared" si="493"/>
        <v>0</v>
      </c>
      <c r="N862" s="258">
        <f t="shared" si="493"/>
        <v>0</v>
      </c>
      <c r="O862" s="258">
        <f t="shared" si="493"/>
        <v>0</v>
      </c>
      <c r="P862" s="258">
        <f t="shared" si="493"/>
        <v>0</v>
      </c>
      <c r="Q862" s="258">
        <f t="shared" si="493"/>
        <v>0</v>
      </c>
      <c r="R862" s="258">
        <f t="shared" si="493"/>
        <v>0</v>
      </c>
      <c r="S862" s="258">
        <f t="shared" si="493"/>
        <v>0</v>
      </c>
      <c r="T862" s="291">
        <f t="shared" si="493"/>
        <v>0</v>
      </c>
    </row>
    <row r="863" spans="1:20" ht="12.75" hidden="1" customHeight="1" outlineLevel="2" x14ac:dyDescent="0.2">
      <c r="A863" s="198" t="str">
        <f>"         "&amp;Labels!C384</f>
        <v xml:space="preserve">         Total</v>
      </c>
      <c r="B863" s="258"/>
      <c r="C863" s="258">
        <f t="shared" ref="C863:T863" si="494">SUM(C774,C814)</f>
        <v>0</v>
      </c>
      <c r="D863" s="258">
        <f t="shared" si="494"/>
        <v>0</v>
      </c>
      <c r="E863" s="258">
        <f t="shared" si="494"/>
        <v>0</v>
      </c>
      <c r="F863" s="258">
        <f t="shared" si="494"/>
        <v>0</v>
      </c>
      <c r="G863" s="258">
        <f t="shared" si="494"/>
        <v>0</v>
      </c>
      <c r="H863" s="258">
        <f t="shared" si="494"/>
        <v>0</v>
      </c>
      <c r="I863" s="258">
        <f t="shared" si="494"/>
        <v>0</v>
      </c>
      <c r="J863" s="258">
        <f t="shared" si="494"/>
        <v>0</v>
      </c>
      <c r="K863" s="258">
        <f t="shared" si="494"/>
        <v>0</v>
      </c>
      <c r="L863" s="258">
        <f t="shared" si="494"/>
        <v>0</v>
      </c>
      <c r="M863" s="258">
        <f t="shared" si="494"/>
        <v>0</v>
      </c>
      <c r="N863" s="258">
        <f t="shared" si="494"/>
        <v>0</v>
      </c>
      <c r="O863" s="258">
        <f t="shared" si="494"/>
        <v>0</v>
      </c>
      <c r="P863" s="258">
        <f t="shared" si="494"/>
        <v>0</v>
      </c>
      <c r="Q863" s="258">
        <f t="shared" si="494"/>
        <v>0</v>
      </c>
      <c r="R863" s="258">
        <f t="shared" si="494"/>
        <v>0</v>
      </c>
      <c r="S863" s="258">
        <f t="shared" si="494"/>
        <v>0</v>
      </c>
      <c r="T863" s="291">
        <f t="shared" si="494"/>
        <v>0</v>
      </c>
    </row>
    <row r="864" spans="1:20" ht="12.75" hidden="1" customHeight="1" outlineLevel="2" x14ac:dyDescent="0.2">
      <c r="A864" s="198" t="str">
        <f>"            "&amp;Labels!B317</f>
        <v xml:space="preserve">            Channels 1</v>
      </c>
      <c r="B864" s="295"/>
      <c r="C864" s="295">
        <f t="shared" ref="C864:T864" si="495">SUM(C784,C824)</f>
        <v>0</v>
      </c>
      <c r="D864" s="295">
        <f t="shared" si="495"/>
        <v>0</v>
      </c>
      <c r="E864" s="295">
        <f t="shared" si="495"/>
        <v>0</v>
      </c>
      <c r="F864" s="295">
        <f t="shared" si="495"/>
        <v>0</v>
      </c>
      <c r="G864" s="295">
        <f t="shared" si="495"/>
        <v>0</v>
      </c>
      <c r="H864" s="295">
        <f t="shared" si="495"/>
        <v>0</v>
      </c>
      <c r="I864" s="295">
        <f t="shared" si="495"/>
        <v>0</v>
      </c>
      <c r="J864" s="295">
        <f t="shared" si="495"/>
        <v>0</v>
      </c>
      <c r="K864" s="295">
        <f t="shared" si="495"/>
        <v>0</v>
      </c>
      <c r="L864" s="295">
        <f t="shared" si="495"/>
        <v>0</v>
      </c>
      <c r="M864" s="295">
        <f t="shared" si="495"/>
        <v>0</v>
      </c>
      <c r="N864" s="295">
        <f t="shared" si="495"/>
        <v>0</v>
      </c>
      <c r="O864" s="295">
        <f t="shared" si="495"/>
        <v>0</v>
      </c>
      <c r="P864" s="295">
        <f t="shared" si="495"/>
        <v>0</v>
      </c>
      <c r="Q864" s="295">
        <f t="shared" si="495"/>
        <v>0</v>
      </c>
      <c r="R864" s="295">
        <f t="shared" si="495"/>
        <v>0</v>
      </c>
      <c r="S864" s="295">
        <f t="shared" si="495"/>
        <v>0</v>
      </c>
      <c r="T864" s="296">
        <f t="shared" si="495"/>
        <v>0</v>
      </c>
    </row>
    <row r="865" spans="1:20" ht="12.75" hidden="1" customHeight="1" outlineLevel="2" x14ac:dyDescent="0.2">
      <c r="A865" s="198" t="str">
        <f>"            "&amp;Labels!B318</f>
        <v xml:space="preserve">            Channels 2</v>
      </c>
      <c r="B865" s="295"/>
      <c r="C865" s="295">
        <f t="shared" ref="C865:T865" si="496">SUM(C785,C825)</f>
        <v>0</v>
      </c>
      <c r="D865" s="295">
        <f t="shared" si="496"/>
        <v>0</v>
      </c>
      <c r="E865" s="295">
        <f t="shared" si="496"/>
        <v>0</v>
      </c>
      <c r="F865" s="295">
        <f t="shared" si="496"/>
        <v>0</v>
      </c>
      <c r="G865" s="295">
        <f t="shared" si="496"/>
        <v>0</v>
      </c>
      <c r="H865" s="295">
        <f t="shared" si="496"/>
        <v>0</v>
      </c>
      <c r="I865" s="295">
        <f t="shared" si="496"/>
        <v>0</v>
      </c>
      <c r="J865" s="295">
        <f t="shared" si="496"/>
        <v>0</v>
      </c>
      <c r="K865" s="295">
        <f t="shared" si="496"/>
        <v>0</v>
      </c>
      <c r="L865" s="295">
        <f t="shared" si="496"/>
        <v>0</v>
      </c>
      <c r="M865" s="295">
        <f t="shared" si="496"/>
        <v>0</v>
      </c>
      <c r="N865" s="295">
        <f t="shared" si="496"/>
        <v>0</v>
      </c>
      <c r="O865" s="295">
        <f t="shared" si="496"/>
        <v>0</v>
      </c>
      <c r="P865" s="295">
        <f t="shared" si="496"/>
        <v>0</v>
      </c>
      <c r="Q865" s="295">
        <f t="shared" si="496"/>
        <v>0</v>
      </c>
      <c r="R865" s="295">
        <f t="shared" si="496"/>
        <v>0</v>
      </c>
      <c r="S865" s="295">
        <f t="shared" si="496"/>
        <v>0</v>
      </c>
      <c r="T865" s="296">
        <f t="shared" si="496"/>
        <v>0</v>
      </c>
    </row>
    <row r="866" spans="1:20" ht="12.75" hidden="1" customHeight="1" outlineLevel="2" x14ac:dyDescent="0.2">
      <c r="A866" s="230" t="str">
        <f>"            "&amp;Labels!C316</f>
        <v xml:space="preserve">            Total</v>
      </c>
      <c r="B866" s="292"/>
      <c r="C866" s="292">
        <f t="shared" ref="C866:T866" si="497">SUM(C774,C814)</f>
        <v>0</v>
      </c>
      <c r="D866" s="292">
        <f t="shared" si="497"/>
        <v>0</v>
      </c>
      <c r="E866" s="292">
        <f t="shared" si="497"/>
        <v>0</v>
      </c>
      <c r="F866" s="292">
        <f t="shared" si="497"/>
        <v>0</v>
      </c>
      <c r="G866" s="292">
        <f t="shared" si="497"/>
        <v>0</v>
      </c>
      <c r="H866" s="292">
        <f t="shared" si="497"/>
        <v>0</v>
      </c>
      <c r="I866" s="292">
        <f t="shared" si="497"/>
        <v>0</v>
      </c>
      <c r="J866" s="292">
        <f t="shared" si="497"/>
        <v>0</v>
      </c>
      <c r="K866" s="292">
        <f t="shared" si="497"/>
        <v>0</v>
      </c>
      <c r="L866" s="292">
        <f t="shared" si="497"/>
        <v>0</v>
      </c>
      <c r="M866" s="292">
        <f t="shared" si="497"/>
        <v>0</v>
      </c>
      <c r="N866" s="292">
        <f t="shared" si="497"/>
        <v>0</v>
      </c>
      <c r="O866" s="292">
        <f t="shared" si="497"/>
        <v>0</v>
      </c>
      <c r="P866" s="292">
        <f t="shared" si="497"/>
        <v>0</v>
      </c>
      <c r="Q866" s="292">
        <f t="shared" si="497"/>
        <v>0</v>
      </c>
      <c r="R866" s="292">
        <f t="shared" si="497"/>
        <v>0</v>
      </c>
      <c r="S866" s="292">
        <f t="shared" si="497"/>
        <v>0</v>
      </c>
      <c r="T866" s="293">
        <f t="shared" si="497"/>
        <v>0</v>
      </c>
    </row>
    <row r="867" spans="1:20" ht="12.75" hidden="1" customHeight="1" outlineLevel="2" collapsed="1" x14ac:dyDescent="0.2"/>
    <row r="868" spans="1:20" ht="12.75" hidden="1" customHeight="1" outlineLevel="1" collapsed="1" x14ac:dyDescent="0.2">
      <c r="A868" t="s">
        <v>3402</v>
      </c>
      <c r="B868" t="s">
        <v>3402</v>
      </c>
      <c r="C868" t="s">
        <v>3402</v>
      </c>
      <c r="D868" t="s">
        <v>3402</v>
      </c>
      <c r="E868" t="s">
        <v>3402</v>
      </c>
      <c r="F868" t="s">
        <v>3402</v>
      </c>
      <c r="G868" t="s">
        <v>3402</v>
      </c>
      <c r="H868" t="s">
        <v>3402</v>
      </c>
      <c r="I868" t="s">
        <v>3402</v>
      </c>
      <c r="J868" t="s">
        <v>3402</v>
      </c>
      <c r="K868" t="s">
        <v>3402</v>
      </c>
      <c r="L868" t="s">
        <v>3402</v>
      </c>
      <c r="M868" t="s">
        <v>3402</v>
      </c>
      <c r="N868" t="s">
        <v>3402</v>
      </c>
      <c r="O868" t="s">
        <v>3402</v>
      </c>
      <c r="P868" t="s">
        <v>3402</v>
      </c>
      <c r="Q868" t="s">
        <v>3402</v>
      </c>
      <c r="R868" t="s">
        <v>3402</v>
      </c>
      <c r="S868" t="s">
        <v>3402</v>
      </c>
      <c r="T868" t="s">
        <v>3402</v>
      </c>
    </row>
    <row r="869" spans="1:20" ht="12.75" customHeight="1" collapsed="1" x14ac:dyDescent="0.2"/>
  </sheetData>
  <mergeCells count="13">
    <mergeCell ref="A378:B378"/>
    <mergeCell ref="A158:C158"/>
    <mergeCell ref="A207:B207"/>
    <mergeCell ref="A208:B208"/>
    <mergeCell ref="A292:B292"/>
    <mergeCell ref="A293:B293"/>
    <mergeCell ref="A377:B377"/>
    <mergeCell ref="A43:C43"/>
    <mergeCell ref="A1:C1"/>
    <mergeCell ref="A2:C2"/>
    <mergeCell ref="A3:C3"/>
    <mergeCell ref="A4:C4"/>
    <mergeCell ref="A8:B8"/>
  </mergeCells>
  <pageMargins left="0.25" right="0.25" top="0.5" bottom="0.5" header="0.5" footer="0.5"/>
  <pageSetup paperSize="9" fitToHeight="32767" orientation="landscape" horizontalDpi="300" verticalDpi="300"/>
  <headerFooter alignWithMargins="0"/>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pageSetUpPr fitToPage="1"/>
  </sheetPr>
  <dimension ref="A1:Y305"/>
  <sheetViews>
    <sheetView zoomScaleNormal="100" workbookViewId="0">
      <selection sqref="A1:C1"/>
    </sheetView>
  </sheetViews>
  <sheetFormatPr defaultRowHeight="12.75" customHeight="1" outlineLevelRow="1" x14ac:dyDescent="0.2"/>
  <cols>
    <col min="1" max="1" width="20" customWidth="1"/>
    <col min="2" max="25" width="12.42578125" customWidth="1"/>
  </cols>
  <sheetData>
    <row r="1" spans="1:25" ht="12.75" customHeight="1" x14ac:dyDescent="0.2">
      <c r="A1" s="463" t="str">
        <f>Inputs!F7</f>
        <v xml:space="preserve"> </v>
      </c>
      <c r="B1" s="463"/>
      <c r="C1" s="463"/>
    </row>
    <row r="2" spans="1:25" ht="12.75" customHeight="1" x14ac:dyDescent="0.2">
      <c r="A2" s="463" t="e">
        <f>TEXT('(FnCalls 1)'!A41,"m/d/yyyy")&amp;" to "&amp;TEXT('(FnCalls 1)'!A59-1,"m/d/yyyy")</f>
        <v>#VALUE!</v>
      </c>
      <c r="B2" s="463"/>
      <c r="C2" s="463"/>
    </row>
    <row r="3" spans="1:25" ht="12.75" customHeight="1" x14ac:dyDescent="0.2">
      <c r="A3" s="463" t="str">
        <f>"Sales Detail"</f>
        <v>Sales Detail</v>
      </c>
      <c r="B3" s="463"/>
      <c r="C3" s="463"/>
    </row>
    <row r="4" spans="1:25" ht="12.75" customHeight="1" x14ac:dyDescent="0.2">
      <c r="A4" s="463" t="str">
        <f>" "</f>
        <v xml:space="preserve"> </v>
      </c>
      <c r="B4" s="463"/>
      <c r="C4" s="463"/>
    </row>
    <row r="5" spans="1:25" ht="12.75" customHeight="1" x14ac:dyDescent="0.2">
      <c r="A5" s="464" t="str">
        <f>"Summary by Practice Area"</f>
        <v>Summary by Practice Area</v>
      </c>
      <c r="B5" s="464"/>
    </row>
    <row r="6" spans="1:25" ht="12.75" customHeight="1" x14ac:dyDescent="0.2">
      <c r="A6" s="1" t="str">
        <f>" "</f>
        <v xml:space="preserve"> </v>
      </c>
    </row>
    <row r="7" spans="1:25" ht="12.75" customHeight="1" x14ac:dyDescent="0.2">
      <c r="B7" s="9" t="str">
        <f>'(FnCalls 1)'!F41</f>
        <v>MMM 2010</v>
      </c>
      <c r="C7" s="10" t="str">
        <f>'(FnCalls 1)'!F42</f>
        <v>MMM 2010</v>
      </c>
      <c r="D7" s="10" t="str">
        <f>'(FnCalls 1)'!F43</f>
        <v>MMM 2010</v>
      </c>
      <c r="E7" s="181" t="str">
        <f>'(FnCalls 1)'!G41</f>
        <v>Q1 2010</v>
      </c>
      <c r="F7" s="10" t="str">
        <f>'(FnCalls 1)'!F44</f>
        <v>MMM 2010</v>
      </c>
      <c r="G7" s="10" t="str">
        <f>'(FnCalls 1)'!F45</f>
        <v>MMM 2010</v>
      </c>
      <c r="H7" s="10" t="str">
        <f>'(FnCalls 1)'!F46</f>
        <v>MMM 2010</v>
      </c>
      <c r="I7" s="181" t="str">
        <f>'(FnCalls 1)'!G44</f>
        <v>Q2 2010</v>
      </c>
      <c r="J7" s="10" t="str">
        <f>'(FnCalls 1)'!F47</f>
        <v>MMM 2010</v>
      </c>
      <c r="K7" s="10" t="str">
        <f>'(FnCalls 1)'!F48</f>
        <v>MMM 2010</v>
      </c>
      <c r="L7" s="10" t="str">
        <f>'(FnCalls 1)'!F49</f>
        <v>MMM 2010</v>
      </c>
      <c r="M7" s="181" t="str">
        <f>'(FnCalls 1)'!G47</f>
        <v>Q3 2010</v>
      </c>
      <c r="N7" s="10" t="str">
        <f>'(FnCalls 1)'!F50</f>
        <v>MMM 2010</v>
      </c>
      <c r="O7" s="10" t="str">
        <f>'(FnCalls 1)'!F51</f>
        <v>MMM 2010</v>
      </c>
      <c r="P7" s="10" t="str">
        <f>'(FnCalls 1)'!F52</f>
        <v>MMM 2010</v>
      </c>
      <c r="Q7" s="181" t="str">
        <f>'(FnCalls 1)'!G50</f>
        <v>Q4 2010</v>
      </c>
      <c r="R7" s="10" t="str">
        <f>'(FnCalls 1)'!F53</f>
        <v>MMM 2011</v>
      </c>
      <c r="S7" s="10" t="str">
        <f>'(FnCalls 1)'!F54</f>
        <v>MMM 2011</v>
      </c>
      <c r="T7" s="10" t="str">
        <f>'(FnCalls 1)'!F55</f>
        <v>MMM 2011</v>
      </c>
      <c r="U7" s="181" t="str">
        <f>'(FnCalls 1)'!G53</f>
        <v>Q1 2011</v>
      </c>
      <c r="V7" s="10" t="str">
        <f>'(FnCalls 1)'!F56</f>
        <v>MMM 2011</v>
      </c>
      <c r="W7" s="10" t="str">
        <f>'(FnCalls 1)'!F57</f>
        <v>MMM 2011</v>
      </c>
      <c r="X7" s="10" t="str">
        <f>'(FnCalls 1)'!F58</f>
        <v>MMM 2011</v>
      </c>
      <c r="Y7" s="181" t="str">
        <f>'(FnCalls 1)'!G56</f>
        <v>Q2 2011</v>
      </c>
    </row>
    <row r="8" spans="1:25" ht="12.75" customHeight="1" x14ac:dyDescent="0.2">
      <c r="A8" s="182" t="str">
        <f>Labels!B226</f>
        <v>Revenue</v>
      </c>
      <c r="B8" s="183"/>
      <c r="C8" s="183"/>
      <c r="D8" s="183"/>
      <c r="E8" s="184"/>
      <c r="F8" s="183"/>
      <c r="G8" s="183"/>
      <c r="H8" s="183"/>
      <c r="I8" s="184"/>
      <c r="J8" s="183"/>
      <c r="K8" s="183"/>
      <c r="L8" s="183"/>
      <c r="M8" s="184"/>
      <c r="N8" s="183"/>
      <c r="O8" s="183"/>
      <c r="P8" s="183"/>
      <c r="Q8" s="184"/>
      <c r="R8" s="183"/>
      <c r="S8" s="183"/>
      <c r="T8" s="183"/>
      <c r="U8" s="184"/>
      <c r="V8" s="183"/>
      <c r="W8" s="183"/>
      <c r="X8" s="183"/>
      <c r="Y8" s="184"/>
    </row>
    <row r="9" spans="1:25" ht="12.75" customHeight="1" x14ac:dyDescent="0.2">
      <c r="A9" s="188" t="str">
        <f>"   "&amp;Labels!B381</f>
        <v xml:space="preserve">   Practice 1</v>
      </c>
      <c r="B9" s="196">
        <f>SUM(B75:B76)</f>
        <v>0</v>
      </c>
      <c r="C9" s="196">
        <f>SUM(C75:C76)</f>
        <v>0</v>
      </c>
      <c r="D9" s="196">
        <f>SUM(D75:D76)</f>
        <v>112750</v>
      </c>
      <c r="E9" s="197">
        <f>SUM(B9:D9)</f>
        <v>112750</v>
      </c>
      <c r="F9" s="196">
        <f>SUM(F75:F76)</f>
        <v>112750</v>
      </c>
      <c r="G9" s="196">
        <f>SUM(G75:G76)</f>
        <v>0</v>
      </c>
      <c r="H9" s="196">
        <f>SUM(H75:H76)</f>
        <v>82000</v>
      </c>
      <c r="I9" s="197">
        <f>SUM(F9:H9)</f>
        <v>194750</v>
      </c>
      <c r="J9" s="196">
        <f>SUM(J75:J76)</f>
        <v>82000</v>
      </c>
      <c r="K9" s="196">
        <f>SUM(K75:K76)</f>
        <v>82000</v>
      </c>
      <c r="L9" s="196">
        <f>SUM(L75:L76)</f>
        <v>0</v>
      </c>
      <c r="M9" s="197">
        <f>SUM(J9:L9)</f>
        <v>164000</v>
      </c>
      <c r="N9" s="196">
        <f>SUM(N75:N76)</f>
        <v>0</v>
      </c>
      <c r="O9" s="196">
        <f>SUM(O75:O76)</f>
        <v>0</v>
      </c>
      <c r="P9" s="196">
        <f>SUM(P75:P76)</f>
        <v>0</v>
      </c>
      <c r="Q9" s="197">
        <f>SUM(N9:P9)</f>
        <v>0</v>
      </c>
      <c r="R9" s="196">
        <f>SUM(R75:R76)</f>
        <v>0</v>
      </c>
      <c r="S9" s="196">
        <f>SUM(S75:S76)</f>
        <v>0</v>
      </c>
      <c r="T9" s="196">
        <f>SUM(T75:T76)</f>
        <v>0</v>
      </c>
      <c r="U9" s="197">
        <f>SUM(R9:T9)</f>
        <v>0</v>
      </c>
      <c r="V9" s="196">
        <f>SUM(V75:V76)</f>
        <v>0</v>
      </c>
      <c r="W9" s="196">
        <f>SUM(W75:W76)</f>
        <v>0</v>
      </c>
      <c r="X9" s="196">
        <f>SUM(X75:X76)</f>
        <v>0</v>
      </c>
      <c r="Y9" s="197">
        <f>SUM(V9:X9)</f>
        <v>0</v>
      </c>
    </row>
    <row r="10" spans="1:25" ht="12.75" customHeight="1" x14ac:dyDescent="0.2">
      <c r="A10" s="188" t="str">
        <f>"   "&amp;Labels!B382</f>
        <v xml:space="preserve">   Practice 2</v>
      </c>
      <c r="B10" s="196">
        <f>SUM(B79:B80)</f>
        <v>0</v>
      </c>
      <c r="C10" s="196">
        <f>SUM(C79:C80)</f>
        <v>0</v>
      </c>
      <c r="D10" s="196">
        <f>SUM(D79:D80)</f>
        <v>0</v>
      </c>
      <c r="E10" s="197">
        <f>SUM(B10:D10)</f>
        <v>0</v>
      </c>
      <c r="F10" s="196">
        <f>SUM(F79:F80)</f>
        <v>0</v>
      </c>
      <c r="G10" s="196">
        <f>SUM(G79:G80)</f>
        <v>0</v>
      </c>
      <c r="H10" s="196">
        <f>SUM(H79:H80)</f>
        <v>0</v>
      </c>
      <c r="I10" s="197">
        <f>SUM(F10:H10)</f>
        <v>0</v>
      </c>
      <c r="J10" s="196">
        <f>SUM(J79:J80)</f>
        <v>0</v>
      </c>
      <c r="K10" s="196">
        <f>SUM(K79:K80)</f>
        <v>0</v>
      </c>
      <c r="L10" s="196">
        <f>SUM(L79:L80)</f>
        <v>0</v>
      </c>
      <c r="M10" s="197">
        <f>SUM(J10:L10)</f>
        <v>0</v>
      </c>
      <c r="N10" s="196">
        <f>SUM(N79:N80)</f>
        <v>0</v>
      </c>
      <c r="O10" s="196">
        <f>SUM(O79:O80)</f>
        <v>0</v>
      </c>
      <c r="P10" s="196">
        <f>SUM(P79:P80)</f>
        <v>0</v>
      </c>
      <c r="Q10" s="197">
        <f>SUM(N10:P10)</f>
        <v>0</v>
      </c>
      <c r="R10" s="196">
        <f>SUM(R79:R80)</f>
        <v>0</v>
      </c>
      <c r="S10" s="196">
        <f>SUM(S79:S80)</f>
        <v>0</v>
      </c>
      <c r="T10" s="196">
        <f>SUM(T79:T80)</f>
        <v>0</v>
      </c>
      <c r="U10" s="197">
        <f>SUM(R10:T10)</f>
        <v>0</v>
      </c>
      <c r="V10" s="196">
        <f>SUM(V79:V80)</f>
        <v>0</v>
      </c>
      <c r="W10" s="196">
        <f>SUM(W79:W80)</f>
        <v>0</v>
      </c>
      <c r="X10" s="196">
        <f>SUM(X79:X80)</f>
        <v>0</v>
      </c>
      <c r="Y10" s="197">
        <f>SUM(V10:X10)</f>
        <v>0</v>
      </c>
    </row>
    <row r="11" spans="1:25" ht="12.75" customHeight="1" x14ac:dyDescent="0.2">
      <c r="A11" s="185" t="str">
        <f>"   "&amp;Labels!C380</f>
        <v xml:space="preserve">   Total</v>
      </c>
      <c r="B11" s="176">
        <f>SUM(B9:B10)</f>
        <v>0</v>
      </c>
      <c r="C11" s="176">
        <f>SUM(C9:C10)</f>
        <v>0</v>
      </c>
      <c r="D11" s="176">
        <f>SUM(D9:D10)</f>
        <v>112750</v>
      </c>
      <c r="E11" s="193">
        <f>SUM(B11:D11)</f>
        <v>112750</v>
      </c>
      <c r="F11" s="176">
        <f>SUM(F9:F10)</f>
        <v>112750</v>
      </c>
      <c r="G11" s="176">
        <f>SUM(G9:G10)</f>
        <v>0</v>
      </c>
      <c r="H11" s="176">
        <f>SUM(H9:H10)</f>
        <v>82000</v>
      </c>
      <c r="I11" s="193">
        <f>SUM(F11:H11)</f>
        <v>194750</v>
      </c>
      <c r="J11" s="176">
        <f>SUM(J9:J10)</f>
        <v>82000</v>
      </c>
      <c r="K11" s="176">
        <f>SUM(K9:K10)</f>
        <v>82000</v>
      </c>
      <c r="L11" s="176">
        <f>SUM(L9:L10)</f>
        <v>0</v>
      </c>
      <c r="M11" s="193">
        <f>SUM(J11:L11)</f>
        <v>164000</v>
      </c>
      <c r="N11" s="176">
        <f>SUM(N9:N10)</f>
        <v>0</v>
      </c>
      <c r="O11" s="176">
        <f>SUM(O9:O10)</f>
        <v>0</v>
      </c>
      <c r="P11" s="176">
        <f>SUM(P9:P10)</f>
        <v>0</v>
      </c>
      <c r="Q11" s="193">
        <f>SUM(N11:P11)</f>
        <v>0</v>
      </c>
      <c r="R11" s="176">
        <f>SUM(R9:R10)</f>
        <v>0</v>
      </c>
      <c r="S11" s="176">
        <f>SUM(S9:S10)</f>
        <v>0</v>
      </c>
      <c r="T11" s="176">
        <f>SUM(T9:T10)</f>
        <v>0</v>
      </c>
      <c r="U11" s="193">
        <f>SUM(R11:T11)</f>
        <v>0</v>
      </c>
      <c r="V11" s="176">
        <f>SUM(V9:V10)</f>
        <v>0</v>
      </c>
      <c r="W11" s="176">
        <f>SUM(W9:W10)</f>
        <v>0</v>
      </c>
      <c r="X11" s="176">
        <f>SUM(X9:X10)</f>
        <v>0</v>
      </c>
      <c r="Y11" s="193">
        <f>SUM(V11:X11)</f>
        <v>0</v>
      </c>
    </row>
    <row r="13" spans="1:25" ht="12.75" customHeight="1" collapsed="1" x14ac:dyDescent="0.2">
      <c r="A13" s="3" t="str">
        <f>"Revenue Growth"</f>
        <v>Revenue Growth</v>
      </c>
    </row>
    <row r="14" spans="1:25" ht="12.75" hidden="1" customHeight="1" outlineLevel="1" x14ac:dyDescent="0.2">
      <c r="A14" s="3" t="str">
        <f>""</f>
        <v/>
      </c>
    </row>
    <row r="15" spans="1:25" ht="12.75" hidden="1" customHeight="1" outlineLevel="1" x14ac:dyDescent="0.2">
      <c r="B15" s="9" t="str">
        <f>'(FnCalls 1)'!F42</f>
        <v>MMM 2010</v>
      </c>
      <c r="C15" s="10" t="str">
        <f>'(FnCalls 1)'!F43</f>
        <v>MMM 2010</v>
      </c>
      <c r="D15" s="181" t="str">
        <f>'(FnCalls 1)'!G41</f>
        <v>Q1 2010</v>
      </c>
      <c r="E15" s="10" t="str">
        <f>'(FnCalls 1)'!F44</f>
        <v>MMM 2010</v>
      </c>
      <c r="F15" s="10" t="str">
        <f>'(FnCalls 1)'!F45</f>
        <v>MMM 2010</v>
      </c>
      <c r="G15" s="10" t="str">
        <f>'(FnCalls 1)'!F46</f>
        <v>MMM 2010</v>
      </c>
      <c r="H15" s="181" t="str">
        <f>'(FnCalls 1)'!G44</f>
        <v>Q2 2010</v>
      </c>
      <c r="I15" s="10" t="str">
        <f>'(FnCalls 1)'!F47</f>
        <v>MMM 2010</v>
      </c>
      <c r="J15" s="10" t="str">
        <f>'(FnCalls 1)'!F48</f>
        <v>MMM 2010</v>
      </c>
      <c r="K15" s="10" t="str">
        <f>'(FnCalls 1)'!F49</f>
        <v>MMM 2010</v>
      </c>
      <c r="L15" s="181" t="str">
        <f>'(FnCalls 1)'!G47</f>
        <v>Q3 2010</v>
      </c>
      <c r="M15" s="10" t="str">
        <f>'(FnCalls 1)'!F50</f>
        <v>MMM 2010</v>
      </c>
      <c r="N15" s="10" t="str">
        <f>'(FnCalls 1)'!F51</f>
        <v>MMM 2010</v>
      </c>
      <c r="O15" s="10" t="str">
        <f>'(FnCalls 1)'!F52</f>
        <v>MMM 2010</v>
      </c>
      <c r="P15" s="181" t="str">
        <f>'(FnCalls 1)'!G50</f>
        <v>Q4 2010</v>
      </c>
      <c r="Q15" s="10" t="str">
        <f>'(FnCalls 1)'!F53</f>
        <v>MMM 2011</v>
      </c>
      <c r="R15" s="10" t="str">
        <f>'(FnCalls 1)'!F54</f>
        <v>MMM 2011</v>
      </c>
      <c r="S15" s="10" t="str">
        <f>'(FnCalls 1)'!F55</f>
        <v>MMM 2011</v>
      </c>
      <c r="T15" s="181" t="str">
        <f>'(FnCalls 1)'!G53</f>
        <v>Q1 2011</v>
      </c>
      <c r="U15" s="10" t="str">
        <f>'(FnCalls 1)'!F56</f>
        <v>MMM 2011</v>
      </c>
      <c r="V15" s="10" t="str">
        <f>'(FnCalls 1)'!F57</f>
        <v>MMM 2011</v>
      </c>
      <c r="W15" s="10" t="str">
        <f>'(FnCalls 1)'!F58</f>
        <v>MMM 2011</v>
      </c>
      <c r="X15" s="181" t="str">
        <f>'(FnCalls 1)'!G56</f>
        <v>Q2 2011</v>
      </c>
    </row>
    <row r="16" spans="1:25" ht="12.75" hidden="1" customHeight="1" outlineLevel="1" x14ac:dyDescent="0.2">
      <c r="A16" s="182" t="str">
        <f>Labels!B229</f>
        <v>Revenue Growth</v>
      </c>
      <c r="B16" s="207"/>
      <c r="C16" s="207"/>
      <c r="D16" s="208"/>
      <c r="E16" s="207"/>
      <c r="F16" s="207"/>
      <c r="G16" s="207"/>
      <c r="H16" s="208"/>
      <c r="I16" s="207"/>
      <c r="J16" s="207"/>
      <c r="K16" s="207"/>
      <c r="L16" s="208"/>
      <c r="M16" s="207"/>
      <c r="N16" s="207"/>
      <c r="O16" s="207"/>
      <c r="P16" s="208"/>
      <c r="Q16" s="207"/>
      <c r="R16" s="207"/>
      <c r="S16" s="207"/>
      <c r="T16" s="208"/>
      <c r="U16" s="207"/>
      <c r="V16" s="207"/>
      <c r="W16" s="207"/>
      <c r="X16" s="208"/>
    </row>
    <row r="17" spans="1:25" ht="12.75" hidden="1" customHeight="1" outlineLevel="1" x14ac:dyDescent="0.2">
      <c r="A17" s="188" t="str">
        <f>"   "&amp;Labels!B381</f>
        <v xml:space="preserve">   Practice 1</v>
      </c>
      <c r="B17" s="218">
        <f t="shared" ref="B17:C19" si="0">IF(B9=0,0,C9/B9-1)</f>
        <v>0</v>
      </c>
      <c r="C17" s="218">
        <f t="shared" si="0"/>
        <v>0</v>
      </c>
      <c r="D17" s="219">
        <f>(1+B17)^1*(1+C17)^1-1</f>
        <v>0</v>
      </c>
      <c r="E17" s="218">
        <f>IF(D9=0,0,F9/D9-1)</f>
        <v>0</v>
      </c>
      <c r="F17" s="218">
        <f t="shared" ref="F17:G19" si="1">IF(F9=0,0,G9/F9-1)</f>
        <v>-1</v>
      </c>
      <c r="G17" s="218">
        <f t="shared" si="1"/>
        <v>0</v>
      </c>
      <c r="H17" s="219">
        <f>(1+E17)^1*(1+F17)^1*(1+G17)^1-1</f>
        <v>-1</v>
      </c>
      <c r="I17" s="218">
        <f>IF(H9=0,0,J9/H9-1)</f>
        <v>0</v>
      </c>
      <c r="J17" s="218">
        <f t="shared" ref="J17:K19" si="2">IF(J9=0,0,K9/J9-1)</f>
        <v>0</v>
      </c>
      <c r="K17" s="218">
        <f t="shared" si="2"/>
        <v>-1</v>
      </c>
      <c r="L17" s="219">
        <f>(1+I17)^1*(1+J17)^1*(1+K17)^1-1</f>
        <v>-1</v>
      </c>
      <c r="M17" s="218">
        <f>IF(L9=0,0,N9/L9-1)</f>
        <v>0</v>
      </c>
      <c r="N17" s="218">
        <f t="shared" ref="N17:O19" si="3">IF(N9=0,0,O9/N9-1)</f>
        <v>0</v>
      </c>
      <c r="O17" s="218">
        <f t="shared" si="3"/>
        <v>0</v>
      </c>
      <c r="P17" s="219">
        <f>(1+M17)^1*(1+N17)^1*(1+O17)^1-1</f>
        <v>0</v>
      </c>
      <c r="Q17" s="218">
        <f>IF(P9=0,0,R9/P9-1)</f>
        <v>0</v>
      </c>
      <c r="R17" s="218">
        <f t="shared" ref="R17:S19" si="4">IF(R9=0,0,S9/R9-1)</f>
        <v>0</v>
      </c>
      <c r="S17" s="218">
        <f t="shared" si="4"/>
        <v>0</v>
      </c>
      <c r="T17" s="219">
        <f>(1+Q17)^1*(1+R17)^1*(1+S17)^1-1</f>
        <v>0</v>
      </c>
      <c r="U17" s="218">
        <f>IF(T9=0,0,V9/T9-1)</f>
        <v>0</v>
      </c>
      <c r="V17" s="218">
        <f t="shared" ref="V17:W19" si="5">IF(V9=0,0,W9/V9-1)</f>
        <v>0</v>
      </c>
      <c r="W17" s="218">
        <f t="shared" si="5"/>
        <v>0</v>
      </c>
      <c r="X17" s="219">
        <f>(1+U17)^1*(1+V17)^1*(1+W17)^1-1</f>
        <v>0</v>
      </c>
    </row>
    <row r="18" spans="1:25" ht="12.75" hidden="1" customHeight="1" outlineLevel="1" x14ac:dyDescent="0.2">
      <c r="A18" s="188" t="str">
        <f>"   "&amp;Labels!B382</f>
        <v xml:space="preserve">   Practice 2</v>
      </c>
      <c r="B18" s="218">
        <f t="shared" si="0"/>
        <v>0</v>
      </c>
      <c r="C18" s="218">
        <f t="shared" si="0"/>
        <v>0</v>
      </c>
      <c r="D18" s="219">
        <f>(1+B18)^1*(1+C18)^1-1</f>
        <v>0</v>
      </c>
      <c r="E18" s="218">
        <f>IF(D10=0,0,F10/D10-1)</f>
        <v>0</v>
      </c>
      <c r="F18" s="218">
        <f t="shared" si="1"/>
        <v>0</v>
      </c>
      <c r="G18" s="218">
        <f t="shared" si="1"/>
        <v>0</v>
      </c>
      <c r="H18" s="219">
        <f>(1+E18)^1*(1+F18)^1*(1+G18)^1-1</f>
        <v>0</v>
      </c>
      <c r="I18" s="218">
        <f>IF(H10=0,0,J10/H10-1)</f>
        <v>0</v>
      </c>
      <c r="J18" s="218">
        <f t="shared" si="2"/>
        <v>0</v>
      </c>
      <c r="K18" s="218">
        <f t="shared" si="2"/>
        <v>0</v>
      </c>
      <c r="L18" s="219">
        <f>(1+I18)^1*(1+J18)^1*(1+K18)^1-1</f>
        <v>0</v>
      </c>
      <c r="M18" s="218">
        <f>IF(L10=0,0,N10/L10-1)</f>
        <v>0</v>
      </c>
      <c r="N18" s="218">
        <f t="shared" si="3"/>
        <v>0</v>
      </c>
      <c r="O18" s="218">
        <f t="shared" si="3"/>
        <v>0</v>
      </c>
      <c r="P18" s="219">
        <f>(1+M18)^1*(1+N18)^1*(1+O18)^1-1</f>
        <v>0</v>
      </c>
      <c r="Q18" s="218">
        <f>IF(P10=0,0,R10/P10-1)</f>
        <v>0</v>
      </c>
      <c r="R18" s="218">
        <f t="shared" si="4"/>
        <v>0</v>
      </c>
      <c r="S18" s="218">
        <f t="shared" si="4"/>
        <v>0</v>
      </c>
      <c r="T18" s="219">
        <f>(1+Q18)^1*(1+R18)^1*(1+S18)^1-1</f>
        <v>0</v>
      </c>
      <c r="U18" s="218">
        <f>IF(T10=0,0,V10/T10-1)</f>
        <v>0</v>
      </c>
      <c r="V18" s="218">
        <f t="shared" si="5"/>
        <v>0</v>
      </c>
      <c r="W18" s="218">
        <f t="shared" si="5"/>
        <v>0</v>
      </c>
      <c r="X18" s="219">
        <f>(1+U18)^1*(1+V18)^1*(1+W18)^1-1</f>
        <v>0</v>
      </c>
    </row>
    <row r="19" spans="1:25" ht="12.75" hidden="1" customHeight="1" outlineLevel="1" x14ac:dyDescent="0.2">
      <c r="A19" s="185" t="str">
        <f>"   "&amp;Labels!C380</f>
        <v xml:space="preserve">   Total</v>
      </c>
      <c r="B19" s="186">
        <f t="shared" si="0"/>
        <v>0</v>
      </c>
      <c r="C19" s="186">
        <f t="shared" si="0"/>
        <v>0</v>
      </c>
      <c r="D19" s="187">
        <f>(1+B19)^1*(1+C19)^1-1</f>
        <v>0</v>
      </c>
      <c r="E19" s="186">
        <f>IF(D11=0,0,F11/D11-1)</f>
        <v>0</v>
      </c>
      <c r="F19" s="186">
        <f t="shared" si="1"/>
        <v>-1</v>
      </c>
      <c r="G19" s="186">
        <f t="shared" si="1"/>
        <v>0</v>
      </c>
      <c r="H19" s="187">
        <f>(1+E19)^1*(1+F19)^1*(1+G19)^1-1</f>
        <v>-1</v>
      </c>
      <c r="I19" s="186">
        <f>IF(H11=0,0,J11/H11-1)</f>
        <v>0</v>
      </c>
      <c r="J19" s="186">
        <f t="shared" si="2"/>
        <v>0</v>
      </c>
      <c r="K19" s="186">
        <f t="shared" si="2"/>
        <v>-1</v>
      </c>
      <c r="L19" s="187">
        <f>(1+I19)^1*(1+J19)^1*(1+K19)^1-1</f>
        <v>-1</v>
      </c>
      <c r="M19" s="186">
        <f>IF(L11=0,0,N11/L11-1)</f>
        <v>0</v>
      </c>
      <c r="N19" s="186">
        <f t="shared" si="3"/>
        <v>0</v>
      </c>
      <c r="O19" s="186">
        <f t="shared" si="3"/>
        <v>0</v>
      </c>
      <c r="P19" s="187">
        <f>(1+M19)^1*(1+N19)^1*(1+O19)^1-1</f>
        <v>0</v>
      </c>
      <c r="Q19" s="186">
        <f>IF(P11=0,0,R11/P11-1)</f>
        <v>0</v>
      </c>
      <c r="R19" s="186">
        <f t="shared" si="4"/>
        <v>0</v>
      </c>
      <c r="S19" s="186">
        <f t="shared" si="4"/>
        <v>0</v>
      </c>
      <c r="T19" s="187">
        <f>(1+Q19)^1*(1+R19)^1*(1+S19)^1-1</f>
        <v>0</v>
      </c>
      <c r="U19" s="186">
        <f>IF(T11=0,0,V11/T11-1)</f>
        <v>0</v>
      </c>
      <c r="V19" s="186">
        <f t="shared" si="5"/>
        <v>0</v>
      </c>
      <c r="W19" s="186">
        <f t="shared" si="5"/>
        <v>0</v>
      </c>
      <c r="X19" s="187">
        <f>(1+U19)^1*(1+V19)^1*(1+W19)^1-1</f>
        <v>0</v>
      </c>
    </row>
    <row r="20" spans="1:25" ht="12.75" hidden="1" customHeight="1" outlineLevel="1" collapsed="1" x14ac:dyDescent="0.2"/>
    <row r="21" spans="1:25" ht="12.75" customHeight="1" collapsed="1" x14ac:dyDescent="0.2">
      <c r="B21" s="9" t="str">
        <f>'(FnCalls 1)'!F41</f>
        <v>MMM 2010</v>
      </c>
      <c r="C21" s="10" t="str">
        <f>'(FnCalls 1)'!F42</f>
        <v>MMM 2010</v>
      </c>
      <c r="D21" s="10" t="str">
        <f>'(FnCalls 1)'!F43</f>
        <v>MMM 2010</v>
      </c>
      <c r="E21" s="181" t="str">
        <f>'(FnCalls 1)'!G41</f>
        <v>Q1 2010</v>
      </c>
      <c r="F21" s="10" t="str">
        <f>'(FnCalls 1)'!F44</f>
        <v>MMM 2010</v>
      </c>
      <c r="G21" s="10" t="str">
        <f>'(FnCalls 1)'!F45</f>
        <v>MMM 2010</v>
      </c>
      <c r="H21" s="10" t="str">
        <f>'(FnCalls 1)'!F46</f>
        <v>MMM 2010</v>
      </c>
      <c r="I21" s="181" t="str">
        <f>'(FnCalls 1)'!G44</f>
        <v>Q2 2010</v>
      </c>
      <c r="J21" s="10" t="str">
        <f>'(FnCalls 1)'!F47</f>
        <v>MMM 2010</v>
      </c>
      <c r="K21" s="10" t="str">
        <f>'(FnCalls 1)'!F48</f>
        <v>MMM 2010</v>
      </c>
      <c r="L21" s="10" t="str">
        <f>'(FnCalls 1)'!F49</f>
        <v>MMM 2010</v>
      </c>
      <c r="M21" s="181" t="str">
        <f>'(FnCalls 1)'!G47</f>
        <v>Q3 2010</v>
      </c>
      <c r="N21" s="10" t="str">
        <f>'(FnCalls 1)'!F50</f>
        <v>MMM 2010</v>
      </c>
      <c r="O21" s="10" t="str">
        <f>'(FnCalls 1)'!F51</f>
        <v>MMM 2010</v>
      </c>
      <c r="P21" s="10" t="str">
        <f>'(FnCalls 1)'!F52</f>
        <v>MMM 2010</v>
      </c>
      <c r="Q21" s="181" t="str">
        <f>'(FnCalls 1)'!G50</f>
        <v>Q4 2010</v>
      </c>
      <c r="R21" s="10" t="str">
        <f>'(FnCalls 1)'!F53</f>
        <v>MMM 2011</v>
      </c>
      <c r="S21" s="10" t="str">
        <f>'(FnCalls 1)'!F54</f>
        <v>MMM 2011</v>
      </c>
      <c r="T21" s="10" t="str">
        <f>'(FnCalls 1)'!F55</f>
        <v>MMM 2011</v>
      </c>
      <c r="U21" s="181" t="str">
        <f>'(FnCalls 1)'!G53</f>
        <v>Q1 2011</v>
      </c>
      <c r="V21" s="10" t="str">
        <f>'(FnCalls 1)'!F56</f>
        <v>MMM 2011</v>
      </c>
      <c r="W21" s="10" t="str">
        <f>'(FnCalls 1)'!F57</f>
        <v>MMM 2011</v>
      </c>
      <c r="X21" s="10" t="str">
        <f>'(FnCalls 1)'!F58</f>
        <v>MMM 2011</v>
      </c>
      <c r="Y21" s="181" t="str">
        <f>'(FnCalls 1)'!G56</f>
        <v>Q2 2011</v>
      </c>
    </row>
    <row r="22" spans="1:25" ht="12.75" customHeight="1" x14ac:dyDescent="0.2">
      <c r="A22" s="182" t="str">
        <f>Labels!B182</f>
        <v>Prof Staff Hours Billed</v>
      </c>
      <c r="B22" s="223"/>
      <c r="C22" s="223"/>
      <c r="D22" s="223"/>
      <c r="E22" s="224"/>
      <c r="F22" s="223"/>
      <c r="G22" s="223"/>
      <c r="H22" s="223"/>
      <c r="I22" s="224"/>
      <c r="J22" s="223"/>
      <c r="K22" s="223"/>
      <c r="L22" s="223"/>
      <c r="M22" s="224"/>
      <c r="N22" s="223"/>
      <c r="O22" s="223"/>
      <c r="P22" s="223"/>
      <c r="Q22" s="224"/>
      <c r="R22" s="223"/>
      <c r="S22" s="223"/>
      <c r="T22" s="223"/>
      <c r="U22" s="224"/>
      <c r="V22" s="223"/>
      <c r="W22" s="223"/>
      <c r="X22" s="223"/>
      <c r="Y22" s="224"/>
    </row>
    <row r="23" spans="1:25" ht="12.75" customHeight="1" x14ac:dyDescent="0.2">
      <c r="A23" s="188" t="str">
        <f>"   "&amp;Labels!B381</f>
        <v xml:space="preserve">   Practice 1</v>
      </c>
      <c r="B23" s="166">
        <f>SUM(B89:B90)</f>
        <v>0</v>
      </c>
      <c r="C23" s="166">
        <f>SUM(C89:C90)</f>
        <v>0</v>
      </c>
      <c r="D23" s="166">
        <f>SUM(D89:D90)</f>
        <v>550</v>
      </c>
      <c r="E23" s="225">
        <f>SUM(B23:D23)</f>
        <v>550</v>
      </c>
      <c r="F23" s="166">
        <f>SUM(F89:F90)</f>
        <v>550</v>
      </c>
      <c r="G23" s="166">
        <f>SUM(G89:G90)</f>
        <v>0</v>
      </c>
      <c r="H23" s="166">
        <f>SUM(H89:H90)</f>
        <v>400</v>
      </c>
      <c r="I23" s="225">
        <f>SUM(F23:H23)</f>
        <v>950</v>
      </c>
      <c r="J23" s="166">
        <f>SUM(J89:J90)</f>
        <v>400</v>
      </c>
      <c r="K23" s="166">
        <f>SUM(K89:K90)</f>
        <v>400</v>
      </c>
      <c r="L23" s="166">
        <f>SUM(L89:L90)</f>
        <v>0</v>
      </c>
      <c r="M23" s="225">
        <f>SUM(J23:L23)</f>
        <v>800</v>
      </c>
      <c r="N23" s="166">
        <f>SUM(N89:N90)</f>
        <v>0</v>
      </c>
      <c r="O23" s="166">
        <f>SUM(O89:O90)</f>
        <v>0</v>
      </c>
      <c r="P23" s="166">
        <f>SUM(P89:P90)</f>
        <v>0</v>
      </c>
      <c r="Q23" s="225">
        <f>SUM(N23:P23)</f>
        <v>0</v>
      </c>
      <c r="R23" s="166">
        <f>SUM(R89:R90)</f>
        <v>0</v>
      </c>
      <c r="S23" s="166">
        <f>SUM(S89:S90)</f>
        <v>0</v>
      </c>
      <c r="T23" s="166">
        <f>SUM(T89:T90)</f>
        <v>0</v>
      </c>
      <c r="U23" s="225">
        <f>SUM(R23:T23)</f>
        <v>0</v>
      </c>
      <c r="V23" s="166">
        <f>SUM(V89:V90)</f>
        <v>0</v>
      </c>
      <c r="W23" s="166">
        <f>SUM(W89:W90)</f>
        <v>0</v>
      </c>
      <c r="X23" s="166">
        <f>SUM(X89:X90)</f>
        <v>0</v>
      </c>
      <c r="Y23" s="225">
        <f>SUM(V23:X23)</f>
        <v>0</v>
      </c>
    </row>
    <row r="24" spans="1:25" ht="12.75" customHeight="1" x14ac:dyDescent="0.2">
      <c r="A24" s="188" t="str">
        <f>"   "&amp;Labels!B382</f>
        <v xml:space="preserve">   Practice 2</v>
      </c>
      <c r="B24" s="166">
        <f>SUM(B93:B94)</f>
        <v>0</v>
      </c>
      <c r="C24" s="166">
        <f>SUM(C93:C94)</f>
        <v>0</v>
      </c>
      <c r="D24" s="166">
        <f>SUM(D93:D94)</f>
        <v>0</v>
      </c>
      <c r="E24" s="225">
        <f>SUM(B24:D24)</f>
        <v>0</v>
      </c>
      <c r="F24" s="166">
        <f>SUM(F93:F94)</f>
        <v>0</v>
      </c>
      <c r="G24" s="166">
        <f>SUM(G93:G94)</f>
        <v>0</v>
      </c>
      <c r="H24" s="166">
        <f>SUM(H93:H94)</f>
        <v>0</v>
      </c>
      <c r="I24" s="225">
        <f>SUM(F24:H24)</f>
        <v>0</v>
      </c>
      <c r="J24" s="166">
        <f>SUM(J93:J94)</f>
        <v>0</v>
      </c>
      <c r="K24" s="166">
        <f>SUM(K93:K94)</f>
        <v>0</v>
      </c>
      <c r="L24" s="166">
        <f>SUM(L93:L94)</f>
        <v>0</v>
      </c>
      <c r="M24" s="225">
        <f>SUM(J24:L24)</f>
        <v>0</v>
      </c>
      <c r="N24" s="166">
        <f>SUM(N93:N94)</f>
        <v>0</v>
      </c>
      <c r="O24" s="166">
        <f>SUM(O93:O94)</f>
        <v>0</v>
      </c>
      <c r="P24" s="166">
        <f>SUM(P93:P94)</f>
        <v>0</v>
      </c>
      <c r="Q24" s="225">
        <f>SUM(N24:P24)</f>
        <v>0</v>
      </c>
      <c r="R24" s="166">
        <f>SUM(R93:R94)</f>
        <v>0</v>
      </c>
      <c r="S24" s="166">
        <f>SUM(S93:S94)</f>
        <v>0</v>
      </c>
      <c r="T24" s="166">
        <f>SUM(T93:T94)</f>
        <v>0</v>
      </c>
      <c r="U24" s="225">
        <f>SUM(R24:T24)</f>
        <v>0</v>
      </c>
      <c r="V24" s="166">
        <f>SUM(V93:V94)</f>
        <v>0</v>
      </c>
      <c r="W24" s="166">
        <f>SUM(W93:W94)</f>
        <v>0</v>
      </c>
      <c r="X24" s="166">
        <f>SUM(X93:X94)</f>
        <v>0</v>
      </c>
      <c r="Y24" s="225">
        <f>SUM(V24:X24)</f>
        <v>0</v>
      </c>
    </row>
    <row r="25" spans="1:25" ht="12.75" customHeight="1" x14ac:dyDescent="0.2">
      <c r="A25" s="185" t="str">
        <f>"   "&amp;Labels!C380</f>
        <v xml:space="preserve">   Total</v>
      </c>
      <c r="B25" s="297">
        <f>SUM(B23:B24)</f>
        <v>0</v>
      </c>
      <c r="C25" s="297">
        <f>SUM(C23:C24)</f>
        <v>0</v>
      </c>
      <c r="D25" s="297">
        <f>SUM(D23:D24)</f>
        <v>550</v>
      </c>
      <c r="E25" s="298">
        <f>SUM(B25:D25)</f>
        <v>550</v>
      </c>
      <c r="F25" s="297">
        <f>SUM(F23:F24)</f>
        <v>550</v>
      </c>
      <c r="G25" s="297">
        <f>SUM(G23:G24)</f>
        <v>0</v>
      </c>
      <c r="H25" s="297">
        <f>SUM(H23:H24)</f>
        <v>400</v>
      </c>
      <c r="I25" s="298">
        <f>SUM(F25:H25)</f>
        <v>950</v>
      </c>
      <c r="J25" s="297">
        <f>SUM(J23:J24)</f>
        <v>400</v>
      </c>
      <c r="K25" s="297">
        <f>SUM(K23:K24)</f>
        <v>400</v>
      </c>
      <c r="L25" s="297">
        <f>SUM(L23:L24)</f>
        <v>0</v>
      </c>
      <c r="M25" s="298">
        <f>SUM(J25:L25)</f>
        <v>800</v>
      </c>
      <c r="N25" s="297">
        <f>SUM(N23:N24)</f>
        <v>0</v>
      </c>
      <c r="O25" s="297">
        <f>SUM(O23:O24)</f>
        <v>0</v>
      </c>
      <c r="P25" s="297">
        <f>SUM(P23:P24)</f>
        <v>0</v>
      </c>
      <c r="Q25" s="298">
        <f>SUM(N25:P25)</f>
        <v>0</v>
      </c>
      <c r="R25" s="297">
        <f>SUM(R23:R24)</f>
        <v>0</v>
      </c>
      <c r="S25" s="297">
        <f>SUM(S23:S24)</f>
        <v>0</v>
      </c>
      <c r="T25" s="297">
        <f>SUM(T23:T24)</f>
        <v>0</v>
      </c>
      <c r="U25" s="298">
        <f>SUM(R25:T25)</f>
        <v>0</v>
      </c>
      <c r="V25" s="297">
        <f>SUM(V23:V24)</f>
        <v>0</v>
      </c>
      <c r="W25" s="297">
        <f>SUM(W23:W24)</f>
        <v>0</v>
      </c>
      <c r="X25" s="297">
        <f>SUM(X23:X24)</f>
        <v>0</v>
      </c>
      <c r="Y25" s="298">
        <f>SUM(V25:X25)</f>
        <v>0</v>
      </c>
    </row>
    <row r="27" spans="1:25" ht="12.75" customHeight="1" collapsed="1" x14ac:dyDescent="0.2">
      <c r="A27" s="465" t="str">
        <f>"Billable Hours Growth"</f>
        <v>Billable Hours Growth</v>
      </c>
      <c r="B27" s="465"/>
    </row>
    <row r="28" spans="1:25" ht="12.75" hidden="1" customHeight="1" outlineLevel="1" x14ac:dyDescent="0.2">
      <c r="A28" s="465" t="str">
        <f>""</f>
        <v/>
      </c>
      <c r="B28" s="465"/>
    </row>
    <row r="29" spans="1:25" ht="12.75" hidden="1" customHeight="1" outlineLevel="1" x14ac:dyDescent="0.2">
      <c r="B29" s="9" t="str">
        <f>'(FnCalls 1)'!F42</f>
        <v>MMM 2010</v>
      </c>
      <c r="C29" s="10" t="str">
        <f>'(FnCalls 1)'!F43</f>
        <v>MMM 2010</v>
      </c>
      <c r="D29" s="181" t="str">
        <f>'(FnCalls 1)'!G41</f>
        <v>Q1 2010</v>
      </c>
      <c r="E29" s="10" t="str">
        <f>'(FnCalls 1)'!F44</f>
        <v>MMM 2010</v>
      </c>
      <c r="F29" s="10" t="str">
        <f>'(FnCalls 1)'!F45</f>
        <v>MMM 2010</v>
      </c>
      <c r="G29" s="10" t="str">
        <f>'(FnCalls 1)'!F46</f>
        <v>MMM 2010</v>
      </c>
      <c r="H29" s="181" t="str">
        <f>'(FnCalls 1)'!G44</f>
        <v>Q2 2010</v>
      </c>
      <c r="I29" s="10" t="str">
        <f>'(FnCalls 1)'!F47</f>
        <v>MMM 2010</v>
      </c>
      <c r="J29" s="10" t="str">
        <f>'(FnCalls 1)'!F48</f>
        <v>MMM 2010</v>
      </c>
      <c r="K29" s="10" t="str">
        <f>'(FnCalls 1)'!F49</f>
        <v>MMM 2010</v>
      </c>
      <c r="L29" s="181" t="str">
        <f>'(FnCalls 1)'!G47</f>
        <v>Q3 2010</v>
      </c>
      <c r="M29" s="10" t="str">
        <f>'(FnCalls 1)'!F50</f>
        <v>MMM 2010</v>
      </c>
      <c r="N29" s="10" t="str">
        <f>'(FnCalls 1)'!F51</f>
        <v>MMM 2010</v>
      </c>
      <c r="O29" s="10" t="str">
        <f>'(FnCalls 1)'!F52</f>
        <v>MMM 2010</v>
      </c>
      <c r="P29" s="181" t="str">
        <f>'(FnCalls 1)'!G50</f>
        <v>Q4 2010</v>
      </c>
      <c r="Q29" s="10" t="str">
        <f>'(FnCalls 1)'!F53</f>
        <v>MMM 2011</v>
      </c>
      <c r="R29" s="10" t="str">
        <f>'(FnCalls 1)'!F54</f>
        <v>MMM 2011</v>
      </c>
      <c r="S29" s="10" t="str">
        <f>'(FnCalls 1)'!F55</f>
        <v>MMM 2011</v>
      </c>
      <c r="T29" s="181" t="str">
        <f>'(FnCalls 1)'!G53</f>
        <v>Q1 2011</v>
      </c>
      <c r="U29" s="10" t="str">
        <f>'(FnCalls 1)'!F56</f>
        <v>MMM 2011</v>
      </c>
      <c r="V29" s="10" t="str">
        <f>'(FnCalls 1)'!F57</f>
        <v>MMM 2011</v>
      </c>
      <c r="W29" s="10" t="str">
        <f>'(FnCalls 1)'!F58</f>
        <v>MMM 2011</v>
      </c>
      <c r="X29" s="181" t="str">
        <f>'(FnCalls 1)'!G56</f>
        <v>Q2 2011</v>
      </c>
    </row>
    <row r="30" spans="1:25" ht="12.75" hidden="1" customHeight="1" outlineLevel="1" x14ac:dyDescent="0.2">
      <c r="A30" s="182" t="str">
        <f>Labels!B184</f>
        <v>Billed Hours Growth</v>
      </c>
      <c r="B30" s="207"/>
      <c r="C30" s="207"/>
      <c r="D30" s="208"/>
      <c r="E30" s="207"/>
      <c r="F30" s="207"/>
      <c r="G30" s="207"/>
      <c r="H30" s="208"/>
      <c r="I30" s="207"/>
      <c r="J30" s="207"/>
      <c r="K30" s="207"/>
      <c r="L30" s="208"/>
      <c r="M30" s="207"/>
      <c r="N30" s="207"/>
      <c r="O30" s="207"/>
      <c r="P30" s="208"/>
      <c r="Q30" s="207"/>
      <c r="R30" s="207"/>
      <c r="S30" s="207"/>
      <c r="T30" s="208"/>
      <c r="U30" s="207"/>
      <c r="V30" s="207"/>
      <c r="W30" s="207"/>
      <c r="X30" s="208"/>
    </row>
    <row r="31" spans="1:25" ht="12.75" hidden="1" customHeight="1" outlineLevel="1" x14ac:dyDescent="0.2">
      <c r="A31" s="188" t="str">
        <f>"   "&amp;Labels!B381</f>
        <v xml:space="preserve">   Practice 1</v>
      </c>
      <c r="B31" s="218">
        <f t="shared" ref="B31:C33" si="6">IF(B23=0,0,C23/B23-1)</f>
        <v>0</v>
      </c>
      <c r="C31" s="218">
        <f t="shared" si="6"/>
        <v>0</v>
      </c>
      <c r="D31" s="219">
        <f>IF(0=0,0,SUM(B23:D23)/0-1)</f>
        <v>0</v>
      </c>
      <c r="E31" s="218">
        <f>IF(D23=0,0,F23/D23-1)</f>
        <v>0</v>
      </c>
      <c r="F31" s="218">
        <f t="shared" ref="F31:G33" si="7">IF(F23=0,0,G23/F23-1)</f>
        <v>-1</v>
      </c>
      <c r="G31" s="218">
        <f t="shared" si="7"/>
        <v>0</v>
      </c>
      <c r="H31" s="219">
        <f>IF(SUM(B23:D23)=0,0,SUM(F23:H23)/SUM(B23:D23)-1)</f>
        <v>0.72727272727272729</v>
      </c>
      <c r="I31" s="218">
        <f>IF(H23=0,0,J23/H23-1)</f>
        <v>0</v>
      </c>
      <c r="J31" s="218">
        <f t="shared" ref="J31:K33" si="8">IF(J23=0,0,K23/J23-1)</f>
        <v>0</v>
      </c>
      <c r="K31" s="218">
        <f t="shared" si="8"/>
        <v>-1</v>
      </c>
      <c r="L31" s="219">
        <f>IF(SUM(F23:H23)=0,0,SUM(J23:L23)/SUM(F23:H23)-1)</f>
        <v>-0.15789473684210531</v>
      </c>
      <c r="M31" s="218">
        <f>IF(L23=0,0,N23/L23-1)</f>
        <v>0</v>
      </c>
      <c r="N31" s="218">
        <f t="shared" ref="N31:O33" si="9">IF(N23=0,0,O23/N23-1)</f>
        <v>0</v>
      </c>
      <c r="O31" s="218">
        <f t="shared" si="9"/>
        <v>0</v>
      </c>
      <c r="P31" s="219">
        <f>IF(SUM(J23:L23)=0,0,SUM(N23:P23)/SUM(J23:L23)-1)</f>
        <v>-1</v>
      </c>
      <c r="Q31" s="218">
        <f>IF(P23=0,0,R23/P23-1)</f>
        <v>0</v>
      </c>
      <c r="R31" s="218">
        <f t="shared" ref="R31:S33" si="10">IF(R23=0,0,S23/R23-1)</f>
        <v>0</v>
      </c>
      <c r="S31" s="218">
        <f t="shared" si="10"/>
        <v>0</v>
      </c>
      <c r="T31" s="219">
        <f>IF(SUM(N23:P23)=0,0,SUM(R23:T23)/SUM(N23:P23)-1)</f>
        <v>0</v>
      </c>
      <c r="U31" s="218">
        <f>IF(T23=0,0,V23/T23-1)</f>
        <v>0</v>
      </c>
      <c r="V31" s="218">
        <f t="shared" ref="V31:W33" si="11">IF(V23=0,0,W23/V23-1)</f>
        <v>0</v>
      </c>
      <c r="W31" s="218">
        <f t="shared" si="11"/>
        <v>0</v>
      </c>
      <c r="X31" s="219">
        <f>IF(SUM(R23:T23)=0,0,SUM(V23:X23)/SUM(R23:T23)-1)</f>
        <v>0</v>
      </c>
    </row>
    <row r="32" spans="1:25" ht="12.75" hidden="1" customHeight="1" outlineLevel="1" x14ac:dyDescent="0.2">
      <c r="A32" s="188" t="str">
        <f>"   "&amp;Labels!B382</f>
        <v xml:space="preserve">   Practice 2</v>
      </c>
      <c r="B32" s="218">
        <f t="shared" si="6"/>
        <v>0</v>
      </c>
      <c r="C32" s="218">
        <f t="shared" si="6"/>
        <v>0</v>
      </c>
      <c r="D32" s="219">
        <f>IF(0=0,0,SUM(B24:D24)/0-1)</f>
        <v>0</v>
      </c>
      <c r="E32" s="218">
        <f>IF(D24=0,0,F24/D24-1)</f>
        <v>0</v>
      </c>
      <c r="F32" s="218">
        <f t="shared" si="7"/>
        <v>0</v>
      </c>
      <c r="G32" s="218">
        <f t="shared" si="7"/>
        <v>0</v>
      </c>
      <c r="H32" s="219">
        <f>IF(SUM(B24:D24)=0,0,SUM(F24:H24)/SUM(B24:D24)-1)</f>
        <v>0</v>
      </c>
      <c r="I32" s="218">
        <f>IF(H24=0,0,J24/H24-1)</f>
        <v>0</v>
      </c>
      <c r="J32" s="218">
        <f t="shared" si="8"/>
        <v>0</v>
      </c>
      <c r="K32" s="218">
        <f t="shared" si="8"/>
        <v>0</v>
      </c>
      <c r="L32" s="219">
        <f>IF(SUM(F24:H24)=0,0,SUM(J24:L24)/SUM(F24:H24)-1)</f>
        <v>0</v>
      </c>
      <c r="M32" s="218">
        <f>IF(L24=0,0,N24/L24-1)</f>
        <v>0</v>
      </c>
      <c r="N32" s="218">
        <f t="shared" si="9"/>
        <v>0</v>
      </c>
      <c r="O32" s="218">
        <f t="shared" si="9"/>
        <v>0</v>
      </c>
      <c r="P32" s="219">
        <f>IF(SUM(J24:L24)=0,0,SUM(N24:P24)/SUM(J24:L24)-1)</f>
        <v>0</v>
      </c>
      <c r="Q32" s="218">
        <f>IF(P24=0,0,R24/P24-1)</f>
        <v>0</v>
      </c>
      <c r="R32" s="218">
        <f t="shared" si="10"/>
        <v>0</v>
      </c>
      <c r="S32" s="218">
        <f t="shared" si="10"/>
        <v>0</v>
      </c>
      <c r="T32" s="219">
        <f>IF(SUM(N24:P24)=0,0,SUM(R24:T24)/SUM(N24:P24)-1)</f>
        <v>0</v>
      </c>
      <c r="U32" s="218">
        <f>IF(T24=0,0,V24/T24-1)</f>
        <v>0</v>
      </c>
      <c r="V32" s="218">
        <f t="shared" si="11"/>
        <v>0</v>
      </c>
      <c r="W32" s="218">
        <f t="shared" si="11"/>
        <v>0</v>
      </c>
      <c r="X32" s="219">
        <f>IF(SUM(R24:T24)=0,0,SUM(V24:X24)/SUM(R24:T24)-1)</f>
        <v>0</v>
      </c>
    </row>
    <row r="33" spans="1:25" ht="12.75" hidden="1" customHeight="1" outlineLevel="1" x14ac:dyDescent="0.2">
      <c r="A33" s="185" t="str">
        <f>"   "&amp;Labels!C380</f>
        <v xml:space="preserve">   Total</v>
      </c>
      <c r="B33" s="186">
        <f t="shared" si="6"/>
        <v>0</v>
      </c>
      <c r="C33" s="186">
        <f t="shared" si="6"/>
        <v>0</v>
      </c>
      <c r="D33" s="187">
        <f>IF(0=0,0,SUM(B25:D25)/0-1)</f>
        <v>0</v>
      </c>
      <c r="E33" s="186">
        <f>IF(D25=0,0,F25/D25-1)</f>
        <v>0</v>
      </c>
      <c r="F33" s="186">
        <f t="shared" si="7"/>
        <v>-1</v>
      </c>
      <c r="G33" s="186">
        <f t="shared" si="7"/>
        <v>0</v>
      </c>
      <c r="H33" s="187">
        <f>IF(SUM(B25:D25)=0,0,SUM(F25:H25)/SUM(B25:D25)-1)</f>
        <v>0.72727272727272729</v>
      </c>
      <c r="I33" s="186">
        <f>IF(H25=0,0,J25/H25-1)</f>
        <v>0</v>
      </c>
      <c r="J33" s="186">
        <f t="shared" si="8"/>
        <v>0</v>
      </c>
      <c r="K33" s="186">
        <f t="shared" si="8"/>
        <v>-1</v>
      </c>
      <c r="L33" s="187">
        <f>IF(SUM(F25:H25)=0,0,SUM(J25:L25)/SUM(F25:H25)-1)</f>
        <v>-0.15789473684210531</v>
      </c>
      <c r="M33" s="186">
        <f>IF(L25=0,0,N25/L25-1)</f>
        <v>0</v>
      </c>
      <c r="N33" s="186">
        <f t="shared" si="9"/>
        <v>0</v>
      </c>
      <c r="O33" s="186">
        <f t="shared" si="9"/>
        <v>0</v>
      </c>
      <c r="P33" s="187">
        <f>IF(SUM(J25:L25)=0,0,SUM(N25:P25)/SUM(J25:L25)-1)</f>
        <v>-1</v>
      </c>
      <c r="Q33" s="186">
        <f>IF(P25=0,0,R25/P25-1)</f>
        <v>0</v>
      </c>
      <c r="R33" s="186">
        <f t="shared" si="10"/>
        <v>0</v>
      </c>
      <c r="S33" s="186">
        <f t="shared" si="10"/>
        <v>0</v>
      </c>
      <c r="T33" s="187">
        <f>IF(SUM(N25:P25)=0,0,SUM(R25:T25)/SUM(N25:P25)-1)</f>
        <v>0</v>
      </c>
      <c r="U33" s="186">
        <f>IF(T25=0,0,V25/T25-1)</f>
        <v>0</v>
      </c>
      <c r="V33" s="186">
        <f t="shared" si="11"/>
        <v>0</v>
      </c>
      <c r="W33" s="186">
        <f t="shared" si="11"/>
        <v>0</v>
      </c>
      <c r="X33" s="187">
        <f>IF(SUM(R25:T25)=0,0,SUM(V25:X25)/SUM(R25:T25)-1)</f>
        <v>0</v>
      </c>
    </row>
    <row r="34" spans="1:25" ht="12.75" hidden="1" customHeight="1" outlineLevel="1" collapsed="1" x14ac:dyDescent="0.2"/>
    <row r="35" spans="1:25" ht="12.75" customHeight="1" collapsed="1" x14ac:dyDescent="0.2"/>
    <row r="37" spans="1:25" ht="12.75" customHeight="1" collapsed="1" x14ac:dyDescent="0.2">
      <c r="A37" s="464" t="str">
        <f>"Summary by Practice Area and Office"</f>
        <v>Summary by Practice Area and Office</v>
      </c>
      <c r="B37" s="464"/>
      <c r="C37" s="464"/>
      <c r="D37" s="464"/>
    </row>
    <row r="38" spans="1:25" ht="12.75" hidden="1" customHeight="1" outlineLevel="1" x14ac:dyDescent="0.2">
      <c r="A38" s="1" t="str">
        <f>""</f>
        <v/>
      </c>
    </row>
    <row r="39" spans="1:25" ht="12.75" hidden="1" customHeight="1" outlineLevel="1" x14ac:dyDescent="0.2">
      <c r="B39" s="9" t="str">
        <f>'(FnCalls 1)'!F41</f>
        <v>MMM 2010</v>
      </c>
      <c r="C39" s="10" t="str">
        <f>'(FnCalls 1)'!F42</f>
        <v>MMM 2010</v>
      </c>
      <c r="D39" s="10" t="str">
        <f>'(FnCalls 1)'!F43</f>
        <v>MMM 2010</v>
      </c>
      <c r="E39" s="181" t="str">
        <f>'(FnCalls 1)'!G41</f>
        <v>Q1 2010</v>
      </c>
      <c r="F39" s="10" t="str">
        <f>'(FnCalls 1)'!F44</f>
        <v>MMM 2010</v>
      </c>
      <c r="G39" s="10" t="str">
        <f>'(FnCalls 1)'!F45</f>
        <v>MMM 2010</v>
      </c>
      <c r="H39" s="10" t="str">
        <f>'(FnCalls 1)'!F46</f>
        <v>MMM 2010</v>
      </c>
      <c r="I39" s="181" t="str">
        <f>'(FnCalls 1)'!G44</f>
        <v>Q2 2010</v>
      </c>
      <c r="J39" s="10" t="str">
        <f>'(FnCalls 1)'!F47</f>
        <v>MMM 2010</v>
      </c>
      <c r="K39" s="10" t="str">
        <f>'(FnCalls 1)'!F48</f>
        <v>MMM 2010</v>
      </c>
      <c r="L39" s="10" t="str">
        <f>'(FnCalls 1)'!F49</f>
        <v>MMM 2010</v>
      </c>
      <c r="M39" s="181" t="str">
        <f>'(FnCalls 1)'!G47</f>
        <v>Q3 2010</v>
      </c>
      <c r="N39" s="10" t="str">
        <f>'(FnCalls 1)'!F50</f>
        <v>MMM 2010</v>
      </c>
      <c r="O39" s="10" t="str">
        <f>'(FnCalls 1)'!F51</f>
        <v>MMM 2010</v>
      </c>
      <c r="P39" s="10" t="str">
        <f>'(FnCalls 1)'!F52</f>
        <v>MMM 2010</v>
      </c>
      <c r="Q39" s="181" t="str">
        <f>'(FnCalls 1)'!G50</f>
        <v>Q4 2010</v>
      </c>
      <c r="R39" s="10" t="str">
        <f>'(FnCalls 1)'!F53</f>
        <v>MMM 2011</v>
      </c>
      <c r="S39" s="10" t="str">
        <f>'(FnCalls 1)'!F54</f>
        <v>MMM 2011</v>
      </c>
      <c r="T39" s="10" t="str">
        <f>'(FnCalls 1)'!F55</f>
        <v>MMM 2011</v>
      </c>
      <c r="U39" s="181" t="str">
        <f>'(FnCalls 1)'!G53</f>
        <v>Q1 2011</v>
      </c>
      <c r="V39" s="10" t="str">
        <f>'(FnCalls 1)'!F56</f>
        <v>MMM 2011</v>
      </c>
      <c r="W39" s="10" t="str">
        <f>'(FnCalls 1)'!F57</f>
        <v>MMM 2011</v>
      </c>
      <c r="X39" s="10" t="str">
        <f>'(FnCalls 1)'!F58</f>
        <v>MMM 2011</v>
      </c>
      <c r="Y39" s="181" t="str">
        <f>'(FnCalls 1)'!G56</f>
        <v>Q2 2011</v>
      </c>
    </row>
    <row r="40" spans="1:25" ht="12.75" hidden="1" customHeight="1" outlineLevel="1" x14ac:dyDescent="0.2">
      <c r="A40" s="182" t="str">
        <f>Labels!B226</f>
        <v>Revenue</v>
      </c>
      <c r="B40" s="183"/>
      <c r="C40" s="183"/>
      <c r="D40" s="183"/>
      <c r="E40" s="184"/>
      <c r="F40" s="183"/>
      <c r="G40" s="183"/>
      <c r="H40" s="183"/>
      <c r="I40" s="184"/>
      <c r="J40" s="183"/>
      <c r="K40" s="183"/>
      <c r="L40" s="183"/>
      <c r="M40" s="184"/>
      <c r="N40" s="183"/>
      <c r="O40" s="183"/>
      <c r="P40" s="183"/>
      <c r="Q40" s="184"/>
      <c r="R40" s="183"/>
      <c r="S40" s="183"/>
      <c r="T40" s="183"/>
      <c r="U40" s="184"/>
      <c r="V40" s="183"/>
      <c r="W40" s="183"/>
      <c r="X40" s="183"/>
      <c r="Y40" s="184"/>
    </row>
    <row r="41" spans="1:25" ht="12.75" hidden="1" customHeight="1" outlineLevel="1" x14ac:dyDescent="0.2">
      <c r="A41" s="188" t="str">
        <f>"   "&amp;Labels!B381</f>
        <v xml:space="preserve">   Practice 1</v>
      </c>
      <c r="B41" s="196"/>
      <c r="C41" s="196"/>
      <c r="D41" s="196"/>
      <c r="E41" s="197"/>
      <c r="F41" s="196"/>
      <c r="G41" s="196"/>
      <c r="H41" s="196"/>
      <c r="I41" s="197"/>
      <c r="J41" s="196"/>
      <c r="K41" s="196"/>
      <c r="L41" s="196"/>
      <c r="M41" s="197"/>
      <c r="N41" s="196"/>
      <c r="O41" s="196"/>
      <c r="P41" s="196"/>
      <c r="Q41" s="197"/>
      <c r="R41" s="196"/>
      <c r="S41" s="196"/>
      <c r="T41" s="196"/>
      <c r="U41" s="197"/>
      <c r="V41" s="196"/>
      <c r="W41" s="196"/>
      <c r="X41" s="196"/>
      <c r="Y41" s="197"/>
    </row>
    <row r="42" spans="1:25" ht="12.75" hidden="1" customHeight="1" outlineLevel="1" x14ac:dyDescent="0.2">
      <c r="A42" s="198" t="str">
        <f>"      "&amp;Labels!B317</f>
        <v xml:space="preserve">      Channels 1</v>
      </c>
      <c r="B42" s="226">
        <f t="shared" ref="B42:D43" si="12">SUM(B109,B113)</f>
        <v>0</v>
      </c>
      <c r="C42" s="226">
        <f t="shared" si="12"/>
        <v>0</v>
      </c>
      <c r="D42" s="226">
        <f t="shared" si="12"/>
        <v>57750</v>
      </c>
      <c r="E42" s="227">
        <f>SUM(B42:D42)</f>
        <v>57750</v>
      </c>
      <c r="F42" s="226">
        <f t="shared" ref="F42:H43" si="13">SUM(F109,F113)</f>
        <v>57750</v>
      </c>
      <c r="G42" s="226">
        <f t="shared" si="13"/>
        <v>0</v>
      </c>
      <c r="H42" s="226">
        <f t="shared" si="13"/>
        <v>42000</v>
      </c>
      <c r="I42" s="227">
        <f>SUM(F42:H42)</f>
        <v>99750</v>
      </c>
      <c r="J42" s="226">
        <f t="shared" ref="J42:L43" si="14">SUM(J109,J113)</f>
        <v>42000</v>
      </c>
      <c r="K42" s="226">
        <f t="shared" si="14"/>
        <v>42000</v>
      </c>
      <c r="L42" s="226">
        <f t="shared" si="14"/>
        <v>0</v>
      </c>
      <c r="M42" s="227">
        <f>SUM(J42:L42)</f>
        <v>84000</v>
      </c>
      <c r="N42" s="226">
        <f t="shared" ref="N42:P43" si="15">SUM(N109,N113)</f>
        <v>0</v>
      </c>
      <c r="O42" s="226">
        <f t="shared" si="15"/>
        <v>0</v>
      </c>
      <c r="P42" s="226">
        <f t="shared" si="15"/>
        <v>0</v>
      </c>
      <c r="Q42" s="227">
        <f>SUM(N42:P42)</f>
        <v>0</v>
      </c>
      <c r="R42" s="226">
        <f t="shared" ref="R42:T43" si="16">SUM(R109,R113)</f>
        <v>0</v>
      </c>
      <c r="S42" s="226">
        <f t="shared" si="16"/>
        <v>0</v>
      </c>
      <c r="T42" s="226">
        <f t="shared" si="16"/>
        <v>0</v>
      </c>
      <c r="U42" s="227">
        <f>SUM(R42:T42)</f>
        <v>0</v>
      </c>
      <c r="V42" s="226">
        <f t="shared" ref="V42:X43" si="17">SUM(V109,V113)</f>
        <v>0</v>
      </c>
      <c r="W42" s="226">
        <f t="shared" si="17"/>
        <v>0</v>
      </c>
      <c r="X42" s="226">
        <f t="shared" si="17"/>
        <v>0</v>
      </c>
      <c r="Y42" s="227">
        <f>SUM(V42:X42)</f>
        <v>0</v>
      </c>
    </row>
    <row r="43" spans="1:25" ht="12.75" hidden="1" customHeight="1" outlineLevel="1" x14ac:dyDescent="0.2">
      <c r="A43" s="198" t="str">
        <f>"      "&amp;Labels!B318</f>
        <v xml:space="preserve">      Channels 2</v>
      </c>
      <c r="B43" s="226">
        <f t="shared" si="12"/>
        <v>0</v>
      </c>
      <c r="C43" s="226">
        <f t="shared" si="12"/>
        <v>0</v>
      </c>
      <c r="D43" s="226">
        <f t="shared" si="12"/>
        <v>55000</v>
      </c>
      <c r="E43" s="227">
        <f>SUM(B43:D43)</f>
        <v>55000</v>
      </c>
      <c r="F43" s="226">
        <f t="shared" si="13"/>
        <v>55000</v>
      </c>
      <c r="G43" s="226">
        <f t="shared" si="13"/>
        <v>0</v>
      </c>
      <c r="H43" s="226">
        <f t="shared" si="13"/>
        <v>40000</v>
      </c>
      <c r="I43" s="227">
        <f>SUM(F43:H43)</f>
        <v>95000</v>
      </c>
      <c r="J43" s="226">
        <f t="shared" si="14"/>
        <v>40000</v>
      </c>
      <c r="K43" s="226">
        <f t="shared" si="14"/>
        <v>40000</v>
      </c>
      <c r="L43" s="226">
        <f t="shared" si="14"/>
        <v>0</v>
      </c>
      <c r="M43" s="227">
        <f>SUM(J43:L43)</f>
        <v>80000</v>
      </c>
      <c r="N43" s="226">
        <f t="shared" si="15"/>
        <v>0</v>
      </c>
      <c r="O43" s="226">
        <f t="shared" si="15"/>
        <v>0</v>
      </c>
      <c r="P43" s="226">
        <f t="shared" si="15"/>
        <v>0</v>
      </c>
      <c r="Q43" s="227">
        <f>SUM(N43:P43)</f>
        <v>0</v>
      </c>
      <c r="R43" s="226">
        <f t="shared" si="16"/>
        <v>0</v>
      </c>
      <c r="S43" s="226">
        <f t="shared" si="16"/>
        <v>0</v>
      </c>
      <c r="T43" s="226">
        <f t="shared" si="16"/>
        <v>0</v>
      </c>
      <c r="U43" s="227">
        <f>SUM(R43:T43)</f>
        <v>0</v>
      </c>
      <c r="V43" s="226">
        <f t="shared" si="17"/>
        <v>0</v>
      </c>
      <c r="W43" s="226">
        <f t="shared" si="17"/>
        <v>0</v>
      </c>
      <c r="X43" s="226">
        <f t="shared" si="17"/>
        <v>0</v>
      </c>
      <c r="Y43" s="227">
        <f>SUM(V43:X43)</f>
        <v>0</v>
      </c>
    </row>
    <row r="44" spans="1:25" ht="12.75" hidden="1" customHeight="1" outlineLevel="1" x14ac:dyDescent="0.2">
      <c r="A44" s="188" t="str">
        <f>"      "&amp;Labels!C316</f>
        <v xml:space="preserve">      Total</v>
      </c>
      <c r="B44" s="196">
        <f>SUM(B75:B76)</f>
        <v>0</v>
      </c>
      <c r="C44" s="196">
        <f>SUM(C75:C76)</f>
        <v>0</v>
      </c>
      <c r="D44" s="196">
        <f>SUM(D75:D76)</f>
        <v>112750</v>
      </c>
      <c r="E44" s="197">
        <f>SUM(B44:D44)</f>
        <v>112750</v>
      </c>
      <c r="F44" s="196">
        <f>SUM(F75:F76)</f>
        <v>112750</v>
      </c>
      <c r="G44" s="196">
        <f>SUM(G75:G76)</f>
        <v>0</v>
      </c>
      <c r="H44" s="196">
        <f>SUM(H75:H76)</f>
        <v>82000</v>
      </c>
      <c r="I44" s="197">
        <f>SUM(F44:H44)</f>
        <v>194750</v>
      </c>
      <c r="J44" s="196">
        <f>SUM(J75:J76)</f>
        <v>82000</v>
      </c>
      <c r="K44" s="196">
        <f>SUM(K75:K76)</f>
        <v>82000</v>
      </c>
      <c r="L44" s="196">
        <f>SUM(L75:L76)</f>
        <v>0</v>
      </c>
      <c r="M44" s="197">
        <f>SUM(J44:L44)</f>
        <v>164000</v>
      </c>
      <c r="N44" s="196">
        <f>SUM(N75:N76)</f>
        <v>0</v>
      </c>
      <c r="O44" s="196">
        <f>SUM(O75:O76)</f>
        <v>0</v>
      </c>
      <c r="P44" s="196">
        <f>SUM(P75:P76)</f>
        <v>0</v>
      </c>
      <c r="Q44" s="197">
        <f>SUM(N44:P44)</f>
        <v>0</v>
      </c>
      <c r="R44" s="196">
        <f>SUM(R75:R76)</f>
        <v>0</v>
      </c>
      <c r="S44" s="196">
        <f>SUM(S75:S76)</f>
        <v>0</v>
      </c>
      <c r="T44" s="196">
        <f>SUM(T75:T76)</f>
        <v>0</v>
      </c>
      <c r="U44" s="197">
        <f>SUM(R44:T44)</f>
        <v>0</v>
      </c>
      <c r="V44" s="196">
        <f>SUM(V75:V76)</f>
        <v>0</v>
      </c>
      <c r="W44" s="196">
        <f>SUM(W75:W76)</f>
        <v>0</v>
      </c>
      <c r="X44" s="196">
        <f>SUM(X75:X76)</f>
        <v>0</v>
      </c>
      <c r="Y44" s="197">
        <f>SUM(V44:X44)</f>
        <v>0</v>
      </c>
    </row>
    <row r="45" spans="1:25" ht="12.75" hidden="1" customHeight="1" outlineLevel="1" x14ac:dyDescent="0.2">
      <c r="A45" s="188" t="str">
        <f>"   "&amp;Labels!B382</f>
        <v xml:space="preserve">   Practice 2</v>
      </c>
      <c r="B45" s="196"/>
      <c r="C45" s="196"/>
      <c r="D45" s="196"/>
      <c r="E45" s="197"/>
      <c r="F45" s="196"/>
      <c r="G45" s="196"/>
      <c r="H45" s="196"/>
      <c r="I45" s="197"/>
      <c r="J45" s="196"/>
      <c r="K45" s="196"/>
      <c r="L45" s="196"/>
      <c r="M45" s="197"/>
      <c r="N45" s="196"/>
      <c r="O45" s="196"/>
      <c r="P45" s="196"/>
      <c r="Q45" s="197"/>
      <c r="R45" s="196"/>
      <c r="S45" s="196"/>
      <c r="T45" s="196"/>
      <c r="U45" s="197"/>
      <c r="V45" s="196"/>
      <c r="W45" s="196"/>
      <c r="X45" s="196"/>
      <c r="Y45" s="197"/>
    </row>
    <row r="46" spans="1:25" ht="12.75" hidden="1" customHeight="1" outlineLevel="1" x14ac:dyDescent="0.2">
      <c r="A46" s="198" t="str">
        <f>"      "&amp;Labels!B317</f>
        <v xml:space="preserve">      Channels 1</v>
      </c>
      <c r="B46" s="226">
        <f t="shared" ref="B46:D47" si="18">SUM(B122,B126)</f>
        <v>0</v>
      </c>
      <c r="C46" s="226">
        <f t="shared" si="18"/>
        <v>0</v>
      </c>
      <c r="D46" s="226">
        <f t="shared" si="18"/>
        <v>0</v>
      </c>
      <c r="E46" s="227">
        <f t="shared" ref="E46:E51" si="19">SUM(B46:D46)</f>
        <v>0</v>
      </c>
      <c r="F46" s="226">
        <f t="shared" ref="F46:H47" si="20">SUM(F122,F126)</f>
        <v>0</v>
      </c>
      <c r="G46" s="226">
        <f t="shared" si="20"/>
        <v>0</v>
      </c>
      <c r="H46" s="226">
        <f t="shared" si="20"/>
        <v>0</v>
      </c>
      <c r="I46" s="227">
        <f t="shared" ref="I46:I51" si="21">SUM(F46:H46)</f>
        <v>0</v>
      </c>
      <c r="J46" s="226">
        <f t="shared" ref="J46:L47" si="22">SUM(J122,J126)</f>
        <v>0</v>
      </c>
      <c r="K46" s="226">
        <f t="shared" si="22"/>
        <v>0</v>
      </c>
      <c r="L46" s="226">
        <f t="shared" si="22"/>
        <v>0</v>
      </c>
      <c r="M46" s="227">
        <f t="shared" ref="M46:M51" si="23">SUM(J46:L46)</f>
        <v>0</v>
      </c>
      <c r="N46" s="226">
        <f t="shared" ref="N46:P47" si="24">SUM(N122,N126)</f>
        <v>0</v>
      </c>
      <c r="O46" s="226">
        <f t="shared" si="24"/>
        <v>0</v>
      </c>
      <c r="P46" s="226">
        <f t="shared" si="24"/>
        <v>0</v>
      </c>
      <c r="Q46" s="227">
        <f t="shared" ref="Q46:Q51" si="25">SUM(N46:P46)</f>
        <v>0</v>
      </c>
      <c r="R46" s="226">
        <f t="shared" ref="R46:T47" si="26">SUM(R122,R126)</f>
        <v>0</v>
      </c>
      <c r="S46" s="226">
        <f t="shared" si="26"/>
        <v>0</v>
      </c>
      <c r="T46" s="226">
        <f t="shared" si="26"/>
        <v>0</v>
      </c>
      <c r="U46" s="227">
        <f t="shared" ref="U46:U51" si="27">SUM(R46:T46)</f>
        <v>0</v>
      </c>
      <c r="V46" s="226">
        <f t="shared" ref="V46:X47" si="28">SUM(V122,V126)</f>
        <v>0</v>
      </c>
      <c r="W46" s="226">
        <f t="shared" si="28"/>
        <v>0</v>
      </c>
      <c r="X46" s="226">
        <f t="shared" si="28"/>
        <v>0</v>
      </c>
      <c r="Y46" s="227">
        <f t="shared" ref="Y46:Y51" si="29">SUM(V46:X46)</f>
        <v>0</v>
      </c>
    </row>
    <row r="47" spans="1:25" ht="12.75" hidden="1" customHeight="1" outlineLevel="1" x14ac:dyDescent="0.2">
      <c r="A47" s="198" t="str">
        <f>"      "&amp;Labels!B318</f>
        <v xml:space="preserve">      Channels 2</v>
      </c>
      <c r="B47" s="226">
        <f t="shared" si="18"/>
        <v>0</v>
      </c>
      <c r="C47" s="226">
        <f t="shared" si="18"/>
        <v>0</v>
      </c>
      <c r="D47" s="226">
        <f t="shared" si="18"/>
        <v>0</v>
      </c>
      <c r="E47" s="227">
        <f t="shared" si="19"/>
        <v>0</v>
      </c>
      <c r="F47" s="226">
        <f t="shared" si="20"/>
        <v>0</v>
      </c>
      <c r="G47" s="226">
        <f t="shared" si="20"/>
        <v>0</v>
      </c>
      <c r="H47" s="226">
        <f t="shared" si="20"/>
        <v>0</v>
      </c>
      <c r="I47" s="227">
        <f t="shared" si="21"/>
        <v>0</v>
      </c>
      <c r="J47" s="226">
        <f t="shared" si="22"/>
        <v>0</v>
      </c>
      <c r="K47" s="226">
        <f t="shared" si="22"/>
        <v>0</v>
      </c>
      <c r="L47" s="226">
        <f t="shared" si="22"/>
        <v>0</v>
      </c>
      <c r="M47" s="227">
        <f t="shared" si="23"/>
        <v>0</v>
      </c>
      <c r="N47" s="226">
        <f t="shared" si="24"/>
        <v>0</v>
      </c>
      <c r="O47" s="226">
        <f t="shared" si="24"/>
        <v>0</v>
      </c>
      <c r="P47" s="226">
        <f t="shared" si="24"/>
        <v>0</v>
      </c>
      <c r="Q47" s="227">
        <f t="shared" si="25"/>
        <v>0</v>
      </c>
      <c r="R47" s="226">
        <f t="shared" si="26"/>
        <v>0</v>
      </c>
      <c r="S47" s="226">
        <f t="shared" si="26"/>
        <v>0</v>
      </c>
      <c r="T47" s="226">
        <f t="shared" si="26"/>
        <v>0</v>
      </c>
      <c r="U47" s="227">
        <f t="shared" si="27"/>
        <v>0</v>
      </c>
      <c r="V47" s="226">
        <f t="shared" si="28"/>
        <v>0</v>
      </c>
      <c r="W47" s="226">
        <f t="shared" si="28"/>
        <v>0</v>
      </c>
      <c r="X47" s="226">
        <f t="shared" si="28"/>
        <v>0</v>
      </c>
      <c r="Y47" s="227">
        <f t="shared" si="29"/>
        <v>0</v>
      </c>
    </row>
    <row r="48" spans="1:25" ht="12.75" hidden="1" customHeight="1" outlineLevel="1" x14ac:dyDescent="0.2">
      <c r="A48" s="188" t="str">
        <f>"      "&amp;Labels!C316</f>
        <v xml:space="preserve">      Total</v>
      </c>
      <c r="B48" s="196">
        <f>SUM(B79:B80)</f>
        <v>0</v>
      </c>
      <c r="C48" s="196">
        <f>SUM(C79:C80)</f>
        <v>0</v>
      </c>
      <c r="D48" s="196">
        <f>SUM(D79:D80)</f>
        <v>0</v>
      </c>
      <c r="E48" s="197">
        <f t="shared" si="19"/>
        <v>0</v>
      </c>
      <c r="F48" s="196">
        <f>SUM(F79:F80)</f>
        <v>0</v>
      </c>
      <c r="G48" s="196">
        <f>SUM(G79:G80)</f>
        <v>0</v>
      </c>
      <c r="H48" s="196">
        <f>SUM(H79:H80)</f>
        <v>0</v>
      </c>
      <c r="I48" s="197">
        <f t="shared" si="21"/>
        <v>0</v>
      </c>
      <c r="J48" s="196">
        <f>SUM(J79:J80)</f>
        <v>0</v>
      </c>
      <c r="K48" s="196">
        <f>SUM(K79:K80)</f>
        <v>0</v>
      </c>
      <c r="L48" s="196">
        <f>SUM(L79:L80)</f>
        <v>0</v>
      </c>
      <c r="M48" s="197">
        <f t="shared" si="23"/>
        <v>0</v>
      </c>
      <c r="N48" s="196">
        <f>SUM(N79:N80)</f>
        <v>0</v>
      </c>
      <c r="O48" s="196">
        <f>SUM(O79:O80)</f>
        <v>0</v>
      </c>
      <c r="P48" s="196">
        <f>SUM(P79:P80)</f>
        <v>0</v>
      </c>
      <c r="Q48" s="197">
        <f t="shared" si="25"/>
        <v>0</v>
      </c>
      <c r="R48" s="196">
        <f>SUM(R79:R80)</f>
        <v>0</v>
      </c>
      <c r="S48" s="196">
        <f>SUM(S79:S80)</f>
        <v>0</v>
      </c>
      <c r="T48" s="196">
        <f>SUM(T79:T80)</f>
        <v>0</v>
      </c>
      <c r="U48" s="197">
        <f t="shared" si="27"/>
        <v>0</v>
      </c>
      <c r="V48" s="196">
        <f>SUM(V79:V80)</f>
        <v>0</v>
      </c>
      <c r="W48" s="196">
        <f>SUM(W79:W80)</f>
        <v>0</v>
      </c>
      <c r="X48" s="196">
        <f>SUM(X79:X80)</f>
        <v>0</v>
      </c>
      <c r="Y48" s="197">
        <f t="shared" si="29"/>
        <v>0</v>
      </c>
    </row>
    <row r="49" spans="1:25" ht="12.75" hidden="1" customHeight="1" outlineLevel="1" x14ac:dyDescent="0.2">
      <c r="A49" s="191" t="str">
        <f>"   "&amp;Labels!C380</f>
        <v xml:space="preserve">   Total</v>
      </c>
      <c r="B49" s="192">
        <f>SUM(B44,B48)</f>
        <v>0</v>
      </c>
      <c r="C49" s="192">
        <f>SUM(C44,C48)</f>
        <v>0</v>
      </c>
      <c r="D49" s="192">
        <f>SUM(D44,D48)</f>
        <v>112750</v>
      </c>
      <c r="E49" s="190">
        <f t="shared" si="19"/>
        <v>112750</v>
      </c>
      <c r="F49" s="192">
        <f>SUM(F44,F48)</f>
        <v>112750</v>
      </c>
      <c r="G49" s="192">
        <f>SUM(G44,G48)</f>
        <v>0</v>
      </c>
      <c r="H49" s="192">
        <f>SUM(H44,H48)</f>
        <v>82000</v>
      </c>
      <c r="I49" s="190">
        <f t="shared" si="21"/>
        <v>194750</v>
      </c>
      <c r="J49" s="192">
        <f>SUM(J44,J48)</f>
        <v>82000</v>
      </c>
      <c r="K49" s="192">
        <f>SUM(K44,K48)</f>
        <v>82000</v>
      </c>
      <c r="L49" s="192">
        <f>SUM(L44,L48)</f>
        <v>0</v>
      </c>
      <c r="M49" s="190">
        <f t="shared" si="23"/>
        <v>164000</v>
      </c>
      <c r="N49" s="192">
        <f>SUM(N44,N48)</f>
        <v>0</v>
      </c>
      <c r="O49" s="192">
        <f>SUM(O44,O48)</f>
        <v>0</v>
      </c>
      <c r="P49" s="192">
        <f>SUM(P44,P48)</f>
        <v>0</v>
      </c>
      <c r="Q49" s="190">
        <f t="shared" si="25"/>
        <v>0</v>
      </c>
      <c r="R49" s="192">
        <f>SUM(R44,R48)</f>
        <v>0</v>
      </c>
      <c r="S49" s="192">
        <f>SUM(S44,S48)</f>
        <v>0</v>
      </c>
      <c r="T49" s="192">
        <f>SUM(T44,T48)</f>
        <v>0</v>
      </c>
      <c r="U49" s="190">
        <f t="shared" si="27"/>
        <v>0</v>
      </c>
      <c r="V49" s="192">
        <f>SUM(V44,V48)</f>
        <v>0</v>
      </c>
      <c r="W49" s="192">
        <f>SUM(W44,W48)</f>
        <v>0</v>
      </c>
      <c r="X49" s="192">
        <f>SUM(X44,X48)</f>
        <v>0</v>
      </c>
      <c r="Y49" s="190">
        <f t="shared" si="29"/>
        <v>0</v>
      </c>
    </row>
    <row r="50" spans="1:25" ht="12.75" hidden="1" customHeight="1" outlineLevel="1" x14ac:dyDescent="0.2">
      <c r="A50" s="198" t="str">
        <f>"      "&amp;Labels!B317</f>
        <v xml:space="preserve">      Channels 1</v>
      </c>
      <c r="B50" s="226">
        <f t="shared" ref="B50:D52" si="30">SUM(B42,B46)</f>
        <v>0</v>
      </c>
      <c r="C50" s="226">
        <f t="shared" si="30"/>
        <v>0</v>
      </c>
      <c r="D50" s="226">
        <f t="shared" si="30"/>
        <v>57750</v>
      </c>
      <c r="E50" s="227">
        <f t="shared" si="19"/>
        <v>57750</v>
      </c>
      <c r="F50" s="226">
        <f t="shared" ref="F50:H52" si="31">SUM(F42,F46)</f>
        <v>57750</v>
      </c>
      <c r="G50" s="226">
        <f t="shared" si="31"/>
        <v>0</v>
      </c>
      <c r="H50" s="226">
        <f t="shared" si="31"/>
        <v>42000</v>
      </c>
      <c r="I50" s="227">
        <f t="shared" si="21"/>
        <v>99750</v>
      </c>
      <c r="J50" s="226">
        <f t="shared" ref="J50:L52" si="32">SUM(J42,J46)</f>
        <v>42000</v>
      </c>
      <c r="K50" s="226">
        <f t="shared" si="32"/>
        <v>42000</v>
      </c>
      <c r="L50" s="226">
        <f t="shared" si="32"/>
        <v>0</v>
      </c>
      <c r="M50" s="227">
        <f t="shared" si="23"/>
        <v>84000</v>
      </c>
      <c r="N50" s="226">
        <f t="shared" ref="N50:P52" si="33">SUM(N42,N46)</f>
        <v>0</v>
      </c>
      <c r="O50" s="226">
        <f t="shared" si="33"/>
        <v>0</v>
      </c>
      <c r="P50" s="226">
        <f t="shared" si="33"/>
        <v>0</v>
      </c>
      <c r="Q50" s="227">
        <f t="shared" si="25"/>
        <v>0</v>
      </c>
      <c r="R50" s="226">
        <f t="shared" ref="R50:T52" si="34">SUM(R42,R46)</f>
        <v>0</v>
      </c>
      <c r="S50" s="226">
        <f t="shared" si="34"/>
        <v>0</v>
      </c>
      <c r="T50" s="226">
        <f t="shared" si="34"/>
        <v>0</v>
      </c>
      <c r="U50" s="227">
        <f t="shared" si="27"/>
        <v>0</v>
      </c>
      <c r="V50" s="226">
        <f t="shared" ref="V50:X52" si="35">SUM(V42,V46)</f>
        <v>0</v>
      </c>
      <c r="W50" s="226">
        <f t="shared" si="35"/>
        <v>0</v>
      </c>
      <c r="X50" s="226">
        <f t="shared" si="35"/>
        <v>0</v>
      </c>
      <c r="Y50" s="227">
        <f t="shared" si="29"/>
        <v>0</v>
      </c>
    </row>
    <row r="51" spans="1:25" ht="12.75" hidden="1" customHeight="1" outlineLevel="1" x14ac:dyDescent="0.2">
      <c r="A51" s="198" t="str">
        <f>"      "&amp;Labels!B318</f>
        <v xml:space="preserve">      Channels 2</v>
      </c>
      <c r="B51" s="226">
        <f t="shared" si="30"/>
        <v>0</v>
      </c>
      <c r="C51" s="226">
        <f t="shared" si="30"/>
        <v>0</v>
      </c>
      <c r="D51" s="226">
        <f t="shared" si="30"/>
        <v>55000</v>
      </c>
      <c r="E51" s="227">
        <f t="shared" si="19"/>
        <v>55000</v>
      </c>
      <c r="F51" s="226">
        <f t="shared" si="31"/>
        <v>55000</v>
      </c>
      <c r="G51" s="226">
        <f t="shared" si="31"/>
        <v>0</v>
      </c>
      <c r="H51" s="226">
        <f t="shared" si="31"/>
        <v>40000</v>
      </c>
      <c r="I51" s="227">
        <f t="shared" si="21"/>
        <v>95000</v>
      </c>
      <c r="J51" s="226">
        <f t="shared" si="32"/>
        <v>40000</v>
      </c>
      <c r="K51" s="226">
        <f t="shared" si="32"/>
        <v>40000</v>
      </c>
      <c r="L51" s="226">
        <f t="shared" si="32"/>
        <v>0</v>
      </c>
      <c r="M51" s="227">
        <f t="shared" si="23"/>
        <v>80000</v>
      </c>
      <c r="N51" s="226">
        <f t="shared" si="33"/>
        <v>0</v>
      </c>
      <c r="O51" s="226">
        <f t="shared" si="33"/>
        <v>0</v>
      </c>
      <c r="P51" s="226">
        <f t="shared" si="33"/>
        <v>0</v>
      </c>
      <c r="Q51" s="227">
        <f t="shared" si="25"/>
        <v>0</v>
      </c>
      <c r="R51" s="226">
        <f t="shared" si="34"/>
        <v>0</v>
      </c>
      <c r="S51" s="226">
        <f t="shared" si="34"/>
        <v>0</v>
      </c>
      <c r="T51" s="226">
        <f t="shared" si="34"/>
        <v>0</v>
      </c>
      <c r="U51" s="227">
        <f t="shared" si="27"/>
        <v>0</v>
      </c>
      <c r="V51" s="226">
        <f t="shared" si="35"/>
        <v>0</v>
      </c>
      <c r="W51" s="226">
        <f t="shared" si="35"/>
        <v>0</v>
      </c>
      <c r="X51" s="226">
        <f t="shared" si="35"/>
        <v>0</v>
      </c>
      <c r="Y51" s="227">
        <f t="shared" si="29"/>
        <v>0</v>
      </c>
    </row>
    <row r="52" spans="1:25" ht="12.75" hidden="1" customHeight="1" outlineLevel="1" x14ac:dyDescent="0.2">
      <c r="A52" s="220" t="str">
        <f>"      "&amp;Labels!C316</f>
        <v xml:space="preserve">      Total</v>
      </c>
      <c r="B52" s="228">
        <f t="shared" si="30"/>
        <v>0</v>
      </c>
      <c r="C52" s="228">
        <f t="shared" si="30"/>
        <v>0</v>
      </c>
      <c r="D52" s="228">
        <f t="shared" si="30"/>
        <v>112750</v>
      </c>
      <c r="E52" s="229">
        <f>SUM(B49:D49)</f>
        <v>112750</v>
      </c>
      <c r="F52" s="228">
        <f t="shared" si="31"/>
        <v>112750</v>
      </c>
      <c r="G52" s="228">
        <f t="shared" si="31"/>
        <v>0</v>
      </c>
      <c r="H52" s="228">
        <f t="shared" si="31"/>
        <v>82000</v>
      </c>
      <c r="I52" s="229">
        <f>SUM(F49:H49)</f>
        <v>194750</v>
      </c>
      <c r="J52" s="228">
        <f t="shared" si="32"/>
        <v>82000</v>
      </c>
      <c r="K52" s="228">
        <f t="shared" si="32"/>
        <v>82000</v>
      </c>
      <c r="L52" s="228">
        <f t="shared" si="32"/>
        <v>0</v>
      </c>
      <c r="M52" s="229">
        <f>SUM(J49:L49)</f>
        <v>164000</v>
      </c>
      <c r="N52" s="228">
        <f t="shared" si="33"/>
        <v>0</v>
      </c>
      <c r="O52" s="228">
        <f t="shared" si="33"/>
        <v>0</v>
      </c>
      <c r="P52" s="228">
        <f t="shared" si="33"/>
        <v>0</v>
      </c>
      <c r="Q52" s="229">
        <f>SUM(N49:P49)</f>
        <v>0</v>
      </c>
      <c r="R52" s="228">
        <f t="shared" si="34"/>
        <v>0</v>
      </c>
      <c r="S52" s="228">
        <f t="shared" si="34"/>
        <v>0</v>
      </c>
      <c r="T52" s="228">
        <f t="shared" si="34"/>
        <v>0</v>
      </c>
      <c r="U52" s="229">
        <f>SUM(R49:T49)</f>
        <v>0</v>
      </c>
      <c r="V52" s="228">
        <f t="shared" si="35"/>
        <v>0</v>
      </c>
      <c r="W52" s="228">
        <f t="shared" si="35"/>
        <v>0</v>
      </c>
      <c r="X52" s="228">
        <f t="shared" si="35"/>
        <v>0</v>
      </c>
      <c r="Y52" s="229">
        <f>SUM(V49:X49)</f>
        <v>0</v>
      </c>
    </row>
    <row r="53" spans="1:25" ht="12.75" hidden="1" customHeight="1" outlineLevel="1" x14ac:dyDescent="0.2"/>
    <row r="54" spans="1:25" ht="12.75" hidden="1" customHeight="1" outlineLevel="1" x14ac:dyDescent="0.2">
      <c r="A54" s="182" t="str">
        <f>Labels!B182</f>
        <v>Prof Staff Hours Billed</v>
      </c>
      <c r="B54" s="223"/>
      <c r="C54" s="223"/>
      <c r="D54" s="223"/>
      <c r="E54" s="224"/>
      <c r="F54" s="223"/>
      <c r="G54" s="223"/>
      <c r="H54" s="223"/>
      <c r="I54" s="224"/>
      <c r="J54" s="223"/>
      <c r="K54" s="223"/>
      <c r="L54" s="223"/>
      <c r="M54" s="224"/>
      <c r="N54" s="223"/>
      <c r="O54" s="223"/>
      <c r="P54" s="223"/>
      <c r="Q54" s="224"/>
      <c r="R54" s="223"/>
      <c r="S54" s="223"/>
      <c r="T54" s="223"/>
      <c r="U54" s="224"/>
      <c r="V54" s="223"/>
      <c r="W54" s="223"/>
      <c r="X54" s="223"/>
      <c r="Y54" s="224"/>
    </row>
    <row r="55" spans="1:25" ht="12.75" hidden="1" customHeight="1" outlineLevel="1" x14ac:dyDescent="0.2">
      <c r="A55" s="188" t="str">
        <f>"   "&amp;Labels!B381</f>
        <v xml:space="preserve">   Practice 1</v>
      </c>
      <c r="B55" s="166"/>
      <c r="C55" s="166"/>
      <c r="D55" s="166"/>
      <c r="E55" s="225"/>
      <c r="F55" s="166"/>
      <c r="G55" s="166"/>
      <c r="H55" s="166"/>
      <c r="I55" s="225"/>
      <c r="J55" s="166"/>
      <c r="K55" s="166"/>
      <c r="L55" s="166"/>
      <c r="M55" s="225"/>
      <c r="N55" s="166"/>
      <c r="O55" s="166"/>
      <c r="P55" s="166"/>
      <c r="Q55" s="225"/>
      <c r="R55" s="166"/>
      <c r="S55" s="166"/>
      <c r="T55" s="166"/>
      <c r="U55" s="225"/>
      <c r="V55" s="166"/>
      <c r="W55" s="166"/>
      <c r="X55" s="166"/>
      <c r="Y55" s="225"/>
    </row>
    <row r="56" spans="1:25" ht="12.75" hidden="1" customHeight="1" outlineLevel="1" x14ac:dyDescent="0.2">
      <c r="A56" s="198" t="str">
        <f>"      "&amp;Labels!B317</f>
        <v xml:space="preserve">      Channels 1</v>
      </c>
      <c r="B56" s="237">
        <f t="shared" ref="B56:D57" si="36">SUM(B184,B188)</f>
        <v>0</v>
      </c>
      <c r="C56" s="237">
        <f t="shared" si="36"/>
        <v>0</v>
      </c>
      <c r="D56" s="237">
        <f t="shared" si="36"/>
        <v>275</v>
      </c>
      <c r="E56" s="238">
        <f>SUM(B56:D56)</f>
        <v>275</v>
      </c>
      <c r="F56" s="237">
        <f t="shared" ref="F56:H57" si="37">SUM(F184,F188)</f>
        <v>275</v>
      </c>
      <c r="G56" s="237">
        <f t="shared" si="37"/>
        <v>0</v>
      </c>
      <c r="H56" s="237">
        <f t="shared" si="37"/>
        <v>200</v>
      </c>
      <c r="I56" s="238">
        <f>SUM(F56:H56)</f>
        <v>475</v>
      </c>
      <c r="J56" s="237">
        <f t="shared" ref="J56:L57" si="38">SUM(J184,J188)</f>
        <v>200</v>
      </c>
      <c r="K56" s="237">
        <f t="shared" si="38"/>
        <v>200</v>
      </c>
      <c r="L56" s="237">
        <f t="shared" si="38"/>
        <v>0</v>
      </c>
      <c r="M56" s="238">
        <f>SUM(J56:L56)</f>
        <v>400</v>
      </c>
      <c r="N56" s="237">
        <f t="shared" ref="N56:P57" si="39">SUM(N184,N188)</f>
        <v>0</v>
      </c>
      <c r="O56" s="237">
        <f t="shared" si="39"/>
        <v>0</v>
      </c>
      <c r="P56" s="237">
        <f t="shared" si="39"/>
        <v>0</v>
      </c>
      <c r="Q56" s="238">
        <f>SUM(N56:P56)</f>
        <v>0</v>
      </c>
      <c r="R56" s="237">
        <f t="shared" ref="R56:T57" si="40">SUM(R184,R188)</f>
        <v>0</v>
      </c>
      <c r="S56" s="237">
        <f t="shared" si="40"/>
        <v>0</v>
      </c>
      <c r="T56" s="237">
        <f t="shared" si="40"/>
        <v>0</v>
      </c>
      <c r="U56" s="238">
        <f>SUM(R56:T56)</f>
        <v>0</v>
      </c>
      <c r="V56" s="237">
        <f t="shared" ref="V56:X57" si="41">SUM(V184,V188)</f>
        <v>0</v>
      </c>
      <c r="W56" s="237">
        <f t="shared" si="41"/>
        <v>0</v>
      </c>
      <c r="X56" s="237">
        <f t="shared" si="41"/>
        <v>0</v>
      </c>
      <c r="Y56" s="238">
        <f>SUM(V56:X56)</f>
        <v>0</v>
      </c>
    </row>
    <row r="57" spans="1:25" ht="12.75" hidden="1" customHeight="1" outlineLevel="1" x14ac:dyDescent="0.2">
      <c r="A57" s="198" t="str">
        <f>"      "&amp;Labels!B318</f>
        <v xml:space="preserve">      Channels 2</v>
      </c>
      <c r="B57" s="237">
        <f t="shared" si="36"/>
        <v>0</v>
      </c>
      <c r="C57" s="237">
        <f t="shared" si="36"/>
        <v>0</v>
      </c>
      <c r="D57" s="237">
        <f t="shared" si="36"/>
        <v>275</v>
      </c>
      <c r="E57" s="238">
        <f>SUM(B57:D57)</f>
        <v>275</v>
      </c>
      <c r="F57" s="237">
        <f t="shared" si="37"/>
        <v>275</v>
      </c>
      <c r="G57" s="237">
        <f t="shared" si="37"/>
        <v>0</v>
      </c>
      <c r="H57" s="237">
        <f t="shared" si="37"/>
        <v>200</v>
      </c>
      <c r="I57" s="238">
        <f>SUM(F57:H57)</f>
        <v>475</v>
      </c>
      <c r="J57" s="237">
        <f t="shared" si="38"/>
        <v>200</v>
      </c>
      <c r="K57" s="237">
        <f t="shared" si="38"/>
        <v>200</v>
      </c>
      <c r="L57" s="237">
        <f t="shared" si="38"/>
        <v>0</v>
      </c>
      <c r="M57" s="238">
        <f>SUM(J57:L57)</f>
        <v>400</v>
      </c>
      <c r="N57" s="237">
        <f t="shared" si="39"/>
        <v>0</v>
      </c>
      <c r="O57" s="237">
        <f t="shared" si="39"/>
        <v>0</v>
      </c>
      <c r="P57" s="237">
        <f t="shared" si="39"/>
        <v>0</v>
      </c>
      <c r="Q57" s="238">
        <f>SUM(N57:P57)</f>
        <v>0</v>
      </c>
      <c r="R57" s="237">
        <f t="shared" si="40"/>
        <v>0</v>
      </c>
      <c r="S57" s="237">
        <f t="shared" si="40"/>
        <v>0</v>
      </c>
      <c r="T57" s="237">
        <f t="shared" si="40"/>
        <v>0</v>
      </c>
      <c r="U57" s="238">
        <f>SUM(R57:T57)</f>
        <v>0</v>
      </c>
      <c r="V57" s="237">
        <f t="shared" si="41"/>
        <v>0</v>
      </c>
      <c r="W57" s="237">
        <f t="shared" si="41"/>
        <v>0</v>
      </c>
      <c r="X57" s="237">
        <f t="shared" si="41"/>
        <v>0</v>
      </c>
      <c r="Y57" s="238">
        <f>SUM(V57:X57)</f>
        <v>0</v>
      </c>
    </row>
    <row r="58" spans="1:25" ht="12.75" hidden="1" customHeight="1" outlineLevel="1" x14ac:dyDescent="0.2">
      <c r="A58" s="188" t="str">
        <f>"      "&amp;Labels!C316</f>
        <v xml:space="preserve">      Total</v>
      </c>
      <c r="B58" s="166">
        <f>SUM(B89:B90)</f>
        <v>0</v>
      </c>
      <c r="C58" s="166">
        <f>SUM(C89:C90)</f>
        <v>0</v>
      </c>
      <c r="D58" s="166">
        <f>SUM(D89:D90)</f>
        <v>550</v>
      </c>
      <c r="E58" s="225">
        <f>SUM(B58:D58)</f>
        <v>550</v>
      </c>
      <c r="F58" s="166">
        <f>SUM(F89:F90)</f>
        <v>550</v>
      </c>
      <c r="G58" s="166">
        <f>SUM(G89:G90)</f>
        <v>0</v>
      </c>
      <c r="H58" s="166">
        <f>SUM(H89:H90)</f>
        <v>400</v>
      </c>
      <c r="I58" s="225">
        <f>SUM(F58:H58)</f>
        <v>950</v>
      </c>
      <c r="J58" s="166">
        <f>SUM(J89:J90)</f>
        <v>400</v>
      </c>
      <c r="K58" s="166">
        <f>SUM(K89:K90)</f>
        <v>400</v>
      </c>
      <c r="L58" s="166">
        <f>SUM(L89:L90)</f>
        <v>0</v>
      </c>
      <c r="M58" s="225">
        <f>SUM(J58:L58)</f>
        <v>800</v>
      </c>
      <c r="N58" s="166">
        <f>SUM(N89:N90)</f>
        <v>0</v>
      </c>
      <c r="O58" s="166">
        <f>SUM(O89:O90)</f>
        <v>0</v>
      </c>
      <c r="P58" s="166">
        <f>SUM(P89:P90)</f>
        <v>0</v>
      </c>
      <c r="Q58" s="225">
        <f>SUM(N58:P58)</f>
        <v>0</v>
      </c>
      <c r="R58" s="166">
        <f>SUM(R89:R90)</f>
        <v>0</v>
      </c>
      <c r="S58" s="166">
        <f>SUM(S89:S90)</f>
        <v>0</v>
      </c>
      <c r="T58" s="166">
        <f>SUM(T89:T90)</f>
        <v>0</v>
      </c>
      <c r="U58" s="225">
        <f>SUM(R58:T58)</f>
        <v>0</v>
      </c>
      <c r="V58" s="166">
        <f>SUM(V89:V90)</f>
        <v>0</v>
      </c>
      <c r="W58" s="166">
        <f>SUM(W89:W90)</f>
        <v>0</v>
      </c>
      <c r="X58" s="166">
        <f>SUM(X89:X90)</f>
        <v>0</v>
      </c>
      <c r="Y58" s="225">
        <f>SUM(V58:X58)</f>
        <v>0</v>
      </c>
    </row>
    <row r="59" spans="1:25" ht="12.75" hidden="1" customHeight="1" outlineLevel="1" x14ac:dyDescent="0.2">
      <c r="A59" s="188" t="str">
        <f>"   "&amp;Labels!B382</f>
        <v xml:space="preserve">   Practice 2</v>
      </c>
      <c r="B59" s="166"/>
      <c r="C59" s="166"/>
      <c r="D59" s="166"/>
      <c r="E59" s="225"/>
      <c r="F59" s="166"/>
      <c r="G59" s="166"/>
      <c r="H59" s="166"/>
      <c r="I59" s="225"/>
      <c r="J59" s="166"/>
      <c r="K59" s="166"/>
      <c r="L59" s="166"/>
      <c r="M59" s="225"/>
      <c r="N59" s="166"/>
      <c r="O59" s="166"/>
      <c r="P59" s="166"/>
      <c r="Q59" s="225"/>
      <c r="R59" s="166"/>
      <c r="S59" s="166"/>
      <c r="T59" s="166"/>
      <c r="U59" s="225"/>
      <c r="V59" s="166"/>
      <c r="W59" s="166"/>
      <c r="X59" s="166"/>
      <c r="Y59" s="225"/>
    </row>
    <row r="60" spans="1:25" ht="12.75" hidden="1" customHeight="1" outlineLevel="1" x14ac:dyDescent="0.2">
      <c r="A60" s="198" t="str">
        <f>"      "&amp;Labels!B317</f>
        <v xml:space="preserve">      Channels 1</v>
      </c>
      <c r="B60" s="237">
        <f t="shared" ref="B60:D61" si="42">SUM(B197,B201)</f>
        <v>0</v>
      </c>
      <c r="C60" s="237">
        <f t="shared" si="42"/>
        <v>0</v>
      </c>
      <c r="D60" s="237">
        <f t="shared" si="42"/>
        <v>0</v>
      </c>
      <c r="E60" s="238">
        <f t="shared" ref="E60:E65" si="43">SUM(B60:D60)</f>
        <v>0</v>
      </c>
      <c r="F60" s="237">
        <f t="shared" ref="F60:H61" si="44">SUM(F197,F201)</f>
        <v>0</v>
      </c>
      <c r="G60" s="237">
        <f t="shared" si="44"/>
        <v>0</v>
      </c>
      <c r="H60" s="237">
        <f t="shared" si="44"/>
        <v>0</v>
      </c>
      <c r="I60" s="238">
        <f t="shared" ref="I60:I65" si="45">SUM(F60:H60)</f>
        <v>0</v>
      </c>
      <c r="J60" s="237">
        <f t="shared" ref="J60:L61" si="46">SUM(J197,J201)</f>
        <v>0</v>
      </c>
      <c r="K60" s="237">
        <f t="shared" si="46"/>
        <v>0</v>
      </c>
      <c r="L60" s="237">
        <f t="shared" si="46"/>
        <v>0</v>
      </c>
      <c r="M60" s="238">
        <f t="shared" ref="M60:M65" si="47">SUM(J60:L60)</f>
        <v>0</v>
      </c>
      <c r="N60" s="237">
        <f t="shared" ref="N60:P61" si="48">SUM(N197,N201)</f>
        <v>0</v>
      </c>
      <c r="O60" s="237">
        <f t="shared" si="48"/>
        <v>0</v>
      </c>
      <c r="P60" s="237">
        <f t="shared" si="48"/>
        <v>0</v>
      </c>
      <c r="Q60" s="238">
        <f t="shared" ref="Q60:Q65" si="49">SUM(N60:P60)</f>
        <v>0</v>
      </c>
      <c r="R60" s="237">
        <f t="shared" ref="R60:T61" si="50">SUM(R197,R201)</f>
        <v>0</v>
      </c>
      <c r="S60" s="237">
        <f t="shared" si="50"/>
        <v>0</v>
      </c>
      <c r="T60" s="237">
        <f t="shared" si="50"/>
        <v>0</v>
      </c>
      <c r="U60" s="238">
        <f t="shared" ref="U60:U65" si="51">SUM(R60:T60)</f>
        <v>0</v>
      </c>
      <c r="V60" s="237">
        <f t="shared" ref="V60:X61" si="52">SUM(V197,V201)</f>
        <v>0</v>
      </c>
      <c r="W60" s="237">
        <f t="shared" si="52"/>
        <v>0</v>
      </c>
      <c r="X60" s="237">
        <f t="shared" si="52"/>
        <v>0</v>
      </c>
      <c r="Y60" s="238">
        <f t="shared" ref="Y60:Y65" si="53">SUM(V60:X60)</f>
        <v>0</v>
      </c>
    </row>
    <row r="61" spans="1:25" ht="12.75" hidden="1" customHeight="1" outlineLevel="1" x14ac:dyDescent="0.2">
      <c r="A61" s="198" t="str">
        <f>"      "&amp;Labels!B318</f>
        <v xml:space="preserve">      Channels 2</v>
      </c>
      <c r="B61" s="237">
        <f t="shared" si="42"/>
        <v>0</v>
      </c>
      <c r="C61" s="237">
        <f t="shared" si="42"/>
        <v>0</v>
      </c>
      <c r="D61" s="237">
        <f t="shared" si="42"/>
        <v>0</v>
      </c>
      <c r="E61" s="238">
        <f t="shared" si="43"/>
        <v>0</v>
      </c>
      <c r="F61" s="237">
        <f t="shared" si="44"/>
        <v>0</v>
      </c>
      <c r="G61" s="237">
        <f t="shared" si="44"/>
        <v>0</v>
      </c>
      <c r="H61" s="237">
        <f t="shared" si="44"/>
        <v>0</v>
      </c>
      <c r="I61" s="238">
        <f t="shared" si="45"/>
        <v>0</v>
      </c>
      <c r="J61" s="237">
        <f t="shared" si="46"/>
        <v>0</v>
      </c>
      <c r="K61" s="237">
        <f t="shared" si="46"/>
        <v>0</v>
      </c>
      <c r="L61" s="237">
        <f t="shared" si="46"/>
        <v>0</v>
      </c>
      <c r="M61" s="238">
        <f t="shared" si="47"/>
        <v>0</v>
      </c>
      <c r="N61" s="237">
        <f t="shared" si="48"/>
        <v>0</v>
      </c>
      <c r="O61" s="237">
        <f t="shared" si="48"/>
        <v>0</v>
      </c>
      <c r="P61" s="237">
        <f t="shared" si="48"/>
        <v>0</v>
      </c>
      <c r="Q61" s="238">
        <f t="shared" si="49"/>
        <v>0</v>
      </c>
      <c r="R61" s="237">
        <f t="shared" si="50"/>
        <v>0</v>
      </c>
      <c r="S61" s="237">
        <f t="shared" si="50"/>
        <v>0</v>
      </c>
      <c r="T61" s="237">
        <f t="shared" si="50"/>
        <v>0</v>
      </c>
      <c r="U61" s="238">
        <f t="shared" si="51"/>
        <v>0</v>
      </c>
      <c r="V61" s="237">
        <f t="shared" si="52"/>
        <v>0</v>
      </c>
      <c r="W61" s="237">
        <f t="shared" si="52"/>
        <v>0</v>
      </c>
      <c r="X61" s="237">
        <f t="shared" si="52"/>
        <v>0</v>
      </c>
      <c r="Y61" s="238">
        <f t="shared" si="53"/>
        <v>0</v>
      </c>
    </row>
    <row r="62" spans="1:25" ht="12.75" hidden="1" customHeight="1" outlineLevel="1" x14ac:dyDescent="0.2">
      <c r="A62" s="188" t="str">
        <f>"      "&amp;Labels!C316</f>
        <v xml:space="preserve">      Total</v>
      </c>
      <c r="B62" s="166">
        <f>SUM(B93:B94)</f>
        <v>0</v>
      </c>
      <c r="C62" s="166">
        <f>SUM(C93:C94)</f>
        <v>0</v>
      </c>
      <c r="D62" s="166">
        <f>SUM(D93:D94)</f>
        <v>0</v>
      </c>
      <c r="E62" s="225">
        <f t="shared" si="43"/>
        <v>0</v>
      </c>
      <c r="F62" s="166">
        <f>SUM(F93:F94)</f>
        <v>0</v>
      </c>
      <c r="G62" s="166">
        <f>SUM(G93:G94)</f>
        <v>0</v>
      </c>
      <c r="H62" s="166">
        <f>SUM(H93:H94)</f>
        <v>0</v>
      </c>
      <c r="I62" s="225">
        <f t="shared" si="45"/>
        <v>0</v>
      </c>
      <c r="J62" s="166">
        <f>SUM(J93:J94)</f>
        <v>0</v>
      </c>
      <c r="K62" s="166">
        <f>SUM(K93:K94)</f>
        <v>0</v>
      </c>
      <c r="L62" s="166">
        <f>SUM(L93:L94)</f>
        <v>0</v>
      </c>
      <c r="M62" s="225">
        <f t="shared" si="47"/>
        <v>0</v>
      </c>
      <c r="N62" s="166">
        <f>SUM(N93:N94)</f>
        <v>0</v>
      </c>
      <c r="O62" s="166">
        <f>SUM(O93:O94)</f>
        <v>0</v>
      </c>
      <c r="P62" s="166">
        <f>SUM(P93:P94)</f>
        <v>0</v>
      </c>
      <c r="Q62" s="225">
        <f t="shared" si="49"/>
        <v>0</v>
      </c>
      <c r="R62" s="166">
        <f>SUM(R93:R94)</f>
        <v>0</v>
      </c>
      <c r="S62" s="166">
        <f>SUM(S93:S94)</f>
        <v>0</v>
      </c>
      <c r="T62" s="166">
        <f>SUM(T93:T94)</f>
        <v>0</v>
      </c>
      <c r="U62" s="225">
        <f t="shared" si="51"/>
        <v>0</v>
      </c>
      <c r="V62" s="166">
        <f>SUM(V93:V94)</f>
        <v>0</v>
      </c>
      <c r="W62" s="166">
        <f>SUM(W93:W94)</f>
        <v>0</v>
      </c>
      <c r="X62" s="166">
        <f>SUM(X93:X94)</f>
        <v>0</v>
      </c>
      <c r="Y62" s="225">
        <f t="shared" si="53"/>
        <v>0</v>
      </c>
    </row>
    <row r="63" spans="1:25" ht="12.75" hidden="1" customHeight="1" outlineLevel="1" x14ac:dyDescent="0.2">
      <c r="A63" s="191" t="str">
        <f>"   "&amp;Labels!C380</f>
        <v xml:space="preserve">   Total</v>
      </c>
      <c r="B63" s="216">
        <f>SUM(B58,B62)</f>
        <v>0</v>
      </c>
      <c r="C63" s="216">
        <f>SUM(C58,C62)</f>
        <v>0</v>
      </c>
      <c r="D63" s="216">
        <f>SUM(D58,D62)</f>
        <v>550</v>
      </c>
      <c r="E63" s="217">
        <f t="shared" si="43"/>
        <v>550</v>
      </c>
      <c r="F63" s="216">
        <f>SUM(F58,F62)</f>
        <v>550</v>
      </c>
      <c r="G63" s="216">
        <f>SUM(G58,G62)</f>
        <v>0</v>
      </c>
      <c r="H63" s="216">
        <f>SUM(H58,H62)</f>
        <v>400</v>
      </c>
      <c r="I63" s="217">
        <f t="shared" si="45"/>
        <v>950</v>
      </c>
      <c r="J63" s="216">
        <f>SUM(J58,J62)</f>
        <v>400</v>
      </c>
      <c r="K63" s="216">
        <f>SUM(K58,K62)</f>
        <v>400</v>
      </c>
      <c r="L63" s="216">
        <f>SUM(L58,L62)</f>
        <v>0</v>
      </c>
      <c r="M63" s="217">
        <f t="shared" si="47"/>
        <v>800</v>
      </c>
      <c r="N63" s="216">
        <f>SUM(N58,N62)</f>
        <v>0</v>
      </c>
      <c r="O63" s="216">
        <f>SUM(O58,O62)</f>
        <v>0</v>
      </c>
      <c r="P63" s="216">
        <f>SUM(P58,P62)</f>
        <v>0</v>
      </c>
      <c r="Q63" s="217">
        <f t="shared" si="49"/>
        <v>0</v>
      </c>
      <c r="R63" s="216">
        <f>SUM(R58,R62)</f>
        <v>0</v>
      </c>
      <c r="S63" s="216">
        <f>SUM(S58,S62)</f>
        <v>0</v>
      </c>
      <c r="T63" s="216">
        <f>SUM(T58,T62)</f>
        <v>0</v>
      </c>
      <c r="U63" s="217">
        <f t="shared" si="51"/>
        <v>0</v>
      </c>
      <c r="V63" s="216">
        <f>SUM(V58,V62)</f>
        <v>0</v>
      </c>
      <c r="W63" s="216">
        <f>SUM(W58,W62)</f>
        <v>0</v>
      </c>
      <c r="X63" s="216">
        <f>SUM(X58,X62)</f>
        <v>0</v>
      </c>
      <c r="Y63" s="217">
        <f t="shared" si="53"/>
        <v>0</v>
      </c>
    </row>
    <row r="64" spans="1:25" ht="12.75" hidden="1" customHeight="1" outlineLevel="1" x14ac:dyDescent="0.2">
      <c r="A64" s="198" t="str">
        <f>"      "&amp;Labels!B317</f>
        <v xml:space="preserve">      Channels 1</v>
      </c>
      <c r="B64" s="237">
        <f t="shared" ref="B64:D66" si="54">SUM(B56,B60)</f>
        <v>0</v>
      </c>
      <c r="C64" s="237">
        <f t="shared" si="54"/>
        <v>0</v>
      </c>
      <c r="D64" s="237">
        <f t="shared" si="54"/>
        <v>275</v>
      </c>
      <c r="E64" s="238">
        <f t="shared" si="43"/>
        <v>275</v>
      </c>
      <c r="F64" s="237">
        <f t="shared" ref="F64:H66" si="55">SUM(F56,F60)</f>
        <v>275</v>
      </c>
      <c r="G64" s="237">
        <f t="shared" si="55"/>
        <v>0</v>
      </c>
      <c r="H64" s="237">
        <f t="shared" si="55"/>
        <v>200</v>
      </c>
      <c r="I64" s="238">
        <f t="shared" si="45"/>
        <v>475</v>
      </c>
      <c r="J64" s="237">
        <f t="shared" ref="J64:L66" si="56">SUM(J56,J60)</f>
        <v>200</v>
      </c>
      <c r="K64" s="237">
        <f t="shared" si="56"/>
        <v>200</v>
      </c>
      <c r="L64" s="237">
        <f t="shared" si="56"/>
        <v>0</v>
      </c>
      <c r="M64" s="238">
        <f t="shared" si="47"/>
        <v>400</v>
      </c>
      <c r="N64" s="237">
        <f t="shared" ref="N64:P66" si="57">SUM(N56,N60)</f>
        <v>0</v>
      </c>
      <c r="O64" s="237">
        <f t="shared" si="57"/>
        <v>0</v>
      </c>
      <c r="P64" s="237">
        <f t="shared" si="57"/>
        <v>0</v>
      </c>
      <c r="Q64" s="238">
        <f t="shared" si="49"/>
        <v>0</v>
      </c>
      <c r="R64" s="237">
        <f t="shared" ref="R64:T66" si="58">SUM(R56,R60)</f>
        <v>0</v>
      </c>
      <c r="S64" s="237">
        <f t="shared" si="58"/>
        <v>0</v>
      </c>
      <c r="T64" s="237">
        <f t="shared" si="58"/>
        <v>0</v>
      </c>
      <c r="U64" s="238">
        <f t="shared" si="51"/>
        <v>0</v>
      </c>
      <c r="V64" s="237">
        <f t="shared" ref="V64:X66" si="59">SUM(V56,V60)</f>
        <v>0</v>
      </c>
      <c r="W64" s="237">
        <f t="shared" si="59"/>
        <v>0</v>
      </c>
      <c r="X64" s="237">
        <f t="shared" si="59"/>
        <v>0</v>
      </c>
      <c r="Y64" s="238">
        <f t="shared" si="53"/>
        <v>0</v>
      </c>
    </row>
    <row r="65" spans="1:25" ht="12.75" hidden="1" customHeight="1" outlineLevel="1" x14ac:dyDescent="0.2">
      <c r="A65" s="198" t="str">
        <f>"      "&amp;Labels!B318</f>
        <v xml:space="preserve">      Channels 2</v>
      </c>
      <c r="B65" s="237">
        <f t="shared" si="54"/>
        <v>0</v>
      </c>
      <c r="C65" s="237">
        <f t="shared" si="54"/>
        <v>0</v>
      </c>
      <c r="D65" s="237">
        <f t="shared" si="54"/>
        <v>275</v>
      </c>
      <c r="E65" s="238">
        <f t="shared" si="43"/>
        <v>275</v>
      </c>
      <c r="F65" s="237">
        <f t="shared" si="55"/>
        <v>275</v>
      </c>
      <c r="G65" s="237">
        <f t="shared" si="55"/>
        <v>0</v>
      </c>
      <c r="H65" s="237">
        <f t="shared" si="55"/>
        <v>200</v>
      </c>
      <c r="I65" s="238">
        <f t="shared" si="45"/>
        <v>475</v>
      </c>
      <c r="J65" s="237">
        <f t="shared" si="56"/>
        <v>200</v>
      </c>
      <c r="K65" s="237">
        <f t="shared" si="56"/>
        <v>200</v>
      </c>
      <c r="L65" s="237">
        <f t="shared" si="56"/>
        <v>0</v>
      </c>
      <c r="M65" s="238">
        <f t="shared" si="47"/>
        <v>400</v>
      </c>
      <c r="N65" s="237">
        <f t="shared" si="57"/>
        <v>0</v>
      </c>
      <c r="O65" s="237">
        <f t="shared" si="57"/>
        <v>0</v>
      </c>
      <c r="P65" s="237">
        <f t="shared" si="57"/>
        <v>0</v>
      </c>
      <c r="Q65" s="238">
        <f t="shared" si="49"/>
        <v>0</v>
      </c>
      <c r="R65" s="237">
        <f t="shared" si="58"/>
        <v>0</v>
      </c>
      <c r="S65" s="237">
        <f t="shared" si="58"/>
        <v>0</v>
      </c>
      <c r="T65" s="237">
        <f t="shared" si="58"/>
        <v>0</v>
      </c>
      <c r="U65" s="238">
        <f t="shared" si="51"/>
        <v>0</v>
      </c>
      <c r="V65" s="237">
        <f t="shared" si="59"/>
        <v>0</v>
      </c>
      <c r="W65" s="237">
        <f t="shared" si="59"/>
        <v>0</v>
      </c>
      <c r="X65" s="237">
        <f t="shared" si="59"/>
        <v>0</v>
      </c>
      <c r="Y65" s="238">
        <f t="shared" si="53"/>
        <v>0</v>
      </c>
    </row>
    <row r="66" spans="1:25" ht="12.75" hidden="1" customHeight="1" outlineLevel="1" x14ac:dyDescent="0.2">
      <c r="A66" s="220" t="str">
        <f>"      "&amp;Labels!C316</f>
        <v xml:space="preserve">      Total</v>
      </c>
      <c r="B66" s="169">
        <f t="shared" si="54"/>
        <v>0</v>
      </c>
      <c r="C66" s="169">
        <f t="shared" si="54"/>
        <v>0</v>
      </c>
      <c r="D66" s="169">
        <f t="shared" si="54"/>
        <v>550</v>
      </c>
      <c r="E66" s="299">
        <f>SUM(B63:D63)</f>
        <v>550</v>
      </c>
      <c r="F66" s="169">
        <f t="shared" si="55"/>
        <v>550</v>
      </c>
      <c r="G66" s="169">
        <f t="shared" si="55"/>
        <v>0</v>
      </c>
      <c r="H66" s="169">
        <f t="shared" si="55"/>
        <v>400</v>
      </c>
      <c r="I66" s="299">
        <f>SUM(F63:H63)</f>
        <v>950</v>
      </c>
      <c r="J66" s="169">
        <f t="shared" si="56"/>
        <v>400</v>
      </c>
      <c r="K66" s="169">
        <f t="shared" si="56"/>
        <v>400</v>
      </c>
      <c r="L66" s="169">
        <f t="shared" si="56"/>
        <v>0</v>
      </c>
      <c r="M66" s="299">
        <f>SUM(J63:L63)</f>
        <v>800</v>
      </c>
      <c r="N66" s="169">
        <f t="shared" si="57"/>
        <v>0</v>
      </c>
      <c r="O66" s="169">
        <f t="shared" si="57"/>
        <v>0</v>
      </c>
      <c r="P66" s="169">
        <f t="shared" si="57"/>
        <v>0</v>
      </c>
      <c r="Q66" s="299">
        <f>SUM(N63:P63)</f>
        <v>0</v>
      </c>
      <c r="R66" s="169">
        <f t="shared" si="58"/>
        <v>0</v>
      </c>
      <c r="S66" s="169">
        <f t="shared" si="58"/>
        <v>0</v>
      </c>
      <c r="T66" s="169">
        <f t="shared" si="58"/>
        <v>0</v>
      </c>
      <c r="U66" s="299">
        <f>SUM(R63:T63)</f>
        <v>0</v>
      </c>
      <c r="V66" s="169">
        <f t="shared" si="59"/>
        <v>0</v>
      </c>
      <c r="W66" s="169">
        <f t="shared" si="59"/>
        <v>0</v>
      </c>
      <c r="X66" s="169">
        <f t="shared" si="59"/>
        <v>0</v>
      </c>
      <c r="Y66" s="299">
        <f>SUM(V63:X63)</f>
        <v>0</v>
      </c>
    </row>
    <row r="67" spans="1:25" ht="12.75" hidden="1" customHeight="1" outlineLevel="1" x14ac:dyDescent="0.2"/>
    <row r="68" spans="1:25" ht="12.75" hidden="1" customHeight="1" outlineLevel="1" collapsed="1" x14ac:dyDescent="0.2"/>
    <row r="69" spans="1:25" ht="12.75" customHeight="1" collapsed="1" x14ac:dyDescent="0.2"/>
    <row r="70" spans="1:25" ht="12.75" customHeight="1" collapsed="1" x14ac:dyDescent="0.2">
      <c r="A70" s="464" t="str">
        <f>"Summary by Practice Area and Professional Staff Type"</f>
        <v>Summary by Practice Area and Professional Staff Type</v>
      </c>
      <c r="B70" s="464"/>
      <c r="C70" s="464"/>
      <c r="D70" s="464"/>
      <c r="E70" s="464"/>
    </row>
    <row r="71" spans="1:25" ht="12.75" hidden="1" customHeight="1" outlineLevel="1" x14ac:dyDescent="0.2">
      <c r="A71" s="1" t="str">
        <f>""</f>
        <v/>
      </c>
    </row>
    <row r="72" spans="1:25" ht="12.75" hidden="1" customHeight="1" outlineLevel="1" x14ac:dyDescent="0.2">
      <c r="B72" s="9" t="str">
        <f>'(FnCalls 1)'!F41</f>
        <v>MMM 2010</v>
      </c>
      <c r="C72" s="10" t="str">
        <f>'(FnCalls 1)'!F42</f>
        <v>MMM 2010</v>
      </c>
      <c r="D72" s="10" t="str">
        <f>'(FnCalls 1)'!F43</f>
        <v>MMM 2010</v>
      </c>
      <c r="E72" s="181" t="str">
        <f>'(FnCalls 1)'!G41</f>
        <v>Q1 2010</v>
      </c>
      <c r="F72" s="10" t="str">
        <f>'(FnCalls 1)'!F44</f>
        <v>MMM 2010</v>
      </c>
      <c r="G72" s="10" t="str">
        <f>'(FnCalls 1)'!F45</f>
        <v>MMM 2010</v>
      </c>
      <c r="H72" s="10" t="str">
        <f>'(FnCalls 1)'!F46</f>
        <v>MMM 2010</v>
      </c>
      <c r="I72" s="181" t="str">
        <f>'(FnCalls 1)'!G44</f>
        <v>Q2 2010</v>
      </c>
      <c r="J72" s="10" t="str">
        <f>'(FnCalls 1)'!F47</f>
        <v>MMM 2010</v>
      </c>
      <c r="K72" s="10" t="str">
        <f>'(FnCalls 1)'!F48</f>
        <v>MMM 2010</v>
      </c>
      <c r="L72" s="10" t="str">
        <f>'(FnCalls 1)'!F49</f>
        <v>MMM 2010</v>
      </c>
      <c r="M72" s="181" t="str">
        <f>'(FnCalls 1)'!G47</f>
        <v>Q3 2010</v>
      </c>
      <c r="N72" s="10" t="str">
        <f>'(FnCalls 1)'!F50</f>
        <v>MMM 2010</v>
      </c>
      <c r="O72" s="10" t="str">
        <f>'(FnCalls 1)'!F51</f>
        <v>MMM 2010</v>
      </c>
      <c r="P72" s="10" t="str">
        <f>'(FnCalls 1)'!F52</f>
        <v>MMM 2010</v>
      </c>
      <c r="Q72" s="181" t="str">
        <f>'(FnCalls 1)'!G50</f>
        <v>Q4 2010</v>
      </c>
      <c r="R72" s="10" t="str">
        <f>'(FnCalls 1)'!F53</f>
        <v>MMM 2011</v>
      </c>
      <c r="S72" s="10" t="str">
        <f>'(FnCalls 1)'!F54</f>
        <v>MMM 2011</v>
      </c>
      <c r="T72" s="10" t="str">
        <f>'(FnCalls 1)'!F55</f>
        <v>MMM 2011</v>
      </c>
      <c r="U72" s="181" t="str">
        <f>'(FnCalls 1)'!G53</f>
        <v>Q1 2011</v>
      </c>
      <c r="V72" s="10" t="str">
        <f>'(FnCalls 1)'!F56</f>
        <v>MMM 2011</v>
      </c>
      <c r="W72" s="10" t="str">
        <f>'(FnCalls 1)'!F57</f>
        <v>MMM 2011</v>
      </c>
      <c r="X72" s="10" t="str">
        <f>'(FnCalls 1)'!F58</f>
        <v>MMM 2011</v>
      </c>
      <c r="Y72" s="181" t="str">
        <f>'(FnCalls 1)'!G56</f>
        <v>Q2 2011</v>
      </c>
    </row>
    <row r="73" spans="1:25" ht="12.75" hidden="1" customHeight="1" outlineLevel="1" x14ac:dyDescent="0.2">
      <c r="A73" s="182" t="str">
        <f>Labels!B226</f>
        <v>Revenue</v>
      </c>
      <c r="B73" s="183"/>
      <c r="C73" s="183"/>
      <c r="D73" s="183"/>
      <c r="E73" s="184"/>
      <c r="F73" s="183"/>
      <c r="G73" s="183"/>
      <c r="H73" s="183"/>
      <c r="I73" s="184"/>
      <c r="J73" s="183"/>
      <c r="K73" s="183"/>
      <c r="L73" s="183"/>
      <c r="M73" s="184"/>
      <c r="N73" s="183"/>
      <c r="O73" s="183"/>
      <c r="P73" s="183"/>
      <c r="Q73" s="184"/>
      <c r="R73" s="183"/>
      <c r="S73" s="183"/>
      <c r="T73" s="183"/>
      <c r="U73" s="184"/>
      <c r="V73" s="183"/>
      <c r="W73" s="183"/>
      <c r="X73" s="183"/>
      <c r="Y73" s="184"/>
    </row>
    <row r="74" spans="1:25" ht="12.75" hidden="1" customHeight="1" outlineLevel="1" x14ac:dyDescent="0.2">
      <c r="A74" s="188" t="str">
        <f>"   "&amp;Labels!B381</f>
        <v xml:space="preserve">   Practice 1</v>
      </c>
      <c r="B74" s="196"/>
      <c r="C74" s="196"/>
      <c r="D74" s="196"/>
      <c r="E74" s="197"/>
      <c r="F74" s="196"/>
      <c r="G74" s="196"/>
      <c r="H74" s="196"/>
      <c r="I74" s="197"/>
      <c r="J74" s="196"/>
      <c r="K74" s="196"/>
      <c r="L74" s="196"/>
      <c r="M74" s="197"/>
      <c r="N74" s="196"/>
      <c r="O74" s="196"/>
      <c r="P74" s="196"/>
      <c r="Q74" s="197"/>
      <c r="R74" s="196"/>
      <c r="S74" s="196"/>
      <c r="T74" s="196"/>
      <c r="U74" s="197"/>
      <c r="V74" s="196"/>
      <c r="W74" s="196"/>
      <c r="X74" s="196"/>
      <c r="Y74" s="197"/>
    </row>
    <row r="75" spans="1:25" ht="12.75" hidden="1" customHeight="1" outlineLevel="1" x14ac:dyDescent="0.2">
      <c r="A75" s="198" t="str">
        <f>"      "&amp;Labels!B385</f>
        <v xml:space="preserve">      Prof Level 1</v>
      </c>
      <c r="B75" s="226">
        <f>SUM(B109:B110)</f>
        <v>0</v>
      </c>
      <c r="C75" s="226">
        <f>SUM(C109:C110)</f>
        <v>0</v>
      </c>
      <c r="D75" s="226">
        <f>SUM(D109:D110)</f>
        <v>56375</v>
      </c>
      <c r="E75" s="227">
        <f>SUM(B75:D75)</f>
        <v>56375</v>
      </c>
      <c r="F75" s="226">
        <f>SUM(F109:F110)</f>
        <v>56375</v>
      </c>
      <c r="G75" s="226">
        <f>SUM(G109:G110)</f>
        <v>0</v>
      </c>
      <c r="H75" s="226">
        <f>SUM(H109:H110)</f>
        <v>41000</v>
      </c>
      <c r="I75" s="227">
        <f>SUM(F75:H75)</f>
        <v>97375</v>
      </c>
      <c r="J75" s="226">
        <f>SUM(J109:J110)</f>
        <v>41000</v>
      </c>
      <c r="K75" s="226">
        <f>SUM(K109:K110)</f>
        <v>41000</v>
      </c>
      <c r="L75" s="226">
        <f>SUM(L109:L110)</f>
        <v>0</v>
      </c>
      <c r="M75" s="227">
        <f>SUM(J75:L75)</f>
        <v>82000</v>
      </c>
      <c r="N75" s="226">
        <f>SUM(N109:N110)</f>
        <v>0</v>
      </c>
      <c r="O75" s="226">
        <f>SUM(O109:O110)</f>
        <v>0</v>
      </c>
      <c r="P75" s="226">
        <f>SUM(P109:P110)</f>
        <v>0</v>
      </c>
      <c r="Q75" s="227">
        <f>SUM(N75:P75)</f>
        <v>0</v>
      </c>
      <c r="R75" s="226">
        <f>SUM(R109:R110)</f>
        <v>0</v>
      </c>
      <c r="S75" s="226">
        <f>SUM(S109:S110)</f>
        <v>0</v>
      </c>
      <c r="T75" s="226">
        <f>SUM(T109:T110)</f>
        <v>0</v>
      </c>
      <c r="U75" s="227">
        <f>SUM(R75:T75)</f>
        <v>0</v>
      </c>
      <c r="V75" s="226">
        <f>SUM(V109:V110)</f>
        <v>0</v>
      </c>
      <c r="W75" s="226">
        <f>SUM(W109:W110)</f>
        <v>0</v>
      </c>
      <c r="X75" s="226">
        <f>SUM(X109:X110)</f>
        <v>0</v>
      </c>
      <c r="Y75" s="227">
        <f>SUM(V75:X75)</f>
        <v>0</v>
      </c>
    </row>
    <row r="76" spans="1:25" ht="12.75" hidden="1" customHeight="1" outlineLevel="1" x14ac:dyDescent="0.2">
      <c r="A76" s="198" t="str">
        <f>"      "&amp;Labels!B386</f>
        <v xml:space="preserve">      Prof Level 2</v>
      </c>
      <c r="B76" s="226">
        <f>SUM(B113:B114)</f>
        <v>0</v>
      </c>
      <c r="C76" s="226">
        <f>SUM(C113:C114)</f>
        <v>0</v>
      </c>
      <c r="D76" s="226">
        <f>SUM(D113:D114)</f>
        <v>56375</v>
      </c>
      <c r="E76" s="227">
        <f>SUM(B76:D76)</f>
        <v>56375</v>
      </c>
      <c r="F76" s="226">
        <f>SUM(F113:F114)</f>
        <v>56375</v>
      </c>
      <c r="G76" s="226">
        <f>SUM(G113:G114)</f>
        <v>0</v>
      </c>
      <c r="H76" s="226">
        <f>SUM(H113:H114)</f>
        <v>41000</v>
      </c>
      <c r="I76" s="227">
        <f>SUM(F76:H76)</f>
        <v>97375</v>
      </c>
      <c r="J76" s="226">
        <f>SUM(J113:J114)</f>
        <v>41000</v>
      </c>
      <c r="K76" s="226">
        <f>SUM(K113:K114)</f>
        <v>41000</v>
      </c>
      <c r="L76" s="226">
        <f>SUM(L113:L114)</f>
        <v>0</v>
      </c>
      <c r="M76" s="227">
        <f>SUM(J76:L76)</f>
        <v>82000</v>
      </c>
      <c r="N76" s="226">
        <f>SUM(N113:N114)</f>
        <v>0</v>
      </c>
      <c r="O76" s="226">
        <f>SUM(O113:O114)</f>
        <v>0</v>
      </c>
      <c r="P76" s="226">
        <f>SUM(P113:P114)</f>
        <v>0</v>
      </c>
      <c r="Q76" s="227">
        <f>SUM(N76:P76)</f>
        <v>0</v>
      </c>
      <c r="R76" s="226">
        <f>SUM(R113:R114)</f>
        <v>0</v>
      </c>
      <c r="S76" s="226">
        <f>SUM(S113:S114)</f>
        <v>0</v>
      </c>
      <c r="T76" s="226">
        <f>SUM(T113:T114)</f>
        <v>0</v>
      </c>
      <c r="U76" s="227">
        <f>SUM(R76:T76)</f>
        <v>0</v>
      </c>
      <c r="V76" s="226">
        <f>SUM(V113:V114)</f>
        <v>0</v>
      </c>
      <c r="W76" s="226">
        <f>SUM(W113:W114)</f>
        <v>0</v>
      </c>
      <c r="X76" s="226">
        <f>SUM(X113:X114)</f>
        <v>0</v>
      </c>
      <c r="Y76" s="227">
        <f>SUM(V76:X76)</f>
        <v>0</v>
      </c>
    </row>
    <row r="77" spans="1:25" ht="12.75" hidden="1" customHeight="1" outlineLevel="1" x14ac:dyDescent="0.2">
      <c r="A77" s="188" t="str">
        <f>"      "&amp;Labels!C384</f>
        <v xml:space="preserve">      Total</v>
      </c>
      <c r="B77" s="196">
        <f>SUM(B42:B43)</f>
        <v>0</v>
      </c>
      <c r="C77" s="196">
        <f>SUM(C42:C43)</f>
        <v>0</v>
      </c>
      <c r="D77" s="196">
        <f>SUM(D42:D43)</f>
        <v>112750</v>
      </c>
      <c r="E77" s="197">
        <f>SUM(B77:D77)</f>
        <v>112750</v>
      </c>
      <c r="F77" s="196">
        <f>SUM(F42:F43)</f>
        <v>112750</v>
      </c>
      <c r="G77" s="196">
        <f>SUM(G42:G43)</f>
        <v>0</v>
      </c>
      <c r="H77" s="196">
        <f>SUM(H42:H43)</f>
        <v>82000</v>
      </c>
      <c r="I77" s="197">
        <f>SUM(F77:H77)</f>
        <v>194750</v>
      </c>
      <c r="J77" s="196">
        <f>SUM(J42:J43)</f>
        <v>82000</v>
      </c>
      <c r="K77" s="196">
        <f>SUM(K42:K43)</f>
        <v>82000</v>
      </c>
      <c r="L77" s="196">
        <f>SUM(L42:L43)</f>
        <v>0</v>
      </c>
      <c r="M77" s="197">
        <f>SUM(J77:L77)</f>
        <v>164000</v>
      </c>
      <c r="N77" s="196">
        <f>SUM(N42:N43)</f>
        <v>0</v>
      </c>
      <c r="O77" s="196">
        <f>SUM(O42:O43)</f>
        <v>0</v>
      </c>
      <c r="P77" s="196">
        <f>SUM(P42:P43)</f>
        <v>0</v>
      </c>
      <c r="Q77" s="197">
        <f>SUM(N77:P77)</f>
        <v>0</v>
      </c>
      <c r="R77" s="196">
        <f>SUM(R42:R43)</f>
        <v>0</v>
      </c>
      <c r="S77" s="196">
        <f>SUM(S42:S43)</f>
        <v>0</v>
      </c>
      <c r="T77" s="196">
        <f>SUM(T42:T43)</f>
        <v>0</v>
      </c>
      <c r="U77" s="197">
        <f>SUM(R77:T77)</f>
        <v>0</v>
      </c>
      <c r="V77" s="196">
        <f>SUM(V42:V43)</f>
        <v>0</v>
      </c>
      <c r="W77" s="196">
        <f>SUM(W42:W43)</f>
        <v>0</v>
      </c>
      <c r="X77" s="196">
        <f>SUM(X42:X43)</f>
        <v>0</v>
      </c>
      <c r="Y77" s="197">
        <f>SUM(V77:X77)</f>
        <v>0</v>
      </c>
    </row>
    <row r="78" spans="1:25" ht="12.75" hidden="1" customHeight="1" outlineLevel="1" x14ac:dyDescent="0.2">
      <c r="A78" s="188" t="str">
        <f>"   "&amp;Labels!B382</f>
        <v xml:space="preserve">   Practice 2</v>
      </c>
      <c r="B78" s="196"/>
      <c r="C78" s="196"/>
      <c r="D78" s="196"/>
      <c r="E78" s="197"/>
      <c r="F78" s="196"/>
      <c r="G78" s="196"/>
      <c r="H78" s="196"/>
      <c r="I78" s="197"/>
      <c r="J78" s="196"/>
      <c r="K78" s="196"/>
      <c r="L78" s="196"/>
      <c r="M78" s="197"/>
      <c r="N78" s="196"/>
      <c r="O78" s="196"/>
      <c r="P78" s="196"/>
      <c r="Q78" s="197"/>
      <c r="R78" s="196"/>
      <c r="S78" s="196"/>
      <c r="T78" s="196"/>
      <c r="U78" s="197"/>
      <c r="V78" s="196"/>
      <c r="W78" s="196"/>
      <c r="X78" s="196"/>
      <c r="Y78" s="197"/>
    </row>
    <row r="79" spans="1:25" ht="12.75" hidden="1" customHeight="1" outlineLevel="1" x14ac:dyDescent="0.2">
      <c r="A79" s="198" t="str">
        <f>"      "&amp;Labels!B385</f>
        <v xml:space="preserve">      Prof Level 1</v>
      </c>
      <c r="B79" s="226">
        <f>SUM(B122:B123)</f>
        <v>0</v>
      </c>
      <c r="C79" s="226">
        <f>SUM(C122:C123)</f>
        <v>0</v>
      </c>
      <c r="D79" s="226">
        <f>SUM(D122:D123)</f>
        <v>0</v>
      </c>
      <c r="E79" s="227">
        <f t="shared" ref="E79:E84" si="60">SUM(B79:D79)</f>
        <v>0</v>
      </c>
      <c r="F79" s="226">
        <f>SUM(F122:F123)</f>
        <v>0</v>
      </c>
      <c r="G79" s="226">
        <f>SUM(G122:G123)</f>
        <v>0</v>
      </c>
      <c r="H79" s="226">
        <f>SUM(H122:H123)</f>
        <v>0</v>
      </c>
      <c r="I79" s="227">
        <f t="shared" ref="I79:I84" si="61">SUM(F79:H79)</f>
        <v>0</v>
      </c>
      <c r="J79" s="226">
        <f>SUM(J122:J123)</f>
        <v>0</v>
      </c>
      <c r="K79" s="226">
        <f>SUM(K122:K123)</f>
        <v>0</v>
      </c>
      <c r="L79" s="226">
        <f>SUM(L122:L123)</f>
        <v>0</v>
      </c>
      <c r="M79" s="227">
        <f t="shared" ref="M79:M84" si="62">SUM(J79:L79)</f>
        <v>0</v>
      </c>
      <c r="N79" s="226">
        <f>SUM(N122:N123)</f>
        <v>0</v>
      </c>
      <c r="O79" s="226">
        <f>SUM(O122:O123)</f>
        <v>0</v>
      </c>
      <c r="P79" s="226">
        <f>SUM(P122:P123)</f>
        <v>0</v>
      </c>
      <c r="Q79" s="227">
        <f t="shared" ref="Q79:Q84" si="63">SUM(N79:P79)</f>
        <v>0</v>
      </c>
      <c r="R79" s="226">
        <f>SUM(R122:R123)</f>
        <v>0</v>
      </c>
      <c r="S79" s="226">
        <f>SUM(S122:S123)</f>
        <v>0</v>
      </c>
      <c r="T79" s="226">
        <f>SUM(T122:T123)</f>
        <v>0</v>
      </c>
      <c r="U79" s="227">
        <f t="shared" ref="U79:U84" si="64">SUM(R79:T79)</f>
        <v>0</v>
      </c>
      <c r="V79" s="226">
        <f>SUM(V122:V123)</f>
        <v>0</v>
      </c>
      <c r="W79" s="226">
        <f>SUM(W122:W123)</f>
        <v>0</v>
      </c>
      <c r="X79" s="226">
        <f>SUM(X122:X123)</f>
        <v>0</v>
      </c>
      <c r="Y79" s="227">
        <f t="shared" ref="Y79:Y84" si="65">SUM(V79:X79)</f>
        <v>0</v>
      </c>
    </row>
    <row r="80" spans="1:25" ht="12.75" hidden="1" customHeight="1" outlineLevel="1" x14ac:dyDescent="0.2">
      <c r="A80" s="198" t="str">
        <f>"      "&amp;Labels!B386</f>
        <v xml:space="preserve">      Prof Level 2</v>
      </c>
      <c r="B80" s="226">
        <f>SUM(B126:B127)</f>
        <v>0</v>
      </c>
      <c r="C80" s="226">
        <f>SUM(C126:C127)</f>
        <v>0</v>
      </c>
      <c r="D80" s="226">
        <f>SUM(D126:D127)</f>
        <v>0</v>
      </c>
      <c r="E80" s="227">
        <f t="shared" si="60"/>
        <v>0</v>
      </c>
      <c r="F80" s="226">
        <f>SUM(F126:F127)</f>
        <v>0</v>
      </c>
      <c r="G80" s="226">
        <f>SUM(G126:G127)</f>
        <v>0</v>
      </c>
      <c r="H80" s="226">
        <f>SUM(H126:H127)</f>
        <v>0</v>
      </c>
      <c r="I80" s="227">
        <f t="shared" si="61"/>
        <v>0</v>
      </c>
      <c r="J80" s="226">
        <f>SUM(J126:J127)</f>
        <v>0</v>
      </c>
      <c r="K80" s="226">
        <f>SUM(K126:K127)</f>
        <v>0</v>
      </c>
      <c r="L80" s="226">
        <f>SUM(L126:L127)</f>
        <v>0</v>
      </c>
      <c r="M80" s="227">
        <f t="shared" si="62"/>
        <v>0</v>
      </c>
      <c r="N80" s="226">
        <f>SUM(N126:N127)</f>
        <v>0</v>
      </c>
      <c r="O80" s="226">
        <f>SUM(O126:O127)</f>
        <v>0</v>
      </c>
      <c r="P80" s="226">
        <f>SUM(P126:P127)</f>
        <v>0</v>
      </c>
      <c r="Q80" s="227">
        <f t="shared" si="63"/>
        <v>0</v>
      </c>
      <c r="R80" s="226">
        <f>SUM(R126:R127)</f>
        <v>0</v>
      </c>
      <c r="S80" s="226">
        <f>SUM(S126:S127)</f>
        <v>0</v>
      </c>
      <c r="T80" s="226">
        <f>SUM(T126:T127)</f>
        <v>0</v>
      </c>
      <c r="U80" s="227">
        <f t="shared" si="64"/>
        <v>0</v>
      </c>
      <c r="V80" s="226">
        <f>SUM(V126:V127)</f>
        <v>0</v>
      </c>
      <c r="W80" s="226">
        <f>SUM(W126:W127)</f>
        <v>0</v>
      </c>
      <c r="X80" s="226">
        <f>SUM(X126:X127)</f>
        <v>0</v>
      </c>
      <c r="Y80" s="227">
        <f t="shared" si="65"/>
        <v>0</v>
      </c>
    </row>
    <row r="81" spans="1:25" ht="12.75" hidden="1" customHeight="1" outlineLevel="1" x14ac:dyDescent="0.2">
      <c r="A81" s="188" t="str">
        <f>"      "&amp;Labels!C384</f>
        <v xml:space="preserve">      Total</v>
      </c>
      <c r="B81" s="196">
        <f>SUM(B46:B47)</f>
        <v>0</v>
      </c>
      <c r="C81" s="196">
        <f>SUM(C46:C47)</f>
        <v>0</v>
      </c>
      <c r="D81" s="196">
        <f>SUM(D46:D47)</f>
        <v>0</v>
      </c>
      <c r="E81" s="197">
        <f t="shared" si="60"/>
        <v>0</v>
      </c>
      <c r="F81" s="196">
        <f>SUM(F46:F47)</f>
        <v>0</v>
      </c>
      <c r="G81" s="196">
        <f>SUM(G46:G47)</f>
        <v>0</v>
      </c>
      <c r="H81" s="196">
        <f>SUM(H46:H47)</f>
        <v>0</v>
      </c>
      <c r="I81" s="197">
        <f t="shared" si="61"/>
        <v>0</v>
      </c>
      <c r="J81" s="196">
        <f>SUM(J46:J47)</f>
        <v>0</v>
      </c>
      <c r="K81" s="196">
        <f>SUM(K46:K47)</f>
        <v>0</v>
      </c>
      <c r="L81" s="196">
        <f>SUM(L46:L47)</f>
        <v>0</v>
      </c>
      <c r="M81" s="197">
        <f t="shared" si="62"/>
        <v>0</v>
      </c>
      <c r="N81" s="196">
        <f>SUM(N46:N47)</f>
        <v>0</v>
      </c>
      <c r="O81" s="196">
        <f>SUM(O46:O47)</f>
        <v>0</v>
      </c>
      <c r="P81" s="196">
        <f>SUM(P46:P47)</f>
        <v>0</v>
      </c>
      <c r="Q81" s="197">
        <f t="shared" si="63"/>
        <v>0</v>
      </c>
      <c r="R81" s="196">
        <f>SUM(R46:R47)</f>
        <v>0</v>
      </c>
      <c r="S81" s="196">
        <f>SUM(S46:S47)</f>
        <v>0</v>
      </c>
      <c r="T81" s="196">
        <f>SUM(T46:T47)</f>
        <v>0</v>
      </c>
      <c r="U81" s="197">
        <f t="shared" si="64"/>
        <v>0</v>
      </c>
      <c r="V81" s="196">
        <f>SUM(V46:V47)</f>
        <v>0</v>
      </c>
      <c r="W81" s="196">
        <f>SUM(W46:W47)</f>
        <v>0</v>
      </c>
      <c r="X81" s="196">
        <f>SUM(X46:X47)</f>
        <v>0</v>
      </c>
      <c r="Y81" s="197">
        <f t="shared" si="65"/>
        <v>0</v>
      </c>
    </row>
    <row r="82" spans="1:25" ht="12.75" hidden="1" customHeight="1" outlineLevel="1" x14ac:dyDescent="0.2">
      <c r="A82" s="191" t="str">
        <f>"   "&amp;Labels!C380</f>
        <v xml:space="preserve">   Total</v>
      </c>
      <c r="B82" s="192">
        <f>SUM(B77,B81)</f>
        <v>0</v>
      </c>
      <c r="C82" s="192">
        <f>SUM(C77,C81)</f>
        <v>0</v>
      </c>
      <c r="D82" s="192">
        <f>SUM(D77,D81)</f>
        <v>112750</v>
      </c>
      <c r="E82" s="190">
        <f t="shared" si="60"/>
        <v>112750</v>
      </c>
      <c r="F82" s="192">
        <f>SUM(F77,F81)</f>
        <v>112750</v>
      </c>
      <c r="G82" s="192">
        <f>SUM(G77,G81)</f>
        <v>0</v>
      </c>
      <c r="H82" s="192">
        <f>SUM(H77,H81)</f>
        <v>82000</v>
      </c>
      <c r="I82" s="190">
        <f t="shared" si="61"/>
        <v>194750</v>
      </c>
      <c r="J82" s="192">
        <f>SUM(J77,J81)</f>
        <v>82000</v>
      </c>
      <c r="K82" s="192">
        <f>SUM(K77,K81)</f>
        <v>82000</v>
      </c>
      <c r="L82" s="192">
        <f>SUM(L77,L81)</f>
        <v>0</v>
      </c>
      <c r="M82" s="190">
        <f t="shared" si="62"/>
        <v>164000</v>
      </c>
      <c r="N82" s="192">
        <f>SUM(N77,N81)</f>
        <v>0</v>
      </c>
      <c r="O82" s="192">
        <f>SUM(O77,O81)</f>
        <v>0</v>
      </c>
      <c r="P82" s="192">
        <f>SUM(P77,P81)</f>
        <v>0</v>
      </c>
      <c r="Q82" s="190">
        <f t="shared" si="63"/>
        <v>0</v>
      </c>
      <c r="R82" s="192">
        <f>SUM(R77,R81)</f>
        <v>0</v>
      </c>
      <c r="S82" s="192">
        <f>SUM(S77,S81)</f>
        <v>0</v>
      </c>
      <c r="T82" s="192">
        <f>SUM(T77,T81)</f>
        <v>0</v>
      </c>
      <c r="U82" s="190">
        <f t="shared" si="64"/>
        <v>0</v>
      </c>
      <c r="V82" s="192">
        <f>SUM(V77,V81)</f>
        <v>0</v>
      </c>
      <c r="W82" s="192">
        <f>SUM(W77,W81)</f>
        <v>0</v>
      </c>
      <c r="X82" s="192">
        <f>SUM(X77,X81)</f>
        <v>0</v>
      </c>
      <c r="Y82" s="190">
        <f t="shared" si="65"/>
        <v>0</v>
      </c>
    </row>
    <row r="83" spans="1:25" ht="12.75" hidden="1" customHeight="1" outlineLevel="1" x14ac:dyDescent="0.2">
      <c r="A83" s="198" t="str">
        <f>"      "&amp;Labels!B385</f>
        <v xml:space="preserve">      Prof Level 1</v>
      </c>
      <c r="B83" s="226">
        <f t="shared" ref="B83:D85" si="66">SUM(B75,B79)</f>
        <v>0</v>
      </c>
      <c r="C83" s="226">
        <f t="shared" si="66"/>
        <v>0</v>
      </c>
      <c r="D83" s="226">
        <f t="shared" si="66"/>
        <v>56375</v>
      </c>
      <c r="E83" s="227">
        <f t="shared" si="60"/>
        <v>56375</v>
      </c>
      <c r="F83" s="226">
        <f t="shared" ref="F83:H85" si="67">SUM(F75,F79)</f>
        <v>56375</v>
      </c>
      <c r="G83" s="226">
        <f t="shared" si="67"/>
        <v>0</v>
      </c>
      <c r="H83" s="226">
        <f t="shared" si="67"/>
        <v>41000</v>
      </c>
      <c r="I83" s="227">
        <f t="shared" si="61"/>
        <v>97375</v>
      </c>
      <c r="J83" s="226">
        <f t="shared" ref="J83:L85" si="68">SUM(J75,J79)</f>
        <v>41000</v>
      </c>
      <c r="K83" s="226">
        <f t="shared" si="68"/>
        <v>41000</v>
      </c>
      <c r="L83" s="226">
        <f t="shared" si="68"/>
        <v>0</v>
      </c>
      <c r="M83" s="227">
        <f t="shared" si="62"/>
        <v>82000</v>
      </c>
      <c r="N83" s="226">
        <f t="shared" ref="N83:P85" si="69">SUM(N75,N79)</f>
        <v>0</v>
      </c>
      <c r="O83" s="226">
        <f t="shared" si="69"/>
        <v>0</v>
      </c>
      <c r="P83" s="226">
        <f t="shared" si="69"/>
        <v>0</v>
      </c>
      <c r="Q83" s="227">
        <f t="shared" si="63"/>
        <v>0</v>
      </c>
      <c r="R83" s="226">
        <f t="shared" ref="R83:T85" si="70">SUM(R75,R79)</f>
        <v>0</v>
      </c>
      <c r="S83" s="226">
        <f t="shared" si="70"/>
        <v>0</v>
      </c>
      <c r="T83" s="226">
        <f t="shared" si="70"/>
        <v>0</v>
      </c>
      <c r="U83" s="227">
        <f t="shared" si="64"/>
        <v>0</v>
      </c>
      <c r="V83" s="226">
        <f t="shared" ref="V83:X85" si="71">SUM(V75,V79)</f>
        <v>0</v>
      </c>
      <c r="W83" s="226">
        <f t="shared" si="71"/>
        <v>0</v>
      </c>
      <c r="X83" s="226">
        <f t="shared" si="71"/>
        <v>0</v>
      </c>
      <c r="Y83" s="227">
        <f t="shared" si="65"/>
        <v>0</v>
      </c>
    </row>
    <row r="84" spans="1:25" ht="12.75" hidden="1" customHeight="1" outlineLevel="1" x14ac:dyDescent="0.2">
      <c r="A84" s="198" t="str">
        <f>"      "&amp;Labels!B386</f>
        <v xml:space="preserve">      Prof Level 2</v>
      </c>
      <c r="B84" s="226">
        <f t="shared" si="66"/>
        <v>0</v>
      </c>
      <c r="C84" s="226">
        <f t="shared" si="66"/>
        <v>0</v>
      </c>
      <c r="D84" s="226">
        <f t="shared" si="66"/>
        <v>56375</v>
      </c>
      <c r="E84" s="227">
        <f t="shared" si="60"/>
        <v>56375</v>
      </c>
      <c r="F84" s="226">
        <f t="shared" si="67"/>
        <v>56375</v>
      </c>
      <c r="G84" s="226">
        <f t="shared" si="67"/>
        <v>0</v>
      </c>
      <c r="H84" s="226">
        <f t="shared" si="67"/>
        <v>41000</v>
      </c>
      <c r="I84" s="227">
        <f t="shared" si="61"/>
        <v>97375</v>
      </c>
      <c r="J84" s="226">
        <f t="shared" si="68"/>
        <v>41000</v>
      </c>
      <c r="K84" s="226">
        <f t="shared" si="68"/>
        <v>41000</v>
      </c>
      <c r="L84" s="226">
        <f t="shared" si="68"/>
        <v>0</v>
      </c>
      <c r="M84" s="227">
        <f t="shared" si="62"/>
        <v>82000</v>
      </c>
      <c r="N84" s="226">
        <f t="shared" si="69"/>
        <v>0</v>
      </c>
      <c r="O84" s="226">
        <f t="shared" si="69"/>
        <v>0</v>
      </c>
      <c r="P84" s="226">
        <f t="shared" si="69"/>
        <v>0</v>
      </c>
      <c r="Q84" s="227">
        <f t="shared" si="63"/>
        <v>0</v>
      </c>
      <c r="R84" s="226">
        <f t="shared" si="70"/>
        <v>0</v>
      </c>
      <c r="S84" s="226">
        <f t="shared" si="70"/>
        <v>0</v>
      </c>
      <c r="T84" s="226">
        <f t="shared" si="70"/>
        <v>0</v>
      </c>
      <c r="U84" s="227">
        <f t="shared" si="64"/>
        <v>0</v>
      </c>
      <c r="V84" s="226">
        <f t="shared" si="71"/>
        <v>0</v>
      </c>
      <c r="W84" s="226">
        <f t="shared" si="71"/>
        <v>0</v>
      </c>
      <c r="X84" s="226">
        <f t="shared" si="71"/>
        <v>0</v>
      </c>
      <c r="Y84" s="227">
        <f t="shared" si="65"/>
        <v>0</v>
      </c>
    </row>
    <row r="85" spans="1:25" ht="12.75" hidden="1" customHeight="1" outlineLevel="1" x14ac:dyDescent="0.2">
      <c r="A85" s="220" t="str">
        <f>"      "&amp;Labels!C384</f>
        <v xml:space="preserve">      Total</v>
      </c>
      <c r="B85" s="228">
        <f t="shared" si="66"/>
        <v>0</v>
      </c>
      <c r="C85" s="228">
        <f t="shared" si="66"/>
        <v>0</v>
      </c>
      <c r="D85" s="228">
        <f t="shared" si="66"/>
        <v>112750</v>
      </c>
      <c r="E85" s="229">
        <f>SUM(B82:D82)</f>
        <v>112750</v>
      </c>
      <c r="F85" s="228">
        <f t="shared" si="67"/>
        <v>112750</v>
      </c>
      <c r="G85" s="228">
        <f t="shared" si="67"/>
        <v>0</v>
      </c>
      <c r="H85" s="228">
        <f t="shared" si="67"/>
        <v>82000</v>
      </c>
      <c r="I85" s="229">
        <f>SUM(F82:H82)</f>
        <v>194750</v>
      </c>
      <c r="J85" s="228">
        <f t="shared" si="68"/>
        <v>82000</v>
      </c>
      <c r="K85" s="228">
        <f t="shared" si="68"/>
        <v>82000</v>
      </c>
      <c r="L85" s="228">
        <f t="shared" si="68"/>
        <v>0</v>
      </c>
      <c r="M85" s="229">
        <f>SUM(J82:L82)</f>
        <v>164000</v>
      </c>
      <c r="N85" s="228">
        <f t="shared" si="69"/>
        <v>0</v>
      </c>
      <c r="O85" s="228">
        <f t="shared" si="69"/>
        <v>0</v>
      </c>
      <c r="P85" s="228">
        <f t="shared" si="69"/>
        <v>0</v>
      </c>
      <c r="Q85" s="229">
        <f>SUM(N82:P82)</f>
        <v>0</v>
      </c>
      <c r="R85" s="228">
        <f t="shared" si="70"/>
        <v>0</v>
      </c>
      <c r="S85" s="228">
        <f t="shared" si="70"/>
        <v>0</v>
      </c>
      <c r="T85" s="228">
        <f t="shared" si="70"/>
        <v>0</v>
      </c>
      <c r="U85" s="229">
        <f>SUM(R82:T82)</f>
        <v>0</v>
      </c>
      <c r="V85" s="228">
        <f t="shared" si="71"/>
        <v>0</v>
      </c>
      <c r="W85" s="228">
        <f t="shared" si="71"/>
        <v>0</v>
      </c>
      <c r="X85" s="228">
        <f t="shared" si="71"/>
        <v>0</v>
      </c>
      <c r="Y85" s="229">
        <f>SUM(V82:X82)</f>
        <v>0</v>
      </c>
    </row>
    <row r="86" spans="1:25" ht="12.75" hidden="1" customHeight="1" outlineLevel="1" x14ac:dyDescent="0.2"/>
    <row r="87" spans="1:25" ht="12.75" hidden="1" customHeight="1" outlineLevel="1" x14ac:dyDescent="0.2">
      <c r="A87" s="182" t="str">
        <f>Labels!B182</f>
        <v>Prof Staff Hours Billed</v>
      </c>
      <c r="B87" s="223"/>
      <c r="C87" s="223"/>
      <c r="D87" s="223"/>
      <c r="E87" s="224"/>
      <c r="F87" s="223"/>
      <c r="G87" s="223"/>
      <c r="H87" s="223"/>
      <c r="I87" s="224"/>
      <c r="J87" s="223"/>
      <c r="K87" s="223"/>
      <c r="L87" s="223"/>
      <c r="M87" s="224"/>
      <c r="N87" s="223"/>
      <c r="O87" s="223"/>
      <c r="P87" s="223"/>
      <c r="Q87" s="224"/>
      <c r="R87" s="223"/>
      <c r="S87" s="223"/>
      <c r="T87" s="223"/>
      <c r="U87" s="224"/>
      <c r="V87" s="223"/>
      <c r="W87" s="223"/>
      <c r="X87" s="223"/>
      <c r="Y87" s="224"/>
    </row>
    <row r="88" spans="1:25" ht="12.75" hidden="1" customHeight="1" outlineLevel="1" x14ac:dyDescent="0.2">
      <c r="A88" s="188" t="str">
        <f>"   "&amp;Labels!B381</f>
        <v xml:space="preserve">   Practice 1</v>
      </c>
      <c r="B88" s="166"/>
      <c r="C88" s="166"/>
      <c r="D88" s="166"/>
      <c r="E88" s="225"/>
      <c r="F88" s="166"/>
      <c r="G88" s="166"/>
      <c r="H88" s="166"/>
      <c r="I88" s="225"/>
      <c r="J88" s="166"/>
      <c r="K88" s="166"/>
      <c r="L88" s="166"/>
      <c r="M88" s="225"/>
      <c r="N88" s="166"/>
      <c r="O88" s="166"/>
      <c r="P88" s="166"/>
      <c r="Q88" s="225"/>
      <c r="R88" s="166"/>
      <c r="S88" s="166"/>
      <c r="T88" s="166"/>
      <c r="U88" s="225"/>
      <c r="V88" s="166"/>
      <c r="W88" s="166"/>
      <c r="X88" s="166"/>
      <c r="Y88" s="225"/>
    </row>
    <row r="89" spans="1:25" ht="12.75" hidden="1" customHeight="1" outlineLevel="1" x14ac:dyDescent="0.2">
      <c r="A89" s="198" t="str">
        <f>"      "&amp;Labels!B385</f>
        <v xml:space="preserve">      Prof Level 1</v>
      </c>
      <c r="B89" s="237">
        <f>SUM(B184:B185)</f>
        <v>0</v>
      </c>
      <c r="C89" s="237">
        <f>SUM(C184:C185)</f>
        <v>0</v>
      </c>
      <c r="D89" s="237">
        <f>SUM(D184:D185)</f>
        <v>275</v>
      </c>
      <c r="E89" s="238">
        <f>SUM(B89:D89)</f>
        <v>275</v>
      </c>
      <c r="F89" s="237">
        <f>SUM(F184:F185)</f>
        <v>275</v>
      </c>
      <c r="G89" s="237">
        <f>SUM(G184:G185)</f>
        <v>0</v>
      </c>
      <c r="H89" s="237">
        <f>SUM(H184:H185)</f>
        <v>200</v>
      </c>
      <c r="I89" s="238">
        <f>SUM(F89:H89)</f>
        <v>475</v>
      </c>
      <c r="J89" s="237">
        <f>SUM(J184:J185)</f>
        <v>200</v>
      </c>
      <c r="K89" s="237">
        <f>SUM(K184:K185)</f>
        <v>200</v>
      </c>
      <c r="L89" s="237">
        <f>SUM(L184:L185)</f>
        <v>0</v>
      </c>
      <c r="M89" s="238">
        <f>SUM(J89:L89)</f>
        <v>400</v>
      </c>
      <c r="N89" s="237">
        <f>SUM(N184:N185)</f>
        <v>0</v>
      </c>
      <c r="O89" s="237">
        <f>SUM(O184:O185)</f>
        <v>0</v>
      </c>
      <c r="P89" s="237">
        <f>SUM(P184:P185)</f>
        <v>0</v>
      </c>
      <c r="Q89" s="238">
        <f>SUM(N89:P89)</f>
        <v>0</v>
      </c>
      <c r="R89" s="237">
        <f>SUM(R184:R185)</f>
        <v>0</v>
      </c>
      <c r="S89" s="237">
        <f>SUM(S184:S185)</f>
        <v>0</v>
      </c>
      <c r="T89" s="237">
        <f>SUM(T184:T185)</f>
        <v>0</v>
      </c>
      <c r="U89" s="238">
        <f>SUM(R89:T89)</f>
        <v>0</v>
      </c>
      <c r="V89" s="237">
        <f>SUM(V184:V185)</f>
        <v>0</v>
      </c>
      <c r="W89" s="237">
        <f>SUM(W184:W185)</f>
        <v>0</v>
      </c>
      <c r="X89" s="237">
        <f>SUM(X184:X185)</f>
        <v>0</v>
      </c>
      <c r="Y89" s="238">
        <f>SUM(V89:X89)</f>
        <v>0</v>
      </c>
    </row>
    <row r="90" spans="1:25" ht="12.75" hidden="1" customHeight="1" outlineLevel="1" x14ac:dyDescent="0.2">
      <c r="A90" s="198" t="str">
        <f>"      "&amp;Labels!B386</f>
        <v xml:space="preserve">      Prof Level 2</v>
      </c>
      <c r="B90" s="237">
        <f>SUM(B188:B189)</f>
        <v>0</v>
      </c>
      <c r="C90" s="237">
        <f>SUM(C188:C189)</f>
        <v>0</v>
      </c>
      <c r="D90" s="237">
        <f>SUM(D188:D189)</f>
        <v>275</v>
      </c>
      <c r="E90" s="238">
        <f>SUM(B90:D90)</f>
        <v>275</v>
      </c>
      <c r="F90" s="237">
        <f>SUM(F188:F189)</f>
        <v>275</v>
      </c>
      <c r="G90" s="237">
        <f>SUM(G188:G189)</f>
        <v>0</v>
      </c>
      <c r="H90" s="237">
        <f>SUM(H188:H189)</f>
        <v>200</v>
      </c>
      <c r="I90" s="238">
        <f>SUM(F90:H90)</f>
        <v>475</v>
      </c>
      <c r="J90" s="237">
        <f>SUM(J188:J189)</f>
        <v>200</v>
      </c>
      <c r="K90" s="237">
        <f>SUM(K188:K189)</f>
        <v>200</v>
      </c>
      <c r="L90" s="237">
        <f>SUM(L188:L189)</f>
        <v>0</v>
      </c>
      <c r="M90" s="238">
        <f>SUM(J90:L90)</f>
        <v>400</v>
      </c>
      <c r="N90" s="237">
        <f>SUM(N188:N189)</f>
        <v>0</v>
      </c>
      <c r="O90" s="237">
        <f>SUM(O188:O189)</f>
        <v>0</v>
      </c>
      <c r="P90" s="237">
        <f>SUM(P188:P189)</f>
        <v>0</v>
      </c>
      <c r="Q90" s="238">
        <f>SUM(N90:P90)</f>
        <v>0</v>
      </c>
      <c r="R90" s="237">
        <f>SUM(R188:R189)</f>
        <v>0</v>
      </c>
      <c r="S90" s="237">
        <f>SUM(S188:S189)</f>
        <v>0</v>
      </c>
      <c r="T90" s="237">
        <f>SUM(T188:T189)</f>
        <v>0</v>
      </c>
      <c r="U90" s="238">
        <f>SUM(R90:T90)</f>
        <v>0</v>
      </c>
      <c r="V90" s="237">
        <f>SUM(V188:V189)</f>
        <v>0</v>
      </c>
      <c r="W90" s="237">
        <f>SUM(W188:W189)</f>
        <v>0</v>
      </c>
      <c r="X90" s="237">
        <f>SUM(X188:X189)</f>
        <v>0</v>
      </c>
      <c r="Y90" s="238">
        <f>SUM(V90:X90)</f>
        <v>0</v>
      </c>
    </row>
    <row r="91" spans="1:25" ht="12.75" hidden="1" customHeight="1" outlineLevel="1" x14ac:dyDescent="0.2">
      <c r="A91" s="188" t="str">
        <f>"      "&amp;Labels!C384</f>
        <v xml:space="preserve">      Total</v>
      </c>
      <c r="B91" s="166">
        <f>SUM(B56:B57)</f>
        <v>0</v>
      </c>
      <c r="C91" s="166">
        <f>SUM(C56:C57)</f>
        <v>0</v>
      </c>
      <c r="D91" s="166">
        <f>SUM(D56:D57)</f>
        <v>550</v>
      </c>
      <c r="E91" s="225">
        <f>SUM(B91:D91)</f>
        <v>550</v>
      </c>
      <c r="F91" s="166">
        <f>SUM(F56:F57)</f>
        <v>550</v>
      </c>
      <c r="G91" s="166">
        <f>SUM(G56:G57)</f>
        <v>0</v>
      </c>
      <c r="H91" s="166">
        <f>SUM(H56:H57)</f>
        <v>400</v>
      </c>
      <c r="I91" s="225">
        <f>SUM(F91:H91)</f>
        <v>950</v>
      </c>
      <c r="J91" s="166">
        <f>SUM(J56:J57)</f>
        <v>400</v>
      </c>
      <c r="K91" s="166">
        <f>SUM(K56:K57)</f>
        <v>400</v>
      </c>
      <c r="L91" s="166">
        <f>SUM(L56:L57)</f>
        <v>0</v>
      </c>
      <c r="M91" s="225">
        <f>SUM(J91:L91)</f>
        <v>800</v>
      </c>
      <c r="N91" s="166">
        <f>SUM(N56:N57)</f>
        <v>0</v>
      </c>
      <c r="O91" s="166">
        <f>SUM(O56:O57)</f>
        <v>0</v>
      </c>
      <c r="P91" s="166">
        <f>SUM(P56:P57)</f>
        <v>0</v>
      </c>
      <c r="Q91" s="225">
        <f>SUM(N91:P91)</f>
        <v>0</v>
      </c>
      <c r="R91" s="166">
        <f>SUM(R56:R57)</f>
        <v>0</v>
      </c>
      <c r="S91" s="166">
        <f>SUM(S56:S57)</f>
        <v>0</v>
      </c>
      <c r="T91" s="166">
        <f>SUM(T56:T57)</f>
        <v>0</v>
      </c>
      <c r="U91" s="225">
        <f>SUM(R91:T91)</f>
        <v>0</v>
      </c>
      <c r="V91" s="166">
        <f>SUM(V56:V57)</f>
        <v>0</v>
      </c>
      <c r="W91" s="166">
        <f>SUM(W56:W57)</f>
        <v>0</v>
      </c>
      <c r="X91" s="166">
        <f>SUM(X56:X57)</f>
        <v>0</v>
      </c>
      <c r="Y91" s="225">
        <f>SUM(V91:X91)</f>
        <v>0</v>
      </c>
    </row>
    <row r="92" spans="1:25" ht="12.75" hidden="1" customHeight="1" outlineLevel="1" x14ac:dyDescent="0.2">
      <c r="A92" s="188" t="str">
        <f>"   "&amp;Labels!B382</f>
        <v xml:space="preserve">   Practice 2</v>
      </c>
      <c r="B92" s="166"/>
      <c r="C92" s="166"/>
      <c r="D92" s="166"/>
      <c r="E92" s="225"/>
      <c r="F92" s="166"/>
      <c r="G92" s="166"/>
      <c r="H92" s="166"/>
      <c r="I92" s="225"/>
      <c r="J92" s="166"/>
      <c r="K92" s="166"/>
      <c r="L92" s="166"/>
      <c r="M92" s="225"/>
      <c r="N92" s="166"/>
      <c r="O92" s="166"/>
      <c r="P92" s="166"/>
      <c r="Q92" s="225"/>
      <c r="R92" s="166"/>
      <c r="S92" s="166"/>
      <c r="T92" s="166"/>
      <c r="U92" s="225"/>
      <c r="V92" s="166"/>
      <c r="W92" s="166"/>
      <c r="X92" s="166"/>
      <c r="Y92" s="225"/>
    </row>
    <row r="93" spans="1:25" ht="12.75" hidden="1" customHeight="1" outlineLevel="1" x14ac:dyDescent="0.2">
      <c r="A93" s="198" t="str">
        <f>"      "&amp;Labels!B385</f>
        <v xml:space="preserve">      Prof Level 1</v>
      </c>
      <c r="B93" s="237">
        <f>SUM(B197:B198)</f>
        <v>0</v>
      </c>
      <c r="C93" s="237">
        <f>SUM(C197:C198)</f>
        <v>0</v>
      </c>
      <c r="D93" s="237">
        <f>SUM(D197:D198)</f>
        <v>0</v>
      </c>
      <c r="E93" s="238">
        <f t="shared" ref="E93:E98" si="72">SUM(B93:D93)</f>
        <v>0</v>
      </c>
      <c r="F93" s="237">
        <f>SUM(F197:F198)</f>
        <v>0</v>
      </c>
      <c r="G93" s="237">
        <f>SUM(G197:G198)</f>
        <v>0</v>
      </c>
      <c r="H93" s="237">
        <f>SUM(H197:H198)</f>
        <v>0</v>
      </c>
      <c r="I93" s="238">
        <f t="shared" ref="I93:I98" si="73">SUM(F93:H93)</f>
        <v>0</v>
      </c>
      <c r="J93" s="237">
        <f>SUM(J197:J198)</f>
        <v>0</v>
      </c>
      <c r="K93" s="237">
        <f>SUM(K197:K198)</f>
        <v>0</v>
      </c>
      <c r="L93" s="237">
        <f>SUM(L197:L198)</f>
        <v>0</v>
      </c>
      <c r="M93" s="238">
        <f t="shared" ref="M93:M98" si="74">SUM(J93:L93)</f>
        <v>0</v>
      </c>
      <c r="N93" s="237">
        <f>SUM(N197:N198)</f>
        <v>0</v>
      </c>
      <c r="O93" s="237">
        <f>SUM(O197:O198)</f>
        <v>0</v>
      </c>
      <c r="P93" s="237">
        <f>SUM(P197:P198)</f>
        <v>0</v>
      </c>
      <c r="Q93" s="238">
        <f t="shared" ref="Q93:Q98" si="75">SUM(N93:P93)</f>
        <v>0</v>
      </c>
      <c r="R93" s="237">
        <f>SUM(R197:R198)</f>
        <v>0</v>
      </c>
      <c r="S93" s="237">
        <f>SUM(S197:S198)</f>
        <v>0</v>
      </c>
      <c r="T93" s="237">
        <f>SUM(T197:T198)</f>
        <v>0</v>
      </c>
      <c r="U93" s="238">
        <f t="shared" ref="U93:U98" si="76">SUM(R93:T93)</f>
        <v>0</v>
      </c>
      <c r="V93" s="237">
        <f>SUM(V197:V198)</f>
        <v>0</v>
      </c>
      <c r="W93" s="237">
        <f>SUM(W197:W198)</f>
        <v>0</v>
      </c>
      <c r="X93" s="237">
        <f>SUM(X197:X198)</f>
        <v>0</v>
      </c>
      <c r="Y93" s="238">
        <f t="shared" ref="Y93:Y98" si="77">SUM(V93:X93)</f>
        <v>0</v>
      </c>
    </row>
    <row r="94" spans="1:25" ht="12.75" hidden="1" customHeight="1" outlineLevel="1" x14ac:dyDescent="0.2">
      <c r="A94" s="198" t="str">
        <f>"      "&amp;Labels!B386</f>
        <v xml:space="preserve">      Prof Level 2</v>
      </c>
      <c r="B94" s="237">
        <f>SUM(B201:B202)</f>
        <v>0</v>
      </c>
      <c r="C94" s="237">
        <f>SUM(C201:C202)</f>
        <v>0</v>
      </c>
      <c r="D94" s="237">
        <f>SUM(D201:D202)</f>
        <v>0</v>
      </c>
      <c r="E94" s="238">
        <f t="shared" si="72"/>
        <v>0</v>
      </c>
      <c r="F94" s="237">
        <f>SUM(F201:F202)</f>
        <v>0</v>
      </c>
      <c r="G94" s="237">
        <f>SUM(G201:G202)</f>
        <v>0</v>
      </c>
      <c r="H94" s="237">
        <f>SUM(H201:H202)</f>
        <v>0</v>
      </c>
      <c r="I94" s="238">
        <f t="shared" si="73"/>
        <v>0</v>
      </c>
      <c r="J94" s="237">
        <f>SUM(J201:J202)</f>
        <v>0</v>
      </c>
      <c r="K94" s="237">
        <f>SUM(K201:K202)</f>
        <v>0</v>
      </c>
      <c r="L94" s="237">
        <f>SUM(L201:L202)</f>
        <v>0</v>
      </c>
      <c r="M94" s="238">
        <f t="shared" si="74"/>
        <v>0</v>
      </c>
      <c r="N94" s="237">
        <f>SUM(N201:N202)</f>
        <v>0</v>
      </c>
      <c r="O94" s="237">
        <f>SUM(O201:O202)</f>
        <v>0</v>
      </c>
      <c r="P94" s="237">
        <f>SUM(P201:P202)</f>
        <v>0</v>
      </c>
      <c r="Q94" s="238">
        <f t="shared" si="75"/>
        <v>0</v>
      </c>
      <c r="R94" s="237">
        <f>SUM(R201:R202)</f>
        <v>0</v>
      </c>
      <c r="S94" s="237">
        <f>SUM(S201:S202)</f>
        <v>0</v>
      </c>
      <c r="T94" s="237">
        <f>SUM(T201:T202)</f>
        <v>0</v>
      </c>
      <c r="U94" s="238">
        <f t="shared" si="76"/>
        <v>0</v>
      </c>
      <c r="V94" s="237">
        <f>SUM(V201:V202)</f>
        <v>0</v>
      </c>
      <c r="W94" s="237">
        <f>SUM(W201:W202)</f>
        <v>0</v>
      </c>
      <c r="X94" s="237">
        <f>SUM(X201:X202)</f>
        <v>0</v>
      </c>
      <c r="Y94" s="238">
        <f t="shared" si="77"/>
        <v>0</v>
      </c>
    </row>
    <row r="95" spans="1:25" ht="12.75" hidden="1" customHeight="1" outlineLevel="1" x14ac:dyDescent="0.2">
      <c r="A95" s="188" t="str">
        <f>"      "&amp;Labels!C384</f>
        <v xml:space="preserve">      Total</v>
      </c>
      <c r="B95" s="166">
        <f>SUM(B60:B61)</f>
        <v>0</v>
      </c>
      <c r="C95" s="166">
        <f>SUM(C60:C61)</f>
        <v>0</v>
      </c>
      <c r="D95" s="166">
        <f>SUM(D60:D61)</f>
        <v>0</v>
      </c>
      <c r="E95" s="225">
        <f t="shared" si="72"/>
        <v>0</v>
      </c>
      <c r="F95" s="166">
        <f>SUM(F60:F61)</f>
        <v>0</v>
      </c>
      <c r="G95" s="166">
        <f>SUM(G60:G61)</f>
        <v>0</v>
      </c>
      <c r="H95" s="166">
        <f>SUM(H60:H61)</f>
        <v>0</v>
      </c>
      <c r="I95" s="225">
        <f t="shared" si="73"/>
        <v>0</v>
      </c>
      <c r="J95" s="166">
        <f>SUM(J60:J61)</f>
        <v>0</v>
      </c>
      <c r="K95" s="166">
        <f>SUM(K60:K61)</f>
        <v>0</v>
      </c>
      <c r="L95" s="166">
        <f>SUM(L60:L61)</f>
        <v>0</v>
      </c>
      <c r="M95" s="225">
        <f t="shared" si="74"/>
        <v>0</v>
      </c>
      <c r="N95" s="166">
        <f>SUM(N60:N61)</f>
        <v>0</v>
      </c>
      <c r="O95" s="166">
        <f>SUM(O60:O61)</f>
        <v>0</v>
      </c>
      <c r="P95" s="166">
        <f>SUM(P60:P61)</f>
        <v>0</v>
      </c>
      <c r="Q95" s="225">
        <f t="shared" si="75"/>
        <v>0</v>
      </c>
      <c r="R95" s="166">
        <f>SUM(R60:R61)</f>
        <v>0</v>
      </c>
      <c r="S95" s="166">
        <f>SUM(S60:S61)</f>
        <v>0</v>
      </c>
      <c r="T95" s="166">
        <f>SUM(T60:T61)</f>
        <v>0</v>
      </c>
      <c r="U95" s="225">
        <f t="shared" si="76"/>
        <v>0</v>
      </c>
      <c r="V95" s="166">
        <f>SUM(V60:V61)</f>
        <v>0</v>
      </c>
      <c r="W95" s="166">
        <f>SUM(W60:W61)</f>
        <v>0</v>
      </c>
      <c r="X95" s="166">
        <f>SUM(X60:X61)</f>
        <v>0</v>
      </c>
      <c r="Y95" s="225">
        <f t="shared" si="77"/>
        <v>0</v>
      </c>
    </row>
    <row r="96" spans="1:25" ht="12.75" hidden="1" customHeight="1" outlineLevel="1" x14ac:dyDescent="0.2">
      <c r="A96" s="191" t="str">
        <f>"   "&amp;Labels!C380</f>
        <v xml:space="preserve">   Total</v>
      </c>
      <c r="B96" s="216">
        <f>SUM(B91,B95)</f>
        <v>0</v>
      </c>
      <c r="C96" s="216">
        <f>SUM(C91,C95)</f>
        <v>0</v>
      </c>
      <c r="D96" s="216">
        <f>SUM(D91,D95)</f>
        <v>550</v>
      </c>
      <c r="E96" s="217">
        <f t="shared" si="72"/>
        <v>550</v>
      </c>
      <c r="F96" s="216">
        <f>SUM(F91,F95)</f>
        <v>550</v>
      </c>
      <c r="G96" s="216">
        <f>SUM(G91,G95)</f>
        <v>0</v>
      </c>
      <c r="H96" s="216">
        <f>SUM(H91,H95)</f>
        <v>400</v>
      </c>
      <c r="I96" s="217">
        <f t="shared" si="73"/>
        <v>950</v>
      </c>
      <c r="J96" s="216">
        <f>SUM(J91,J95)</f>
        <v>400</v>
      </c>
      <c r="K96" s="216">
        <f>SUM(K91,K95)</f>
        <v>400</v>
      </c>
      <c r="L96" s="216">
        <f>SUM(L91,L95)</f>
        <v>0</v>
      </c>
      <c r="M96" s="217">
        <f t="shared" si="74"/>
        <v>800</v>
      </c>
      <c r="N96" s="216">
        <f>SUM(N91,N95)</f>
        <v>0</v>
      </c>
      <c r="O96" s="216">
        <f>SUM(O91,O95)</f>
        <v>0</v>
      </c>
      <c r="P96" s="216">
        <f>SUM(P91,P95)</f>
        <v>0</v>
      </c>
      <c r="Q96" s="217">
        <f t="shared" si="75"/>
        <v>0</v>
      </c>
      <c r="R96" s="216">
        <f>SUM(R91,R95)</f>
        <v>0</v>
      </c>
      <c r="S96" s="216">
        <f>SUM(S91,S95)</f>
        <v>0</v>
      </c>
      <c r="T96" s="216">
        <f>SUM(T91,T95)</f>
        <v>0</v>
      </c>
      <c r="U96" s="217">
        <f t="shared" si="76"/>
        <v>0</v>
      </c>
      <c r="V96" s="216">
        <f>SUM(V91,V95)</f>
        <v>0</v>
      </c>
      <c r="W96" s="216">
        <f>SUM(W91,W95)</f>
        <v>0</v>
      </c>
      <c r="X96" s="216">
        <f>SUM(X91,X95)</f>
        <v>0</v>
      </c>
      <c r="Y96" s="217">
        <f t="shared" si="77"/>
        <v>0</v>
      </c>
    </row>
    <row r="97" spans="1:25" ht="12.75" hidden="1" customHeight="1" outlineLevel="1" x14ac:dyDescent="0.2">
      <c r="A97" s="198" t="str">
        <f>"      "&amp;Labels!B385</f>
        <v xml:space="preserve">      Prof Level 1</v>
      </c>
      <c r="B97" s="237">
        <f t="shared" ref="B97:D99" si="78">SUM(B89,B93)</f>
        <v>0</v>
      </c>
      <c r="C97" s="237">
        <f t="shared" si="78"/>
        <v>0</v>
      </c>
      <c r="D97" s="237">
        <f t="shared" si="78"/>
        <v>275</v>
      </c>
      <c r="E97" s="238">
        <f t="shared" si="72"/>
        <v>275</v>
      </c>
      <c r="F97" s="237">
        <f t="shared" ref="F97:H99" si="79">SUM(F89,F93)</f>
        <v>275</v>
      </c>
      <c r="G97" s="237">
        <f t="shared" si="79"/>
        <v>0</v>
      </c>
      <c r="H97" s="237">
        <f t="shared" si="79"/>
        <v>200</v>
      </c>
      <c r="I97" s="238">
        <f t="shared" si="73"/>
        <v>475</v>
      </c>
      <c r="J97" s="237">
        <f t="shared" ref="J97:L99" si="80">SUM(J89,J93)</f>
        <v>200</v>
      </c>
      <c r="K97" s="237">
        <f t="shared" si="80"/>
        <v>200</v>
      </c>
      <c r="L97" s="237">
        <f t="shared" si="80"/>
        <v>0</v>
      </c>
      <c r="M97" s="238">
        <f t="shared" si="74"/>
        <v>400</v>
      </c>
      <c r="N97" s="237">
        <f t="shared" ref="N97:P99" si="81">SUM(N89,N93)</f>
        <v>0</v>
      </c>
      <c r="O97" s="237">
        <f t="shared" si="81"/>
        <v>0</v>
      </c>
      <c r="P97" s="237">
        <f t="shared" si="81"/>
        <v>0</v>
      </c>
      <c r="Q97" s="238">
        <f t="shared" si="75"/>
        <v>0</v>
      </c>
      <c r="R97" s="237">
        <f t="shared" ref="R97:T99" si="82">SUM(R89,R93)</f>
        <v>0</v>
      </c>
      <c r="S97" s="237">
        <f t="shared" si="82"/>
        <v>0</v>
      </c>
      <c r="T97" s="237">
        <f t="shared" si="82"/>
        <v>0</v>
      </c>
      <c r="U97" s="238">
        <f t="shared" si="76"/>
        <v>0</v>
      </c>
      <c r="V97" s="237">
        <f t="shared" ref="V97:X99" si="83">SUM(V89,V93)</f>
        <v>0</v>
      </c>
      <c r="W97" s="237">
        <f t="shared" si="83"/>
        <v>0</v>
      </c>
      <c r="X97" s="237">
        <f t="shared" si="83"/>
        <v>0</v>
      </c>
      <c r="Y97" s="238">
        <f t="shared" si="77"/>
        <v>0</v>
      </c>
    </row>
    <row r="98" spans="1:25" ht="12.75" hidden="1" customHeight="1" outlineLevel="1" x14ac:dyDescent="0.2">
      <c r="A98" s="198" t="str">
        <f>"      "&amp;Labels!B386</f>
        <v xml:space="preserve">      Prof Level 2</v>
      </c>
      <c r="B98" s="237">
        <f t="shared" si="78"/>
        <v>0</v>
      </c>
      <c r="C98" s="237">
        <f t="shared" si="78"/>
        <v>0</v>
      </c>
      <c r="D98" s="237">
        <f t="shared" si="78"/>
        <v>275</v>
      </c>
      <c r="E98" s="238">
        <f t="shared" si="72"/>
        <v>275</v>
      </c>
      <c r="F98" s="237">
        <f t="shared" si="79"/>
        <v>275</v>
      </c>
      <c r="G98" s="237">
        <f t="shared" si="79"/>
        <v>0</v>
      </c>
      <c r="H98" s="237">
        <f t="shared" si="79"/>
        <v>200</v>
      </c>
      <c r="I98" s="238">
        <f t="shared" si="73"/>
        <v>475</v>
      </c>
      <c r="J98" s="237">
        <f t="shared" si="80"/>
        <v>200</v>
      </c>
      <c r="K98" s="237">
        <f t="shared" si="80"/>
        <v>200</v>
      </c>
      <c r="L98" s="237">
        <f t="shared" si="80"/>
        <v>0</v>
      </c>
      <c r="M98" s="238">
        <f t="shared" si="74"/>
        <v>400</v>
      </c>
      <c r="N98" s="237">
        <f t="shared" si="81"/>
        <v>0</v>
      </c>
      <c r="O98" s="237">
        <f t="shared" si="81"/>
        <v>0</v>
      </c>
      <c r="P98" s="237">
        <f t="shared" si="81"/>
        <v>0</v>
      </c>
      <c r="Q98" s="238">
        <f t="shared" si="75"/>
        <v>0</v>
      </c>
      <c r="R98" s="237">
        <f t="shared" si="82"/>
        <v>0</v>
      </c>
      <c r="S98" s="237">
        <f t="shared" si="82"/>
        <v>0</v>
      </c>
      <c r="T98" s="237">
        <f t="shared" si="82"/>
        <v>0</v>
      </c>
      <c r="U98" s="238">
        <f t="shared" si="76"/>
        <v>0</v>
      </c>
      <c r="V98" s="237">
        <f t="shared" si="83"/>
        <v>0</v>
      </c>
      <c r="W98" s="237">
        <f t="shared" si="83"/>
        <v>0</v>
      </c>
      <c r="X98" s="237">
        <f t="shared" si="83"/>
        <v>0</v>
      </c>
      <c r="Y98" s="238">
        <f t="shared" si="77"/>
        <v>0</v>
      </c>
    </row>
    <row r="99" spans="1:25" ht="12.75" hidden="1" customHeight="1" outlineLevel="1" x14ac:dyDescent="0.2">
      <c r="A99" s="220" t="str">
        <f>"      "&amp;Labels!C384</f>
        <v xml:space="preserve">      Total</v>
      </c>
      <c r="B99" s="169">
        <f t="shared" si="78"/>
        <v>0</v>
      </c>
      <c r="C99" s="169">
        <f t="shared" si="78"/>
        <v>0</v>
      </c>
      <c r="D99" s="169">
        <f t="shared" si="78"/>
        <v>550</v>
      </c>
      <c r="E99" s="299">
        <f>SUM(B96:D96)</f>
        <v>550</v>
      </c>
      <c r="F99" s="169">
        <f t="shared" si="79"/>
        <v>550</v>
      </c>
      <c r="G99" s="169">
        <f t="shared" si="79"/>
        <v>0</v>
      </c>
      <c r="H99" s="169">
        <f t="shared" si="79"/>
        <v>400</v>
      </c>
      <c r="I99" s="299">
        <f>SUM(F96:H96)</f>
        <v>950</v>
      </c>
      <c r="J99" s="169">
        <f t="shared" si="80"/>
        <v>400</v>
      </c>
      <c r="K99" s="169">
        <f t="shared" si="80"/>
        <v>400</v>
      </c>
      <c r="L99" s="169">
        <f t="shared" si="80"/>
        <v>0</v>
      </c>
      <c r="M99" s="299">
        <f>SUM(J96:L96)</f>
        <v>800</v>
      </c>
      <c r="N99" s="169">
        <f t="shared" si="81"/>
        <v>0</v>
      </c>
      <c r="O99" s="169">
        <f t="shared" si="81"/>
        <v>0</v>
      </c>
      <c r="P99" s="169">
        <f t="shared" si="81"/>
        <v>0</v>
      </c>
      <c r="Q99" s="299">
        <f>SUM(N96:P96)</f>
        <v>0</v>
      </c>
      <c r="R99" s="169">
        <f t="shared" si="82"/>
        <v>0</v>
      </c>
      <c r="S99" s="169">
        <f t="shared" si="82"/>
        <v>0</v>
      </c>
      <c r="T99" s="169">
        <f t="shared" si="82"/>
        <v>0</v>
      </c>
      <c r="U99" s="299">
        <f>SUM(R96:T96)</f>
        <v>0</v>
      </c>
      <c r="V99" s="169">
        <f t="shared" si="83"/>
        <v>0</v>
      </c>
      <c r="W99" s="169">
        <f t="shared" si="83"/>
        <v>0</v>
      </c>
      <c r="X99" s="169">
        <f t="shared" si="83"/>
        <v>0</v>
      </c>
      <c r="Y99" s="299">
        <f>SUM(V96:X96)</f>
        <v>0</v>
      </c>
    </row>
    <row r="100" spans="1:25" ht="12.75" hidden="1" customHeight="1" outlineLevel="1" x14ac:dyDescent="0.2"/>
    <row r="101" spans="1:25" ht="12.75" hidden="1" customHeight="1" outlineLevel="1" collapsed="1" x14ac:dyDescent="0.2"/>
    <row r="102" spans="1:25" ht="12.75" customHeight="1" collapsed="1" x14ac:dyDescent="0.2"/>
    <row r="103" spans="1:25" ht="12.75" customHeight="1" collapsed="1" x14ac:dyDescent="0.2">
      <c r="A103" s="464" t="str">
        <f>"Revenue Detail"</f>
        <v>Revenue Detail</v>
      </c>
      <c r="B103" s="464"/>
      <c r="C103" s="464"/>
    </row>
    <row r="104" spans="1:25" ht="12.75" hidden="1" customHeight="1" outlineLevel="1" x14ac:dyDescent="0.2">
      <c r="A104" s="1" t="str">
        <f>" "</f>
        <v xml:space="preserve"> </v>
      </c>
    </row>
    <row r="105" spans="1:25" ht="12.75" hidden="1" customHeight="1" outlineLevel="1" x14ac:dyDescent="0.2">
      <c r="B105" s="9" t="str">
        <f>'(FnCalls 1)'!F41</f>
        <v>MMM 2010</v>
      </c>
      <c r="C105" s="10" t="str">
        <f>'(FnCalls 1)'!F42</f>
        <v>MMM 2010</v>
      </c>
      <c r="D105" s="10" t="str">
        <f>'(FnCalls 1)'!F43</f>
        <v>MMM 2010</v>
      </c>
      <c r="E105" s="181" t="str">
        <f>'(FnCalls 1)'!G41</f>
        <v>Q1 2010</v>
      </c>
      <c r="F105" s="10" t="str">
        <f>'(FnCalls 1)'!F44</f>
        <v>MMM 2010</v>
      </c>
      <c r="G105" s="10" t="str">
        <f>'(FnCalls 1)'!F45</f>
        <v>MMM 2010</v>
      </c>
      <c r="H105" s="10" t="str">
        <f>'(FnCalls 1)'!F46</f>
        <v>MMM 2010</v>
      </c>
      <c r="I105" s="181" t="str">
        <f>'(FnCalls 1)'!G44</f>
        <v>Q2 2010</v>
      </c>
      <c r="J105" s="10" t="str">
        <f>'(FnCalls 1)'!F47</f>
        <v>MMM 2010</v>
      </c>
      <c r="K105" s="10" t="str">
        <f>'(FnCalls 1)'!F48</f>
        <v>MMM 2010</v>
      </c>
      <c r="L105" s="10" t="str">
        <f>'(FnCalls 1)'!F49</f>
        <v>MMM 2010</v>
      </c>
      <c r="M105" s="181" t="str">
        <f>'(FnCalls 1)'!G47</f>
        <v>Q3 2010</v>
      </c>
      <c r="N105" s="10" t="str">
        <f>'(FnCalls 1)'!F50</f>
        <v>MMM 2010</v>
      </c>
      <c r="O105" s="10" t="str">
        <f>'(FnCalls 1)'!F51</f>
        <v>MMM 2010</v>
      </c>
      <c r="P105" s="10" t="str">
        <f>'(FnCalls 1)'!F52</f>
        <v>MMM 2010</v>
      </c>
      <c r="Q105" s="181" t="str">
        <f>'(FnCalls 1)'!G50</f>
        <v>Q4 2010</v>
      </c>
      <c r="R105" s="10" t="str">
        <f>'(FnCalls 1)'!F53</f>
        <v>MMM 2011</v>
      </c>
      <c r="S105" s="10" t="str">
        <f>'(FnCalls 1)'!F54</f>
        <v>MMM 2011</v>
      </c>
      <c r="T105" s="10" t="str">
        <f>'(FnCalls 1)'!F55</f>
        <v>MMM 2011</v>
      </c>
      <c r="U105" s="181" t="str">
        <f>'(FnCalls 1)'!G53</f>
        <v>Q1 2011</v>
      </c>
      <c r="V105" s="10" t="str">
        <f>'(FnCalls 1)'!F56</f>
        <v>MMM 2011</v>
      </c>
      <c r="W105" s="10" t="str">
        <f>'(FnCalls 1)'!F57</f>
        <v>MMM 2011</v>
      </c>
      <c r="X105" s="10" t="str">
        <f>'(FnCalls 1)'!F58</f>
        <v>MMM 2011</v>
      </c>
      <c r="Y105" s="181" t="str">
        <f>'(FnCalls 1)'!G56</f>
        <v>Q2 2011</v>
      </c>
    </row>
    <row r="106" spans="1:25" ht="12.75" hidden="1" customHeight="1" outlineLevel="1" x14ac:dyDescent="0.2">
      <c r="A106" s="182" t="str">
        <f>Labels!B226</f>
        <v>Revenue</v>
      </c>
      <c r="B106" s="183"/>
      <c r="C106" s="183"/>
      <c r="D106" s="183"/>
      <c r="E106" s="184"/>
      <c r="F106" s="183"/>
      <c r="G106" s="183"/>
      <c r="H106" s="183"/>
      <c r="I106" s="184"/>
      <c r="J106" s="183"/>
      <c r="K106" s="183"/>
      <c r="L106" s="183"/>
      <c r="M106" s="184"/>
      <c r="N106" s="183"/>
      <c r="O106" s="183"/>
      <c r="P106" s="183"/>
      <c r="Q106" s="184"/>
      <c r="R106" s="183"/>
      <c r="S106" s="183"/>
      <c r="T106" s="183"/>
      <c r="U106" s="184"/>
      <c r="V106" s="183"/>
      <c r="W106" s="183"/>
      <c r="X106" s="183"/>
      <c r="Y106" s="184"/>
    </row>
    <row r="107" spans="1:25" ht="12.75" hidden="1" customHeight="1" outlineLevel="1" x14ac:dyDescent="0.2">
      <c r="A107" s="188" t="str">
        <f>"   "&amp;Labels!B381</f>
        <v xml:space="preserve">   Practice 1</v>
      </c>
      <c r="B107" s="196"/>
      <c r="C107" s="196"/>
      <c r="D107" s="196"/>
      <c r="E107" s="197"/>
      <c r="F107" s="196"/>
      <c r="G107" s="196"/>
      <c r="H107" s="196"/>
      <c r="I107" s="197"/>
      <c r="J107" s="196"/>
      <c r="K107" s="196"/>
      <c r="L107" s="196"/>
      <c r="M107" s="197"/>
      <c r="N107" s="196"/>
      <c r="O107" s="196"/>
      <c r="P107" s="196"/>
      <c r="Q107" s="197"/>
      <c r="R107" s="196"/>
      <c r="S107" s="196"/>
      <c r="T107" s="196"/>
      <c r="U107" s="197"/>
      <c r="V107" s="196"/>
      <c r="W107" s="196"/>
      <c r="X107" s="196"/>
      <c r="Y107" s="197"/>
    </row>
    <row r="108" spans="1:25" ht="12.75" hidden="1" customHeight="1" outlineLevel="1" x14ac:dyDescent="0.2">
      <c r="A108" s="198" t="str">
        <f>"      "&amp;Labels!B385</f>
        <v xml:space="preserve">      Prof Level 1</v>
      </c>
      <c r="B108" s="226"/>
      <c r="C108" s="226"/>
      <c r="D108" s="226"/>
      <c r="E108" s="227"/>
      <c r="F108" s="226"/>
      <c r="G108" s="226"/>
      <c r="H108" s="226"/>
      <c r="I108" s="227"/>
      <c r="J108" s="226"/>
      <c r="K108" s="226"/>
      <c r="L108" s="226"/>
      <c r="M108" s="227"/>
      <c r="N108" s="226"/>
      <c r="O108" s="226"/>
      <c r="P108" s="226"/>
      <c r="Q108" s="227"/>
      <c r="R108" s="226"/>
      <c r="S108" s="226"/>
      <c r="T108" s="226"/>
      <c r="U108" s="227"/>
      <c r="V108" s="226"/>
      <c r="W108" s="226"/>
      <c r="X108" s="226"/>
      <c r="Y108" s="227"/>
    </row>
    <row r="109" spans="1:25" ht="12.75" hidden="1" customHeight="1" outlineLevel="1" x14ac:dyDescent="0.2">
      <c r="A109" s="198" t="str">
        <f>"         "&amp;Labels!B317</f>
        <v xml:space="preserve">         Channels 1</v>
      </c>
      <c r="B109" s="189">
        <f>'(Tables)'!B770+Engage!B213+'GM CostSvcs'!B54</f>
        <v>0</v>
      </c>
      <c r="C109" s="189">
        <f>'(Tables)'!C770+Engage!C213+'GM CostSvcs'!C54</f>
        <v>0</v>
      </c>
      <c r="D109" s="189">
        <f>'(Tables)'!D770+Engage!D213+'GM CostSvcs'!D54</f>
        <v>28875</v>
      </c>
      <c r="E109" s="190">
        <f>SUM(B109:D109)</f>
        <v>28875</v>
      </c>
      <c r="F109" s="189">
        <f>'(Tables)'!E770+Engage!E213+'GM CostSvcs'!F54</f>
        <v>28875</v>
      </c>
      <c r="G109" s="189">
        <f>'(Tables)'!F770+Engage!F213+'GM CostSvcs'!G54</f>
        <v>0</v>
      </c>
      <c r="H109" s="189">
        <f>'(Tables)'!G770+Engage!G213+'GM CostSvcs'!H54</f>
        <v>21000</v>
      </c>
      <c r="I109" s="190">
        <f>SUM(F109:H109)</f>
        <v>49875</v>
      </c>
      <c r="J109" s="189">
        <f>'(Tables)'!H770+Engage!H213+'GM CostSvcs'!J54</f>
        <v>21000</v>
      </c>
      <c r="K109" s="189">
        <f>'(Tables)'!I770+Engage!I213+'GM CostSvcs'!K54</f>
        <v>21000</v>
      </c>
      <c r="L109" s="189">
        <f>'(Tables)'!J770+Engage!J213+'GM CostSvcs'!L54</f>
        <v>0</v>
      </c>
      <c r="M109" s="190">
        <f>SUM(J109:L109)</f>
        <v>42000</v>
      </c>
      <c r="N109" s="189">
        <f>'(Tables)'!K770+Engage!K213+'GM CostSvcs'!N54</f>
        <v>0</v>
      </c>
      <c r="O109" s="189">
        <f>'(Tables)'!L770+Engage!L213+'GM CostSvcs'!O54</f>
        <v>0</v>
      </c>
      <c r="P109" s="189">
        <f>'(Tables)'!M770+Engage!M213+'GM CostSvcs'!P54</f>
        <v>0</v>
      </c>
      <c r="Q109" s="190">
        <f>SUM(N109:P109)</f>
        <v>0</v>
      </c>
      <c r="R109" s="189">
        <f>'(Tables)'!N770+Engage!N213+'GM CostSvcs'!R54</f>
        <v>0</v>
      </c>
      <c r="S109" s="189">
        <f>'(Tables)'!O770+Engage!O213+'GM CostSvcs'!S54</f>
        <v>0</v>
      </c>
      <c r="T109" s="189">
        <f>'(Tables)'!P770+Engage!P213+'GM CostSvcs'!T54</f>
        <v>0</v>
      </c>
      <c r="U109" s="190">
        <f>SUM(R109:T109)</f>
        <v>0</v>
      </c>
      <c r="V109" s="189">
        <f>'(Tables)'!Q770+Engage!Q213+'GM CostSvcs'!V54</f>
        <v>0</v>
      </c>
      <c r="W109" s="189">
        <f>'(Tables)'!R770+Engage!R213+'GM CostSvcs'!W54</f>
        <v>0</v>
      </c>
      <c r="X109" s="189">
        <f>'(Tables)'!S770+Engage!S213+'GM CostSvcs'!X54</f>
        <v>0</v>
      </c>
      <c r="Y109" s="190">
        <f>SUM(V109:X109)</f>
        <v>0</v>
      </c>
    </row>
    <row r="110" spans="1:25" ht="12.75" hidden="1" customHeight="1" outlineLevel="1" x14ac:dyDescent="0.2">
      <c r="A110" s="198" t="str">
        <f>"         "&amp;Labels!B318</f>
        <v xml:space="preserve">         Channels 2</v>
      </c>
      <c r="B110" s="189">
        <f>'(Tables)'!B771+Engage!B214+'GM CostSvcs'!B55</f>
        <v>0</v>
      </c>
      <c r="C110" s="189">
        <f>'(Tables)'!C771+Engage!C214+'GM CostSvcs'!C55</f>
        <v>0</v>
      </c>
      <c r="D110" s="189">
        <f>'(Tables)'!D771+Engage!D214+'GM CostSvcs'!D55</f>
        <v>27500</v>
      </c>
      <c r="E110" s="190">
        <f>SUM(B110:D110)</f>
        <v>27500</v>
      </c>
      <c r="F110" s="189">
        <f>'(Tables)'!E771+Engage!E214+'GM CostSvcs'!F55</f>
        <v>27500</v>
      </c>
      <c r="G110" s="189">
        <f>'(Tables)'!F771+Engage!F214+'GM CostSvcs'!G55</f>
        <v>0</v>
      </c>
      <c r="H110" s="189">
        <f>'(Tables)'!G771+Engage!G214+'GM CostSvcs'!H55</f>
        <v>20000</v>
      </c>
      <c r="I110" s="190">
        <f>SUM(F110:H110)</f>
        <v>47500</v>
      </c>
      <c r="J110" s="189">
        <f>'(Tables)'!H771+Engage!H214+'GM CostSvcs'!J55</f>
        <v>20000</v>
      </c>
      <c r="K110" s="189">
        <f>'(Tables)'!I771+Engage!I214+'GM CostSvcs'!K55</f>
        <v>20000</v>
      </c>
      <c r="L110" s="189">
        <f>'(Tables)'!J771+Engage!J214+'GM CostSvcs'!L55</f>
        <v>0</v>
      </c>
      <c r="M110" s="190">
        <f>SUM(J110:L110)</f>
        <v>40000</v>
      </c>
      <c r="N110" s="189">
        <f>'(Tables)'!K771+Engage!K214+'GM CostSvcs'!N55</f>
        <v>0</v>
      </c>
      <c r="O110" s="189">
        <f>'(Tables)'!L771+Engage!L214+'GM CostSvcs'!O55</f>
        <v>0</v>
      </c>
      <c r="P110" s="189">
        <f>'(Tables)'!M771+Engage!M214+'GM CostSvcs'!P55</f>
        <v>0</v>
      </c>
      <c r="Q110" s="190">
        <f>SUM(N110:P110)</f>
        <v>0</v>
      </c>
      <c r="R110" s="189">
        <f>'(Tables)'!N771+Engage!N214+'GM CostSvcs'!R55</f>
        <v>0</v>
      </c>
      <c r="S110" s="189">
        <f>'(Tables)'!O771+Engage!O214+'GM CostSvcs'!S55</f>
        <v>0</v>
      </c>
      <c r="T110" s="189">
        <f>'(Tables)'!P771+Engage!P214+'GM CostSvcs'!T55</f>
        <v>0</v>
      </c>
      <c r="U110" s="190">
        <f>SUM(R110:T110)</f>
        <v>0</v>
      </c>
      <c r="V110" s="189">
        <f>'(Tables)'!Q771+Engage!Q214+'GM CostSvcs'!V55</f>
        <v>0</v>
      </c>
      <c r="W110" s="189">
        <f>'(Tables)'!R771+Engage!R214+'GM CostSvcs'!W55</f>
        <v>0</v>
      </c>
      <c r="X110" s="189">
        <f>'(Tables)'!S771+Engage!S214+'GM CostSvcs'!X55</f>
        <v>0</v>
      </c>
      <c r="Y110" s="190">
        <f>SUM(V110:X110)</f>
        <v>0</v>
      </c>
    </row>
    <row r="111" spans="1:25" ht="12.75" hidden="1" customHeight="1" outlineLevel="1" x14ac:dyDescent="0.2">
      <c r="A111" s="198" t="str">
        <f>"         "&amp;Labels!C316</f>
        <v xml:space="preserve">         Total</v>
      </c>
      <c r="B111" s="226">
        <f>SUM(B109:B110)</f>
        <v>0</v>
      </c>
      <c r="C111" s="226">
        <f>SUM(C109:C110)</f>
        <v>0</v>
      </c>
      <c r="D111" s="226">
        <f>SUM(D109:D110)</f>
        <v>56375</v>
      </c>
      <c r="E111" s="227">
        <f>SUM(B111:D111)</f>
        <v>56375</v>
      </c>
      <c r="F111" s="226">
        <f>SUM(F109:F110)</f>
        <v>56375</v>
      </c>
      <c r="G111" s="226">
        <f>SUM(G109:G110)</f>
        <v>0</v>
      </c>
      <c r="H111" s="226">
        <f>SUM(H109:H110)</f>
        <v>41000</v>
      </c>
      <c r="I111" s="227">
        <f>SUM(F111:H111)</f>
        <v>97375</v>
      </c>
      <c r="J111" s="226">
        <f>SUM(J109:J110)</f>
        <v>41000</v>
      </c>
      <c r="K111" s="226">
        <f>SUM(K109:K110)</f>
        <v>41000</v>
      </c>
      <c r="L111" s="226">
        <f>SUM(L109:L110)</f>
        <v>0</v>
      </c>
      <c r="M111" s="227">
        <f>SUM(J111:L111)</f>
        <v>82000</v>
      </c>
      <c r="N111" s="226">
        <f>SUM(N109:N110)</f>
        <v>0</v>
      </c>
      <c r="O111" s="226">
        <f>SUM(O109:O110)</f>
        <v>0</v>
      </c>
      <c r="P111" s="226">
        <f>SUM(P109:P110)</f>
        <v>0</v>
      </c>
      <c r="Q111" s="227">
        <f>SUM(N111:P111)</f>
        <v>0</v>
      </c>
      <c r="R111" s="226">
        <f>SUM(R109:R110)</f>
        <v>0</v>
      </c>
      <c r="S111" s="226">
        <f>SUM(S109:S110)</f>
        <v>0</v>
      </c>
      <c r="T111" s="226">
        <f>SUM(T109:T110)</f>
        <v>0</v>
      </c>
      <c r="U111" s="227">
        <f>SUM(R111:T111)</f>
        <v>0</v>
      </c>
      <c r="V111" s="226">
        <f>SUM(V109:V110)</f>
        <v>0</v>
      </c>
      <c r="W111" s="226">
        <f>SUM(W109:W110)</f>
        <v>0</v>
      </c>
      <c r="X111" s="226">
        <f>SUM(X109:X110)</f>
        <v>0</v>
      </c>
      <c r="Y111" s="227">
        <f>SUM(V111:X111)</f>
        <v>0</v>
      </c>
    </row>
    <row r="112" spans="1:25" ht="12.75" hidden="1" customHeight="1" outlineLevel="1" x14ac:dyDescent="0.2">
      <c r="A112" s="198" t="str">
        <f>"      "&amp;Labels!B386</f>
        <v xml:space="preserve">      Prof Level 2</v>
      </c>
      <c r="B112" s="226"/>
      <c r="C112" s="226"/>
      <c r="D112" s="226"/>
      <c r="E112" s="227"/>
      <c r="F112" s="226"/>
      <c r="G112" s="226"/>
      <c r="H112" s="226"/>
      <c r="I112" s="227"/>
      <c r="J112" s="226"/>
      <c r="K112" s="226"/>
      <c r="L112" s="226"/>
      <c r="M112" s="227"/>
      <c r="N112" s="226"/>
      <c r="O112" s="226"/>
      <c r="P112" s="226"/>
      <c r="Q112" s="227"/>
      <c r="R112" s="226"/>
      <c r="S112" s="226"/>
      <c r="T112" s="226"/>
      <c r="U112" s="227"/>
      <c r="V112" s="226"/>
      <c r="W112" s="226"/>
      <c r="X112" s="226"/>
      <c r="Y112" s="227"/>
    </row>
    <row r="113" spans="1:25" ht="12.75" hidden="1" customHeight="1" outlineLevel="1" x14ac:dyDescent="0.2">
      <c r="A113" s="198" t="str">
        <f>"         "&amp;Labels!B317</f>
        <v xml:space="preserve">         Channels 1</v>
      </c>
      <c r="B113" s="189">
        <f>'(Tables)'!B774+Engage!B217+'GM CostSvcs'!B58</f>
        <v>0</v>
      </c>
      <c r="C113" s="189">
        <f>'(Tables)'!C774+Engage!C217+'GM CostSvcs'!C58</f>
        <v>0</v>
      </c>
      <c r="D113" s="189">
        <f>'(Tables)'!D774+Engage!D217+'GM CostSvcs'!D58</f>
        <v>28875</v>
      </c>
      <c r="E113" s="190">
        <f t="shared" ref="E113:E118" si="84">SUM(B113:D113)</f>
        <v>28875</v>
      </c>
      <c r="F113" s="189">
        <f>'(Tables)'!E774+Engage!E217+'GM CostSvcs'!F58</f>
        <v>28875</v>
      </c>
      <c r="G113" s="189">
        <f>'(Tables)'!F774+Engage!F217+'GM CostSvcs'!G58</f>
        <v>0</v>
      </c>
      <c r="H113" s="189">
        <f>'(Tables)'!G774+Engage!G217+'GM CostSvcs'!H58</f>
        <v>21000</v>
      </c>
      <c r="I113" s="190">
        <f t="shared" ref="I113:I118" si="85">SUM(F113:H113)</f>
        <v>49875</v>
      </c>
      <c r="J113" s="189">
        <f>'(Tables)'!H774+Engage!H217+'GM CostSvcs'!J58</f>
        <v>21000</v>
      </c>
      <c r="K113" s="189">
        <f>'(Tables)'!I774+Engage!I217+'GM CostSvcs'!K58</f>
        <v>21000</v>
      </c>
      <c r="L113" s="189">
        <f>'(Tables)'!J774+Engage!J217+'GM CostSvcs'!L58</f>
        <v>0</v>
      </c>
      <c r="M113" s="190">
        <f t="shared" ref="M113:M118" si="86">SUM(J113:L113)</f>
        <v>42000</v>
      </c>
      <c r="N113" s="189">
        <f>'(Tables)'!K774+Engage!K217+'GM CostSvcs'!N58</f>
        <v>0</v>
      </c>
      <c r="O113" s="189">
        <f>'(Tables)'!L774+Engage!L217+'GM CostSvcs'!O58</f>
        <v>0</v>
      </c>
      <c r="P113" s="189">
        <f>'(Tables)'!M774+Engage!M217+'GM CostSvcs'!P58</f>
        <v>0</v>
      </c>
      <c r="Q113" s="190">
        <f t="shared" ref="Q113:Q118" si="87">SUM(N113:P113)</f>
        <v>0</v>
      </c>
      <c r="R113" s="189">
        <f>'(Tables)'!N774+Engage!N217+'GM CostSvcs'!R58</f>
        <v>0</v>
      </c>
      <c r="S113" s="189">
        <f>'(Tables)'!O774+Engage!O217+'GM CostSvcs'!S58</f>
        <v>0</v>
      </c>
      <c r="T113" s="189">
        <f>'(Tables)'!P774+Engage!P217+'GM CostSvcs'!T58</f>
        <v>0</v>
      </c>
      <c r="U113" s="190">
        <f t="shared" ref="U113:U118" si="88">SUM(R113:T113)</f>
        <v>0</v>
      </c>
      <c r="V113" s="189">
        <f>'(Tables)'!Q774+Engage!Q217+'GM CostSvcs'!V58</f>
        <v>0</v>
      </c>
      <c r="W113" s="189">
        <f>'(Tables)'!R774+Engage!R217+'GM CostSvcs'!W58</f>
        <v>0</v>
      </c>
      <c r="X113" s="189">
        <f>'(Tables)'!S774+Engage!S217+'GM CostSvcs'!X58</f>
        <v>0</v>
      </c>
      <c r="Y113" s="190">
        <f t="shared" ref="Y113:Y118" si="89">SUM(V113:X113)</f>
        <v>0</v>
      </c>
    </row>
    <row r="114" spans="1:25" ht="12.75" hidden="1" customHeight="1" outlineLevel="1" x14ac:dyDescent="0.2">
      <c r="A114" s="198" t="str">
        <f>"         "&amp;Labels!B318</f>
        <v xml:space="preserve">         Channels 2</v>
      </c>
      <c r="B114" s="189">
        <f>'(Tables)'!B775+Engage!B218+'GM CostSvcs'!B59</f>
        <v>0</v>
      </c>
      <c r="C114" s="189">
        <f>'(Tables)'!C775+Engage!C218+'GM CostSvcs'!C59</f>
        <v>0</v>
      </c>
      <c r="D114" s="189">
        <f>'(Tables)'!D775+Engage!D218+'GM CostSvcs'!D59</f>
        <v>27500</v>
      </c>
      <c r="E114" s="190">
        <f t="shared" si="84"/>
        <v>27500</v>
      </c>
      <c r="F114" s="189">
        <f>'(Tables)'!E775+Engage!E218+'GM CostSvcs'!F59</f>
        <v>27500</v>
      </c>
      <c r="G114" s="189">
        <f>'(Tables)'!F775+Engage!F218+'GM CostSvcs'!G59</f>
        <v>0</v>
      </c>
      <c r="H114" s="189">
        <f>'(Tables)'!G775+Engage!G218+'GM CostSvcs'!H59</f>
        <v>20000</v>
      </c>
      <c r="I114" s="190">
        <f t="shared" si="85"/>
        <v>47500</v>
      </c>
      <c r="J114" s="189">
        <f>'(Tables)'!H775+Engage!H218+'GM CostSvcs'!J59</f>
        <v>20000</v>
      </c>
      <c r="K114" s="189">
        <f>'(Tables)'!I775+Engage!I218+'GM CostSvcs'!K59</f>
        <v>20000</v>
      </c>
      <c r="L114" s="189">
        <f>'(Tables)'!J775+Engage!J218+'GM CostSvcs'!L59</f>
        <v>0</v>
      </c>
      <c r="M114" s="190">
        <f t="shared" si="86"/>
        <v>40000</v>
      </c>
      <c r="N114" s="189">
        <f>'(Tables)'!K775+Engage!K218+'GM CostSvcs'!N59</f>
        <v>0</v>
      </c>
      <c r="O114" s="189">
        <f>'(Tables)'!L775+Engage!L218+'GM CostSvcs'!O59</f>
        <v>0</v>
      </c>
      <c r="P114" s="189">
        <f>'(Tables)'!M775+Engage!M218+'GM CostSvcs'!P59</f>
        <v>0</v>
      </c>
      <c r="Q114" s="190">
        <f t="shared" si="87"/>
        <v>0</v>
      </c>
      <c r="R114" s="189">
        <f>'(Tables)'!N775+Engage!N218+'GM CostSvcs'!R59</f>
        <v>0</v>
      </c>
      <c r="S114" s="189">
        <f>'(Tables)'!O775+Engage!O218+'GM CostSvcs'!S59</f>
        <v>0</v>
      </c>
      <c r="T114" s="189">
        <f>'(Tables)'!P775+Engage!P218+'GM CostSvcs'!T59</f>
        <v>0</v>
      </c>
      <c r="U114" s="190">
        <f t="shared" si="88"/>
        <v>0</v>
      </c>
      <c r="V114" s="189">
        <f>'(Tables)'!Q775+Engage!Q218+'GM CostSvcs'!V59</f>
        <v>0</v>
      </c>
      <c r="W114" s="189">
        <f>'(Tables)'!R775+Engage!R218+'GM CostSvcs'!W59</f>
        <v>0</v>
      </c>
      <c r="X114" s="189">
        <f>'(Tables)'!S775+Engage!S218+'GM CostSvcs'!X59</f>
        <v>0</v>
      </c>
      <c r="Y114" s="190">
        <f t="shared" si="89"/>
        <v>0</v>
      </c>
    </row>
    <row r="115" spans="1:25" ht="12.75" hidden="1" customHeight="1" outlineLevel="1" x14ac:dyDescent="0.2">
      <c r="A115" s="198" t="str">
        <f>"         "&amp;Labels!C316</f>
        <v xml:space="preserve">         Total</v>
      </c>
      <c r="B115" s="226">
        <f>SUM(B113:B114)</f>
        <v>0</v>
      </c>
      <c r="C115" s="226">
        <f>SUM(C113:C114)</f>
        <v>0</v>
      </c>
      <c r="D115" s="226">
        <f>SUM(D113:D114)</f>
        <v>56375</v>
      </c>
      <c r="E115" s="227">
        <f t="shared" si="84"/>
        <v>56375</v>
      </c>
      <c r="F115" s="226">
        <f>SUM(F113:F114)</f>
        <v>56375</v>
      </c>
      <c r="G115" s="226">
        <f>SUM(G113:G114)</f>
        <v>0</v>
      </c>
      <c r="H115" s="226">
        <f>SUM(H113:H114)</f>
        <v>41000</v>
      </c>
      <c r="I115" s="227">
        <f t="shared" si="85"/>
        <v>97375</v>
      </c>
      <c r="J115" s="226">
        <f>SUM(J113:J114)</f>
        <v>41000</v>
      </c>
      <c r="K115" s="226">
        <f>SUM(K113:K114)</f>
        <v>41000</v>
      </c>
      <c r="L115" s="226">
        <f>SUM(L113:L114)</f>
        <v>0</v>
      </c>
      <c r="M115" s="227">
        <f t="shared" si="86"/>
        <v>82000</v>
      </c>
      <c r="N115" s="226">
        <f>SUM(N113:N114)</f>
        <v>0</v>
      </c>
      <c r="O115" s="226">
        <f>SUM(O113:O114)</f>
        <v>0</v>
      </c>
      <c r="P115" s="226">
        <f>SUM(P113:P114)</f>
        <v>0</v>
      </c>
      <c r="Q115" s="227">
        <f t="shared" si="87"/>
        <v>0</v>
      </c>
      <c r="R115" s="226">
        <f>SUM(R113:R114)</f>
        <v>0</v>
      </c>
      <c r="S115" s="226">
        <f>SUM(S113:S114)</f>
        <v>0</v>
      </c>
      <c r="T115" s="226">
        <f>SUM(T113:T114)</f>
        <v>0</v>
      </c>
      <c r="U115" s="227">
        <f t="shared" si="88"/>
        <v>0</v>
      </c>
      <c r="V115" s="226">
        <f>SUM(V113:V114)</f>
        <v>0</v>
      </c>
      <c r="W115" s="226">
        <f>SUM(W113:W114)</f>
        <v>0</v>
      </c>
      <c r="X115" s="226">
        <f>SUM(X113:X114)</f>
        <v>0</v>
      </c>
      <c r="Y115" s="227">
        <f t="shared" si="89"/>
        <v>0</v>
      </c>
    </row>
    <row r="116" spans="1:25" ht="12.75" hidden="1" customHeight="1" outlineLevel="1" x14ac:dyDescent="0.2">
      <c r="A116" s="188" t="str">
        <f>"      "&amp;Labels!C384</f>
        <v xml:space="preserve">      Total</v>
      </c>
      <c r="B116" s="196">
        <f>SUM(B111,B115)</f>
        <v>0</v>
      </c>
      <c r="C116" s="196">
        <f>SUM(C111,C115)</f>
        <v>0</v>
      </c>
      <c r="D116" s="196">
        <f>SUM(D111,D115)</f>
        <v>112750</v>
      </c>
      <c r="E116" s="197">
        <f t="shared" si="84"/>
        <v>112750</v>
      </c>
      <c r="F116" s="196">
        <f>SUM(F111,F115)</f>
        <v>112750</v>
      </c>
      <c r="G116" s="196">
        <f>SUM(G111,G115)</f>
        <v>0</v>
      </c>
      <c r="H116" s="196">
        <f>SUM(H111,H115)</f>
        <v>82000</v>
      </c>
      <c r="I116" s="197">
        <f t="shared" si="85"/>
        <v>194750</v>
      </c>
      <c r="J116" s="196">
        <f>SUM(J111,J115)</f>
        <v>82000</v>
      </c>
      <c r="K116" s="196">
        <f>SUM(K111,K115)</f>
        <v>82000</v>
      </c>
      <c r="L116" s="196">
        <f>SUM(L111,L115)</f>
        <v>0</v>
      </c>
      <c r="M116" s="197">
        <f t="shared" si="86"/>
        <v>164000</v>
      </c>
      <c r="N116" s="196">
        <f>SUM(N111,N115)</f>
        <v>0</v>
      </c>
      <c r="O116" s="196">
        <f>SUM(O111,O115)</f>
        <v>0</v>
      </c>
      <c r="P116" s="196">
        <f>SUM(P111,P115)</f>
        <v>0</v>
      </c>
      <c r="Q116" s="197">
        <f t="shared" si="87"/>
        <v>0</v>
      </c>
      <c r="R116" s="196">
        <f>SUM(R111,R115)</f>
        <v>0</v>
      </c>
      <c r="S116" s="196">
        <f>SUM(S111,S115)</f>
        <v>0</v>
      </c>
      <c r="T116" s="196">
        <f>SUM(T111,T115)</f>
        <v>0</v>
      </c>
      <c r="U116" s="197">
        <f t="shared" si="88"/>
        <v>0</v>
      </c>
      <c r="V116" s="196">
        <f>SUM(V111,V115)</f>
        <v>0</v>
      </c>
      <c r="W116" s="196">
        <f>SUM(W111,W115)</f>
        <v>0</v>
      </c>
      <c r="X116" s="196">
        <f>SUM(X111,X115)</f>
        <v>0</v>
      </c>
      <c r="Y116" s="197">
        <f t="shared" si="89"/>
        <v>0</v>
      </c>
    </row>
    <row r="117" spans="1:25" ht="12.75" hidden="1" customHeight="1" outlineLevel="1" x14ac:dyDescent="0.2">
      <c r="A117" s="198" t="str">
        <f>"         "&amp;Labels!B317</f>
        <v xml:space="preserve">         Channels 1</v>
      </c>
      <c r="B117" s="189">
        <f t="shared" ref="B117:D119" si="90">SUM(B109,B113)</f>
        <v>0</v>
      </c>
      <c r="C117" s="189">
        <f t="shared" si="90"/>
        <v>0</v>
      </c>
      <c r="D117" s="189">
        <f t="shared" si="90"/>
        <v>57750</v>
      </c>
      <c r="E117" s="190">
        <f t="shared" si="84"/>
        <v>57750</v>
      </c>
      <c r="F117" s="189">
        <f t="shared" ref="F117:H119" si="91">SUM(F109,F113)</f>
        <v>57750</v>
      </c>
      <c r="G117" s="189">
        <f t="shared" si="91"/>
        <v>0</v>
      </c>
      <c r="H117" s="189">
        <f t="shared" si="91"/>
        <v>42000</v>
      </c>
      <c r="I117" s="190">
        <f t="shared" si="85"/>
        <v>99750</v>
      </c>
      <c r="J117" s="189">
        <f t="shared" ref="J117:L119" si="92">SUM(J109,J113)</f>
        <v>42000</v>
      </c>
      <c r="K117" s="189">
        <f t="shared" si="92"/>
        <v>42000</v>
      </c>
      <c r="L117" s="189">
        <f t="shared" si="92"/>
        <v>0</v>
      </c>
      <c r="M117" s="190">
        <f t="shared" si="86"/>
        <v>84000</v>
      </c>
      <c r="N117" s="189">
        <f t="shared" ref="N117:P119" si="93">SUM(N109,N113)</f>
        <v>0</v>
      </c>
      <c r="O117" s="189">
        <f t="shared" si="93"/>
        <v>0</v>
      </c>
      <c r="P117" s="189">
        <f t="shared" si="93"/>
        <v>0</v>
      </c>
      <c r="Q117" s="190">
        <f t="shared" si="87"/>
        <v>0</v>
      </c>
      <c r="R117" s="189">
        <f t="shared" ref="R117:T119" si="94">SUM(R109,R113)</f>
        <v>0</v>
      </c>
      <c r="S117" s="189">
        <f t="shared" si="94"/>
        <v>0</v>
      </c>
      <c r="T117" s="189">
        <f t="shared" si="94"/>
        <v>0</v>
      </c>
      <c r="U117" s="190">
        <f t="shared" si="88"/>
        <v>0</v>
      </c>
      <c r="V117" s="189">
        <f t="shared" ref="V117:X119" si="95">SUM(V109,V113)</f>
        <v>0</v>
      </c>
      <c r="W117" s="189">
        <f t="shared" si="95"/>
        <v>0</v>
      </c>
      <c r="X117" s="189">
        <f t="shared" si="95"/>
        <v>0</v>
      </c>
      <c r="Y117" s="190">
        <f t="shared" si="89"/>
        <v>0</v>
      </c>
    </row>
    <row r="118" spans="1:25" ht="12.75" hidden="1" customHeight="1" outlineLevel="1" x14ac:dyDescent="0.2">
      <c r="A118" s="198" t="str">
        <f>"         "&amp;Labels!B318</f>
        <v xml:space="preserve">         Channels 2</v>
      </c>
      <c r="B118" s="189">
        <f t="shared" si="90"/>
        <v>0</v>
      </c>
      <c r="C118" s="189">
        <f t="shared" si="90"/>
        <v>0</v>
      </c>
      <c r="D118" s="189">
        <f t="shared" si="90"/>
        <v>55000</v>
      </c>
      <c r="E118" s="190">
        <f t="shared" si="84"/>
        <v>55000</v>
      </c>
      <c r="F118" s="189">
        <f t="shared" si="91"/>
        <v>55000</v>
      </c>
      <c r="G118" s="189">
        <f t="shared" si="91"/>
        <v>0</v>
      </c>
      <c r="H118" s="189">
        <f t="shared" si="91"/>
        <v>40000</v>
      </c>
      <c r="I118" s="190">
        <f t="shared" si="85"/>
        <v>95000</v>
      </c>
      <c r="J118" s="189">
        <f t="shared" si="92"/>
        <v>40000</v>
      </c>
      <c r="K118" s="189">
        <f t="shared" si="92"/>
        <v>40000</v>
      </c>
      <c r="L118" s="189">
        <f t="shared" si="92"/>
        <v>0</v>
      </c>
      <c r="M118" s="190">
        <f t="shared" si="86"/>
        <v>80000</v>
      </c>
      <c r="N118" s="189">
        <f t="shared" si="93"/>
        <v>0</v>
      </c>
      <c r="O118" s="189">
        <f t="shared" si="93"/>
        <v>0</v>
      </c>
      <c r="P118" s="189">
        <f t="shared" si="93"/>
        <v>0</v>
      </c>
      <c r="Q118" s="190">
        <f t="shared" si="87"/>
        <v>0</v>
      </c>
      <c r="R118" s="189">
        <f t="shared" si="94"/>
        <v>0</v>
      </c>
      <c r="S118" s="189">
        <f t="shared" si="94"/>
        <v>0</v>
      </c>
      <c r="T118" s="189">
        <f t="shared" si="94"/>
        <v>0</v>
      </c>
      <c r="U118" s="190">
        <f t="shared" si="88"/>
        <v>0</v>
      </c>
      <c r="V118" s="189">
        <f t="shared" si="95"/>
        <v>0</v>
      </c>
      <c r="W118" s="189">
        <f t="shared" si="95"/>
        <v>0</v>
      </c>
      <c r="X118" s="189">
        <f t="shared" si="95"/>
        <v>0</v>
      </c>
      <c r="Y118" s="190">
        <f t="shared" si="89"/>
        <v>0</v>
      </c>
    </row>
    <row r="119" spans="1:25" ht="12.75" hidden="1" customHeight="1" outlineLevel="1" x14ac:dyDescent="0.2">
      <c r="A119" s="198" t="str">
        <f>"         "&amp;Labels!C316</f>
        <v xml:space="preserve">         Total</v>
      </c>
      <c r="B119" s="226">
        <f t="shared" si="90"/>
        <v>0</v>
      </c>
      <c r="C119" s="226">
        <f t="shared" si="90"/>
        <v>0</v>
      </c>
      <c r="D119" s="226">
        <f t="shared" si="90"/>
        <v>112750</v>
      </c>
      <c r="E119" s="227">
        <f>SUM(B116:D116)</f>
        <v>112750</v>
      </c>
      <c r="F119" s="226">
        <f t="shared" si="91"/>
        <v>112750</v>
      </c>
      <c r="G119" s="226">
        <f t="shared" si="91"/>
        <v>0</v>
      </c>
      <c r="H119" s="226">
        <f t="shared" si="91"/>
        <v>82000</v>
      </c>
      <c r="I119" s="227">
        <f>SUM(F116:H116)</f>
        <v>194750</v>
      </c>
      <c r="J119" s="226">
        <f t="shared" si="92"/>
        <v>82000</v>
      </c>
      <c r="K119" s="226">
        <f t="shared" si="92"/>
        <v>82000</v>
      </c>
      <c r="L119" s="226">
        <f t="shared" si="92"/>
        <v>0</v>
      </c>
      <c r="M119" s="227">
        <f>SUM(J116:L116)</f>
        <v>164000</v>
      </c>
      <c r="N119" s="226">
        <f t="shared" si="93"/>
        <v>0</v>
      </c>
      <c r="O119" s="226">
        <f t="shared" si="93"/>
        <v>0</v>
      </c>
      <c r="P119" s="226">
        <f t="shared" si="93"/>
        <v>0</v>
      </c>
      <c r="Q119" s="227">
        <f>SUM(N116:P116)</f>
        <v>0</v>
      </c>
      <c r="R119" s="226">
        <f t="shared" si="94"/>
        <v>0</v>
      </c>
      <c r="S119" s="226">
        <f t="shared" si="94"/>
        <v>0</v>
      </c>
      <c r="T119" s="226">
        <f t="shared" si="94"/>
        <v>0</v>
      </c>
      <c r="U119" s="227">
        <f>SUM(R116:T116)</f>
        <v>0</v>
      </c>
      <c r="V119" s="226">
        <f t="shared" si="95"/>
        <v>0</v>
      </c>
      <c r="W119" s="226">
        <f t="shared" si="95"/>
        <v>0</v>
      </c>
      <c r="X119" s="226">
        <f t="shared" si="95"/>
        <v>0</v>
      </c>
      <c r="Y119" s="227">
        <f>SUM(V116:X116)</f>
        <v>0</v>
      </c>
    </row>
    <row r="120" spans="1:25" ht="12.75" hidden="1" customHeight="1" outlineLevel="1" x14ac:dyDescent="0.2">
      <c r="A120" s="188" t="str">
        <f>"   "&amp;Labels!B382</f>
        <v xml:space="preserve">   Practice 2</v>
      </c>
      <c r="B120" s="196"/>
      <c r="C120" s="196"/>
      <c r="D120" s="196"/>
      <c r="E120" s="197"/>
      <c r="F120" s="196"/>
      <c r="G120" s="196"/>
      <c r="H120" s="196"/>
      <c r="I120" s="197"/>
      <c r="J120" s="196"/>
      <c r="K120" s="196"/>
      <c r="L120" s="196"/>
      <c r="M120" s="197"/>
      <c r="N120" s="196"/>
      <c r="O120" s="196"/>
      <c r="P120" s="196"/>
      <c r="Q120" s="197"/>
      <c r="R120" s="196"/>
      <c r="S120" s="196"/>
      <c r="T120" s="196"/>
      <c r="U120" s="197"/>
      <c r="V120" s="196"/>
      <c r="W120" s="196"/>
      <c r="X120" s="196"/>
      <c r="Y120" s="197"/>
    </row>
    <row r="121" spans="1:25" ht="12.75" hidden="1" customHeight="1" outlineLevel="1" x14ac:dyDescent="0.2">
      <c r="A121" s="198" t="str">
        <f>"      "&amp;Labels!B385</f>
        <v xml:space="preserve">      Prof Level 1</v>
      </c>
      <c r="B121" s="226"/>
      <c r="C121" s="226"/>
      <c r="D121" s="226"/>
      <c r="E121" s="227"/>
      <c r="F121" s="226"/>
      <c r="G121" s="226"/>
      <c r="H121" s="226"/>
      <c r="I121" s="227"/>
      <c r="J121" s="226"/>
      <c r="K121" s="226"/>
      <c r="L121" s="226"/>
      <c r="M121" s="227"/>
      <c r="N121" s="226"/>
      <c r="O121" s="226"/>
      <c r="P121" s="226"/>
      <c r="Q121" s="227"/>
      <c r="R121" s="226"/>
      <c r="S121" s="226"/>
      <c r="T121" s="226"/>
      <c r="U121" s="227"/>
      <c r="V121" s="226"/>
      <c r="W121" s="226"/>
      <c r="X121" s="226"/>
      <c r="Y121" s="227"/>
    </row>
    <row r="122" spans="1:25" ht="12.75" hidden="1" customHeight="1" outlineLevel="1" x14ac:dyDescent="0.2">
      <c r="A122" s="198" t="str">
        <f>"         "&amp;Labels!B317</f>
        <v xml:space="preserve">         Channels 1</v>
      </c>
      <c r="B122" s="189">
        <f>'(Tables)'!B783+Engage!B226+'GM CostSvcs'!B67</f>
        <v>0</v>
      </c>
      <c r="C122" s="189">
        <f>'(Tables)'!C783+Engage!C226+'GM CostSvcs'!C67</f>
        <v>0</v>
      </c>
      <c r="D122" s="189">
        <f>'(Tables)'!D783+Engage!D226+'GM CostSvcs'!D67</f>
        <v>0</v>
      </c>
      <c r="E122" s="190">
        <f>SUM(B122:D122)</f>
        <v>0</v>
      </c>
      <c r="F122" s="189">
        <f>'(Tables)'!E783+Engage!E226+'GM CostSvcs'!F67</f>
        <v>0</v>
      </c>
      <c r="G122" s="189">
        <f>'(Tables)'!F783+Engage!F226+'GM CostSvcs'!G67</f>
        <v>0</v>
      </c>
      <c r="H122" s="189">
        <f>'(Tables)'!G783+Engage!G226+'GM CostSvcs'!H67</f>
        <v>0</v>
      </c>
      <c r="I122" s="190">
        <f>SUM(F122:H122)</f>
        <v>0</v>
      </c>
      <c r="J122" s="189">
        <f>'(Tables)'!H783+Engage!H226+'GM CostSvcs'!J67</f>
        <v>0</v>
      </c>
      <c r="K122" s="189">
        <f>'(Tables)'!I783+Engage!I226+'GM CostSvcs'!K67</f>
        <v>0</v>
      </c>
      <c r="L122" s="189">
        <f>'(Tables)'!J783+Engage!J226+'GM CostSvcs'!L67</f>
        <v>0</v>
      </c>
      <c r="M122" s="190">
        <f>SUM(J122:L122)</f>
        <v>0</v>
      </c>
      <c r="N122" s="189">
        <f>'(Tables)'!K783+Engage!K226+'GM CostSvcs'!N67</f>
        <v>0</v>
      </c>
      <c r="O122" s="189">
        <f>'(Tables)'!L783+Engage!L226+'GM CostSvcs'!O67</f>
        <v>0</v>
      </c>
      <c r="P122" s="189">
        <f>'(Tables)'!M783+Engage!M226+'GM CostSvcs'!P67</f>
        <v>0</v>
      </c>
      <c r="Q122" s="190">
        <f>SUM(N122:P122)</f>
        <v>0</v>
      </c>
      <c r="R122" s="189">
        <f>'(Tables)'!N783+Engage!N226+'GM CostSvcs'!R67</f>
        <v>0</v>
      </c>
      <c r="S122" s="189">
        <f>'(Tables)'!O783+Engage!O226+'GM CostSvcs'!S67</f>
        <v>0</v>
      </c>
      <c r="T122" s="189">
        <f>'(Tables)'!P783+Engage!P226+'GM CostSvcs'!T67</f>
        <v>0</v>
      </c>
      <c r="U122" s="190">
        <f>SUM(R122:T122)</f>
        <v>0</v>
      </c>
      <c r="V122" s="189">
        <f>'(Tables)'!Q783+Engage!Q226+'GM CostSvcs'!V67</f>
        <v>0</v>
      </c>
      <c r="W122" s="189">
        <f>'(Tables)'!R783+Engage!R226+'GM CostSvcs'!W67</f>
        <v>0</v>
      </c>
      <c r="X122" s="189">
        <f>'(Tables)'!S783+Engage!S226+'GM CostSvcs'!X67</f>
        <v>0</v>
      </c>
      <c r="Y122" s="190">
        <f>SUM(V122:X122)</f>
        <v>0</v>
      </c>
    </row>
    <row r="123" spans="1:25" ht="12.75" hidden="1" customHeight="1" outlineLevel="1" x14ac:dyDescent="0.2">
      <c r="A123" s="198" t="str">
        <f>"         "&amp;Labels!B318</f>
        <v xml:space="preserve">         Channels 2</v>
      </c>
      <c r="B123" s="189">
        <f>'(Tables)'!B784+Engage!B227+'GM CostSvcs'!B68</f>
        <v>0</v>
      </c>
      <c r="C123" s="189">
        <f>'(Tables)'!C784+Engage!C227+'GM CostSvcs'!C68</f>
        <v>0</v>
      </c>
      <c r="D123" s="189">
        <f>'(Tables)'!D784+Engage!D227+'GM CostSvcs'!D68</f>
        <v>0</v>
      </c>
      <c r="E123" s="190">
        <f>SUM(B123:D123)</f>
        <v>0</v>
      </c>
      <c r="F123" s="189">
        <f>'(Tables)'!E784+Engage!E227+'GM CostSvcs'!F68</f>
        <v>0</v>
      </c>
      <c r="G123" s="189">
        <f>'(Tables)'!F784+Engage!F227+'GM CostSvcs'!G68</f>
        <v>0</v>
      </c>
      <c r="H123" s="189">
        <f>'(Tables)'!G784+Engage!G227+'GM CostSvcs'!H68</f>
        <v>0</v>
      </c>
      <c r="I123" s="190">
        <f>SUM(F123:H123)</f>
        <v>0</v>
      </c>
      <c r="J123" s="189">
        <f>'(Tables)'!H784+Engage!H227+'GM CostSvcs'!J68</f>
        <v>0</v>
      </c>
      <c r="K123" s="189">
        <f>'(Tables)'!I784+Engage!I227+'GM CostSvcs'!K68</f>
        <v>0</v>
      </c>
      <c r="L123" s="189">
        <f>'(Tables)'!J784+Engage!J227+'GM CostSvcs'!L68</f>
        <v>0</v>
      </c>
      <c r="M123" s="190">
        <f>SUM(J123:L123)</f>
        <v>0</v>
      </c>
      <c r="N123" s="189">
        <f>'(Tables)'!K784+Engage!K227+'GM CostSvcs'!N68</f>
        <v>0</v>
      </c>
      <c r="O123" s="189">
        <f>'(Tables)'!L784+Engage!L227+'GM CostSvcs'!O68</f>
        <v>0</v>
      </c>
      <c r="P123" s="189">
        <f>'(Tables)'!M784+Engage!M227+'GM CostSvcs'!P68</f>
        <v>0</v>
      </c>
      <c r="Q123" s="190">
        <f>SUM(N123:P123)</f>
        <v>0</v>
      </c>
      <c r="R123" s="189">
        <f>'(Tables)'!N784+Engage!N227+'GM CostSvcs'!R68</f>
        <v>0</v>
      </c>
      <c r="S123" s="189">
        <f>'(Tables)'!O784+Engage!O227+'GM CostSvcs'!S68</f>
        <v>0</v>
      </c>
      <c r="T123" s="189">
        <f>'(Tables)'!P784+Engage!P227+'GM CostSvcs'!T68</f>
        <v>0</v>
      </c>
      <c r="U123" s="190">
        <f>SUM(R123:T123)</f>
        <v>0</v>
      </c>
      <c r="V123" s="189">
        <f>'(Tables)'!Q784+Engage!Q227+'GM CostSvcs'!V68</f>
        <v>0</v>
      </c>
      <c r="W123" s="189">
        <f>'(Tables)'!R784+Engage!R227+'GM CostSvcs'!W68</f>
        <v>0</v>
      </c>
      <c r="X123" s="189">
        <f>'(Tables)'!S784+Engage!S227+'GM CostSvcs'!X68</f>
        <v>0</v>
      </c>
      <c r="Y123" s="190">
        <f>SUM(V123:X123)</f>
        <v>0</v>
      </c>
    </row>
    <row r="124" spans="1:25" ht="12.75" hidden="1" customHeight="1" outlineLevel="1" x14ac:dyDescent="0.2">
      <c r="A124" s="198" t="str">
        <f>"         "&amp;Labels!C316</f>
        <v xml:space="preserve">         Total</v>
      </c>
      <c r="B124" s="226">
        <f>SUM(B122:B123)</f>
        <v>0</v>
      </c>
      <c r="C124" s="226">
        <f>SUM(C122:C123)</f>
        <v>0</v>
      </c>
      <c r="D124" s="226">
        <f>SUM(D122:D123)</f>
        <v>0</v>
      </c>
      <c r="E124" s="227">
        <f>SUM(B124:D124)</f>
        <v>0</v>
      </c>
      <c r="F124" s="226">
        <f>SUM(F122:F123)</f>
        <v>0</v>
      </c>
      <c r="G124" s="226">
        <f>SUM(G122:G123)</f>
        <v>0</v>
      </c>
      <c r="H124" s="226">
        <f>SUM(H122:H123)</f>
        <v>0</v>
      </c>
      <c r="I124" s="227">
        <f>SUM(F124:H124)</f>
        <v>0</v>
      </c>
      <c r="J124" s="226">
        <f>SUM(J122:J123)</f>
        <v>0</v>
      </c>
      <c r="K124" s="226">
        <f>SUM(K122:K123)</f>
        <v>0</v>
      </c>
      <c r="L124" s="226">
        <f>SUM(L122:L123)</f>
        <v>0</v>
      </c>
      <c r="M124" s="227">
        <f>SUM(J124:L124)</f>
        <v>0</v>
      </c>
      <c r="N124" s="226">
        <f>SUM(N122:N123)</f>
        <v>0</v>
      </c>
      <c r="O124" s="226">
        <f>SUM(O122:O123)</f>
        <v>0</v>
      </c>
      <c r="P124" s="226">
        <f>SUM(P122:P123)</f>
        <v>0</v>
      </c>
      <c r="Q124" s="227">
        <f>SUM(N124:P124)</f>
        <v>0</v>
      </c>
      <c r="R124" s="226">
        <f>SUM(R122:R123)</f>
        <v>0</v>
      </c>
      <c r="S124" s="226">
        <f>SUM(S122:S123)</f>
        <v>0</v>
      </c>
      <c r="T124" s="226">
        <f>SUM(T122:T123)</f>
        <v>0</v>
      </c>
      <c r="U124" s="227">
        <f>SUM(R124:T124)</f>
        <v>0</v>
      </c>
      <c r="V124" s="226">
        <f>SUM(V122:V123)</f>
        <v>0</v>
      </c>
      <c r="W124" s="226">
        <f>SUM(W122:W123)</f>
        <v>0</v>
      </c>
      <c r="X124" s="226">
        <f>SUM(X122:X123)</f>
        <v>0</v>
      </c>
      <c r="Y124" s="227">
        <f>SUM(V124:X124)</f>
        <v>0</v>
      </c>
    </row>
    <row r="125" spans="1:25" ht="12.75" hidden="1" customHeight="1" outlineLevel="1" x14ac:dyDescent="0.2">
      <c r="A125" s="198" t="str">
        <f>"      "&amp;Labels!B386</f>
        <v xml:space="preserve">      Prof Level 2</v>
      </c>
      <c r="B125" s="226"/>
      <c r="C125" s="226"/>
      <c r="D125" s="226"/>
      <c r="E125" s="227"/>
      <c r="F125" s="226"/>
      <c r="G125" s="226"/>
      <c r="H125" s="226"/>
      <c r="I125" s="227"/>
      <c r="J125" s="226"/>
      <c r="K125" s="226"/>
      <c r="L125" s="226"/>
      <c r="M125" s="227"/>
      <c r="N125" s="226"/>
      <c r="O125" s="226"/>
      <c r="P125" s="226"/>
      <c r="Q125" s="227"/>
      <c r="R125" s="226"/>
      <c r="S125" s="226"/>
      <c r="T125" s="226"/>
      <c r="U125" s="227"/>
      <c r="V125" s="226"/>
      <c r="W125" s="226"/>
      <c r="X125" s="226"/>
      <c r="Y125" s="227"/>
    </row>
    <row r="126" spans="1:25" ht="12.75" hidden="1" customHeight="1" outlineLevel="1" x14ac:dyDescent="0.2">
      <c r="A126" s="198" t="str">
        <f>"         "&amp;Labels!B317</f>
        <v xml:space="preserve">         Channels 1</v>
      </c>
      <c r="B126" s="189">
        <f>'(Tables)'!B787+Engage!B230+'GM CostSvcs'!B71</f>
        <v>0</v>
      </c>
      <c r="C126" s="189">
        <f>'(Tables)'!C787+Engage!C230+'GM CostSvcs'!C71</f>
        <v>0</v>
      </c>
      <c r="D126" s="189">
        <f>'(Tables)'!D787+Engage!D230+'GM CostSvcs'!D71</f>
        <v>0</v>
      </c>
      <c r="E126" s="190">
        <f t="shared" ref="E126:E131" si="96">SUM(B126:D126)</f>
        <v>0</v>
      </c>
      <c r="F126" s="189">
        <f>'(Tables)'!E787+Engage!E230+'GM CostSvcs'!F71</f>
        <v>0</v>
      </c>
      <c r="G126" s="189">
        <f>'(Tables)'!F787+Engage!F230+'GM CostSvcs'!G71</f>
        <v>0</v>
      </c>
      <c r="H126" s="189">
        <f>'(Tables)'!G787+Engage!G230+'GM CostSvcs'!H71</f>
        <v>0</v>
      </c>
      <c r="I126" s="190">
        <f t="shared" ref="I126:I131" si="97">SUM(F126:H126)</f>
        <v>0</v>
      </c>
      <c r="J126" s="189">
        <f>'(Tables)'!H787+Engage!H230+'GM CostSvcs'!J71</f>
        <v>0</v>
      </c>
      <c r="K126" s="189">
        <f>'(Tables)'!I787+Engage!I230+'GM CostSvcs'!K71</f>
        <v>0</v>
      </c>
      <c r="L126" s="189">
        <f>'(Tables)'!J787+Engage!J230+'GM CostSvcs'!L71</f>
        <v>0</v>
      </c>
      <c r="M126" s="190">
        <f t="shared" ref="M126:M131" si="98">SUM(J126:L126)</f>
        <v>0</v>
      </c>
      <c r="N126" s="189">
        <f>'(Tables)'!K787+Engage!K230+'GM CostSvcs'!N71</f>
        <v>0</v>
      </c>
      <c r="O126" s="189">
        <f>'(Tables)'!L787+Engage!L230+'GM CostSvcs'!O71</f>
        <v>0</v>
      </c>
      <c r="P126" s="189">
        <f>'(Tables)'!M787+Engage!M230+'GM CostSvcs'!P71</f>
        <v>0</v>
      </c>
      <c r="Q126" s="190">
        <f t="shared" ref="Q126:Q131" si="99">SUM(N126:P126)</f>
        <v>0</v>
      </c>
      <c r="R126" s="189">
        <f>'(Tables)'!N787+Engage!N230+'GM CostSvcs'!R71</f>
        <v>0</v>
      </c>
      <c r="S126" s="189">
        <f>'(Tables)'!O787+Engage!O230+'GM CostSvcs'!S71</f>
        <v>0</v>
      </c>
      <c r="T126" s="189">
        <f>'(Tables)'!P787+Engage!P230+'GM CostSvcs'!T71</f>
        <v>0</v>
      </c>
      <c r="U126" s="190">
        <f t="shared" ref="U126:U131" si="100">SUM(R126:T126)</f>
        <v>0</v>
      </c>
      <c r="V126" s="189">
        <f>'(Tables)'!Q787+Engage!Q230+'GM CostSvcs'!V71</f>
        <v>0</v>
      </c>
      <c r="W126" s="189">
        <f>'(Tables)'!R787+Engage!R230+'GM CostSvcs'!W71</f>
        <v>0</v>
      </c>
      <c r="X126" s="189">
        <f>'(Tables)'!S787+Engage!S230+'GM CostSvcs'!X71</f>
        <v>0</v>
      </c>
      <c r="Y126" s="190">
        <f t="shared" ref="Y126:Y131" si="101">SUM(V126:X126)</f>
        <v>0</v>
      </c>
    </row>
    <row r="127" spans="1:25" ht="12.75" hidden="1" customHeight="1" outlineLevel="1" x14ac:dyDescent="0.2">
      <c r="A127" s="198" t="str">
        <f>"         "&amp;Labels!B318</f>
        <v xml:space="preserve">         Channels 2</v>
      </c>
      <c r="B127" s="189">
        <f>'(Tables)'!B788+Engage!B231+'GM CostSvcs'!B72</f>
        <v>0</v>
      </c>
      <c r="C127" s="189">
        <f>'(Tables)'!C788+Engage!C231+'GM CostSvcs'!C72</f>
        <v>0</v>
      </c>
      <c r="D127" s="189">
        <f>'(Tables)'!D788+Engage!D231+'GM CostSvcs'!D72</f>
        <v>0</v>
      </c>
      <c r="E127" s="190">
        <f t="shared" si="96"/>
        <v>0</v>
      </c>
      <c r="F127" s="189">
        <f>'(Tables)'!E788+Engage!E231+'GM CostSvcs'!F72</f>
        <v>0</v>
      </c>
      <c r="G127" s="189">
        <f>'(Tables)'!F788+Engage!F231+'GM CostSvcs'!G72</f>
        <v>0</v>
      </c>
      <c r="H127" s="189">
        <f>'(Tables)'!G788+Engage!G231+'GM CostSvcs'!H72</f>
        <v>0</v>
      </c>
      <c r="I127" s="190">
        <f t="shared" si="97"/>
        <v>0</v>
      </c>
      <c r="J127" s="189">
        <f>'(Tables)'!H788+Engage!H231+'GM CostSvcs'!J72</f>
        <v>0</v>
      </c>
      <c r="K127" s="189">
        <f>'(Tables)'!I788+Engage!I231+'GM CostSvcs'!K72</f>
        <v>0</v>
      </c>
      <c r="L127" s="189">
        <f>'(Tables)'!J788+Engage!J231+'GM CostSvcs'!L72</f>
        <v>0</v>
      </c>
      <c r="M127" s="190">
        <f t="shared" si="98"/>
        <v>0</v>
      </c>
      <c r="N127" s="189">
        <f>'(Tables)'!K788+Engage!K231+'GM CostSvcs'!N72</f>
        <v>0</v>
      </c>
      <c r="O127" s="189">
        <f>'(Tables)'!L788+Engage!L231+'GM CostSvcs'!O72</f>
        <v>0</v>
      </c>
      <c r="P127" s="189">
        <f>'(Tables)'!M788+Engage!M231+'GM CostSvcs'!P72</f>
        <v>0</v>
      </c>
      <c r="Q127" s="190">
        <f t="shared" si="99"/>
        <v>0</v>
      </c>
      <c r="R127" s="189">
        <f>'(Tables)'!N788+Engage!N231+'GM CostSvcs'!R72</f>
        <v>0</v>
      </c>
      <c r="S127" s="189">
        <f>'(Tables)'!O788+Engage!O231+'GM CostSvcs'!S72</f>
        <v>0</v>
      </c>
      <c r="T127" s="189">
        <f>'(Tables)'!P788+Engage!P231+'GM CostSvcs'!T72</f>
        <v>0</v>
      </c>
      <c r="U127" s="190">
        <f t="shared" si="100"/>
        <v>0</v>
      </c>
      <c r="V127" s="189">
        <f>'(Tables)'!Q788+Engage!Q231+'GM CostSvcs'!V72</f>
        <v>0</v>
      </c>
      <c r="W127" s="189">
        <f>'(Tables)'!R788+Engage!R231+'GM CostSvcs'!W72</f>
        <v>0</v>
      </c>
      <c r="X127" s="189">
        <f>'(Tables)'!S788+Engage!S231+'GM CostSvcs'!X72</f>
        <v>0</v>
      </c>
      <c r="Y127" s="190">
        <f t="shared" si="101"/>
        <v>0</v>
      </c>
    </row>
    <row r="128" spans="1:25" ht="12.75" hidden="1" customHeight="1" outlineLevel="1" x14ac:dyDescent="0.2">
      <c r="A128" s="198" t="str">
        <f>"         "&amp;Labels!C316</f>
        <v xml:space="preserve">         Total</v>
      </c>
      <c r="B128" s="226">
        <f>SUM(B126:B127)</f>
        <v>0</v>
      </c>
      <c r="C128" s="226">
        <f>SUM(C126:C127)</f>
        <v>0</v>
      </c>
      <c r="D128" s="226">
        <f>SUM(D126:D127)</f>
        <v>0</v>
      </c>
      <c r="E128" s="227">
        <f t="shared" si="96"/>
        <v>0</v>
      </c>
      <c r="F128" s="226">
        <f>SUM(F126:F127)</f>
        <v>0</v>
      </c>
      <c r="G128" s="226">
        <f>SUM(G126:G127)</f>
        <v>0</v>
      </c>
      <c r="H128" s="226">
        <f>SUM(H126:H127)</f>
        <v>0</v>
      </c>
      <c r="I128" s="227">
        <f t="shared" si="97"/>
        <v>0</v>
      </c>
      <c r="J128" s="226">
        <f>SUM(J126:J127)</f>
        <v>0</v>
      </c>
      <c r="K128" s="226">
        <f>SUM(K126:K127)</f>
        <v>0</v>
      </c>
      <c r="L128" s="226">
        <f>SUM(L126:L127)</f>
        <v>0</v>
      </c>
      <c r="M128" s="227">
        <f t="shared" si="98"/>
        <v>0</v>
      </c>
      <c r="N128" s="226">
        <f>SUM(N126:N127)</f>
        <v>0</v>
      </c>
      <c r="O128" s="226">
        <f>SUM(O126:O127)</f>
        <v>0</v>
      </c>
      <c r="P128" s="226">
        <f>SUM(P126:P127)</f>
        <v>0</v>
      </c>
      <c r="Q128" s="227">
        <f t="shared" si="99"/>
        <v>0</v>
      </c>
      <c r="R128" s="226">
        <f>SUM(R126:R127)</f>
        <v>0</v>
      </c>
      <c r="S128" s="226">
        <f>SUM(S126:S127)</f>
        <v>0</v>
      </c>
      <c r="T128" s="226">
        <f>SUM(T126:T127)</f>
        <v>0</v>
      </c>
      <c r="U128" s="227">
        <f t="shared" si="100"/>
        <v>0</v>
      </c>
      <c r="V128" s="226">
        <f>SUM(V126:V127)</f>
        <v>0</v>
      </c>
      <c r="W128" s="226">
        <f>SUM(W126:W127)</f>
        <v>0</v>
      </c>
      <c r="X128" s="226">
        <f>SUM(X126:X127)</f>
        <v>0</v>
      </c>
      <c r="Y128" s="227">
        <f t="shared" si="101"/>
        <v>0</v>
      </c>
    </row>
    <row r="129" spans="1:25" ht="12.75" hidden="1" customHeight="1" outlineLevel="1" x14ac:dyDescent="0.2">
      <c r="A129" s="188" t="str">
        <f>"      "&amp;Labels!C384</f>
        <v xml:space="preserve">      Total</v>
      </c>
      <c r="B129" s="196">
        <f>SUM(B124,B128)</f>
        <v>0</v>
      </c>
      <c r="C129" s="196">
        <f>SUM(C124,C128)</f>
        <v>0</v>
      </c>
      <c r="D129" s="196">
        <f>SUM(D124,D128)</f>
        <v>0</v>
      </c>
      <c r="E129" s="197">
        <f t="shared" si="96"/>
        <v>0</v>
      </c>
      <c r="F129" s="196">
        <f>SUM(F124,F128)</f>
        <v>0</v>
      </c>
      <c r="G129" s="196">
        <f>SUM(G124,G128)</f>
        <v>0</v>
      </c>
      <c r="H129" s="196">
        <f>SUM(H124,H128)</f>
        <v>0</v>
      </c>
      <c r="I129" s="197">
        <f t="shared" si="97"/>
        <v>0</v>
      </c>
      <c r="J129" s="196">
        <f>SUM(J124,J128)</f>
        <v>0</v>
      </c>
      <c r="K129" s="196">
        <f>SUM(K124,K128)</f>
        <v>0</v>
      </c>
      <c r="L129" s="196">
        <f>SUM(L124,L128)</f>
        <v>0</v>
      </c>
      <c r="M129" s="197">
        <f t="shared" si="98"/>
        <v>0</v>
      </c>
      <c r="N129" s="196">
        <f>SUM(N124,N128)</f>
        <v>0</v>
      </c>
      <c r="O129" s="196">
        <f>SUM(O124,O128)</f>
        <v>0</v>
      </c>
      <c r="P129" s="196">
        <f>SUM(P124,P128)</f>
        <v>0</v>
      </c>
      <c r="Q129" s="197">
        <f t="shared" si="99"/>
        <v>0</v>
      </c>
      <c r="R129" s="196">
        <f>SUM(R124,R128)</f>
        <v>0</v>
      </c>
      <c r="S129" s="196">
        <f>SUM(S124,S128)</f>
        <v>0</v>
      </c>
      <c r="T129" s="196">
        <f>SUM(T124,T128)</f>
        <v>0</v>
      </c>
      <c r="U129" s="197">
        <f t="shared" si="100"/>
        <v>0</v>
      </c>
      <c r="V129" s="196">
        <f>SUM(V124,V128)</f>
        <v>0</v>
      </c>
      <c r="W129" s="196">
        <f>SUM(W124,W128)</f>
        <v>0</v>
      </c>
      <c r="X129" s="196">
        <f>SUM(X124,X128)</f>
        <v>0</v>
      </c>
      <c r="Y129" s="197">
        <f t="shared" si="101"/>
        <v>0</v>
      </c>
    </row>
    <row r="130" spans="1:25" ht="12.75" hidden="1" customHeight="1" outlineLevel="1" x14ac:dyDescent="0.2">
      <c r="A130" s="198" t="str">
        <f>"         "&amp;Labels!B317</f>
        <v xml:space="preserve">         Channels 1</v>
      </c>
      <c r="B130" s="189">
        <f t="shared" ref="B130:D132" si="102">SUM(B122,B126)</f>
        <v>0</v>
      </c>
      <c r="C130" s="189">
        <f t="shared" si="102"/>
        <v>0</v>
      </c>
      <c r="D130" s="189">
        <f t="shared" si="102"/>
        <v>0</v>
      </c>
      <c r="E130" s="190">
        <f t="shared" si="96"/>
        <v>0</v>
      </c>
      <c r="F130" s="189">
        <f t="shared" ref="F130:H132" si="103">SUM(F122,F126)</f>
        <v>0</v>
      </c>
      <c r="G130" s="189">
        <f t="shared" si="103"/>
        <v>0</v>
      </c>
      <c r="H130" s="189">
        <f t="shared" si="103"/>
        <v>0</v>
      </c>
      <c r="I130" s="190">
        <f t="shared" si="97"/>
        <v>0</v>
      </c>
      <c r="J130" s="189">
        <f t="shared" ref="J130:L132" si="104">SUM(J122,J126)</f>
        <v>0</v>
      </c>
      <c r="K130" s="189">
        <f t="shared" si="104"/>
        <v>0</v>
      </c>
      <c r="L130" s="189">
        <f t="shared" si="104"/>
        <v>0</v>
      </c>
      <c r="M130" s="190">
        <f t="shared" si="98"/>
        <v>0</v>
      </c>
      <c r="N130" s="189">
        <f t="shared" ref="N130:P132" si="105">SUM(N122,N126)</f>
        <v>0</v>
      </c>
      <c r="O130" s="189">
        <f t="shared" si="105"/>
        <v>0</v>
      </c>
      <c r="P130" s="189">
        <f t="shared" si="105"/>
        <v>0</v>
      </c>
      <c r="Q130" s="190">
        <f t="shared" si="99"/>
        <v>0</v>
      </c>
      <c r="R130" s="189">
        <f t="shared" ref="R130:T132" si="106">SUM(R122,R126)</f>
        <v>0</v>
      </c>
      <c r="S130" s="189">
        <f t="shared" si="106"/>
        <v>0</v>
      </c>
      <c r="T130" s="189">
        <f t="shared" si="106"/>
        <v>0</v>
      </c>
      <c r="U130" s="190">
        <f t="shared" si="100"/>
        <v>0</v>
      </c>
      <c r="V130" s="189">
        <f t="shared" ref="V130:X132" si="107">SUM(V122,V126)</f>
        <v>0</v>
      </c>
      <c r="W130" s="189">
        <f t="shared" si="107"/>
        <v>0</v>
      </c>
      <c r="X130" s="189">
        <f t="shared" si="107"/>
        <v>0</v>
      </c>
      <c r="Y130" s="190">
        <f t="shared" si="101"/>
        <v>0</v>
      </c>
    </row>
    <row r="131" spans="1:25" ht="12.75" hidden="1" customHeight="1" outlineLevel="1" x14ac:dyDescent="0.2">
      <c r="A131" s="198" t="str">
        <f>"         "&amp;Labels!B318</f>
        <v xml:space="preserve">         Channels 2</v>
      </c>
      <c r="B131" s="189">
        <f t="shared" si="102"/>
        <v>0</v>
      </c>
      <c r="C131" s="189">
        <f t="shared" si="102"/>
        <v>0</v>
      </c>
      <c r="D131" s="189">
        <f t="shared" si="102"/>
        <v>0</v>
      </c>
      <c r="E131" s="190">
        <f t="shared" si="96"/>
        <v>0</v>
      </c>
      <c r="F131" s="189">
        <f t="shared" si="103"/>
        <v>0</v>
      </c>
      <c r="G131" s="189">
        <f t="shared" si="103"/>
        <v>0</v>
      </c>
      <c r="H131" s="189">
        <f t="shared" si="103"/>
        <v>0</v>
      </c>
      <c r="I131" s="190">
        <f t="shared" si="97"/>
        <v>0</v>
      </c>
      <c r="J131" s="189">
        <f t="shared" si="104"/>
        <v>0</v>
      </c>
      <c r="K131" s="189">
        <f t="shared" si="104"/>
        <v>0</v>
      </c>
      <c r="L131" s="189">
        <f t="shared" si="104"/>
        <v>0</v>
      </c>
      <c r="M131" s="190">
        <f t="shared" si="98"/>
        <v>0</v>
      </c>
      <c r="N131" s="189">
        <f t="shared" si="105"/>
        <v>0</v>
      </c>
      <c r="O131" s="189">
        <f t="shared" si="105"/>
        <v>0</v>
      </c>
      <c r="P131" s="189">
        <f t="shared" si="105"/>
        <v>0</v>
      </c>
      <c r="Q131" s="190">
        <f t="shared" si="99"/>
        <v>0</v>
      </c>
      <c r="R131" s="189">
        <f t="shared" si="106"/>
        <v>0</v>
      </c>
      <c r="S131" s="189">
        <f t="shared" si="106"/>
        <v>0</v>
      </c>
      <c r="T131" s="189">
        <f t="shared" si="106"/>
        <v>0</v>
      </c>
      <c r="U131" s="190">
        <f t="shared" si="100"/>
        <v>0</v>
      </c>
      <c r="V131" s="189">
        <f t="shared" si="107"/>
        <v>0</v>
      </c>
      <c r="W131" s="189">
        <f t="shared" si="107"/>
        <v>0</v>
      </c>
      <c r="X131" s="189">
        <f t="shared" si="107"/>
        <v>0</v>
      </c>
      <c r="Y131" s="190">
        <f t="shared" si="101"/>
        <v>0</v>
      </c>
    </row>
    <row r="132" spans="1:25" ht="12.75" hidden="1" customHeight="1" outlineLevel="1" x14ac:dyDescent="0.2">
      <c r="A132" s="198" t="str">
        <f>"         "&amp;Labels!C316</f>
        <v xml:space="preserve">         Total</v>
      </c>
      <c r="B132" s="226">
        <f t="shared" si="102"/>
        <v>0</v>
      </c>
      <c r="C132" s="226">
        <f t="shared" si="102"/>
        <v>0</v>
      </c>
      <c r="D132" s="226">
        <f t="shared" si="102"/>
        <v>0</v>
      </c>
      <c r="E132" s="227">
        <f>SUM(B129:D129)</f>
        <v>0</v>
      </c>
      <c r="F132" s="226">
        <f t="shared" si="103"/>
        <v>0</v>
      </c>
      <c r="G132" s="226">
        <f t="shared" si="103"/>
        <v>0</v>
      </c>
      <c r="H132" s="226">
        <f t="shared" si="103"/>
        <v>0</v>
      </c>
      <c r="I132" s="227">
        <f>SUM(F129:H129)</f>
        <v>0</v>
      </c>
      <c r="J132" s="226">
        <f t="shared" si="104"/>
        <v>0</v>
      </c>
      <c r="K132" s="226">
        <f t="shared" si="104"/>
        <v>0</v>
      </c>
      <c r="L132" s="226">
        <f t="shared" si="104"/>
        <v>0</v>
      </c>
      <c r="M132" s="227">
        <f>SUM(J129:L129)</f>
        <v>0</v>
      </c>
      <c r="N132" s="226">
        <f t="shared" si="105"/>
        <v>0</v>
      </c>
      <c r="O132" s="226">
        <f t="shared" si="105"/>
        <v>0</v>
      </c>
      <c r="P132" s="226">
        <f t="shared" si="105"/>
        <v>0</v>
      </c>
      <c r="Q132" s="227">
        <f>SUM(N129:P129)</f>
        <v>0</v>
      </c>
      <c r="R132" s="226">
        <f t="shared" si="106"/>
        <v>0</v>
      </c>
      <c r="S132" s="226">
        <f t="shared" si="106"/>
        <v>0</v>
      </c>
      <c r="T132" s="226">
        <f t="shared" si="106"/>
        <v>0</v>
      </c>
      <c r="U132" s="227">
        <f>SUM(R129:T129)</f>
        <v>0</v>
      </c>
      <c r="V132" s="226">
        <f t="shared" si="107"/>
        <v>0</v>
      </c>
      <c r="W132" s="226">
        <f t="shared" si="107"/>
        <v>0</v>
      </c>
      <c r="X132" s="226">
        <f t="shared" si="107"/>
        <v>0</v>
      </c>
      <c r="Y132" s="227">
        <f>SUM(V129:X129)</f>
        <v>0</v>
      </c>
    </row>
    <row r="133" spans="1:25" ht="12.75" hidden="1" customHeight="1" outlineLevel="1" x14ac:dyDescent="0.2">
      <c r="A133" s="191" t="str">
        <f>"   "&amp;Labels!C380</f>
        <v xml:space="preserve">   Total</v>
      </c>
      <c r="B133" s="192">
        <f>SUM(B116,B129)</f>
        <v>0</v>
      </c>
      <c r="C133" s="192">
        <f>SUM(C116,C129)</f>
        <v>0</v>
      </c>
      <c r="D133" s="192">
        <f>SUM(D116,D129)</f>
        <v>112750</v>
      </c>
      <c r="E133" s="190">
        <f>SUM(B133:D133)</f>
        <v>112750</v>
      </c>
      <c r="F133" s="192">
        <f>SUM(F116,F129)</f>
        <v>112750</v>
      </c>
      <c r="G133" s="192">
        <f>SUM(G116,G129)</f>
        <v>0</v>
      </c>
      <c r="H133" s="192">
        <f>SUM(H116,H129)</f>
        <v>82000</v>
      </c>
      <c r="I133" s="190">
        <f>SUM(F133:H133)</f>
        <v>194750</v>
      </c>
      <c r="J133" s="192">
        <f>SUM(J116,J129)</f>
        <v>82000</v>
      </c>
      <c r="K133" s="192">
        <f>SUM(K116,K129)</f>
        <v>82000</v>
      </c>
      <c r="L133" s="192">
        <f>SUM(L116,L129)</f>
        <v>0</v>
      </c>
      <c r="M133" s="190">
        <f>SUM(J133:L133)</f>
        <v>164000</v>
      </c>
      <c r="N133" s="192">
        <f>SUM(N116,N129)</f>
        <v>0</v>
      </c>
      <c r="O133" s="192">
        <f>SUM(O116,O129)</f>
        <v>0</v>
      </c>
      <c r="P133" s="192">
        <f>SUM(P116,P129)</f>
        <v>0</v>
      </c>
      <c r="Q133" s="190">
        <f>SUM(N133:P133)</f>
        <v>0</v>
      </c>
      <c r="R133" s="192">
        <f>SUM(R116,R129)</f>
        <v>0</v>
      </c>
      <c r="S133" s="192">
        <f>SUM(S116,S129)</f>
        <v>0</v>
      </c>
      <c r="T133" s="192">
        <f>SUM(T116,T129)</f>
        <v>0</v>
      </c>
      <c r="U133" s="190">
        <f>SUM(R133:T133)</f>
        <v>0</v>
      </c>
      <c r="V133" s="192">
        <f>SUM(V116,V129)</f>
        <v>0</v>
      </c>
      <c r="W133" s="192">
        <f>SUM(W116,W129)</f>
        <v>0</v>
      </c>
      <c r="X133" s="192">
        <f>SUM(X116,X129)</f>
        <v>0</v>
      </c>
      <c r="Y133" s="190">
        <f>SUM(V133:X133)</f>
        <v>0</v>
      </c>
    </row>
    <row r="134" spans="1:25" ht="12.75" hidden="1" customHeight="1" outlineLevel="1" x14ac:dyDescent="0.2">
      <c r="A134" s="198" t="str">
        <f>"      "&amp;Labels!B385</f>
        <v xml:space="preserve">      Prof Level 1</v>
      </c>
      <c r="B134" s="226"/>
      <c r="C134" s="226"/>
      <c r="D134" s="226"/>
      <c r="E134" s="227"/>
      <c r="F134" s="226"/>
      <c r="G134" s="226"/>
      <c r="H134" s="226"/>
      <c r="I134" s="227"/>
      <c r="J134" s="226"/>
      <c r="K134" s="226"/>
      <c r="L134" s="226"/>
      <c r="M134" s="227"/>
      <c r="N134" s="226"/>
      <c r="O134" s="226"/>
      <c r="P134" s="226"/>
      <c r="Q134" s="227"/>
      <c r="R134" s="226"/>
      <c r="S134" s="226"/>
      <c r="T134" s="226"/>
      <c r="U134" s="227"/>
      <c r="V134" s="226"/>
      <c r="W134" s="226"/>
      <c r="X134" s="226"/>
      <c r="Y134" s="227"/>
    </row>
    <row r="135" spans="1:25" ht="12.75" hidden="1" customHeight="1" outlineLevel="1" x14ac:dyDescent="0.2">
      <c r="A135" s="198" t="str">
        <f>"         "&amp;Labels!B317</f>
        <v xml:space="preserve">         Channels 1</v>
      </c>
      <c r="B135" s="189">
        <f t="shared" ref="B135:D137" si="108">SUM(B109,B122)</f>
        <v>0</v>
      </c>
      <c r="C135" s="189">
        <f t="shared" si="108"/>
        <v>0</v>
      </c>
      <c r="D135" s="189">
        <f t="shared" si="108"/>
        <v>28875</v>
      </c>
      <c r="E135" s="190">
        <f>SUM(B135:D135)</f>
        <v>28875</v>
      </c>
      <c r="F135" s="189">
        <f t="shared" ref="F135:H137" si="109">SUM(F109,F122)</f>
        <v>28875</v>
      </c>
      <c r="G135" s="189">
        <f t="shared" si="109"/>
        <v>0</v>
      </c>
      <c r="H135" s="189">
        <f t="shared" si="109"/>
        <v>21000</v>
      </c>
      <c r="I135" s="190">
        <f>SUM(F135:H135)</f>
        <v>49875</v>
      </c>
      <c r="J135" s="189">
        <f t="shared" ref="J135:L137" si="110">SUM(J109,J122)</f>
        <v>21000</v>
      </c>
      <c r="K135" s="189">
        <f t="shared" si="110"/>
        <v>21000</v>
      </c>
      <c r="L135" s="189">
        <f t="shared" si="110"/>
        <v>0</v>
      </c>
      <c r="M135" s="190">
        <f>SUM(J135:L135)</f>
        <v>42000</v>
      </c>
      <c r="N135" s="189">
        <f t="shared" ref="N135:P137" si="111">SUM(N109,N122)</f>
        <v>0</v>
      </c>
      <c r="O135" s="189">
        <f t="shared" si="111"/>
        <v>0</v>
      </c>
      <c r="P135" s="189">
        <f t="shared" si="111"/>
        <v>0</v>
      </c>
      <c r="Q135" s="190">
        <f>SUM(N135:P135)</f>
        <v>0</v>
      </c>
      <c r="R135" s="189">
        <f t="shared" ref="R135:T137" si="112">SUM(R109,R122)</f>
        <v>0</v>
      </c>
      <c r="S135" s="189">
        <f t="shared" si="112"/>
        <v>0</v>
      </c>
      <c r="T135" s="189">
        <f t="shared" si="112"/>
        <v>0</v>
      </c>
      <c r="U135" s="190">
        <f>SUM(R135:T135)</f>
        <v>0</v>
      </c>
      <c r="V135" s="189">
        <f t="shared" ref="V135:X137" si="113">SUM(V109,V122)</f>
        <v>0</v>
      </c>
      <c r="W135" s="189">
        <f t="shared" si="113"/>
        <v>0</v>
      </c>
      <c r="X135" s="189">
        <f t="shared" si="113"/>
        <v>0</v>
      </c>
      <c r="Y135" s="190">
        <f>SUM(V135:X135)</f>
        <v>0</v>
      </c>
    </row>
    <row r="136" spans="1:25" ht="12.75" hidden="1" customHeight="1" outlineLevel="1" x14ac:dyDescent="0.2">
      <c r="A136" s="198" t="str">
        <f>"         "&amp;Labels!B318</f>
        <v xml:space="preserve">         Channels 2</v>
      </c>
      <c r="B136" s="189">
        <f t="shared" si="108"/>
        <v>0</v>
      </c>
      <c r="C136" s="189">
        <f t="shared" si="108"/>
        <v>0</v>
      </c>
      <c r="D136" s="189">
        <f t="shared" si="108"/>
        <v>27500</v>
      </c>
      <c r="E136" s="190">
        <f>SUM(B136:D136)</f>
        <v>27500</v>
      </c>
      <c r="F136" s="189">
        <f t="shared" si="109"/>
        <v>27500</v>
      </c>
      <c r="G136" s="189">
        <f t="shared" si="109"/>
        <v>0</v>
      </c>
      <c r="H136" s="189">
        <f t="shared" si="109"/>
        <v>20000</v>
      </c>
      <c r="I136" s="190">
        <f>SUM(F136:H136)</f>
        <v>47500</v>
      </c>
      <c r="J136" s="189">
        <f t="shared" si="110"/>
        <v>20000</v>
      </c>
      <c r="K136" s="189">
        <f t="shared" si="110"/>
        <v>20000</v>
      </c>
      <c r="L136" s="189">
        <f t="shared" si="110"/>
        <v>0</v>
      </c>
      <c r="M136" s="190">
        <f>SUM(J136:L136)</f>
        <v>40000</v>
      </c>
      <c r="N136" s="189">
        <f t="shared" si="111"/>
        <v>0</v>
      </c>
      <c r="O136" s="189">
        <f t="shared" si="111"/>
        <v>0</v>
      </c>
      <c r="P136" s="189">
        <f t="shared" si="111"/>
        <v>0</v>
      </c>
      <c r="Q136" s="190">
        <f>SUM(N136:P136)</f>
        <v>0</v>
      </c>
      <c r="R136" s="189">
        <f t="shared" si="112"/>
        <v>0</v>
      </c>
      <c r="S136" s="189">
        <f t="shared" si="112"/>
        <v>0</v>
      </c>
      <c r="T136" s="189">
        <f t="shared" si="112"/>
        <v>0</v>
      </c>
      <c r="U136" s="190">
        <f>SUM(R136:T136)</f>
        <v>0</v>
      </c>
      <c r="V136" s="189">
        <f t="shared" si="113"/>
        <v>0</v>
      </c>
      <c r="W136" s="189">
        <f t="shared" si="113"/>
        <v>0</v>
      </c>
      <c r="X136" s="189">
        <f t="shared" si="113"/>
        <v>0</v>
      </c>
      <c r="Y136" s="190">
        <f>SUM(V136:X136)</f>
        <v>0</v>
      </c>
    </row>
    <row r="137" spans="1:25" ht="12.75" hidden="1" customHeight="1" outlineLevel="1" x14ac:dyDescent="0.2">
      <c r="A137" s="198" t="str">
        <f>"         "&amp;Labels!C316</f>
        <v xml:space="preserve">         Total</v>
      </c>
      <c r="B137" s="226">
        <f t="shared" si="108"/>
        <v>0</v>
      </c>
      <c r="C137" s="226">
        <f t="shared" si="108"/>
        <v>0</v>
      </c>
      <c r="D137" s="226">
        <f t="shared" si="108"/>
        <v>56375</v>
      </c>
      <c r="E137" s="227">
        <f>SUM(B137:D137)</f>
        <v>56375</v>
      </c>
      <c r="F137" s="226">
        <f t="shared" si="109"/>
        <v>56375</v>
      </c>
      <c r="G137" s="226">
        <f t="shared" si="109"/>
        <v>0</v>
      </c>
      <c r="H137" s="226">
        <f t="shared" si="109"/>
        <v>41000</v>
      </c>
      <c r="I137" s="227">
        <f>SUM(F137:H137)</f>
        <v>97375</v>
      </c>
      <c r="J137" s="226">
        <f t="shared" si="110"/>
        <v>41000</v>
      </c>
      <c r="K137" s="226">
        <f t="shared" si="110"/>
        <v>41000</v>
      </c>
      <c r="L137" s="226">
        <f t="shared" si="110"/>
        <v>0</v>
      </c>
      <c r="M137" s="227">
        <f>SUM(J137:L137)</f>
        <v>82000</v>
      </c>
      <c r="N137" s="226">
        <f t="shared" si="111"/>
        <v>0</v>
      </c>
      <c r="O137" s="226">
        <f t="shared" si="111"/>
        <v>0</v>
      </c>
      <c r="P137" s="226">
        <f t="shared" si="111"/>
        <v>0</v>
      </c>
      <c r="Q137" s="227">
        <f>SUM(N137:P137)</f>
        <v>0</v>
      </c>
      <c r="R137" s="226">
        <f t="shared" si="112"/>
        <v>0</v>
      </c>
      <c r="S137" s="226">
        <f t="shared" si="112"/>
        <v>0</v>
      </c>
      <c r="T137" s="226">
        <f t="shared" si="112"/>
        <v>0</v>
      </c>
      <c r="U137" s="227">
        <f>SUM(R137:T137)</f>
        <v>0</v>
      </c>
      <c r="V137" s="226">
        <f t="shared" si="113"/>
        <v>0</v>
      </c>
      <c r="W137" s="226">
        <f t="shared" si="113"/>
        <v>0</v>
      </c>
      <c r="X137" s="226">
        <f t="shared" si="113"/>
        <v>0</v>
      </c>
      <c r="Y137" s="227">
        <f>SUM(V137:X137)</f>
        <v>0</v>
      </c>
    </row>
    <row r="138" spans="1:25" ht="12.75" hidden="1" customHeight="1" outlineLevel="1" x14ac:dyDescent="0.2">
      <c r="A138" s="198" t="str">
        <f>"      "&amp;Labels!B386</f>
        <v xml:space="preserve">      Prof Level 2</v>
      </c>
      <c r="B138" s="226"/>
      <c r="C138" s="226"/>
      <c r="D138" s="226"/>
      <c r="E138" s="227"/>
      <c r="F138" s="226"/>
      <c r="G138" s="226"/>
      <c r="H138" s="226"/>
      <c r="I138" s="227"/>
      <c r="J138" s="226"/>
      <c r="K138" s="226"/>
      <c r="L138" s="226"/>
      <c r="M138" s="227"/>
      <c r="N138" s="226"/>
      <c r="O138" s="226"/>
      <c r="P138" s="226"/>
      <c r="Q138" s="227"/>
      <c r="R138" s="226"/>
      <c r="S138" s="226"/>
      <c r="T138" s="226"/>
      <c r="U138" s="227"/>
      <c r="V138" s="226"/>
      <c r="W138" s="226"/>
      <c r="X138" s="226"/>
      <c r="Y138" s="227"/>
    </row>
    <row r="139" spans="1:25" ht="12.75" hidden="1" customHeight="1" outlineLevel="1" x14ac:dyDescent="0.2">
      <c r="A139" s="198" t="str">
        <f>"         "&amp;Labels!B317</f>
        <v xml:space="preserve">         Channels 1</v>
      </c>
      <c r="B139" s="189">
        <f t="shared" ref="B139:D144" si="114">SUM(B113,B126)</f>
        <v>0</v>
      </c>
      <c r="C139" s="189">
        <f t="shared" si="114"/>
        <v>0</v>
      </c>
      <c r="D139" s="189">
        <f t="shared" si="114"/>
        <v>28875</v>
      </c>
      <c r="E139" s="190">
        <f>SUM(B139:D139)</f>
        <v>28875</v>
      </c>
      <c r="F139" s="189">
        <f t="shared" ref="F139:H144" si="115">SUM(F113,F126)</f>
        <v>28875</v>
      </c>
      <c r="G139" s="189">
        <f t="shared" si="115"/>
        <v>0</v>
      </c>
      <c r="H139" s="189">
        <f t="shared" si="115"/>
        <v>21000</v>
      </c>
      <c r="I139" s="190">
        <f>SUM(F139:H139)</f>
        <v>49875</v>
      </c>
      <c r="J139" s="189">
        <f t="shared" ref="J139:L144" si="116">SUM(J113,J126)</f>
        <v>21000</v>
      </c>
      <c r="K139" s="189">
        <f t="shared" si="116"/>
        <v>21000</v>
      </c>
      <c r="L139" s="189">
        <f t="shared" si="116"/>
        <v>0</v>
      </c>
      <c r="M139" s="190">
        <f>SUM(J139:L139)</f>
        <v>42000</v>
      </c>
      <c r="N139" s="189">
        <f t="shared" ref="N139:P144" si="117">SUM(N113,N126)</f>
        <v>0</v>
      </c>
      <c r="O139" s="189">
        <f t="shared" si="117"/>
        <v>0</v>
      </c>
      <c r="P139" s="189">
        <f t="shared" si="117"/>
        <v>0</v>
      </c>
      <c r="Q139" s="190">
        <f>SUM(N139:P139)</f>
        <v>0</v>
      </c>
      <c r="R139" s="189">
        <f t="shared" ref="R139:T144" si="118">SUM(R113,R126)</f>
        <v>0</v>
      </c>
      <c r="S139" s="189">
        <f t="shared" si="118"/>
        <v>0</v>
      </c>
      <c r="T139" s="189">
        <f t="shared" si="118"/>
        <v>0</v>
      </c>
      <c r="U139" s="190">
        <f>SUM(R139:T139)</f>
        <v>0</v>
      </c>
      <c r="V139" s="189">
        <f t="shared" ref="V139:X144" si="119">SUM(V113,V126)</f>
        <v>0</v>
      </c>
      <c r="W139" s="189">
        <f t="shared" si="119"/>
        <v>0</v>
      </c>
      <c r="X139" s="189">
        <f t="shared" si="119"/>
        <v>0</v>
      </c>
      <c r="Y139" s="190">
        <f>SUM(V139:X139)</f>
        <v>0</v>
      </c>
    </row>
    <row r="140" spans="1:25" ht="12.75" hidden="1" customHeight="1" outlineLevel="1" x14ac:dyDescent="0.2">
      <c r="A140" s="198" t="str">
        <f>"         "&amp;Labels!B318</f>
        <v xml:space="preserve">         Channels 2</v>
      </c>
      <c r="B140" s="189">
        <f t="shared" si="114"/>
        <v>0</v>
      </c>
      <c r="C140" s="189">
        <f t="shared" si="114"/>
        <v>0</v>
      </c>
      <c r="D140" s="189">
        <f t="shared" si="114"/>
        <v>27500</v>
      </c>
      <c r="E140" s="190">
        <f>SUM(B140:D140)</f>
        <v>27500</v>
      </c>
      <c r="F140" s="189">
        <f t="shared" si="115"/>
        <v>27500</v>
      </c>
      <c r="G140" s="189">
        <f t="shared" si="115"/>
        <v>0</v>
      </c>
      <c r="H140" s="189">
        <f t="shared" si="115"/>
        <v>20000</v>
      </c>
      <c r="I140" s="190">
        <f>SUM(F140:H140)</f>
        <v>47500</v>
      </c>
      <c r="J140" s="189">
        <f t="shared" si="116"/>
        <v>20000</v>
      </c>
      <c r="K140" s="189">
        <f t="shared" si="116"/>
        <v>20000</v>
      </c>
      <c r="L140" s="189">
        <f t="shared" si="116"/>
        <v>0</v>
      </c>
      <c r="M140" s="190">
        <f>SUM(J140:L140)</f>
        <v>40000</v>
      </c>
      <c r="N140" s="189">
        <f t="shared" si="117"/>
        <v>0</v>
      </c>
      <c r="O140" s="189">
        <f t="shared" si="117"/>
        <v>0</v>
      </c>
      <c r="P140" s="189">
        <f t="shared" si="117"/>
        <v>0</v>
      </c>
      <c r="Q140" s="190">
        <f>SUM(N140:P140)</f>
        <v>0</v>
      </c>
      <c r="R140" s="189">
        <f t="shared" si="118"/>
        <v>0</v>
      </c>
      <c r="S140" s="189">
        <f t="shared" si="118"/>
        <v>0</v>
      </c>
      <c r="T140" s="189">
        <f t="shared" si="118"/>
        <v>0</v>
      </c>
      <c r="U140" s="190">
        <f>SUM(R140:T140)</f>
        <v>0</v>
      </c>
      <c r="V140" s="189">
        <f t="shared" si="119"/>
        <v>0</v>
      </c>
      <c r="W140" s="189">
        <f t="shared" si="119"/>
        <v>0</v>
      </c>
      <c r="X140" s="189">
        <f t="shared" si="119"/>
        <v>0</v>
      </c>
      <c r="Y140" s="190">
        <f>SUM(V140:X140)</f>
        <v>0</v>
      </c>
    </row>
    <row r="141" spans="1:25" ht="12.75" hidden="1" customHeight="1" outlineLevel="1" x14ac:dyDescent="0.2">
      <c r="A141" s="198" t="str">
        <f>"         "&amp;Labels!C316</f>
        <v xml:space="preserve">         Total</v>
      </c>
      <c r="B141" s="226">
        <f t="shared" si="114"/>
        <v>0</v>
      </c>
      <c r="C141" s="226">
        <f t="shared" si="114"/>
        <v>0</v>
      </c>
      <c r="D141" s="226">
        <f t="shared" si="114"/>
        <v>56375</v>
      </c>
      <c r="E141" s="227">
        <f>SUM(B141:D141)</f>
        <v>56375</v>
      </c>
      <c r="F141" s="226">
        <f t="shared" si="115"/>
        <v>56375</v>
      </c>
      <c r="G141" s="226">
        <f t="shared" si="115"/>
        <v>0</v>
      </c>
      <c r="H141" s="226">
        <f t="shared" si="115"/>
        <v>41000</v>
      </c>
      <c r="I141" s="227">
        <f>SUM(F141:H141)</f>
        <v>97375</v>
      </c>
      <c r="J141" s="226">
        <f t="shared" si="116"/>
        <v>41000</v>
      </c>
      <c r="K141" s="226">
        <f t="shared" si="116"/>
        <v>41000</v>
      </c>
      <c r="L141" s="226">
        <f t="shared" si="116"/>
        <v>0</v>
      </c>
      <c r="M141" s="227">
        <f>SUM(J141:L141)</f>
        <v>82000</v>
      </c>
      <c r="N141" s="226">
        <f t="shared" si="117"/>
        <v>0</v>
      </c>
      <c r="O141" s="226">
        <f t="shared" si="117"/>
        <v>0</v>
      </c>
      <c r="P141" s="226">
        <f t="shared" si="117"/>
        <v>0</v>
      </c>
      <c r="Q141" s="227">
        <f>SUM(N141:P141)</f>
        <v>0</v>
      </c>
      <c r="R141" s="226">
        <f t="shared" si="118"/>
        <v>0</v>
      </c>
      <c r="S141" s="226">
        <f t="shared" si="118"/>
        <v>0</v>
      </c>
      <c r="T141" s="226">
        <f t="shared" si="118"/>
        <v>0</v>
      </c>
      <c r="U141" s="227">
        <f>SUM(R141:T141)</f>
        <v>0</v>
      </c>
      <c r="V141" s="226">
        <f t="shared" si="119"/>
        <v>0</v>
      </c>
      <c r="W141" s="226">
        <f t="shared" si="119"/>
        <v>0</v>
      </c>
      <c r="X141" s="226">
        <f t="shared" si="119"/>
        <v>0</v>
      </c>
      <c r="Y141" s="227">
        <f>SUM(V141:X141)</f>
        <v>0</v>
      </c>
    </row>
    <row r="142" spans="1:25" ht="12.75" hidden="1" customHeight="1" outlineLevel="1" x14ac:dyDescent="0.2">
      <c r="A142" s="188" t="str">
        <f>"      "&amp;Labels!C384</f>
        <v xml:space="preserve">      Total</v>
      </c>
      <c r="B142" s="196">
        <f t="shared" si="114"/>
        <v>0</v>
      </c>
      <c r="C142" s="196">
        <f t="shared" si="114"/>
        <v>0</v>
      </c>
      <c r="D142" s="196">
        <f t="shared" si="114"/>
        <v>112750</v>
      </c>
      <c r="E142" s="197">
        <f>SUM(B133:D133)</f>
        <v>112750</v>
      </c>
      <c r="F142" s="196">
        <f t="shared" si="115"/>
        <v>112750</v>
      </c>
      <c r="G142" s="196">
        <f t="shared" si="115"/>
        <v>0</v>
      </c>
      <c r="H142" s="196">
        <f t="shared" si="115"/>
        <v>82000</v>
      </c>
      <c r="I142" s="197">
        <f>SUM(F133:H133)</f>
        <v>194750</v>
      </c>
      <c r="J142" s="196">
        <f t="shared" si="116"/>
        <v>82000</v>
      </c>
      <c r="K142" s="196">
        <f t="shared" si="116"/>
        <v>82000</v>
      </c>
      <c r="L142" s="196">
        <f t="shared" si="116"/>
        <v>0</v>
      </c>
      <c r="M142" s="197">
        <f>SUM(J133:L133)</f>
        <v>164000</v>
      </c>
      <c r="N142" s="196">
        <f t="shared" si="117"/>
        <v>0</v>
      </c>
      <c r="O142" s="196">
        <f t="shared" si="117"/>
        <v>0</v>
      </c>
      <c r="P142" s="196">
        <f t="shared" si="117"/>
        <v>0</v>
      </c>
      <c r="Q142" s="197">
        <f>SUM(N133:P133)</f>
        <v>0</v>
      </c>
      <c r="R142" s="196">
        <f t="shared" si="118"/>
        <v>0</v>
      </c>
      <c r="S142" s="196">
        <f t="shared" si="118"/>
        <v>0</v>
      </c>
      <c r="T142" s="196">
        <f t="shared" si="118"/>
        <v>0</v>
      </c>
      <c r="U142" s="197">
        <f>SUM(R133:T133)</f>
        <v>0</v>
      </c>
      <c r="V142" s="196">
        <f t="shared" si="119"/>
        <v>0</v>
      </c>
      <c r="W142" s="196">
        <f t="shared" si="119"/>
        <v>0</v>
      </c>
      <c r="X142" s="196">
        <f t="shared" si="119"/>
        <v>0</v>
      </c>
      <c r="Y142" s="197">
        <f>SUM(V133:X133)</f>
        <v>0</v>
      </c>
    </row>
    <row r="143" spans="1:25" ht="12.75" hidden="1" customHeight="1" outlineLevel="1" x14ac:dyDescent="0.2">
      <c r="A143" s="198" t="str">
        <f>"         "&amp;Labels!B317</f>
        <v xml:space="preserve">         Channels 1</v>
      </c>
      <c r="B143" s="189">
        <f t="shared" si="114"/>
        <v>0</v>
      </c>
      <c r="C143" s="189">
        <f t="shared" si="114"/>
        <v>0</v>
      </c>
      <c r="D143" s="189">
        <f t="shared" si="114"/>
        <v>57750</v>
      </c>
      <c r="E143" s="190">
        <f>SUM(B143:D143)</f>
        <v>57750</v>
      </c>
      <c r="F143" s="189">
        <f t="shared" si="115"/>
        <v>57750</v>
      </c>
      <c r="G143" s="189">
        <f t="shared" si="115"/>
        <v>0</v>
      </c>
      <c r="H143" s="189">
        <f t="shared" si="115"/>
        <v>42000</v>
      </c>
      <c r="I143" s="190">
        <f>SUM(F143:H143)</f>
        <v>99750</v>
      </c>
      <c r="J143" s="189">
        <f t="shared" si="116"/>
        <v>42000</v>
      </c>
      <c r="K143" s="189">
        <f t="shared" si="116"/>
        <v>42000</v>
      </c>
      <c r="L143" s="189">
        <f t="shared" si="116"/>
        <v>0</v>
      </c>
      <c r="M143" s="190">
        <f>SUM(J143:L143)</f>
        <v>84000</v>
      </c>
      <c r="N143" s="189">
        <f t="shared" si="117"/>
        <v>0</v>
      </c>
      <c r="O143" s="189">
        <f t="shared" si="117"/>
        <v>0</v>
      </c>
      <c r="P143" s="189">
        <f t="shared" si="117"/>
        <v>0</v>
      </c>
      <c r="Q143" s="190">
        <f>SUM(N143:P143)</f>
        <v>0</v>
      </c>
      <c r="R143" s="189">
        <f t="shared" si="118"/>
        <v>0</v>
      </c>
      <c r="S143" s="189">
        <f t="shared" si="118"/>
        <v>0</v>
      </c>
      <c r="T143" s="189">
        <f t="shared" si="118"/>
        <v>0</v>
      </c>
      <c r="U143" s="190">
        <f>SUM(R143:T143)</f>
        <v>0</v>
      </c>
      <c r="V143" s="189">
        <f t="shared" si="119"/>
        <v>0</v>
      </c>
      <c r="W143" s="189">
        <f t="shared" si="119"/>
        <v>0</v>
      </c>
      <c r="X143" s="189">
        <f t="shared" si="119"/>
        <v>0</v>
      </c>
      <c r="Y143" s="190">
        <f>SUM(V143:X143)</f>
        <v>0</v>
      </c>
    </row>
    <row r="144" spans="1:25" ht="12.75" hidden="1" customHeight="1" outlineLevel="1" x14ac:dyDescent="0.2">
      <c r="A144" s="198" t="str">
        <f>"         "&amp;Labels!B318</f>
        <v xml:space="preserve">         Channels 2</v>
      </c>
      <c r="B144" s="189">
        <f t="shared" si="114"/>
        <v>0</v>
      </c>
      <c r="C144" s="189">
        <f t="shared" si="114"/>
        <v>0</v>
      </c>
      <c r="D144" s="189">
        <f t="shared" si="114"/>
        <v>55000</v>
      </c>
      <c r="E144" s="190">
        <f>SUM(B144:D144)</f>
        <v>55000</v>
      </c>
      <c r="F144" s="189">
        <f t="shared" si="115"/>
        <v>55000</v>
      </c>
      <c r="G144" s="189">
        <f t="shared" si="115"/>
        <v>0</v>
      </c>
      <c r="H144" s="189">
        <f t="shared" si="115"/>
        <v>40000</v>
      </c>
      <c r="I144" s="190">
        <f>SUM(F144:H144)</f>
        <v>95000</v>
      </c>
      <c r="J144" s="189">
        <f t="shared" si="116"/>
        <v>40000</v>
      </c>
      <c r="K144" s="189">
        <f t="shared" si="116"/>
        <v>40000</v>
      </c>
      <c r="L144" s="189">
        <f t="shared" si="116"/>
        <v>0</v>
      </c>
      <c r="M144" s="190">
        <f>SUM(J144:L144)</f>
        <v>80000</v>
      </c>
      <c r="N144" s="189">
        <f t="shared" si="117"/>
        <v>0</v>
      </c>
      <c r="O144" s="189">
        <f t="shared" si="117"/>
        <v>0</v>
      </c>
      <c r="P144" s="189">
        <f t="shared" si="117"/>
        <v>0</v>
      </c>
      <c r="Q144" s="190">
        <f>SUM(N144:P144)</f>
        <v>0</v>
      </c>
      <c r="R144" s="189">
        <f t="shared" si="118"/>
        <v>0</v>
      </c>
      <c r="S144" s="189">
        <f t="shared" si="118"/>
        <v>0</v>
      </c>
      <c r="T144" s="189">
        <f t="shared" si="118"/>
        <v>0</v>
      </c>
      <c r="U144" s="190">
        <f>SUM(R144:T144)</f>
        <v>0</v>
      </c>
      <c r="V144" s="189">
        <f t="shared" si="119"/>
        <v>0</v>
      </c>
      <c r="W144" s="189">
        <f t="shared" si="119"/>
        <v>0</v>
      </c>
      <c r="X144" s="189">
        <f t="shared" si="119"/>
        <v>0</v>
      </c>
      <c r="Y144" s="190">
        <f>SUM(V144:X144)</f>
        <v>0</v>
      </c>
    </row>
    <row r="145" spans="1:25" ht="12.75" hidden="1" customHeight="1" outlineLevel="1" x14ac:dyDescent="0.2">
      <c r="A145" s="198" t="str">
        <f>"         "&amp;Labels!C316</f>
        <v xml:space="preserve">         Total</v>
      </c>
      <c r="B145" s="226">
        <f>SUM(B116,B129)</f>
        <v>0</v>
      </c>
      <c r="C145" s="226">
        <f>SUM(C116,C129)</f>
        <v>0</v>
      </c>
      <c r="D145" s="226">
        <f>SUM(D116,D129)</f>
        <v>112750</v>
      </c>
      <c r="E145" s="227">
        <f>SUM(B133:D133)</f>
        <v>112750</v>
      </c>
      <c r="F145" s="226">
        <f>SUM(F116,F129)</f>
        <v>112750</v>
      </c>
      <c r="G145" s="226">
        <f>SUM(G116,G129)</f>
        <v>0</v>
      </c>
      <c r="H145" s="226">
        <f>SUM(H116,H129)</f>
        <v>82000</v>
      </c>
      <c r="I145" s="227">
        <f>SUM(F133:H133)</f>
        <v>194750</v>
      </c>
      <c r="J145" s="226">
        <f>SUM(J116,J129)</f>
        <v>82000</v>
      </c>
      <c r="K145" s="226">
        <f>SUM(K116,K129)</f>
        <v>82000</v>
      </c>
      <c r="L145" s="226">
        <f>SUM(L116,L129)</f>
        <v>0</v>
      </c>
      <c r="M145" s="227">
        <f>SUM(J133:L133)</f>
        <v>164000</v>
      </c>
      <c r="N145" s="226">
        <f>SUM(N116,N129)</f>
        <v>0</v>
      </c>
      <c r="O145" s="226">
        <f>SUM(O116,O129)</f>
        <v>0</v>
      </c>
      <c r="P145" s="226">
        <f>SUM(P116,P129)</f>
        <v>0</v>
      </c>
      <c r="Q145" s="227">
        <f>SUM(N133:P133)</f>
        <v>0</v>
      </c>
      <c r="R145" s="226">
        <f>SUM(R116,R129)</f>
        <v>0</v>
      </c>
      <c r="S145" s="226">
        <f>SUM(S116,S129)</f>
        <v>0</v>
      </c>
      <c r="T145" s="226">
        <f>SUM(T116,T129)</f>
        <v>0</v>
      </c>
      <c r="U145" s="227">
        <f>SUM(R133:T133)</f>
        <v>0</v>
      </c>
      <c r="V145" s="226">
        <f>SUM(V116,V129)</f>
        <v>0</v>
      </c>
      <c r="W145" s="226">
        <f>SUM(W116,W129)</f>
        <v>0</v>
      </c>
      <c r="X145" s="226">
        <f>SUM(X116,X129)</f>
        <v>0</v>
      </c>
      <c r="Y145" s="227">
        <f>SUM(V133:X133)</f>
        <v>0</v>
      </c>
    </row>
    <row r="146" spans="1:25" ht="12.75" hidden="1" customHeight="1" outlineLevel="1" x14ac:dyDescent="0.2">
      <c r="A146" s="97"/>
      <c r="B146" s="6"/>
      <c r="C146" s="6"/>
      <c r="D146" s="6"/>
      <c r="E146" s="97"/>
      <c r="F146" s="6"/>
      <c r="G146" s="6"/>
      <c r="H146" s="6"/>
      <c r="I146" s="97"/>
      <c r="J146" s="6"/>
      <c r="K146" s="6"/>
      <c r="L146" s="6"/>
      <c r="M146" s="97"/>
      <c r="N146" s="6"/>
      <c r="O146" s="6"/>
      <c r="P146" s="6"/>
      <c r="Q146" s="97"/>
      <c r="R146" s="6"/>
      <c r="S146" s="6"/>
      <c r="T146" s="6"/>
      <c r="U146" s="97"/>
      <c r="V146" s="6"/>
      <c r="W146" s="6"/>
      <c r="X146" s="6"/>
      <c r="Y146" s="97"/>
    </row>
    <row r="147" spans="1:25" ht="12.75" hidden="1" customHeight="1" outlineLevel="1" x14ac:dyDescent="0.2">
      <c r="A147" s="191" t="str">
        <f>Labels!B229</f>
        <v>Revenue Growth</v>
      </c>
      <c r="B147" s="211"/>
      <c r="C147" s="211"/>
      <c r="D147" s="211"/>
      <c r="E147" s="210"/>
      <c r="F147" s="211"/>
      <c r="G147" s="211"/>
      <c r="H147" s="211"/>
      <c r="I147" s="210"/>
      <c r="J147" s="211"/>
      <c r="K147" s="211"/>
      <c r="L147" s="211"/>
      <c r="M147" s="210"/>
      <c r="N147" s="211"/>
      <c r="O147" s="211"/>
      <c r="P147" s="211"/>
      <c r="Q147" s="210"/>
      <c r="R147" s="211"/>
      <c r="S147" s="211"/>
      <c r="T147" s="211"/>
      <c r="U147" s="210"/>
      <c r="V147" s="211"/>
      <c r="W147" s="211"/>
      <c r="X147" s="211"/>
      <c r="Y147" s="210"/>
    </row>
    <row r="148" spans="1:25" ht="12.75" hidden="1" customHeight="1" outlineLevel="1" x14ac:dyDescent="0.2">
      <c r="A148" s="188" t="str">
        <f>"   "&amp;Labels!B381</f>
        <v xml:space="preserve">   Practice 1</v>
      </c>
      <c r="B148" s="218"/>
      <c r="C148" s="218"/>
      <c r="D148" s="218"/>
      <c r="E148" s="219"/>
      <c r="F148" s="218"/>
      <c r="G148" s="218"/>
      <c r="H148" s="218"/>
      <c r="I148" s="219"/>
      <c r="J148" s="218"/>
      <c r="K148" s="218"/>
      <c r="L148" s="218"/>
      <c r="M148" s="219"/>
      <c r="N148" s="218"/>
      <c r="O148" s="218"/>
      <c r="P148" s="218"/>
      <c r="Q148" s="219"/>
      <c r="R148" s="218"/>
      <c r="S148" s="218"/>
      <c r="T148" s="218"/>
      <c r="U148" s="219"/>
      <c r="V148" s="218"/>
      <c r="W148" s="218"/>
      <c r="X148" s="218"/>
      <c r="Y148" s="219"/>
    </row>
    <row r="149" spans="1:25" ht="12.75" hidden="1" customHeight="1" outlineLevel="1" x14ac:dyDescent="0.2">
      <c r="A149" s="198" t="str">
        <f>"      "&amp;Labels!B385</f>
        <v xml:space="preserve">      Prof Level 1</v>
      </c>
      <c r="B149" s="233"/>
      <c r="C149" s="233">
        <f>IF(B111=0,0,C111/B111-1)</f>
        <v>0</v>
      </c>
      <c r="D149" s="233">
        <f>IF(C111=0,0,D111/C111-1)</f>
        <v>0</v>
      </c>
      <c r="E149" s="234">
        <f>(1+C149)^1*(1+D149)^1-1</f>
        <v>0</v>
      </c>
      <c r="F149" s="233">
        <f>IF(D111=0,0,F111/D111-1)</f>
        <v>0</v>
      </c>
      <c r="G149" s="233">
        <f>IF(F111=0,0,G111/F111-1)</f>
        <v>-1</v>
      </c>
      <c r="H149" s="233">
        <f>IF(G111=0,0,H111/G111-1)</f>
        <v>0</v>
      </c>
      <c r="I149" s="234">
        <f>(1+F149)^1*(1+G149)^1*(1+H149)^1-1</f>
        <v>-1</v>
      </c>
      <c r="J149" s="233">
        <f>IF(H111=0,0,J111/H111-1)</f>
        <v>0</v>
      </c>
      <c r="K149" s="233">
        <f>IF(J111=0,0,K111/J111-1)</f>
        <v>0</v>
      </c>
      <c r="L149" s="233">
        <f>IF(K111=0,0,L111/K111-1)</f>
        <v>-1</v>
      </c>
      <c r="M149" s="234">
        <f>(1+J149)^1*(1+K149)^1*(1+L149)^1-1</f>
        <v>-1</v>
      </c>
      <c r="N149" s="233">
        <f>IF(L111=0,0,N111/L111-1)</f>
        <v>0</v>
      </c>
      <c r="O149" s="233">
        <f>IF(N111=0,0,O111/N111-1)</f>
        <v>0</v>
      </c>
      <c r="P149" s="233">
        <f>IF(O111=0,0,P111/O111-1)</f>
        <v>0</v>
      </c>
      <c r="Q149" s="234">
        <f>(1+N149)^1*(1+O149)^1*(1+P149)^1-1</f>
        <v>0</v>
      </c>
      <c r="R149" s="233">
        <f>IF(P111=0,0,R111/P111-1)</f>
        <v>0</v>
      </c>
      <c r="S149" s="233">
        <f>IF(R111=0,0,S111/R111-1)</f>
        <v>0</v>
      </c>
      <c r="T149" s="233">
        <f>IF(S111=0,0,T111/S111-1)</f>
        <v>0</v>
      </c>
      <c r="U149" s="234">
        <f>(1+R149)^1*(1+S149)^1*(1+T149)^1-1</f>
        <v>0</v>
      </c>
      <c r="V149" s="233">
        <f>IF(T111=0,0,V111/T111-1)</f>
        <v>0</v>
      </c>
      <c r="W149" s="233">
        <f>IF(V111=0,0,W111/V111-1)</f>
        <v>0</v>
      </c>
      <c r="X149" s="233">
        <f>IF(W111=0,0,X111/W111-1)</f>
        <v>0</v>
      </c>
      <c r="Y149" s="234">
        <f>(1+V149)^1*(1+W149)^1*(1+X149)^1-1</f>
        <v>0</v>
      </c>
    </row>
    <row r="150" spans="1:25" ht="12.75" hidden="1" customHeight="1" outlineLevel="1" x14ac:dyDescent="0.2">
      <c r="A150" s="198" t="str">
        <f>"      "&amp;Labels!B386</f>
        <v xml:space="preserve">      Prof Level 2</v>
      </c>
      <c r="B150" s="233"/>
      <c r="C150" s="233">
        <f>IF(B115=0,0,C115/B115-1)</f>
        <v>0</v>
      </c>
      <c r="D150" s="233">
        <f>IF(C115=0,0,D115/C115-1)</f>
        <v>0</v>
      </c>
      <c r="E150" s="234">
        <f>(1+C150)^1*(1+D150)^1-1</f>
        <v>0</v>
      </c>
      <c r="F150" s="233">
        <f>IF(D115=0,0,F115/D115-1)</f>
        <v>0</v>
      </c>
      <c r="G150" s="233">
        <f>IF(F115=0,0,G115/F115-1)</f>
        <v>-1</v>
      </c>
      <c r="H150" s="233">
        <f>IF(G115=0,0,H115/G115-1)</f>
        <v>0</v>
      </c>
      <c r="I150" s="234">
        <f>(1+F150)^1*(1+G150)^1*(1+H150)^1-1</f>
        <v>-1</v>
      </c>
      <c r="J150" s="233">
        <f>IF(H115=0,0,J115/H115-1)</f>
        <v>0</v>
      </c>
      <c r="K150" s="233">
        <f>IF(J115=0,0,K115/J115-1)</f>
        <v>0</v>
      </c>
      <c r="L150" s="233">
        <f>IF(K115=0,0,L115/K115-1)</f>
        <v>-1</v>
      </c>
      <c r="M150" s="234">
        <f>(1+J150)^1*(1+K150)^1*(1+L150)^1-1</f>
        <v>-1</v>
      </c>
      <c r="N150" s="233">
        <f>IF(L115=0,0,N115/L115-1)</f>
        <v>0</v>
      </c>
      <c r="O150" s="233">
        <f>IF(N115=0,0,O115/N115-1)</f>
        <v>0</v>
      </c>
      <c r="P150" s="233">
        <f>IF(O115=0,0,P115/O115-1)</f>
        <v>0</v>
      </c>
      <c r="Q150" s="234">
        <f>(1+N150)^1*(1+O150)^1*(1+P150)^1-1</f>
        <v>0</v>
      </c>
      <c r="R150" s="233">
        <f>IF(P115=0,0,R115/P115-1)</f>
        <v>0</v>
      </c>
      <c r="S150" s="233">
        <f>IF(R115=0,0,S115/R115-1)</f>
        <v>0</v>
      </c>
      <c r="T150" s="233">
        <f>IF(S115=0,0,T115/S115-1)</f>
        <v>0</v>
      </c>
      <c r="U150" s="234">
        <f>(1+R150)^1*(1+S150)^1*(1+T150)^1-1</f>
        <v>0</v>
      </c>
      <c r="V150" s="233">
        <f>IF(T115=0,0,V115/T115-1)</f>
        <v>0</v>
      </c>
      <c r="W150" s="233">
        <f>IF(V115=0,0,W115/V115-1)</f>
        <v>0</v>
      </c>
      <c r="X150" s="233">
        <f>IF(W115=0,0,X115/W115-1)</f>
        <v>0</v>
      </c>
      <c r="Y150" s="234">
        <f>(1+V150)^1*(1+W150)^1*(1+X150)^1-1</f>
        <v>0</v>
      </c>
    </row>
    <row r="151" spans="1:25" ht="12.75" hidden="1" customHeight="1" outlineLevel="1" x14ac:dyDescent="0.2">
      <c r="A151" s="188" t="str">
        <f>"      "&amp;Labels!C384</f>
        <v xml:space="preserve">      Total</v>
      </c>
      <c r="B151" s="218"/>
      <c r="C151" s="218">
        <f>IF(B116=0,0,C116/B116-1)</f>
        <v>0</v>
      </c>
      <c r="D151" s="218">
        <f>IF(C116=0,0,D116/C116-1)</f>
        <v>0</v>
      </c>
      <c r="E151" s="219">
        <f>(1+C151)^1*(1+D151)^1-1</f>
        <v>0</v>
      </c>
      <c r="F151" s="218">
        <f>IF(D116=0,0,F116/D116-1)</f>
        <v>0</v>
      </c>
      <c r="G151" s="218">
        <f>IF(F116=0,0,G116/F116-1)</f>
        <v>-1</v>
      </c>
      <c r="H151" s="218">
        <f>IF(G116=0,0,H116/G116-1)</f>
        <v>0</v>
      </c>
      <c r="I151" s="219">
        <f>(1+F151)^1*(1+G151)^1*(1+H151)^1-1</f>
        <v>-1</v>
      </c>
      <c r="J151" s="218">
        <f>IF(H116=0,0,J116/H116-1)</f>
        <v>0</v>
      </c>
      <c r="K151" s="218">
        <f>IF(J116=0,0,K116/J116-1)</f>
        <v>0</v>
      </c>
      <c r="L151" s="218">
        <f>IF(K116=0,0,L116/K116-1)</f>
        <v>-1</v>
      </c>
      <c r="M151" s="219">
        <f>(1+J151)^1*(1+K151)^1*(1+L151)^1-1</f>
        <v>-1</v>
      </c>
      <c r="N151" s="218">
        <f>IF(L116=0,0,N116/L116-1)</f>
        <v>0</v>
      </c>
      <c r="O151" s="218">
        <f>IF(N116=0,0,O116/N116-1)</f>
        <v>0</v>
      </c>
      <c r="P151" s="218">
        <f>IF(O116=0,0,P116/O116-1)</f>
        <v>0</v>
      </c>
      <c r="Q151" s="219">
        <f>(1+N151)^1*(1+O151)^1*(1+P151)^1-1</f>
        <v>0</v>
      </c>
      <c r="R151" s="218">
        <f>IF(P116=0,0,R116/P116-1)</f>
        <v>0</v>
      </c>
      <c r="S151" s="218">
        <f>IF(R116=0,0,S116/R116-1)</f>
        <v>0</v>
      </c>
      <c r="T151" s="218">
        <f>IF(S116=0,0,T116/S116-1)</f>
        <v>0</v>
      </c>
      <c r="U151" s="219">
        <f>(1+R151)^1*(1+S151)^1*(1+T151)^1-1</f>
        <v>0</v>
      </c>
      <c r="V151" s="218">
        <f>IF(T116=0,0,V116/T116-1)</f>
        <v>0</v>
      </c>
      <c r="W151" s="218">
        <f>IF(V116=0,0,W116/V116-1)</f>
        <v>0</v>
      </c>
      <c r="X151" s="218">
        <f>IF(W116=0,0,X116/W116-1)</f>
        <v>0</v>
      </c>
      <c r="Y151" s="219">
        <f>(1+V151)^1*(1+W151)^1*(1+X151)^1-1</f>
        <v>0</v>
      </c>
    </row>
    <row r="152" spans="1:25" ht="12.75" hidden="1" customHeight="1" outlineLevel="1" x14ac:dyDescent="0.2">
      <c r="A152" s="188" t="str">
        <f>"   "&amp;Labels!B382</f>
        <v xml:space="preserve">   Practice 2</v>
      </c>
      <c r="B152" s="218"/>
      <c r="C152" s="218"/>
      <c r="D152" s="218"/>
      <c r="E152" s="219"/>
      <c r="F152" s="218"/>
      <c r="G152" s="218"/>
      <c r="H152" s="218"/>
      <c r="I152" s="219"/>
      <c r="J152" s="218"/>
      <c r="K152" s="218"/>
      <c r="L152" s="218"/>
      <c r="M152" s="219"/>
      <c r="N152" s="218"/>
      <c r="O152" s="218"/>
      <c r="P152" s="218"/>
      <c r="Q152" s="219"/>
      <c r="R152" s="218"/>
      <c r="S152" s="218"/>
      <c r="T152" s="218"/>
      <c r="U152" s="219"/>
      <c r="V152" s="218"/>
      <c r="W152" s="218"/>
      <c r="X152" s="218"/>
      <c r="Y152" s="219"/>
    </row>
    <row r="153" spans="1:25" ht="12.75" hidden="1" customHeight="1" outlineLevel="1" x14ac:dyDescent="0.2">
      <c r="A153" s="198" t="str">
        <f>"      "&amp;Labels!B385</f>
        <v xml:space="preserve">      Prof Level 1</v>
      </c>
      <c r="B153" s="233"/>
      <c r="C153" s="233">
        <f>IF(B124=0,0,C124/B124-1)</f>
        <v>0</v>
      </c>
      <c r="D153" s="233">
        <f>IF(C124=0,0,D124/C124-1)</f>
        <v>0</v>
      </c>
      <c r="E153" s="234">
        <f t="shared" ref="E153:E158" si="120">(1+C153)^1*(1+D153)^1-1</f>
        <v>0</v>
      </c>
      <c r="F153" s="233">
        <f>IF(D124=0,0,F124/D124-1)</f>
        <v>0</v>
      </c>
      <c r="G153" s="233">
        <f>IF(F124=0,0,G124/F124-1)</f>
        <v>0</v>
      </c>
      <c r="H153" s="233">
        <f>IF(G124=0,0,H124/G124-1)</f>
        <v>0</v>
      </c>
      <c r="I153" s="234">
        <f t="shared" ref="I153:I158" si="121">(1+F153)^1*(1+G153)^1*(1+H153)^1-1</f>
        <v>0</v>
      </c>
      <c r="J153" s="233">
        <f>IF(H124=0,0,J124/H124-1)</f>
        <v>0</v>
      </c>
      <c r="K153" s="233">
        <f>IF(J124=0,0,K124/J124-1)</f>
        <v>0</v>
      </c>
      <c r="L153" s="233">
        <f>IF(K124=0,0,L124/K124-1)</f>
        <v>0</v>
      </c>
      <c r="M153" s="234">
        <f t="shared" ref="M153:M158" si="122">(1+J153)^1*(1+K153)^1*(1+L153)^1-1</f>
        <v>0</v>
      </c>
      <c r="N153" s="233">
        <f>IF(L124=0,0,N124/L124-1)</f>
        <v>0</v>
      </c>
      <c r="O153" s="233">
        <f>IF(N124=0,0,O124/N124-1)</f>
        <v>0</v>
      </c>
      <c r="P153" s="233">
        <f>IF(O124=0,0,P124/O124-1)</f>
        <v>0</v>
      </c>
      <c r="Q153" s="234">
        <f t="shared" ref="Q153:Q158" si="123">(1+N153)^1*(1+O153)^1*(1+P153)^1-1</f>
        <v>0</v>
      </c>
      <c r="R153" s="233">
        <f>IF(P124=0,0,R124/P124-1)</f>
        <v>0</v>
      </c>
      <c r="S153" s="233">
        <f>IF(R124=0,0,S124/R124-1)</f>
        <v>0</v>
      </c>
      <c r="T153" s="233">
        <f>IF(S124=0,0,T124/S124-1)</f>
        <v>0</v>
      </c>
      <c r="U153" s="234">
        <f t="shared" ref="U153:U158" si="124">(1+R153)^1*(1+S153)^1*(1+T153)^1-1</f>
        <v>0</v>
      </c>
      <c r="V153" s="233">
        <f>IF(T124=0,0,V124/T124-1)</f>
        <v>0</v>
      </c>
      <c r="W153" s="233">
        <f>IF(V124=0,0,W124/V124-1)</f>
        <v>0</v>
      </c>
      <c r="X153" s="233">
        <f>IF(W124=0,0,X124/W124-1)</f>
        <v>0</v>
      </c>
      <c r="Y153" s="234">
        <f t="shared" ref="Y153:Y158" si="125">(1+V153)^1*(1+W153)^1*(1+X153)^1-1</f>
        <v>0</v>
      </c>
    </row>
    <row r="154" spans="1:25" ht="12.75" hidden="1" customHeight="1" outlineLevel="1" x14ac:dyDescent="0.2">
      <c r="A154" s="198" t="str">
        <f>"      "&amp;Labels!B386</f>
        <v xml:space="preserve">      Prof Level 2</v>
      </c>
      <c r="B154" s="233"/>
      <c r="C154" s="233">
        <f>IF(B128=0,0,C128/B128-1)</f>
        <v>0</v>
      </c>
      <c r="D154" s="233">
        <f>IF(C128=0,0,D128/C128-1)</f>
        <v>0</v>
      </c>
      <c r="E154" s="234">
        <f t="shared" si="120"/>
        <v>0</v>
      </c>
      <c r="F154" s="233">
        <f>IF(D128=0,0,F128/D128-1)</f>
        <v>0</v>
      </c>
      <c r="G154" s="233">
        <f>IF(F128=0,0,G128/F128-1)</f>
        <v>0</v>
      </c>
      <c r="H154" s="233">
        <f>IF(G128=0,0,H128/G128-1)</f>
        <v>0</v>
      </c>
      <c r="I154" s="234">
        <f t="shared" si="121"/>
        <v>0</v>
      </c>
      <c r="J154" s="233">
        <f>IF(H128=0,0,J128/H128-1)</f>
        <v>0</v>
      </c>
      <c r="K154" s="233">
        <f>IF(J128=0,0,K128/J128-1)</f>
        <v>0</v>
      </c>
      <c r="L154" s="233">
        <f>IF(K128=0,0,L128/K128-1)</f>
        <v>0</v>
      </c>
      <c r="M154" s="234">
        <f t="shared" si="122"/>
        <v>0</v>
      </c>
      <c r="N154" s="233">
        <f>IF(L128=0,0,N128/L128-1)</f>
        <v>0</v>
      </c>
      <c r="O154" s="233">
        <f>IF(N128=0,0,O128/N128-1)</f>
        <v>0</v>
      </c>
      <c r="P154" s="233">
        <f>IF(O128=0,0,P128/O128-1)</f>
        <v>0</v>
      </c>
      <c r="Q154" s="234">
        <f t="shared" si="123"/>
        <v>0</v>
      </c>
      <c r="R154" s="233">
        <f>IF(P128=0,0,R128/P128-1)</f>
        <v>0</v>
      </c>
      <c r="S154" s="233">
        <f>IF(R128=0,0,S128/R128-1)</f>
        <v>0</v>
      </c>
      <c r="T154" s="233">
        <f>IF(S128=0,0,T128/S128-1)</f>
        <v>0</v>
      </c>
      <c r="U154" s="234">
        <f t="shared" si="124"/>
        <v>0</v>
      </c>
      <c r="V154" s="233">
        <f>IF(T128=0,0,V128/T128-1)</f>
        <v>0</v>
      </c>
      <c r="W154" s="233">
        <f>IF(V128=0,0,W128/V128-1)</f>
        <v>0</v>
      </c>
      <c r="X154" s="233">
        <f>IF(W128=0,0,X128/W128-1)</f>
        <v>0</v>
      </c>
      <c r="Y154" s="234">
        <f t="shared" si="125"/>
        <v>0</v>
      </c>
    </row>
    <row r="155" spans="1:25" ht="12.75" hidden="1" customHeight="1" outlineLevel="1" x14ac:dyDescent="0.2">
      <c r="A155" s="188" t="str">
        <f>"      "&amp;Labels!C384</f>
        <v xml:space="preserve">      Total</v>
      </c>
      <c r="B155" s="218"/>
      <c r="C155" s="218">
        <f>IF(B129=0,0,C129/B129-1)</f>
        <v>0</v>
      </c>
      <c r="D155" s="218">
        <f>IF(C129=0,0,D129/C129-1)</f>
        <v>0</v>
      </c>
      <c r="E155" s="219">
        <f t="shared" si="120"/>
        <v>0</v>
      </c>
      <c r="F155" s="218">
        <f>IF(D129=0,0,F129/D129-1)</f>
        <v>0</v>
      </c>
      <c r="G155" s="218">
        <f>IF(F129=0,0,G129/F129-1)</f>
        <v>0</v>
      </c>
      <c r="H155" s="218">
        <f>IF(G129=0,0,H129/G129-1)</f>
        <v>0</v>
      </c>
      <c r="I155" s="219">
        <f t="shared" si="121"/>
        <v>0</v>
      </c>
      <c r="J155" s="218">
        <f>IF(H129=0,0,J129/H129-1)</f>
        <v>0</v>
      </c>
      <c r="K155" s="218">
        <f>IF(J129=0,0,K129/J129-1)</f>
        <v>0</v>
      </c>
      <c r="L155" s="218">
        <f>IF(K129=0,0,L129/K129-1)</f>
        <v>0</v>
      </c>
      <c r="M155" s="219">
        <f t="shared" si="122"/>
        <v>0</v>
      </c>
      <c r="N155" s="218">
        <f>IF(L129=0,0,N129/L129-1)</f>
        <v>0</v>
      </c>
      <c r="O155" s="218">
        <f>IF(N129=0,0,O129/N129-1)</f>
        <v>0</v>
      </c>
      <c r="P155" s="218">
        <f>IF(O129=0,0,P129/O129-1)</f>
        <v>0</v>
      </c>
      <c r="Q155" s="219">
        <f t="shared" si="123"/>
        <v>0</v>
      </c>
      <c r="R155" s="218">
        <f>IF(P129=0,0,R129/P129-1)</f>
        <v>0</v>
      </c>
      <c r="S155" s="218">
        <f>IF(R129=0,0,S129/R129-1)</f>
        <v>0</v>
      </c>
      <c r="T155" s="218">
        <f>IF(S129=0,0,T129/S129-1)</f>
        <v>0</v>
      </c>
      <c r="U155" s="219">
        <f t="shared" si="124"/>
        <v>0</v>
      </c>
      <c r="V155" s="218">
        <f>IF(T129=0,0,V129/T129-1)</f>
        <v>0</v>
      </c>
      <c r="W155" s="218">
        <f>IF(V129=0,0,W129/V129-1)</f>
        <v>0</v>
      </c>
      <c r="X155" s="218">
        <f>IF(W129=0,0,X129/W129-1)</f>
        <v>0</v>
      </c>
      <c r="Y155" s="219">
        <f t="shared" si="125"/>
        <v>0</v>
      </c>
    </row>
    <row r="156" spans="1:25" ht="12.75" hidden="1" customHeight="1" outlineLevel="1" x14ac:dyDescent="0.2">
      <c r="A156" s="191" t="str">
        <f>"   "&amp;Labels!C380</f>
        <v xml:space="preserve">   Total</v>
      </c>
      <c r="B156" s="211"/>
      <c r="C156" s="211">
        <f>IF(B133=0,0,C133/B133-1)</f>
        <v>0</v>
      </c>
      <c r="D156" s="211">
        <f>IF(C133=0,0,D133/C133-1)</f>
        <v>0</v>
      </c>
      <c r="E156" s="210">
        <f t="shared" si="120"/>
        <v>0</v>
      </c>
      <c r="F156" s="211">
        <f>IF(D133=0,0,F133/D133-1)</f>
        <v>0</v>
      </c>
      <c r="G156" s="211">
        <f>IF(F133=0,0,G133/F133-1)</f>
        <v>-1</v>
      </c>
      <c r="H156" s="211">
        <f>IF(G133=0,0,H133/G133-1)</f>
        <v>0</v>
      </c>
      <c r="I156" s="210">
        <f t="shared" si="121"/>
        <v>-1</v>
      </c>
      <c r="J156" s="211">
        <f>IF(H133=0,0,J133/H133-1)</f>
        <v>0</v>
      </c>
      <c r="K156" s="211">
        <f>IF(J133=0,0,K133/J133-1)</f>
        <v>0</v>
      </c>
      <c r="L156" s="211">
        <f>IF(K133=0,0,L133/K133-1)</f>
        <v>-1</v>
      </c>
      <c r="M156" s="210">
        <f t="shared" si="122"/>
        <v>-1</v>
      </c>
      <c r="N156" s="211">
        <f>IF(L133=0,0,N133/L133-1)</f>
        <v>0</v>
      </c>
      <c r="O156" s="211">
        <f>IF(N133=0,0,O133/N133-1)</f>
        <v>0</v>
      </c>
      <c r="P156" s="211">
        <f>IF(O133=0,0,P133/O133-1)</f>
        <v>0</v>
      </c>
      <c r="Q156" s="210">
        <f t="shared" si="123"/>
        <v>0</v>
      </c>
      <c r="R156" s="211">
        <f>IF(P133=0,0,R133/P133-1)</f>
        <v>0</v>
      </c>
      <c r="S156" s="211">
        <f>IF(R133=0,0,S133/R133-1)</f>
        <v>0</v>
      </c>
      <c r="T156" s="211">
        <f>IF(S133=0,0,T133/S133-1)</f>
        <v>0</v>
      </c>
      <c r="U156" s="210">
        <f t="shared" si="124"/>
        <v>0</v>
      </c>
      <c r="V156" s="211">
        <f>IF(T133=0,0,V133/T133-1)</f>
        <v>0</v>
      </c>
      <c r="W156" s="211">
        <f>IF(V133=0,0,W133/V133-1)</f>
        <v>0</v>
      </c>
      <c r="X156" s="211">
        <f>IF(W133=0,0,X133/W133-1)</f>
        <v>0</v>
      </c>
      <c r="Y156" s="210">
        <f t="shared" si="125"/>
        <v>0</v>
      </c>
    </row>
    <row r="157" spans="1:25" ht="12.75" hidden="1" customHeight="1" outlineLevel="1" x14ac:dyDescent="0.2">
      <c r="A157" s="198" t="str">
        <f>"      "&amp;Labels!B385</f>
        <v xml:space="preserve">      Prof Level 1</v>
      </c>
      <c r="B157" s="233"/>
      <c r="C157" s="233">
        <f>IF(B137=0,0,C137/B137-1)</f>
        <v>0</v>
      </c>
      <c r="D157" s="233">
        <f>IF(C137=0,0,D137/C137-1)</f>
        <v>0</v>
      </c>
      <c r="E157" s="234">
        <f t="shared" si="120"/>
        <v>0</v>
      </c>
      <c r="F157" s="233">
        <f>IF(D137=0,0,F137/D137-1)</f>
        <v>0</v>
      </c>
      <c r="G157" s="233">
        <f>IF(F137=0,0,G137/F137-1)</f>
        <v>-1</v>
      </c>
      <c r="H157" s="233">
        <f>IF(G137=0,0,H137/G137-1)</f>
        <v>0</v>
      </c>
      <c r="I157" s="234">
        <f t="shared" si="121"/>
        <v>-1</v>
      </c>
      <c r="J157" s="233">
        <f>IF(H137=0,0,J137/H137-1)</f>
        <v>0</v>
      </c>
      <c r="K157" s="233">
        <f>IF(J137=0,0,K137/J137-1)</f>
        <v>0</v>
      </c>
      <c r="L157" s="233">
        <f>IF(K137=0,0,L137/K137-1)</f>
        <v>-1</v>
      </c>
      <c r="M157" s="234">
        <f t="shared" si="122"/>
        <v>-1</v>
      </c>
      <c r="N157" s="233">
        <f>IF(L137=0,0,N137/L137-1)</f>
        <v>0</v>
      </c>
      <c r="O157" s="233">
        <f>IF(N137=0,0,O137/N137-1)</f>
        <v>0</v>
      </c>
      <c r="P157" s="233">
        <f>IF(O137=0,0,P137/O137-1)</f>
        <v>0</v>
      </c>
      <c r="Q157" s="234">
        <f t="shared" si="123"/>
        <v>0</v>
      </c>
      <c r="R157" s="233">
        <f>IF(P137=0,0,R137/P137-1)</f>
        <v>0</v>
      </c>
      <c r="S157" s="233">
        <f>IF(R137=0,0,S137/R137-1)</f>
        <v>0</v>
      </c>
      <c r="T157" s="233">
        <f>IF(S137=0,0,T137/S137-1)</f>
        <v>0</v>
      </c>
      <c r="U157" s="234">
        <f t="shared" si="124"/>
        <v>0</v>
      </c>
      <c r="V157" s="233">
        <f>IF(T137=0,0,V137/T137-1)</f>
        <v>0</v>
      </c>
      <c r="W157" s="233">
        <f>IF(V137=0,0,W137/V137-1)</f>
        <v>0</v>
      </c>
      <c r="X157" s="233">
        <f>IF(W137=0,0,X137/W137-1)</f>
        <v>0</v>
      </c>
      <c r="Y157" s="234">
        <f t="shared" si="125"/>
        <v>0</v>
      </c>
    </row>
    <row r="158" spans="1:25" ht="12.75" hidden="1" customHeight="1" outlineLevel="1" x14ac:dyDescent="0.2">
      <c r="A158" s="198" t="str">
        <f>"      "&amp;Labels!B386</f>
        <v xml:space="preserve">      Prof Level 2</v>
      </c>
      <c r="B158" s="233"/>
      <c r="C158" s="233">
        <f>IF(B141=0,0,C141/B141-1)</f>
        <v>0</v>
      </c>
      <c r="D158" s="233">
        <f>IF(C141=0,0,D141/C141-1)</f>
        <v>0</v>
      </c>
      <c r="E158" s="234">
        <f t="shared" si="120"/>
        <v>0</v>
      </c>
      <c r="F158" s="233">
        <f>IF(D141=0,0,F141/D141-1)</f>
        <v>0</v>
      </c>
      <c r="G158" s="233">
        <f>IF(F141=0,0,G141/F141-1)</f>
        <v>-1</v>
      </c>
      <c r="H158" s="233">
        <f>IF(G141=0,0,H141/G141-1)</f>
        <v>0</v>
      </c>
      <c r="I158" s="234">
        <f t="shared" si="121"/>
        <v>-1</v>
      </c>
      <c r="J158" s="233">
        <f>IF(H141=0,0,J141/H141-1)</f>
        <v>0</v>
      </c>
      <c r="K158" s="233">
        <f>IF(J141=0,0,K141/J141-1)</f>
        <v>0</v>
      </c>
      <c r="L158" s="233">
        <f>IF(K141=0,0,L141/K141-1)</f>
        <v>-1</v>
      </c>
      <c r="M158" s="234">
        <f t="shared" si="122"/>
        <v>-1</v>
      </c>
      <c r="N158" s="233">
        <f>IF(L141=0,0,N141/L141-1)</f>
        <v>0</v>
      </c>
      <c r="O158" s="233">
        <f>IF(N141=0,0,O141/N141-1)</f>
        <v>0</v>
      </c>
      <c r="P158" s="233">
        <f>IF(O141=0,0,P141/O141-1)</f>
        <v>0</v>
      </c>
      <c r="Q158" s="234">
        <f t="shared" si="123"/>
        <v>0</v>
      </c>
      <c r="R158" s="233">
        <f>IF(P141=0,0,R141/P141-1)</f>
        <v>0</v>
      </c>
      <c r="S158" s="233">
        <f>IF(R141=0,0,S141/R141-1)</f>
        <v>0</v>
      </c>
      <c r="T158" s="233">
        <f>IF(S141=0,0,T141/S141-1)</f>
        <v>0</v>
      </c>
      <c r="U158" s="234">
        <f t="shared" si="124"/>
        <v>0</v>
      </c>
      <c r="V158" s="233">
        <f>IF(T141=0,0,V141/T141-1)</f>
        <v>0</v>
      </c>
      <c r="W158" s="233">
        <f>IF(V141=0,0,W141/V141-1)</f>
        <v>0</v>
      </c>
      <c r="X158" s="233">
        <f>IF(W141=0,0,X141/W141-1)</f>
        <v>0</v>
      </c>
      <c r="Y158" s="234">
        <f t="shared" si="125"/>
        <v>0</v>
      </c>
    </row>
    <row r="159" spans="1:25" ht="12.75" hidden="1" customHeight="1" outlineLevel="1" x14ac:dyDescent="0.2">
      <c r="A159" s="188" t="str">
        <f>"      "&amp;Labels!C384</f>
        <v xml:space="preserve">      Total</v>
      </c>
      <c r="B159" s="218"/>
      <c r="C159" s="218">
        <f>IF(B133=0,0,C133/B133-1)</f>
        <v>0</v>
      </c>
      <c r="D159" s="218">
        <f>IF(C133=0,0,D133/C133-1)</f>
        <v>0</v>
      </c>
      <c r="E159" s="219">
        <f>(1+C156)^1*(1+D156)^1-1</f>
        <v>0</v>
      </c>
      <c r="F159" s="218">
        <f>IF(D133=0,0,F133/D133-1)</f>
        <v>0</v>
      </c>
      <c r="G159" s="218">
        <f>IF(F133=0,0,G133/F133-1)</f>
        <v>-1</v>
      </c>
      <c r="H159" s="218">
        <f>IF(G133=0,0,H133/G133-1)</f>
        <v>0</v>
      </c>
      <c r="I159" s="219">
        <f>(1+F156)^1*(1+G156)^1*(1+H156)^1-1</f>
        <v>-1</v>
      </c>
      <c r="J159" s="218">
        <f>IF(H133=0,0,J133/H133-1)</f>
        <v>0</v>
      </c>
      <c r="K159" s="218">
        <f>IF(J133=0,0,K133/J133-1)</f>
        <v>0</v>
      </c>
      <c r="L159" s="218">
        <f>IF(K133=0,0,L133/K133-1)</f>
        <v>-1</v>
      </c>
      <c r="M159" s="219">
        <f>(1+J156)^1*(1+K156)^1*(1+L156)^1-1</f>
        <v>-1</v>
      </c>
      <c r="N159" s="218">
        <f>IF(L133=0,0,N133/L133-1)</f>
        <v>0</v>
      </c>
      <c r="O159" s="218">
        <f>IF(N133=0,0,O133/N133-1)</f>
        <v>0</v>
      </c>
      <c r="P159" s="218">
        <f>IF(O133=0,0,P133/O133-1)</f>
        <v>0</v>
      </c>
      <c r="Q159" s="219">
        <f>(1+N156)^1*(1+O156)^1*(1+P156)^1-1</f>
        <v>0</v>
      </c>
      <c r="R159" s="218">
        <f>IF(P133=0,0,R133/P133-1)</f>
        <v>0</v>
      </c>
      <c r="S159" s="218">
        <f>IF(R133=0,0,S133/R133-1)</f>
        <v>0</v>
      </c>
      <c r="T159" s="218">
        <f>IF(S133=0,0,T133/S133-1)</f>
        <v>0</v>
      </c>
      <c r="U159" s="219">
        <f>(1+R156)^1*(1+S156)^1*(1+T156)^1-1</f>
        <v>0</v>
      </c>
      <c r="V159" s="218">
        <f>IF(T133=0,0,V133/T133-1)</f>
        <v>0</v>
      </c>
      <c r="W159" s="218">
        <f>IF(V133=0,0,W133/V133-1)</f>
        <v>0</v>
      </c>
      <c r="X159" s="218">
        <f>IF(W133=0,0,X133/W133-1)</f>
        <v>0</v>
      </c>
      <c r="Y159" s="219">
        <f>(1+V156)^1*(1+W156)^1*(1+X156)^1-1</f>
        <v>0</v>
      </c>
    </row>
    <row r="160" spans="1:25" ht="12.75" hidden="1" customHeight="1" outlineLevel="1" x14ac:dyDescent="0.2">
      <c r="A160" s="97"/>
      <c r="B160" s="6"/>
      <c r="C160" s="6"/>
      <c r="D160" s="6"/>
      <c r="E160" s="97"/>
      <c r="F160" s="6"/>
      <c r="G160" s="6"/>
      <c r="H160" s="6"/>
      <c r="I160" s="97"/>
      <c r="J160" s="6"/>
      <c r="K160" s="6"/>
      <c r="L160" s="6"/>
      <c r="M160" s="97"/>
      <c r="N160" s="6"/>
      <c r="O160" s="6"/>
      <c r="P160" s="6"/>
      <c r="Q160" s="97"/>
      <c r="R160" s="6"/>
      <c r="S160" s="6"/>
      <c r="T160" s="6"/>
      <c r="U160" s="97"/>
      <c r="V160" s="6"/>
      <c r="W160" s="6"/>
      <c r="X160" s="6"/>
      <c r="Y160" s="97"/>
    </row>
    <row r="161" spans="1:4" ht="12.75" hidden="1" customHeight="1" outlineLevel="1" x14ac:dyDescent="0.2">
      <c r="B161" s="9" t="str">
        <f>Labels!B381</f>
        <v>Practice 1</v>
      </c>
      <c r="C161" s="10" t="str">
        <f>Labels!B382</f>
        <v>Practice 2</v>
      </c>
      <c r="D161" s="181" t="str">
        <f>Labels!C380</f>
        <v>Total</v>
      </c>
    </row>
    <row r="162" spans="1:4" ht="12.75" hidden="1" customHeight="1" outlineLevel="1" x14ac:dyDescent="0.2">
      <c r="A162" s="182" t="str">
        <f>Labels!B227</f>
        <v>Revenue CAGR (ex Yr1)</v>
      </c>
      <c r="B162" s="207"/>
      <c r="C162" s="207"/>
      <c r="D162" s="208"/>
    </row>
    <row r="163" spans="1:4" ht="12.75" hidden="1" customHeight="1" outlineLevel="1" x14ac:dyDescent="0.2">
      <c r="A163" s="188" t="str">
        <f>"   "&amp;Labels!B385</f>
        <v xml:space="preserve">   Prof Level 1</v>
      </c>
      <c r="B163" s="218"/>
      <c r="C163" s="218"/>
      <c r="D163" s="219"/>
    </row>
    <row r="164" spans="1:4" ht="12.75" hidden="1" customHeight="1" outlineLevel="1" x14ac:dyDescent="0.2">
      <c r="A164" s="198" t="str">
        <f>"      "&amp;Labels!B317</f>
        <v xml:space="preserve">      Channels 1</v>
      </c>
      <c r="B164" s="233" t="str">
        <f>IF(ISNUMBER(MATCH(0,'(Ranges)'!A1:F1,0))," ",'(FnCalls 1)'!A65-1)</f>
        <v xml:space="preserve"> </v>
      </c>
      <c r="C164" s="233" t="str">
        <f>IF(ISNUMBER(MATCH(0,'(Ranges)'!A2:F2,0))," ",'(FnCalls 1)'!A69-1)</f>
        <v xml:space="preserve"> </v>
      </c>
      <c r="D164" s="234" t="str">
        <f>IF(ISNUMBER(MATCH(0,'(Ranges)'!A3:F3,0))," ",'(FnCalls 1)'!A73-1)</f>
        <v xml:space="preserve"> </v>
      </c>
    </row>
    <row r="165" spans="1:4" ht="12.75" hidden="1" customHeight="1" outlineLevel="1" x14ac:dyDescent="0.2">
      <c r="A165" s="198" t="str">
        <f>"      "&amp;Labels!B318</f>
        <v xml:space="preserve">      Channels 2</v>
      </c>
      <c r="B165" s="233" t="str">
        <f>IF(ISNUMBER(MATCH(0,'(Ranges)'!A4:F4,0))," ",'(FnCalls 1)'!A77-1)</f>
        <v xml:space="preserve"> </v>
      </c>
      <c r="C165" s="233" t="str">
        <f>IF(ISNUMBER(MATCH(0,'(Ranges)'!A5:F5,0))," ",'(FnCalls 1)'!A81-1)</f>
        <v xml:space="preserve"> </v>
      </c>
      <c r="D165" s="234" t="str">
        <f>IF(ISNUMBER(MATCH(0,'(Ranges)'!A6:F6,0))," ",'(FnCalls 1)'!A85-1)</f>
        <v xml:space="preserve"> </v>
      </c>
    </row>
    <row r="166" spans="1:4" ht="12.75" hidden="1" customHeight="1" outlineLevel="1" x14ac:dyDescent="0.2">
      <c r="A166" s="188" t="str">
        <f>"      "&amp;Labels!C316</f>
        <v xml:space="preserve">      Total</v>
      </c>
      <c r="B166" s="218" t="str">
        <f>IF(ISNUMBER(MATCH(0,'(Ranges)'!A7:F7,0))," ",'(FnCalls 1)'!A89-1)</f>
        <v xml:space="preserve"> </v>
      </c>
      <c r="C166" s="218" t="str">
        <f>IF(ISNUMBER(MATCH(0,'(Ranges)'!A8:F8,0))," ",'(FnCalls 1)'!A93-1)</f>
        <v xml:space="preserve"> </v>
      </c>
      <c r="D166" s="219" t="str">
        <f>IF(ISNUMBER(MATCH(0,'(Ranges)'!A9:F9,0))," ",'(FnCalls 1)'!A97-1)</f>
        <v xml:space="preserve"> </v>
      </c>
    </row>
    <row r="167" spans="1:4" ht="12.75" hidden="1" customHeight="1" outlineLevel="1" x14ac:dyDescent="0.2">
      <c r="A167" s="188" t="str">
        <f>"   "&amp;Labels!B386</f>
        <v xml:space="preserve">   Prof Level 2</v>
      </c>
      <c r="B167" s="218"/>
      <c r="C167" s="218"/>
      <c r="D167" s="219"/>
    </row>
    <row r="168" spans="1:4" ht="12.75" hidden="1" customHeight="1" outlineLevel="1" x14ac:dyDescent="0.2">
      <c r="A168" s="198" t="str">
        <f>"      "&amp;Labels!B317</f>
        <v xml:space="preserve">      Channels 1</v>
      </c>
      <c r="B168" s="233" t="str">
        <f>IF(ISNUMBER(MATCH(0,'(Ranges)'!A10:F10,0))," ",'(FnCalls 1)'!A101-1)</f>
        <v xml:space="preserve"> </v>
      </c>
      <c r="C168" s="233" t="str">
        <f>IF(ISNUMBER(MATCH(0,'(Ranges)'!A11:F11,0))," ",'(FnCalls 1)'!A105-1)</f>
        <v xml:space="preserve"> </v>
      </c>
      <c r="D168" s="234" t="str">
        <f>IF(ISNUMBER(MATCH(0,'(Ranges)'!A12:F12,0))," ",'(FnCalls 1)'!A109-1)</f>
        <v xml:space="preserve"> </v>
      </c>
    </row>
    <row r="169" spans="1:4" ht="12.75" hidden="1" customHeight="1" outlineLevel="1" x14ac:dyDescent="0.2">
      <c r="A169" s="198" t="str">
        <f>"      "&amp;Labels!B318</f>
        <v xml:space="preserve">      Channels 2</v>
      </c>
      <c r="B169" s="233" t="str">
        <f>IF(ISNUMBER(MATCH(0,'(Ranges)'!A13:F13,0))," ",'(FnCalls 1)'!A113-1)</f>
        <v xml:space="preserve"> </v>
      </c>
      <c r="C169" s="233" t="str">
        <f>IF(ISNUMBER(MATCH(0,'(Ranges)'!A14:F14,0))," ",'(FnCalls 1)'!A117-1)</f>
        <v xml:space="preserve"> </v>
      </c>
      <c r="D169" s="234" t="str">
        <f>IF(ISNUMBER(MATCH(0,'(Ranges)'!A15:F15,0))," ",'(FnCalls 1)'!A121-1)</f>
        <v xml:space="preserve"> </v>
      </c>
    </row>
    <row r="170" spans="1:4" ht="12.75" hidden="1" customHeight="1" outlineLevel="1" x14ac:dyDescent="0.2">
      <c r="A170" s="188" t="str">
        <f>"      "&amp;Labels!C316</f>
        <v xml:space="preserve">      Total</v>
      </c>
      <c r="B170" s="218" t="str">
        <f>IF(ISNUMBER(MATCH(0,'(Ranges)'!A16:F16,0))," ",'(FnCalls 1)'!A125-1)</f>
        <v xml:space="preserve"> </v>
      </c>
      <c r="C170" s="218" t="str">
        <f>IF(ISNUMBER(MATCH(0,'(Ranges)'!A17:F17,0))," ",'(FnCalls 1)'!A129-1)</f>
        <v xml:space="preserve"> </v>
      </c>
      <c r="D170" s="219" t="str">
        <f>IF(ISNUMBER(MATCH(0,'(Ranges)'!A18:F18,0))," ",'(FnCalls 1)'!A133-1)</f>
        <v xml:space="preserve"> </v>
      </c>
    </row>
    <row r="171" spans="1:4" ht="12.75" hidden="1" customHeight="1" outlineLevel="1" x14ac:dyDescent="0.2">
      <c r="A171" s="191" t="str">
        <f>"   "&amp;Labels!C384</f>
        <v xml:space="preserve">   Total</v>
      </c>
      <c r="B171" s="211" t="str">
        <f>IF(ISNUMBER(MATCH(0,'(Ranges)'!A19:F19,0))," ",'(FnCalls 1)'!A137-1)</f>
        <v xml:space="preserve"> </v>
      </c>
      <c r="C171" s="211" t="str">
        <f>IF(ISNUMBER(MATCH(0,'(Ranges)'!A20:F20,0))," ",'(FnCalls 1)'!A141-1)</f>
        <v xml:space="preserve"> </v>
      </c>
      <c r="D171" s="210" t="str">
        <f>IF(ISNUMBER(MATCH(0,'(Ranges)'!A21:F21,0))," ",'(FnCalls 1)'!A145-1)</f>
        <v xml:space="preserve"> </v>
      </c>
    </row>
    <row r="172" spans="1:4" ht="12.75" hidden="1" customHeight="1" outlineLevel="1" x14ac:dyDescent="0.2">
      <c r="A172" s="198" t="str">
        <f>"      "&amp;Labels!B317</f>
        <v xml:space="preserve">      Channels 1</v>
      </c>
      <c r="B172" s="233" t="str">
        <f>IF(ISNUMBER(MATCH(0,'(Ranges)'!A22:F22,0))," ",'(FnCalls 1)'!A149-1)</f>
        <v xml:space="preserve"> </v>
      </c>
      <c r="C172" s="233" t="str">
        <f>IF(ISNUMBER(MATCH(0,'(Ranges)'!A23:F23,0))," ",'(FnCalls 1)'!A153-1)</f>
        <v xml:space="preserve"> </v>
      </c>
      <c r="D172" s="234" t="str">
        <f>IF(ISNUMBER(MATCH(0,'(Ranges)'!A24:F24,0))," ",'(FnCalls 1)'!A157-1)</f>
        <v xml:space="preserve"> </v>
      </c>
    </row>
    <row r="173" spans="1:4" ht="12.75" hidden="1" customHeight="1" outlineLevel="1" x14ac:dyDescent="0.2">
      <c r="A173" s="198" t="str">
        <f>"      "&amp;Labels!B318</f>
        <v xml:space="preserve">      Channels 2</v>
      </c>
      <c r="B173" s="233" t="str">
        <f>IF(ISNUMBER(MATCH(0,'(Ranges)'!A25:F25,0))," ",'(FnCalls 1)'!A161-1)</f>
        <v xml:space="preserve"> </v>
      </c>
      <c r="C173" s="233" t="str">
        <f>IF(ISNUMBER(MATCH(0,'(Ranges)'!A26:F26,0))," ",'(FnCalls 1)'!A165-1)</f>
        <v xml:space="preserve"> </v>
      </c>
      <c r="D173" s="234" t="str">
        <f>IF(ISNUMBER(MATCH(0,'(Ranges)'!A27:F27,0))," ",'(FnCalls 1)'!A169-1)</f>
        <v xml:space="preserve"> </v>
      </c>
    </row>
    <row r="174" spans="1:4" ht="12.75" hidden="1" customHeight="1" outlineLevel="1" x14ac:dyDescent="0.2">
      <c r="A174" s="220" t="str">
        <f>"      "&amp;Labels!C316</f>
        <v xml:space="preserve">      Total</v>
      </c>
      <c r="B174" s="221" t="str">
        <f>IF(ISNUMBER(MATCH(0,'(Ranges)'!A19:F19,0))," ",'(FnCalls 1)'!A137-1)</f>
        <v xml:space="preserve"> </v>
      </c>
      <c r="C174" s="221" t="str">
        <f>IF(ISNUMBER(MATCH(0,'(Ranges)'!A20:F20,0))," ",'(FnCalls 1)'!A141-1)</f>
        <v xml:space="preserve"> </v>
      </c>
      <c r="D174" s="222" t="str">
        <f>IF(ISNUMBER(MATCH(0,'(Ranges)'!A21:F21,0))," ",'(FnCalls 1)'!A145-1)</f>
        <v xml:space="preserve"> </v>
      </c>
    </row>
    <row r="175" spans="1:4" ht="12.75" hidden="1" customHeight="1" outlineLevel="1" x14ac:dyDescent="0.2"/>
    <row r="176" spans="1:4" ht="12.75" hidden="1" customHeight="1" outlineLevel="1" collapsed="1" x14ac:dyDescent="0.2"/>
    <row r="177" spans="1:25" ht="12.75" customHeight="1" collapsed="1" x14ac:dyDescent="0.2"/>
    <row r="178" spans="1:25" ht="12.75" customHeight="1" collapsed="1" x14ac:dyDescent="0.2">
      <c r="A178" s="464" t="str">
        <f>"Billable Hours Detail"</f>
        <v>Billable Hours Detail</v>
      </c>
      <c r="B178" s="464"/>
      <c r="C178" s="464"/>
    </row>
    <row r="179" spans="1:25" ht="12.75" hidden="1" customHeight="1" outlineLevel="1" x14ac:dyDescent="0.2">
      <c r="A179" s="1" t="str">
        <f>" "</f>
        <v xml:space="preserve"> </v>
      </c>
    </row>
    <row r="180" spans="1:25" ht="12.75" hidden="1" customHeight="1" outlineLevel="1" x14ac:dyDescent="0.2">
      <c r="B180" s="9" t="str">
        <f>'(FnCalls 1)'!F41</f>
        <v>MMM 2010</v>
      </c>
      <c r="C180" s="10" t="str">
        <f>'(FnCalls 1)'!F42</f>
        <v>MMM 2010</v>
      </c>
      <c r="D180" s="10" t="str">
        <f>'(FnCalls 1)'!F43</f>
        <v>MMM 2010</v>
      </c>
      <c r="E180" s="181" t="str">
        <f>'(FnCalls 1)'!G41</f>
        <v>Q1 2010</v>
      </c>
      <c r="F180" s="10" t="str">
        <f>'(FnCalls 1)'!F44</f>
        <v>MMM 2010</v>
      </c>
      <c r="G180" s="10" t="str">
        <f>'(FnCalls 1)'!F45</f>
        <v>MMM 2010</v>
      </c>
      <c r="H180" s="10" t="str">
        <f>'(FnCalls 1)'!F46</f>
        <v>MMM 2010</v>
      </c>
      <c r="I180" s="181" t="str">
        <f>'(FnCalls 1)'!G44</f>
        <v>Q2 2010</v>
      </c>
      <c r="J180" s="10" t="str">
        <f>'(FnCalls 1)'!F47</f>
        <v>MMM 2010</v>
      </c>
      <c r="K180" s="10" t="str">
        <f>'(FnCalls 1)'!F48</f>
        <v>MMM 2010</v>
      </c>
      <c r="L180" s="10" t="str">
        <f>'(FnCalls 1)'!F49</f>
        <v>MMM 2010</v>
      </c>
      <c r="M180" s="181" t="str">
        <f>'(FnCalls 1)'!G47</f>
        <v>Q3 2010</v>
      </c>
      <c r="N180" s="10" t="str">
        <f>'(FnCalls 1)'!F50</f>
        <v>MMM 2010</v>
      </c>
      <c r="O180" s="10" t="str">
        <f>'(FnCalls 1)'!F51</f>
        <v>MMM 2010</v>
      </c>
      <c r="P180" s="10" t="str">
        <f>'(FnCalls 1)'!F52</f>
        <v>MMM 2010</v>
      </c>
      <c r="Q180" s="181" t="str">
        <f>'(FnCalls 1)'!G50</f>
        <v>Q4 2010</v>
      </c>
      <c r="R180" s="10" t="str">
        <f>'(FnCalls 1)'!F53</f>
        <v>MMM 2011</v>
      </c>
      <c r="S180" s="10" t="str">
        <f>'(FnCalls 1)'!F54</f>
        <v>MMM 2011</v>
      </c>
      <c r="T180" s="10" t="str">
        <f>'(FnCalls 1)'!F55</f>
        <v>MMM 2011</v>
      </c>
      <c r="U180" s="181" t="str">
        <f>'(FnCalls 1)'!G53</f>
        <v>Q1 2011</v>
      </c>
      <c r="V180" s="10" t="str">
        <f>'(FnCalls 1)'!F56</f>
        <v>MMM 2011</v>
      </c>
      <c r="W180" s="10" t="str">
        <f>'(FnCalls 1)'!F57</f>
        <v>MMM 2011</v>
      </c>
      <c r="X180" s="10" t="str">
        <f>'(FnCalls 1)'!F58</f>
        <v>MMM 2011</v>
      </c>
      <c r="Y180" s="181" t="str">
        <f>'(FnCalls 1)'!G56</f>
        <v>Q2 2011</v>
      </c>
    </row>
    <row r="181" spans="1:25" ht="12.75" hidden="1" customHeight="1" outlineLevel="1" x14ac:dyDescent="0.2">
      <c r="A181" s="182" t="str">
        <f>Labels!B182</f>
        <v>Prof Staff Hours Billed</v>
      </c>
      <c r="B181" s="223"/>
      <c r="C181" s="223"/>
      <c r="D181" s="223"/>
      <c r="E181" s="224"/>
      <c r="F181" s="223"/>
      <c r="G181" s="223"/>
      <c r="H181" s="223"/>
      <c r="I181" s="224"/>
      <c r="J181" s="223"/>
      <c r="K181" s="223"/>
      <c r="L181" s="223"/>
      <c r="M181" s="224"/>
      <c r="N181" s="223"/>
      <c r="O181" s="223"/>
      <c r="P181" s="223"/>
      <c r="Q181" s="224"/>
      <c r="R181" s="223"/>
      <c r="S181" s="223"/>
      <c r="T181" s="223"/>
      <c r="U181" s="224"/>
      <c r="V181" s="223"/>
      <c r="W181" s="223"/>
      <c r="X181" s="223"/>
      <c r="Y181" s="224"/>
    </row>
    <row r="182" spans="1:25" ht="12.75" hidden="1" customHeight="1" outlineLevel="1" x14ac:dyDescent="0.2">
      <c r="A182" s="188" t="str">
        <f>"   "&amp;Labels!B381</f>
        <v xml:space="preserve">   Practice 1</v>
      </c>
      <c r="B182" s="166"/>
      <c r="C182" s="166"/>
      <c r="D182" s="166"/>
      <c r="E182" s="225"/>
      <c r="F182" s="166"/>
      <c r="G182" s="166"/>
      <c r="H182" s="166"/>
      <c r="I182" s="225"/>
      <c r="J182" s="166"/>
      <c r="K182" s="166"/>
      <c r="L182" s="166"/>
      <c r="M182" s="225"/>
      <c r="N182" s="166"/>
      <c r="O182" s="166"/>
      <c r="P182" s="166"/>
      <c r="Q182" s="225"/>
      <c r="R182" s="166"/>
      <c r="S182" s="166"/>
      <c r="T182" s="166"/>
      <c r="U182" s="225"/>
      <c r="V182" s="166"/>
      <c r="W182" s="166"/>
      <c r="X182" s="166"/>
      <c r="Y182" s="225"/>
    </row>
    <row r="183" spans="1:25" ht="12.75" hidden="1" customHeight="1" outlineLevel="1" x14ac:dyDescent="0.2">
      <c r="A183" s="198" t="str">
        <f>"      "&amp;Labels!B385</f>
        <v xml:space="preserve">      Prof Level 1</v>
      </c>
      <c r="B183" s="237"/>
      <c r="C183" s="237"/>
      <c r="D183" s="237"/>
      <c r="E183" s="238"/>
      <c r="F183" s="237"/>
      <c r="G183" s="237"/>
      <c r="H183" s="237"/>
      <c r="I183" s="238"/>
      <c r="J183" s="237"/>
      <c r="K183" s="237"/>
      <c r="L183" s="237"/>
      <c r="M183" s="238"/>
      <c r="N183" s="237"/>
      <c r="O183" s="237"/>
      <c r="P183" s="237"/>
      <c r="Q183" s="238"/>
      <c r="R183" s="237"/>
      <c r="S183" s="237"/>
      <c r="T183" s="237"/>
      <c r="U183" s="238"/>
      <c r="V183" s="237"/>
      <c r="W183" s="237"/>
      <c r="X183" s="237"/>
      <c r="Y183" s="238"/>
    </row>
    <row r="184" spans="1:25" ht="12.75" hidden="1" customHeight="1" outlineLevel="1" x14ac:dyDescent="0.2">
      <c r="A184" s="198" t="str">
        <f>"         "&amp;Labels!B317</f>
        <v xml:space="preserve">         Channels 1</v>
      </c>
      <c r="B184" s="262">
        <f>('(Tables)'!B410*Engage!B177+'(Tables)'!B411*Engage!B181)/2+Engage!B254</f>
        <v>0</v>
      </c>
      <c r="C184" s="262">
        <f>('(Tables)'!B410*Engage!C177+'(Tables)'!B411*Engage!C181)/2+Engage!C254</f>
        <v>0</v>
      </c>
      <c r="D184" s="262">
        <f>('(Tables)'!B410*Engage!D177+'(Tables)'!B411*Engage!D181)/2+Engage!D254</f>
        <v>137.5</v>
      </c>
      <c r="E184" s="217">
        <f>SUM(B184:D184)</f>
        <v>137.5</v>
      </c>
      <c r="F184" s="262">
        <f>('(Tables)'!B410*Engage!E177+'(Tables)'!B411*Engage!E181)/2+Engage!E254</f>
        <v>137.5</v>
      </c>
      <c r="G184" s="262">
        <f>('(Tables)'!B410*Engage!F177+'(Tables)'!B411*Engage!F181)/2+Engage!F254</f>
        <v>0</v>
      </c>
      <c r="H184" s="262">
        <f>('(Tables)'!B410*Engage!G177+'(Tables)'!B411*Engage!G181)/2+Engage!G254</f>
        <v>100</v>
      </c>
      <c r="I184" s="217">
        <f>SUM(F184:H184)</f>
        <v>237.5</v>
      </c>
      <c r="J184" s="262">
        <f>('(Tables)'!B410*Engage!H177+'(Tables)'!B411*Engage!H181)/2+Engage!H254</f>
        <v>100</v>
      </c>
      <c r="K184" s="262">
        <f>('(Tables)'!B410*Engage!I177+'(Tables)'!B411*Engage!I181)/2+Engage!I254</f>
        <v>100</v>
      </c>
      <c r="L184" s="262">
        <f>('(Tables)'!B410*Engage!J177+'(Tables)'!B411*Engage!J181)/2+Engage!J254</f>
        <v>0</v>
      </c>
      <c r="M184" s="217">
        <f>SUM(J184:L184)</f>
        <v>200</v>
      </c>
      <c r="N184" s="262">
        <f>('(Tables)'!B410*Engage!K177+'(Tables)'!B411*Engage!K181)/2+Engage!K254</f>
        <v>0</v>
      </c>
      <c r="O184" s="262">
        <f>('(Tables)'!B410*Engage!L177+'(Tables)'!B411*Engage!L181)/2+Engage!L254</f>
        <v>0</v>
      </c>
      <c r="P184" s="262">
        <f>('(Tables)'!B410*Engage!M177+'(Tables)'!B411*Engage!M181)/2+Engage!M254</f>
        <v>0</v>
      </c>
      <c r="Q184" s="217">
        <f>SUM(N184:P184)</f>
        <v>0</v>
      </c>
      <c r="R184" s="262">
        <f>('(Tables)'!B410*Engage!N177+'(Tables)'!B411*Engage!N181)/2+Engage!N254</f>
        <v>0</v>
      </c>
      <c r="S184" s="262">
        <f>('(Tables)'!B410*Engage!O177+'(Tables)'!B411*Engage!O181)/2+Engage!O254</f>
        <v>0</v>
      </c>
      <c r="T184" s="262">
        <f>('(Tables)'!B410*Engage!P177+'(Tables)'!B411*Engage!P181)/2+Engage!P254</f>
        <v>0</v>
      </c>
      <c r="U184" s="217">
        <f>SUM(R184:T184)</f>
        <v>0</v>
      </c>
      <c r="V184" s="262">
        <f>('(Tables)'!B410*Engage!Q177+'(Tables)'!B411*Engage!Q181)/2+Engage!Q254</f>
        <v>0</v>
      </c>
      <c r="W184" s="262">
        <f>('(Tables)'!B410*Engage!R177+'(Tables)'!B411*Engage!R181)/2+Engage!R254</f>
        <v>0</v>
      </c>
      <c r="X184" s="262">
        <f>('(Tables)'!B410*Engage!S177+'(Tables)'!B411*Engage!S181)/2+Engage!S254</f>
        <v>0</v>
      </c>
      <c r="Y184" s="217">
        <f>SUM(V184:X184)</f>
        <v>0</v>
      </c>
    </row>
    <row r="185" spans="1:25" ht="12.75" hidden="1" customHeight="1" outlineLevel="1" x14ac:dyDescent="0.2">
      <c r="A185" s="198" t="str">
        <f>"         "&amp;Labels!B318</f>
        <v xml:space="preserve">         Channels 2</v>
      </c>
      <c r="B185" s="262">
        <f>('(Tables)'!B410*Engage!B177+'(Tables)'!B411*Engage!B181)/2+Engage!B255</f>
        <v>0</v>
      </c>
      <c r="C185" s="262">
        <f>('(Tables)'!B410*Engage!C177+'(Tables)'!B411*Engage!C181)/2+Engage!C255</f>
        <v>0</v>
      </c>
      <c r="D185" s="262">
        <f>('(Tables)'!B410*Engage!D177+'(Tables)'!B411*Engage!D181)/2+Engage!D255</f>
        <v>137.5</v>
      </c>
      <c r="E185" s="217">
        <f>SUM(B185:D185)</f>
        <v>137.5</v>
      </c>
      <c r="F185" s="262">
        <f>('(Tables)'!B410*Engage!E177+'(Tables)'!B411*Engage!E181)/2+Engage!E255</f>
        <v>137.5</v>
      </c>
      <c r="G185" s="262">
        <f>('(Tables)'!B410*Engage!F177+'(Tables)'!B411*Engage!F181)/2+Engage!F255</f>
        <v>0</v>
      </c>
      <c r="H185" s="262">
        <f>('(Tables)'!B410*Engage!G177+'(Tables)'!B411*Engage!G181)/2+Engage!G255</f>
        <v>100</v>
      </c>
      <c r="I185" s="217">
        <f>SUM(F185:H185)</f>
        <v>237.5</v>
      </c>
      <c r="J185" s="262">
        <f>('(Tables)'!B410*Engage!H177+'(Tables)'!B411*Engage!H181)/2+Engage!H255</f>
        <v>100</v>
      </c>
      <c r="K185" s="262">
        <f>('(Tables)'!B410*Engage!I177+'(Tables)'!B411*Engage!I181)/2+Engage!I255</f>
        <v>100</v>
      </c>
      <c r="L185" s="262">
        <f>('(Tables)'!B410*Engage!J177+'(Tables)'!B411*Engage!J181)/2+Engage!J255</f>
        <v>0</v>
      </c>
      <c r="M185" s="217">
        <f>SUM(J185:L185)</f>
        <v>200</v>
      </c>
      <c r="N185" s="262">
        <f>('(Tables)'!B410*Engage!K177+'(Tables)'!B411*Engage!K181)/2+Engage!K255</f>
        <v>0</v>
      </c>
      <c r="O185" s="262">
        <f>('(Tables)'!B410*Engage!L177+'(Tables)'!B411*Engage!L181)/2+Engage!L255</f>
        <v>0</v>
      </c>
      <c r="P185" s="262">
        <f>('(Tables)'!B410*Engage!M177+'(Tables)'!B411*Engage!M181)/2+Engage!M255</f>
        <v>0</v>
      </c>
      <c r="Q185" s="217">
        <f>SUM(N185:P185)</f>
        <v>0</v>
      </c>
      <c r="R185" s="262">
        <f>('(Tables)'!B410*Engage!N177+'(Tables)'!B411*Engage!N181)/2+Engage!N255</f>
        <v>0</v>
      </c>
      <c r="S185" s="262">
        <f>('(Tables)'!B410*Engage!O177+'(Tables)'!B411*Engage!O181)/2+Engage!O255</f>
        <v>0</v>
      </c>
      <c r="T185" s="262">
        <f>('(Tables)'!B410*Engage!P177+'(Tables)'!B411*Engage!P181)/2+Engage!P255</f>
        <v>0</v>
      </c>
      <c r="U185" s="217">
        <f>SUM(R185:T185)</f>
        <v>0</v>
      </c>
      <c r="V185" s="262">
        <f>('(Tables)'!B410*Engage!Q177+'(Tables)'!B411*Engage!Q181)/2+Engage!Q255</f>
        <v>0</v>
      </c>
      <c r="W185" s="262">
        <f>('(Tables)'!B410*Engage!R177+'(Tables)'!B411*Engage!R181)/2+Engage!R255</f>
        <v>0</v>
      </c>
      <c r="X185" s="262">
        <f>('(Tables)'!B410*Engage!S177+'(Tables)'!B411*Engage!S181)/2+Engage!S255</f>
        <v>0</v>
      </c>
      <c r="Y185" s="217">
        <f>SUM(V185:X185)</f>
        <v>0</v>
      </c>
    </row>
    <row r="186" spans="1:25" ht="12.75" hidden="1" customHeight="1" outlineLevel="1" x14ac:dyDescent="0.2">
      <c r="A186" s="198" t="str">
        <f>"         "&amp;Labels!C316</f>
        <v xml:space="preserve">         Total</v>
      </c>
      <c r="B186" s="237">
        <f>SUM(B184:B185)</f>
        <v>0</v>
      </c>
      <c r="C186" s="237">
        <f>SUM(C184:C185)</f>
        <v>0</v>
      </c>
      <c r="D186" s="237">
        <f>SUM(D184:D185)</f>
        <v>275</v>
      </c>
      <c r="E186" s="238">
        <f>SUM(B186:D186)</f>
        <v>275</v>
      </c>
      <c r="F186" s="237">
        <f>SUM(F184:F185)</f>
        <v>275</v>
      </c>
      <c r="G186" s="237">
        <f>SUM(G184:G185)</f>
        <v>0</v>
      </c>
      <c r="H186" s="237">
        <f>SUM(H184:H185)</f>
        <v>200</v>
      </c>
      <c r="I186" s="238">
        <f>SUM(F186:H186)</f>
        <v>475</v>
      </c>
      <c r="J186" s="237">
        <f>SUM(J184:J185)</f>
        <v>200</v>
      </c>
      <c r="K186" s="237">
        <f>SUM(K184:K185)</f>
        <v>200</v>
      </c>
      <c r="L186" s="237">
        <f>SUM(L184:L185)</f>
        <v>0</v>
      </c>
      <c r="M186" s="238">
        <f>SUM(J186:L186)</f>
        <v>400</v>
      </c>
      <c r="N186" s="237">
        <f>SUM(N184:N185)</f>
        <v>0</v>
      </c>
      <c r="O186" s="237">
        <f>SUM(O184:O185)</f>
        <v>0</v>
      </c>
      <c r="P186" s="237">
        <f>SUM(P184:P185)</f>
        <v>0</v>
      </c>
      <c r="Q186" s="238">
        <f>SUM(N186:P186)</f>
        <v>0</v>
      </c>
      <c r="R186" s="237">
        <f>SUM(R184:R185)</f>
        <v>0</v>
      </c>
      <c r="S186" s="237">
        <f>SUM(S184:S185)</f>
        <v>0</v>
      </c>
      <c r="T186" s="237">
        <f>SUM(T184:T185)</f>
        <v>0</v>
      </c>
      <c r="U186" s="238">
        <f>SUM(R186:T186)</f>
        <v>0</v>
      </c>
      <c r="V186" s="237">
        <f>SUM(V184:V185)</f>
        <v>0</v>
      </c>
      <c r="W186" s="237">
        <f>SUM(W184:W185)</f>
        <v>0</v>
      </c>
      <c r="X186" s="237">
        <f>SUM(X184:X185)</f>
        <v>0</v>
      </c>
      <c r="Y186" s="238">
        <f>SUM(V186:X186)</f>
        <v>0</v>
      </c>
    </row>
    <row r="187" spans="1:25" ht="12.75" hidden="1" customHeight="1" outlineLevel="1" x14ac:dyDescent="0.2">
      <c r="A187" s="198" t="str">
        <f>"      "&amp;Labels!B386</f>
        <v xml:space="preserve">      Prof Level 2</v>
      </c>
      <c r="B187" s="237"/>
      <c r="C187" s="237"/>
      <c r="D187" s="237"/>
      <c r="E187" s="238"/>
      <c r="F187" s="237"/>
      <c r="G187" s="237"/>
      <c r="H187" s="237"/>
      <c r="I187" s="238"/>
      <c r="J187" s="237"/>
      <c r="K187" s="237"/>
      <c r="L187" s="237"/>
      <c r="M187" s="238"/>
      <c r="N187" s="237"/>
      <c r="O187" s="237"/>
      <c r="P187" s="237"/>
      <c r="Q187" s="238"/>
      <c r="R187" s="237"/>
      <c r="S187" s="237"/>
      <c r="T187" s="237"/>
      <c r="U187" s="238"/>
      <c r="V187" s="237"/>
      <c r="W187" s="237"/>
      <c r="X187" s="237"/>
      <c r="Y187" s="238"/>
    </row>
    <row r="188" spans="1:25" ht="12.75" hidden="1" customHeight="1" outlineLevel="1" x14ac:dyDescent="0.2">
      <c r="A188" s="198" t="str">
        <f>"         "&amp;Labels!B317</f>
        <v xml:space="preserve">         Channels 1</v>
      </c>
      <c r="B188" s="262">
        <f>('(Tables)'!B410*Engage!B178+'(Tables)'!B411*Engage!B182)/2+Engage!B258</f>
        <v>0</v>
      </c>
      <c r="C188" s="262">
        <f>('(Tables)'!B410*Engage!C178+'(Tables)'!B411*Engage!C182)/2+Engage!C258</f>
        <v>0</v>
      </c>
      <c r="D188" s="262">
        <f>('(Tables)'!B410*Engage!D178+'(Tables)'!B411*Engage!D182)/2+Engage!D258</f>
        <v>137.5</v>
      </c>
      <c r="E188" s="217">
        <f t="shared" ref="E188:E193" si="126">SUM(B188:D188)</f>
        <v>137.5</v>
      </c>
      <c r="F188" s="262">
        <f>('(Tables)'!B410*Engage!E178+'(Tables)'!B411*Engage!E182)/2+Engage!E258</f>
        <v>137.5</v>
      </c>
      <c r="G188" s="262">
        <f>('(Tables)'!B410*Engage!F178+'(Tables)'!B411*Engage!F182)/2+Engage!F258</f>
        <v>0</v>
      </c>
      <c r="H188" s="262">
        <f>('(Tables)'!B410*Engage!G178+'(Tables)'!B411*Engage!G182)/2+Engage!G258</f>
        <v>100</v>
      </c>
      <c r="I188" s="217">
        <f t="shared" ref="I188:I193" si="127">SUM(F188:H188)</f>
        <v>237.5</v>
      </c>
      <c r="J188" s="262">
        <f>('(Tables)'!B410*Engage!H178+'(Tables)'!B411*Engage!H182)/2+Engage!H258</f>
        <v>100</v>
      </c>
      <c r="K188" s="262">
        <f>('(Tables)'!B410*Engage!I178+'(Tables)'!B411*Engage!I182)/2+Engage!I258</f>
        <v>100</v>
      </c>
      <c r="L188" s="262">
        <f>('(Tables)'!B410*Engage!J178+'(Tables)'!B411*Engage!J182)/2+Engage!J258</f>
        <v>0</v>
      </c>
      <c r="M188" s="217">
        <f t="shared" ref="M188:M193" si="128">SUM(J188:L188)</f>
        <v>200</v>
      </c>
      <c r="N188" s="262">
        <f>('(Tables)'!B410*Engage!K178+'(Tables)'!B411*Engage!K182)/2+Engage!K258</f>
        <v>0</v>
      </c>
      <c r="O188" s="262">
        <f>('(Tables)'!B410*Engage!L178+'(Tables)'!B411*Engage!L182)/2+Engage!L258</f>
        <v>0</v>
      </c>
      <c r="P188" s="262">
        <f>('(Tables)'!B410*Engage!M178+'(Tables)'!B411*Engage!M182)/2+Engage!M258</f>
        <v>0</v>
      </c>
      <c r="Q188" s="217">
        <f t="shared" ref="Q188:Q193" si="129">SUM(N188:P188)</f>
        <v>0</v>
      </c>
      <c r="R188" s="262">
        <f>('(Tables)'!B410*Engage!N178+'(Tables)'!B411*Engage!N182)/2+Engage!N258</f>
        <v>0</v>
      </c>
      <c r="S188" s="262">
        <f>('(Tables)'!B410*Engage!O178+'(Tables)'!B411*Engage!O182)/2+Engage!O258</f>
        <v>0</v>
      </c>
      <c r="T188" s="262">
        <f>('(Tables)'!B410*Engage!P178+'(Tables)'!B411*Engage!P182)/2+Engage!P258</f>
        <v>0</v>
      </c>
      <c r="U188" s="217">
        <f t="shared" ref="U188:U193" si="130">SUM(R188:T188)</f>
        <v>0</v>
      </c>
      <c r="V188" s="262">
        <f>('(Tables)'!B410*Engage!Q178+'(Tables)'!B411*Engage!Q182)/2+Engage!Q258</f>
        <v>0</v>
      </c>
      <c r="W188" s="262">
        <f>('(Tables)'!B410*Engage!R178+'(Tables)'!B411*Engage!R182)/2+Engage!R258</f>
        <v>0</v>
      </c>
      <c r="X188" s="262">
        <f>('(Tables)'!B410*Engage!S178+'(Tables)'!B411*Engage!S182)/2+Engage!S258</f>
        <v>0</v>
      </c>
      <c r="Y188" s="217">
        <f t="shared" ref="Y188:Y193" si="131">SUM(V188:X188)</f>
        <v>0</v>
      </c>
    </row>
    <row r="189" spans="1:25" ht="12.75" hidden="1" customHeight="1" outlineLevel="1" x14ac:dyDescent="0.2">
      <c r="A189" s="198" t="str">
        <f>"         "&amp;Labels!B318</f>
        <v xml:space="preserve">         Channels 2</v>
      </c>
      <c r="B189" s="262">
        <f>('(Tables)'!B410*Engage!B178+'(Tables)'!B411*Engage!B182)/2+Engage!B259</f>
        <v>0</v>
      </c>
      <c r="C189" s="262">
        <f>('(Tables)'!B410*Engage!C178+'(Tables)'!B411*Engage!C182)/2+Engage!C259</f>
        <v>0</v>
      </c>
      <c r="D189" s="262">
        <f>('(Tables)'!B410*Engage!D178+'(Tables)'!B411*Engage!D182)/2+Engage!D259</f>
        <v>137.5</v>
      </c>
      <c r="E189" s="217">
        <f t="shared" si="126"/>
        <v>137.5</v>
      </c>
      <c r="F189" s="262">
        <f>('(Tables)'!B410*Engage!E178+'(Tables)'!B411*Engage!E182)/2+Engage!E259</f>
        <v>137.5</v>
      </c>
      <c r="G189" s="262">
        <f>('(Tables)'!B410*Engage!F178+'(Tables)'!B411*Engage!F182)/2+Engage!F259</f>
        <v>0</v>
      </c>
      <c r="H189" s="262">
        <f>('(Tables)'!B410*Engage!G178+'(Tables)'!B411*Engage!G182)/2+Engage!G259</f>
        <v>100</v>
      </c>
      <c r="I189" s="217">
        <f t="shared" si="127"/>
        <v>237.5</v>
      </c>
      <c r="J189" s="262">
        <f>('(Tables)'!B410*Engage!H178+'(Tables)'!B411*Engage!H182)/2+Engage!H259</f>
        <v>100</v>
      </c>
      <c r="K189" s="262">
        <f>('(Tables)'!B410*Engage!I178+'(Tables)'!B411*Engage!I182)/2+Engage!I259</f>
        <v>100</v>
      </c>
      <c r="L189" s="262">
        <f>('(Tables)'!B410*Engage!J178+'(Tables)'!B411*Engage!J182)/2+Engage!J259</f>
        <v>0</v>
      </c>
      <c r="M189" s="217">
        <f t="shared" si="128"/>
        <v>200</v>
      </c>
      <c r="N189" s="262">
        <f>('(Tables)'!B410*Engage!K178+'(Tables)'!B411*Engage!K182)/2+Engage!K259</f>
        <v>0</v>
      </c>
      <c r="O189" s="262">
        <f>('(Tables)'!B410*Engage!L178+'(Tables)'!B411*Engage!L182)/2+Engage!L259</f>
        <v>0</v>
      </c>
      <c r="P189" s="262">
        <f>('(Tables)'!B410*Engage!M178+'(Tables)'!B411*Engage!M182)/2+Engage!M259</f>
        <v>0</v>
      </c>
      <c r="Q189" s="217">
        <f t="shared" si="129"/>
        <v>0</v>
      </c>
      <c r="R189" s="262">
        <f>('(Tables)'!B410*Engage!N178+'(Tables)'!B411*Engage!N182)/2+Engage!N259</f>
        <v>0</v>
      </c>
      <c r="S189" s="262">
        <f>('(Tables)'!B410*Engage!O178+'(Tables)'!B411*Engage!O182)/2+Engage!O259</f>
        <v>0</v>
      </c>
      <c r="T189" s="262">
        <f>('(Tables)'!B410*Engage!P178+'(Tables)'!B411*Engage!P182)/2+Engage!P259</f>
        <v>0</v>
      </c>
      <c r="U189" s="217">
        <f t="shared" si="130"/>
        <v>0</v>
      </c>
      <c r="V189" s="262">
        <f>('(Tables)'!B410*Engage!Q178+'(Tables)'!B411*Engage!Q182)/2+Engage!Q259</f>
        <v>0</v>
      </c>
      <c r="W189" s="262">
        <f>('(Tables)'!B410*Engage!R178+'(Tables)'!B411*Engage!R182)/2+Engage!R259</f>
        <v>0</v>
      </c>
      <c r="X189" s="262">
        <f>('(Tables)'!B410*Engage!S178+'(Tables)'!B411*Engage!S182)/2+Engage!S259</f>
        <v>0</v>
      </c>
      <c r="Y189" s="217">
        <f t="shared" si="131"/>
        <v>0</v>
      </c>
    </row>
    <row r="190" spans="1:25" ht="12.75" hidden="1" customHeight="1" outlineLevel="1" x14ac:dyDescent="0.2">
      <c r="A190" s="198" t="str">
        <f>"         "&amp;Labels!C316</f>
        <v xml:space="preserve">         Total</v>
      </c>
      <c r="B190" s="237">
        <f>SUM(B188:B189)</f>
        <v>0</v>
      </c>
      <c r="C190" s="237">
        <f>SUM(C188:C189)</f>
        <v>0</v>
      </c>
      <c r="D190" s="237">
        <f>SUM(D188:D189)</f>
        <v>275</v>
      </c>
      <c r="E190" s="238">
        <f t="shared" si="126"/>
        <v>275</v>
      </c>
      <c r="F190" s="237">
        <f>SUM(F188:F189)</f>
        <v>275</v>
      </c>
      <c r="G190" s="237">
        <f>SUM(G188:G189)</f>
        <v>0</v>
      </c>
      <c r="H190" s="237">
        <f>SUM(H188:H189)</f>
        <v>200</v>
      </c>
      <c r="I190" s="238">
        <f t="shared" si="127"/>
        <v>475</v>
      </c>
      <c r="J190" s="237">
        <f>SUM(J188:J189)</f>
        <v>200</v>
      </c>
      <c r="K190" s="237">
        <f>SUM(K188:K189)</f>
        <v>200</v>
      </c>
      <c r="L190" s="237">
        <f>SUM(L188:L189)</f>
        <v>0</v>
      </c>
      <c r="M190" s="238">
        <f t="shared" si="128"/>
        <v>400</v>
      </c>
      <c r="N190" s="237">
        <f>SUM(N188:N189)</f>
        <v>0</v>
      </c>
      <c r="O190" s="237">
        <f>SUM(O188:O189)</f>
        <v>0</v>
      </c>
      <c r="P190" s="237">
        <f>SUM(P188:P189)</f>
        <v>0</v>
      </c>
      <c r="Q190" s="238">
        <f t="shared" si="129"/>
        <v>0</v>
      </c>
      <c r="R190" s="237">
        <f>SUM(R188:R189)</f>
        <v>0</v>
      </c>
      <c r="S190" s="237">
        <f>SUM(S188:S189)</f>
        <v>0</v>
      </c>
      <c r="T190" s="237">
        <f>SUM(T188:T189)</f>
        <v>0</v>
      </c>
      <c r="U190" s="238">
        <f t="shared" si="130"/>
        <v>0</v>
      </c>
      <c r="V190" s="237">
        <f>SUM(V188:V189)</f>
        <v>0</v>
      </c>
      <c r="W190" s="237">
        <f>SUM(W188:W189)</f>
        <v>0</v>
      </c>
      <c r="X190" s="237">
        <f>SUM(X188:X189)</f>
        <v>0</v>
      </c>
      <c r="Y190" s="238">
        <f t="shared" si="131"/>
        <v>0</v>
      </c>
    </row>
    <row r="191" spans="1:25" ht="12.75" hidden="1" customHeight="1" outlineLevel="1" x14ac:dyDescent="0.2">
      <c r="A191" s="188" t="str">
        <f>"      "&amp;Labels!C384</f>
        <v xml:space="preserve">      Total</v>
      </c>
      <c r="B191" s="166">
        <f>SUM(B186,B190)</f>
        <v>0</v>
      </c>
      <c r="C191" s="166">
        <f>SUM(C186,C190)</f>
        <v>0</v>
      </c>
      <c r="D191" s="166">
        <f>SUM(D186,D190)</f>
        <v>550</v>
      </c>
      <c r="E191" s="225">
        <f t="shared" si="126"/>
        <v>550</v>
      </c>
      <c r="F191" s="166">
        <f>SUM(F186,F190)</f>
        <v>550</v>
      </c>
      <c r="G191" s="166">
        <f>SUM(G186,G190)</f>
        <v>0</v>
      </c>
      <c r="H191" s="166">
        <f>SUM(H186,H190)</f>
        <v>400</v>
      </c>
      <c r="I191" s="225">
        <f t="shared" si="127"/>
        <v>950</v>
      </c>
      <c r="J191" s="166">
        <f>SUM(J186,J190)</f>
        <v>400</v>
      </c>
      <c r="K191" s="166">
        <f>SUM(K186,K190)</f>
        <v>400</v>
      </c>
      <c r="L191" s="166">
        <f>SUM(L186,L190)</f>
        <v>0</v>
      </c>
      <c r="M191" s="225">
        <f t="shared" si="128"/>
        <v>800</v>
      </c>
      <c r="N191" s="166">
        <f>SUM(N186,N190)</f>
        <v>0</v>
      </c>
      <c r="O191" s="166">
        <f>SUM(O186,O190)</f>
        <v>0</v>
      </c>
      <c r="P191" s="166">
        <f>SUM(P186,P190)</f>
        <v>0</v>
      </c>
      <c r="Q191" s="225">
        <f t="shared" si="129"/>
        <v>0</v>
      </c>
      <c r="R191" s="166">
        <f>SUM(R186,R190)</f>
        <v>0</v>
      </c>
      <c r="S191" s="166">
        <f>SUM(S186,S190)</f>
        <v>0</v>
      </c>
      <c r="T191" s="166">
        <f>SUM(T186,T190)</f>
        <v>0</v>
      </c>
      <c r="U191" s="225">
        <f t="shared" si="130"/>
        <v>0</v>
      </c>
      <c r="V191" s="166">
        <f>SUM(V186,V190)</f>
        <v>0</v>
      </c>
      <c r="W191" s="166">
        <f>SUM(W186,W190)</f>
        <v>0</v>
      </c>
      <c r="X191" s="166">
        <f>SUM(X186,X190)</f>
        <v>0</v>
      </c>
      <c r="Y191" s="225">
        <f t="shared" si="131"/>
        <v>0</v>
      </c>
    </row>
    <row r="192" spans="1:25" ht="12.75" hidden="1" customHeight="1" outlineLevel="1" x14ac:dyDescent="0.2">
      <c r="A192" s="198" t="str">
        <f>"         "&amp;Labels!B317</f>
        <v xml:space="preserve">         Channels 1</v>
      </c>
      <c r="B192" s="262">
        <f t="shared" ref="B192:D194" si="132">SUM(B184,B188)</f>
        <v>0</v>
      </c>
      <c r="C192" s="262">
        <f t="shared" si="132"/>
        <v>0</v>
      </c>
      <c r="D192" s="262">
        <f t="shared" si="132"/>
        <v>275</v>
      </c>
      <c r="E192" s="217">
        <f t="shared" si="126"/>
        <v>275</v>
      </c>
      <c r="F192" s="262">
        <f t="shared" ref="F192:H194" si="133">SUM(F184,F188)</f>
        <v>275</v>
      </c>
      <c r="G192" s="262">
        <f t="shared" si="133"/>
        <v>0</v>
      </c>
      <c r="H192" s="262">
        <f t="shared" si="133"/>
        <v>200</v>
      </c>
      <c r="I192" s="217">
        <f t="shared" si="127"/>
        <v>475</v>
      </c>
      <c r="J192" s="262">
        <f t="shared" ref="J192:L194" si="134">SUM(J184,J188)</f>
        <v>200</v>
      </c>
      <c r="K192" s="262">
        <f t="shared" si="134"/>
        <v>200</v>
      </c>
      <c r="L192" s="262">
        <f t="shared" si="134"/>
        <v>0</v>
      </c>
      <c r="M192" s="217">
        <f t="shared" si="128"/>
        <v>400</v>
      </c>
      <c r="N192" s="262">
        <f t="shared" ref="N192:P194" si="135">SUM(N184,N188)</f>
        <v>0</v>
      </c>
      <c r="O192" s="262">
        <f t="shared" si="135"/>
        <v>0</v>
      </c>
      <c r="P192" s="262">
        <f t="shared" si="135"/>
        <v>0</v>
      </c>
      <c r="Q192" s="217">
        <f t="shared" si="129"/>
        <v>0</v>
      </c>
      <c r="R192" s="262">
        <f t="shared" ref="R192:T194" si="136">SUM(R184,R188)</f>
        <v>0</v>
      </c>
      <c r="S192" s="262">
        <f t="shared" si="136"/>
        <v>0</v>
      </c>
      <c r="T192" s="262">
        <f t="shared" si="136"/>
        <v>0</v>
      </c>
      <c r="U192" s="217">
        <f t="shared" si="130"/>
        <v>0</v>
      </c>
      <c r="V192" s="262">
        <f t="shared" ref="V192:X194" si="137">SUM(V184,V188)</f>
        <v>0</v>
      </c>
      <c r="W192" s="262">
        <f t="shared" si="137"/>
        <v>0</v>
      </c>
      <c r="X192" s="262">
        <f t="shared" si="137"/>
        <v>0</v>
      </c>
      <c r="Y192" s="217">
        <f t="shared" si="131"/>
        <v>0</v>
      </c>
    </row>
    <row r="193" spans="1:25" ht="12.75" hidden="1" customHeight="1" outlineLevel="1" x14ac:dyDescent="0.2">
      <c r="A193" s="198" t="str">
        <f>"         "&amp;Labels!B318</f>
        <v xml:space="preserve">         Channels 2</v>
      </c>
      <c r="B193" s="262">
        <f t="shared" si="132"/>
        <v>0</v>
      </c>
      <c r="C193" s="262">
        <f t="shared" si="132"/>
        <v>0</v>
      </c>
      <c r="D193" s="262">
        <f t="shared" si="132"/>
        <v>275</v>
      </c>
      <c r="E193" s="217">
        <f t="shared" si="126"/>
        <v>275</v>
      </c>
      <c r="F193" s="262">
        <f t="shared" si="133"/>
        <v>275</v>
      </c>
      <c r="G193" s="262">
        <f t="shared" si="133"/>
        <v>0</v>
      </c>
      <c r="H193" s="262">
        <f t="shared" si="133"/>
        <v>200</v>
      </c>
      <c r="I193" s="217">
        <f t="shared" si="127"/>
        <v>475</v>
      </c>
      <c r="J193" s="262">
        <f t="shared" si="134"/>
        <v>200</v>
      </c>
      <c r="K193" s="262">
        <f t="shared" si="134"/>
        <v>200</v>
      </c>
      <c r="L193" s="262">
        <f t="shared" si="134"/>
        <v>0</v>
      </c>
      <c r="M193" s="217">
        <f t="shared" si="128"/>
        <v>400</v>
      </c>
      <c r="N193" s="262">
        <f t="shared" si="135"/>
        <v>0</v>
      </c>
      <c r="O193" s="262">
        <f t="shared" si="135"/>
        <v>0</v>
      </c>
      <c r="P193" s="262">
        <f t="shared" si="135"/>
        <v>0</v>
      </c>
      <c r="Q193" s="217">
        <f t="shared" si="129"/>
        <v>0</v>
      </c>
      <c r="R193" s="262">
        <f t="shared" si="136"/>
        <v>0</v>
      </c>
      <c r="S193" s="262">
        <f t="shared" si="136"/>
        <v>0</v>
      </c>
      <c r="T193" s="262">
        <f t="shared" si="136"/>
        <v>0</v>
      </c>
      <c r="U193" s="217">
        <f t="shared" si="130"/>
        <v>0</v>
      </c>
      <c r="V193" s="262">
        <f t="shared" si="137"/>
        <v>0</v>
      </c>
      <c r="W193" s="262">
        <f t="shared" si="137"/>
        <v>0</v>
      </c>
      <c r="X193" s="262">
        <f t="shared" si="137"/>
        <v>0</v>
      </c>
      <c r="Y193" s="217">
        <f t="shared" si="131"/>
        <v>0</v>
      </c>
    </row>
    <row r="194" spans="1:25" ht="12.75" hidden="1" customHeight="1" outlineLevel="1" x14ac:dyDescent="0.2">
      <c r="A194" s="198" t="str">
        <f>"         "&amp;Labels!C316</f>
        <v xml:space="preserve">         Total</v>
      </c>
      <c r="B194" s="237">
        <f t="shared" si="132"/>
        <v>0</v>
      </c>
      <c r="C194" s="237">
        <f t="shared" si="132"/>
        <v>0</v>
      </c>
      <c r="D194" s="237">
        <f t="shared" si="132"/>
        <v>550</v>
      </c>
      <c r="E194" s="238">
        <f>SUM(B191:D191)</f>
        <v>550</v>
      </c>
      <c r="F194" s="237">
        <f t="shared" si="133"/>
        <v>550</v>
      </c>
      <c r="G194" s="237">
        <f t="shared" si="133"/>
        <v>0</v>
      </c>
      <c r="H194" s="237">
        <f t="shared" si="133"/>
        <v>400</v>
      </c>
      <c r="I194" s="238">
        <f>SUM(F191:H191)</f>
        <v>950</v>
      </c>
      <c r="J194" s="237">
        <f t="shared" si="134"/>
        <v>400</v>
      </c>
      <c r="K194" s="237">
        <f t="shared" si="134"/>
        <v>400</v>
      </c>
      <c r="L194" s="237">
        <f t="shared" si="134"/>
        <v>0</v>
      </c>
      <c r="M194" s="238">
        <f>SUM(J191:L191)</f>
        <v>800</v>
      </c>
      <c r="N194" s="237">
        <f t="shared" si="135"/>
        <v>0</v>
      </c>
      <c r="O194" s="237">
        <f t="shared" si="135"/>
        <v>0</v>
      </c>
      <c r="P194" s="237">
        <f t="shared" si="135"/>
        <v>0</v>
      </c>
      <c r="Q194" s="238">
        <f>SUM(N191:P191)</f>
        <v>0</v>
      </c>
      <c r="R194" s="237">
        <f t="shared" si="136"/>
        <v>0</v>
      </c>
      <c r="S194" s="237">
        <f t="shared" si="136"/>
        <v>0</v>
      </c>
      <c r="T194" s="237">
        <f t="shared" si="136"/>
        <v>0</v>
      </c>
      <c r="U194" s="238">
        <f>SUM(R191:T191)</f>
        <v>0</v>
      </c>
      <c r="V194" s="237">
        <f t="shared" si="137"/>
        <v>0</v>
      </c>
      <c r="W194" s="237">
        <f t="shared" si="137"/>
        <v>0</v>
      </c>
      <c r="X194" s="237">
        <f t="shared" si="137"/>
        <v>0</v>
      </c>
      <c r="Y194" s="238">
        <f>SUM(V191:X191)</f>
        <v>0</v>
      </c>
    </row>
    <row r="195" spans="1:25" ht="12.75" hidden="1" customHeight="1" outlineLevel="1" x14ac:dyDescent="0.2">
      <c r="A195" s="188" t="str">
        <f>"   "&amp;Labels!B382</f>
        <v xml:space="preserve">   Practice 2</v>
      </c>
      <c r="B195" s="166"/>
      <c r="C195" s="166"/>
      <c r="D195" s="166"/>
      <c r="E195" s="225"/>
      <c r="F195" s="166"/>
      <c r="G195" s="166"/>
      <c r="H195" s="166"/>
      <c r="I195" s="225"/>
      <c r="J195" s="166"/>
      <c r="K195" s="166"/>
      <c r="L195" s="166"/>
      <c r="M195" s="225"/>
      <c r="N195" s="166"/>
      <c r="O195" s="166"/>
      <c r="P195" s="166"/>
      <c r="Q195" s="225"/>
      <c r="R195" s="166"/>
      <c r="S195" s="166"/>
      <c r="T195" s="166"/>
      <c r="U195" s="225"/>
      <c r="V195" s="166"/>
      <c r="W195" s="166"/>
      <c r="X195" s="166"/>
      <c r="Y195" s="225"/>
    </row>
    <row r="196" spans="1:25" ht="12.75" hidden="1" customHeight="1" outlineLevel="1" x14ac:dyDescent="0.2">
      <c r="A196" s="198" t="str">
        <f>"      "&amp;Labels!B385</f>
        <v xml:space="preserve">      Prof Level 1</v>
      </c>
      <c r="B196" s="237"/>
      <c r="C196" s="237"/>
      <c r="D196" s="237"/>
      <c r="E196" s="238"/>
      <c r="F196" s="237"/>
      <c r="G196" s="237"/>
      <c r="H196" s="237"/>
      <c r="I196" s="238"/>
      <c r="J196" s="237"/>
      <c r="K196" s="237"/>
      <c r="L196" s="237"/>
      <c r="M196" s="238"/>
      <c r="N196" s="237"/>
      <c r="O196" s="237"/>
      <c r="P196" s="237"/>
      <c r="Q196" s="238"/>
      <c r="R196" s="237"/>
      <c r="S196" s="237"/>
      <c r="T196" s="237"/>
      <c r="U196" s="238"/>
      <c r="V196" s="237"/>
      <c r="W196" s="237"/>
      <c r="X196" s="237"/>
      <c r="Y196" s="238"/>
    </row>
    <row r="197" spans="1:25" ht="12.75" hidden="1" customHeight="1" outlineLevel="1" x14ac:dyDescent="0.2">
      <c r="A197" s="198" t="str">
        <f>"         "&amp;Labels!B317</f>
        <v xml:space="preserve">         Channels 1</v>
      </c>
      <c r="B197" s="262">
        <f>('(Tables)'!C410*Engage!B177+'(Tables)'!C411*Engage!B181)/2+Engage!B267</f>
        <v>0</v>
      </c>
      <c r="C197" s="262">
        <f>('(Tables)'!C410*Engage!C177+'(Tables)'!C411*Engage!C181)/2+Engage!C267</f>
        <v>0</v>
      </c>
      <c r="D197" s="262">
        <f>('(Tables)'!C410*Engage!D177+'(Tables)'!C411*Engage!D181)/2+Engage!D267</f>
        <v>0</v>
      </c>
      <c r="E197" s="217">
        <f>SUM(B197:D197)</f>
        <v>0</v>
      </c>
      <c r="F197" s="262">
        <f>('(Tables)'!C410*Engage!E177+'(Tables)'!C411*Engage!E181)/2+Engage!E267</f>
        <v>0</v>
      </c>
      <c r="G197" s="262">
        <f>('(Tables)'!C410*Engage!F177+'(Tables)'!C411*Engage!F181)/2+Engage!F267</f>
        <v>0</v>
      </c>
      <c r="H197" s="262">
        <f>('(Tables)'!C410*Engage!G177+'(Tables)'!C411*Engage!G181)/2+Engage!G267</f>
        <v>0</v>
      </c>
      <c r="I197" s="217">
        <f>SUM(F197:H197)</f>
        <v>0</v>
      </c>
      <c r="J197" s="262">
        <f>('(Tables)'!C410*Engage!H177+'(Tables)'!C411*Engage!H181)/2+Engage!H267</f>
        <v>0</v>
      </c>
      <c r="K197" s="262">
        <f>('(Tables)'!C410*Engage!I177+'(Tables)'!C411*Engage!I181)/2+Engage!I267</f>
        <v>0</v>
      </c>
      <c r="L197" s="262">
        <f>('(Tables)'!C410*Engage!J177+'(Tables)'!C411*Engage!J181)/2+Engage!J267</f>
        <v>0</v>
      </c>
      <c r="M197" s="217">
        <f>SUM(J197:L197)</f>
        <v>0</v>
      </c>
      <c r="N197" s="262">
        <f>('(Tables)'!C410*Engage!K177+'(Tables)'!C411*Engage!K181)/2+Engage!K267</f>
        <v>0</v>
      </c>
      <c r="O197" s="262">
        <f>('(Tables)'!C410*Engage!L177+'(Tables)'!C411*Engage!L181)/2+Engage!L267</f>
        <v>0</v>
      </c>
      <c r="P197" s="262">
        <f>('(Tables)'!C410*Engage!M177+'(Tables)'!C411*Engage!M181)/2+Engage!M267</f>
        <v>0</v>
      </c>
      <c r="Q197" s="217">
        <f>SUM(N197:P197)</f>
        <v>0</v>
      </c>
      <c r="R197" s="262">
        <f>('(Tables)'!C410*Engage!N177+'(Tables)'!C411*Engage!N181)/2+Engage!N267</f>
        <v>0</v>
      </c>
      <c r="S197" s="262">
        <f>('(Tables)'!C410*Engage!O177+'(Tables)'!C411*Engage!O181)/2+Engage!O267</f>
        <v>0</v>
      </c>
      <c r="T197" s="262">
        <f>('(Tables)'!C410*Engage!P177+'(Tables)'!C411*Engage!P181)/2+Engage!P267</f>
        <v>0</v>
      </c>
      <c r="U197" s="217">
        <f>SUM(R197:T197)</f>
        <v>0</v>
      </c>
      <c r="V197" s="262">
        <f>('(Tables)'!C410*Engage!Q177+'(Tables)'!C411*Engage!Q181)/2+Engage!Q267</f>
        <v>0</v>
      </c>
      <c r="W197" s="262">
        <f>('(Tables)'!C410*Engage!R177+'(Tables)'!C411*Engage!R181)/2+Engage!R267</f>
        <v>0</v>
      </c>
      <c r="X197" s="262">
        <f>('(Tables)'!C410*Engage!S177+'(Tables)'!C411*Engage!S181)/2+Engage!S267</f>
        <v>0</v>
      </c>
      <c r="Y197" s="217">
        <f>SUM(V197:X197)</f>
        <v>0</v>
      </c>
    </row>
    <row r="198" spans="1:25" ht="12.75" hidden="1" customHeight="1" outlineLevel="1" x14ac:dyDescent="0.2">
      <c r="A198" s="198" t="str">
        <f>"         "&amp;Labels!B318</f>
        <v xml:space="preserve">         Channels 2</v>
      </c>
      <c r="B198" s="262">
        <f>('(Tables)'!C410*Engage!B177+'(Tables)'!C411*Engage!B181)/2+Engage!B268</f>
        <v>0</v>
      </c>
      <c r="C198" s="262">
        <f>('(Tables)'!C410*Engage!C177+'(Tables)'!C411*Engage!C181)/2+Engage!C268</f>
        <v>0</v>
      </c>
      <c r="D198" s="262">
        <f>('(Tables)'!C410*Engage!D177+'(Tables)'!C411*Engage!D181)/2+Engage!D268</f>
        <v>0</v>
      </c>
      <c r="E198" s="217">
        <f>SUM(B198:D198)</f>
        <v>0</v>
      </c>
      <c r="F198" s="262">
        <f>('(Tables)'!C410*Engage!E177+'(Tables)'!C411*Engage!E181)/2+Engage!E268</f>
        <v>0</v>
      </c>
      <c r="G198" s="262">
        <f>('(Tables)'!C410*Engage!F177+'(Tables)'!C411*Engage!F181)/2+Engage!F268</f>
        <v>0</v>
      </c>
      <c r="H198" s="262">
        <f>('(Tables)'!C410*Engage!G177+'(Tables)'!C411*Engage!G181)/2+Engage!G268</f>
        <v>0</v>
      </c>
      <c r="I198" s="217">
        <f>SUM(F198:H198)</f>
        <v>0</v>
      </c>
      <c r="J198" s="262">
        <f>('(Tables)'!C410*Engage!H177+'(Tables)'!C411*Engage!H181)/2+Engage!H268</f>
        <v>0</v>
      </c>
      <c r="K198" s="262">
        <f>('(Tables)'!C410*Engage!I177+'(Tables)'!C411*Engage!I181)/2+Engage!I268</f>
        <v>0</v>
      </c>
      <c r="L198" s="262">
        <f>('(Tables)'!C410*Engage!J177+'(Tables)'!C411*Engage!J181)/2+Engage!J268</f>
        <v>0</v>
      </c>
      <c r="M198" s="217">
        <f>SUM(J198:L198)</f>
        <v>0</v>
      </c>
      <c r="N198" s="262">
        <f>('(Tables)'!C410*Engage!K177+'(Tables)'!C411*Engage!K181)/2+Engage!K268</f>
        <v>0</v>
      </c>
      <c r="O198" s="262">
        <f>('(Tables)'!C410*Engage!L177+'(Tables)'!C411*Engage!L181)/2+Engage!L268</f>
        <v>0</v>
      </c>
      <c r="P198" s="262">
        <f>('(Tables)'!C410*Engage!M177+'(Tables)'!C411*Engage!M181)/2+Engage!M268</f>
        <v>0</v>
      </c>
      <c r="Q198" s="217">
        <f>SUM(N198:P198)</f>
        <v>0</v>
      </c>
      <c r="R198" s="262">
        <f>('(Tables)'!C410*Engage!N177+'(Tables)'!C411*Engage!N181)/2+Engage!N268</f>
        <v>0</v>
      </c>
      <c r="S198" s="262">
        <f>('(Tables)'!C410*Engage!O177+'(Tables)'!C411*Engage!O181)/2+Engage!O268</f>
        <v>0</v>
      </c>
      <c r="T198" s="262">
        <f>('(Tables)'!C410*Engage!P177+'(Tables)'!C411*Engage!P181)/2+Engage!P268</f>
        <v>0</v>
      </c>
      <c r="U198" s="217">
        <f>SUM(R198:T198)</f>
        <v>0</v>
      </c>
      <c r="V198" s="262">
        <f>('(Tables)'!C410*Engage!Q177+'(Tables)'!C411*Engage!Q181)/2+Engage!Q268</f>
        <v>0</v>
      </c>
      <c r="W198" s="262">
        <f>('(Tables)'!C410*Engage!R177+'(Tables)'!C411*Engage!R181)/2+Engage!R268</f>
        <v>0</v>
      </c>
      <c r="X198" s="262">
        <f>('(Tables)'!C410*Engage!S177+'(Tables)'!C411*Engage!S181)/2+Engage!S268</f>
        <v>0</v>
      </c>
      <c r="Y198" s="217">
        <f>SUM(V198:X198)</f>
        <v>0</v>
      </c>
    </row>
    <row r="199" spans="1:25" ht="12.75" hidden="1" customHeight="1" outlineLevel="1" x14ac:dyDescent="0.2">
      <c r="A199" s="198" t="str">
        <f>"         "&amp;Labels!C316</f>
        <v xml:space="preserve">         Total</v>
      </c>
      <c r="B199" s="237">
        <f>SUM(B197:B198)</f>
        <v>0</v>
      </c>
      <c r="C199" s="237">
        <f>SUM(C197:C198)</f>
        <v>0</v>
      </c>
      <c r="D199" s="237">
        <f>SUM(D197:D198)</f>
        <v>0</v>
      </c>
      <c r="E199" s="238">
        <f>SUM(B199:D199)</f>
        <v>0</v>
      </c>
      <c r="F199" s="237">
        <f>SUM(F197:F198)</f>
        <v>0</v>
      </c>
      <c r="G199" s="237">
        <f>SUM(G197:G198)</f>
        <v>0</v>
      </c>
      <c r="H199" s="237">
        <f>SUM(H197:H198)</f>
        <v>0</v>
      </c>
      <c r="I199" s="238">
        <f>SUM(F199:H199)</f>
        <v>0</v>
      </c>
      <c r="J199" s="237">
        <f>SUM(J197:J198)</f>
        <v>0</v>
      </c>
      <c r="K199" s="237">
        <f>SUM(K197:K198)</f>
        <v>0</v>
      </c>
      <c r="L199" s="237">
        <f>SUM(L197:L198)</f>
        <v>0</v>
      </c>
      <c r="M199" s="238">
        <f>SUM(J199:L199)</f>
        <v>0</v>
      </c>
      <c r="N199" s="237">
        <f>SUM(N197:N198)</f>
        <v>0</v>
      </c>
      <c r="O199" s="237">
        <f>SUM(O197:O198)</f>
        <v>0</v>
      </c>
      <c r="P199" s="237">
        <f>SUM(P197:P198)</f>
        <v>0</v>
      </c>
      <c r="Q199" s="238">
        <f>SUM(N199:P199)</f>
        <v>0</v>
      </c>
      <c r="R199" s="237">
        <f>SUM(R197:R198)</f>
        <v>0</v>
      </c>
      <c r="S199" s="237">
        <f>SUM(S197:S198)</f>
        <v>0</v>
      </c>
      <c r="T199" s="237">
        <f>SUM(T197:T198)</f>
        <v>0</v>
      </c>
      <c r="U199" s="238">
        <f>SUM(R199:T199)</f>
        <v>0</v>
      </c>
      <c r="V199" s="237">
        <f>SUM(V197:V198)</f>
        <v>0</v>
      </c>
      <c r="W199" s="237">
        <f>SUM(W197:W198)</f>
        <v>0</v>
      </c>
      <c r="X199" s="237">
        <f>SUM(X197:X198)</f>
        <v>0</v>
      </c>
      <c r="Y199" s="238">
        <f>SUM(V199:X199)</f>
        <v>0</v>
      </c>
    </row>
    <row r="200" spans="1:25" ht="12.75" hidden="1" customHeight="1" outlineLevel="1" x14ac:dyDescent="0.2">
      <c r="A200" s="198" t="str">
        <f>"      "&amp;Labels!B386</f>
        <v xml:space="preserve">      Prof Level 2</v>
      </c>
      <c r="B200" s="237"/>
      <c r="C200" s="237"/>
      <c r="D200" s="237"/>
      <c r="E200" s="238"/>
      <c r="F200" s="237"/>
      <c r="G200" s="237"/>
      <c r="H200" s="237"/>
      <c r="I200" s="238"/>
      <c r="J200" s="237"/>
      <c r="K200" s="237"/>
      <c r="L200" s="237"/>
      <c r="M200" s="238"/>
      <c r="N200" s="237"/>
      <c r="O200" s="237"/>
      <c r="P200" s="237"/>
      <c r="Q200" s="238"/>
      <c r="R200" s="237"/>
      <c r="S200" s="237"/>
      <c r="T200" s="237"/>
      <c r="U200" s="238"/>
      <c r="V200" s="237"/>
      <c r="W200" s="237"/>
      <c r="X200" s="237"/>
      <c r="Y200" s="238"/>
    </row>
    <row r="201" spans="1:25" ht="12.75" hidden="1" customHeight="1" outlineLevel="1" x14ac:dyDescent="0.2">
      <c r="A201" s="198" t="str">
        <f>"         "&amp;Labels!B317</f>
        <v xml:space="preserve">         Channels 1</v>
      </c>
      <c r="B201" s="262">
        <f>('(Tables)'!C410*Engage!B178+'(Tables)'!C411*Engage!B182)/2+Engage!B271</f>
        <v>0</v>
      </c>
      <c r="C201" s="262">
        <f>('(Tables)'!C410*Engage!C178+'(Tables)'!C411*Engage!C182)/2+Engage!C271</f>
        <v>0</v>
      </c>
      <c r="D201" s="262">
        <f>('(Tables)'!C410*Engage!D178+'(Tables)'!C411*Engage!D182)/2+Engage!D271</f>
        <v>0</v>
      </c>
      <c r="E201" s="217">
        <f t="shared" ref="E201:E206" si="138">SUM(B201:D201)</f>
        <v>0</v>
      </c>
      <c r="F201" s="262">
        <f>('(Tables)'!C410*Engage!E178+'(Tables)'!C411*Engage!E182)/2+Engage!E271</f>
        <v>0</v>
      </c>
      <c r="G201" s="262">
        <f>('(Tables)'!C410*Engage!F178+'(Tables)'!C411*Engage!F182)/2+Engage!F271</f>
        <v>0</v>
      </c>
      <c r="H201" s="262">
        <f>('(Tables)'!C410*Engage!G178+'(Tables)'!C411*Engage!G182)/2+Engage!G271</f>
        <v>0</v>
      </c>
      <c r="I201" s="217">
        <f t="shared" ref="I201:I206" si="139">SUM(F201:H201)</f>
        <v>0</v>
      </c>
      <c r="J201" s="262">
        <f>('(Tables)'!C410*Engage!H178+'(Tables)'!C411*Engage!H182)/2+Engage!H271</f>
        <v>0</v>
      </c>
      <c r="K201" s="262">
        <f>('(Tables)'!C410*Engage!I178+'(Tables)'!C411*Engage!I182)/2+Engage!I271</f>
        <v>0</v>
      </c>
      <c r="L201" s="262">
        <f>('(Tables)'!C410*Engage!J178+'(Tables)'!C411*Engage!J182)/2+Engage!J271</f>
        <v>0</v>
      </c>
      <c r="M201" s="217">
        <f t="shared" ref="M201:M206" si="140">SUM(J201:L201)</f>
        <v>0</v>
      </c>
      <c r="N201" s="262">
        <f>('(Tables)'!C410*Engage!K178+'(Tables)'!C411*Engage!K182)/2+Engage!K271</f>
        <v>0</v>
      </c>
      <c r="O201" s="262">
        <f>('(Tables)'!C410*Engage!L178+'(Tables)'!C411*Engage!L182)/2+Engage!L271</f>
        <v>0</v>
      </c>
      <c r="P201" s="262">
        <f>('(Tables)'!C410*Engage!M178+'(Tables)'!C411*Engage!M182)/2+Engage!M271</f>
        <v>0</v>
      </c>
      <c r="Q201" s="217">
        <f t="shared" ref="Q201:Q206" si="141">SUM(N201:P201)</f>
        <v>0</v>
      </c>
      <c r="R201" s="262">
        <f>('(Tables)'!C410*Engage!N178+'(Tables)'!C411*Engage!N182)/2+Engage!N271</f>
        <v>0</v>
      </c>
      <c r="S201" s="262">
        <f>('(Tables)'!C410*Engage!O178+'(Tables)'!C411*Engage!O182)/2+Engage!O271</f>
        <v>0</v>
      </c>
      <c r="T201" s="262">
        <f>('(Tables)'!C410*Engage!P178+'(Tables)'!C411*Engage!P182)/2+Engage!P271</f>
        <v>0</v>
      </c>
      <c r="U201" s="217">
        <f t="shared" ref="U201:U206" si="142">SUM(R201:T201)</f>
        <v>0</v>
      </c>
      <c r="V201" s="262">
        <f>('(Tables)'!C410*Engage!Q178+'(Tables)'!C411*Engage!Q182)/2+Engage!Q271</f>
        <v>0</v>
      </c>
      <c r="W201" s="262">
        <f>('(Tables)'!C410*Engage!R178+'(Tables)'!C411*Engage!R182)/2+Engage!R271</f>
        <v>0</v>
      </c>
      <c r="X201" s="262">
        <f>('(Tables)'!C410*Engage!S178+'(Tables)'!C411*Engage!S182)/2+Engage!S271</f>
        <v>0</v>
      </c>
      <c r="Y201" s="217">
        <f t="shared" ref="Y201:Y206" si="143">SUM(V201:X201)</f>
        <v>0</v>
      </c>
    </row>
    <row r="202" spans="1:25" ht="12.75" hidden="1" customHeight="1" outlineLevel="1" x14ac:dyDescent="0.2">
      <c r="A202" s="198" t="str">
        <f>"         "&amp;Labels!B318</f>
        <v xml:space="preserve">         Channels 2</v>
      </c>
      <c r="B202" s="262">
        <f>('(Tables)'!C410*Engage!B178+'(Tables)'!C411*Engage!B182)/2+Engage!B272</f>
        <v>0</v>
      </c>
      <c r="C202" s="262">
        <f>('(Tables)'!C410*Engage!C178+'(Tables)'!C411*Engage!C182)/2+Engage!C272</f>
        <v>0</v>
      </c>
      <c r="D202" s="262">
        <f>('(Tables)'!C410*Engage!D178+'(Tables)'!C411*Engage!D182)/2+Engage!D272</f>
        <v>0</v>
      </c>
      <c r="E202" s="217">
        <f t="shared" si="138"/>
        <v>0</v>
      </c>
      <c r="F202" s="262">
        <f>('(Tables)'!C410*Engage!E178+'(Tables)'!C411*Engage!E182)/2+Engage!E272</f>
        <v>0</v>
      </c>
      <c r="G202" s="262">
        <f>('(Tables)'!C410*Engage!F178+'(Tables)'!C411*Engage!F182)/2+Engage!F272</f>
        <v>0</v>
      </c>
      <c r="H202" s="262">
        <f>('(Tables)'!C410*Engage!G178+'(Tables)'!C411*Engage!G182)/2+Engage!G272</f>
        <v>0</v>
      </c>
      <c r="I202" s="217">
        <f t="shared" si="139"/>
        <v>0</v>
      </c>
      <c r="J202" s="262">
        <f>('(Tables)'!C410*Engage!H178+'(Tables)'!C411*Engage!H182)/2+Engage!H272</f>
        <v>0</v>
      </c>
      <c r="K202" s="262">
        <f>('(Tables)'!C410*Engage!I178+'(Tables)'!C411*Engage!I182)/2+Engage!I272</f>
        <v>0</v>
      </c>
      <c r="L202" s="262">
        <f>('(Tables)'!C410*Engage!J178+'(Tables)'!C411*Engage!J182)/2+Engage!J272</f>
        <v>0</v>
      </c>
      <c r="M202" s="217">
        <f t="shared" si="140"/>
        <v>0</v>
      </c>
      <c r="N202" s="262">
        <f>('(Tables)'!C410*Engage!K178+'(Tables)'!C411*Engage!K182)/2+Engage!K272</f>
        <v>0</v>
      </c>
      <c r="O202" s="262">
        <f>('(Tables)'!C410*Engage!L178+'(Tables)'!C411*Engage!L182)/2+Engage!L272</f>
        <v>0</v>
      </c>
      <c r="P202" s="262">
        <f>('(Tables)'!C410*Engage!M178+'(Tables)'!C411*Engage!M182)/2+Engage!M272</f>
        <v>0</v>
      </c>
      <c r="Q202" s="217">
        <f t="shared" si="141"/>
        <v>0</v>
      </c>
      <c r="R202" s="262">
        <f>('(Tables)'!C410*Engage!N178+'(Tables)'!C411*Engage!N182)/2+Engage!N272</f>
        <v>0</v>
      </c>
      <c r="S202" s="262">
        <f>('(Tables)'!C410*Engage!O178+'(Tables)'!C411*Engage!O182)/2+Engage!O272</f>
        <v>0</v>
      </c>
      <c r="T202" s="262">
        <f>('(Tables)'!C410*Engage!P178+'(Tables)'!C411*Engage!P182)/2+Engage!P272</f>
        <v>0</v>
      </c>
      <c r="U202" s="217">
        <f t="shared" si="142"/>
        <v>0</v>
      </c>
      <c r="V202" s="262">
        <f>('(Tables)'!C410*Engage!Q178+'(Tables)'!C411*Engage!Q182)/2+Engage!Q272</f>
        <v>0</v>
      </c>
      <c r="W202" s="262">
        <f>('(Tables)'!C410*Engage!R178+'(Tables)'!C411*Engage!R182)/2+Engage!R272</f>
        <v>0</v>
      </c>
      <c r="X202" s="262">
        <f>('(Tables)'!C410*Engage!S178+'(Tables)'!C411*Engage!S182)/2+Engage!S272</f>
        <v>0</v>
      </c>
      <c r="Y202" s="217">
        <f t="shared" si="143"/>
        <v>0</v>
      </c>
    </row>
    <row r="203" spans="1:25" ht="12.75" hidden="1" customHeight="1" outlineLevel="1" x14ac:dyDescent="0.2">
      <c r="A203" s="198" t="str">
        <f>"         "&amp;Labels!C316</f>
        <v xml:space="preserve">         Total</v>
      </c>
      <c r="B203" s="237">
        <f>SUM(B201:B202)</f>
        <v>0</v>
      </c>
      <c r="C203" s="237">
        <f>SUM(C201:C202)</f>
        <v>0</v>
      </c>
      <c r="D203" s="237">
        <f>SUM(D201:D202)</f>
        <v>0</v>
      </c>
      <c r="E203" s="238">
        <f t="shared" si="138"/>
        <v>0</v>
      </c>
      <c r="F203" s="237">
        <f>SUM(F201:F202)</f>
        <v>0</v>
      </c>
      <c r="G203" s="237">
        <f>SUM(G201:G202)</f>
        <v>0</v>
      </c>
      <c r="H203" s="237">
        <f>SUM(H201:H202)</f>
        <v>0</v>
      </c>
      <c r="I203" s="238">
        <f t="shared" si="139"/>
        <v>0</v>
      </c>
      <c r="J203" s="237">
        <f>SUM(J201:J202)</f>
        <v>0</v>
      </c>
      <c r="K203" s="237">
        <f>SUM(K201:K202)</f>
        <v>0</v>
      </c>
      <c r="L203" s="237">
        <f>SUM(L201:L202)</f>
        <v>0</v>
      </c>
      <c r="M203" s="238">
        <f t="shared" si="140"/>
        <v>0</v>
      </c>
      <c r="N203" s="237">
        <f>SUM(N201:N202)</f>
        <v>0</v>
      </c>
      <c r="O203" s="237">
        <f>SUM(O201:O202)</f>
        <v>0</v>
      </c>
      <c r="P203" s="237">
        <f>SUM(P201:P202)</f>
        <v>0</v>
      </c>
      <c r="Q203" s="238">
        <f t="shared" si="141"/>
        <v>0</v>
      </c>
      <c r="R203" s="237">
        <f>SUM(R201:R202)</f>
        <v>0</v>
      </c>
      <c r="S203" s="237">
        <f>SUM(S201:S202)</f>
        <v>0</v>
      </c>
      <c r="T203" s="237">
        <f>SUM(T201:T202)</f>
        <v>0</v>
      </c>
      <c r="U203" s="238">
        <f t="shared" si="142"/>
        <v>0</v>
      </c>
      <c r="V203" s="237">
        <f>SUM(V201:V202)</f>
        <v>0</v>
      </c>
      <c r="W203" s="237">
        <f>SUM(W201:W202)</f>
        <v>0</v>
      </c>
      <c r="X203" s="237">
        <f>SUM(X201:X202)</f>
        <v>0</v>
      </c>
      <c r="Y203" s="238">
        <f t="shared" si="143"/>
        <v>0</v>
      </c>
    </row>
    <row r="204" spans="1:25" ht="12.75" hidden="1" customHeight="1" outlineLevel="1" x14ac:dyDescent="0.2">
      <c r="A204" s="188" t="str">
        <f>"      "&amp;Labels!C384</f>
        <v xml:space="preserve">      Total</v>
      </c>
      <c r="B204" s="166">
        <f>SUM(B199,B203)</f>
        <v>0</v>
      </c>
      <c r="C204" s="166">
        <f>SUM(C199,C203)</f>
        <v>0</v>
      </c>
      <c r="D204" s="166">
        <f>SUM(D199,D203)</f>
        <v>0</v>
      </c>
      <c r="E204" s="225">
        <f t="shared" si="138"/>
        <v>0</v>
      </c>
      <c r="F204" s="166">
        <f>SUM(F199,F203)</f>
        <v>0</v>
      </c>
      <c r="G204" s="166">
        <f>SUM(G199,G203)</f>
        <v>0</v>
      </c>
      <c r="H204" s="166">
        <f>SUM(H199,H203)</f>
        <v>0</v>
      </c>
      <c r="I204" s="225">
        <f t="shared" si="139"/>
        <v>0</v>
      </c>
      <c r="J204" s="166">
        <f>SUM(J199,J203)</f>
        <v>0</v>
      </c>
      <c r="K204" s="166">
        <f>SUM(K199,K203)</f>
        <v>0</v>
      </c>
      <c r="L204" s="166">
        <f>SUM(L199,L203)</f>
        <v>0</v>
      </c>
      <c r="M204" s="225">
        <f t="shared" si="140"/>
        <v>0</v>
      </c>
      <c r="N204" s="166">
        <f>SUM(N199,N203)</f>
        <v>0</v>
      </c>
      <c r="O204" s="166">
        <f>SUM(O199,O203)</f>
        <v>0</v>
      </c>
      <c r="P204" s="166">
        <f>SUM(P199,P203)</f>
        <v>0</v>
      </c>
      <c r="Q204" s="225">
        <f t="shared" si="141"/>
        <v>0</v>
      </c>
      <c r="R204" s="166">
        <f>SUM(R199,R203)</f>
        <v>0</v>
      </c>
      <c r="S204" s="166">
        <f>SUM(S199,S203)</f>
        <v>0</v>
      </c>
      <c r="T204" s="166">
        <f>SUM(T199,T203)</f>
        <v>0</v>
      </c>
      <c r="U204" s="225">
        <f t="shared" si="142"/>
        <v>0</v>
      </c>
      <c r="V204" s="166">
        <f>SUM(V199,V203)</f>
        <v>0</v>
      </c>
      <c r="W204" s="166">
        <f>SUM(W199,W203)</f>
        <v>0</v>
      </c>
      <c r="X204" s="166">
        <f>SUM(X199,X203)</f>
        <v>0</v>
      </c>
      <c r="Y204" s="225">
        <f t="shared" si="143"/>
        <v>0</v>
      </c>
    </row>
    <row r="205" spans="1:25" ht="12.75" hidden="1" customHeight="1" outlineLevel="1" x14ac:dyDescent="0.2">
      <c r="A205" s="198" t="str">
        <f>"         "&amp;Labels!B317</f>
        <v xml:space="preserve">         Channels 1</v>
      </c>
      <c r="B205" s="262">
        <f t="shared" ref="B205:D207" si="144">SUM(B197,B201)</f>
        <v>0</v>
      </c>
      <c r="C205" s="262">
        <f t="shared" si="144"/>
        <v>0</v>
      </c>
      <c r="D205" s="262">
        <f t="shared" si="144"/>
        <v>0</v>
      </c>
      <c r="E205" s="217">
        <f t="shared" si="138"/>
        <v>0</v>
      </c>
      <c r="F205" s="262">
        <f t="shared" ref="F205:H207" si="145">SUM(F197,F201)</f>
        <v>0</v>
      </c>
      <c r="G205" s="262">
        <f t="shared" si="145"/>
        <v>0</v>
      </c>
      <c r="H205" s="262">
        <f t="shared" si="145"/>
        <v>0</v>
      </c>
      <c r="I205" s="217">
        <f t="shared" si="139"/>
        <v>0</v>
      </c>
      <c r="J205" s="262">
        <f t="shared" ref="J205:L207" si="146">SUM(J197,J201)</f>
        <v>0</v>
      </c>
      <c r="K205" s="262">
        <f t="shared" si="146"/>
        <v>0</v>
      </c>
      <c r="L205" s="262">
        <f t="shared" si="146"/>
        <v>0</v>
      </c>
      <c r="M205" s="217">
        <f t="shared" si="140"/>
        <v>0</v>
      </c>
      <c r="N205" s="262">
        <f t="shared" ref="N205:P207" si="147">SUM(N197,N201)</f>
        <v>0</v>
      </c>
      <c r="O205" s="262">
        <f t="shared" si="147"/>
        <v>0</v>
      </c>
      <c r="P205" s="262">
        <f t="shared" si="147"/>
        <v>0</v>
      </c>
      <c r="Q205" s="217">
        <f t="shared" si="141"/>
        <v>0</v>
      </c>
      <c r="R205" s="262">
        <f t="shared" ref="R205:T207" si="148">SUM(R197,R201)</f>
        <v>0</v>
      </c>
      <c r="S205" s="262">
        <f t="shared" si="148"/>
        <v>0</v>
      </c>
      <c r="T205" s="262">
        <f t="shared" si="148"/>
        <v>0</v>
      </c>
      <c r="U205" s="217">
        <f t="shared" si="142"/>
        <v>0</v>
      </c>
      <c r="V205" s="262">
        <f t="shared" ref="V205:X207" si="149">SUM(V197,V201)</f>
        <v>0</v>
      </c>
      <c r="W205" s="262">
        <f t="shared" si="149"/>
        <v>0</v>
      </c>
      <c r="X205" s="262">
        <f t="shared" si="149"/>
        <v>0</v>
      </c>
      <c r="Y205" s="217">
        <f t="shared" si="143"/>
        <v>0</v>
      </c>
    </row>
    <row r="206" spans="1:25" ht="12.75" hidden="1" customHeight="1" outlineLevel="1" x14ac:dyDescent="0.2">
      <c r="A206" s="198" t="str">
        <f>"         "&amp;Labels!B318</f>
        <v xml:space="preserve">         Channels 2</v>
      </c>
      <c r="B206" s="262">
        <f t="shared" si="144"/>
        <v>0</v>
      </c>
      <c r="C206" s="262">
        <f t="shared" si="144"/>
        <v>0</v>
      </c>
      <c r="D206" s="262">
        <f t="shared" si="144"/>
        <v>0</v>
      </c>
      <c r="E206" s="217">
        <f t="shared" si="138"/>
        <v>0</v>
      </c>
      <c r="F206" s="262">
        <f t="shared" si="145"/>
        <v>0</v>
      </c>
      <c r="G206" s="262">
        <f t="shared" si="145"/>
        <v>0</v>
      </c>
      <c r="H206" s="262">
        <f t="shared" si="145"/>
        <v>0</v>
      </c>
      <c r="I206" s="217">
        <f t="shared" si="139"/>
        <v>0</v>
      </c>
      <c r="J206" s="262">
        <f t="shared" si="146"/>
        <v>0</v>
      </c>
      <c r="K206" s="262">
        <f t="shared" si="146"/>
        <v>0</v>
      </c>
      <c r="L206" s="262">
        <f t="shared" si="146"/>
        <v>0</v>
      </c>
      <c r="M206" s="217">
        <f t="shared" si="140"/>
        <v>0</v>
      </c>
      <c r="N206" s="262">
        <f t="shared" si="147"/>
        <v>0</v>
      </c>
      <c r="O206" s="262">
        <f t="shared" si="147"/>
        <v>0</v>
      </c>
      <c r="P206" s="262">
        <f t="shared" si="147"/>
        <v>0</v>
      </c>
      <c r="Q206" s="217">
        <f t="shared" si="141"/>
        <v>0</v>
      </c>
      <c r="R206" s="262">
        <f t="shared" si="148"/>
        <v>0</v>
      </c>
      <c r="S206" s="262">
        <f t="shared" si="148"/>
        <v>0</v>
      </c>
      <c r="T206" s="262">
        <f t="shared" si="148"/>
        <v>0</v>
      </c>
      <c r="U206" s="217">
        <f t="shared" si="142"/>
        <v>0</v>
      </c>
      <c r="V206" s="262">
        <f t="shared" si="149"/>
        <v>0</v>
      </c>
      <c r="W206" s="262">
        <f t="shared" si="149"/>
        <v>0</v>
      </c>
      <c r="X206" s="262">
        <f t="shared" si="149"/>
        <v>0</v>
      </c>
      <c r="Y206" s="217">
        <f t="shared" si="143"/>
        <v>0</v>
      </c>
    </row>
    <row r="207" spans="1:25" ht="12.75" hidden="1" customHeight="1" outlineLevel="1" x14ac:dyDescent="0.2">
      <c r="A207" s="198" t="str">
        <f>"         "&amp;Labels!C316</f>
        <v xml:space="preserve">         Total</v>
      </c>
      <c r="B207" s="237">
        <f t="shared" si="144"/>
        <v>0</v>
      </c>
      <c r="C207" s="237">
        <f t="shared" si="144"/>
        <v>0</v>
      </c>
      <c r="D207" s="237">
        <f t="shared" si="144"/>
        <v>0</v>
      </c>
      <c r="E207" s="238">
        <f>SUM(B204:D204)</f>
        <v>0</v>
      </c>
      <c r="F207" s="237">
        <f t="shared" si="145"/>
        <v>0</v>
      </c>
      <c r="G207" s="237">
        <f t="shared" si="145"/>
        <v>0</v>
      </c>
      <c r="H207" s="237">
        <f t="shared" si="145"/>
        <v>0</v>
      </c>
      <c r="I207" s="238">
        <f>SUM(F204:H204)</f>
        <v>0</v>
      </c>
      <c r="J207" s="237">
        <f t="shared" si="146"/>
        <v>0</v>
      </c>
      <c r="K207" s="237">
        <f t="shared" si="146"/>
        <v>0</v>
      </c>
      <c r="L207" s="237">
        <f t="shared" si="146"/>
        <v>0</v>
      </c>
      <c r="M207" s="238">
        <f>SUM(J204:L204)</f>
        <v>0</v>
      </c>
      <c r="N207" s="237">
        <f t="shared" si="147"/>
        <v>0</v>
      </c>
      <c r="O207" s="237">
        <f t="shared" si="147"/>
        <v>0</v>
      </c>
      <c r="P207" s="237">
        <f t="shared" si="147"/>
        <v>0</v>
      </c>
      <c r="Q207" s="238">
        <f>SUM(N204:P204)</f>
        <v>0</v>
      </c>
      <c r="R207" s="237">
        <f t="shared" si="148"/>
        <v>0</v>
      </c>
      <c r="S207" s="237">
        <f t="shared" si="148"/>
        <v>0</v>
      </c>
      <c r="T207" s="237">
        <f t="shared" si="148"/>
        <v>0</v>
      </c>
      <c r="U207" s="238">
        <f>SUM(R204:T204)</f>
        <v>0</v>
      </c>
      <c r="V207" s="237">
        <f t="shared" si="149"/>
        <v>0</v>
      </c>
      <c r="W207" s="237">
        <f t="shared" si="149"/>
        <v>0</v>
      </c>
      <c r="X207" s="237">
        <f t="shared" si="149"/>
        <v>0</v>
      </c>
      <c r="Y207" s="238">
        <f>SUM(V204:X204)</f>
        <v>0</v>
      </c>
    </row>
    <row r="208" spans="1:25" ht="12.75" hidden="1" customHeight="1" outlineLevel="1" x14ac:dyDescent="0.2">
      <c r="A208" s="191" t="str">
        <f>"   "&amp;Labels!C380</f>
        <v xml:space="preserve">   Total</v>
      </c>
      <c r="B208" s="216">
        <f>SUM(B191,B204)</f>
        <v>0</v>
      </c>
      <c r="C208" s="216">
        <f>SUM(C191,C204)</f>
        <v>0</v>
      </c>
      <c r="D208" s="216">
        <f>SUM(D191,D204)</f>
        <v>550</v>
      </c>
      <c r="E208" s="217">
        <f>SUM(B208:D208)</f>
        <v>550</v>
      </c>
      <c r="F208" s="216">
        <f>SUM(F191,F204)</f>
        <v>550</v>
      </c>
      <c r="G208" s="216">
        <f>SUM(G191,G204)</f>
        <v>0</v>
      </c>
      <c r="H208" s="216">
        <f>SUM(H191,H204)</f>
        <v>400</v>
      </c>
      <c r="I208" s="217">
        <f>SUM(F208:H208)</f>
        <v>950</v>
      </c>
      <c r="J208" s="216">
        <f>SUM(J191,J204)</f>
        <v>400</v>
      </c>
      <c r="K208" s="216">
        <f>SUM(K191,K204)</f>
        <v>400</v>
      </c>
      <c r="L208" s="216">
        <f>SUM(L191,L204)</f>
        <v>0</v>
      </c>
      <c r="M208" s="217">
        <f>SUM(J208:L208)</f>
        <v>800</v>
      </c>
      <c r="N208" s="216">
        <f>SUM(N191,N204)</f>
        <v>0</v>
      </c>
      <c r="O208" s="216">
        <f>SUM(O191,O204)</f>
        <v>0</v>
      </c>
      <c r="P208" s="216">
        <f>SUM(P191,P204)</f>
        <v>0</v>
      </c>
      <c r="Q208" s="217">
        <f>SUM(N208:P208)</f>
        <v>0</v>
      </c>
      <c r="R208" s="216">
        <f>SUM(R191,R204)</f>
        <v>0</v>
      </c>
      <c r="S208" s="216">
        <f>SUM(S191,S204)</f>
        <v>0</v>
      </c>
      <c r="T208" s="216">
        <f>SUM(T191,T204)</f>
        <v>0</v>
      </c>
      <c r="U208" s="217">
        <f>SUM(R208:T208)</f>
        <v>0</v>
      </c>
      <c r="V208" s="216">
        <f>SUM(V191,V204)</f>
        <v>0</v>
      </c>
      <c r="W208" s="216">
        <f>SUM(W191,W204)</f>
        <v>0</v>
      </c>
      <c r="X208" s="216">
        <f>SUM(X191,X204)</f>
        <v>0</v>
      </c>
      <c r="Y208" s="217">
        <f>SUM(V208:X208)</f>
        <v>0</v>
      </c>
    </row>
    <row r="209" spans="1:25" ht="12.75" hidden="1" customHeight="1" outlineLevel="1" x14ac:dyDescent="0.2">
      <c r="A209" s="198" t="str">
        <f>"      "&amp;Labels!B385</f>
        <v xml:space="preserve">      Prof Level 1</v>
      </c>
      <c r="B209" s="237"/>
      <c r="C209" s="237"/>
      <c r="D209" s="237"/>
      <c r="E209" s="238"/>
      <c r="F209" s="237"/>
      <c r="G209" s="237"/>
      <c r="H209" s="237"/>
      <c r="I209" s="238"/>
      <c r="J209" s="237"/>
      <c r="K209" s="237"/>
      <c r="L209" s="237"/>
      <c r="M209" s="238"/>
      <c r="N209" s="237"/>
      <c r="O209" s="237"/>
      <c r="P209" s="237"/>
      <c r="Q209" s="238"/>
      <c r="R209" s="237"/>
      <c r="S209" s="237"/>
      <c r="T209" s="237"/>
      <c r="U209" s="238"/>
      <c r="V209" s="237"/>
      <c r="W209" s="237"/>
      <c r="X209" s="237"/>
      <c r="Y209" s="238"/>
    </row>
    <row r="210" spans="1:25" ht="12.75" hidden="1" customHeight="1" outlineLevel="1" x14ac:dyDescent="0.2">
      <c r="A210" s="198" t="str">
        <f>"         "&amp;Labels!B317</f>
        <v xml:space="preserve">         Channels 1</v>
      </c>
      <c r="B210" s="262">
        <f t="shared" ref="B210:D212" si="150">SUM(B184,B197)</f>
        <v>0</v>
      </c>
      <c r="C210" s="262">
        <f t="shared" si="150"/>
        <v>0</v>
      </c>
      <c r="D210" s="262">
        <f t="shared" si="150"/>
        <v>137.5</v>
      </c>
      <c r="E210" s="217">
        <f>SUM(B210:D210)</f>
        <v>137.5</v>
      </c>
      <c r="F210" s="262">
        <f t="shared" ref="F210:H212" si="151">SUM(F184,F197)</f>
        <v>137.5</v>
      </c>
      <c r="G210" s="262">
        <f t="shared" si="151"/>
        <v>0</v>
      </c>
      <c r="H210" s="262">
        <f t="shared" si="151"/>
        <v>100</v>
      </c>
      <c r="I210" s="217">
        <f>SUM(F210:H210)</f>
        <v>237.5</v>
      </c>
      <c r="J210" s="262">
        <f t="shared" ref="J210:L212" si="152">SUM(J184,J197)</f>
        <v>100</v>
      </c>
      <c r="K210" s="262">
        <f t="shared" si="152"/>
        <v>100</v>
      </c>
      <c r="L210" s="262">
        <f t="shared" si="152"/>
        <v>0</v>
      </c>
      <c r="M210" s="217">
        <f>SUM(J210:L210)</f>
        <v>200</v>
      </c>
      <c r="N210" s="262">
        <f t="shared" ref="N210:P212" si="153">SUM(N184,N197)</f>
        <v>0</v>
      </c>
      <c r="O210" s="262">
        <f t="shared" si="153"/>
        <v>0</v>
      </c>
      <c r="P210" s="262">
        <f t="shared" si="153"/>
        <v>0</v>
      </c>
      <c r="Q210" s="217">
        <f>SUM(N210:P210)</f>
        <v>0</v>
      </c>
      <c r="R210" s="262">
        <f t="shared" ref="R210:T212" si="154">SUM(R184,R197)</f>
        <v>0</v>
      </c>
      <c r="S210" s="262">
        <f t="shared" si="154"/>
        <v>0</v>
      </c>
      <c r="T210" s="262">
        <f t="shared" si="154"/>
        <v>0</v>
      </c>
      <c r="U210" s="217">
        <f>SUM(R210:T210)</f>
        <v>0</v>
      </c>
      <c r="V210" s="262">
        <f t="shared" ref="V210:X212" si="155">SUM(V184,V197)</f>
        <v>0</v>
      </c>
      <c r="W210" s="262">
        <f t="shared" si="155"/>
        <v>0</v>
      </c>
      <c r="X210" s="262">
        <f t="shared" si="155"/>
        <v>0</v>
      </c>
      <c r="Y210" s="217">
        <f>SUM(V210:X210)</f>
        <v>0</v>
      </c>
    </row>
    <row r="211" spans="1:25" ht="12.75" hidden="1" customHeight="1" outlineLevel="1" x14ac:dyDescent="0.2">
      <c r="A211" s="198" t="str">
        <f>"         "&amp;Labels!B318</f>
        <v xml:space="preserve">         Channels 2</v>
      </c>
      <c r="B211" s="262">
        <f t="shared" si="150"/>
        <v>0</v>
      </c>
      <c r="C211" s="262">
        <f t="shared" si="150"/>
        <v>0</v>
      </c>
      <c r="D211" s="262">
        <f t="shared" si="150"/>
        <v>137.5</v>
      </c>
      <c r="E211" s="217">
        <f>SUM(B211:D211)</f>
        <v>137.5</v>
      </c>
      <c r="F211" s="262">
        <f t="shared" si="151"/>
        <v>137.5</v>
      </c>
      <c r="G211" s="262">
        <f t="shared" si="151"/>
        <v>0</v>
      </c>
      <c r="H211" s="262">
        <f t="shared" si="151"/>
        <v>100</v>
      </c>
      <c r="I211" s="217">
        <f>SUM(F211:H211)</f>
        <v>237.5</v>
      </c>
      <c r="J211" s="262">
        <f t="shared" si="152"/>
        <v>100</v>
      </c>
      <c r="K211" s="262">
        <f t="shared" si="152"/>
        <v>100</v>
      </c>
      <c r="L211" s="262">
        <f t="shared" si="152"/>
        <v>0</v>
      </c>
      <c r="M211" s="217">
        <f>SUM(J211:L211)</f>
        <v>200</v>
      </c>
      <c r="N211" s="262">
        <f t="shared" si="153"/>
        <v>0</v>
      </c>
      <c r="O211" s="262">
        <f t="shared" si="153"/>
        <v>0</v>
      </c>
      <c r="P211" s="262">
        <f t="shared" si="153"/>
        <v>0</v>
      </c>
      <c r="Q211" s="217">
        <f>SUM(N211:P211)</f>
        <v>0</v>
      </c>
      <c r="R211" s="262">
        <f t="shared" si="154"/>
        <v>0</v>
      </c>
      <c r="S211" s="262">
        <f t="shared" si="154"/>
        <v>0</v>
      </c>
      <c r="T211" s="262">
        <f t="shared" si="154"/>
        <v>0</v>
      </c>
      <c r="U211" s="217">
        <f>SUM(R211:T211)</f>
        <v>0</v>
      </c>
      <c r="V211" s="262">
        <f t="shared" si="155"/>
        <v>0</v>
      </c>
      <c r="W211" s="262">
        <f t="shared" si="155"/>
        <v>0</v>
      </c>
      <c r="X211" s="262">
        <f t="shared" si="155"/>
        <v>0</v>
      </c>
      <c r="Y211" s="217">
        <f>SUM(V211:X211)</f>
        <v>0</v>
      </c>
    </row>
    <row r="212" spans="1:25" ht="12.75" hidden="1" customHeight="1" outlineLevel="1" x14ac:dyDescent="0.2">
      <c r="A212" s="198" t="str">
        <f>"         "&amp;Labels!C316</f>
        <v xml:space="preserve">         Total</v>
      </c>
      <c r="B212" s="237">
        <f t="shared" si="150"/>
        <v>0</v>
      </c>
      <c r="C212" s="237">
        <f t="shared" si="150"/>
        <v>0</v>
      </c>
      <c r="D212" s="237">
        <f t="shared" si="150"/>
        <v>275</v>
      </c>
      <c r="E212" s="238">
        <f>SUM(B212:D212)</f>
        <v>275</v>
      </c>
      <c r="F212" s="237">
        <f t="shared" si="151"/>
        <v>275</v>
      </c>
      <c r="G212" s="237">
        <f t="shared" si="151"/>
        <v>0</v>
      </c>
      <c r="H212" s="237">
        <f t="shared" si="151"/>
        <v>200</v>
      </c>
      <c r="I212" s="238">
        <f>SUM(F212:H212)</f>
        <v>475</v>
      </c>
      <c r="J212" s="237">
        <f t="shared" si="152"/>
        <v>200</v>
      </c>
      <c r="K212" s="237">
        <f t="shared" si="152"/>
        <v>200</v>
      </c>
      <c r="L212" s="237">
        <f t="shared" si="152"/>
        <v>0</v>
      </c>
      <c r="M212" s="238">
        <f>SUM(J212:L212)</f>
        <v>400</v>
      </c>
      <c r="N212" s="237">
        <f t="shared" si="153"/>
        <v>0</v>
      </c>
      <c r="O212" s="237">
        <f t="shared" si="153"/>
        <v>0</v>
      </c>
      <c r="P212" s="237">
        <f t="shared" si="153"/>
        <v>0</v>
      </c>
      <c r="Q212" s="238">
        <f>SUM(N212:P212)</f>
        <v>0</v>
      </c>
      <c r="R212" s="237">
        <f t="shared" si="154"/>
        <v>0</v>
      </c>
      <c r="S212" s="237">
        <f t="shared" si="154"/>
        <v>0</v>
      </c>
      <c r="T212" s="237">
        <f t="shared" si="154"/>
        <v>0</v>
      </c>
      <c r="U212" s="238">
        <f>SUM(R212:T212)</f>
        <v>0</v>
      </c>
      <c r="V212" s="237">
        <f t="shared" si="155"/>
        <v>0</v>
      </c>
      <c r="W212" s="237">
        <f t="shared" si="155"/>
        <v>0</v>
      </c>
      <c r="X212" s="237">
        <f t="shared" si="155"/>
        <v>0</v>
      </c>
      <c r="Y212" s="238">
        <f>SUM(V212:X212)</f>
        <v>0</v>
      </c>
    </row>
    <row r="213" spans="1:25" ht="12.75" hidden="1" customHeight="1" outlineLevel="1" x14ac:dyDescent="0.2">
      <c r="A213" s="198" t="str">
        <f>"      "&amp;Labels!B386</f>
        <v xml:space="preserve">      Prof Level 2</v>
      </c>
      <c r="B213" s="237"/>
      <c r="C213" s="237"/>
      <c r="D213" s="237"/>
      <c r="E213" s="238"/>
      <c r="F213" s="237"/>
      <c r="G213" s="237"/>
      <c r="H213" s="237"/>
      <c r="I213" s="238"/>
      <c r="J213" s="237"/>
      <c r="K213" s="237"/>
      <c r="L213" s="237"/>
      <c r="M213" s="238"/>
      <c r="N213" s="237"/>
      <c r="O213" s="237"/>
      <c r="P213" s="237"/>
      <c r="Q213" s="238"/>
      <c r="R213" s="237"/>
      <c r="S213" s="237"/>
      <c r="T213" s="237"/>
      <c r="U213" s="238"/>
      <c r="V213" s="237"/>
      <c r="W213" s="237"/>
      <c r="X213" s="237"/>
      <c r="Y213" s="238"/>
    </row>
    <row r="214" spans="1:25" ht="12.75" hidden="1" customHeight="1" outlineLevel="1" x14ac:dyDescent="0.2">
      <c r="A214" s="198" t="str">
        <f>"         "&amp;Labels!B317</f>
        <v xml:space="preserve">         Channels 1</v>
      </c>
      <c r="B214" s="262">
        <f t="shared" ref="B214:D219" si="156">SUM(B188,B201)</f>
        <v>0</v>
      </c>
      <c r="C214" s="262">
        <f t="shared" si="156"/>
        <v>0</v>
      </c>
      <c r="D214" s="262">
        <f t="shared" si="156"/>
        <v>137.5</v>
      </c>
      <c r="E214" s="217">
        <f>SUM(B214:D214)</f>
        <v>137.5</v>
      </c>
      <c r="F214" s="262">
        <f t="shared" ref="F214:H219" si="157">SUM(F188,F201)</f>
        <v>137.5</v>
      </c>
      <c r="G214" s="262">
        <f t="shared" si="157"/>
        <v>0</v>
      </c>
      <c r="H214" s="262">
        <f t="shared" si="157"/>
        <v>100</v>
      </c>
      <c r="I214" s="217">
        <f>SUM(F214:H214)</f>
        <v>237.5</v>
      </c>
      <c r="J214" s="262">
        <f t="shared" ref="J214:L219" si="158">SUM(J188,J201)</f>
        <v>100</v>
      </c>
      <c r="K214" s="262">
        <f t="shared" si="158"/>
        <v>100</v>
      </c>
      <c r="L214" s="262">
        <f t="shared" si="158"/>
        <v>0</v>
      </c>
      <c r="M214" s="217">
        <f>SUM(J214:L214)</f>
        <v>200</v>
      </c>
      <c r="N214" s="262">
        <f t="shared" ref="N214:P219" si="159">SUM(N188,N201)</f>
        <v>0</v>
      </c>
      <c r="O214" s="262">
        <f t="shared" si="159"/>
        <v>0</v>
      </c>
      <c r="P214" s="262">
        <f t="shared" si="159"/>
        <v>0</v>
      </c>
      <c r="Q214" s="217">
        <f>SUM(N214:P214)</f>
        <v>0</v>
      </c>
      <c r="R214" s="262">
        <f t="shared" ref="R214:T219" si="160">SUM(R188,R201)</f>
        <v>0</v>
      </c>
      <c r="S214" s="262">
        <f t="shared" si="160"/>
        <v>0</v>
      </c>
      <c r="T214" s="262">
        <f t="shared" si="160"/>
        <v>0</v>
      </c>
      <c r="U214" s="217">
        <f>SUM(R214:T214)</f>
        <v>0</v>
      </c>
      <c r="V214" s="262">
        <f t="shared" ref="V214:X219" si="161">SUM(V188,V201)</f>
        <v>0</v>
      </c>
      <c r="W214" s="262">
        <f t="shared" si="161"/>
        <v>0</v>
      </c>
      <c r="X214" s="262">
        <f t="shared" si="161"/>
        <v>0</v>
      </c>
      <c r="Y214" s="217">
        <f>SUM(V214:X214)</f>
        <v>0</v>
      </c>
    </row>
    <row r="215" spans="1:25" ht="12.75" hidden="1" customHeight="1" outlineLevel="1" x14ac:dyDescent="0.2">
      <c r="A215" s="198" t="str">
        <f>"         "&amp;Labels!B318</f>
        <v xml:space="preserve">         Channels 2</v>
      </c>
      <c r="B215" s="262">
        <f t="shared" si="156"/>
        <v>0</v>
      </c>
      <c r="C215" s="262">
        <f t="shared" si="156"/>
        <v>0</v>
      </c>
      <c r="D215" s="262">
        <f t="shared" si="156"/>
        <v>137.5</v>
      </c>
      <c r="E215" s="217">
        <f>SUM(B215:D215)</f>
        <v>137.5</v>
      </c>
      <c r="F215" s="262">
        <f t="shared" si="157"/>
        <v>137.5</v>
      </c>
      <c r="G215" s="262">
        <f t="shared" si="157"/>
        <v>0</v>
      </c>
      <c r="H215" s="262">
        <f t="shared" si="157"/>
        <v>100</v>
      </c>
      <c r="I215" s="217">
        <f>SUM(F215:H215)</f>
        <v>237.5</v>
      </c>
      <c r="J215" s="262">
        <f t="shared" si="158"/>
        <v>100</v>
      </c>
      <c r="K215" s="262">
        <f t="shared" si="158"/>
        <v>100</v>
      </c>
      <c r="L215" s="262">
        <f t="shared" si="158"/>
        <v>0</v>
      </c>
      <c r="M215" s="217">
        <f>SUM(J215:L215)</f>
        <v>200</v>
      </c>
      <c r="N215" s="262">
        <f t="shared" si="159"/>
        <v>0</v>
      </c>
      <c r="O215" s="262">
        <f t="shared" si="159"/>
        <v>0</v>
      </c>
      <c r="P215" s="262">
        <f t="shared" si="159"/>
        <v>0</v>
      </c>
      <c r="Q215" s="217">
        <f>SUM(N215:P215)</f>
        <v>0</v>
      </c>
      <c r="R215" s="262">
        <f t="shared" si="160"/>
        <v>0</v>
      </c>
      <c r="S215" s="262">
        <f t="shared" si="160"/>
        <v>0</v>
      </c>
      <c r="T215" s="262">
        <f t="shared" si="160"/>
        <v>0</v>
      </c>
      <c r="U215" s="217">
        <f>SUM(R215:T215)</f>
        <v>0</v>
      </c>
      <c r="V215" s="262">
        <f t="shared" si="161"/>
        <v>0</v>
      </c>
      <c r="W215" s="262">
        <f t="shared" si="161"/>
        <v>0</v>
      </c>
      <c r="X215" s="262">
        <f t="shared" si="161"/>
        <v>0</v>
      </c>
      <c r="Y215" s="217">
        <f>SUM(V215:X215)</f>
        <v>0</v>
      </c>
    </row>
    <row r="216" spans="1:25" ht="12.75" hidden="1" customHeight="1" outlineLevel="1" x14ac:dyDescent="0.2">
      <c r="A216" s="198" t="str">
        <f>"         "&amp;Labels!C316</f>
        <v xml:space="preserve">         Total</v>
      </c>
      <c r="B216" s="237">
        <f t="shared" si="156"/>
        <v>0</v>
      </c>
      <c r="C216" s="237">
        <f t="shared" si="156"/>
        <v>0</v>
      </c>
      <c r="D216" s="237">
        <f t="shared" si="156"/>
        <v>275</v>
      </c>
      <c r="E216" s="238">
        <f>SUM(B216:D216)</f>
        <v>275</v>
      </c>
      <c r="F216" s="237">
        <f t="shared" si="157"/>
        <v>275</v>
      </c>
      <c r="G216" s="237">
        <f t="shared" si="157"/>
        <v>0</v>
      </c>
      <c r="H216" s="237">
        <f t="shared" si="157"/>
        <v>200</v>
      </c>
      <c r="I216" s="238">
        <f>SUM(F216:H216)</f>
        <v>475</v>
      </c>
      <c r="J216" s="237">
        <f t="shared" si="158"/>
        <v>200</v>
      </c>
      <c r="K216" s="237">
        <f t="shared" si="158"/>
        <v>200</v>
      </c>
      <c r="L216" s="237">
        <f t="shared" si="158"/>
        <v>0</v>
      </c>
      <c r="M216" s="238">
        <f>SUM(J216:L216)</f>
        <v>400</v>
      </c>
      <c r="N216" s="237">
        <f t="shared" si="159"/>
        <v>0</v>
      </c>
      <c r="O216" s="237">
        <f t="shared" si="159"/>
        <v>0</v>
      </c>
      <c r="P216" s="237">
        <f t="shared" si="159"/>
        <v>0</v>
      </c>
      <c r="Q216" s="238">
        <f>SUM(N216:P216)</f>
        <v>0</v>
      </c>
      <c r="R216" s="237">
        <f t="shared" si="160"/>
        <v>0</v>
      </c>
      <c r="S216" s="237">
        <f t="shared" si="160"/>
        <v>0</v>
      </c>
      <c r="T216" s="237">
        <f t="shared" si="160"/>
        <v>0</v>
      </c>
      <c r="U216" s="238">
        <f>SUM(R216:T216)</f>
        <v>0</v>
      </c>
      <c r="V216" s="237">
        <f t="shared" si="161"/>
        <v>0</v>
      </c>
      <c r="W216" s="237">
        <f t="shared" si="161"/>
        <v>0</v>
      </c>
      <c r="X216" s="237">
        <f t="shared" si="161"/>
        <v>0</v>
      </c>
      <c r="Y216" s="238">
        <f>SUM(V216:X216)</f>
        <v>0</v>
      </c>
    </row>
    <row r="217" spans="1:25" ht="12.75" hidden="1" customHeight="1" outlineLevel="1" x14ac:dyDescent="0.2">
      <c r="A217" s="188" t="str">
        <f>"      "&amp;Labels!C384</f>
        <v xml:space="preserve">      Total</v>
      </c>
      <c r="B217" s="166">
        <f t="shared" si="156"/>
        <v>0</v>
      </c>
      <c r="C217" s="166">
        <f t="shared" si="156"/>
        <v>0</v>
      </c>
      <c r="D217" s="166">
        <f t="shared" si="156"/>
        <v>550</v>
      </c>
      <c r="E217" s="225">
        <f>SUM(B208:D208)</f>
        <v>550</v>
      </c>
      <c r="F217" s="166">
        <f t="shared" si="157"/>
        <v>550</v>
      </c>
      <c r="G217" s="166">
        <f t="shared" si="157"/>
        <v>0</v>
      </c>
      <c r="H217" s="166">
        <f t="shared" si="157"/>
        <v>400</v>
      </c>
      <c r="I217" s="225">
        <f>SUM(F208:H208)</f>
        <v>950</v>
      </c>
      <c r="J217" s="166">
        <f t="shared" si="158"/>
        <v>400</v>
      </c>
      <c r="K217" s="166">
        <f t="shared" si="158"/>
        <v>400</v>
      </c>
      <c r="L217" s="166">
        <f t="shared" si="158"/>
        <v>0</v>
      </c>
      <c r="M217" s="225">
        <f>SUM(J208:L208)</f>
        <v>800</v>
      </c>
      <c r="N217" s="166">
        <f t="shared" si="159"/>
        <v>0</v>
      </c>
      <c r="O217" s="166">
        <f t="shared" si="159"/>
        <v>0</v>
      </c>
      <c r="P217" s="166">
        <f t="shared" si="159"/>
        <v>0</v>
      </c>
      <c r="Q217" s="225">
        <f>SUM(N208:P208)</f>
        <v>0</v>
      </c>
      <c r="R217" s="166">
        <f t="shared" si="160"/>
        <v>0</v>
      </c>
      <c r="S217" s="166">
        <f t="shared" si="160"/>
        <v>0</v>
      </c>
      <c r="T217" s="166">
        <f t="shared" si="160"/>
        <v>0</v>
      </c>
      <c r="U217" s="225">
        <f>SUM(R208:T208)</f>
        <v>0</v>
      </c>
      <c r="V217" s="166">
        <f t="shared" si="161"/>
        <v>0</v>
      </c>
      <c r="W217" s="166">
        <f t="shared" si="161"/>
        <v>0</v>
      </c>
      <c r="X217" s="166">
        <f t="shared" si="161"/>
        <v>0</v>
      </c>
      <c r="Y217" s="225">
        <f>SUM(V208:X208)</f>
        <v>0</v>
      </c>
    </row>
    <row r="218" spans="1:25" ht="12.75" hidden="1" customHeight="1" outlineLevel="1" x14ac:dyDescent="0.2">
      <c r="A218" s="198" t="str">
        <f>"         "&amp;Labels!B317</f>
        <v xml:space="preserve">         Channels 1</v>
      </c>
      <c r="B218" s="262">
        <f t="shared" si="156"/>
        <v>0</v>
      </c>
      <c r="C218" s="262">
        <f t="shared" si="156"/>
        <v>0</v>
      </c>
      <c r="D218" s="262">
        <f t="shared" si="156"/>
        <v>275</v>
      </c>
      <c r="E218" s="217">
        <f>SUM(B218:D218)</f>
        <v>275</v>
      </c>
      <c r="F218" s="262">
        <f t="shared" si="157"/>
        <v>275</v>
      </c>
      <c r="G218" s="262">
        <f t="shared" si="157"/>
        <v>0</v>
      </c>
      <c r="H218" s="262">
        <f t="shared" si="157"/>
        <v>200</v>
      </c>
      <c r="I218" s="217">
        <f>SUM(F218:H218)</f>
        <v>475</v>
      </c>
      <c r="J218" s="262">
        <f t="shared" si="158"/>
        <v>200</v>
      </c>
      <c r="K218" s="262">
        <f t="shared" si="158"/>
        <v>200</v>
      </c>
      <c r="L218" s="262">
        <f t="shared" si="158"/>
        <v>0</v>
      </c>
      <c r="M218" s="217">
        <f>SUM(J218:L218)</f>
        <v>400</v>
      </c>
      <c r="N218" s="262">
        <f t="shared" si="159"/>
        <v>0</v>
      </c>
      <c r="O218" s="262">
        <f t="shared" si="159"/>
        <v>0</v>
      </c>
      <c r="P218" s="262">
        <f t="shared" si="159"/>
        <v>0</v>
      </c>
      <c r="Q218" s="217">
        <f>SUM(N218:P218)</f>
        <v>0</v>
      </c>
      <c r="R218" s="262">
        <f t="shared" si="160"/>
        <v>0</v>
      </c>
      <c r="S218" s="262">
        <f t="shared" si="160"/>
        <v>0</v>
      </c>
      <c r="T218" s="262">
        <f t="shared" si="160"/>
        <v>0</v>
      </c>
      <c r="U218" s="217">
        <f>SUM(R218:T218)</f>
        <v>0</v>
      </c>
      <c r="V218" s="262">
        <f t="shared" si="161"/>
        <v>0</v>
      </c>
      <c r="W218" s="262">
        <f t="shared" si="161"/>
        <v>0</v>
      </c>
      <c r="X218" s="262">
        <f t="shared" si="161"/>
        <v>0</v>
      </c>
      <c r="Y218" s="217">
        <f>SUM(V218:X218)</f>
        <v>0</v>
      </c>
    </row>
    <row r="219" spans="1:25" ht="12.75" hidden="1" customHeight="1" outlineLevel="1" x14ac:dyDescent="0.2">
      <c r="A219" s="198" t="str">
        <f>"         "&amp;Labels!B318</f>
        <v xml:space="preserve">         Channels 2</v>
      </c>
      <c r="B219" s="262">
        <f t="shared" si="156"/>
        <v>0</v>
      </c>
      <c r="C219" s="262">
        <f t="shared" si="156"/>
        <v>0</v>
      </c>
      <c r="D219" s="262">
        <f t="shared" si="156"/>
        <v>275</v>
      </c>
      <c r="E219" s="217">
        <f>SUM(B219:D219)</f>
        <v>275</v>
      </c>
      <c r="F219" s="262">
        <f t="shared" si="157"/>
        <v>275</v>
      </c>
      <c r="G219" s="262">
        <f t="shared" si="157"/>
        <v>0</v>
      </c>
      <c r="H219" s="262">
        <f t="shared" si="157"/>
        <v>200</v>
      </c>
      <c r="I219" s="217">
        <f>SUM(F219:H219)</f>
        <v>475</v>
      </c>
      <c r="J219" s="262">
        <f t="shared" si="158"/>
        <v>200</v>
      </c>
      <c r="K219" s="262">
        <f t="shared" si="158"/>
        <v>200</v>
      </c>
      <c r="L219" s="262">
        <f t="shared" si="158"/>
        <v>0</v>
      </c>
      <c r="M219" s="217">
        <f>SUM(J219:L219)</f>
        <v>400</v>
      </c>
      <c r="N219" s="262">
        <f t="shared" si="159"/>
        <v>0</v>
      </c>
      <c r="O219" s="262">
        <f t="shared" si="159"/>
        <v>0</v>
      </c>
      <c r="P219" s="262">
        <f t="shared" si="159"/>
        <v>0</v>
      </c>
      <c r="Q219" s="217">
        <f>SUM(N219:P219)</f>
        <v>0</v>
      </c>
      <c r="R219" s="262">
        <f t="shared" si="160"/>
        <v>0</v>
      </c>
      <c r="S219" s="262">
        <f t="shared" si="160"/>
        <v>0</v>
      </c>
      <c r="T219" s="262">
        <f t="shared" si="160"/>
        <v>0</v>
      </c>
      <c r="U219" s="217">
        <f>SUM(R219:T219)</f>
        <v>0</v>
      </c>
      <c r="V219" s="262">
        <f t="shared" si="161"/>
        <v>0</v>
      </c>
      <c r="W219" s="262">
        <f t="shared" si="161"/>
        <v>0</v>
      </c>
      <c r="X219" s="262">
        <f t="shared" si="161"/>
        <v>0</v>
      </c>
      <c r="Y219" s="217">
        <f>SUM(V219:X219)</f>
        <v>0</v>
      </c>
    </row>
    <row r="220" spans="1:25" ht="12.75" hidden="1" customHeight="1" outlineLevel="1" x14ac:dyDescent="0.2">
      <c r="A220" s="198" t="str">
        <f>"         "&amp;Labels!C316</f>
        <v xml:space="preserve">         Total</v>
      </c>
      <c r="B220" s="237">
        <f>SUM(B191,B204)</f>
        <v>0</v>
      </c>
      <c r="C220" s="237">
        <f>SUM(C191,C204)</f>
        <v>0</v>
      </c>
      <c r="D220" s="237">
        <f>SUM(D191,D204)</f>
        <v>550</v>
      </c>
      <c r="E220" s="238">
        <f>SUM(B208:D208)</f>
        <v>550</v>
      </c>
      <c r="F220" s="237">
        <f>SUM(F191,F204)</f>
        <v>550</v>
      </c>
      <c r="G220" s="237">
        <f>SUM(G191,G204)</f>
        <v>0</v>
      </c>
      <c r="H220" s="237">
        <f>SUM(H191,H204)</f>
        <v>400</v>
      </c>
      <c r="I220" s="238">
        <f>SUM(F208:H208)</f>
        <v>950</v>
      </c>
      <c r="J220" s="237">
        <f>SUM(J191,J204)</f>
        <v>400</v>
      </c>
      <c r="K220" s="237">
        <f>SUM(K191,K204)</f>
        <v>400</v>
      </c>
      <c r="L220" s="237">
        <f>SUM(L191,L204)</f>
        <v>0</v>
      </c>
      <c r="M220" s="238">
        <f>SUM(J208:L208)</f>
        <v>800</v>
      </c>
      <c r="N220" s="237">
        <f>SUM(N191,N204)</f>
        <v>0</v>
      </c>
      <c r="O220" s="237">
        <f>SUM(O191,O204)</f>
        <v>0</v>
      </c>
      <c r="P220" s="237">
        <f>SUM(P191,P204)</f>
        <v>0</v>
      </c>
      <c r="Q220" s="238">
        <f>SUM(N208:P208)</f>
        <v>0</v>
      </c>
      <c r="R220" s="237">
        <f>SUM(R191,R204)</f>
        <v>0</v>
      </c>
      <c r="S220" s="237">
        <f>SUM(S191,S204)</f>
        <v>0</v>
      </c>
      <c r="T220" s="237">
        <f>SUM(T191,T204)</f>
        <v>0</v>
      </c>
      <c r="U220" s="238">
        <f>SUM(R208:T208)</f>
        <v>0</v>
      </c>
      <c r="V220" s="237">
        <f>SUM(V191,V204)</f>
        <v>0</v>
      </c>
      <c r="W220" s="237">
        <f>SUM(W191,W204)</f>
        <v>0</v>
      </c>
      <c r="X220" s="237">
        <f>SUM(X191,X204)</f>
        <v>0</v>
      </c>
      <c r="Y220" s="238">
        <f>SUM(V208:X208)</f>
        <v>0</v>
      </c>
    </row>
    <row r="221" spans="1:25" ht="12.75" hidden="1" customHeight="1" outlineLevel="1" x14ac:dyDescent="0.2">
      <c r="A221" s="97"/>
      <c r="B221" s="6"/>
      <c r="C221" s="6"/>
      <c r="D221" s="6"/>
      <c r="E221" s="97"/>
      <c r="F221" s="6"/>
      <c r="G221" s="6"/>
      <c r="H221" s="6"/>
      <c r="I221" s="97"/>
      <c r="J221" s="6"/>
      <c r="K221" s="6"/>
      <c r="L221" s="6"/>
      <c r="M221" s="97"/>
      <c r="N221" s="6"/>
      <c r="O221" s="6"/>
      <c r="P221" s="6"/>
      <c r="Q221" s="97"/>
      <c r="R221" s="6"/>
      <c r="S221" s="6"/>
      <c r="T221" s="6"/>
      <c r="U221" s="97"/>
      <c r="V221" s="6"/>
      <c r="W221" s="6"/>
      <c r="X221" s="6"/>
      <c r="Y221" s="97"/>
    </row>
    <row r="222" spans="1:25" ht="12.75" hidden="1" customHeight="1" outlineLevel="1" x14ac:dyDescent="0.2">
      <c r="A222" s="191" t="str">
        <f>Labels!B184</f>
        <v>Billed Hours Growth</v>
      </c>
      <c r="B222" s="211"/>
      <c r="C222" s="211"/>
      <c r="D222" s="211"/>
      <c r="E222" s="210"/>
      <c r="F222" s="211"/>
      <c r="G222" s="211"/>
      <c r="H222" s="211"/>
      <c r="I222" s="210"/>
      <c r="J222" s="211"/>
      <c r="K222" s="211"/>
      <c r="L222" s="211"/>
      <c r="M222" s="210"/>
      <c r="N222" s="211"/>
      <c r="O222" s="211"/>
      <c r="P222" s="211"/>
      <c r="Q222" s="210"/>
      <c r="R222" s="211"/>
      <c r="S222" s="211"/>
      <c r="T222" s="211"/>
      <c r="U222" s="210"/>
      <c r="V222" s="211"/>
      <c r="W222" s="211"/>
      <c r="X222" s="211"/>
      <c r="Y222" s="210"/>
    </row>
    <row r="223" spans="1:25" ht="12.75" hidden="1" customHeight="1" outlineLevel="1" x14ac:dyDescent="0.2">
      <c r="A223" s="188" t="str">
        <f>"   "&amp;Labels!B381</f>
        <v xml:space="preserve">   Practice 1</v>
      </c>
      <c r="B223" s="218"/>
      <c r="C223" s="218"/>
      <c r="D223" s="218"/>
      <c r="E223" s="219"/>
      <c r="F223" s="218"/>
      <c r="G223" s="218"/>
      <c r="H223" s="218"/>
      <c r="I223" s="219"/>
      <c r="J223" s="218"/>
      <c r="K223" s="218"/>
      <c r="L223" s="218"/>
      <c r="M223" s="219"/>
      <c r="N223" s="218"/>
      <c r="O223" s="218"/>
      <c r="P223" s="218"/>
      <c r="Q223" s="219"/>
      <c r="R223" s="218"/>
      <c r="S223" s="218"/>
      <c r="T223" s="218"/>
      <c r="U223" s="219"/>
      <c r="V223" s="218"/>
      <c r="W223" s="218"/>
      <c r="X223" s="218"/>
      <c r="Y223" s="219"/>
    </row>
    <row r="224" spans="1:25" ht="12.75" hidden="1" customHeight="1" outlineLevel="1" x14ac:dyDescent="0.2">
      <c r="A224" s="198" t="str">
        <f>"      "&amp;Labels!B385</f>
        <v xml:space="preserve">      Prof Level 1</v>
      </c>
      <c r="B224" s="233"/>
      <c r="C224" s="233"/>
      <c r="D224" s="233"/>
      <c r="E224" s="234"/>
      <c r="F224" s="233"/>
      <c r="G224" s="233"/>
      <c r="H224" s="233"/>
      <c r="I224" s="234"/>
      <c r="J224" s="233"/>
      <c r="K224" s="233"/>
      <c r="L224" s="233"/>
      <c r="M224" s="234"/>
      <c r="N224" s="233"/>
      <c r="O224" s="233"/>
      <c r="P224" s="233"/>
      <c r="Q224" s="234"/>
      <c r="R224" s="233"/>
      <c r="S224" s="233"/>
      <c r="T224" s="233"/>
      <c r="U224" s="234"/>
      <c r="V224" s="233"/>
      <c r="W224" s="233"/>
      <c r="X224" s="233"/>
      <c r="Y224" s="234"/>
    </row>
    <row r="225" spans="1:25" ht="12.75" hidden="1" customHeight="1" outlineLevel="1" x14ac:dyDescent="0.2">
      <c r="A225" s="198" t="str">
        <f>"         "&amp;Labels!B317</f>
        <v xml:space="preserve">         Channels 1</v>
      </c>
      <c r="B225" s="209"/>
      <c r="C225" s="209">
        <f t="shared" ref="C225:D227" si="162">IF(B184=0,0,C184/B184-1)</f>
        <v>0</v>
      </c>
      <c r="D225" s="209">
        <f t="shared" si="162"/>
        <v>0</v>
      </c>
      <c r="E225" s="210">
        <f>IF(0=0,0,SUM(B184:D184)/0-1)</f>
        <v>0</v>
      </c>
      <c r="F225" s="209">
        <f>IF(D184=0,0,F184/D184-1)</f>
        <v>0</v>
      </c>
      <c r="G225" s="209">
        <f t="shared" ref="G225:H227" si="163">IF(F184=0,0,G184/F184-1)</f>
        <v>-1</v>
      </c>
      <c r="H225" s="209">
        <f t="shared" si="163"/>
        <v>0</v>
      </c>
      <c r="I225" s="210">
        <f>IF(SUM(B184:D184)=0,0,SUM(F184:H184)/SUM(B184:D184)-1)</f>
        <v>0.72727272727272729</v>
      </c>
      <c r="J225" s="209">
        <f>IF(H184=0,0,J184/H184-1)</f>
        <v>0</v>
      </c>
      <c r="K225" s="209">
        <f t="shared" ref="K225:L227" si="164">IF(J184=0,0,K184/J184-1)</f>
        <v>0</v>
      </c>
      <c r="L225" s="209">
        <f t="shared" si="164"/>
        <v>-1</v>
      </c>
      <c r="M225" s="210">
        <f>IF(SUM(F184:H184)=0,0,SUM(J184:L184)/SUM(F184:H184)-1)</f>
        <v>-0.15789473684210531</v>
      </c>
      <c r="N225" s="209">
        <f>IF(L184=0,0,N184/L184-1)</f>
        <v>0</v>
      </c>
      <c r="O225" s="209">
        <f t="shared" ref="O225:P227" si="165">IF(N184=0,0,O184/N184-1)</f>
        <v>0</v>
      </c>
      <c r="P225" s="209">
        <f t="shared" si="165"/>
        <v>0</v>
      </c>
      <c r="Q225" s="210">
        <f>IF(SUM(J184:L184)=0,0,SUM(N184:P184)/SUM(J184:L184)-1)</f>
        <v>-1</v>
      </c>
      <c r="R225" s="209">
        <f>IF(P184=0,0,R184/P184-1)</f>
        <v>0</v>
      </c>
      <c r="S225" s="209">
        <f t="shared" ref="S225:T227" si="166">IF(R184=0,0,S184/R184-1)</f>
        <v>0</v>
      </c>
      <c r="T225" s="209">
        <f t="shared" si="166"/>
        <v>0</v>
      </c>
      <c r="U225" s="210">
        <f>IF(SUM(N184:P184)=0,0,SUM(R184:T184)/SUM(N184:P184)-1)</f>
        <v>0</v>
      </c>
      <c r="V225" s="209">
        <f>IF(T184=0,0,V184/T184-1)</f>
        <v>0</v>
      </c>
      <c r="W225" s="209">
        <f t="shared" ref="W225:X227" si="167">IF(V184=0,0,W184/V184-1)</f>
        <v>0</v>
      </c>
      <c r="X225" s="209">
        <f t="shared" si="167"/>
        <v>0</v>
      </c>
      <c r="Y225" s="210">
        <f>IF(SUM(R184:T184)=0,0,SUM(V184:X184)/SUM(R184:T184)-1)</f>
        <v>0</v>
      </c>
    </row>
    <row r="226" spans="1:25" ht="12.75" hidden="1" customHeight="1" outlineLevel="1" x14ac:dyDescent="0.2">
      <c r="A226" s="198" t="str">
        <f>"         "&amp;Labels!B318</f>
        <v xml:space="preserve">         Channels 2</v>
      </c>
      <c r="B226" s="209"/>
      <c r="C226" s="209">
        <f t="shared" si="162"/>
        <v>0</v>
      </c>
      <c r="D226" s="209">
        <f t="shared" si="162"/>
        <v>0</v>
      </c>
      <c r="E226" s="210">
        <f>IF(0=0,0,SUM(B185:D185)/0-1)</f>
        <v>0</v>
      </c>
      <c r="F226" s="209">
        <f>IF(D185=0,0,F185/D185-1)</f>
        <v>0</v>
      </c>
      <c r="G226" s="209">
        <f t="shared" si="163"/>
        <v>-1</v>
      </c>
      <c r="H226" s="209">
        <f t="shared" si="163"/>
        <v>0</v>
      </c>
      <c r="I226" s="210">
        <f>IF(SUM(B185:D185)=0,0,SUM(F185:H185)/SUM(B185:D185)-1)</f>
        <v>0.72727272727272729</v>
      </c>
      <c r="J226" s="209">
        <f>IF(H185=0,0,J185/H185-1)</f>
        <v>0</v>
      </c>
      <c r="K226" s="209">
        <f t="shared" si="164"/>
        <v>0</v>
      </c>
      <c r="L226" s="209">
        <f t="shared" si="164"/>
        <v>-1</v>
      </c>
      <c r="M226" s="210">
        <f>IF(SUM(F185:H185)=0,0,SUM(J185:L185)/SUM(F185:H185)-1)</f>
        <v>-0.15789473684210531</v>
      </c>
      <c r="N226" s="209">
        <f>IF(L185=0,0,N185/L185-1)</f>
        <v>0</v>
      </c>
      <c r="O226" s="209">
        <f t="shared" si="165"/>
        <v>0</v>
      </c>
      <c r="P226" s="209">
        <f t="shared" si="165"/>
        <v>0</v>
      </c>
      <c r="Q226" s="210">
        <f>IF(SUM(J185:L185)=0,0,SUM(N185:P185)/SUM(J185:L185)-1)</f>
        <v>-1</v>
      </c>
      <c r="R226" s="209">
        <f>IF(P185=0,0,R185/P185-1)</f>
        <v>0</v>
      </c>
      <c r="S226" s="209">
        <f t="shared" si="166"/>
        <v>0</v>
      </c>
      <c r="T226" s="209">
        <f t="shared" si="166"/>
        <v>0</v>
      </c>
      <c r="U226" s="210">
        <f>IF(SUM(N185:P185)=0,0,SUM(R185:T185)/SUM(N185:P185)-1)</f>
        <v>0</v>
      </c>
      <c r="V226" s="209">
        <f>IF(T185=0,0,V185/T185-1)</f>
        <v>0</v>
      </c>
      <c r="W226" s="209">
        <f t="shared" si="167"/>
        <v>0</v>
      </c>
      <c r="X226" s="209">
        <f t="shared" si="167"/>
        <v>0</v>
      </c>
      <c r="Y226" s="210">
        <f>IF(SUM(R185:T185)=0,0,SUM(V185:X185)/SUM(R185:T185)-1)</f>
        <v>0</v>
      </c>
    </row>
    <row r="227" spans="1:25" ht="12.75" hidden="1" customHeight="1" outlineLevel="1" x14ac:dyDescent="0.2">
      <c r="A227" s="198" t="str">
        <f>"         "&amp;Labels!C316</f>
        <v xml:space="preserve">         Total</v>
      </c>
      <c r="B227" s="233"/>
      <c r="C227" s="233">
        <f t="shared" si="162"/>
        <v>0</v>
      </c>
      <c r="D227" s="233">
        <f t="shared" si="162"/>
        <v>0</v>
      </c>
      <c r="E227" s="234">
        <f>IF(0=0,0,SUM(B186:D186)/0-1)</f>
        <v>0</v>
      </c>
      <c r="F227" s="233">
        <f>IF(D186=0,0,F186/D186-1)</f>
        <v>0</v>
      </c>
      <c r="G227" s="233">
        <f t="shared" si="163"/>
        <v>-1</v>
      </c>
      <c r="H227" s="233">
        <f t="shared" si="163"/>
        <v>0</v>
      </c>
      <c r="I227" s="234">
        <f>IF(SUM(B186:D186)=0,0,SUM(F186:H186)/SUM(B186:D186)-1)</f>
        <v>0.72727272727272729</v>
      </c>
      <c r="J227" s="233">
        <f>IF(H186=0,0,J186/H186-1)</f>
        <v>0</v>
      </c>
      <c r="K227" s="233">
        <f t="shared" si="164"/>
        <v>0</v>
      </c>
      <c r="L227" s="233">
        <f t="shared" si="164"/>
        <v>-1</v>
      </c>
      <c r="M227" s="234">
        <f>IF(SUM(F186:H186)=0,0,SUM(J186:L186)/SUM(F186:H186)-1)</f>
        <v>-0.15789473684210531</v>
      </c>
      <c r="N227" s="233">
        <f>IF(L186=0,0,N186/L186-1)</f>
        <v>0</v>
      </c>
      <c r="O227" s="233">
        <f t="shared" si="165"/>
        <v>0</v>
      </c>
      <c r="P227" s="233">
        <f t="shared" si="165"/>
        <v>0</v>
      </c>
      <c r="Q227" s="234">
        <f>IF(SUM(J186:L186)=0,0,SUM(N186:P186)/SUM(J186:L186)-1)</f>
        <v>-1</v>
      </c>
      <c r="R227" s="233">
        <f>IF(P186=0,0,R186/P186-1)</f>
        <v>0</v>
      </c>
      <c r="S227" s="233">
        <f t="shared" si="166"/>
        <v>0</v>
      </c>
      <c r="T227" s="233">
        <f t="shared" si="166"/>
        <v>0</v>
      </c>
      <c r="U227" s="234">
        <f>IF(SUM(N186:P186)=0,0,SUM(R186:T186)/SUM(N186:P186)-1)</f>
        <v>0</v>
      </c>
      <c r="V227" s="233">
        <f>IF(T186=0,0,V186/T186-1)</f>
        <v>0</v>
      </c>
      <c r="W227" s="233">
        <f t="shared" si="167"/>
        <v>0</v>
      </c>
      <c r="X227" s="233">
        <f t="shared" si="167"/>
        <v>0</v>
      </c>
      <c r="Y227" s="234">
        <f>IF(SUM(R186:T186)=0,0,SUM(V186:X186)/SUM(R186:T186)-1)</f>
        <v>0</v>
      </c>
    </row>
    <row r="228" spans="1:25" ht="12.75" hidden="1" customHeight="1" outlineLevel="1" x14ac:dyDescent="0.2">
      <c r="A228" s="198" t="str">
        <f>"      "&amp;Labels!B386</f>
        <v xml:space="preserve">      Prof Level 2</v>
      </c>
      <c r="B228" s="233"/>
      <c r="C228" s="233"/>
      <c r="D228" s="233"/>
      <c r="E228" s="234"/>
      <c r="F228" s="233"/>
      <c r="G228" s="233"/>
      <c r="H228" s="233"/>
      <c r="I228" s="234"/>
      <c r="J228" s="233"/>
      <c r="K228" s="233"/>
      <c r="L228" s="233"/>
      <c r="M228" s="234"/>
      <c r="N228" s="233"/>
      <c r="O228" s="233"/>
      <c r="P228" s="233"/>
      <c r="Q228" s="234"/>
      <c r="R228" s="233"/>
      <c r="S228" s="233"/>
      <c r="T228" s="233"/>
      <c r="U228" s="234"/>
      <c r="V228" s="233"/>
      <c r="W228" s="233"/>
      <c r="X228" s="233"/>
      <c r="Y228" s="234"/>
    </row>
    <row r="229" spans="1:25" ht="12.75" hidden="1" customHeight="1" outlineLevel="1" x14ac:dyDescent="0.2">
      <c r="A229" s="198" t="str">
        <f>"         "&amp;Labels!B317</f>
        <v xml:space="preserve">         Channels 1</v>
      </c>
      <c r="B229" s="209"/>
      <c r="C229" s="209">
        <f t="shared" ref="C229:D234" si="168">IF(B188=0,0,C188/B188-1)</f>
        <v>0</v>
      </c>
      <c r="D229" s="209">
        <f t="shared" si="168"/>
        <v>0</v>
      </c>
      <c r="E229" s="210">
        <f t="shared" ref="E229:E234" si="169">IF(0=0,0,SUM(B188:D188)/0-1)</f>
        <v>0</v>
      </c>
      <c r="F229" s="209">
        <f t="shared" ref="F229:F234" si="170">IF(D188=0,0,F188/D188-1)</f>
        <v>0</v>
      </c>
      <c r="G229" s="209">
        <f t="shared" ref="G229:H234" si="171">IF(F188=0,0,G188/F188-1)</f>
        <v>-1</v>
      </c>
      <c r="H229" s="209">
        <f t="shared" si="171"/>
        <v>0</v>
      </c>
      <c r="I229" s="210">
        <f t="shared" ref="I229:I234" si="172">IF(SUM(B188:D188)=0,0,SUM(F188:H188)/SUM(B188:D188)-1)</f>
        <v>0.72727272727272729</v>
      </c>
      <c r="J229" s="209">
        <f t="shared" ref="J229:J234" si="173">IF(H188=0,0,J188/H188-1)</f>
        <v>0</v>
      </c>
      <c r="K229" s="209">
        <f t="shared" ref="K229:L234" si="174">IF(J188=0,0,K188/J188-1)</f>
        <v>0</v>
      </c>
      <c r="L229" s="209">
        <f t="shared" si="174"/>
        <v>-1</v>
      </c>
      <c r="M229" s="210">
        <f t="shared" ref="M229:M234" si="175">IF(SUM(F188:H188)=0,0,SUM(J188:L188)/SUM(F188:H188)-1)</f>
        <v>-0.15789473684210531</v>
      </c>
      <c r="N229" s="209">
        <f t="shared" ref="N229:N234" si="176">IF(L188=0,0,N188/L188-1)</f>
        <v>0</v>
      </c>
      <c r="O229" s="209">
        <f t="shared" ref="O229:P234" si="177">IF(N188=0,0,O188/N188-1)</f>
        <v>0</v>
      </c>
      <c r="P229" s="209">
        <f t="shared" si="177"/>
        <v>0</v>
      </c>
      <c r="Q229" s="210">
        <f t="shared" ref="Q229:Q234" si="178">IF(SUM(J188:L188)=0,0,SUM(N188:P188)/SUM(J188:L188)-1)</f>
        <v>-1</v>
      </c>
      <c r="R229" s="209">
        <f t="shared" ref="R229:R234" si="179">IF(P188=0,0,R188/P188-1)</f>
        <v>0</v>
      </c>
      <c r="S229" s="209">
        <f t="shared" ref="S229:T234" si="180">IF(R188=0,0,S188/R188-1)</f>
        <v>0</v>
      </c>
      <c r="T229" s="209">
        <f t="shared" si="180"/>
        <v>0</v>
      </c>
      <c r="U229" s="210">
        <f t="shared" ref="U229:U234" si="181">IF(SUM(N188:P188)=0,0,SUM(R188:T188)/SUM(N188:P188)-1)</f>
        <v>0</v>
      </c>
      <c r="V229" s="209">
        <f t="shared" ref="V229:V234" si="182">IF(T188=0,0,V188/T188-1)</f>
        <v>0</v>
      </c>
      <c r="W229" s="209">
        <f t="shared" ref="W229:X234" si="183">IF(V188=0,0,W188/V188-1)</f>
        <v>0</v>
      </c>
      <c r="X229" s="209">
        <f t="shared" si="183"/>
        <v>0</v>
      </c>
      <c r="Y229" s="210">
        <f t="shared" ref="Y229:Y234" si="184">IF(SUM(R188:T188)=0,0,SUM(V188:X188)/SUM(R188:T188)-1)</f>
        <v>0</v>
      </c>
    </row>
    <row r="230" spans="1:25" ht="12.75" hidden="1" customHeight="1" outlineLevel="1" x14ac:dyDescent="0.2">
      <c r="A230" s="198" t="str">
        <f>"         "&amp;Labels!B318</f>
        <v xml:space="preserve">         Channels 2</v>
      </c>
      <c r="B230" s="209"/>
      <c r="C230" s="209">
        <f t="shared" si="168"/>
        <v>0</v>
      </c>
      <c r="D230" s="209">
        <f t="shared" si="168"/>
        <v>0</v>
      </c>
      <c r="E230" s="210">
        <f t="shared" si="169"/>
        <v>0</v>
      </c>
      <c r="F230" s="209">
        <f t="shared" si="170"/>
        <v>0</v>
      </c>
      <c r="G230" s="209">
        <f t="shared" si="171"/>
        <v>-1</v>
      </c>
      <c r="H230" s="209">
        <f t="shared" si="171"/>
        <v>0</v>
      </c>
      <c r="I230" s="210">
        <f t="shared" si="172"/>
        <v>0.72727272727272729</v>
      </c>
      <c r="J230" s="209">
        <f t="shared" si="173"/>
        <v>0</v>
      </c>
      <c r="K230" s="209">
        <f t="shared" si="174"/>
        <v>0</v>
      </c>
      <c r="L230" s="209">
        <f t="shared" si="174"/>
        <v>-1</v>
      </c>
      <c r="M230" s="210">
        <f t="shared" si="175"/>
        <v>-0.15789473684210531</v>
      </c>
      <c r="N230" s="209">
        <f t="shared" si="176"/>
        <v>0</v>
      </c>
      <c r="O230" s="209">
        <f t="shared" si="177"/>
        <v>0</v>
      </c>
      <c r="P230" s="209">
        <f t="shared" si="177"/>
        <v>0</v>
      </c>
      <c r="Q230" s="210">
        <f t="shared" si="178"/>
        <v>-1</v>
      </c>
      <c r="R230" s="209">
        <f t="shared" si="179"/>
        <v>0</v>
      </c>
      <c r="S230" s="209">
        <f t="shared" si="180"/>
        <v>0</v>
      </c>
      <c r="T230" s="209">
        <f t="shared" si="180"/>
        <v>0</v>
      </c>
      <c r="U230" s="210">
        <f t="shared" si="181"/>
        <v>0</v>
      </c>
      <c r="V230" s="209">
        <f t="shared" si="182"/>
        <v>0</v>
      </c>
      <c r="W230" s="209">
        <f t="shared" si="183"/>
        <v>0</v>
      </c>
      <c r="X230" s="209">
        <f t="shared" si="183"/>
        <v>0</v>
      </c>
      <c r="Y230" s="210">
        <f t="shared" si="184"/>
        <v>0</v>
      </c>
    </row>
    <row r="231" spans="1:25" ht="12.75" hidden="1" customHeight="1" outlineLevel="1" x14ac:dyDescent="0.2">
      <c r="A231" s="198" t="str">
        <f>"         "&amp;Labels!C316</f>
        <v xml:space="preserve">         Total</v>
      </c>
      <c r="B231" s="233"/>
      <c r="C231" s="233">
        <f t="shared" si="168"/>
        <v>0</v>
      </c>
      <c r="D231" s="233">
        <f t="shared" si="168"/>
        <v>0</v>
      </c>
      <c r="E231" s="234">
        <f t="shared" si="169"/>
        <v>0</v>
      </c>
      <c r="F231" s="233">
        <f t="shared" si="170"/>
        <v>0</v>
      </c>
      <c r="G231" s="233">
        <f t="shared" si="171"/>
        <v>-1</v>
      </c>
      <c r="H231" s="233">
        <f t="shared" si="171"/>
        <v>0</v>
      </c>
      <c r="I231" s="234">
        <f t="shared" si="172"/>
        <v>0.72727272727272729</v>
      </c>
      <c r="J231" s="233">
        <f t="shared" si="173"/>
        <v>0</v>
      </c>
      <c r="K231" s="233">
        <f t="shared" si="174"/>
        <v>0</v>
      </c>
      <c r="L231" s="233">
        <f t="shared" si="174"/>
        <v>-1</v>
      </c>
      <c r="M231" s="234">
        <f t="shared" si="175"/>
        <v>-0.15789473684210531</v>
      </c>
      <c r="N231" s="233">
        <f t="shared" si="176"/>
        <v>0</v>
      </c>
      <c r="O231" s="233">
        <f t="shared" si="177"/>
        <v>0</v>
      </c>
      <c r="P231" s="233">
        <f t="shared" si="177"/>
        <v>0</v>
      </c>
      <c r="Q231" s="234">
        <f t="shared" si="178"/>
        <v>-1</v>
      </c>
      <c r="R231" s="233">
        <f t="shared" si="179"/>
        <v>0</v>
      </c>
      <c r="S231" s="233">
        <f t="shared" si="180"/>
        <v>0</v>
      </c>
      <c r="T231" s="233">
        <f t="shared" si="180"/>
        <v>0</v>
      </c>
      <c r="U231" s="234">
        <f t="shared" si="181"/>
        <v>0</v>
      </c>
      <c r="V231" s="233">
        <f t="shared" si="182"/>
        <v>0</v>
      </c>
      <c r="W231" s="233">
        <f t="shared" si="183"/>
        <v>0</v>
      </c>
      <c r="X231" s="233">
        <f t="shared" si="183"/>
        <v>0</v>
      </c>
      <c r="Y231" s="234">
        <f t="shared" si="184"/>
        <v>0</v>
      </c>
    </row>
    <row r="232" spans="1:25" ht="12.75" hidden="1" customHeight="1" outlineLevel="1" x14ac:dyDescent="0.2">
      <c r="A232" s="188" t="str">
        <f>"      "&amp;Labels!C384</f>
        <v xml:space="preserve">      Total</v>
      </c>
      <c r="B232" s="218"/>
      <c r="C232" s="218">
        <f t="shared" si="168"/>
        <v>0</v>
      </c>
      <c r="D232" s="218">
        <f t="shared" si="168"/>
        <v>0</v>
      </c>
      <c r="E232" s="219">
        <f t="shared" si="169"/>
        <v>0</v>
      </c>
      <c r="F232" s="218">
        <f t="shared" si="170"/>
        <v>0</v>
      </c>
      <c r="G232" s="218">
        <f t="shared" si="171"/>
        <v>-1</v>
      </c>
      <c r="H232" s="218">
        <f t="shared" si="171"/>
        <v>0</v>
      </c>
      <c r="I232" s="219">
        <f t="shared" si="172"/>
        <v>0.72727272727272729</v>
      </c>
      <c r="J232" s="218">
        <f t="shared" si="173"/>
        <v>0</v>
      </c>
      <c r="K232" s="218">
        <f t="shared" si="174"/>
        <v>0</v>
      </c>
      <c r="L232" s="218">
        <f t="shared" si="174"/>
        <v>-1</v>
      </c>
      <c r="M232" s="219">
        <f t="shared" si="175"/>
        <v>-0.15789473684210531</v>
      </c>
      <c r="N232" s="218">
        <f t="shared" si="176"/>
        <v>0</v>
      </c>
      <c r="O232" s="218">
        <f t="shared" si="177"/>
        <v>0</v>
      </c>
      <c r="P232" s="218">
        <f t="shared" si="177"/>
        <v>0</v>
      </c>
      <c r="Q232" s="219">
        <f t="shared" si="178"/>
        <v>-1</v>
      </c>
      <c r="R232" s="218">
        <f t="shared" si="179"/>
        <v>0</v>
      </c>
      <c r="S232" s="218">
        <f t="shared" si="180"/>
        <v>0</v>
      </c>
      <c r="T232" s="218">
        <f t="shared" si="180"/>
        <v>0</v>
      </c>
      <c r="U232" s="219">
        <f t="shared" si="181"/>
        <v>0</v>
      </c>
      <c r="V232" s="218">
        <f t="shared" si="182"/>
        <v>0</v>
      </c>
      <c r="W232" s="218">
        <f t="shared" si="183"/>
        <v>0</v>
      </c>
      <c r="X232" s="218">
        <f t="shared" si="183"/>
        <v>0</v>
      </c>
      <c r="Y232" s="219">
        <f t="shared" si="184"/>
        <v>0</v>
      </c>
    </row>
    <row r="233" spans="1:25" ht="12.75" hidden="1" customHeight="1" outlineLevel="1" x14ac:dyDescent="0.2">
      <c r="A233" s="198" t="str">
        <f>"         "&amp;Labels!B317</f>
        <v xml:space="preserve">         Channels 1</v>
      </c>
      <c r="B233" s="209"/>
      <c r="C233" s="209">
        <f t="shared" si="168"/>
        <v>0</v>
      </c>
      <c r="D233" s="209">
        <f t="shared" si="168"/>
        <v>0</v>
      </c>
      <c r="E233" s="210">
        <f t="shared" si="169"/>
        <v>0</v>
      </c>
      <c r="F233" s="209">
        <f t="shared" si="170"/>
        <v>0</v>
      </c>
      <c r="G233" s="209">
        <f t="shared" si="171"/>
        <v>-1</v>
      </c>
      <c r="H233" s="209">
        <f t="shared" si="171"/>
        <v>0</v>
      </c>
      <c r="I233" s="210">
        <f t="shared" si="172"/>
        <v>0.72727272727272729</v>
      </c>
      <c r="J233" s="209">
        <f t="shared" si="173"/>
        <v>0</v>
      </c>
      <c r="K233" s="209">
        <f t="shared" si="174"/>
        <v>0</v>
      </c>
      <c r="L233" s="209">
        <f t="shared" si="174"/>
        <v>-1</v>
      </c>
      <c r="M233" s="210">
        <f t="shared" si="175"/>
        <v>-0.15789473684210531</v>
      </c>
      <c r="N233" s="209">
        <f t="shared" si="176"/>
        <v>0</v>
      </c>
      <c r="O233" s="209">
        <f t="shared" si="177"/>
        <v>0</v>
      </c>
      <c r="P233" s="209">
        <f t="shared" si="177"/>
        <v>0</v>
      </c>
      <c r="Q233" s="210">
        <f t="shared" si="178"/>
        <v>-1</v>
      </c>
      <c r="R233" s="209">
        <f t="shared" si="179"/>
        <v>0</v>
      </c>
      <c r="S233" s="209">
        <f t="shared" si="180"/>
        <v>0</v>
      </c>
      <c r="T233" s="209">
        <f t="shared" si="180"/>
        <v>0</v>
      </c>
      <c r="U233" s="210">
        <f t="shared" si="181"/>
        <v>0</v>
      </c>
      <c r="V233" s="209">
        <f t="shared" si="182"/>
        <v>0</v>
      </c>
      <c r="W233" s="209">
        <f t="shared" si="183"/>
        <v>0</v>
      </c>
      <c r="X233" s="209">
        <f t="shared" si="183"/>
        <v>0</v>
      </c>
      <c r="Y233" s="210">
        <f t="shared" si="184"/>
        <v>0</v>
      </c>
    </row>
    <row r="234" spans="1:25" ht="12.75" hidden="1" customHeight="1" outlineLevel="1" x14ac:dyDescent="0.2">
      <c r="A234" s="198" t="str">
        <f>"         "&amp;Labels!B318</f>
        <v xml:space="preserve">         Channels 2</v>
      </c>
      <c r="B234" s="209"/>
      <c r="C234" s="209">
        <f t="shared" si="168"/>
        <v>0</v>
      </c>
      <c r="D234" s="209">
        <f t="shared" si="168"/>
        <v>0</v>
      </c>
      <c r="E234" s="210">
        <f t="shared" si="169"/>
        <v>0</v>
      </c>
      <c r="F234" s="209">
        <f t="shared" si="170"/>
        <v>0</v>
      </c>
      <c r="G234" s="209">
        <f t="shared" si="171"/>
        <v>-1</v>
      </c>
      <c r="H234" s="209">
        <f t="shared" si="171"/>
        <v>0</v>
      </c>
      <c r="I234" s="210">
        <f t="shared" si="172"/>
        <v>0.72727272727272729</v>
      </c>
      <c r="J234" s="209">
        <f t="shared" si="173"/>
        <v>0</v>
      </c>
      <c r="K234" s="209">
        <f t="shared" si="174"/>
        <v>0</v>
      </c>
      <c r="L234" s="209">
        <f t="shared" si="174"/>
        <v>-1</v>
      </c>
      <c r="M234" s="210">
        <f t="shared" si="175"/>
        <v>-0.15789473684210531</v>
      </c>
      <c r="N234" s="209">
        <f t="shared" si="176"/>
        <v>0</v>
      </c>
      <c r="O234" s="209">
        <f t="shared" si="177"/>
        <v>0</v>
      </c>
      <c r="P234" s="209">
        <f t="shared" si="177"/>
        <v>0</v>
      </c>
      <c r="Q234" s="210">
        <f t="shared" si="178"/>
        <v>-1</v>
      </c>
      <c r="R234" s="209">
        <f t="shared" si="179"/>
        <v>0</v>
      </c>
      <c r="S234" s="209">
        <f t="shared" si="180"/>
        <v>0</v>
      </c>
      <c r="T234" s="209">
        <f t="shared" si="180"/>
        <v>0</v>
      </c>
      <c r="U234" s="210">
        <f t="shared" si="181"/>
        <v>0</v>
      </c>
      <c r="V234" s="209">
        <f t="shared" si="182"/>
        <v>0</v>
      </c>
      <c r="W234" s="209">
        <f t="shared" si="183"/>
        <v>0</v>
      </c>
      <c r="X234" s="209">
        <f t="shared" si="183"/>
        <v>0</v>
      </c>
      <c r="Y234" s="210">
        <f t="shared" si="184"/>
        <v>0</v>
      </c>
    </row>
    <row r="235" spans="1:25" ht="12.75" hidden="1" customHeight="1" outlineLevel="1" x14ac:dyDescent="0.2">
      <c r="A235" s="198" t="str">
        <f>"         "&amp;Labels!C316</f>
        <v xml:space="preserve">         Total</v>
      </c>
      <c r="B235" s="233"/>
      <c r="C235" s="233">
        <f>IF(B191=0,0,C191/B191-1)</f>
        <v>0</v>
      </c>
      <c r="D235" s="233">
        <f>IF(C191=0,0,D191/C191-1)</f>
        <v>0</v>
      </c>
      <c r="E235" s="234">
        <f>IF(0=0,0,SUM(B191:D191)/0-1)</f>
        <v>0</v>
      </c>
      <c r="F235" s="233">
        <f>IF(D191=0,0,F191/D191-1)</f>
        <v>0</v>
      </c>
      <c r="G235" s="233">
        <f>IF(F191=0,0,G191/F191-1)</f>
        <v>-1</v>
      </c>
      <c r="H235" s="233">
        <f>IF(G191=0,0,H191/G191-1)</f>
        <v>0</v>
      </c>
      <c r="I235" s="234">
        <f>IF(SUM(B191:D191)=0,0,SUM(F191:H191)/SUM(B191:D191)-1)</f>
        <v>0.72727272727272729</v>
      </c>
      <c r="J235" s="233">
        <f>IF(H191=0,0,J191/H191-1)</f>
        <v>0</v>
      </c>
      <c r="K235" s="233">
        <f>IF(J191=0,0,K191/J191-1)</f>
        <v>0</v>
      </c>
      <c r="L235" s="233">
        <f>IF(K191=0,0,L191/K191-1)</f>
        <v>-1</v>
      </c>
      <c r="M235" s="234">
        <f>IF(SUM(F191:H191)=0,0,SUM(J191:L191)/SUM(F191:H191)-1)</f>
        <v>-0.15789473684210531</v>
      </c>
      <c r="N235" s="233">
        <f>IF(L191=0,0,N191/L191-1)</f>
        <v>0</v>
      </c>
      <c r="O235" s="233">
        <f>IF(N191=0,0,O191/N191-1)</f>
        <v>0</v>
      </c>
      <c r="P235" s="233">
        <f>IF(O191=0,0,P191/O191-1)</f>
        <v>0</v>
      </c>
      <c r="Q235" s="234">
        <f>IF(SUM(J191:L191)=0,0,SUM(N191:P191)/SUM(J191:L191)-1)</f>
        <v>-1</v>
      </c>
      <c r="R235" s="233">
        <f>IF(P191=0,0,R191/P191-1)</f>
        <v>0</v>
      </c>
      <c r="S235" s="233">
        <f>IF(R191=0,0,S191/R191-1)</f>
        <v>0</v>
      </c>
      <c r="T235" s="233">
        <f>IF(S191=0,0,T191/S191-1)</f>
        <v>0</v>
      </c>
      <c r="U235" s="234">
        <f>IF(SUM(N191:P191)=0,0,SUM(R191:T191)/SUM(N191:P191)-1)</f>
        <v>0</v>
      </c>
      <c r="V235" s="233">
        <f>IF(T191=0,0,V191/T191-1)</f>
        <v>0</v>
      </c>
      <c r="W235" s="233">
        <f>IF(V191=0,0,W191/V191-1)</f>
        <v>0</v>
      </c>
      <c r="X235" s="233">
        <f>IF(W191=0,0,X191/W191-1)</f>
        <v>0</v>
      </c>
      <c r="Y235" s="234">
        <f>IF(SUM(R191:T191)=0,0,SUM(V191:X191)/SUM(R191:T191)-1)</f>
        <v>0</v>
      </c>
    </row>
    <row r="236" spans="1:25" ht="12.75" hidden="1" customHeight="1" outlineLevel="1" x14ac:dyDescent="0.2">
      <c r="A236" s="188" t="str">
        <f>"   "&amp;Labels!B382</f>
        <v xml:space="preserve">   Practice 2</v>
      </c>
      <c r="B236" s="218"/>
      <c r="C236" s="218"/>
      <c r="D236" s="218"/>
      <c r="E236" s="219"/>
      <c r="F236" s="218"/>
      <c r="G236" s="218"/>
      <c r="H236" s="218"/>
      <c r="I236" s="219"/>
      <c r="J236" s="218"/>
      <c r="K236" s="218"/>
      <c r="L236" s="218"/>
      <c r="M236" s="219"/>
      <c r="N236" s="218"/>
      <c r="O236" s="218"/>
      <c r="P236" s="218"/>
      <c r="Q236" s="219"/>
      <c r="R236" s="218"/>
      <c r="S236" s="218"/>
      <c r="T236" s="218"/>
      <c r="U236" s="219"/>
      <c r="V236" s="218"/>
      <c r="W236" s="218"/>
      <c r="X236" s="218"/>
      <c r="Y236" s="219"/>
    </row>
    <row r="237" spans="1:25" ht="12.75" hidden="1" customHeight="1" outlineLevel="1" x14ac:dyDescent="0.2">
      <c r="A237" s="198" t="str">
        <f>"      "&amp;Labels!B385</f>
        <v xml:space="preserve">      Prof Level 1</v>
      </c>
      <c r="B237" s="233"/>
      <c r="C237" s="233"/>
      <c r="D237" s="233"/>
      <c r="E237" s="234"/>
      <c r="F237" s="233"/>
      <c r="G237" s="233"/>
      <c r="H237" s="233"/>
      <c r="I237" s="234"/>
      <c r="J237" s="233"/>
      <c r="K237" s="233"/>
      <c r="L237" s="233"/>
      <c r="M237" s="234"/>
      <c r="N237" s="233"/>
      <c r="O237" s="233"/>
      <c r="P237" s="233"/>
      <c r="Q237" s="234"/>
      <c r="R237" s="233"/>
      <c r="S237" s="233"/>
      <c r="T237" s="233"/>
      <c r="U237" s="234"/>
      <c r="V237" s="233"/>
      <c r="W237" s="233"/>
      <c r="X237" s="233"/>
      <c r="Y237" s="234"/>
    </row>
    <row r="238" spans="1:25" ht="12.75" hidden="1" customHeight="1" outlineLevel="1" x14ac:dyDescent="0.2">
      <c r="A238" s="198" t="str">
        <f>"         "&amp;Labels!B317</f>
        <v xml:space="preserve">         Channels 1</v>
      </c>
      <c r="B238" s="209"/>
      <c r="C238" s="209">
        <f t="shared" ref="C238:D240" si="185">IF(B197=0,0,C197/B197-1)</f>
        <v>0</v>
      </c>
      <c r="D238" s="209">
        <f t="shared" si="185"/>
        <v>0</v>
      </c>
      <c r="E238" s="210">
        <f>IF(0=0,0,SUM(B197:D197)/0-1)</f>
        <v>0</v>
      </c>
      <c r="F238" s="209">
        <f>IF(D197=0,0,F197/D197-1)</f>
        <v>0</v>
      </c>
      <c r="G238" s="209">
        <f t="shared" ref="G238:H240" si="186">IF(F197=0,0,G197/F197-1)</f>
        <v>0</v>
      </c>
      <c r="H238" s="209">
        <f t="shared" si="186"/>
        <v>0</v>
      </c>
      <c r="I238" s="210">
        <f>IF(SUM(B197:D197)=0,0,SUM(F197:H197)/SUM(B197:D197)-1)</f>
        <v>0</v>
      </c>
      <c r="J238" s="209">
        <f>IF(H197=0,0,J197/H197-1)</f>
        <v>0</v>
      </c>
      <c r="K238" s="209">
        <f t="shared" ref="K238:L240" si="187">IF(J197=0,0,K197/J197-1)</f>
        <v>0</v>
      </c>
      <c r="L238" s="209">
        <f t="shared" si="187"/>
        <v>0</v>
      </c>
      <c r="M238" s="210">
        <f>IF(SUM(F197:H197)=0,0,SUM(J197:L197)/SUM(F197:H197)-1)</f>
        <v>0</v>
      </c>
      <c r="N238" s="209">
        <f>IF(L197=0,0,N197/L197-1)</f>
        <v>0</v>
      </c>
      <c r="O238" s="209">
        <f t="shared" ref="O238:P240" si="188">IF(N197=0,0,O197/N197-1)</f>
        <v>0</v>
      </c>
      <c r="P238" s="209">
        <f t="shared" si="188"/>
        <v>0</v>
      </c>
      <c r="Q238" s="210">
        <f>IF(SUM(J197:L197)=0,0,SUM(N197:P197)/SUM(J197:L197)-1)</f>
        <v>0</v>
      </c>
      <c r="R238" s="209">
        <f>IF(P197=0,0,R197/P197-1)</f>
        <v>0</v>
      </c>
      <c r="S238" s="209">
        <f t="shared" ref="S238:T240" si="189">IF(R197=0,0,S197/R197-1)</f>
        <v>0</v>
      </c>
      <c r="T238" s="209">
        <f t="shared" si="189"/>
        <v>0</v>
      </c>
      <c r="U238" s="210">
        <f>IF(SUM(N197:P197)=0,0,SUM(R197:T197)/SUM(N197:P197)-1)</f>
        <v>0</v>
      </c>
      <c r="V238" s="209">
        <f>IF(T197=0,0,V197/T197-1)</f>
        <v>0</v>
      </c>
      <c r="W238" s="209">
        <f t="shared" ref="W238:X240" si="190">IF(V197=0,0,W197/V197-1)</f>
        <v>0</v>
      </c>
      <c r="X238" s="209">
        <f t="shared" si="190"/>
        <v>0</v>
      </c>
      <c r="Y238" s="210">
        <f>IF(SUM(R197:T197)=0,0,SUM(V197:X197)/SUM(R197:T197)-1)</f>
        <v>0</v>
      </c>
    </row>
    <row r="239" spans="1:25" ht="12.75" hidden="1" customHeight="1" outlineLevel="1" x14ac:dyDescent="0.2">
      <c r="A239" s="198" t="str">
        <f>"         "&amp;Labels!B318</f>
        <v xml:space="preserve">         Channels 2</v>
      </c>
      <c r="B239" s="209"/>
      <c r="C239" s="209">
        <f t="shared" si="185"/>
        <v>0</v>
      </c>
      <c r="D239" s="209">
        <f t="shared" si="185"/>
        <v>0</v>
      </c>
      <c r="E239" s="210">
        <f>IF(0=0,0,SUM(B198:D198)/0-1)</f>
        <v>0</v>
      </c>
      <c r="F239" s="209">
        <f>IF(D198=0,0,F198/D198-1)</f>
        <v>0</v>
      </c>
      <c r="G239" s="209">
        <f t="shared" si="186"/>
        <v>0</v>
      </c>
      <c r="H239" s="209">
        <f t="shared" si="186"/>
        <v>0</v>
      </c>
      <c r="I239" s="210">
        <f>IF(SUM(B198:D198)=0,0,SUM(F198:H198)/SUM(B198:D198)-1)</f>
        <v>0</v>
      </c>
      <c r="J239" s="209">
        <f>IF(H198=0,0,J198/H198-1)</f>
        <v>0</v>
      </c>
      <c r="K239" s="209">
        <f t="shared" si="187"/>
        <v>0</v>
      </c>
      <c r="L239" s="209">
        <f t="shared" si="187"/>
        <v>0</v>
      </c>
      <c r="M239" s="210">
        <f>IF(SUM(F198:H198)=0,0,SUM(J198:L198)/SUM(F198:H198)-1)</f>
        <v>0</v>
      </c>
      <c r="N239" s="209">
        <f>IF(L198=0,0,N198/L198-1)</f>
        <v>0</v>
      </c>
      <c r="O239" s="209">
        <f t="shared" si="188"/>
        <v>0</v>
      </c>
      <c r="P239" s="209">
        <f t="shared" si="188"/>
        <v>0</v>
      </c>
      <c r="Q239" s="210">
        <f>IF(SUM(J198:L198)=0,0,SUM(N198:P198)/SUM(J198:L198)-1)</f>
        <v>0</v>
      </c>
      <c r="R239" s="209">
        <f>IF(P198=0,0,R198/P198-1)</f>
        <v>0</v>
      </c>
      <c r="S239" s="209">
        <f t="shared" si="189"/>
        <v>0</v>
      </c>
      <c r="T239" s="209">
        <f t="shared" si="189"/>
        <v>0</v>
      </c>
      <c r="U239" s="210">
        <f>IF(SUM(N198:P198)=0,0,SUM(R198:T198)/SUM(N198:P198)-1)</f>
        <v>0</v>
      </c>
      <c r="V239" s="209">
        <f>IF(T198=0,0,V198/T198-1)</f>
        <v>0</v>
      </c>
      <c r="W239" s="209">
        <f t="shared" si="190"/>
        <v>0</v>
      </c>
      <c r="X239" s="209">
        <f t="shared" si="190"/>
        <v>0</v>
      </c>
      <c r="Y239" s="210">
        <f>IF(SUM(R198:T198)=0,0,SUM(V198:X198)/SUM(R198:T198)-1)</f>
        <v>0</v>
      </c>
    </row>
    <row r="240" spans="1:25" ht="12.75" hidden="1" customHeight="1" outlineLevel="1" x14ac:dyDescent="0.2">
      <c r="A240" s="198" t="str">
        <f>"         "&amp;Labels!C316</f>
        <v xml:space="preserve">         Total</v>
      </c>
      <c r="B240" s="233"/>
      <c r="C240" s="233">
        <f t="shared" si="185"/>
        <v>0</v>
      </c>
      <c r="D240" s="233">
        <f t="shared" si="185"/>
        <v>0</v>
      </c>
      <c r="E240" s="234">
        <f>IF(0=0,0,SUM(B199:D199)/0-1)</f>
        <v>0</v>
      </c>
      <c r="F240" s="233">
        <f>IF(D199=0,0,F199/D199-1)</f>
        <v>0</v>
      </c>
      <c r="G240" s="233">
        <f t="shared" si="186"/>
        <v>0</v>
      </c>
      <c r="H240" s="233">
        <f t="shared" si="186"/>
        <v>0</v>
      </c>
      <c r="I240" s="234">
        <f>IF(SUM(B199:D199)=0,0,SUM(F199:H199)/SUM(B199:D199)-1)</f>
        <v>0</v>
      </c>
      <c r="J240" s="233">
        <f>IF(H199=0,0,J199/H199-1)</f>
        <v>0</v>
      </c>
      <c r="K240" s="233">
        <f t="shared" si="187"/>
        <v>0</v>
      </c>
      <c r="L240" s="233">
        <f t="shared" si="187"/>
        <v>0</v>
      </c>
      <c r="M240" s="234">
        <f>IF(SUM(F199:H199)=0,0,SUM(J199:L199)/SUM(F199:H199)-1)</f>
        <v>0</v>
      </c>
      <c r="N240" s="233">
        <f>IF(L199=0,0,N199/L199-1)</f>
        <v>0</v>
      </c>
      <c r="O240" s="233">
        <f t="shared" si="188"/>
        <v>0</v>
      </c>
      <c r="P240" s="233">
        <f t="shared" si="188"/>
        <v>0</v>
      </c>
      <c r="Q240" s="234">
        <f>IF(SUM(J199:L199)=0,0,SUM(N199:P199)/SUM(J199:L199)-1)</f>
        <v>0</v>
      </c>
      <c r="R240" s="233">
        <f>IF(P199=0,0,R199/P199-1)</f>
        <v>0</v>
      </c>
      <c r="S240" s="233">
        <f t="shared" si="189"/>
        <v>0</v>
      </c>
      <c r="T240" s="233">
        <f t="shared" si="189"/>
        <v>0</v>
      </c>
      <c r="U240" s="234">
        <f>IF(SUM(N199:P199)=0,0,SUM(R199:T199)/SUM(N199:P199)-1)</f>
        <v>0</v>
      </c>
      <c r="V240" s="233">
        <f>IF(T199=0,0,V199/T199-1)</f>
        <v>0</v>
      </c>
      <c r="W240" s="233">
        <f t="shared" si="190"/>
        <v>0</v>
      </c>
      <c r="X240" s="233">
        <f t="shared" si="190"/>
        <v>0</v>
      </c>
      <c r="Y240" s="234">
        <f>IF(SUM(R199:T199)=0,0,SUM(V199:X199)/SUM(R199:T199)-1)</f>
        <v>0</v>
      </c>
    </row>
    <row r="241" spans="1:25" ht="12.75" hidden="1" customHeight="1" outlineLevel="1" x14ac:dyDescent="0.2">
      <c r="A241" s="198" t="str">
        <f>"      "&amp;Labels!B386</f>
        <v xml:space="preserve">      Prof Level 2</v>
      </c>
      <c r="B241" s="233"/>
      <c r="C241" s="233"/>
      <c r="D241" s="233"/>
      <c r="E241" s="234"/>
      <c r="F241" s="233"/>
      <c r="G241" s="233"/>
      <c r="H241" s="233"/>
      <c r="I241" s="234"/>
      <c r="J241" s="233"/>
      <c r="K241" s="233"/>
      <c r="L241" s="233"/>
      <c r="M241" s="234"/>
      <c r="N241" s="233"/>
      <c r="O241" s="233"/>
      <c r="P241" s="233"/>
      <c r="Q241" s="234"/>
      <c r="R241" s="233"/>
      <c r="S241" s="233"/>
      <c r="T241" s="233"/>
      <c r="U241" s="234"/>
      <c r="V241" s="233"/>
      <c r="W241" s="233"/>
      <c r="X241" s="233"/>
      <c r="Y241" s="234"/>
    </row>
    <row r="242" spans="1:25" ht="12.75" hidden="1" customHeight="1" outlineLevel="1" x14ac:dyDescent="0.2">
      <c r="A242" s="198" t="str">
        <f>"         "&amp;Labels!B317</f>
        <v xml:space="preserve">         Channels 1</v>
      </c>
      <c r="B242" s="209"/>
      <c r="C242" s="209">
        <f t="shared" ref="C242:D247" si="191">IF(B201=0,0,C201/B201-1)</f>
        <v>0</v>
      </c>
      <c r="D242" s="209">
        <f t="shared" si="191"/>
        <v>0</v>
      </c>
      <c r="E242" s="210">
        <f t="shared" ref="E242:E247" si="192">IF(0=0,0,SUM(B201:D201)/0-1)</f>
        <v>0</v>
      </c>
      <c r="F242" s="209">
        <f t="shared" ref="F242:F247" si="193">IF(D201=0,0,F201/D201-1)</f>
        <v>0</v>
      </c>
      <c r="G242" s="209">
        <f t="shared" ref="G242:H247" si="194">IF(F201=0,0,G201/F201-1)</f>
        <v>0</v>
      </c>
      <c r="H242" s="209">
        <f t="shared" si="194"/>
        <v>0</v>
      </c>
      <c r="I242" s="210">
        <f t="shared" ref="I242:I247" si="195">IF(SUM(B201:D201)=0,0,SUM(F201:H201)/SUM(B201:D201)-1)</f>
        <v>0</v>
      </c>
      <c r="J242" s="209">
        <f t="shared" ref="J242:J247" si="196">IF(H201=0,0,J201/H201-1)</f>
        <v>0</v>
      </c>
      <c r="K242" s="209">
        <f t="shared" ref="K242:L247" si="197">IF(J201=0,0,K201/J201-1)</f>
        <v>0</v>
      </c>
      <c r="L242" s="209">
        <f t="shared" si="197"/>
        <v>0</v>
      </c>
      <c r="M242" s="210">
        <f t="shared" ref="M242:M247" si="198">IF(SUM(F201:H201)=0,0,SUM(J201:L201)/SUM(F201:H201)-1)</f>
        <v>0</v>
      </c>
      <c r="N242" s="209">
        <f t="shared" ref="N242:N247" si="199">IF(L201=0,0,N201/L201-1)</f>
        <v>0</v>
      </c>
      <c r="O242" s="209">
        <f t="shared" ref="O242:P247" si="200">IF(N201=0,0,O201/N201-1)</f>
        <v>0</v>
      </c>
      <c r="P242" s="209">
        <f t="shared" si="200"/>
        <v>0</v>
      </c>
      <c r="Q242" s="210">
        <f t="shared" ref="Q242:Q247" si="201">IF(SUM(J201:L201)=0,0,SUM(N201:P201)/SUM(J201:L201)-1)</f>
        <v>0</v>
      </c>
      <c r="R242" s="209">
        <f t="shared" ref="R242:R247" si="202">IF(P201=0,0,R201/P201-1)</f>
        <v>0</v>
      </c>
      <c r="S242" s="209">
        <f t="shared" ref="S242:T247" si="203">IF(R201=0,0,S201/R201-1)</f>
        <v>0</v>
      </c>
      <c r="T242" s="209">
        <f t="shared" si="203"/>
        <v>0</v>
      </c>
      <c r="U242" s="210">
        <f t="shared" ref="U242:U247" si="204">IF(SUM(N201:P201)=0,0,SUM(R201:T201)/SUM(N201:P201)-1)</f>
        <v>0</v>
      </c>
      <c r="V242" s="209">
        <f t="shared" ref="V242:V247" si="205">IF(T201=0,0,V201/T201-1)</f>
        <v>0</v>
      </c>
      <c r="W242" s="209">
        <f t="shared" ref="W242:X247" si="206">IF(V201=0,0,W201/V201-1)</f>
        <v>0</v>
      </c>
      <c r="X242" s="209">
        <f t="shared" si="206"/>
        <v>0</v>
      </c>
      <c r="Y242" s="210">
        <f t="shared" ref="Y242:Y247" si="207">IF(SUM(R201:T201)=0,0,SUM(V201:X201)/SUM(R201:T201)-1)</f>
        <v>0</v>
      </c>
    </row>
    <row r="243" spans="1:25" ht="12.75" hidden="1" customHeight="1" outlineLevel="1" x14ac:dyDescent="0.2">
      <c r="A243" s="198" t="str">
        <f>"         "&amp;Labels!B318</f>
        <v xml:space="preserve">         Channels 2</v>
      </c>
      <c r="B243" s="209"/>
      <c r="C243" s="209">
        <f t="shared" si="191"/>
        <v>0</v>
      </c>
      <c r="D243" s="209">
        <f t="shared" si="191"/>
        <v>0</v>
      </c>
      <c r="E243" s="210">
        <f t="shared" si="192"/>
        <v>0</v>
      </c>
      <c r="F243" s="209">
        <f t="shared" si="193"/>
        <v>0</v>
      </c>
      <c r="G243" s="209">
        <f t="shared" si="194"/>
        <v>0</v>
      </c>
      <c r="H243" s="209">
        <f t="shared" si="194"/>
        <v>0</v>
      </c>
      <c r="I243" s="210">
        <f t="shared" si="195"/>
        <v>0</v>
      </c>
      <c r="J243" s="209">
        <f t="shared" si="196"/>
        <v>0</v>
      </c>
      <c r="K243" s="209">
        <f t="shared" si="197"/>
        <v>0</v>
      </c>
      <c r="L243" s="209">
        <f t="shared" si="197"/>
        <v>0</v>
      </c>
      <c r="M243" s="210">
        <f t="shared" si="198"/>
        <v>0</v>
      </c>
      <c r="N243" s="209">
        <f t="shared" si="199"/>
        <v>0</v>
      </c>
      <c r="O243" s="209">
        <f t="shared" si="200"/>
        <v>0</v>
      </c>
      <c r="P243" s="209">
        <f t="shared" si="200"/>
        <v>0</v>
      </c>
      <c r="Q243" s="210">
        <f t="shared" si="201"/>
        <v>0</v>
      </c>
      <c r="R243" s="209">
        <f t="shared" si="202"/>
        <v>0</v>
      </c>
      <c r="S243" s="209">
        <f t="shared" si="203"/>
        <v>0</v>
      </c>
      <c r="T243" s="209">
        <f t="shared" si="203"/>
        <v>0</v>
      </c>
      <c r="U243" s="210">
        <f t="shared" si="204"/>
        <v>0</v>
      </c>
      <c r="V243" s="209">
        <f t="shared" si="205"/>
        <v>0</v>
      </c>
      <c r="W243" s="209">
        <f t="shared" si="206"/>
        <v>0</v>
      </c>
      <c r="X243" s="209">
        <f t="shared" si="206"/>
        <v>0</v>
      </c>
      <c r="Y243" s="210">
        <f t="shared" si="207"/>
        <v>0</v>
      </c>
    </row>
    <row r="244" spans="1:25" ht="12.75" hidden="1" customHeight="1" outlineLevel="1" x14ac:dyDescent="0.2">
      <c r="A244" s="198" t="str">
        <f>"         "&amp;Labels!C316</f>
        <v xml:space="preserve">         Total</v>
      </c>
      <c r="B244" s="233"/>
      <c r="C244" s="233">
        <f t="shared" si="191"/>
        <v>0</v>
      </c>
      <c r="D244" s="233">
        <f t="shared" si="191"/>
        <v>0</v>
      </c>
      <c r="E244" s="234">
        <f t="shared" si="192"/>
        <v>0</v>
      </c>
      <c r="F244" s="233">
        <f t="shared" si="193"/>
        <v>0</v>
      </c>
      <c r="G244" s="233">
        <f t="shared" si="194"/>
        <v>0</v>
      </c>
      <c r="H244" s="233">
        <f t="shared" si="194"/>
        <v>0</v>
      </c>
      <c r="I244" s="234">
        <f t="shared" si="195"/>
        <v>0</v>
      </c>
      <c r="J244" s="233">
        <f t="shared" si="196"/>
        <v>0</v>
      </c>
      <c r="K244" s="233">
        <f t="shared" si="197"/>
        <v>0</v>
      </c>
      <c r="L244" s="233">
        <f t="shared" si="197"/>
        <v>0</v>
      </c>
      <c r="M244" s="234">
        <f t="shared" si="198"/>
        <v>0</v>
      </c>
      <c r="N244" s="233">
        <f t="shared" si="199"/>
        <v>0</v>
      </c>
      <c r="O244" s="233">
        <f t="shared" si="200"/>
        <v>0</v>
      </c>
      <c r="P244" s="233">
        <f t="shared" si="200"/>
        <v>0</v>
      </c>
      <c r="Q244" s="234">
        <f t="shared" si="201"/>
        <v>0</v>
      </c>
      <c r="R244" s="233">
        <f t="shared" si="202"/>
        <v>0</v>
      </c>
      <c r="S244" s="233">
        <f t="shared" si="203"/>
        <v>0</v>
      </c>
      <c r="T244" s="233">
        <f t="shared" si="203"/>
        <v>0</v>
      </c>
      <c r="U244" s="234">
        <f t="shared" si="204"/>
        <v>0</v>
      </c>
      <c r="V244" s="233">
        <f t="shared" si="205"/>
        <v>0</v>
      </c>
      <c r="W244" s="233">
        <f t="shared" si="206"/>
        <v>0</v>
      </c>
      <c r="X244" s="233">
        <f t="shared" si="206"/>
        <v>0</v>
      </c>
      <c r="Y244" s="234">
        <f t="shared" si="207"/>
        <v>0</v>
      </c>
    </row>
    <row r="245" spans="1:25" ht="12.75" hidden="1" customHeight="1" outlineLevel="1" x14ac:dyDescent="0.2">
      <c r="A245" s="188" t="str">
        <f>"      "&amp;Labels!C384</f>
        <v xml:space="preserve">      Total</v>
      </c>
      <c r="B245" s="218"/>
      <c r="C245" s="218">
        <f t="shared" si="191"/>
        <v>0</v>
      </c>
      <c r="D245" s="218">
        <f t="shared" si="191"/>
        <v>0</v>
      </c>
      <c r="E245" s="219">
        <f t="shared" si="192"/>
        <v>0</v>
      </c>
      <c r="F245" s="218">
        <f t="shared" si="193"/>
        <v>0</v>
      </c>
      <c r="G245" s="218">
        <f t="shared" si="194"/>
        <v>0</v>
      </c>
      <c r="H245" s="218">
        <f t="shared" si="194"/>
        <v>0</v>
      </c>
      <c r="I245" s="219">
        <f t="shared" si="195"/>
        <v>0</v>
      </c>
      <c r="J245" s="218">
        <f t="shared" si="196"/>
        <v>0</v>
      </c>
      <c r="K245" s="218">
        <f t="shared" si="197"/>
        <v>0</v>
      </c>
      <c r="L245" s="218">
        <f t="shared" si="197"/>
        <v>0</v>
      </c>
      <c r="M245" s="219">
        <f t="shared" si="198"/>
        <v>0</v>
      </c>
      <c r="N245" s="218">
        <f t="shared" si="199"/>
        <v>0</v>
      </c>
      <c r="O245" s="218">
        <f t="shared" si="200"/>
        <v>0</v>
      </c>
      <c r="P245" s="218">
        <f t="shared" si="200"/>
        <v>0</v>
      </c>
      <c r="Q245" s="219">
        <f t="shared" si="201"/>
        <v>0</v>
      </c>
      <c r="R245" s="218">
        <f t="shared" si="202"/>
        <v>0</v>
      </c>
      <c r="S245" s="218">
        <f t="shared" si="203"/>
        <v>0</v>
      </c>
      <c r="T245" s="218">
        <f t="shared" si="203"/>
        <v>0</v>
      </c>
      <c r="U245" s="219">
        <f t="shared" si="204"/>
        <v>0</v>
      </c>
      <c r="V245" s="218">
        <f t="shared" si="205"/>
        <v>0</v>
      </c>
      <c r="W245" s="218">
        <f t="shared" si="206"/>
        <v>0</v>
      </c>
      <c r="X245" s="218">
        <f t="shared" si="206"/>
        <v>0</v>
      </c>
      <c r="Y245" s="219">
        <f t="shared" si="207"/>
        <v>0</v>
      </c>
    </row>
    <row r="246" spans="1:25" ht="12.75" hidden="1" customHeight="1" outlineLevel="1" x14ac:dyDescent="0.2">
      <c r="A246" s="198" t="str">
        <f>"         "&amp;Labels!B317</f>
        <v xml:space="preserve">         Channels 1</v>
      </c>
      <c r="B246" s="209"/>
      <c r="C246" s="209">
        <f t="shared" si="191"/>
        <v>0</v>
      </c>
      <c r="D246" s="209">
        <f t="shared" si="191"/>
        <v>0</v>
      </c>
      <c r="E246" s="210">
        <f t="shared" si="192"/>
        <v>0</v>
      </c>
      <c r="F246" s="209">
        <f t="shared" si="193"/>
        <v>0</v>
      </c>
      <c r="G246" s="209">
        <f t="shared" si="194"/>
        <v>0</v>
      </c>
      <c r="H246" s="209">
        <f t="shared" si="194"/>
        <v>0</v>
      </c>
      <c r="I246" s="210">
        <f t="shared" si="195"/>
        <v>0</v>
      </c>
      <c r="J246" s="209">
        <f t="shared" si="196"/>
        <v>0</v>
      </c>
      <c r="K246" s="209">
        <f t="shared" si="197"/>
        <v>0</v>
      </c>
      <c r="L246" s="209">
        <f t="shared" si="197"/>
        <v>0</v>
      </c>
      <c r="M246" s="210">
        <f t="shared" si="198"/>
        <v>0</v>
      </c>
      <c r="N246" s="209">
        <f t="shared" si="199"/>
        <v>0</v>
      </c>
      <c r="O246" s="209">
        <f t="shared" si="200"/>
        <v>0</v>
      </c>
      <c r="P246" s="209">
        <f t="shared" si="200"/>
        <v>0</v>
      </c>
      <c r="Q246" s="210">
        <f t="shared" si="201"/>
        <v>0</v>
      </c>
      <c r="R246" s="209">
        <f t="shared" si="202"/>
        <v>0</v>
      </c>
      <c r="S246" s="209">
        <f t="shared" si="203"/>
        <v>0</v>
      </c>
      <c r="T246" s="209">
        <f t="shared" si="203"/>
        <v>0</v>
      </c>
      <c r="U246" s="210">
        <f t="shared" si="204"/>
        <v>0</v>
      </c>
      <c r="V246" s="209">
        <f t="shared" si="205"/>
        <v>0</v>
      </c>
      <c r="W246" s="209">
        <f t="shared" si="206"/>
        <v>0</v>
      </c>
      <c r="X246" s="209">
        <f t="shared" si="206"/>
        <v>0</v>
      </c>
      <c r="Y246" s="210">
        <f t="shared" si="207"/>
        <v>0</v>
      </c>
    </row>
    <row r="247" spans="1:25" ht="12.75" hidden="1" customHeight="1" outlineLevel="1" x14ac:dyDescent="0.2">
      <c r="A247" s="198" t="str">
        <f>"         "&amp;Labels!B318</f>
        <v xml:space="preserve">         Channels 2</v>
      </c>
      <c r="B247" s="209"/>
      <c r="C247" s="209">
        <f t="shared" si="191"/>
        <v>0</v>
      </c>
      <c r="D247" s="209">
        <f t="shared" si="191"/>
        <v>0</v>
      </c>
      <c r="E247" s="210">
        <f t="shared" si="192"/>
        <v>0</v>
      </c>
      <c r="F247" s="209">
        <f t="shared" si="193"/>
        <v>0</v>
      </c>
      <c r="G247" s="209">
        <f t="shared" si="194"/>
        <v>0</v>
      </c>
      <c r="H247" s="209">
        <f t="shared" si="194"/>
        <v>0</v>
      </c>
      <c r="I247" s="210">
        <f t="shared" si="195"/>
        <v>0</v>
      </c>
      <c r="J247" s="209">
        <f t="shared" si="196"/>
        <v>0</v>
      </c>
      <c r="K247" s="209">
        <f t="shared" si="197"/>
        <v>0</v>
      </c>
      <c r="L247" s="209">
        <f t="shared" si="197"/>
        <v>0</v>
      </c>
      <c r="M247" s="210">
        <f t="shared" si="198"/>
        <v>0</v>
      </c>
      <c r="N247" s="209">
        <f t="shared" si="199"/>
        <v>0</v>
      </c>
      <c r="O247" s="209">
        <f t="shared" si="200"/>
        <v>0</v>
      </c>
      <c r="P247" s="209">
        <f t="shared" si="200"/>
        <v>0</v>
      </c>
      <c r="Q247" s="210">
        <f t="shared" si="201"/>
        <v>0</v>
      </c>
      <c r="R247" s="209">
        <f t="shared" si="202"/>
        <v>0</v>
      </c>
      <c r="S247" s="209">
        <f t="shared" si="203"/>
        <v>0</v>
      </c>
      <c r="T247" s="209">
        <f t="shared" si="203"/>
        <v>0</v>
      </c>
      <c r="U247" s="210">
        <f t="shared" si="204"/>
        <v>0</v>
      </c>
      <c r="V247" s="209">
        <f t="shared" si="205"/>
        <v>0</v>
      </c>
      <c r="W247" s="209">
        <f t="shared" si="206"/>
        <v>0</v>
      </c>
      <c r="X247" s="209">
        <f t="shared" si="206"/>
        <v>0</v>
      </c>
      <c r="Y247" s="210">
        <f t="shared" si="207"/>
        <v>0</v>
      </c>
    </row>
    <row r="248" spans="1:25" ht="12.75" hidden="1" customHeight="1" outlineLevel="1" x14ac:dyDescent="0.2">
      <c r="A248" s="198" t="str">
        <f>"         "&amp;Labels!C316</f>
        <v xml:space="preserve">         Total</v>
      </c>
      <c r="B248" s="233"/>
      <c r="C248" s="233">
        <f>IF(B204=0,0,C204/B204-1)</f>
        <v>0</v>
      </c>
      <c r="D248" s="233">
        <f>IF(C204=0,0,D204/C204-1)</f>
        <v>0</v>
      </c>
      <c r="E248" s="234">
        <f>IF(0=0,0,SUM(B204:D204)/0-1)</f>
        <v>0</v>
      </c>
      <c r="F248" s="233">
        <f>IF(D204=0,0,F204/D204-1)</f>
        <v>0</v>
      </c>
      <c r="G248" s="233">
        <f>IF(F204=0,0,G204/F204-1)</f>
        <v>0</v>
      </c>
      <c r="H248" s="233">
        <f>IF(G204=0,0,H204/G204-1)</f>
        <v>0</v>
      </c>
      <c r="I248" s="234">
        <f>IF(SUM(B204:D204)=0,0,SUM(F204:H204)/SUM(B204:D204)-1)</f>
        <v>0</v>
      </c>
      <c r="J248" s="233">
        <f>IF(H204=0,0,J204/H204-1)</f>
        <v>0</v>
      </c>
      <c r="K248" s="233">
        <f>IF(J204=0,0,K204/J204-1)</f>
        <v>0</v>
      </c>
      <c r="L248" s="233">
        <f>IF(K204=0,0,L204/K204-1)</f>
        <v>0</v>
      </c>
      <c r="M248" s="234">
        <f>IF(SUM(F204:H204)=0,0,SUM(J204:L204)/SUM(F204:H204)-1)</f>
        <v>0</v>
      </c>
      <c r="N248" s="233">
        <f>IF(L204=0,0,N204/L204-1)</f>
        <v>0</v>
      </c>
      <c r="O248" s="233">
        <f>IF(N204=0,0,O204/N204-1)</f>
        <v>0</v>
      </c>
      <c r="P248" s="233">
        <f>IF(O204=0,0,P204/O204-1)</f>
        <v>0</v>
      </c>
      <c r="Q248" s="234">
        <f>IF(SUM(J204:L204)=0,0,SUM(N204:P204)/SUM(J204:L204)-1)</f>
        <v>0</v>
      </c>
      <c r="R248" s="233">
        <f>IF(P204=0,0,R204/P204-1)</f>
        <v>0</v>
      </c>
      <c r="S248" s="233">
        <f>IF(R204=0,0,S204/R204-1)</f>
        <v>0</v>
      </c>
      <c r="T248" s="233">
        <f>IF(S204=0,0,T204/S204-1)</f>
        <v>0</v>
      </c>
      <c r="U248" s="234">
        <f>IF(SUM(N204:P204)=0,0,SUM(R204:T204)/SUM(N204:P204)-1)</f>
        <v>0</v>
      </c>
      <c r="V248" s="233">
        <f>IF(T204=0,0,V204/T204-1)</f>
        <v>0</v>
      </c>
      <c r="W248" s="233">
        <f>IF(V204=0,0,W204/V204-1)</f>
        <v>0</v>
      </c>
      <c r="X248" s="233">
        <f>IF(W204=0,0,X204/W204-1)</f>
        <v>0</v>
      </c>
      <c r="Y248" s="234">
        <f>IF(SUM(R204:T204)=0,0,SUM(V204:X204)/SUM(R204:T204)-1)</f>
        <v>0</v>
      </c>
    </row>
    <row r="249" spans="1:25" ht="12.75" hidden="1" customHeight="1" outlineLevel="1" x14ac:dyDescent="0.2">
      <c r="A249" s="191" t="str">
        <f>"   "&amp;Labels!C380</f>
        <v xml:space="preserve">   Total</v>
      </c>
      <c r="B249" s="211"/>
      <c r="C249" s="211">
        <f>IF(B208=0,0,C208/B208-1)</f>
        <v>0</v>
      </c>
      <c r="D249" s="211">
        <f>IF(C208=0,0,D208/C208-1)</f>
        <v>0</v>
      </c>
      <c r="E249" s="210">
        <f>IF(0=0,0,SUM(B208:D208)/0-1)</f>
        <v>0</v>
      </c>
      <c r="F249" s="211">
        <f>IF(D208=0,0,F208/D208-1)</f>
        <v>0</v>
      </c>
      <c r="G249" s="211">
        <f>IF(F208=0,0,G208/F208-1)</f>
        <v>-1</v>
      </c>
      <c r="H249" s="211">
        <f>IF(G208=0,0,H208/G208-1)</f>
        <v>0</v>
      </c>
      <c r="I249" s="210">
        <f>IF(SUM(B208:D208)=0,0,SUM(F208:H208)/SUM(B208:D208)-1)</f>
        <v>0.72727272727272729</v>
      </c>
      <c r="J249" s="211">
        <f>IF(H208=0,0,J208/H208-1)</f>
        <v>0</v>
      </c>
      <c r="K249" s="211">
        <f>IF(J208=0,0,K208/J208-1)</f>
        <v>0</v>
      </c>
      <c r="L249" s="211">
        <f>IF(K208=0,0,L208/K208-1)</f>
        <v>-1</v>
      </c>
      <c r="M249" s="210">
        <f>IF(SUM(F208:H208)=0,0,SUM(J208:L208)/SUM(F208:H208)-1)</f>
        <v>-0.15789473684210531</v>
      </c>
      <c r="N249" s="211">
        <f>IF(L208=0,0,N208/L208-1)</f>
        <v>0</v>
      </c>
      <c r="O249" s="211">
        <f>IF(N208=0,0,O208/N208-1)</f>
        <v>0</v>
      </c>
      <c r="P249" s="211">
        <f>IF(O208=0,0,P208/O208-1)</f>
        <v>0</v>
      </c>
      <c r="Q249" s="210">
        <f>IF(SUM(J208:L208)=0,0,SUM(N208:P208)/SUM(J208:L208)-1)</f>
        <v>-1</v>
      </c>
      <c r="R249" s="211">
        <f>IF(P208=0,0,R208/P208-1)</f>
        <v>0</v>
      </c>
      <c r="S249" s="211">
        <f>IF(R208=0,0,S208/R208-1)</f>
        <v>0</v>
      </c>
      <c r="T249" s="211">
        <f>IF(S208=0,0,T208/S208-1)</f>
        <v>0</v>
      </c>
      <c r="U249" s="210">
        <f>IF(SUM(N208:P208)=0,0,SUM(R208:T208)/SUM(N208:P208)-1)</f>
        <v>0</v>
      </c>
      <c r="V249" s="211">
        <f>IF(T208=0,0,V208/T208-1)</f>
        <v>0</v>
      </c>
      <c r="W249" s="211">
        <f>IF(V208=0,0,W208/V208-1)</f>
        <v>0</v>
      </c>
      <c r="X249" s="211">
        <f>IF(W208=0,0,X208/W208-1)</f>
        <v>0</v>
      </c>
      <c r="Y249" s="210">
        <f>IF(SUM(R208:T208)=0,0,SUM(V208:X208)/SUM(R208:T208)-1)</f>
        <v>0</v>
      </c>
    </row>
    <row r="250" spans="1:25" ht="12.75" hidden="1" customHeight="1" outlineLevel="1" x14ac:dyDescent="0.2">
      <c r="A250" s="198" t="str">
        <f>"      "&amp;Labels!B385</f>
        <v xml:space="preserve">      Prof Level 1</v>
      </c>
      <c r="B250" s="233"/>
      <c r="C250" s="233"/>
      <c r="D250" s="233"/>
      <c r="E250" s="234"/>
      <c r="F250" s="233"/>
      <c r="G250" s="233"/>
      <c r="H250" s="233"/>
      <c r="I250" s="234"/>
      <c r="J250" s="233"/>
      <c r="K250" s="233"/>
      <c r="L250" s="233"/>
      <c r="M250" s="234"/>
      <c r="N250" s="233"/>
      <c r="O250" s="233"/>
      <c r="P250" s="233"/>
      <c r="Q250" s="234"/>
      <c r="R250" s="233"/>
      <c r="S250" s="233"/>
      <c r="T250" s="233"/>
      <c r="U250" s="234"/>
      <c r="V250" s="233"/>
      <c r="W250" s="233"/>
      <c r="X250" s="233"/>
      <c r="Y250" s="234"/>
    </row>
    <row r="251" spans="1:25" ht="12.75" hidden="1" customHeight="1" outlineLevel="1" x14ac:dyDescent="0.2">
      <c r="A251" s="198" t="str">
        <f>"         "&amp;Labels!B317</f>
        <v xml:space="preserve">         Channels 1</v>
      </c>
      <c r="B251" s="209"/>
      <c r="C251" s="209">
        <f t="shared" ref="C251:D253" si="208">IF(B210=0,0,C210/B210-1)</f>
        <v>0</v>
      </c>
      <c r="D251" s="209">
        <f t="shared" si="208"/>
        <v>0</v>
      </c>
      <c r="E251" s="210">
        <f>IF(0=0,0,SUM(B210:D210)/0-1)</f>
        <v>0</v>
      </c>
      <c r="F251" s="209">
        <f>IF(D210=0,0,F210/D210-1)</f>
        <v>0</v>
      </c>
      <c r="G251" s="209">
        <f t="shared" ref="G251:H253" si="209">IF(F210=0,0,G210/F210-1)</f>
        <v>-1</v>
      </c>
      <c r="H251" s="209">
        <f t="shared" si="209"/>
        <v>0</v>
      </c>
      <c r="I251" s="210">
        <f>IF(SUM(B210:D210)=0,0,SUM(F210:H210)/SUM(B210:D210)-1)</f>
        <v>0.72727272727272729</v>
      </c>
      <c r="J251" s="209">
        <f>IF(H210=0,0,J210/H210-1)</f>
        <v>0</v>
      </c>
      <c r="K251" s="209">
        <f t="shared" ref="K251:L253" si="210">IF(J210=0,0,K210/J210-1)</f>
        <v>0</v>
      </c>
      <c r="L251" s="209">
        <f t="shared" si="210"/>
        <v>-1</v>
      </c>
      <c r="M251" s="210">
        <f>IF(SUM(F210:H210)=0,0,SUM(J210:L210)/SUM(F210:H210)-1)</f>
        <v>-0.15789473684210531</v>
      </c>
      <c r="N251" s="209">
        <f>IF(L210=0,0,N210/L210-1)</f>
        <v>0</v>
      </c>
      <c r="O251" s="209">
        <f t="shared" ref="O251:P253" si="211">IF(N210=0,0,O210/N210-1)</f>
        <v>0</v>
      </c>
      <c r="P251" s="209">
        <f t="shared" si="211"/>
        <v>0</v>
      </c>
      <c r="Q251" s="210">
        <f>IF(SUM(J210:L210)=0,0,SUM(N210:P210)/SUM(J210:L210)-1)</f>
        <v>-1</v>
      </c>
      <c r="R251" s="209">
        <f>IF(P210=0,0,R210/P210-1)</f>
        <v>0</v>
      </c>
      <c r="S251" s="209">
        <f t="shared" ref="S251:T253" si="212">IF(R210=0,0,S210/R210-1)</f>
        <v>0</v>
      </c>
      <c r="T251" s="209">
        <f t="shared" si="212"/>
        <v>0</v>
      </c>
      <c r="U251" s="210">
        <f>IF(SUM(N210:P210)=0,0,SUM(R210:T210)/SUM(N210:P210)-1)</f>
        <v>0</v>
      </c>
      <c r="V251" s="209">
        <f>IF(T210=0,0,V210/T210-1)</f>
        <v>0</v>
      </c>
      <c r="W251" s="209">
        <f t="shared" ref="W251:X253" si="213">IF(V210=0,0,W210/V210-1)</f>
        <v>0</v>
      </c>
      <c r="X251" s="209">
        <f t="shared" si="213"/>
        <v>0</v>
      </c>
      <c r="Y251" s="210">
        <f>IF(SUM(R210:T210)=0,0,SUM(V210:X210)/SUM(R210:T210)-1)</f>
        <v>0</v>
      </c>
    </row>
    <row r="252" spans="1:25" ht="12.75" hidden="1" customHeight="1" outlineLevel="1" x14ac:dyDescent="0.2">
      <c r="A252" s="198" t="str">
        <f>"         "&amp;Labels!B318</f>
        <v xml:space="preserve">         Channels 2</v>
      </c>
      <c r="B252" s="209"/>
      <c r="C252" s="209">
        <f t="shared" si="208"/>
        <v>0</v>
      </c>
      <c r="D252" s="209">
        <f t="shared" si="208"/>
        <v>0</v>
      </c>
      <c r="E252" s="210">
        <f>IF(0=0,0,SUM(B211:D211)/0-1)</f>
        <v>0</v>
      </c>
      <c r="F252" s="209">
        <f>IF(D211=0,0,F211/D211-1)</f>
        <v>0</v>
      </c>
      <c r="G252" s="209">
        <f t="shared" si="209"/>
        <v>-1</v>
      </c>
      <c r="H252" s="209">
        <f t="shared" si="209"/>
        <v>0</v>
      </c>
      <c r="I252" s="210">
        <f>IF(SUM(B211:D211)=0,0,SUM(F211:H211)/SUM(B211:D211)-1)</f>
        <v>0.72727272727272729</v>
      </c>
      <c r="J252" s="209">
        <f>IF(H211=0,0,J211/H211-1)</f>
        <v>0</v>
      </c>
      <c r="K252" s="209">
        <f t="shared" si="210"/>
        <v>0</v>
      </c>
      <c r="L252" s="209">
        <f t="shared" si="210"/>
        <v>-1</v>
      </c>
      <c r="M252" s="210">
        <f>IF(SUM(F211:H211)=0,0,SUM(J211:L211)/SUM(F211:H211)-1)</f>
        <v>-0.15789473684210531</v>
      </c>
      <c r="N252" s="209">
        <f>IF(L211=0,0,N211/L211-1)</f>
        <v>0</v>
      </c>
      <c r="O252" s="209">
        <f t="shared" si="211"/>
        <v>0</v>
      </c>
      <c r="P252" s="209">
        <f t="shared" si="211"/>
        <v>0</v>
      </c>
      <c r="Q252" s="210">
        <f>IF(SUM(J211:L211)=0,0,SUM(N211:P211)/SUM(J211:L211)-1)</f>
        <v>-1</v>
      </c>
      <c r="R252" s="209">
        <f>IF(P211=0,0,R211/P211-1)</f>
        <v>0</v>
      </c>
      <c r="S252" s="209">
        <f t="shared" si="212"/>
        <v>0</v>
      </c>
      <c r="T252" s="209">
        <f t="shared" si="212"/>
        <v>0</v>
      </c>
      <c r="U252" s="210">
        <f>IF(SUM(N211:P211)=0,0,SUM(R211:T211)/SUM(N211:P211)-1)</f>
        <v>0</v>
      </c>
      <c r="V252" s="209">
        <f>IF(T211=0,0,V211/T211-1)</f>
        <v>0</v>
      </c>
      <c r="W252" s="209">
        <f t="shared" si="213"/>
        <v>0</v>
      </c>
      <c r="X252" s="209">
        <f t="shared" si="213"/>
        <v>0</v>
      </c>
      <c r="Y252" s="210">
        <f>IF(SUM(R211:T211)=0,0,SUM(V211:X211)/SUM(R211:T211)-1)</f>
        <v>0</v>
      </c>
    </row>
    <row r="253" spans="1:25" ht="12.75" hidden="1" customHeight="1" outlineLevel="1" x14ac:dyDescent="0.2">
      <c r="A253" s="198" t="str">
        <f>"         "&amp;Labels!C316</f>
        <v xml:space="preserve">         Total</v>
      </c>
      <c r="B253" s="233"/>
      <c r="C253" s="233">
        <f t="shared" si="208"/>
        <v>0</v>
      </c>
      <c r="D253" s="233">
        <f t="shared" si="208"/>
        <v>0</v>
      </c>
      <c r="E253" s="234">
        <f>IF(0=0,0,SUM(B212:D212)/0-1)</f>
        <v>0</v>
      </c>
      <c r="F253" s="233">
        <f>IF(D212=0,0,F212/D212-1)</f>
        <v>0</v>
      </c>
      <c r="G253" s="233">
        <f t="shared" si="209"/>
        <v>-1</v>
      </c>
      <c r="H253" s="233">
        <f t="shared" si="209"/>
        <v>0</v>
      </c>
      <c r="I253" s="234">
        <f>IF(SUM(B212:D212)=0,0,SUM(F212:H212)/SUM(B212:D212)-1)</f>
        <v>0.72727272727272729</v>
      </c>
      <c r="J253" s="233">
        <f>IF(H212=0,0,J212/H212-1)</f>
        <v>0</v>
      </c>
      <c r="K253" s="233">
        <f t="shared" si="210"/>
        <v>0</v>
      </c>
      <c r="L253" s="233">
        <f t="shared" si="210"/>
        <v>-1</v>
      </c>
      <c r="M253" s="234">
        <f>IF(SUM(F212:H212)=0,0,SUM(J212:L212)/SUM(F212:H212)-1)</f>
        <v>-0.15789473684210531</v>
      </c>
      <c r="N253" s="233">
        <f>IF(L212=0,0,N212/L212-1)</f>
        <v>0</v>
      </c>
      <c r="O253" s="233">
        <f t="shared" si="211"/>
        <v>0</v>
      </c>
      <c r="P253" s="233">
        <f t="shared" si="211"/>
        <v>0</v>
      </c>
      <c r="Q253" s="234">
        <f>IF(SUM(J212:L212)=0,0,SUM(N212:P212)/SUM(J212:L212)-1)</f>
        <v>-1</v>
      </c>
      <c r="R253" s="233">
        <f>IF(P212=0,0,R212/P212-1)</f>
        <v>0</v>
      </c>
      <c r="S253" s="233">
        <f t="shared" si="212"/>
        <v>0</v>
      </c>
      <c r="T253" s="233">
        <f t="shared" si="212"/>
        <v>0</v>
      </c>
      <c r="U253" s="234">
        <f>IF(SUM(N212:P212)=0,0,SUM(R212:T212)/SUM(N212:P212)-1)</f>
        <v>0</v>
      </c>
      <c r="V253" s="233">
        <f>IF(T212=0,0,V212/T212-1)</f>
        <v>0</v>
      </c>
      <c r="W253" s="233">
        <f t="shared" si="213"/>
        <v>0</v>
      </c>
      <c r="X253" s="233">
        <f t="shared" si="213"/>
        <v>0</v>
      </c>
      <c r="Y253" s="234">
        <f>IF(SUM(R212:T212)=0,0,SUM(V212:X212)/SUM(R212:T212)-1)</f>
        <v>0</v>
      </c>
    </row>
    <row r="254" spans="1:25" ht="12.75" hidden="1" customHeight="1" outlineLevel="1" x14ac:dyDescent="0.2">
      <c r="A254" s="198" t="str">
        <f>"      "&amp;Labels!B386</f>
        <v xml:space="preserve">      Prof Level 2</v>
      </c>
      <c r="B254" s="233"/>
      <c r="C254" s="233"/>
      <c r="D254" s="233"/>
      <c r="E254" s="234"/>
      <c r="F254" s="233"/>
      <c r="G254" s="233"/>
      <c r="H254" s="233"/>
      <c r="I254" s="234"/>
      <c r="J254" s="233"/>
      <c r="K254" s="233"/>
      <c r="L254" s="233"/>
      <c r="M254" s="234"/>
      <c r="N254" s="233"/>
      <c r="O254" s="233"/>
      <c r="P254" s="233"/>
      <c r="Q254" s="234"/>
      <c r="R254" s="233"/>
      <c r="S254" s="233"/>
      <c r="T254" s="233"/>
      <c r="U254" s="234"/>
      <c r="V254" s="233"/>
      <c r="W254" s="233"/>
      <c r="X254" s="233"/>
      <c r="Y254" s="234"/>
    </row>
    <row r="255" spans="1:25" ht="12.75" hidden="1" customHeight="1" outlineLevel="1" x14ac:dyDescent="0.2">
      <c r="A255" s="198" t="str">
        <f>"         "&amp;Labels!B317</f>
        <v xml:space="preserve">         Channels 1</v>
      </c>
      <c r="B255" s="209"/>
      <c r="C255" s="209">
        <f t="shared" ref="C255:D257" si="214">IF(B214=0,0,C214/B214-1)</f>
        <v>0</v>
      </c>
      <c r="D255" s="209">
        <f t="shared" si="214"/>
        <v>0</v>
      </c>
      <c r="E255" s="210">
        <f>IF(0=0,0,SUM(B214:D214)/0-1)</f>
        <v>0</v>
      </c>
      <c r="F255" s="209">
        <f>IF(D214=0,0,F214/D214-1)</f>
        <v>0</v>
      </c>
      <c r="G255" s="209">
        <f t="shared" ref="G255:H257" si="215">IF(F214=0,0,G214/F214-1)</f>
        <v>-1</v>
      </c>
      <c r="H255" s="209">
        <f t="shared" si="215"/>
        <v>0</v>
      </c>
      <c r="I255" s="210">
        <f>IF(SUM(B214:D214)=0,0,SUM(F214:H214)/SUM(B214:D214)-1)</f>
        <v>0.72727272727272729</v>
      </c>
      <c r="J255" s="209">
        <f>IF(H214=0,0,J214/H214-1)</f>
        <v>0</v>
      </c>
      <c r="K255" s="209">
        <f t="shared" ref="K255:L257" si="216">IF(J214=0,0,K214/J214-1)</f>
        <v>0</v>
      </c>
      <c r="L255" s="209">
        <f t="shared" si="216"/>
        <v>-1</v>
      </c>
      <c r="M255" s="210">
        <f>IF(SUM(F214:H214)=0,0,SUM(J214:L214)/SUM(F214:H214)-1)</f>
        <v>-0.15789473684210531</v>
      </c>
      <c r="N255" s="209">
        <f>IF(L214=0,0,N214/L214-1)</f>
        <v>0</v>
      </c>
      <c r="O255" s="209">
        <f t="shared" ref="O255:P257" si="217">IF(N214=0,0,O214/N214-1)</f>
        <v>0</v>
      </c>
      <c r="P255" s="209">
        <f t="shared" si="217"/>
        <v>0</v>
      </c>
      <c r="Q255" s="210">
        <f>IF(SUM(J214:L214)=0,0,SUM(N214:P214)/SUM(J214:L214)-1)</f>
        <v>-1</v>
      </c>
      <c r="R255" s="209">
        <f>IF(P214=0,0,R214/P214-1)</f>
        <v>0</v>
      </c>
      <c r="S255" s="209">
        <f t="shared" ref="S255:T257" si="218">IF(R214=0,0,S214/R214-1)</f>
        <v>0</v>
      </c>
      <c r="T255" s="209">
        <f t="shared" si="218"/>
        <v>0</v>
      </c>
      <c r="U255" s="210">
        <f>IF(SUM(N214:P214)=0,0,SUM(R214:T214)/SUM(N214:P214)-1)</f>
        <v>0</v>
      </c>
      <c r="V255" s="209">
        <f>IF(T214=0,0,V214/T214-1)</f>
        <v>0</v>
      </c>
      <c r="W255" s="209">
        <f t="shared" ref="W255:X257" si="219">IF(V214=0,0,W214/V214-1)</f>
        <v>0</v>
      </c>
      <c r="X255" s="209">
        <f t="shared" si="219"/>
        <v>0</v>
      </c>
      <c r="Y255" s="210">
        <f>IF(SUM(R214:T214)=0,0,SUM(V214:X214)/SUM(R214:T214)-1)</f>
        <v>0</v>
      </c>
    </row>
    <row r="256" spans="1:25" ht="12.75" hidden="1" customHeight="1" outlineLevel="1" x14ac:dyDescent="0.2">
      <c r="A256" s="198" t="str">
        <f>"         "&amp;Labels!B318</f>
        <v xml:space="preserve">         Channels 2</v>
      </c>
      <c r="B256" s="209"/>
      <c r="C256" s="209">
        <f t="shared" si="214"/>
        <v>0</v>
      </c>
      <c r="D256" s="209">
        <f t="shared" si="214"/>
        <v>0</v>
      </c>
      <c r="E256" s="210">
        <f>IF(0=0,0,SUM(B215:D215)/0-1)</f>
        <v>0</v>
      </c>
      <c r="F256" s="209">
        <f>IF(D215=0,0,F215/D215-1)</f>
        <v>0</v>
      </c>
      <c r="G256" s="209">
        <f t="shared" si="215"/>
        <v>-1</v>
      </c>
      <c r="H256" s="209">
        <f t="shared" si="215"/>
        <v>0</v>
      </c>
      <c r="I256" s="210">
        <f>IF(SUM(B215:D215)=0,0,SUM(F215:H215)/SUM(B215:D215)-1)</f>
        <v>0.72727272727272729</v>
      </c>
      <c r="J256" s="209">
        <f>IF(H215=0,0,J215/H215-1)</f>
        <v>0</v>
      </c>
      <c r="K256" s="209">
        <f t="shared" si="216"/>
        <v>0</v>
      </c>
      <c r="L256" s="209">
        <f t="shared" si="216"/>
        <v>-1</v>
      </c>
      <c r="M256" s="210">
        <f>IF(SUM(F215:H215)=0,0,SUM(J215:L215)/SUM(F215:H215)-1)</f>
        <v>-0.15789473684210531</v>
      </c>
      <c r="N256" s="209">
        <f>IF(L215=0,0,N215/L215-1)</f>
        <v>0</v>
      </c>
      <c r="O256" s="209">
        <f t="shared" si="217"/>
        <v>0</v>
      </c>
      <c r="P256" s="209">
        <f t="shared" si="217"/>
        <v>0</v>
      </c>
      <c r="Q256" s="210">
        <f>IF(SUM(J215:L215)=0,0,SUM(N215:P215)/SUM(J215:L215)-1)</f>
        <v>-1</v>
      </c>
      <c r="R256" s="209">
        <f>IF(P215=0,0,R215/P215-1)</f>
        <v>0</v>
      </c>
      <c r="S256" s="209">
        <f t="shared" si="218"/>
        <v>0</v>
      </c>
      <c r="T256" s="209">
        <f t="shared" si="218"/>
        <v>0</v>
      </c>
      <c r="U256" s="210">
        <f>IF(SUM(N215:P215)=0,0,SUM(R215:T215)/SUM(N215:P215)-1)</f>
        <v>0</v>
      </c>
      <c r="V256" s="209">
        <f>IF(T215=0,0,V215/T215-1)</f>
        <v>0</v>
      </c>
      <c r="W256" s="209">
        <f t="shared" si="219"/>
        <v>0</v>
      </c>
      <c r="X256" s="209">
        <f t="shared" si="219"/>
        <v>0</v>
      </c>
      <c r="Y256" s="210">
        <f>IF(SUM(R215:T215)=0,0,SUM(V215:X215)/SUM(R215:T215)-1)</f>
        <v>0</v>
      </c>
    </row>
    <row r="257" spans="1:25" ht="12.75" hidden="1" customHeight="1" outlineLevel="1" x14ac:dyDescent="0.2">
      <c r="A257" s="198" t="str">
        <f>"         "&amp;Labels!C316</f>
        <v xml:space="preserve">         Total</v>
      </c>
      <c r="B257" s="233"/>
      <c r="C257" s="233">
        <f t="shared" si="214"/>
        <v>0</v>
      </c>
      <c r="D257" s="233">
        <f t="shared" si="214"/>
        <v>0</v>
      </c>
      <c r="E257" s="234">
        <f>IF(0=0,0,SUM(B216:D216)/0-1)</f>
        <v>0</v>
      </c>
      <c r="F257" s="233">
        <f>IF(D216=0,0,F216/D216-1)</f>
        <v>0</v>
      </c>
      <c r="G257" s="233">
        <f t="shared" si="215"/>
        <v>-1</v>
      </c>
      <c r="H257" s="233">
        <f t="shared" si="215"/>
        <v>0</v>
      </c>
      <c r="I257" s="234">
        <f>IF(SUM(B216:D216)=0,0,SUM(F216:H216)/SUM(B216:D216)-1)</f>
        <v>0.72727272727272729</v>
      </c>
      <c r="J257" s="233">
        <f>IF(H216=0,0,J216/H216-1)</f>
        <v>0</v>
      </c>
      <c r="K257" s="233">
        <f t="shared" si="216"/>
        <v>0</v>
      </c>
      <c r="L257" s="233">
        <f t="shared" si="216"/>
        <v>-1</v>
      </c>
      <c r="M257" s="234">
        <f>IF(SUM(F216:H216)=0,0,SUM(J216:L216)/SUM(F216:H216)-1)</f>
        <v>-0.15789473684210531</v>
      </c>
      <c r="N257" s="233">
        <f>IF(L216=0,0,N216/L216-1)</f>
        <v>0</v>
      </c>
      <c r="O257" s="233">
        <f t="shared" si="217"/>
        <v>0</v>
      </c>
      <c r="P257" s="233">
        <f t="shared" si="217"/>
        <v>0</v>
      </c>
      <c r="Q257" s="234">
        <f>IF(SUM(J216:L216)=0,0,SUM(N216:P216)/SUM(J216:L216)-1)</f>
        <v>-1</v>
      </c>
      <c r="R257" s="233">
        <f>IF(P216=0,0,R216/P216-1)</f>
        <v>0</v>
      </c>
      <c r="S257" s="233">
        <f t="shared" si="218"/>
        <v>0</v>
      </c>
      <c r="T257" s="233">
        <f t="shared" si="218"/>
        <v>0</v>
      </c>
      <c r="U257" s="234">
        <f>IF(SUM(N216:P216)=0,0,SUM(R216:T216)/SUM(N216:P216)-1)</f>
        <v>0</v>
      </c>
      <c r="V257" s="233">
        <f>IF(T216=0,0,V216/T216-1)</f>
        <v>0</v>
      </c>
      <c r="W257" s="233">
        <f t="shared" si="219"/>
        <v>0</v>
      </c>
      <c r="X257" s="233">
        <f t="shared" si="219"/>
        <v>0</v>
      </c>
      <c r="Y257" s="234">
        <f>IF(SUM(R216:T216)=0,0,SUM(V216:X216)/SUM(R216:T216)-1)</f>
        <v>0</v>
      </c>
    </row>
    <row r="258" spans="1:25" ht="12.75" hidden="1" customHeight="1" outlineLevel="1" x14ac:dyDescent="0.2">
      <c r="A258" s="188" t="str">
        <f>"      "&amp;Labels!C384</f>
        <v xml:space="preserve">      Total</v>
      </c>
      <c r="B258" s="218"/>
      <c r="C258" s="218">
        <f>IF(B208=0,0,C208/B208-1)</f>
        <v>0</v>
      </c>
      <c r="D258" s="218">
        <f>IF(C208=0,0,D208/C208-1)</f>
        <v>0</v>
      </c>
      <c r="E258" s="219">
        <f>IF(0=0,0,SUM(B208:D208)/0-1)</f>
        <v>0</v>
      </c>
      <c r="F258" s="218">
        <f>IF(D208=0,0,F208/D208-1)</f>
        <v>0</v>
      </c>
      <c r="G258" s="218">
        <f>IF(F208=0,0,G208/F208-1)</f>
        <v>-1</v>
      </c>
      <c r="H258" s="218">
        <f>IF(G208=0,0,H208/G208-1)</f>
        <v>0</v>
      </c>
      <c r="I258" s="219">
        <f>IF(SUM(B208:D208)=0,0,SUM(F208:H208)/SUM(B208:D208)-1)</f>
        <v>0.72727272727272729</v>
      </c>
      <c r="J258" s="218">
        <f>IF(H208=0,0,J208/H208-1)</f>
        <v>0</v>
      </c>
      <c r="K258" s="218">
        <f>IF(J208=0,0,K208/J208-1)</f>
        <v>0</v>
      </c>
      <c r="L258" s="218">
        <f>IF(K208=0,0,L208/K208-1)</f>
        <v>-1</v>
      </c>
      <c r="M258" s="219">
        <f>IF(SUM(F208:H208)=0,0,SUM(J208:L208)/SUM(F208:H208)-1)</f>
        <v>-0.15789473684210531</v>
      </c>
      <c r="N258" s="218">
        <f>IF(L208=0,0,N208/L208-1)</f>
        <v>0</v>
      </c>
      <c r="O258" s="218">
        <f>IF(N208=0,0,O208/N208-1)</f>
        <v>0</v>
      </c>
      <c r="P258" s="218">
        <f>IF(O208=0,0,P208/O208-1)</f>
        <v>0</v>
      </c>
      <c r="Q258" s="219">
        <f>IF(SUM(J208:L208)=0,0,SUM(N208:P208)/SUM(J208:L208)-1)</f>
        <v>-1</v>
      </c>
      <c r="R258" s="218">
        <f>IF(P208=0,0,R208/P208-1)</f>
        <v>0</v>
      </c>
      <c r="S258" s="218">
        <f>IF(R208=0,0,S208/R208-1)</f>
        <v>0</v>
      </c>
      <c r="T258" s="218">
        <f>IF(S208=0,0,T208/S208-1)</f>
        <v>0</v>
      </c>
      <c r="U258" s="219">
        <f>IF(SUM(N208:P208)=0,0,SUM(R208:T208)/SUM(N208:P208)-1)</f>
        <v>0</v>
      </c>
      <c r="V258" s="218">
        <f>IF(T208=0,0,V208/T208-1)</f>
        <v>0</v>
      </c>
      <c r="W258" s="218">
        <f>IF(V208=0,0,W208/V208-1)</f>
        <v>0</v>
      </c>
      <c r="X258" s="218">
        <f>IF(W208=0,0,X208/W208-1)</f>
        <v>0</v>
      </c>
      <c r="Y258" s="219">
        <f>IF(SUM(R208:T208)=0,0,SUM(V208:X208)/SUM(R208:T208)-1)</f>
        <v>0</v>
      </c>
    </row>
    <row r="259" spans="1:25" ht="12.75" hidden="1" customHeight="1" outlineLevel="1" x14ac:dyDescent="0.2">
      <c r="A259" s="198" t="str">
        <f>"         "&amp;Labels!B317</f>
        <v xml:space="preserve">         Channels 1</v>
      </c>
      <c r="B259" s="209"/>
      <c r="C259" s="209">
        <f>IF(B218=0,0,C218/B218-1)</f>
        <v>0</v>
      </c>
      <c r="D259" s="209">
        <f>IF(C218=0,0,D218/C218-1)</f>
        <v>0</v>
      </c>
      <c r="E259" s="210">
        <f>IF(0=0,0,SUM(B218:D218)/0-1)</f>
        <v>0</v>
      </c>
      <c r="F259" s="209">
        <f>IF(D218=0,0,F218/D218-1)</f>
        <v>0</v>
      </c>
      <c r="G259" s="209">
        <f>IF(F218=0,0,G218/F218-1)</f>
        <v>-1</v>
      </c>
      <c r="H259" s="209">
        <f>IF(G218=0,0,H218/G218-1)</f>
        <v>0</v>
      </c>
      <c r="I259" s="210">
        <f>IF(SUM(B218:D218)=0,0,SUM(F218:H218)/SUM(B218:D218)-1)</f>
        <v>0.72727272727272729</v>
      </c>
      <c r="J259" s="209">
        <f>IF(H218=0,0,J218/H218-1)</f>
        <v>0</v>
      </c>
      <c r="K259" s="209">
        <f>IF(J218=0,0,K218/J218-1)</f>
        <v>0</v>
      </c>
      <c r="L259" s="209">
        <f>IF(K218=0,0,L218/K218-1)</f>
        <v>-1</v>
      </c>
      <c r="M259" s="210">
        <f>IF(SUM(F218:H218)=0,0,SUM(J218:L218)/SUM(F218:H218)-1)</f>
        <v>-0.15789473684210531</v>
      </c>
      <c r="N259" s="209">
        <f>IF(L218=0,0,N218/L218-1)</f>
        <v>0</v>
      </c>
      <c r="O259" s="209">
        <f>IF(N218=0,0,O218/N218-1)</f>
        <v>0</v>
      </c>
      <c r="P259" s="209">
        <f>IF(O218=0,0,P218/O218-1)</f>
        <v>0</v>
      </c>
      <c r="Q259" s="210">
        <f>IF(SUM(J218:L218)=0,0,SUM(N218:P218)/SUM(J218:L218)-1)</f>
        <v>-1</v>
      </c>
      <c r="R259" s="209">
        <f>IF(P218=0,0,R218/P218-1)</f>
        <v>0</v>
      </c>
      <c r="S259" s="209">
        <f>IF(R218=0,0,S218/R218-1)</f>
        <v>0</v>
      </c>
      <c r="T259" s="209">
        <f>IF(S218=0,0,T218/S218-1)</f>
        <v>0</v>
      </c>
      <c r="U259" s="210">
        <f>IF(SUM(N218:P218)=0,0,SUM(R218:T218)/SUM(N218:P218)-1)</f>
        <v>0</v>
      </c>
      <c r="V259" s="209">
        <f>IF(T218=0,0,V218/T218-1)</f>
        <v>0</v>
      </c>
      <c r="W259" s="209">
        <f>IF(V218=0,0,W218/V218-1)</f>
        <v>0</v>
      </c>
      <c r="X259" s="209">
        <f>IF(W218=0,0,X218/W218-1)</f>
        <v>0</v>
      </c>
      <c r="Y259" s="210">
        <f>IF(SUM(R218:T218)=0,0,SUM(V218:X218)/SUM(R218:T218)-1)</f>
        <v>0</v>
      </c>
    </row>
    <row r="260" spans="1:25" ht="12.75" hidden="1" customHeight="1" outlineLevel="1" x14ac:dyDescent="0.2">
      <c r="A260" s="198" t="str">
        <f>"         "&amp;Labels!B318</f>
        <v xml:space="preserve">         Channels 2</v>
      </c>
      <c r="B260" s="209"/>
      <c r="C260" s="209">
        <f>IF(B219=0,0,C219/B219-1)</f>
        <v>0</v>
      </c>
      <c r="D260" s="209">
        <f>IF(C219=0,0,D219/C219-1)</f>
        <v>0</v>
      </c>
      <c r="E260" s="210">
        <f>IF(0=0,0,SUM(B219:D219)/0-1)</f>
        <v>0</v>
      </c>
      <c r="F260" s="209">
        <f>IF(D219=0,0,F219/D219-1)</f>
        <v>0</v>
      </c>
      <c r="G260" s="209">
        <f>IF(F219=0,0,G219/F219-1)</f>
        <v>-1</v>
      </c>
      <c r="H260" s="209">
        <f>IF(G219=0,0,H219/G219-1)</f>
        <v>0</v>
      </c>
      <c r="I260" s="210">
        <f>IF(SUM(B219:D219)=0,0,SUM(F219:H219)/SUM(B219:D219)-1)</f>
        <v>0.72727272727272729</v>
      </c>
      <c r="J260" s="209">
        <f>IF(H219=0,0,J219/H219-1)</f>
        <v>0</v>
      </c>
      <c r="K260" s="209">
        <f>IF(J219=0,0,K219/J219-1)</f>
        <v>0</v>
      </c>
      <c r="L260" s="209">
        <f>IF(K219=0,0,L219/K219-1)</f>
        <v>-1</v>
      </c>
      <c r="M260" s="210">
        <f>IF(SUM(F219:H219)=0,0,SUM(J219:L219)/SUM(F219:H219)-1)</f>
        <v>-0.15789473684210531</v>
      </c>
      <c r="N260" s="209">
        <f>IF(L219=0,0,N219/L219-1)</f>
        <v>0</v>
      </c>
      <c r="O260" s="209">
        <f>IF(N219=0,0,O219/N219-1)</f>
        <v>0</v>
      </c>
      <c r="P260" s="209">
        <f>IF(O219=0,0,P219/O219-1)</f>
        <v>0</v>
      </c>
      <c r="Q260" s="210">
        <f>IF(SUM(J219:L219)=0,0,SUM(N219:P219)/SUM(J219:L219)-1)</f>
        <v>-1</v>
      </c>
      <c r="R260" s="209">
        <f>IF(P219=0,0,R219/P219-1)</f>
        <v>0</v>
      </c>
      <c r="S260" s="209">
        <f>IF(R219=0,0,S219/R219-1)</f>
        <v>0</v>
      </c>
      <c r="T260" s="209">
        <f>IF(S219=0,0,T219/S219-1)</f>
        <v>0</v>
      </c>
      <c r="U260" s="210">
        <f>IF(SUM(N219:P219)=0,0,SUM(R219:T219)/SUM(N219:P219)-1)</f>
        <v>0</v>
      </c>
      <c r="V260" s="209">
        <f>IF(T219=0,0,V219/T219-1)</f>
        <v>0</v>
      </c>
      <c r="W260" s="209">
        <f>IF(V219=0,0,W219/V219-1)</f>
        <v>0</v>
      </c>
      <c r="X260" s="209">
        <f>IF(W219=0,0,X219/W219-1)</f>
        <v>0</v>
      </c>
      <c r="Y260" s="210">
        <f>IF(SUM(R219:T219)=0,0,SUM(V219:X219)/SUM(R219:T219)-1)</f>
        <v>0</v>
      </c>
    </row>
    <row r="261" spans="1:25" ht="12.75" hidden="1" customHeight="1" outlineLevel="1" x14ac:dyDescent="0.2">
      <c r="A261" s="230" t="str">
        <f>"         "&amp;Labels!C316</f>
        <v xml:space="preserve">         Total</v>
      </c>
      <c r="B261" s="235"/>
      <c r="C261" s="235">
        <f>IF(B208=0,0,C208/B208-1)</f>
        <v>0</v>
      </c>
      <c r="D261" s="235">
        <f>IF(C208=0,0,D208/C208-1)</f>
        <v>0</v>
      </c>
      <c r="E261" s="236">
        <f>IF(0=0,0,SUM(B208:D208)/0-1)</f>
        <v>0</v>
      </c>
      <c r="F261" s="235">
        <f>IF(D208=0,0,F208/D208-1)</f>
        <v>0</v>
      </c>
      <c r="G261" s="235">
        <f>IF(F208=0,0,G208/F208-1)</f>
        <v>-1</v>
      </c>
      <c r="H261" s="235">
        <f>IF(G208=0,0,H208/G208-1)</f>
        <v>0</v>
      </c>
      <c r="I261" s="236">
        <f>IF(SUM(B208:D208)=0,0,SUM(F208:H208)/SUM(B208:D208)-1)</f>
        <v>0.72727272727272729</v>
      </c>
      <c r="J261" s="235">
        <f>IF(H208=0,0,J208/H208-1)</f>
        <v>0</v>
      </c>
      <c r="K261" s="235">
        <f>IF(J208=0,0,K208/J208-1)</f>
        <v>0</v>
      </c>
      <c r="L261" s="235">
        <f>IF(K208=0,0,L208/K208-1)</f>
        <v>-1</v>
      </c>
      <c r="M261" s="236">
        <f>IF(SUM(F208:H208)=0,0,SUM(J208:L208)/SUM(F208:H208)-1)</f>
        <v>-0.15789473684210531</v>
      </c>
      <c r="N261" s="235">
        <f>IF(L208=0,0,N208/L208-1)</f>
        <v>0</v>
      </c>
      <c r="O261" s="235">
        <f>IF(N208=0,0,O208/N208-1)</f>
        <v>0</v>
      </c>
      <c r="P261" s="235">
        <f>IF(O208=0,0,P208/O208-1)</f>
        <v>0</v>
      </c>
      <c r="Q261" s="236">
        <f>IF(SUM(J208:L208)=0,0,SUM(N208:P208)/SUM(J208:L208)-1)</f>
        <v>-1</v>
      </c>
      <c r="R261" s="235">
        <f>IF(P208=0,0,R208/P208-1)</f>
        <v>0</v>
      </c>
      <c r="S261" s="235">
        <f>IF(R208=0,0,S208/R208-1)</f>
        <v>0</v>
      </c>
      <c r="T261" s="235">
        <f>IF(S208=0,0,T208/S208-1)</f>
        <v>0</v>
      </c>
      <c r="U261" s="236">
        <f>IF(SUM(N208:P208)=0,0,SUM(R208:T208)/SUM(N208:P208)-1)</f>
        <v>0</v>
      </c>
      <c r="V261" s="235">
        <f>IF(T208=0,0,V208/T208-1)</f>
        <v>0</v>
      </c>
      <c r="W261" s="235">
        <f>IF(V208=0,0,W208/V208-1)</f>
        <v>0</v>
      </c>
      <c r="X261" s="235">
        <f>IF(W208=0,0,X208/W208-1)</f>
        <v>0</v>
      </c>
      <c r="Y261" s="236">
        <f>IF(SUM(R208:T208)=0,0,SUM(V208:X208)/SUM(R208:T208)-1)</f>
        <v>0</v>
      </c>
    </row>
    <row r="262" spans="1:25" ht="12.75" hidden="1" customHeight="1" outlineLevel="1" x14ac:dyDescent="0.2"/>
    <row r="263" spans="1:25" ht="12.75" hidden="1" customHeight="1" outlineLevel="1" collapsed="1" x14ac:dyDescent="0.2"/>
    <row r="264" spans="1:25" ht="12.75" customHeight="1" collapsed="1" x14ac:dyDescent="0.2"/>
    <row r="265" spans="1:25" ht="12.75" customHeight="1" collapsed="1" x14ac:dyDescent="0.2">
      <c r="A265" s="2" t="str">
        <f>"Billing Rates"</f>
        <v>Billing Rates</v>
      </c>
    </row>
    <row r="266" spans="1:25" ht="12.75" hidden="1" customHeight="1" outlineLevel="1" x14ac:dyDescent="0.2">
      <c r="A266" s="1" t="str">
        <f>""</f>
        <v/>
      </c>
    </row>
    <row r="267" spans="1:25" ht="12.75" hidden="1" customHeight="1" outlineLevel="1" x14ac:dyDescent="0.2">
      <c r="B267" s="9" t="str">
        <f>'(FnCalls 1)'!F41</f>
        <v>MMM 2010</v>
      </c>
      <c r="C267" s="10" t="str">
        <f>'(FnCalls 1)'!F42</f>
        <v>MMM 2010</v>
      </c>
      <c r="D267" s="10" t="str">
        <f>'(FnCalls 1)'!F43</f>
        <v>MMM 2010</v>
      </c>
      <c r="E267" s="181" t="str">
        <f>'(FnCalls 1)'!G41</f>
        <v>Q1 2010</v>
      </c>
      <c r="F267" s="10" t="str">
        <f>'(FnCalls 1)'!F44</f>
        <v>MMM 2010</v>
      </c>
      <c r="G267" s="10" t="str">
        <f>'(FnCalls 1)'!F45</f>
        <v>MMM 2010</v>
      </c>
      <c r="H267" s="10" t="str">
        <f>'(FnCalls 1)'!F46</f>
        <v>MMM 2010</v>
      </c>
      <c r="I267" s="181" t="str">
        <f>'(FnCalls 1)'!G44</f>
        <v>Q2 2010</v>
      </c>
      <c r="J267" s="10" t="str">
        <f>'(FnCalls 1)'!F47</f>
        <v>MMM 2010</v>
      </c>
      <c r="K267" s="10" t="str">
        <f>'(FnCalls 1)'!F48</f>
        <v>MMM 2010</v>
      </c>
      <c r="L267" s="10" t="str">
        <f>'(FnCalls 1)'!F49</f>
        <v>MMM 2010</v>
      </c>
      <c r="M267" s="181" t="str">
        <f>'(FnCalls 1)'!G47</f>
        <v>Q3 2010</v>
      </c>
      <c r="N267" s="10" t="str">
        <f>'(FnCalls 1)'!F50</f>
        <v>MMM 2010</v>
      </c>
      <c r="O267" s="10" t="str">
        <f>'(FnCalls 1)'!F51</f>
        <v>MMM 2010</v>
      </c>
      <c r="P267" s="10" t="str">
        <f>'(FnCalls 1)'!F52</f>
        <v>MMM 2010</v>
      </c>
      <c r="Q267" s="181" t="str">
        <f>'(FnCalls 1)'!G50</f>
        <v>Q4 2010</v>
      </c>
      <c r="R267" s="10" t="str">
        <f>'(FnCalls 1)'!F53</f>
        <v>MMM 2011</v>
      </c>
      <c r="S267" s="10" t="str">
        <f>'(FnCalls 1)'!F54</f>
        <v>MMM 2011</v>
      </c>
      <c r="T267" s="10" t="str">
        <f>'(FnCalls 1)'!F55</f>
        <v>MMM 2011</v>
      </c>
      <c r="U267" s="181" t="str">
        <f>'(FnCalls 1)'!G53</f>
        <v>Q1 2011</v>
      </c>
      <c r="V267" s="10" t="str">
        <f>'(FnCalls 1)'!F56</f>
        <v>MMM 2011</v>
      </c>
      <c r="W267" s="10" t="str">
        <f>'(FnCalls 1)'!F57</f>
        <v>MMM 2011</v>
      </c>
      <c r="X267" s="10" t="str">
        <f>'(FnCalls 1)'!F58</f>
        <v>MMM 2011</v>
      </c>
      <c r="Y267" s="181" t="str">
        <f>'(FnCalls 1)'!G56</f>
        <v>Q2 2011</v>
      </c>
    </row>
    <row r="268" spans="1:25" ht="12.75" hidden="1" customHeight="1" outlineLevel="1" x14ac:dyDescent="0.2">
      <c r="A268" s="182" t="str">
        <f>Labels!B163</f>
        <v>Billing Rates (Nominal )</v>
      </c>
      <c r="B268" s="183"/>
      <c r="C268" s="183"/>
      <c r="D268" s="183"/>
      <c r="E268" s="184"/>
      <c r="F268" s="183"/>
      <c r="G268" s="183"/>
      <c r="H268" s="183"/>
      <c r="I268" s="184"/>
      <c r="J268" s="183"/>
      <c r="K268" s="183"/>
      <c r="L268" s="183"/>
      <c r="M268" s="184"/>
      <c r="N268" s="183"/>
      <c r="O268" s="183"/>
      <c r="P268" s="183"/>
      <c r="Q268" s="184"/>
      <c r="R268" s="183"/>
      <c r="S268" s="183"/>
      <c r="T268" s="183"/>
      <c r="U268" s="184"/>
      <c r="V268" s="183"/>
      <c r="W268" s="183"/>
      <c r="X268" s="183"/>
      <c r="Y268" s="184"/>
    </row>
    <row r="269" spans="1:25" ht="12.75" hidden="1" customHeight="1" outlineLevel="1" x14ac:dyDescent="0.2">
      <c r="A269" s="188" t="str">
        <f>"   "&amp;Labels!B381</f>
        <v xml:space="preserve">   Practice 1</v>
      </c>
      <c r="B269" s="196"/>
      <c r="C269" s="196"/>
      <c r="D269" s="196"/>
      <c r="E269" s="197"/>
      <c r="F269" s="196"/>
      <c r="G269" s="196"/>
      <c r="H269" s="196"/>
      <c r="I269" s="197"/>
      <c r="J269" s="196"/>
      <c r="K269" s="196"/>
      <c r="L269" s="196"/>
      <c r="M269" s="197"/>
      <c r="N269" s="196"/>
      <c r="O269" s="196"/>
      <c r="P269" s="196"/>
      <c r="Q269" s="197"/>
      <c r="R269" s="196"/>
      <c r="S269" s="196"/>
      <c r="T269" s="196"/>
      <c r="U269" s="197"/>
      <c r="V269" s="196"/>
      <c r="W269" s="196"/>
      <c r="X269" s="196"/>
      <c r="Y269" s="197"/>
    </row>
    <row r="270" spans="1:25" ht="12.75" hidden="1" customHeight="1" outlineLevel="1" x14ac:dyDescent="0.2">
      <c r="A270" s="198" t="str">
        <f>"      "&amp;Labels!B385</f>
        <v xml:space="preserve">      Prof Level 1</v>
      </c>
      <c r="B270" s="226">
        <f>Inputs!F138</f>
        <v>200</v>
      </c>
      <c r="C270" s="226">
        <f>Inputs!G138</f>
        <v>200</v>
      </c>
      <c r="D270" s="226">
        <f>Inputs!H138</f>
        <v>200</v>
      </c>
      <c r="E270" s="227">
        <f>IF(SUM(B89:D89)=0,0,SUM('(Tables)'!B731:D731)/SUM(B89:D89))</f>
        <v>200</v>
      </c>
      <c r="F270" s="226">
        <f>Inputs!I138</f>
        <v>200</v>
      </c>
      <c r="G270" s="226">
        <f>Inputs!J138</f>
        <v>200</v>
      </c>
      <c r="H270" s="226">
        <f>Inputs!K138</f>
        <v>200</v>
      </c>
      <c r="I270" s="227">
        <f>IF(SUM(F89:H89)=0,0,SUM('(Tables)'!E731:G731)/SUM(F89:H89))</f>
        <v>200</v>
      </c>
      <c r="J270" s="226">
        <f>Inputs!L138</f>
        <v>200</v>
      </c>
      <c r="K270" s="226">
        <f>Inputs!M138</f>
        <v>200</v>
      </c>
      <c r="L270" s="226">
        <f>Inputs!N138</f>
        <v>200</v>
      </c>
      <c r="M270" s="227">
        <f>IF(SUM(J89:L89)=0,0,SUM('(Tables)'!H731:J731)/SUM(J89:L89))</f>
        <v>200</v>
      </c>
      <c r="N270" s="226">
        <f>Inputs!O138</f>
        <v>200</v>
      </c>
      <c r="O270" s="226">
        <f>Inputs!P138</f>
        <v>200</v>
      </c>
      <c r="P270" s="226">
        <f>Inputs!Q138</f>
        <v>200</v>
      </c>
      <c r="Q270" s="227">
        <f>IF(SUM(N89:P89)=0,0,SUM('(Tables)'!K731:M731)/SUM(N89:P89))</f>
        <v>0</v>
      </c>
      <c r="R270" s="226">
        <f>Inputs!R138</f>
        <v>200</v>
      </c>
      <c r="S270" s="226">
        <f>Inputs!S138</f>
        <v>200</v>
      </c>
      <c r="T270" s="226">
        <f>Inputs!T138</f>
        <v>200</v>
      </c>
      <c r="U270" s="227">
        <f>IF(SUM(R89:T89)=0,0,SUM('(Tables)'!N731:P731)/SUM(R89:T89))</f>
        <v>0</v>
      </c>
      <c r="V270" s="226">
        <f>Inputs!U138</f>
        <v>200</v>
      </c>
      <c r="W270" s="226">
        <f>Inputs!V138</f>
        <v>200</v>
      </c>
      <c r="X270" s="226">
        <f>Inputs!W138</f>
        <v>200</v>
      </c>
      <c r="Y270" s="227">
        <f>IF(SUM(V89:X89)=0,0,SUM('(Tables)'!Q731:S731)/SUM(V89:X89))</f>
        <v>0</v>
      </c>
    </row>
    <row r="271" spans="1:25" ht="12.75" hidden="1" customHeight="1" outlineLevel="1" x14ac:dyDescent="0.2">
      <c r="A271" s="198" t="str">
        <f>"      "&amp;Labels!B386</f>
        <v xml:space="preserve">      Prof Level 2</v>
      </c>
      <c r="B271" s="226">
        <f>Inputs!F139</f>
        <v>200</v>
      </c>
      <c r="C271" s="226">
        <f>Inputs!G139</f>
        <v>200</v>
      </c>
      <c r="D271" s="226">
        <f>Inputs!H139</f>
        <v>200</v>
      </c>
      <c r="E271" s="227">
        <f>IF(SUM(B90:D90)=0,0,SUM('(Tables)'!B735:D735)/SUM(B90:D90))</f>
        <v>200</v>
      </c>
      <c r="F271" s="226">
        <f>Inputs!I139</f>
        <v>200</v>
      </c>
      <c r="G271" s="226">
        <f>Inputs!J139</f>
        <v>200</v>
      </c>
      <c r="H271" s="226">
        <f>Inputs!K139</f>
        <v>200</v>
      </c>
      <c r="I271" s="227">
        <f>IF(SUM(F90:H90)=0,0,SUM('(Tables)'!E735:G735)/SUM(F90:H90))</f>
        <v>200</v>
      </c>
      <c r="J271" s="226">
        <f>Inputs!L139</f>
        <v>200</v>
      </c>
      <c r="K271" s="226">
        <f>Inputs!M139</f>
        <v>200</v>
      </c>
      <c r="L271" s="226">
        <f>Inputs!N139</f>
        <v>200</v>
      </c>
      <c r="M271" s="227">
        <f>IF(SUM(J90:L90)=0,0,SUM('(Tables)'!H735:J735)/SUM(J90:L90))</f>
        <v>200</v>
      </c>
      <c r="N271" s="226">
        <f>Inputs!O139</f>
        <v>200</v>
      </c>
      <c r="O271" s="226">
        <f>Inputs!P139</f>
        <v>200</v>
      </c>
      <c r="P271" s="226">
        <f>Inputs!Q139</f>
        <v>200</v>
      </c>
      <c r="Q271" s="227">
        <f>IF(SUM(N90:P90)=0,0,SUM('(Tables)'!K735:M735)/SUM(N90:P90))</f>
        <v>0</v>
      </c>
      <c r="R271" s="226">
        <f>Inputs!R139</f>
        <v>200</v>
      </c>
      <c r="S271" s="226">
        <f>Inputs!S139</f>
        <v>200</v>
      </c>
      <c r="T271" s="226">
        <f>Inputs!T139</f>
        <v>200</v>
      </c>
      <c r="U271" s="227">
        <f>IF(SUM(R90:T90)=0,0,SUM('(Tables)'!N735:P735)/SUM(R90:T90))</f>
        <v>0</v>
      </c>
      <c r="V271" s="226">
        <f>Inputs!U139</f>
        <v>200</v>
      </c>
      <c r="W271" s="226">
        <f>Inputs!V139</f>
        <v>200</v>
      </c>
      <c r="X271" s="226">
        <f>Inputs!W139</f>
        <v>200</v>
      </c>
      <c r="Y271" s="227">
        <f>IF(SUM(V90:X90)=0,0,SUM('(Tables)'!Q735:S735)/SUM(V90:X90))</f>
        <v>0</v>
      </c>
    </row>
    <row r="272" spans="1:25" ht="12.75" hidden="1" customHeight="1" outlineLevel="1" x14ac:dyDescent="0.2">
      <c r="A272" s="188" t="str">
        <f>"   "&amp;Labels!B382</f>
        <v xml:space="preserve">   Practice 2</v>
      </c>
      <c r="B272" s="196"/>
      <c r="C272" s="196"/>
      <c r="D272" s="196"/>
      <c r="E272" s="197"/>
      <c r="F272" s="196"/>
      <c r="G272" s="196"/>
      <c r="H272" s="196"/>
      <c r="I272" s="197"/>
      <c r="J272" s="196"/>
      <c r="K272" s="196"/>
      <c r="L272" s="196"/>
      <c r="M272" s="197"/>
      <c r="N272" s="196"/>
      <c r="O272" s="196"/>
      <c r="P272" s="196"/>
      <c r="Q272" s="197"/>
      <c r="R272" s="196"/>
      <c r="S272" s="196"/>
      <c r="T272" s="196"/>
      <c r="U272" s="197"/>
      <c r="V272" s="196"/>
      <c r="W272" s="196"/>
      <c r="X272" s="196"/>
      <c r="Y272" s="197"/>
    </row>
    <row r="273" spans="1:25" ht="12.75" hidden="1" customHeight="1" outlineLevel="1" x14ac:dyDescent="0.2">
      <c r="A273" s="198" t="str">
        <f>"      "&amp;Labels!B385</f>
        <v xml:space="preserve">      Prof Level 1</v>
      </c>
      <c r="B273" s="226">
        <f>Inputs!F140</f>
        <v>200</v>
      </c>
      <c r="C273" s="226">
        <f>Inputs!G140</f>
        <v>200</v>
      </c>
      <c r="D273" s="226">
        <f>Inputs!H140</f>
        <v>200</v>
      </c>
      <c r="E273" s="227">
        <f>IF(SUM(B93:D93)=0,0,SUM('(Tables)'!B744:D744)/SUM(B93:D93))</f>
        <v>0</v>
      </c>
      <c r="F273" s="226">
        <f>Inputs!I140</f>
        <v>200</v>
      </c>
      <c r="G273" s="226">
        <f>Inputs!J140</f>
        <v>200</v>
      </c>
      <c r="H273" s="226">
        <f>Inputs!K140</f>
        <v>200</v>
      </c>
      <c r="I273" s="227">
        <f>IF(SUM(F93:H93)=0,0,SUM('(Tables)'!E744:G744)/SUM(F93:H93))</f>
        <v>0</v>
      </c>
      <c r="J273" s="226">
        <f>Inputs!L140</f>
        <v>200</v>
      </c>
      <c r="K273" s="226">
        <f>Inputs!M140</f>
        <v>200</v>
      </c>
      <c r="L273" s="226">
        <f>Inputs!N140</f>
        <v>200</v>
      </c>
      <c r="M273" s="227">
        <f>IF(SUM(J93:L93)=0,0,SUM('(Tables)'!H744:J744)/SUM(J93:L93))</f>
        <v>0</v>
      </c>
      <c r="N273" s="226">
        <f>Inputs!O140</f>
        <v>200</v>
      </c>
      <c r="O273" s="226">
        <f>Inputs!P140</f>
        <v>200</v>
      </c>
      <c r="P273" s="226">
        <f>Inputs!Q140</f>
        <v>200</v>
      </c>
      <c r="Q273" s="227">
        <f>IF(SUM(N93:P93)=0,0,SUM('(Tables)'!K744:M744)/SUM(N93:P93))</f>
        <v>0</v>
      </c>
      <c r="R273" s="226">
        <f>Inputs!R140</f>
        <v>200</v>
      </c>
      <c r="S273" s="226">
        <f>Inputs!S140</f>
        <v>200</v>
      </c>
      <c r="T273" s="226">
        <f>Inputs!T140</f>
        <v>200</v>
      </c>
      <c r="U273" s="227">
        <f>IF(SUM(R93:T93)=0,0,SUM('(Tables)'!N744:P744)/SUM(R93:T93))</f>
        <v>0</v>
      </c>
      <c r="V273" s="226">
        <f>Inputs!U140</f>
        <v>200</v>
      </c>
      <c r="W273" s="226">
        <f>Inputs!V140</f>
        <v>200</v>
      </c>
      <c r="X273" s="226">
        <f>Inputs!W140</f>
        <v>200</v>
      </c>
      <c r="Y273" s="227">
        <f>IF(SUM(V93:X93)=0,0,SUM('(Tables)'!Q744:S744)/SUM(V93:X93))</f>
        <v>0</v>
      </c>
    </row>
    <row r="274" spans="1:25" ht="12.75" hidden="1" customHeight="1" outlineLevel="1" x14ac:dyDescent="0.2">
      <c r="A274" s="198" t="str">
        <f>"      "&amp;Labels!B386</f>
        <v xml:space="preserve">      Prof Level 2</v>
      </c>
      <c r="B274" s="226">
        <f>Inputs!F141</f>
        <v>200</v>
      </c>
      <c r="C274" s="226">
        <f>Inputs!G141</f>
        <v>200</v>
      </c>
      <c r="D274" s="226">
        <f>Inputs!H141</f>
        <v>200</v>
      </c>
      <c r="E274" s="227">
        <f>IF(SUM(B94:D94)=0,0,SUM('(Tables)'!B748:D748)/SUM(B94:D94))</f>
        <v>0</v>
      </c>
      <c r="F274" s="226">
        <f>Inputs!I141</f>
        <v>200</v>
      </c>
      <c r="G274" s="226">
        <f>Inputs!J141</f>
        <v>200</v>
      </c>
      <c r="H274" s="226">
        <f>Inputs!K141</f>
        <v>200</v>
      </c>
      <c r="I274" s="227">
        <f>IF(SUM(F94:H94)=0,0,SUM('(Tables)'!E748:G748)/SUM(F94:H94))</f>
        <v>0</v>
      </c>
      <c r="J274" s="226">
        <f>Inputs!L141</f>
        <v>200</v>
      </c>
      <c r="K274" s="226">
        <f>Inputs!M141</f>
        <v>200</v>
      </c>
      <c r="L274" s="226">
        <f>Inputs!N141</f>
        <v>200</v>
      </c>
      <c r="M274" s="227">
        <f>IF(SUM(J94:L94)=0,0,SUM('(Tables)'!H748:J748)/SUM(J94:L94))</f>
        <v>0</v>
      </c>
      <c r="N274" s="226">
        <f>Inputs!O141</f>
        <v>200</v>
      </c>
      <c r="O274" s="226">
        <f>Inputs!P141</f>
        <v>200</v>
      </c>
      <c r="P274" s="226">
        <f>Inputs!Q141</f>
        <v>200</v>
      </c>
      <c r="Q274" s="227">
        <f>IF(SUM(N94:P94)=0,0,SUM('(Tables)'!K748:M748)/SUM(N94:P94))</f>
        <v>0</v>
      </c>
      <c r="R274" s="226">
        <f>Inputs!R141</f>
        <v>200</v>
      </c>
      <c r="S274" s="226">
        <f>Inputs!S141</f>
        <v>200</v>
      </c>
      <c r="T274" s="226">
        <f>Inputs!T141</f>
        <v>200</v>
      </c>
      <c r="U274" s="227">
        <f>IF(SUM(R94:T94)=0,0,SUM('(Tables)'!N748:P748)/SUM(R94:T94))</f>
        <v>0</v>
      </c>
      <c r="V274" s="226">
        <f>Inputs!U141</f>
        <v>200</v>
      </c>
      <c r="W274" s="226">
        <f>Inputs!V141</f>
        <v>200</v>
      </c>
      <c r="X274" s="226">
        <f>Inputs!W141</f>
        <v>200</v>
      </c>
      <c r="Y274" s="227">
        <f>IF(SUM(V94:X94)=0,0,SUM('(Tables)'!Q748:S748)/SUM(V94:X94))</f>
        <v>0</v>
      </c>
    </row>
    <row r="275" spans="1:25" ht="12.75" hidden="1" customHeight="1" outlineLevel="1" x14ac:dyDescent="0.2">
      <c r="A275" s="97"/>
      <c r="B275" s="6"/>
      <c r="C275" s="6"/>
      <c r="D275" s="6"/>
      <c r="E275" s="97"/>
      <c r="F275" s="6"/>
      <c r="G275" s="6"/>
      <c r="H275" s="6"/>
      <c r="I275" s="97"/>
      <c r="J275" s="6"/>
      <c r="K275" s="6"/>
      <c r="L275" s="6"/>
      <c r="M275" s="97"/>
      <c r="N275" s="6"/>
      <c r="O275" s="6"/>
      <c r="P275" s="6"/>
      <c r="Q275" s="97"/>
      <c r="R275" s="6"/>
      <c r="S275" s="6"/>
      <c r="T275" s="6"/>
      <c r="U275" s="97"/>
      <c r="V275" s="6"/>
      <c r="W275" s="6"/>
      <c r="X275" s="6"/>
      <c r="Y275" s="97"/>
    </row>
    <row r="276" spans="1:25" ht="12.75" hidden="1" customHeight="1" outlineLevel="1" x14ac:dyDescent="0.2">
      <c r="A276" s="191" t="str">
        <f>Labels!B162</f>
        <v>Average Billing Rates</v>
      </c>
      <c r="B276" s="245"/>
      <c r="C276" s="245"/>
      <c r="D276" s="245"/>
      <c r="E276" s="246"/>
      <c r="F276" s="245"/>
      <c r="G276" s="245"/>
      <c r="H276" s="245"/>
      <c r="I276" s="246"/>
      <c r="J276" s="245"/>
      <c r="K276" s="245"/>
      <c r="L276" s="245"/>
      <c r="M276" s="246"/>
      <c r="N276" s="245"/>
      <c r="O276" s="245"/>
      <c r="P276" s="245"/>
      <c r="Q276" s="246"/>
      <c r="R276" s="245"/>
      <c r="S276" s="245"/>
      <c r="T276" s="245"/>
      <c r="U276" s="246"/>
      <c r="V276" s="245"/>
      <c r="W276" s="245"/>
      <c r="X276" s="245"/>
      <c r="Y276" s="246"/>
    </row>
    <row r="277" spans="1:25" ht="12.75" hidden="1" customHeight="1" outlineLevel="1" x14ac:dyDescent="0.2">
      <c r="A277" s="188" t="str">
        <f>"   "&amp;Labels!B381</f>
        <v xml:space="preserve">   Practice 1</v>
      </c>
      <c r="B277" s="241"/>
      <c r="C277" s="241"/>
      <c r="D277" s="241"/>
      <c r="E277" s="242"/>
      <c r="F277" s="241"/>
      <c r="G277" s="241"/>
      <c r="H277" s="241"/>
      <c r="I277" s="242"/>
      <c r="J277" s="241"/>
      <c r="K277" s="241"/>
      <c r="L277" s="241"/>
      <c r="M277" s="242"/>
      <c r="N277" s="241"/>
      <c r="O277" s="241"/>
      <c r="P277" s="241"/>
      <c r="Q277" s="242"/>
      <c r="R277" s="241"/>
      <c r="S277" s="241"/>
      <c r="T277" s="241"/>
      <c r="U277" s="242"/>
      <c r="V277" s="241"/>
      <c r="W277" s="241"/>
      <c r="X277" s="241"/>
      <c r="Y277" s="242"/>
    </row>
    <row r="278" spans="1:25" ht="12.75" hidden="1" customHeight="1" outlineLevel="1" x14ac:dyDescent="0.2">
      <c r="A278" s="198" t="str">
        <f>"      "&amp;Labels!B385</f>
        <v xml:space="preserve">      Prof Level 1</v>
      </c>
      <c r="B278" s="243">
        <f t="shared" ref="B278:D279" si="220">(1-B292)*B270</f>
        <v>200</v>
      </c>
      <c r="C278" s="243">
        <f t="shared" si="220"/>
        <v>200</v>
      </c>
      <c r="D278" s="243">
        <f t="shared" si="220"/>
        <v>200</v>
      </c>
      <c r="E278" s="244">
        <f>IF(SUM(B89:D89)=0,0,SUM('(Tables)'!B772:D772)/SUM(B89:D89))</f>
        <v>200</v>
      </c>
      <c r="F278" s="243">
        <f t="shared" ref="F278:H279" si="221">(1-F292)*F270</f>
        <v>200</v>
      </c>
      <c r="G278" s="243">
        <f t="shared" si="221"/>
        <v>200</v>
      </c>
      <c r="H278" s="243">
        <f t="shared" si="221"/>
        <v>200</v>
      </c>
      <c r="I278" s="244">
        <f>IF(SUM(F89:H89)=0,0,SUM('(Tables)'!E772:G772)/SUM(F89:H89))</f>
        <v>200</v>
      </c>
      <c r="J278" s="243">
        <f t="shared" ref="J278:L279" si="222">(1-J292)*J270</f>
        <v>200</v>
      </c>
      <c r="K278" s="243">
        <f t="shared" si="222"/>
        <v>200</v>
      </c>
      <c r="L278" s="243">
        <f t="shared" si="222"/>
        <v>200</v>
      </c>
      <c r="M278" s="244">
        <f>IF(SUM(J89:L89)=0,0,SUM('(Tables)'!H772:J772)/SUM(J89:L89))</f>
        <v>200</v>
      </c>
      <c r="N278" s="243">
        <f t="shared" ref="N278:P279" si="223">(1-N292)*N270</f>
        <v>200</v>
      </c>
      <c r="O278" s="243">
        <f t="shared" si="223"/>
        <v>200</v>
      </c>
      <c r="P278" s="243">
        <f t="shared" si="223"/>
        <v>200</v>
      </c>
      <c r="Q278" s="244">
        <f>IF(SUM(N89:P89)=0,0,SUM('(Tables)'!K772:M772)/SUM(N89:P89))</f>
        <v>0</v>
      </c>
      <c r="R278" s="243">
        <f t="shared" ref="R278:T279" si="224">(1-R292)*R270</f>
        <v>200</v>
      </c>
      <c r="S278" s="243">
        <f t="shared" si="224"/>
        <v>200</v>
      </c>
      <c r="T278" s="243">
        <f t="shared" si="224"/>
        <v>200</v>
      </c>
      <c r="U278" s="244">
        <f>IF(SUM(R89:T89)=0,0,SUM('(Tables)'!N772:P772)/SUM(R89:T89))</f>
        <v>0</v>
      </c>
      <c r="V278" s="243">
        <f t="shared" ref="V278:X279" si="225">(1-V292)*V270</f>
        <v>200</v>
      </c>
      <c r="W278" s="243">
        <f t="shared" si="225"/>
        <v>200</v>
      </c>
      <c r="X278" s="243">
        <f t="shared" si="225"/>
        <v>200</v>
      </c>
      <c r="Y278" s="244">
        <f>IF(SUM(V89:X89)=0,0,SUM('(Tables)'!Q772:S772)/SUM(V89:X89))</f>
        <v>0</v>
      </c>
    </row>
    <row r="279" spans="1:25" ht="12.75" hidden="1" customHeight="1" outlineLevel="1" x14ac:dyDescent="0.2">
      <c r="A279" s="198" t="str">
        <f>"      "&amp;Labels!B386</f>
        <v xml:space="preserve">      Prof Level 2</v>
      </c>
      <c r="B279" s="243">
        <f t="shared" si="220"/>
        <v>200</v>
      </c>
      <c r="C279" s="243">
        <f t="shared" si="220"/>
        <v>200</v>
      </c>
      <c r="D279" s="243">
        <f t="shared" si="220"/>
        <v>200</v>
      </c>
      <c r="E279" s="244">
        <f>IF(SUM(B90:D90)=0,0,SUM('(Tables)'!B776:D776)/SUM(B90:D90))</f>
        <v>200</v>
      </c>
      <c r="F279" s="243">
        <f t="shared" si="221"/>
        <v>200</v>
      </c>
      <c r="G279" s="243">
        <f t="shared" si="221"/>
        <v>200</v>
      </c>
      <c r="H279" s="243">
        <f t="shared" si="221"/>
        <v>200</v>
      </c>
      <c r="I279" s="244">
        <f>IF(SUM(F90:H90)=0,0,SUM('(Tables)'!E776:G776)/SUM(F90:H90))</f>
        <v>200</v>
      </c>
      <c r="J279" s="243">
        <f t="shared" si="222"/>
        <v>200</v>
      </c>
      <c r="K279" s="243">
        <f t="shared" si="222"/>
        <v>200</v>
      </c>
      <c r="L279" s="243">
        <f t="shared" si="222"/>
        <v>200</v>
      </c>
      <c r="M279" s="244">
        <f>IF(SUM(J90:L90)=0,0,SUM('(Tables)'!H776:J776)/SUM(J90:L90))</f>
        <v>200</v>
      </c>
      <c r="N279" s="243">
        <f t="shared" si="223"/>
        <v>200</v>
      </c>
      <c r="O279" s="243">
        <f t="shared" si="223"/>
        <v>200</v>
      </c>
      <c r="P279" s="243">
        <f t="shared" si="223"/>
        <v>200</v>
      </c>
      <c r="Q279" s="244">
        <f>IF(SUM(N90:P90)=0,0,SUM('(Tables)'!K776:M776)/SUM(N90:P90))</f>
        <v>0</v>
      </c>
      <c r="R279" s="243">
        <f t="shared" si="224"/>
        <v>200</v>
      </c>
      <c r="S279" s="243">
        <f t="shared" si="224"/>
        <v>200</v>
      </c>
      <c r="T279" s="243">
        <f t="shared" si="224"/>
        <v>200</v>
      </c>
      <c r="U279" s="244">
        <f>IF(SUM(R90:T90)=0,0,SUM('(Tables)'!N776:P776)/SUM(R90:T90))</f>
        <v>0</v>
      </c>
      <c r="V279" s="243">
        <f t="shared" si="225"/>
        <v>200</v>
      </c>
      <c r="W279" s="243">
        <f t="shared" si="225"/>
        <v>200</v>
      </c>
      <c r="X279" s="243">
        <f t="shared" si="225"/>
        <v>200</v>
      </c>
      <c r="Y279" s="244">
        <f>IF(SUM(V90:X90)=0,0,SUM('(Tables)'!Q776:S776)/SUM(V90:X90))</f>
        <v>0</v>
      </c>
    </row>
    <row r="280" spans="1:25" ht="12.75" hidden="1" customHeight="1" outlineLevel="1" x14ac:dyDescent="0.2">
      <c r="A280" s="188" t="str">
        <f>"      "&amp;Labels!C384</f>
        <v xml:space="preserve">      Total</v>
      </c>
      <c r="B280" s="241">
        <f>IF(B23=0,0,'(Tables)'!B777/B23)</f>
        <v>0</v>
      </c>
      <c r="C280" s="241">
        <f>IF(C23=0,0,'(Tables)'!C777/C23)</f>
        <v>0</v>
      </c>
      <c r="D280" s="241">
        <f>IF(D23=0,0,'(Tables)'!D777/D23)</f>
        <v>200</v>
      </c>
      <c r="E280" s="242">
        <f>IF(SUM(B23:D23)=0,0,SUM('(Tables)'!B777:D777)/SUM(B23:D23))</f>
        <v>200</v>
      </c>
      <c r="F280" s="241">
        <f>IF(F23=0,0,'(Tables)'!E777/F23)</f>
        <v>200</v>
      </c>
      <c r="G280" s="241">
        <f>IF(G23=0,0,'(Tables)'!F777/G23)</f>
        <v>0</v>
      </c>
      <c r="H280" s="241">
        <f>IF(H23=0,0,'(Tables)'!G777/H23)</f>
        <v>200</v>
      </c>
      <c r="I280" s="242">
        <f>IF(SUM(F23:H23)=0,0,SUM('(Tables)'!E777:G777)/SUM(F23:H23))</f>
        <v>200</v>
      </c>
      <c r="J280" s="241">
        <f>IF(J23=0,0,'(Tables)'!H777/J23)</f>
        <v>200</v>
      </c>
      <c r="K280" s="241">
        <f>IF(K23=0,0,'(Tables)'!I777/K23)</f>
        <v>200</v>
      </c>
      <c r="L280" s="241">
        <f>IF(L23=0,0,'(Tables)'!J777/L23)</f>
        <v>0</v>
      </c>
      <c r="M280" s="242">
        <f>IF(SUM(J23:L23)=0,0,SUM('(Tables)'!H777:J777)/SUM(J23:L23))</f>
        <v>200</v>
      </c>
      <c r="N280" s="241">
        <f>IF(N23=0,0,'(Tables)'!K777/N23)</f>
        <v>0</v>
      </c>
      <c r="O280" s="241">
        <f>IF(O23=0,0,'(Tables)'!L777/O23)</f>
        <v>0</v>
      </c>
      <c r="P280" s="241">
        <f>IF(P23=0,0,'(Tables)'!M777/P23)</f>
        <v>0</v>
      </c>
      <c r="Q280" s="242">
        <f>IF(SUM(N23:P23)=0,0,SUM('(Tables)'!K777:M777)/SUM(N23:P23))</f>
        <v>0</v>
      </c>
      <c r="R280" s="241">
        <f>IF(R23=0,0,'(Tables)'!N777/R23)</f>
        <v>0</v>
      </c>
      <c r="S280" s="241">
        <f>IF(S23=0,0,'(Tables)'!O777/S23)</f>
        <v>0</v>
      </c>
      <c r="T280" s="241">
        <f>IF(T23=0,0,'(Tables)'!P777/T23)</f>
        <v>0</v>
      </c>
      <c r="U280" s="242">
        <f>IF(SUM(R23:T23)=0,0,SUM('(Tables)'!N777:P777)/SUM(R23:T23))</f>
        <v>0</v>
      </c>
      <c r="V280" s="241">
        <f>IF(V23=0,0,'(Tables)'!Q777/V23)</f>
        <v>0</v>
      </c>
      <c r="W280" s="241">
        <f>IF(W23=0,0,'(Tables)'!R777/W23)</f>
        <v>0</v>
      </c>
      <c r="X280" s="241">
        <f>IF(X23=0,0,'(Tables)'!S777/X23)</f>
        <v>0</v>
      </c>
      <c r="Y280" s="242">
        <f>IF(SUM(V23:X23)=0,0,SUM('(Tables)'!Q777:S777)/SUM(V23:X23))</f>
        <v>0</v>
      </c>
    </row>
    <row r="281" spans="1:25" ht="12.75" hidden="1" customHeight="1" outlineLevel="1" x14ac:dyDescent="0.2">
      <c r="A281" s="188" t="str">
        <f>"   "&amp;Labels!B382</f>
        <v xml:space="preserve">   Practice 2</v>
      </c>
      <c r="B281" s="241"/>
      <c r="C281" s="241"/>
      <c r="D281" s="241"/>
      <c r="E281" s="242"/>
      <c r="F281" s="241"/>
      <c r="G281" s="241"/>
      <c r="H281" s="241"/>
      <c r="I281" s="242"/>
      <c r="J281" s="241"/>
      <c r="K281" s="241"/>
      <c r="L281" s="241"/>
      <c r="M281" s="242"/>
      <c r="N281" s="241"/>
      <c r="O281" s="241"/>
      <c r="P281" s="241"/>
      <c r="Q281" s="242"/>
      <c r="R281" s="241"/>
      <c r="S281" s="241"/>
      <c r="T281" s="241"/>
      <c r="U281" s="242"/>
      <c r="V281" s="241"/>
      <c r="W281" s="241"/>
      <c r="X281" s="241"/>
      <c r="Y281" s="242"/>
    </row>
    <row r="282" spans="1:25" ht="12.75" hidden="1" customHeight="1" outlineLevel="1" x14ac:dyDescent="0.2">
      <c r="A282" s="198" t="str">
        <f>"      "&amp;Labels!B385</f>
        <v xml:space="preserve">      Prof Level 1</v>
      </c>
      <c r="B282" s="243">
        <f t="shared" ref="B282:D283" si="226">(1-B296)*B273</f>
        <v>200</v>
      </c>
      <c r="C282" s="243">
        <f t="shared" si="226"/>
        <v>200</v>
      </c>
      <c r="D282" s="243">
        <f t="shared" si="226"/>
        <v>200</v>
      </c>
      <c r="E282" s="244">
        <f>IF(SUM(B93:D93)=0,0,SUM('(Tables)'!B785:D785)/SUM(B93:D93))</f>
        <v>0</v>
      </c>
      <c r="F282" s="243">
        <f t="shared" ref="F282:H283" si="227">(1-F296)*F273</f>
        <v>200</v>
      </c>
      <c r="G282" s="243">
        <f t="shared" si="227"/>
        <v>200</v>
      </c>
      <c r="H282" s="243">
        <f t="shared" si="227"/>
        <v>200</v>
      </c>
      <c r="I282" s="244">
        <f>IF(SUM(F93:H93)=0,0,SUM('(Tables)'!E785:G785)/SUM(F93:H93))</f>
        <v>0</v>
      </c>
      <c r="J282" s="243">
        <f t="shared" ref="J282:L283" si="228">(1-J296)*J273</f>
        <v>200</v>
      </c>
      <c r="K282" s="243">
        <f t="shared" si="228"/>
        <v>200</v>
      </c>
      <c r="L282" s="243">
        <f t="shared" si="228"/>
        <v>200</v>
      </c>
      <c r="M282" s="244">
        <f>IF(SUM(J93:L93)=0,0,SUM('(Tables)'!H785:J785)/SUM(J93:L93))</f>
        <v>0</v>
      </c>
      <c r="N282" s="243">
        <f t="shared" ref="N282:P283" si="229">(1-N296)*N273</f>
        <v>200</v>
      </c>
      <c r="O282" s="243">
        <f t="shared" si="229"/>
        <v>200</v>
      </c>
      <c r="P282" s="243">
        <f t="shared" si="229"/>
        <v>200</v>
      </c>
      <c r="Q282" s="244">
        <f>IF(SUM(N93:P93)=0,0,SUM('(Tables)'!K785:M785)/SUM(N93:P93))</f>
        <v>0</v>
      </c>
      <c r="R282" s="243">
        <f t="shared" ref="R282:T283" si="230">(1-R296)*R273</f>
        <v>200</v>
      </c>
      <c r="S282" s="243">
        <f t="shared" si="230"/>
        <v>200</v>
      </c>
      <c r="T282" s="243">
        <f t="shared" si="230"/>
        <v>200</v>
      </c>
      <c r="U282" s="244">
        <f>IF(SUM(R93:T93)=0,0,SUM('(Tables)'!N785:P785)/SUM(R93:T93))</f>
        <v>0</v>
      </c>
      <c r="V282" s="243">
        <f t="shared" ref="V282:X283" si="231">(1-V296)*V273</f>
        <v>200</v>
      </c>
      <c r="W282" s="243">
        <f t="shared" si="231"/>
        <v>200</v>
      </c>
      <c r="X282" s="243">
        <f t="shared" si="231"/>
        <v>200</v>
      </c>
      <c r="Y282" s="244">
        <f>IF(SUM(V93:X93)=0,0,SUM('(Tables)'!Q785:S785)/SUM(V93:X93))</f>
        <v>0</v>
      </c>
    </row>
    <row r="283" spans="1:25" ht="12.75" hidden="1" customHeight="1" outlineLevel="1" x14ac:dyDescent="0.2">
      <c r="A283" s="198" t="str">
        <f>"      "&amp;Labels!B386</f>
        <v xml:space="preserve">      Prof Level 2</v>
      </c>
      <c r="B283" s="243">
        <f t="shared" si="226"/>
        <v>200</v>
      </c>
      <c r="C283" s="243">
        <f t="shared" si="226"/>
        <v>200</v>
      </c>
      <c r="D283" s="243">
        <f t="shared" si="226"/>
        <v>200</v>
      </c>
      <c r="E283" s="244">
        <f>IF(SUM(B94:D94)=0,0,SUM('(Tables)'!B789:D789)/SUM(B94:D94))</f>
        <v>0</v>
      </c>
      <c r="F283" s="243">
        <f t="shared" si="227"/>
        <v>200</v>
      </c>
      <c r="G283" s="243">
        <f t="shared" si="227"/>
        <v>200</v>
      </c>
      <c r="H283" s="243">
        <f t="shared" si="227"/>
        <v>200</v>
      </c>
      <c r="I283" s="244">
        <f>IF(SUM(F94:H94)=0,0,SUM('(Tables)'!E789:G789)/SUM(F94:H94))</f>
        <v>0</v>
      </c>
      <c r="J283" s="243">
        <f t="shared" si="228"/>
        <v>200</v>
      </c>
      <c r="K283" s="243">
        <f t="shared" si="228"/>
        <v>200</v>
      </c>
      <c r="L283" s="243">
        <f t="shared" si="228"/>
        <v>200</v>
      </c>
      <c r="M283" s="244">
        <f>IF(SUM(J94:L94)=0,0,SUM('(Tables)'!H789:J789)/SUM(J94:L94))</f>
        <v>0</v>
      </c>
      <c r="N283" s="243">
        <f t="shared" si="229"/>
        <v>200</v>
      </c>
      <c r="O283" s="243">
        <f t="shared" si="229"/>
        <v>200</v>
      </c>
      <c r="P283" s="243">
        <f t="shared" si="229"/>
        <v>200</v>
      </c>
      <c r="Q283" s="244">
        <f>IF(SUM(N94:P94)=0,0,SUM('(Tables)'!K789:M789)/SUM(N94:P94))</f>
        <v>0</v>
      </c>
      <c r="R283" s="243">
        <f t="shared" si="230"/>
        <v>200</v>
      </c>
      <c r="S283" s="243">
        <f t="shared" si="230"/>
        <v>200</v>
      </c>
      <c r="T283" s="243">
        <f t="shared" si="230"/>
        <v>200</v>
      </c>
      <c r="U283" s="244">
        <f>IF(SUM(R94:T94)=0,0,SUM('(Tables)'!N789:P789)/SUM(R94:T94))</f>
        <v>0</v>
      </c>
      <c r="V283" s="243">
        <f t="shared" si="231"/>
        <v>200</v>
      </c>
      <c r="W283" s="243">
        <f t="shared" si="231"/>
        <v>200</v>
      </c>
      <c r="X283" s="243">
        <f t="shared" si="231"/>
        <v>200</v>
      </c>
      <c r="Y283" s="244">
        <f>IF(SUM(V94:X94)=0,0,SUM('(Tables)'!Q789:S789)/SUM(V94:X94))</f>
        <v>0</v>
      </c>
    </row>
    <row r="284" spans="1:25" ht="12.75" hidden="1" customHeight="1" outlineLevel="1" x14ac:dyDescent="0.2">
      <c r="A284" s="188" t="str">
        <f>"      "&amp;Labels!C384</f>
        <v xml:space="preserve">      Total</v>
      </c>
      <c r="B284" s="241">
        <f>IF(B24=0,0,'(Tables)'!B790/B24)</f>
        <v>0</v>
      </c>
      <c r="C284" s="241">
        <f>IF(C24=0,0,'(Tables)'!C790/C24)</f>
        <v>0</v>
      </c>
      <c r="D284" s="241">
        <f>IF(D24=0,0,'(Tables)'!D790/D24)</f>
        <v>0</v>
      </c>
      <c r="E284" s="242">
        <f>IF(SUM(B24:D24)=0,0,SUM('(Tables)'!B790:D790)/SUM(B24:D24))</f>
        <v>0</v>
      </c>
      <c r="F284" s="241">
        <f>IF(F24=0,0,'(Tables)'!E790/F24)</f>
        <v>0</v>
      </c>
      <c r="G284" s="241">
        <f>IF(G24=0,0,'(Tables)'!F790/G24)</f>
        <v>0</v>
      </c>
      <c r="H284" s="241">
        <f>IF(H24=0,0,'(Tables)'!G790/H24)</f>
        <v>0</v>
      </c>
      <c r="I284" s="242">
        <f>IF(SUM(F24:H24)=0,0,SUM('(Tables)'!E790:G790)/SUM(F24:H24))</f>
        <v>0</v>
      </c>
      <c r="J284" s="241">
        <f>IF(J24=0,0,'(Tables)'!H790/J24)</f>
        <v>0</v>
      </c>
      <c r="K284" s="241">
        <f>IF(K24=0,0,'(Tables)'!I790/K24)</f>
        <v>0</v>
      </c>
      <c r="L284" s="241">
        <f>IF(L24=0,0,'(Tables)'!J790/L24)</f>
        <v>0</v>
      </c>
      <c r="M284" s="242">
        <f>IF(SUM(J24:L24)=0,0,SUM('(Tables)'!H790:J790)/SUM(J24:L24))</f>
        <v>0</v>
      </c>
      <c r="N284" s="241">
        <f>IF(N24=0,0,'(Tables)'!K790/N24)</f>
        <v>0</v>
      </c>
      <c r="O284" s="241">
        <f>IF(O24=0,0,'(Tables)'!L790/O24)</f>
        <v>0</v>
      </c>
      <c r="P284" s="241">
        <f>IF(P24=0,0,'(Tables)'!M790/P24)</f>
        <v>0</v>
      </c>
      <c r="Q284" s="242">
        <f>IF(SUM(N24:P24)=0,0,SUM('(Tables)'!K790:M790)/SUM(N24:P24))</f>
        <v>0</v>
      </c>
      <c r="R284" s="241">
        <f>IF(R24=0,0,'(Tables)'!N790/R24)</f>
        <v>0</v>
      </c>
      <c r="S284" s="241">
        <f>IF(S24=0,0,'(Tables)'!O790/S24)</f>
        <v>0</v>
      </c>
      <c r="T284" s="241">
        <f>IF(T24=0,0,'(Tables)'!P790/T24)</f>
        <v>0</v>
      </c>
      <c r="U284" s="242">
        <f>IF(SUM(R24:T24)=0,0,SUM('(Tables)'!N790:P790)/SUM(R24:T24))</f>
        <v>0</v>
      </c>
      <c r="V284" s="241">
        <f>IF(V24=0,0,'(Tables)'!Q790/V24)</f>
        <v>0</v>
      </c>
      <c r="W284" s="241">
        <f>IF(W24=0,0,'(Tables)'!R790/W24)</f>
        <v>0</v>
      </c>
      <c r="X284" s="241">
        <f>IF(X24=0,0,'(Tables)'!S790/X24)</f>
        <v>0</v>
      </c>
      <c r="Y284" s="242">
        <f>IF(SUM(V24:X24)=0,0,SUM('(Tables)'!Q790:S790)/SUM(V24:X24))</f>
        <v>0</v>
      </c>
    </row>
    <row r="285" spans="1:25" ht="12.75" hidden="1" customHeight="1" outlineLevel="1" x14ac:dyDescent="0.2">
      <c r="A285" s="191" t="str">
        <f>"   "&amp;Labels!C380</f>
        <v xml:space="preserve">   Total</v>
      </c>
      <c r="B285" s="245">
        <f>IF(B25=0,0,'(Tables)'!B794/B25)</f>
        <v>0</v>
      </c>
      <c r="C285" s="245">
        <f>IF(C25=0,0,'(Tables)'!C794/C25)</f>
        <v>0</v>
      </c>
      <c r="D285" s="245">
        <f>IF(D25=0,0,'(Tables)'!D794/D25)</f>
        <v>200</v>
      </c>
      <c r="E285" s="246">
        <f>IF(SUM(B25:D25)=0,0,SUM('(Tables)'!B794:D794)/SUM(B25:D25))</f>
        <v>200</v>
      </c>
      <c r="F285" s="245">
        <f>IF(F25=0,0,'(Tables)'!E794/F25)</f>
        <v>200</v>
      </c>
      <c r="G285" s="245">
        <f>IF(G25=0,0,'(Tables)'!F794/G25)</f>
        <v>0</v>
      </c>
      <c r="H285" s="245">
        <f>IF(H25=0,0,'(Tables)'!G794/H25)</f>
        <v>200</v>
      </c>
      <c r="I285" s="246">
        <f>IF(SUM(F25:H25)=0,0,SUM('(Tables)'!E794:G794)/SUM(F25:H25))</f>
        <v>200</v>
      </c>
      <c r="J285" s="245">
        <f>IF(J25=0,0,'(Tables)'!H794/J25)</f>
        <v>200</v>
      </c>
      <c r="K285" s="245">
        <f>IF(K25=0,0,'(Tables)'!I794/K25)</f>
        <v>200</v>
      </c>
      <c r="L285" s="245">
        <f>IF(L25=0,0,'(Tables)'!J794/L25)</f>
        <v>0</v>
      </c>
      <c r="M285" s="246">
        <f>IF(SUM(J25:L25)=0,0,SUM('(Tables)'!H794:J794)/SUM(J25:L25))</f>
        <v>200</v>
      </c>
      <c r="N285" s="245">
        <f>IF(N25=0,0,'(Tables)'!K794/N25)</f>
        <v>0</v>
      </c>
      <c r="O285" s="245">
        <f>IF(O25=0,0,'(Tables)'!L794/O25)</f>
        <v>0</v>
      </c>
      <c r="P285" s="245">
        <f>IF(P25=0,0,'(Tables)'!M794/P25)</f>
        <v>0</v>
      </c>
      <c r="Q285" s="246">
        <f>IF(SUM(N25:P25)=0,0,SUM('(Tables)'!K794:M794)/SUM(N25:P25))</f>
        <v>0</v>
      </c>
      <c r="R285" s="245">
        <f>IF(R25=0,0,'(Tables)'!N794/R25)</f>
        <v>0</v>
      </c>
      <c r="S285" s="245">
        <f>IF(S25=0,0,'(Tables)'!O794/S25)</f>
        <v>0</v>
      </c>
      <c r="T285" s="245">
        <f>IF(T25=0,0,'(Tables)'!P794/T25)</f>
        <v>0</v>
      </c>
      <c r="U285" s="246">
        <f>IF(SUM(R25:T25)=0,0,SUM('(Tables)'!N794:P794)/SUM(R25:T25))</f>
        <v>0</v>
      </c>
      <c r="V285" s="245">
        <f>IF(V25=0,0,'(Tables)'!Q794/V25)</f>
        <v>0</v>
      </c>
      <c r="W285" s="245">
        <f>IF(W25=0,0,'(Tables)'!R794/W25)</f>
        <v>0</v>
      </c>
      <c r="X285" s="245">
        <f>IF(X25=0,0,'(Tables)'!S794/X25)</f>
        <v>0</v>
      </c>
      <c r="Y285" s="246">
        <f>IF(SUM(V25:X25)=0,0,SUM('(Tables)'!Q794:S794)/SUM(V25:X25))</f>
        <v>0</v>
      </c>
    </row>
    <row r="286" spans="1:25" ht="12.75" hidden="1" customHeight="1" outlineLevel="1" x14ac:dyDescent="0.2">
      <c r="A286" s="198" t="str">
        <f>"      "&amp;Labels!B385</f>
        <v xml:space="preserve">      Prof Level 1</v>
      </c>
      <c r="B286" s="243">
        <f>IF(B97=0,0,'(Tables)'!B798/B97)</f>
        <v>0</v>
      </c>
      <c r="C286" s="243">
        <f>IF(C97=0,0,'(Tables)'!C798/C97)</f>
        <v>0</v>
      </c>
      <c r="D286" s="243">
        <f>IF(D97=0,0,'(Tables)'!D798/D97)</f>
        <v>200</v>
      </c>
      <c r="E286" s="244">
        <f>IF(SUM(B97:D97)=0,0,SUM('(Tables)'!B798:D798)/SUM(B97:D97))</f>
        <v>200</v>
      </c>
      <c r="F286" s="243">
        <f>IF(F97=0,0,'(Tables)'!E798/F97)</f>
        <v>200</v>
      </c>
      <c r="G286" s="243">
        <f>IF(G97=0,0,'(Tables)'!F798/G97)</f>
        <v>0</v>
      </c>
      <c r="H286" s="243">
        <f>IF(H97=0,0,'(Tables)'!G798/H97)</f>
        <v>200</v>
      </c>
      <c r="I286" s="244">
        <f>IF(SUM(F97:H97)=0,0,SUM('(Tables)'!E798:G798)/SUM(F97:H97))</f>
        <v>200</v>
      </c>
      <c r="J286" s="243">
        <f>IF(J97=0,0,'(Tables)'!H798/J97)</f>
        <v>200</v>
      </c>
      <c r="K286" s="243">
        <f>IF(K97=0,0,'(Tables)'!I798/K97)</f>
        <v>200</v>
      </c>
      <c r="L286" s="243">
        <f>IF(L97=0,0,'(Tables)'!J798/L97)</f>
        <v>0</v>
      </c>
      <c r="M286" s="244">
        <f>IF(SUM(J97:L97)=0,0,SUM('(Tables)'!H798:J798)/SUM(J97:L97))</f>
        <v>200</v>
      </c>
      <c r="N286" s="243">
        <f>IF(N97=0,0,'(Tables)'!K798/N97)</f>
        <v>0</v>
      </c>
      <c r="O286" s="243">
        <f>IF(O97=0,0,'(Tables)'!L798/O97)</f>
        <v>0</v>
      </c>
      <c r="P286" s="243">
        <f>IF(P97=0,0,'(Tables)'!M798/P97)</f>
        <v>0</v>
      </c>
      <c r="Q286" s="244">
        <f>IF(SUM(N97:P97)=0,0,SUM('(Tables)'!K798:M798)/SUM(N97:P97))</f>
        <v>0</v>
      </c>
      <c r="R286" s="243">
        <f>IF(R97=0,0,'(Tables)'!N798/R97)</f>
        <v>0</v>
      </c>
      <c r="S286" s="243">
        <f>IF(S97=0,0,'(Tables)'!O798/S97)</f>
        <v>0</v>
      </c>
      <c r="T286" s="243">
        <f>IF(T97=0,0,'(Tables)'!P798/T97)</f>
        <v>0</v>
      </c>
      <c r="U286" s="244">
        <f>IF(SUM(R97:T97)=0,0,SUM('(Tables)'!N798:P798)/SUM(R97:T97))</f>
        <v>0</v>
      </c>
      <c r="V286" s="243">
        <f>IF(V97=0,0,'(Tables)'!Q798/V97)</f>
        <v>0</v>
      </c>
      <c r="W286" s="243">
        <f>IF(W97=0,0,'(Tables)'!R798/W97)</f>
        <v>0</v>
      </c>
      <c r="X286" s="243">
        <f>IF(X97=0,0,'(Tables)'!S798/X97)</f>
        <v>0</v>
      </c>
      <c r="Y286" s="244">
        <f>IF(SUM(V97:X97)=0,0,SUM('(Tables)'!Q798:S798)/SUM(V97:X97))</f>
        <v>0</v>
      </c>
    </row>
    <row r="287" spans="1:25" ht="12.75" hidden="1" customHeight="1" outlineLevel="1" x14ac:dyDescent="0.2">
      <c r="A287" s="198" t="str">
        <f>"      "&amp;Labels!B386</f>
        <v xml:space="preserve">      Prof Level 2</v>
      </c>
      <c r="B287" s="243">
        <f>IF(B98=0,0,'(Tables)'!B802/B98)</f>
        <v>0</v>
      </c>
      <c r="C287" s="243">
        <f>IF(C98=0,0,'(Tables)'!C802/C98)</f>
        <v>0</v>
      </c>
      <c r="D287" s="243">
        <f>IF(D98=0,0,'(Tables)'!D802/D98)</f>
        <v>200</v>
      </c>
      <c r="E287" s="244">
        <f>IF(SUM(B98:D98)=0,0,SUM('(Tables)'!B802:D802)/SUM(B98:D98))</f>
        <v>200</v>
      </c>
      <c r="F287" s="243">
        <f>IF(F98=0,0,'(Tables)'!E802/F98)</f>
        <v>200</v>
      </c>
      <c r="G287" s="243">
        <f>IF(G98=0,0,'(Tables)'!F802/G98)</f>
        <v>0</v>
      </c>
      <c r="H287" s="243">
        <f>IF(H98=0,0,'(Tables)'!G802/H98)</f>
        <v>200</v>
      </c>
      <c r="I287" s="244">
        <f>IF(SUM(F98:H98)=0,0,SUM('(Tables)'!E802:G802)/SUM(F98:H98))</f>
        <v>200</v>
      </c>
      <c r="J287" s="243">
        <f>IF(J98=0,0,'(Tables)'!H802/J98)</f>
        <v>200</v>
      </c>
      <c r="K287" s="243">
        <f>IF(K98=0,0,'(Tables)'!I802/K98)</f>
        <v>200</v>
      </c>
      <c r="L287" s="243">
        <f>IF(L98=0,0,'(Tables)'!J802/L98)</f>
        <v>0</v>
      </c>
      <c r="M287" s="244">
        <f>IF(SUM(J98:L98)=0,0,SUM('(Tables)'!H802:J802)/SUM(J98:L98))</f>
        <v>200</v>
      </c>
      <c r="N287" s="243">
        <f>IF(N98=0,0,'(Tables)'!K802/N98)</f>
        <v>0</v>
      </c>
      <c r="O287" s="243">
        <f>IF(O98=0,0,'(Tables)'!L802/O98)</f>
        <v>0</v>
      </c>
      <c r="P287" s="243">
        <f>IF(P98=0,0,'(Tables)'!M802/P98)</f>
        <v>0</v>
      </c>
      <c r="Q287" s="244">
        <f>IF(SUM(N98:P98)=0,0,SUM('(Tables)'!K802:M802)/SUM(N98:P98))</f>
        <v>0</v>
      </c>
      <c r="R287" s="243">
        <f>IF(R98=0,0,'(Tables)'!N802/R98)</f>
        <v>0</v>
      </c>
      <c r="S287" s="243">
        <f>IF(S98=0,0,'(Tables)'!O802/S98)</f>
        <v>0</v>
      </c>
      <c r="T287" s="243">
        <f>IF(T98=0,0,'(Tables)'!P802/T98)</f>
        <v>0</v>
      </c>
      <c r="U287" s="244">
        <f>IF(SUM(R98:T98)=0,0,SUM('(Tables)'!N802:P802)/SUM(R98:T98))</f>
        <v>0</v>
      </c>
      <c r="V287" s="243">
        <f>IF(V98=0,0,'(Tables)'!Q802/V98)</f>
        <v>0</v>
      </c>
      <c r="W287" s="243">
        <f>IF(W98=0,0,'(Tables)'!R802/W98)</f>
        <v>0</v>
      </c>
      <c r="X287" s="243">
        <f>IF(X98=0,0,'(Tables)'!S802/X98)</f>
        <v>0</v>
      </c>
      <c r="Y287" s="244">
        <f>IF(SUM(V98:X98)=0,0,SUM('(Tables)'!Q802:S802)/SUM(V98:X98))</f>
        <v>0</v>
      </c>
    </row>
    <row r="288" spans="1:25" ht="12.75" hidden="1" customHeight="1" outlineLevel="1" x14ac:dyDescent="0.2">
      <c r="A288" s="188" t="str">
        <f>"      "&amp;Labels!C384</f>
        <v xml:space="preserve">      Total</v>
      </c>
      <c r="B288" s="241">
        <f>IF(B25=0,0,'(Tables)'!B794/B25)</f>
        <v>0</v>
      </c>
      <c r="C288" s="241">
        <f>IF(C25=0,0,'(Tables)'!C794/C25)</f>
        <v>0</v>
      </c>
      <c r="D288" s="241">
        <f>IF(D25=0,0,'(Tables)'!D794/D25)</f>
        <v>200</v>
      </c>
      <c r="E288" s="242">
        <f>IF(SUM(B25:D25)=0,0,SUM('(Tables)'!B794:D794)/SUM(B25:D25))</f>
        <v>200</v>
      </c>
      <c r="F288" s="241">
        <f>IF(F25=0,0,'(Tables)'!E794/F25)</f>
        <v>200</v>
      </c>
      <c r="G288" s="241">
        <f>IF(G25=0,0,'(Tables)'!F794/G25)</f>
        <v>0</v>
      </c>
      <c r="H288" s="241">
        <f>IF(H25=0,0,'(Tables)'!G794/H25)</f>
        <v>200</v>
      </c>
      <c r="I288" s="242">
        <f>IF(SUM(F25:H25)=0,0,SUM('(Tables)'!E794:G794)/SUM(F25:H25))</f>
        <v>200</v>
      </c>
      <c r="J288" s="241">
        <f>IF(J25=0,0,'(Tables)'!H794/J25)</f>
        <v>200</v>
      </c>
      <c r="K288" s="241">
        <f>IF(K25=0,0,'(Tables)'!I794/K25)</f>
        <v>200</v>
      </c>
      <c r="L288" s="241">
        <f>IF(L25=0,0,'(Tables)'!J794/L25)</f>
        <v>0</v>
      </c>
      <c r="M288" s="242">
        <f>IF(SUM(J25:L25)=0,0,SUM('(Tables)'!H794:J794)/SUM(J25:L25))</f>
        <v>200</v>
      </c>
      <c r="N288" s="241">
        <f>IF(N25=0,0,'(Tables)'!K794/N25)</f>
        <v>0</v>
      </c>
      <c r="O288" s="241">
        <f>IF(O25=0,0,'(Tables)'!L794/O25)</f>
        <v>0</v>
      </c>
      <c r="P288" s="241">
        <f>IF(P25=0,0,'(Tables)'!M794/P25)</f>
        <v>0</v>
      </c>
      <c r="Q288" s="242">
        <f>IF(SUM(N25:P25)=0,0,SUM('(Tables)'!K794:M794)/SUM(N25:P25))</f>
        <v>0</v>
      </c>
      <c r="R288" s="241">
        <f>IF(R25=0,0,'(Tables)'!N794/R25)</f>
        <v>0</v>
      </c>
      <c r="S288" s="241">
        <f>IF(S25=0,0,'(Tables)'!O794/S25)</f>
        <v>0</v>
      </c>
      <c r="T288" s="241">
        <f>IF(T25=0,0,'(Tables)'!P794/T25)</f>
        <v>0</v>
      </c>
      <c r="U288" s="242">
        <f>IF(SUM(R25:T25)=0,0,SUM('(Tables)'!N794:P794)/SUM(R25:T25))</f>
        <v>0</v>
      </c>
      <c r="V288" s="241">
        <f>IF(V25=0,0,'(Tables)'!Q794/V25)</f>
        <v>0</v>
      </c>
      <c r="W288" s="241">
        <f>IF(W25=0,0,'(Tables)'!R794/W25)</f>
        <v>0</v>
      </c>
      <c r="X288" s="241">
        <f>IF(X25=0,0,'(Tables)'!S794/X25)</f>
        <v>0</v>
      </c>
      <c r="Y288" s="242">
        <f>IF(SUM(V25:X25)=0,0,SUM('(Tables)'!Q794:S794)/SUM(V25:X25))</f>
        <v>0</v>
      </c>
    </row>
    <row r="289" spans="1:25" ht="12.75" hidden="1" customHeight="1" outlineLevel="1" x14ac:dyDescent="0.2">
      <c r="A289" s="97"/>
      <c r="B289" s="6"/>
      <c r="C289" s="6"/>
      <c r="D289" s="6"/>
      <c r="E289" s="97"/>
      <c r="F289" s="6"/>
      <c r="G289" s="6"/>
      <c r="H289" s="6"/>
      <c r="I289" s="97"/>
      <c r="J289" s="6"/>
      <c r="K289" s="6"/>
      <c r="L289" s="6"/>
      <c r="M289" s="97"/>
      <c r="N289" s="6"/>
      <c r="O289" s="6"/>
      <c r="P289" s="6"/>
      <c r="Q289" s="97"/>
      <c r="R289" s="6"/>
      <c r="S289" s="6"/>
      <c r="T289" s="6"/>
      <c r="U289" s="97"/>
      <c r="V289" s="6"/>
      <c r="W289" s="6"/>
      <c r="X289" s="6"/>
      <c r="Y289" s="97"/>
    </row>
    <row r="290" spans="1:25" ht="12.75" hidden="1" customHeight="1" outlineLevel="1" x14ac:dyDescent="0.2">
      <c r="A290" s="191" t="str">
        <f>Labels!B161</f>
        <v>Billing Rate Discount %</v>
      </c>
      <c r="B290" s="211"/>
      <c r="C290" s="211"/>
      <c r="D290" s="211"/>
      <c r="E290" s="210"/>
      <c r="F290" s="211"/>
      <c r="G290" s="211"/>
      <c r="H290" s="211"/>
      <c r="I290" s="210"/>
      <c r="J290" s="211"/>
      <c r="K290" s="211"/>
      <c r="L290" s="211"/>
      <c r="M290" s="210"/>
      <c r="N290" s="211"/>
      <c r="O290" s="211"/>
      <c r="P290" s="211"/>
      <c r="Q290" s="210"/>
      <c r="R290" s="211"/>
      <c r="S290" s="211"/>
      <c r="T290" s="211"/>
      <c r="U290" s="210"/>
      <c r="V290" s="211"/>
      <c r="W290" s="211"/>
      <c r="X290" s="211"/>
      <c r="Y290" s="210"/>
    </row>
    <row r="291" spans="1:25" ht="12.75" hidden="1" customHeight="1" outlineLevel="1" x14ac:dyDescent="0.2">
      <c r="A291" s="188" t="str">
        <f>"   "&amp;Labels!B381</f>
        <v xml:space="preserve">   Practice 1</v>
      </c>
      <c r="B291" s="218"/>
      <c r="C291" s="218"/>
      <c r="D291" s="218"/>
      <c r="E291" s="219"/>
      <c r="F291" s="218"/>
      <c r="G291" s="218"/>
      <c r="H291" s="218"/>
      <c r="I291" s="219"/>
      <c r="J291" s="218"/>
      <c r="K291" s="218"/>
      <c r="L291" s="218"/>
      <c r="M291" s="219"/>
      <c r="N291" s="218"/>
      <c r="O291" s="218"/>
      <c r="P291" s="218"/>
      <c r="Q291" s="219"/>
      <c r="R291" s="218"/>
      <c r="S291" s="218"/>
      <c r="T291" s="218"/>
      <c r="U291" s="219"/>
      <c r="V291" s="218"/>
      <c r="W291" s="218"/>
      <c r="X291" s="218"/>
      <c r="Y291" s="219"/>
    </row>
    <row r="292" spans="1:25" ht="12.75" hidden="1" customHeight="1" outlineLevel="1" x14ac:dyDescent="0.2">
      <c r="A292" s="198" t="str">
        <f>"      "&amp;Labels!B385</f>
        <v xml:space="preserve">      Prof Level 1</v>
      </c>
      <c r="B292" s="233">
        <f>Inputs!F143</f>
        <v>0</v>
      </c>
      <c r="C292" s="233">
        <f>Inputs!G143</f>
        <v>0</v>
      </c>
      <c r="D292" s="233">
        <f>Inputs!H143</f>
        <v>0</v>
      </c>
      <c r="E292" s="234">
        <f>IF(SUM('(Tables)'!B731:D731)=0,0,1-SUM('(Tables)'!B772:D772)/SUM('(Tables)'!B731:D731))</f>
        <v>0</v>
      </c>
      <c r="F292" s="233">
        <f>Inputs!I143</f>
        <v>0</v>
      </c>
      <c r="G292" s="233">
        <f>Inputs!J143</f>
        <v>0</v>
      </c>
      <c r="H292" s="233">
        <f>Inputs!K143</f>
        <v>0</v>
      </c>
      <c r="I292" s="234">
        <f>IF(SUM('(Tables)'!E731:G731)=0,0,1-SUM('(Tables)'!E772:G772)/SUM('(Tables)'!E731:G731))</f>
        <v>0</v>
      </c>
      <c r="J292" s="233">
        <f>Inputs!L143</f>
        <v>0</v>
      </c>
      <c r="K292" s="233">
        <f>Inputs!M143</f>
        <v>0</v>
      </c>
      <c r="L292" s="233">
        <f>Inputs!N143</f>
        <v>0</v>
      </c>
      <c r="M292" s="234">
        <f>IF(SUM('(Tables)'!H731:J731)=0,0,1-SUM('(Tables)'!H772:J772)/SUM('(Tables)'!H731:J731))</f>
        <v>0</v>
      </c>
      <c r="N292" s="233">
        <f>Inputs!O143</f>
        <v>0</v>
      </c>
      <c r="O292" s="233">
        <f>Inputs!P143</f>
        <v>0</v>
      </c>
      <c r="P292" s="233">
        <f>Inputs!Q143</f>
        <v>0</v>
      </c>
      <c r="Q292" s="234">
        <f>IF(SUM('(Tables)'!K731:M731)=0,0,1-SUM('(Tables)'!K772:M772)/SUM('(Tables)'!K731:M731))</f>
        <v>0</v>
      </c>
      <c r="R292" s="233">
        <f>Inputs!R143</f>
        <v>0</v>
      </c>
      <c r="S292" s="233">
        <f>Inputs!S143</f>
        <v>0</v>
      </c>
      <c r="T292" s="233">
        <f>Inputs!T143</f>
        <v>0</v>
      </c>
      <c r="U292" s="234">
        <f>IF(SUM('(Tables)'!N731:P731)=0,0,1-SUM('(Tables)'!N772:P772)/SUM('(Tables)'!N731:P731))</f>
        <v>0</v>
      </c>
      <c r="V292" s="233">
        <f>Inputs!U143</f>
        <v>0</v>
      </c>
      <c r="W292" s="233">
        <f>Inputs!V143</f>
        <v>0</v>
      </c>
      <c r="X292" s="233">
        <f>Inputs!W143</f>
        <v>0</v>
      </c>
      <c r="Y292" s="234">
        <f>IF(SUM('(Tables)'!Q731:S731)=0,0,1-SUM('(Tables)'!Q772:S772)/SUM('(Tables)'!Q731:S731))</f>
        <v>0</v>
      </c>
    </row>
    <row r="293" spans="1:25" ht="12.75" hidden="1" customHeight="1" outlineLevel="1" x14ac:dyDescent="0.2">
      <c r="A293" s="198" t="str">
        <f>"      "&amp;Labels!B386</f>
        <v xml:space="preserve">      Prof Level 2</v>
      </c>
      <c r="B293" s="233">
        <f>Inputs!F144</f>
        <v>0</v>
      </c>
      <c r="C293" s="233">
        <f>Inputs!G144</f>
        <v>0</v>
      </c>
      <c r="D293" s="233">
        <f>Inputs!H144</f>
        <v>0</v>
      </c>
      <c r="E293" s="234">
        <f>IF(SUM('(Tables)'!B735:D735)=0,0,1-SUM('(Tables)'!B776:D776)/SUM('(Tables)'!B735:D735))</f>
        <v>0</v>
      </c>
      <c r="F293" s="233">
        <f>Inputs!I144</f>
        <v>0</v>
      </c>
      <c r="G293" s="233">
        <f>Inputs!J144</f>
        <v>0</v>
      </c>
      <c r="H293" s="233">
        <f>Inputs!K144</f>
        <v>0</v>
      </c>
      <c r="I293" s="234">
        <f>IF(SUM('(Tables)'!E735:G735)=0,0,1-SUM('(Tables)'!E776:G776)/SUM('(Tables)'!E735:G735))</f>
        <v>0</v>
      </c>
      <c r="J293" s="233">
        <f>Inputs!L144</f>
        <v>0</v>
      </c>
      <c r="K293" s="233">
        <f>Inputs!M144</f>
        <v>0</v>
      </c>
      <c r="L293" s="233">
        <f>Inputs!N144</f>
        <v>0</v>
      </c>
      <c r="M293" s="234">
        <f>IF(SUM('(Tables)'!H735:J735)=0,0,1-SUM('(Tables)'!H776:J776)/SUM('(Tables)'!H735:J735))</f>
        <v>0</v>
      </c>
      <c r="N293" s="233">
        <f>Inputs!O144</f>
        <v>0</v>
      </c>
      <c r="O293" s="233">
        <f>Inputs!P144</f>
        <v>0</v>
      </c>
      <c r="P293" s="233">
        <f>Inputs!Q144</f>
        <v>0</v>
      </c>
      <c r="Q293" s="234">
        <f>IF(SUM('(Tables)'!K735:M735)=0,0,1-SUM('(Tables)'!K776:M776)/SUM('(Tables)'!K735:M735))</f>
        <v>0</v>
      </c>
      <c r="R293" s="233">
        <f>Inputs!R144</f>
        <v>0</v>
      </c>
      <c r="S293" s="233">
        <f>Inputs!S144</f>
        <v>0</v>
      </c>
      <c r="T293" s="233">
        <f>Inputs!T144</f>
        <v>0</v>
      </c>
      <c r="U293" s="234">
        <f>IF(SUM('(Tables)'!N735:P735)=0,0,1-SUM('(Tables)'!N776:P776)/SUM('(Tables)'!N735:P735))</f>
        <v>0</v>
      </c>
      <c r="V293" s="233">
        <f>Inputs!U144</f>
        <v>0</v>
      </c>
      <c r="W293" s="233">
        <f>Inputs!V144</f>
        <v>0</v>
      </c>
      <c r="X293" s="233">
        <f>Inputs!W144</f>
        <v>0</v>
      </c>
      <c r="Y293" s="234">
        <f>IF(SUM('(Tables)'!Q735:S735)=0,0,1-SUM('(Tables)'!Q776:S776)/SUM('(Tables)'!Q735:S735))</f>
        <v>0</v>
      </c>
    </row>
    <row r="294" spans="1:25" ht="12.75" hidden="1" customHeight="1" outlineLevel="1" x14ac:dyDescent="0.2">
      <c r="A294" s="188" t="str">
        <f>"      "&amp;Labels!C384</f>
        <v xml:space="preserve">      Total</v>
      </c>
      <c r="B294" s="218">
        <f>IF('(Tables)'!B736=0,0,1-'(Tables)'!B777/'(Tables)'!B736)</f>
        <v>0</v>
      </c>
      <c r="C294" s="218">
        <f>IF('(Tables)'!C736=0,0,1-'(Tables)'!C777/'(Tables)'!C736)</f>
        <v>0</v>
      </c>
      <c r="D294" s="218">
        <f>IF('(Tables)'!D736=0,0,1-'(Tables)'!D777/'(Tables)'!D736)</f>
        <v>0</v>
      </c>
      <c r="E294" s="219">
        <f>IF(SUM('(Tables)'!B736:D736)=0,0,1-SUM('(Tables)'!B777:D777)/SUM('(Tables)'!B736:D736))</f>
        <v>0</v>
      </c>
      <c r="F294" s="218">
        <f>IF('(Tables)'!E736=0,0,1-'(Tables)'!E777/'(Tables)'!E736)</f>
        <v>0</v>
      </c>
      <c r="G294" s="218">
        <f>IF('(Tables)'!F736=0,0,1-'(Tables)'!F777/'(Tables)'!F736)</f>
        <v>0</v>
      </c>
      <c r="H294" s="218">
        <f>IF('(Tables)'!G736=0,0,1-'(Tables)'!G777/'(Tables)'!G736)</f>
        <v>0</v>
      </c>
      <c r="I294" s="219">
        <f>IF(SUM('(Tables)'!E736:G736)=0,0,1-SUM('(Tables)'!E777:G777)/SUM('(Tables)'!E736:G736))</f>
        <v>0</v>
      </c>
      <c r="J294" s="218">
        <f>IF('(Tables)'!H736=0,0,1-'(Tables)'!H777/'(Tables)'!H736)</f>
        <v>0</v>
      </c>
      <c r="K294" s="218">
        <f>IF('(Tables)'!I736=0,0,1-'(Tables)'!I777/'(Tables)'!I736)</f>
        <v>0</v>
      </c>
      <c r="L294" s="218">
        <f>IF('(Tables)'!J736=0,0,1-'(Tables)'!J777/'(Tables)'!J736)</f>
        <v>0</v>
      </c>
      <c r="M294" s="219">
        <f>IF(SUM('(Tables)'!H736:J736)=0,0,1-SUM('(Tables)'!H777:J777)/SUM('(Tables)'!H736:J736))</f>
        <v>0</v>
      </c>
      <c r="N294" s="218">
        <f>IF('(Tables)'!K736=0,0,1-'(Tables)'!K777/'(Tables)'!K736)</f>
        <v>0</v>
      </c>
      <c r="O294" s="218">
        <f>IF('(Tables)'!L736=0,0,1-'(Tables)'!L777/'(Tables)'!L736)</f>
        <v>0</v>
      </c>
      <c r="P294" s="218">
        <f>IF('(Tables)'!M736=0,0,1-'(Tables)'!M777/'(Tables)'!M736)</f>
        <v>0</v>
      </c>
      <c r="Q294" s="219">
        <f>IF(SUM('(Tables)'!K736:M736)=0,0,1-SUM('(Tables)'!K777:M777)/SUM('(Tables)'!K736:M736))</f>
        <v>0</v>
      </c>
      <c r="R294" s="218">
        <f>IF('(Tables)'!N736=0,0,1-'(Tables)'!N777/'(Tables)'!N736)</f>
        <v>0</v>
      </c>
      <c r="S294" s="218">
        <f>IF('(Tables)'!O736=0,0,1-'(Tables)'!O777/'(Tables)'!O736)</f>
        <v>0</v>
      </c>
      <c r="T294" s="218">
        <f>IF('(Tables)'!P736=0,0,1-'(Tables)'!P777/'(Tables)'!P736)</f>
        <v>0</v>
      </c>
      <c r="U294" s="219">
        <f>IF(SUM('(Tables)'!N736:P736)=0,0,1-SUM('(Tables)'!N777:P777)/SUM('(Tables)'!N736:P736))</f>
        <v>0</v>
      </c>
      <c r="V294" s="218">
        <f>IF('(Tables)'!Q736=0,0,1-'(Tables)'!Q777/'(Tables)'!Q736)</f>
        <v>0</v>
      </c>
      <c r="W294" s="218">
        <f>IF('(Tables)'!R736=0,0,1-'(Tables)'!R777/'(Tables)'!R736)</f>
        <v>0</v>
      </c>
      <c r="X294" s="218">
        <f>IF('(Tables)'!S736=0,0,1-'(Tables)'!S777/'(Tables)'!S736)</f>
        <v>0</v>
      </c>
      <c r="Y294" s="219">
        <f>IF(SUM('(Tables)'!Q736:S736)=0,0,1-SUM('(Tables)'!Q777:S777)/SUM('(Tables)'!Q736:S736))</f>
        <v>0</v>
      </c>
    </row>
    <row r="295" spans="1:25" ht="12.75" hidden="1" customHeight="1" outlineLevel="1" x14ac:dyDescent="0.2">
      <c r="A295" s="188" t="str">
        <f>"   "&amp;Labels!B382</f>
        <v xml:space="preserve">   Practice 2</v>
      </c>
      <c r="B295" s="218"/>
      <c r="C295" s="218"/>
      <c r="D295" s="218"/>
      <c r="E295" s="219"/>
      <c r="F295" s="218"/>
      <c r="G295" s="218"/>
      <c r="H295" s="218"/>
      <c r="I295" s="219"/>
      <c r="J295" s="218"/>
      <c r="K295" s="218"/>
      <c r="L295" s="218"/>
      <c r="M295" s="219"/>
      <c r="N295" s="218"/>
      <c r="O295" s="218"/>
      <c r="P295" s="218"/>
      <c r="Q295" s="219"/>
      <c r="R295" s="218"/>
      <c r="S295" s="218"/>
      <c r="T295" s="218"/>
      <c r="U295" s="219"/>
      <c r="V295" s="218"/>
      <c r="W295" s="218"/>
      <c r="X295" s="218"/>
      <c r="Y295" s="219"/>
    </row>
    <row r="296" spans="1:25" ht="12.75" hidden="1" customHeight="1" outlineLevel="1" x14ac:dyDescent="0.2">
      <c r="A296" s="198" t="str">
        <f>"      "&amp;Labels!B385</f>
        <v xml:space="preserve">      Prof Level 1</v>
      </c>
      <c r="B296" s="233">
        <f>Inputs!F145</f>
        <v>0</v>
      </c>
      <c r="C296" s="233">
        <f>Inputs!G145</f>
        <v>0</v>
      </c>
      <c r="D296" s="233">
        <f>Inputs!H145</f>
        <v>0</v>
      </c>
      <c r="E296" s="234">
        <f>IF(SUM('(Tables)'!B744:D744)=0,0,1-SUM('(Tables)'!B785:D785)/SUM('(Tables)'!B744:D744))</f>
        <v>0</v>
      </c>
      <c r="F296" s="233">
        <f>Inputs!I145</f>
        <v>0</v>
      </c>
      <c r="G296" s="233">
        <f>Inputs!J145</f>
        <v>0</v>
      </c>
      <c r="H296" s="233">
        <f>Inputs!K145</f>
        <v>0</v>
      </c>
      <c r="I296" s="234">
        <f>IF(SUM('(Tables)'!E744:G744)=0,0,1-SUM('(Tables)'!E785:G785)/SUM('(Tables)'!E744:G744))</f>
        <v>0</v>
      </c>
      <c r="J296" s="233">
        <f>Inputs!L145</f>
        <v>0</v>
      </c>
      <c r="K296" s="233">
        <f>Inputs!M145</f>
        <v>0</v>
      </c>
      <c r="L296" s="233">
        <f>Inputs!N145</f>
        <v>0</v>
      </c>
      <c r="M296" s="234">
        <f>IF(SUM('(Tables)'!H744:J744)=0,0,1-SUM('(Tables)'!H785:J785)/SUM('(Tables)'!H744:J744))</f>
        <v>0</v>
      </c>
      <c r="N296" s="233">
        <f>Inputs!O145</f>
        <v>0</v>
      </c>
      <c r="O296" s="233">
        <f>Inputs!P145</f>
        <v>0</v>
      </c>
      <c r="P296" s="233">
        <f>Inputs!Q145</f>
        <v>0</v>
      </c>
      <c r="Q296" s="234">
        <f>IF(SUM('(Tables)'!K744:M744)=0,0,1-SUM('(Tables)'!K785:M785)/SUM('(Tables)'!K744:M744))</f>
        <v>0</v>
      </c>
      <c r="R296" s="233">
        <f>Inputs!R145</f>
        <v>0</v>
      </c>
      <c r="S296" s="233">
        <f>Inputs!S145</f>
        <v>0</v>
      </c>
      <c r="T296" s="233">
        <f>Inputs!T145</f>
        <v>0</v>
      </c>
      <c r="U296" s="234">
        <f>IF(SUM('(Tables)'!N744:P744)=0,0,1-SUM('(Tables)'!N785:P785)/SUM('(Tables)'!N744:P744))</f>
        <v>0</v>
      </c>
      <c r="V296" s="233">
        <f>Inputs!U145</f>
        <v>0</v>
      </c>
      <c r="W296" s="233">
        <f>Inputs!V145</f>
        <v>0</v>
      </c>
      <c r="X296" s="233">
        <f>Inputs!W145</f>
        <v>0</v>
      </c>
      <c r="Y296" s="234">
        <f>IF(SUM('(Tables)'!Q744:S744)=0,0,1-SUM('(Tables)'!Q785:S785)/SUM('(Tables)'!Q744:S744))</f>
        <v>0</v>
      </c>
    </row>
    <row r="297" spans="1:25" ht="12.75" hidden="1" customHeight="1" outlineLevel="1" x14ac:dyDescent="0.2">
      <c r="A297" s="198" t="str">
        <f>"      "&amp;Labels!B386</f>
        <v xml:space="preserve">      Prof Level 2</v>
      </c>
      <c r="B297" s="233">
        <f>Inputs!F146</f>
        <v>0</v>
      </c>
      <c r="C297" s="233">
        <f>Inputs!G146</f>
        <v>0</v>
      </c>
      <c r="D297" s="233">
        <f>Inputs!H146</f>
        <v>0</v>
      </c>
      <c r="E297" s="234">
        <f>IF(SUM('(Tables)'!B748:D748)=0,0,1-SUM('(Tables)'!B789:D789)/SUM('(Tables)'!B748:D748))</f>
        <v>0</v>
      </c>
      <c r="F297" s="233">
        <f>Inputs!I146</f>
        <v>0</v>
      </c>
      <c r="G297" s="233">
        <f>Inputs!J146</f>
        <v>0</v>
      </c>
      <c r="H297" s="233">
        <f>Inputs!K146</f>
        <v>0</v>
      </c>
      <c r="I297" s="234">
        <f>IF(SUM('(Tables)'!E748:G748)=0,0,1-SUM('(Tables)'!E789:G789)/SUM('(Tables)'!E748:G748))</f>
        <v>0</v>
      </c>
      <c r="J297" s="233">
        <f>Inputs!L146</f>
        <v>0</v>
      </c>
      <c r="K297" s="233">
        <f>Inputs!M146</f>
        <v>0</v>
      </c>
      <c r="L297" s="233">
        <f>Inputs!N146</f>
        <v>0</v>
      </c>
      <c r="M297" s="234">
        <f>IF(SUM('(Tables)'!H748:J748)=0,0,1-SUM('(Tables)'!H789:J789)/SUM('(Tables)'!H748:J748))</f>
        <v>0</v>
      </c>
      <c r="N297" s="233">
        <f>Inputs!O146</f>
        <v>0</v>
      </c>
      <c r="O297" s="233">
        <f>Inputs!P146</f>
        <v>0</v>
      </c>
      <c r="P297" s="233">
        <f>Inputs!Q146</f>
        <v>0</v>
      </c>
      <c r="Q297" s="234">
        <f>IF(SUM('(Tables)'!K748:M748)=0,0,1-SUM('(Tables)'!K789:M789)/SUM('(Tables)'!K748:M748))</f>
        <v>0</v>
      </c>
      <c r="R297" s="233">
        <f>Inputs!R146</f>
        <v>0</v>
      </c>
      <c r="S297" s="233">
        <f>Inputs!S146</f>
        <v>0</v>
      </c>
      <c r="T297" s="233">
        <f>Inputs!T146</f>
        <v>0</v>
      </c>
      <c r="U297" s="234">
        <f>IF(SUM('(Tables)'!N748:P748)=0,0,1-SUM('(Tables)'!N789:P789)/SUM('(Tables)'!N748:P748))</f>
        <v>0</v>
      </c>
      <c r="V297" s="233">
        <f>Inputs!U146</f>
        <v>0</v>
      </c>
      <c r="W297" s="233">
        <f>Inputs!V146</f>
        <v>0</v>
      </c>
      <c r="X297" s="233">
        <f>Inputs!W146</f>
        <v>0</v>
      </c>
      <c r="Y297" s="234">
        <f>IF(SUM('(Tables)'!Q748:S748)=0,0,1-SUM('(Tables)'!Q789:S789)/SUM('(Tables)'!Q748:S748))</f>
        <v>0</v>
      </c>
    </row>
    <row r="298" spans="1:25" ht="12.75" hidden="1" customHeight="1" outlineLevel="1" x14ac:dyDescent="0.2">
      <c r="A298" s="188" t="str">
        <f>"      "&amp;Labels!C384</f>
        <v xml:space="preserve">      Total</v>
      </c>
      <c r="B298" s="218">
        <f>IF('(Tables)'!B749=0,0,1-'(Tables)'!B790/'(Tables)'!B749)</f>
        <v>0</v>
      </c>
      <c r="C298" s="218">
        <f>IF('(Tables)'!C749=0,0,1-'(Tables)'!C790/'(Tables)'!C749)</f>
        <v>0</v>
      </c>
      <c r="D298" s="218">
        <f>IF('(Tables)'!D749=0,0,1-'(Tables)'!D790/'(Tables)'!D749)</f>
        <v>0</v>
      </c>
      <c r="E298" s="219">
        <f>IF(SUM('(Tables)'!B749:D749)=0,0,1-SUM('(Tables)'!B790:D790)/SUM('(Tables)'!B749:D749))</f>
        <v>0</v>
      </c>
      <c r="F298" s="218">
        <f>IF('(Tables)'!E749=0,0,1-'(Tables)'!E790/'(Tables)'!E749)</f>
        <v>0</v>
      </c>
      <c r="G298" s="218">
        <f>IF('(Tables)'!F749=0,0,1-'(Tables)'!F790/'(Tables)'!F749)</f>
        <v>0</v>
      </c>
      <c r="H298" s="218">
        <f>IF('(Tables)'!G749=0,0,1-'(Tables)'!G790/'(Tables)'!G749)</f>
        <v>0</v>
      </c>
      <c r="I298" s="219">
        <f>IF(SUM('(Tables)'!E749:G749)=0,0,1-SUM('(Tables)'!E790:G790)/SUM('(Tables)'!E749:G749))</f>
        <v>0</v>
      </c>
      <c r="J298" s="218">
        <f>IF('(Tables)'!H749=0,0,1-'(Tables)'!H790/'(Tables)'!H749)</f>
        <v>0</v>
      </c>
      <c r="K298" s="218">
        <f>IF('(Tables)'!I749=0,0,1-'(Tables)'!I790/'(Tables)'!I749)</f>
        <v>0</v>
      </c>
      <c r="L298" s="218">
        <f>IF('(Tables)'!J749=0,0,1-'(Tables)'!J790/'(Tables)'!J749)</f>
        <v>0</v>
      </c>
      <c r="M298" s="219">
        <f>IF(SUM('(Tables)'!H749:J749)=0,0,1-SUM('(Tables)'!H790:J790)/SUM('(Tables)'!H749:J749))</f>
        <v>0</v>
      </c>
      <c r="N298" s="218">
        <f>IF('(Tables)'!K749=0,0,1-'(Tables)'!K790/'(Tables)'!K749)</f>
        <v>0</v>
      </c>
      <c r="O298" s="218">
        <f>IF('(Tables)'!L749=0,0,1-'(Tables)'!L790/'(Tables)'!L749)</f>
        <v>0</v>
      </c>
      <c r="P298" s="218">
        <f>IF('(Tables)'!M749=0,0,1-'(Tables)'!M790/'(Tables)'!M749)</f>
        <v>0</v>
      </c>
      <c r="Q298" s="219">
        <f>IF(SUM('(Tables)'!K749:M749)=0,0,1-SUM('(Tables)'!K790:M790)/SUM('(Tables)'!K749:M749))</f>
        <v>0</v>
      </c>
      <c r="R298" s="218">
        <f>IF('(Tables)'!N749=0,0,1-'(Tables)'!N790/'(Tables)'!N749)</f>
        <v>0</v>
      </c>
      <c r="S298" s="218">
        <f>IF('(Tables)'!O749=0,0,1-'(Tables)'!O790/'(Tables)'!O749)</f>
        <v>0</v>
      </c>
      <c r="T298" s="218">
        <f>IF('(Tables)'!P749=0,0,1-'(Tables)'!P790/'(Tables)'!P749)</f>
        <v>0</v>
      </c>
      <c r="U298" s="219">
        <f>IF(SUM('(Tables)'!N749:P749)=0,0,1-SUM('(Tables)'!N790:P790)/SUM('(Tables)'!N749:P749))</f>
        <v>0</v>
      </c>
      <c r="V298" s="218">
        <f>IF('(Tables)'!Q749=0,0,1-'(Tables)'!Q790/'(Tables)'!Q749)</f>
        <v>0</v>
      </c>
      <c r="W298" s="218">
        <f>IF('(Tables)'!R749=0,0,1-'(Tables)'!R790/'(Tables)'!R749)</f>
        <v>0</v>
      </c>
      <c r="X298" s="218">
        <f>IF('(Tables)'!S749=0,0,1-'(Tables)'!S790/'(Tables)'!S749)</f>
        <v>0</v>
      </c>
      <c r="Y298" s="219">
        <f>IF(SUM('(Tables)'!Q749:S749)=0,0,1-SUM('(Tables)'!Q790:S790)/SUM('(Tables)'!Q749:S749))</f>
        <v>0</v>
      </c>
    </row>
    <row r="299" spans="1:25" ht="12.75" hidden="1" customHeight="1" outlineLevel="1" x14ac:dyDescent="0.2">
      <c r="A299" s="191" t="str">
        <f>"   "&amp;Labels!C380</f>
        <v xml:space="preserve">   Total</v>
      </c>
      <c r="B299" s="211">
        <f>IF('(Tables)'!B753=0,0,1-'(Tables)'!B794/'(Tables)'!B753)</f>
        <v>0</v>
      </c>
      <c r="C299" s="211">
        <f>IF('(Tables)'!C753=0,0,1-'(Tables)'!C794/'(Tables)'!C753)</f>
        <v>0</v>
      </c>
      <c r="D299" s="211">
        <f>IF('(Tables)'!D753=0,0,1-'(Tables)'!D794/'(Tables)'!D753)</f>
        <v>0</v>
      </c>
      <c r="E299" s="210">
        <f>IF(SUM('(Tables)'!B753:D753)=0,0,1-SUM('(Tables)'!B794:D794)/SUM('(Tables)'!B753:D753))</f>
        <v>0</v>
      </c>
      <c r="F299" s="211">
        <f>IF('(Tables)'!E753=0,0,1-'(Tables)'!E794/'(Tables)'!E753)</f>
        <v>0</v>
      </c>
      <c r="G299" s="211">
        <f>IF('(Tables)'!F753=0,0,1-'(Tables)'!F794/'(Tables)'!F753)</f>
        <v>0</v>
      </c>
      <c r="H299" s="211">
        <f>IF('(Tables)'!G753=0,0,1-'(Tables)'!G794/'(Tables)'!G753)</f>
        <v>0</v>
      </c>
      <c r="I299" s="210">
        <f>IF(SUM('(Tables)'!E753:G753)=0,0,1-SUM('(Tables)'!E794:G794)/SUM('(Tables)'!E753:G753))</f>
        <v>0</v>
      </c>
      <c r="J299" s="211">
        <f>IF('(Tables)'!H753=0,0,1-'(Tables)'!H794/'(Tables)'!H753)</f>
        <v>0</v>
      </c>
      <c r="K299" s="211">
        <f>IF('(Tables)'!I753=0,0,1-'(Tables)'!I794/'(Tables)'!I753)</f>
        <v>0</v>
      </c>
      <c r="L299" s="211">
        <f>IF('(Tables)'!J753=0,0,1-'(Tables)'!J794/'(Tables)'!J753)</f>
        <v>0</v>
      </c>
      <c r="M299" s="210">
        <f>IF(SUM('(Tables)'!H753:J753)=0,0,1-SUM('(Tables)'!H794:J794)/SUM('(Tables)'!H753:J753))</f>
        <v>0</v>
      </c>
      <c r="N299" s="211">
        <f>IF('(Tables)'!K753=0,0,1-'(Tables)'!K794/'(Tables)'!K753)</f>
        <v>0</v>
      </c>
      <c r="O299" s="211">
        <f>IF('(Tables)'!L753=0,0,1-'(Tables)'!L794/'(Tables)'!L753)</f>
        <v>0</v>
      </c>
      <c r="P299" s="211">
        <f>IF('(Tables)'!M753=0,0,1-'(Tables)'!M794/'(Tables)'!M753)</f>
        <v>0</v>
      </c>
      <c r="Q299" s="210">
        <f>IF(SUM('(Tables)'!K753:M753)=0,0,1-SUM('(Tables)'!K794:M794)/SUM('(Tables)'!K753:M753))</f>
        <v>0</v>
      </c>
      <c r="R299" s="211">
        <f>IF('(Tables)'!N753=0,0,1-'(Tables)'!N794/'(Tables)'!N753)</f>
        <v>0</v>
      </c>
      <c r="S299" s="211">
        <f>IF('(Tables)'!O753=0,0,1-'(Tables)'!O794/'(Tables)'!O753)</f>
        <v>0</v>
      </c>
      <c r="T299" s="211">
        <f>IF('(Tables)'!P753=0,0,1-'(Tables)'!P794/'(Tables)'!P753)</f>
        <v>0</v>
      </c>
      <c r="U299" s="210">
        <f>IF(SUM('(Tables)'!N753:P753)=0,0,1-SUM('(Tables)'!N794:P794)/SUM('(Tables)'!N753:P753))</f>
        <v>0</v>
      </c>
      <c r="V299" s="211">
        <f>IF('(Tables)'!Q753=0,0,1-'(Tables)'!Q794/'(Tables)'!Q753)</f>
        <v>0</v>
      </c>
      <c r="W299" s="211">
        <f>IF('(Tables)'!R753=0,0,1-'(Tables)'!R794/'(Tables)'!R753)</f>
        <v>0</v>
      </c>
      <c r="X299" s="211">
        <f>IF('(Tables)'!S753=0,0,1-'(Tables)'!S794/'(Tables)'!S753)</f>
        <v>0</v>
      </c>
      <c r="Y299" s="210">
        <f>IF(SUM('(Tables)'!Q753:S753)=0,0,1-SUM('(Tables)'!Q794:S794)/SUM('(Tables)'!Q753:S753))</f>
        <v>0</v>
      </c>
    </row>
    <row r="300" spans="1:25" ht="12.75" hidden="1" customHeight="1" outlineLevel="1" x14ac:dyDescent="0.2">
      <c r="A300" s="198" t="str">
        <f>"      "&amp;Labels!B385</f>
        <v xml:space="preserve">      Prof Level 1</v>
      </c>
      <c r="B300" s="233">
        <f>IF('(Tables)'!B757=0,0,1-'(Tables)'!B798/'(Tables)'!B757)</f>
        <v>0</v>
      </c>
      <c r="C300" s="233">
        <f>IF('(Tables)'!C757=0,0,1-'(Tables)'!C798/'(Tables)'!C757)</f>
        <v>0</v>
      </c>
      <c r="D300" s="233">
        <f>IF('(Tables)'!D757=0,0,1-'(Tables)'!D798/'(Tables)'!D757)</f>
        <v>0</v>
      </c>
      <c r="E300" s="234">
        <f>IF(SUM('(Tables)'!B757:D757)=0,0,1-SUM('(Tables)'!B798:D798)/SUM('(Tables)'!B757:D757))</f>
        <v>0</v>
      </c>
      <c r="F300" s="233">
        <f>IF('(Tables)'!E757=0,0,1-'(Tables)'!E798/'(Tables)'!E757)</f>
        <v>0</v>
      </c>
      <c r="G300" s="233">
        <f>IF('(Tables)'!F757=0,0,1-'(Tables)'!F798/'(Tables)'!F757)</f>
        <v>0</v>
      </c>
      <c r="H300" s="233">
        <f>IF('(Tables)'!G757=0,0,1-'(Tables)'!G798/'(Tables)'!G757)</f>
        <v>0</v>
      </c>
      <c r="I300" s="234">
        <f>IF(SUM('(Tables)'!E757:G757)=0,0,1-SUM('(Tables)'!E798:G798)/SUM('(Tables)'!E757:G757))</f>
        <v>0</v>
      </c>
      <c r="J300" s="233">
        <f>IF('(Tables)'!H757=0,0,1-'(Tables)'!H798/'(Tables)'!H757)</f>
        <v>0</v>
      </c>
      <c r="K300" s="233">
        <f>IF('(Tables)'!I757=0,0,1-'(Tables)'!I798/'(Tables)'!I757)</f>
        <v>0</v>
      </c>
      <c r="L300" s="233">
        <f>IF('(Tables)'!J757=0,0,1-'(Tables)'!J798/'(Tables)'!J757)</f>
        <v>0</v>
      </c>
      <c r="M300" s="234">
        <f>IF(SUM('(Tables)'!H757:J757)=0,0,1-SUM('(Tables)'!H798:J798)/SUM('(Tables)'!H757:J757))</f>
        <v>0</v>
      </c>
      <c r="N300" s="233">
        <f>IF('(Tables)'!K757=0,0,1-'(Tables)'!K798/'(Tables)'!K757)</f>
        <v>0</v>
      </c>
      <c r="O300" s="233">
        <f>IF('(Tables)'!L757=0,0,1-'(Tables)'!L798/'(Tables)'!L757)</f>
        <v>0</v>
      </c>
      <c r="P300" s="233">
        <f>IF('(Tables)'!M757=0,0,1-'(Tables)'!M798/'(Tables)'!M757)</f>
        <v>0</v>
      </c>
      <c r="Q300" s="234">
        <f>IF(SUM('(Tables)'!K757:M757)=0,0,1-SUM('(Tables)'!K798:M798)/SUM('(Tables)'!K757:M757))</f>
        <v>0</v>
      </c>
      <c r="R300" s="233">
        <f>IF('(Tables)'!N757=0,0,1-'(Tables)'!N798/'(Tables)'!N757)</f>
        <v>0</v>
      </c>
      <c r="S300" s="233">
        <f>IF('(Tables)'!O757=0,0,1-'(Tables)'!O798/'(Tables)'!O757)</f>
        <v>0</v>
      </c>
      <c r="T300" s="233">
        <f>IF('(Tables)'!P757=0,0,1-'(Tables)'!P798/'(Tables)'!P757)</f>
        <v>0</v>
      </c>
      <c r="U300" s="234">
        <f>IF(SUM('(Tables)'!N757:P757)=0,0,1-SUM('(Tables)'!N798:P798)/SUM('(Tables)'!N757:P757))</f>
        <v>0</v>
      </c>
      <c r="V300" s="233">
        <f>IF('(Tables)'!Q757=0,0,1-'(Tables)'!Q798/'(Tables)'!Q757)</f>
        <v>0</v>
      </c>
      <c r="W300" s="233">
        <f>IF('(Tables)'!R757=0,0,1-'(Tables)'!R798/'(Tables)'!R757)</f>
        <v>0</v>
      </c>
      <c r="X300" s="233">
        <f>IF('(Tables)'!S757=0,0,1-'(Tables)'!S798/'(Tables)'!S757)</f>
        <v>0</v>
      </c>
      <c r="Y300" s="234">
        <f>IF(SUM('(Tables)'!Q757:S757)=0,0,1-SUM('(Tables)'!Q798:S798)/SUM('(Tables)'!Q757:S757))</f>
        <v>0</v>
      </c>
    </row>
    <row r="301" spans="1:25" ht="12.75" hidden="1" customHeight="1" outlineLevel="1" x14ac:dyDescent="0.2">
      <c r="A301" s="198" t="str">
        <f>"      "&amp;Labels!B386</f>
        <v xml:space="preserve">      Prof Level 2</v>
      </c>
      <c r="B301" s="233">
        <f>IF('(Tables)'!B761=0,0,1-'(Tables)'!B802/'(Tables)'!B761)</f>
        <v>0</v>
      </c>
      <c r="C301" s="233">
        <f>IF('(Tables)'!C761=0,0,1-'(Tables)'!C802/'(Tables)'!C761)</f>
        <v>0</v>
      </c>
      <c r="D301" s="233">
        <f>IF('(Tables)'!D761=0,0,1-'(Tables)'!D802/'(Tables)'!D761)</f>
        <v>0</v>
      </c>
      <c r="E301" s="234">
        <f>IF(SUM('(Tables)'!B761:D761)=0,0,1-SUM('(Tables)'!B802:D802)/SUM('(Tables)'!B761:D761))</f>
        <v>0</v>
      </c>
      <c r="F301" s="233">
        <f>IF('(Tables)'!E761=0,0,1-'(Tables)'!E802/'(Tables)'!E761)</f>
        <v>0</v>
      </c>
      <c r="G301" s="233">
        <f>IF('(Tables)'!F761=0,0,1-'(Tables)'!F802/'(Tables)'!F761)</f>
        <v>0</v>
      </c>
      <c r="H301" s="233">
        <f>IF('(Tables)'!G761=0,0,1-'(Tables)'!G802/'(Tables)'!G761)</f>
        <v>0</v>
      </c>
      <c r="I301" s="234">
        <f>IF(SUM('(Tables)'!E761:G761)=0,0,1-SUM('(Tables)'!E802:G802)/SUM('(Tables)'!E761:G761))</f>
        <v>0</v>
      </c>
      <c r="J301" s="233">
        <f>IF('(Tables)'!H761=0,0,1-'(Tables)'!H802/'(Tables)'!H761)</f>
        <v>0</v>
      </c>
      <c r="K301" s="233">
        <f>IF('(Tables)'!I761=0,0,1-'(Tables)'!I802/'(Tables)'!I761)</f>
        <v>0</v>
      </c>
      <c r="L301" s="233">
        <f>IF('(Tables)'!J761=0,0,1-'(Tables)'!J802/'(Tables)'!J761)</f>
        <v>0</v>
      </c>
      <c r="M301" s="234">
        <f>IF(SUM('(Tables)'!H761:J761)=0,0,1-SUM('(Tables)'!H802:J802)/SUM('(Tables)'!H761:J761))</f>
        <v>0</v>
      </c>
      <c r="N301" s="233">
        <f>IF('(Tables)'!K761=0,0,1-'(Tables)'!K802/'(Tables)'!K761)</f>
        <v>0</v>
      </c>
      <c r="O301" s="233">
        <f>IF('(Tables)'!L761=0,0,1-'(Tables)'!L802/'(Tables)'!L761)</f>
        <v>0</v>
      </c>
      <c r="P301" s="233">
        <f>IF('(Tables)'!M761=0,0,1-'(Tables)'!M802/'(Tables)'!M761)</f>
        <v>0</v>
      </c>
      <c r="Q301" s="234">
        <f>IF(SUM('(Tables)'!K761:M761)=0,0,1-SUM('(Tables)'!K802:M802)/SUM('(Tables)'!K761:M761))</f>
        <v>0</v>
      </c>
      <c r="R301" s="233">
        <f>IF('(Tables)'!N761=0,0,1-'(Tables)'!N802/'(Tables)'!N761)</f>
        <v>0</v>
      </c>
      <c r="S301" s="233">
        <f>IF('(Tables)'!O761=0,0,1-'(Tables)'!O802/'(Tables)'!O761)</f>
        <v>0</v>
      </c>
      <c r="T301" s="233">
        <f>IF('(Tables)'!P761=0,0,1-'(Tables)'!P802/'(Tables)'!P761)</f>
        <v>0</v>
      </c>
      <c r="U301" s="234">
        <f>IF(SUM('(Tables)'!N761:P761)=0,0,1-SUM('(Tables)'!N802:P802)/SUM('(Tables)'!N761:P761))</f>
        <v>0</v>
      </c>
      <c r="V301" s="233">
        <f>IF('(Tables)'!Q761=0,0,1-'(Tables)'!Q802/'(Tables)'!Q761)</f>
        <v>0</v>
      </c>
      <c r="W301" s="233">
        <f>IF('(Tables)'!R761=0,0,1-'(Tables)'!R802/'(Tables)'!R761)</f>
        <v>0</v>
      </c>
      <c r="X301" s="233">
        <f>IF('(Tables)'!S761=0,0,1-'(Tables)'!S802/'(Tables)'!S761)</f>
        <v>0</v>
      </c>
      <c r="Y301" s="234">
        <f>IF(SUM('(Tables)'!Q761:S761)=0,0,1-SUM('(Tables)'!Q802:S802)/SUM('(Tables)'!Q761:S761))</f>
        <v>0</v>
      </c>
    </row>
    <row r="302" spans="1:25" ht="12.75" hidden="1" customHeight="1" outlineLevel="1" x14ac:dyDescent="0.2">
      <c r="A302" s="220" t="str">
        <f>"      "&amp;Labels!C384</f>
        <v xml:space="preserve">      Total</v>
      </c>
      <c r="B302" s="221">
        <f>IF('(Tables)'!B753=0,0,1-'(Tables)'!B794/'(Tables)'!B753)</f>
        <v>0</v>
      </c>
      <c r="C302" s="221">
        <f>IF('(Tables)'!C753=0,0,1-'(Tables)'!C794/'(Tables)'!C753)</f>
        <v>0</v>
      </c>
      <c r="D302" s="221">
        <f>IF('(Tables)'!D753=0,0,1-'(Tables)'!D794/'(Tables)'!D753)</f>
        <v>0</v>
      </c>
      <c r="E302" s="222">
        <f>IF(SUM('(Tables)'!B753:D753)=0,0,1-SUM('(Tables)'!B794:D794)/SUM('(Tables)'!B753:D753))</f>
        <v>0</v>
      </c>
      <c r="F302" s="221">
        <f>IF('(Tables)'!E753=0,0,1-'(Tables)'!E794/'(Tables)'!E753)</f>
        <v>0</v>
      </c>
      <c r="G302" s="221">
        <f>IF('(Tables)'!F753=0,0,1-'(Tables)'!F794/'(Tables)'!F753)</f>
        <v>0</v>
      </c>
      <c r="H302" s="221">
        <f>IF('(Tables)'!G753=0,0,1-'(Tables)'!G794/'(Tables)'!G753)</f>
        <v>0</v>
      </c>
      <c r="I302" s="222">
        <f>IF(SUM('(Tables)'!E753:G753)=0,0,1-SUM('(Tables)'!E794:G794)/SUM('(Tables)'!E753:G753))</f>
        <v>0</v>
      </c>
      <c r="J302" s="221">
        <f>IF('(Tables)'!H753=0,0,1-'(Tables)'!H794/'(Tables)'!H753)</f>
        <v>0</v>
      </c>
      <c r="K302" s="221">
        <f>IF('(Tables)'!I753=0,0,1-'(Tables)'!I794/'(Tables)'!I753)</f>
        <v>0</v>
      </c>
      <c r="L302" s="221">
        <f>IF('(Tables)'!J753=0,0,1-'(Tables)'!J794/'(Tables)'!J753)</f>
        <v>0</v>
      </c>
      <c r="M302" s="222">
        <f>IF(SUM('(Tables)'!H753:J753)=0,0,1-SUM('(Tables)'!H794:J794)/SUM('(Tables)'!H753:J753))</f>
        <v>0</v>
      </c>
      <c r="N302" s="221">
        <f>IF('(Tables)'!K753=0,0,1-'(Tables)'!K794/'(Tables)'!K753)</f>
        <v>0</v>
      </c>
      <c r="O302" s="221">
        <f>IF('(Tables)'!L753=0,0,1-'(Tables)'!L794/'(Tables)'!L753)</f>
        <v>0</v>
      </c>
      <c r="P302" s="221">
        <f>IF('(Tables)'!M753=0,0,1-'(Tables)'!M794/'(Tables)'!M753)</f>
        <v>0</v>
      </c>
      <c r="Q302" s="222">
        <f>IF(SUM('(Tables)'!K753:M753)=0,0,1-SUM('(Tables)'!K794:M794)/SUM('(Tables)'!K753:M753))</f>
        <v>0</v>
      </c>
      <c r="R302" s="221">
        <f>IF('(Tables)'!N753=0,0,1-'(Tables)'!N794/'(Tables)'!N753)</f>
        <v>0</v>
      </c>
      <c r="S302" s="221">
        <f>IF('(Tables)'!O753=0,0,1-'(Tables)'!O794/'(Tables)'!O753)</f>
        <v>0</v>
      </c>
      <c r="T302" s="221">
        <f>IF('(Tables)'!P753=0,0,1-'(Tables)'!P794/'(Tables)'!P753)</f>
        <v>0</v>
      </c>
      <c r="U302" s="222">
        <f>IF(SUM('(Tables)'!N753:P753)=0,0,1-SUM('(Tables)'!N794:P794)/SUM('(Tables)'!N753:P753))</f>
        <v>0</v>
      </c>
      <c r="V302" s="221">
        <f>IF('(Tables)'!Q753=0,0,1-'(Tables)'!Q794/'(Tables)'!Q753)</f>
        <v>0</v>
      </c>
      <c r="W302" s="221">
        <f>IF('(Tables)'!R753=0,0,1-'(Tables)'!R794/'(Tables)'!R753)</f>
        <v>0</v>
      </c>
      <c r="X302" s="221">
        <f>IF('(Tables)'!S753=0,0,1-'(Tables)'!S794/'(Tables)'!S753)</f>
        <v>0</v>
      </c>
      <c r="Y302" s="222">
        <f>IF(SUM('(Tables)'!Q753:S753)=0,0,1-SUM('(Tables)'!Q794:S794)/SUM('(Tables)'!Q753:S753))</f>
        <v>0</v>
      </c>
    </row>
    <row r="303" spans="1:25" ht="12.75" hidden="1" customHeight="1" outlineLevel="1" x14ac:dyDescent="0.2"/>
    <row r="304" spans="1:25" ht="12.75" hidden="1" customHeight="1" outlineLevel="1" collapsed="1" x14ac:dyDescent="0.2">
      <c r="A304" t="s">
        <v>3402</v>
      </c>
      <c r="B304" t="s">
        <v>3402</v>
      </c>
      <c r="C304" t="s">
        <v>3402</v>
      </c>
      <c r="D304" t="s">
        <v>3402</v>
      </c>
      <c r="E304" t="s">
        <v>3402</v>
      </c>
      <c r="F304" t="s">
        <v>3402</v>
      </c>
      <c r="G304" t="s">
        <v>3402</v>
      </c>
      <c r="H304" t="s">
        <v>3402</v>
      </c>
      <c r="I304" t="s">
        <v>3402</v>
      </c>
      <c r="J304" t="s">
        <v>3402</v>
      </c>
      <c r="K304" t="s">
        <v>3402</v>
      </c>
      <c r="L304" t="s">
        <v>3402</v>
      </c>
      <c r="M304" t="s">
        <v>3402</v>
      </c>
      <c r="N304" t="s">
        <v>3402</v>
      </c>
      <c r="O304" t="s">
        <v>3402</v>
      </c>
      <c r="P304" t="s">
        <v>3402</v>
      </c>
      <c r="Q304" t="s">
        <v>3402</v>
      </c>
      <c r="R304" t="s">
        <v>3402</v>
      </c>
      <c r="S304" t="s">
        <v>3402</v>
      </c>
      <c r="T304" t="s">
        <v>3402</v>
      </c>
      <c r="U304" t="s">
        <v>3402</v>
      </c>
      <c r="V304" t="s">
        <v>3402</v>
      </c>
      <c r="W304" t="s">
        <v>3402</v>
      </c>
      <c r="X304" t="s">
        <v>3402</v>
      </c>
      <c r="Y304" t="s">
        <v>3402</v>
      </c>
    </row>
    <row r="305" ht="12.75" customHeight="1" collapsed="1" x14ac:dyDescent="0.2"/>
  </sheetData>
  <mergeCells count="11">
    <mergeCell ref="A28:B28"/>
    <mergeCell ref="A37:D37"/>
    <mergeCell ref="A70:E70"/>
    <mergeCell ref="A103:C103"/>
    <mergeCell ref="A178:C178"/>
    <mergeCell ref="A27:B27"/>
    <mergeCell ref="A1:C1"/>
    <mergeCell ref="A2:C2"/>
    <mergeCell ref="A3:C3"/>
    <mergeCell ref="A4:C4"/>
    <mergeCell ref="A5:B5"/>
  </mergeCells>
  <pageMargins left="0.25" right="0.25" top="0.5" bottom="0.5" header="0.5" footer="0.5"/>
  <pageSetup paperSize="9" fitToHeight="32767" orientation="landscape" horizontalDpi="300" verticalDpi="300"/>
  <headerFooter alignWithMargins="0"/>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pageSetUpPr fitToPage="1"/>
  </sheetPr>
  <dimension ref="A1:Y533"/>
  <sheetViews>
    <sheetView zoomScaleNormal="100" workbookViewId="0">
      <selection sqref="A1:C1"/>
    </sheetView>
  </sheetViews>
  <sheetFormatPr defaultRowHeight="12.75" customHeight="1" outlineLevelRow="2" x14ac:dyDescent="0.2"/>
  <cols>
    <col min="1" max="1" width="25.5703125" customWidth="1"/>
    <col min="2" max="25" width="12.42578125" customWidth="1"/>
  </cols>
  <sheetData>
    <row r="1" spans="1:25" ht="12.75" customHeight="1" x14ac:dyDescent="0.2">
      <c r="A1" s="463" t="str">
        <f>Inputs!F7</f>
        <v xml:space="preserve"> </v>
      </c>
      <c r="B1" s="463"/>
      <c r="C1" s="463"/>
    </row>
    <row r="2" spans="1:25" ht="12.75" customHeight="1" x14ac:dyDescent="0.2">
      <c r="A2" s="463" t="e">
        <f>TEXT('(FnCalls 1)'!A41,"m/d/yyyy")&amp;" to "&amp;TEXT('(FnCalls 1)'!A59-1,"m/d/yyyy")</f>
        <v>#VALUE!</v>
      </c>
      <c r="B2" s="463"/>
      <c r="C2" s="463"/>
    </row>
    <row r="3" spans="1:25" ht="12.75" customHeight="1" x14ac:dyDescent="0.2">
      <c r="A3" s="463" t="str">
        <f>"Gross Margin and Cost of Services"</f>
        <v>Gross Margin and Cost of Services</v>
      </c>
      <c r="B3" s="463"/>
      <c r="C3" s="463"/>
    </row>
    <row r="4" spans="1:25" ht="12.75" customHeight="1" x14ac:dyDescent="0.2">
      <c r="A4" s="463" t="str">
        <f>" "</f>
        <v xml:space="preserve"> </v>
      </c>
      <c r="B4" s="463"/>
      <c r="C4" s="463"/>
    </row>
    <row r="5" spans="1:25" ht="12.75" customHeight="1" collapsed="1" x14ac:dyDescent="0.2">
      <c r="A5" s="464" t="str">
        <f>"Cost of Services and Margin Detail"</f>
        <v>Cost of Services and Margin Detail</v>
      </c>
      <c r="B5" s="464"/>
      <c r="C5" s="464"/>
    </row>
    <row r="6" spans="1:25" ht="12.75" hidden="1" customHeight="1" outlineLevel="1" x14ac:dyDescent="0.2">
      <c r="A6" s="1" t="str">
        <f>""</f>
        <v/>
      </c>
    </row>
    <row r="7" spans="1:25" ht="12.75" hidden="1" customHeight="1" outlineLevel="1" x14ac:dyDescent="0.2">
      <c r="A7" s="465" t="str">
        <f>"Cost of Services Detail"</f>
        <v>Cost of Services Detail</v>
      </c>
      <c r="B7" s="465"/>
      <c r="C7" s="465"/>
    </row>
    <row r="8" spans="1:25" ht="12.75" hidden="1" customHeight="1" outlineLevel="2" x14ac:dyDescent="0.2">
      <c r="A8" s="465" t="str">
        <f>""</f>
        <v/>
      </c>
      <c r="B8" s="465"/>
      <c r="C8" s="465"/>
    </row>
    <row r="9" spans="1:25" ht="12.75" hidden="1" customHeight="1" outlineLevel="2" x14ac:dyDescent="0.2">
      <c r="B9" s="9" t="str">
        <f>'(FnCalls 1)'!F41</f>
        <v>MMM 2010</v>
      </c>
      <c r="C9" s="10" t="str">
        <f>'(FnCalls 1)'!F42</f>
        <v>MMM 2010</v>
      </c>
      <c r="D9" s="10" t="str">
        <f>'(FnCalls 1)'!F43</f>
        <v>MMM 2010</v>
      </c>
      <c r="E9" s="181" t="str">
        <f>'(FnCalls 1)'!G41</f>
        <v>Q1 2010</v>
      </c>
      <c r="F9" s="10" t="str">
        <f>'(FnCalls 1)'!F44</f>
        <v>MMM 2010</v>
      </c>
      <c r="G9" s="10" t="str">
        <f>'(FnCalls 1)'!F45</f>
        <v>MMM 2010</v>
      </c>
      <c r="H9" s="10" t="str">
        <f>'(FnCalls 1)'!F46</f>
        <v>MMM 2010</v>
      </c>
      <c r="I9" s="181" t="str">
        <f>'(FnCalls 1)'!G44</f>
        <v>Q2 2010</v>
      </c>
      <c r="J9" s="10" t="str">
        <f>'(FnCalls 1)'!F47</f>
        <v>MMM 2010</v>
      </c>
      <c r="K9" s="10" t="str">
        <f>'(FnCalls 1)'!F48</f>
        <v>MMM 2010</v>
      </c>
      <c r="L9" s="10" t="str">
        <f>'(FnCalls 1)'!F49</f>
        <v>MMM 2010</v>
      </c>
      <c r="M9" s="181" t="str">
        <f>'(FnCalls 1)'!G47</f>
        <v>Q3 2010</v>
      </c>
      <c r="N9" s="10" t="str">
        <f>'(FnCalls 1)'!F50</f>
        <v>MMM 2010</v>
      </c>
      <c r="O9" s="10" t="str">
        <f>'(FnCalls 1)'!F51</f>
        <v>MMM 2010</v>
      </c>
      <c r="P9" s="10" t="str">
        <f>'(FnCalls 1)'!F52</f>
        <v>MMM 2010</v>
      </c>
      <c r="Q9" s="181" t="str">
        <f>'(FnCalls 1)'!G50</f>
        <v>Q4 2010</v>
      </c>
      <c r="R9" s="10" t="str">
        <f>'(FnCalls 1)'!F53</f>
        <v>MMM 2011</v>
      </c>
      <c r="S9" s="10" t="str">
        <f>'(FnCalls 1)'!F54</f>
        <v>MMM 2011</v>
      </c>
      <c r="T9" s="10" t="str">
        <f>'(FnCalls 1)'!F55</f>
        <v>MMM 2011</v>
      </c>
      <c r="U9" s="181" t="str">
        <f>'(FnCalls 1)'!G53</f>
        <v>Q1 2011</v>
      </c>
      <c r="V9" s="10" t="str">
        <f>'(FnCalls 1)'!F56</f>
        <v>MMM 2011</v>
      </c>
      <c r="W9" s="10" t="str">
        <f>'(FnCalls 1)'!F57</f>
        <v>MMM 2011</v>
      </c>
      <c r="X9" s="10" t="str">
        <f>'(FnCalls 1)'!F58</f>
        <v>MMM 2011</v>
      </c>
      <c r="Y9" s="181" t="str">
        <f>'(FnCalls 1)'!G56</f>
        <v>Q2 2011</v>
      </c>
    </row>
    <row r="10" spans="1:25" ht="12.75" hidden="1" customHeight="1" outlineLevel="2" x14ac:dyDescent="0.2">
      <c r="A10" s="182" t="str">
        <f>Labels!B44</f>
        <v xml:space="preserve">Cost of Services - Staff </v>
      </c>
      <c r="B10" s="239"/>
      <c r="C10" s="239"/>
      <c r="D10" s="239"/>
      <c r="E10" s="240"/>
      <c r="F10" s="239"/>
      <c r="G10" s="239"/>
      <c r="H10" s="239"/>
      <c r="I10" s="240"/>
      <c r="J10" s="239"/>
      <c r="K10" s="239"/>
      <c r="L10" s="239"/>
      <c r="M10" s="240"/>
      <c r="N10" s="239"/>
      <c r="O10" s="239"/>
      <c r="P10" s="239"/>
      <c r="Q10" s="240"/>
      <c r="R10" s="239"/>
      <c r="S10" s="239"/>
      <c r="T10" s="239"/>
      <c r="U10" s="240"/>
      <c r="V10" s="239"/>
      <c r="W10" s="239"/>
      <c r="X10" s="239"/>
      <c r="Y10" s="240"/>
    </row>
    <row r="11" spans="1:25" ht="12.75" hidden="1" customHeight="1" outlineLevel="2" x14ac:dyDescent="0.2">
      <c r="A11" s="188" t="str">
        <f>"   "&amp;Labels!B381</f>
        <v xml:space="preserve">   Practice 1</v>
      </c>
      <c r="B11" s="241"/>
      <c r="C11" s="241"/>
      <c r="D11" s="241"/>
      <c r="E11" s="242"/>
      <c r="F11" s="241"/>
      <c r="G11" s="241"/>
      <c r="H11" s="241"/>
      <c r="I11" s="242"/>
      <c r="J11" s="241"/>
      <c r="K11" s="241"/>
      <c r="L11" s="241"/>
      <c r="M11" s="242"/>
      <c r="N11" s="241"/>
      <c r="O11" s="241"/>
      <c r="P11" s="241"/>
      <c r="Q11" s="242"/>
      <c r="R11" s="241"/>
      <c r="S11" s="241"/>
      <c r="T11" s="241"/>
      <c r="U11" s="242"/>
      <c r="V11" s="241"/>
      <c r="W11" s="241"/>
      <c r="X11" s="241"/>
      <c r="Y11" s="242"/>
    </row>
    <row r="12" spans="1:25" ht="12.75" hidden="1" customHeight="1" outlineLevel="2" x14ac:dyDescent="0.2">
      <c r="A12" s="198" t="str">
        <f>"      "&amp;Labels!B385</f>
        <v xml:space="preserve">      Prof Level 1</v>
      </c>
      <c r="B12" s="243"/>
      <c r="C12" s="243"/>
      <c r="D12" s="243"/>
      <c r="E12" s="244"/>
      <c r="F12" s="243"/>
      <c r="G12" s="243"/>
      <c r="H12" s="243"/>
      <c r="I12" s="244"/>
      <c r="J12" s="243"/>
      <c r="K12" s="243"/>
      <c r="L12" s="243"/>
      <c r="M12" s="244"/>
      <c r="N12" s="243"/>
      <c r="O12" s="243"/>
      <c r="P12" s="243"/>
      <c r="Q12" s="244"/>
      <c r="R12" s="243"/>
      <c r="S12" s="243"/>
      <c r="T12" s="243"/>
      <c r="U12" s="244"/>
      <c r="V12" s="243"/>
      <c r="W12" s="243"/>
      <c r="X12" s="243"/>
      <c r="Y12" s="244"/>
    </row>
    <row r="13" spans="1:25" ht="12.75" hidden="1" customHeight="1" outlineLevel="2" x14ac:dyDescent="0.2">
      <c r="A13" s="198" t="str">
        <f>"         "&amp;Labels!B317</f>
        <v xml:space="preserve">         Channels 1</v>
      </c>
      <c r="B13" s="243">
        <f>B462*'(Tables)'!B1083</f>
        <v>0</v>
      </c>
      <c r="C13" s="243">
        <f>C462*'(Tables)'!C1083</f>
        <v>0</v>
      </c>
      <c r="D13" s="243">
        <f>D462*'(Tables)'!D1083</f>
        <v>0</v>
      </c>
      <c r="E13" s="244">
        <f>SUM(B13:D13)</f>
        <v>0</v>
      </c>
      <c r="F13" s="243">
        <f>F462*'(Tables)'!E1083</f>
        <v>0</v>
      </c>
      <c r="G13" s="243">
        <f>G462*'(Tables)'!F1083</f>
        <v>0</v>
      </c>
      <c r="H13" s="243">
        <f>H462*'(Tables)'!G1083</f>
        <v>0</v>
      </c>
      <c r="I13" s="244">
        <f>SUM(F13:H13)</f>
        <v>0</v>
      </c>
      <c r="J13" s="243">
        <f>J462*'(Tables)'!H1083</f>
        <v>14130.446485530005</v>
      </c>
      <c r="K13" s="243">
        <f>K462*'(Tables)'!I1083</f>
        <v>14165.295978566419</v>
      </c>
      <c r="L13" s="243">
        <f>L462*'(Tables)'!J1083</f>
        <v>0</v>
      </c>
      <c r="M13" s="244">
        <f>SUM(J13:L13)</f>
        <v>28295.742464096424</v>
      </c>
      <c r="N13" s="243">
        <f>N462*'(Tables)'!K1083</f>
        <v>0</v>
      </c>
      <c r="O13" s="243">
        <f>O462*'(Tables)'!L1083</f>
        <v>0</v>
      </c>
      <c r="P13" s="243">
        <f>P462*'(Tables)'!M1083</f>
        <v>0</v>
      </c>
      <c r="Q13" s="244">
        <f>SUM(N13:P13)</f>
        <v>0</v>
      </c>
      <c r="R13" s="243">
        <f>R462*'(Tables)'!N1083</f>
        <v>0</v>
      </c>
      <c r="S13" s="243">
        <f>S462*'(Tables)'!O1083</f>
        <v>0</v>
      </c>
      <c r="T13" s="243">
        <f>T462*'(Tables)'!P1083</f>
        <v>0</v>
      </c>
      <c r="U13" s="244">
        <f>SUM(R13:T13)</f>
        <v>0</v>
      </c>
      <c r="V13" s="243">
        <f>V462*'(Tables)'!Q1083</f>
        <v>0</v>
      </c>
      <c r="W13" s="243">
        <f>W462*'(Tables)'!R1083</f>
        <v>0</v>
      </c>
      <c r="X13" s="243">
        <f>X462*'(Tables)'!S1083</f>
        <v>0</v>
      </c>
      <c r="Y13" s="244">
        <f>SUM(V13:X13)</f>
        <v>0</v>
      </c>
    </row>
    <row r="14" spans="1:25" ht="12.75" hidden="1" customHeight="1" outlineLevel="2" x14ac:dyDescent="0.2">
      <c r="A14" s="198" t="str">
        <f>"         "&amp;Labels!B318</f>
        <v xml:space="preserve">         Channels 2</v>
      </c>
      <c r="B14" s="243">
        <f>B462*'(Tables)'!B1084</f>
        <v>0</v>
      </c>
      <c r="C14" s="243">
        <f>C462*'(Tables)'!C1084</f>
        <v>0</v>
      </c>
      <c r="D14" s="243">
        <f>D462*'(Tables)'!D1084</f>
        <v>0</v>
      </c>
      <c r="E14" s="244">
        <f>SUM(B14:D14)</f>
        <v>0</v>
      </c>
      <c r="F14" s="243">
        <f>F462*'(Tables)'!E1084</f>
        <v>0</v>
      </c>
      <c r="G14" s="243">
        <f>G462*'(Tables)'!F1084</f>
        <v>0</v>
      </c>
      <c r="H14" s="243">
        <f>H462*'(Tables)'!G1084</f>
        <v>0</v>
      </c>
      <c r="I14" s="244">
        <f>SUM(F14:H14)</f>
        <v>0</v>
      </c>
      <c r="J14" s="243">
        <f>J462*'(Tables)'!H1084</f>
        <v>0</v>
      </c>
      <c r="K14" s="243">
        <f>K462*'(Tables)'!I1084</f>
        <v>0</v>
      </c>
      <c r="L14" s="243">
        <f>L462*'(Tables)'!J1084</f>
        <v>0</v>
      </c>
      <c r="M14" s="244">
        <f>SUM(J14:L14)</f>
        <v>0</v>
      </c>
      <c r="N14" s="243">
        <f>N462*'(Tables)'!K1084</f>
        <v>0</v>
      </c>
      <c r="O14" s="243">
        <f>O462*'(Tables)'!L1084</f>
        <v>0</v>
      </c>
      <c r="P14" s="243">
        <f>P462*'(Tables)'!M1084</f>
        <v>0</v>
      </c>
      <c r="Q14" s="244">
        <f>SUM(N14:P14)</f>
        <v>0</v>
      </c>
      <c r="R14" s="243">
        <f>R462*'(Tables)'!N1084</f>
        <v>0</v>
      </c>
      <c r="S14" s="243">
        <f>S462*'(Tables)'!O1084</f>
        <v>0</v>
      </c>
      <c r="T14" s="243">
        <f>T462*'(Tables)'!P1084</f>
        <v>0</v>
      </c>
      <c r="U14" s="244">
        <f>SUM(R14:T14)</f>
        <v>0</v>
      </c>
      <c r="V14" s="243">
        <f>V462*'(Tables)'!Q1084</f>
        <v>0</v>
      </c>
      <c r="W14" s="243">
        <f>W462*'(Tables)'!R1084</f>
        <v>0</v>
      </c>
      <c r="X14" s="243">
        <f>X462*'(Tables)'!S1084</f>
        <v>0</v>
      </c>
      <c r="Y14" s="244">
        <f>SUM(V14:X14)</f>
        <v>0</v>
      </c>
    </row>
    <row r="15" spans="1:25" ht="12.75" hidden="1" customHeight="1" outlineLevel="2" x14ac:dyDescent="0.2">
      <c r="A15" s="198" t="str">
        <f>"         "&amp;Labels!C316</f>
        <v xml:space="preserve">         Total</v>
      </c>
      <c r="B15" s="243">
        <f>SUM(B13:B14)</f>
        <v>0</v>
      </c>
      <c r="C15" s="243">
        <f>SUM(C13:C14)</f>
        <v>0</v>
      </c>
      <c r="D15" s="243">
        <f>SUM(D13:D14)</f>
        <v>0</v>
      </c>
      <c r="E15" s="244">
        <f>SUM(B15:D15)</f>
        <v>0</v>
      </c>
      <c r="F15" s="243">
        <f>SUM(F13:F14)</f>
        <v>0</v>
      </c>
      <c r="G15" s="243">
        <f>SUM(G13:G14)</f>
        <v>0</v>
      </c>
      <c r="H15" s="243">
        <f>SUM(H13:H14)</f>
        <v>0</v>
      </c>
      <c r="I15" s="244">
        <f>SUM(F15:H15)</f>
        <v>0</v>
      </c>
      <c r="J15" s="243">
        <f>SUM(J13:J14)</f>
        <v>14130.446485530005</v>
      </c>
      <c r="K15" s="243">
        <f>SUM(K13:K14)</f>
        <v>14165.295978566419</v>
      </c>
      <c r="L15" s="243">
        <f>SUM(L13:L14)</f>
        <v>0</v>
      </c>
      <c r="M15" s="244">
        <f>SUM(J15:L15)</f>
        <v>28295.742464096424</v>
      </c>
      <c r="N15" s="243">
        <f>SUM(N13:N14)</f>
        <v>0</v>
      </c>
      <c r="O15" s="243">
        <f>SUM(O13:O14)</f>
        <v>0</v>
      </c>
      <c r="P15" s="243">
        <f>SUM(P13:P14)</f>
        <v>0</v>
      </c>
      <c r="Q15" s="244">
        <f>SUM(N15:P15)</f>
        <v>0</v>
      </c>
      <c r="R15" s="243">
        <f>SUM(R13:R14)</f>
        <v>0</v>
      </c>
      <c r="S15" s="243">
        <f>SUM(S13:S14)</f>
        <v>0</v>
      </c>
      <c r="T15" s="243">
        <f>SUM(T13:T14)</f>
        <v>0</v>
      </c>
      <c r="U15" s="244">
        <f>SUM(R15:T15)</f>
        <v>0</v>
      </c>
      <c r="V15" s="243">
        <f>SUM(V13:V14)</f>
        <v>0</v>
      </c>
      <c r="W15" s="243">
        <f>SUM(W13:W14)</f>
        <v>0</v>
      </c>
      <c r="X15" s="243">
        <f>SUM(X13:X14)</f>
        <v>0</v>
      </c>
      <c r="Y15" s="244">
        <f>SUM(V15:X15)</f>
        <v>0</v>
      </c>
    </row>
    <row r="16" spans="1:25" ht="12.75" hidden="1" customHeight="1" outlineLevel="2" x14ac:dyDescent="0.2">
      <c r="A16" s="198" t="str">
        <f>"      "&amp;Labels!B386</f>
        <v xml:space="preserve">      Prof Level 2</v>
      </c>
      <c r="B16" s="243"/>
      <c r="C16" s="243"/>
      <c r="D16" s="243"/>
      <c r="E16" s="244"/>
      <c r="F16" s="243"/>
      <c r="G16" s="243"/>
      <c r="H16" s="243"/>
      <c r="I16" s="244"/>
      <c r="J16" s="243"/>
      <c r="K16" s="243"/>
      <c r="L16" s="243"/>
      <c r="M16" s="244"/>
      <c r="N16" s="243"/>
      <c r="O16" s="243"/>
      <c r="P16" s="243"/>
      <c r="Q16" s="244"/>
      <c r="R16" s="243"/>
      <c r="S16" s="243"/>
      <c r="T16" s="243"/>
      <c r="U16" s="244"/>
      <c r="V16" s="243"/>
      <c r="W16" s="243"/>
      <c r="X16" s="243"/>
      <c r="Y16" s="244"/>
    </row>
    <row r="17" spans="1:25" ht="12.75" hidden="1" customHeight="1" outlineLevel="2" x14ac:dyDescent="0.2">
      <c r="A17" s="198" t="str">
        <f>"         "&amp;Labels!B317</f>
        <v xml:space="preserve">         Channels 1</v>
      </c>
      <c r="B17" s="243">
        <f>B463*'(Tables)'!B1087</f>
        <v>0</v>
      </c>
      <c r="C17" s="243">
        <f>C463*'(Tables)'!C1087</f>
        <v>0</v>
      </c>
      <c r="D17" s="243">
        <f>D463*'(Tables)'!D1087</f>
        <v>0</v>
      </c>
      <c r="E17" s="244">
        <f t="shared" ref="E17:E22" si="0">SUM(B17:D17)</f>
        <v>0</v>
      </c>
      <c r="F17" s="243">
        <f>F463*'(Tables)'!E1087</f>
        <v>0</v>
      </c>
      <c r="G17" s="243">
        <f>G463*'(Tables)'!F1087</f>
        <v>0</v>
      </c>
      <c r="H17" s="243">
        <f>H463*'(Tables)'!G1087</f>
        <v>0</v>
      </c>
      <c r="I17" s="244">
        <f t="shared" ref="I17:I22" si="1">SUM(F17:H17)</f>
        <v>0</v>
      </c>
      <c r="J17" s="243">
        <f>J463*'(Tables)'!H1087</f>
        <v>14130.446485530005</v>
      </c>
      <c r="K17" s="243">
        <f>K463*'(Tables)'!I1087</f>
        <v>14165.295978566419</v>
      </c>
      <c r="L17" s="243">
        <f>L463*'(Tables)'!J1087</f>
        <v>0</v>
      </c>
      <c r="M17" s="244">
        <f t="shared" ref="M17:M22" si="2">SUM(J17:L17)</f>
        <v>28295.742464096424</v>
      </c>
      <c r="N17" s="243">
        <f>N463*'(Tables)'!K1087</f>
        <v>0</v>
      </c>
      <c r="O17" s="243">
        <f>O463*'(Tables)'!L1087</f>
        <v>0</v>
      </c>
      <c r="P17" s="243">
        <f>P463*'(Tables)'!M1087</f>
        <v>0</v>
      </c>
      <c r="Q17" s="244">
        <f t="shared" ref="Q17:Q22" si="3">SUM(N17:P17)</f>
        <v>0</v>
      </c>
      <c r="R17" s="243">
        <f>R463*'(Tables)'!N1087</f>
        <v>0</v>
      </c>
      <c r="S17" s="243">
        <f>S463*'(Tables)'!O1087</f>
        <v>0</v>
      </c>
      <c r="T17" s="243">
        <f>T463*'(Tables)'!P1087</f>
        <v>0</v>
      </c>
      <c r="U17" s="244">
        <f t="shared" ref="U17:U22" si="4">SUM(R17:T17)</f>
        <v>0</v>
      </c>
      <c r="V17" s="243">
        <f>V463*'(Tables)'!Q1087</f>
        <v>0</v>
      </c>
      <c r="W17" s="243">
        <f>W463*'(Tables)'!R1087</f>
        <v>0</v>
      </c>
      <c r="X17" s="243">
        <f>X463*'(Tables)'!S1087</f>
        <v>0</v>
      </c>
      <c r="Y17" s="244">
        <f t="shared" ref="Y17:Y22" si="5">SUM(V17:X17)</f>
        <v>0</v>
      </c>
    </row>
    <row r="18" spans="1:25" ht="12.75" hidden="1" customHeight="1" outlineLevel="2" x14ac:dyDescent="0.2">
      <c r="A18" s="198" t="str">
        <f>"         "&amp;Labels!B318</f>
        <v xml:space="preserve">         Channels 2</v>
      </c>
      <c r="B18" s="243">
        <f>B463*'(Tables)'!B1088</f>
        <v>0</v>
      </c>
      <c r="C18" s="243">
        <f>C463*'(Tables)'!C1088</f>
        <v>0</v>
      </c>
      <c r="D18" s="243">
        <f>D463*'(Tables)'!D1088</f>
        <v>0</v>
      </c>
      <c r="E18" s="244">
        <f t="shared" si="0"/>
        <v>0</v>
      </c>
      <c r="F18" s="243">
        <f>F463*'(Tables)'!E1088</f>
        <v>0</v>
      </c>
      <c r="G18" s="243">
        <f>G463*'(Tables)'!F1088</f>
        <v>0</v>
      </c>
      <c r="H18" s="243">
        <f>H463*'(Tables)'!G1088</f>
        <v>0</v>
      </c>
      <c r="I18" s="244">
        <f t="shared" si="1"/>
        <v>0</v>
      </c>
      <c r="J18" s="243">
        <f>J463*'(Tables)'!H1088</f>
        <v>0</v>
      </c>
      <c r="K18" s="243">
        <f>K463*'(Tables)'!I1088</f>
        <v>0</v>
      </c>
      <c r="L18" s="243">
        <f>L463*'(Tables)'!J1088</f>
        <v>0</v>
      </c>
      <c r="M18" s="244">
        <f t="shared" si="2"/>
        <v>0</v>
      </c>
      <c r="N18" s="243">
        <f>N463*'(Tables)'!K1088</f>
        <v>0</v>
      </c>
      <c r="O18" s="243">
        <f>O463*'(Tables)'!L1088</f>
        <v>0</v>
      </c>
      <c r="P18" s="243">
        <f>P463*'(Tables)'!M1088</f>
        <v>0</v>
      </c>
      <c r="Q18" s="244">
        <f t="shared" si="3"/>
        <v>0</v>
      </c>
      <c r="R18" s="243">
        <f>R463*'(Tables)'!N1088</f>
        <v>0</v>
      </c>
      <c r="S18" s="243">
        <f>S463*'(Tables)'!O1088</f>
        <v>0</v>
      </c>
      <c r="T18" s="243">
        <f>T463*'(Tables)'!P1088</f>
        <v>0</v>
      </c>
      <c r="U18" s="244">
        <f t="shared" si="4"/>
        <v>0</v>
      </c>
      <c r="V18" s="243">
        <f>V463*'(Tables)'!Q1088</f>
        <v>0</v>
      </c>
      <c r="W18" s="243">
        <f>W463*'(Tables)'!R1088</f>
        <v>0</v>
      </c>
      <c r="X18" s="243">
        <f>X463*'(Tables)'!S1088</f>
        <v>0</v>
      </c>
      <c r="Y18" s="244">
        <f t="shared" si="5"/>
        <v>0</v>
      </c>
    </row>
    <row r="19" spans="1:25" ht="12.75" hidden="1" customHeight="1" outlineLevel="2" x14ac:dyDescent="0.2">
      <c r="A19" s="198" t="str">
        <f>"         "&amp;Labels!C316</f>
        <v xml:space="preserve">         Total</v>
      </c>
      <c r="B19" s="243">
        <f>SUM(B17:B18)</f>
        <v>0</v>
      </c>
      <c r="C19" s="243">
        <f>SUM(C17:C18)</f>
        <v>0</v>
      </c>
      <c r="D19" s="243">
        <f>SUM(D17:D18)</f>
        <v>0</v>
      </c>
      <c r="E19" s="244">
        <f t="shared" si="0"/>
        <v>0</v>
      </c>
      <c r="F19" s="243">
        <f>SUM(F17:F18)</f>
        <v>0</v>
      </c>
      <c r="G19" s="243">
        <f>SUM(G17:G18)</f>
        <v>0</v>
      </c>
      <c r="H19" s="243">
        <f>SUM(H17:H18)</f>
        <v>0</v>
      </c>
      <c r="I19" s="244">
        <f t="shared" si="1"/>
        <v>0</v>
      </c>
      <c r="J19" s="243">
        <f>SUM(J17:J18)</f>
        <v>14130.446485530005</v>
      </c>
      <c r="K19" s="243">
        <f>SUM(K17:K18)</f>
        <v>14165.295978566419</v>
      </c>
      <c r="L19" s="243">
        <f>SUM(L17:L18)</f>
        <v>0</v>
      </c>
      <c r="M19" s="244">
        <f t="shared" si="2"/>
        <v>28295.742464096424</v>
      </c>
      <c r="N19" s="243">
        <f>SUM(N17:N18)</f>
        <v>0</v>
      </c>
      <c r="O19" s="243">
        <f>SUM(O17:O18)</f>
        <v>0</v>
      </c>
      <c r="P19" s="243">
        <f>SUM(P17:P18)</f>
        <v>0</v>
      </c>
      <c r="Q19" s="244">
        <f t="shared" si="3"/>
        <v>0</v>
      </c>
      <c r="R19" s="243">
        <f>SUM(R17:R18)</f>
        <v>0</v>
      </c>
      <c r="S19" s="243">
        <f>SUM(S17:S18)</f>
        <v>0</v>
      </c>
      <c r="T19" s="243">
        <f>SUM(T17:T18)</f>
        <v>0</v>
      </c>
      <c r="U19" s="244">
        <f t="shared" si="4"/>
        <v>0</v>
      </c>
      <c r="V19" s="243">
        <f>SUM(V17:V18)</f>
        <v>0</v>
      </c>
      <c r="W19" s="243">
        <f>SUM(W17:W18)</f>
        <v>0</v>
      </c>
      <c r="X19" s="243">
        <f>SUM(X17:X18)</f>
        <v>0</v>
      </c>
      <c r="Y19" s="244">
        <f t="shared" si="5"/>
        <v>0</v>
      </c>
    </row>
    <row r="20" spans="1:25" ht="12.75" hidden="1" customHeight="1" outlineLevel="2" x14ac:dyDescent="0.2">
      <c r="A20" s="188" t="str">
        <f>"      "&amp;Labels!C384</f>
        <v xml:space="preserve">      Total</v>
      </c>
      <c r="B20" s="241">
        <f>SUM(B15,B19)</f>
        <v>0</v>
      </c>
      <c r="C20" s="241">
        <f>SUM(C15,C19)</f>
        <v>0</v>
      </c>
      <c r="D20" s="241">
        <f>SUM(D15,D19)</f>
        <v>0</v>
      </c>
      <c r="E20" s="242">
        <f t="shared" si="0"/>
        <v>0</v>
      </c>
      <c r="F20" s="241">
        <f>SUM(F15,F19)</f>
        <v>0</v>
      </c>
      <c r="G20" s="241">
        <f>SUM(G15,G19)</f>
        <v>0</v>
      </c>
      <c r="H20" s="241">
        <f>SUM(H15,H19)</f>
        <v>0</v>
      </c>
      <c r="I20" s="242">
        <f t="shared" si="1"/>
        <v>0</v>
      </c>
      <c r="J20" s="241">
        <f>SUM(J15,J19)</f>
        <v>28260.89297106001</v>
      </c>
      <c r="K20" s="241">
        <f>SUM(K15,K19)</f>
        <v>28330.591957132838</v>
      </c>
      <c r="L20" s="241">
        <f>SUM(L15,L19)</f>
        <v>0</v>
      </c>
      <c r="M20" s="242">
        <f t="shared" si="2"/>
        <v>56591.484928192847</v>
      </c>
      <c r="N20" s="241">
        <f>SUM(N15,N19)</f>
        <v>0</v>
      </c>
      <c r="O20" s="241">
        <f>SUM(O15,O19)</f>
        <v>0</v>
      </c>
      <c r="P20" s="241">
        <f>SUM(P15,P19)</f>
        <v>0</v>
      </c>
      <c r="Q20" s="242">
        <f t="shared" si="3"/>
        <v>0</v>
      </c>
      <c r="R20" s="241">
        <f>SUM(R15,R19)</f>
        <v>0</v>
      </c>
      <c r="S20" s="241">
        <f>SUM(S15,S19)</f>
        <v>0</v>
      </c>
      <c r="T20" s="241">
        <f>SUM(T15,T19)</f>
        <v>0</v>
      </c>
      <c r="U20" s="242">
        <f t="shared" si="4"/>
        <v>0</v>
      </c>
      <c r="V20" s="241">
        <f>SUM(V15,V19)</f>
        <v>0</v>
      </c>
      <c r="W20" s="241">
        <f>SUM(W15,W19)</f>
        <v>0</v>
      </c>
      <c r="X20" s="241">
        <f>SUM(X15,X19)</f>
        <v>0</v>
      </c>
      <c r="Y20" s="242">
        <f t="shared" si="5"/>
        <v>0</v>
      </c>
    </row>
    <row r="21" spans="1:25" ht="12.75" hidden="1" customHeight="1" outlineLevel="2" x14ac:dyDescent="0.2">
      <c r="A21" s="198" t="str">
        <f>"         "&amp;Labels!B317</f>
        <v xml:space="preserve">         Channels 1</v>
      </c>
      <c r="B21" s="243">
        <f t="shared" ref="B21:D23" si="6">SUM(B13,B17)</f>
        <v>0</v>
      </c>
      <c r="C21" s="243">
        <f t="shared" si="6"/>
        <v>0</v>
      </c>
      <c r="D21" s="243">
        <f t="shared" si="6"/>
        <v>0</v>
      </c>
      <c r="E21" s="244">
        <f t="shared" si="0"/>
        <v>0</v>
      </c>
      <c r="F21" s="243">
        <f t="shared" ref="F21:H23" si="7">SUM(F13,F17)</f>
        <v>0</v>
      </c>
      <c r="G21" s="243">
        <f t="shared" si="7"/>
        <v>0</v>
      </c>
      <c r="H21" s="243">
        <f t="shared" si="7"/>
        <v>0</v>
      </c>
      <c r="I21" s="244">
        <f t="shared" si="1"/>
        <v>0</v>
      </c>
      <c r="J21" s="243">
        <f t="shared" ref="J21:L23" si="8">SUM(J13,J17)</f>
        <v>28260.89297106001</v>
      </c>
      <c r="K21" s="243">
        <f t="shared" si="8"/>
        <v>28330.591957132838</v>
      </c>
      <c r="L21" s="243">
        <f t="shared" si="8"/>
        <v>0</v>
      </c>
      <c r="M21" s="244">
        <f t="shared" si="2"/>
        <v>56591.484928192847</v>
      </c>
      <c r="N21" s="243">
        <f t="shared" ref="N21:P23" si="9">SUM(N13,N17)</f>
        <v>0</v>
      </c>
      <c r="O21" s="243">
        <f t="shared" si="9"/>
        <v>0</v>
      </c>
      <c r="P21" s="243">
        <f t="shared" si="9"/>
        <v>0</v>
      </c>
      <c r="Q21" s="244">
        <f t="shared" si="3"/>
        <v>0</v>
      </c>
      <c r="R21" s="243">
        <f t="shared" ref="R21:T23" si="10">SUM(R13,R17)</f>
        <v>0</v>
      </c>
      <c r="S21" s="243">
        <f t="shared" si="10"/>
        <v>0</v>
      </c>
      <c r="T21" s="243">
        <f t="shared" si="10"/>
        <v>0</v>
      </c>
      <c r="U21" s="244">
        <f t="shared" si="4"/>
        <v>0</v>
      </c>
      <c r="V21" s="243">
        <f t="shared" ref="V21:X23" si="11">SUM(V13,V17)</f>
        <v>0</v>
      </c>
      <c r="W21" s="243">
        <f t="shared" si="11"/>
        <v>0</v>
      </c>
      <c r="X21" s="243">
        <f t="shared" si="11"/>
        <v>0</v>
      </c>
      <c r="Y21" s="244">
        <f t="shared" si="5"/>
        <v>0</v>
      </c>
    </row>
    <row r="22" spans="1:25" ht="12.75" hidden="1" customHeight="1" outlineLevel="2" x14ac:dyDescent="0.2">
      <c r="A22" s="198" t="str">
        <f>"         "&amp;Labels!B318</f>
        <v xml:space="preserve">         Channels 2</v>
      </c>
      <c r="B22" s="243">
        <f t="shared" si="6"/>
        <v>0</v>
      </c>
      <c r="C22" s="243">
        <f t="shared" si="6"/>
        <v>0</v>
      </c>
      <c r="D22" s="243">
        <f t="shared" si="6"/>
        <v>0</v>
      </c>
      <c r="E22" s="244">
        <f t="shared" si="0"/>
        <v>0</v>
      </c>
      <c r="F22" s="243">
        <f t="shared" si="7"/>
        <v>0</v>
      </c>
      <c r="G22" s="243">
        <f t="shared" si="7"/>
        <v>0</v>
      </c>
      <c r="H22" s="243">
        <f t="shared" si="7"/>
        <v>0</v>
      </c>
      <c r="I22" s="244">
        <f t="shared" si="1"/>
        <v>0</v>
      </c>
      <c r="J22" s="243">
        <f t="shared" si="8"/>
        <v>0</v>
      </c>
      <c r="K22" s="243">
        <f t="shared" si="8"/>
        <v>0</v>
      </c>
      <c r="L22" s="243">
        <f t="shared" si="8"/>
        <v>0</v>
      </c>
      <c r="M22" s="244">
        <f t="shared" si="2"/>
        <v>0</v>
      </c>
      <c r="N22" s="243">
        <f t="shared" si="9"/>
        <v>0</v>
      </c>
      <c r="O22" s="243">
        <f t="shared" si="9"/>
        <v>0</v>
      </c>
      <c r="P22" s="243">
        <f t="shared" si="9"/>
        <v>0</v>
      </c>
      <c r="Q22" s="244">
        <f t="shared" si="3"/>
        <v>0</v>
      </c>
      <c r="R22" s="243">
        <f t="shared" si="10"/>
        <v>0</v>
      </c>
      <c r="S22" s="243">
        <f t="shared" si="10"/>
        <v>0</v>
      </c>
      <c r="T22" s="243">
        <f t="shared" si="10"/>
        <v>0</v>
      </c>
      <c r="U22" s="244">
        <f t="shared" si="4"/>
        <v>0</v>
      </c>
      <c r="V22" s="243">
        <f t="shared" si="11"/>
        <v>0</v>
      </c>
      <c r="W22" s="243">
        <f t="shared" si="11"/>
        <v>0</v>
      </c>
      <c r="X22" s="243">
        <f t="shared" si="11"/>
        <v>0</v>
      </c>
      <c r="Y22" s="244">
        <f t="shared" si="5"/>
        <v>0</v>
      </c>
    </row>
    <row r="23" spans="1:25" ht="12.75" hidden="1" customHeight="1" outlineLevel="2" x14ac:dyDescent="0.2">
      <c r="A23" s="198" t="str">
        <f>"         "&amp;Labels!C316</f>
        <v xml:space="preserve">         Total</v>
      </c>
      <c r="B23" s="243">
        <f t="shared" si="6"/>
        <v>0</v>
      </c>
      <c r="C23" s="243">
        <f t="shared" si="6"/>
        <v>0</v>
      </c>
      <c r="D23" s="243">
        <f t="shared" si="6"/>
        <v>0</v>
      </c>
      <c r="E23" s="244">
        <f>SUM(B20:D20)</f>
        <v>0</v>
      </c>
      <c r="F23" s="243">
        <f t="shared" si="7"/>
        <v>0</v>
      </c>
      <c r="G23" s="243">
        <f t="shared" si="7"/>
        <v>0</v>
      </c>
      <c r="H23" s="243">
        <f t="shared" si="7"/>
        <v>0</v>
      </c>
      <c r="I23" s="244">
        <f>SUM(F20:H20)</f>
        <v>0</v>
      </c>
      <c r="J23" s="243">
        <f t="shared" si="8"/>
        <v>28260.89297106001</v>
      </c>
      <c r="K23" s="243">
        <f t="shared" si="8"/>
        <v>28330.591957132838</v>
      </c>
      <c r="L23" s="243">
        <f t="shared" si="8"/>
        <v>0</v>
      </c>
      <c r="M23" s="244">
        <f>SUM(J20:L20)</f>
        <v>56591.484928192847</v>
      </c>
      <c r="N23" s="243">
        <f t="shared" si="9"/>
        <v>0</v>
      </c>
      <c r="O23" s="243">
        <f t="shared" si="9"/>
        <v>0</v>
      </c>
      <c r="P23" s="243">
        <f t="shared" si="9"/>
        <v>0</v>
      </c>
      <c r="Q23" s="244">
        <f>SUM(N20:P20)</f>
        <v>0</v>
      </c>
      <c r="R23" s="243">
        <f t="shared" si="10"/>
        <v>0</v>
      </c>
      <c r="S23" s="243">
        <f t="shared" si="10"/>
        <v>0</v>
      </c>
      <c r="T23" s="243">
        <f t="shared" si="10"/>
        <v>0</v>
      </c>
      <c r="U23" s="244">
        <f>SUM(R20:T20)</f>
        <v>0</v>
      </c>
      <c r="V23" s="243">
        <f t="shared" si="11"/>
        <v>0</v>
      </c>
      <c r="W23" s="243">
        <f t="shared" si="11"/>
        <v>0</v>
      </c>
      <c r="X23" s="243">
        <f t="shared" si="11"/>
        <v>0</v>
      </c>
      <c r="Y23" s="244">
        <f>SUM(V20:X20)</f>
        <v>0</v>
      </c>
    </row>
    <row r="24" spans="1:25" ht="12.75" hidden="1" customHeight="1" outlineLevel="2" x14ac:dyDescent="0.2">
      <c r="A24" s="188" t="str">
        <f>"   "&amp;Labels!B382</f>
        <v xml:space="preserve">   Practice 2</v>
      </c>
      <c r="B24" s="241"/>
      <c r="C24" s="241"/>
      <c r="D24" s="241"/>
      <c r="E24" s="242"/>
      <c r="F24" s="241"/>
      <c r="G24" s="241"/>
      <c r="H24" s="241"/>
      <c r="I24" s="242"/>
      <c r="J24" s="241"/>
      <c r="K24" s="241"/>
      <c r="L24" s="241"/>
      <c r="M24" s="242"/>
      <c r="N24" s="241"/>
      <c r="O24" s="241"/>
      <c r="P24" s="241"/>
      <c r="Q24" s="242"/>
      <c r="R24" s="241"/>
      <c r="S24" s="241"/>
      <c r="T24" s="241"/>
      <c r="U24" s="242"/>
      <c r="V24" s="241"/>
      <c r="W24" s="241"/>
      <c r="X24" s="241"/>
      <c r="Y24" s="242"/>
    </row>
    <row r="25" spans="1:25" ht="12.75" hidden="1" customHeight="1" outlineLevel="2" x14ac:dyDescent="0.2">
      <c r="A25" s="198" t="str">
        <f>"      "&amp;Labels!B385</f>
        <v xml:space="preserve">      Prof Level 1</v>
      </c>
      <c r="B25" s="243"/>
      <c r="C25" s="243"/>
      <c r="D25" s="243"/>
      <c r="E25" s="244"/>
      <c r="F25" s="243"/>
      <c r="G25" s="243"/>
      <c r="H25" s="243"/>
      <c r="I25" s="244"/>
      <c r="J25" s="243"/>
      <c r="K25" s="243"/>
      <c r="L25" s="243"/>
      <c r="M25" s="244"/>
      <c r="N25" s="243"/>
      <c r="O25" s="243"/>
      <c r="P25" s="243"/>
      <c r="Q25" s="244"/>
      <c r="R25" s="243"/>
      <c r="S25" s="243"/>
      <c r="T25" s="243"/>
      <c r="U25" s="244"/>
      <c r="V25" s="243"/>
      <c r="W25" s="243"/>
      <c r="X25" s="243"/>
      <c r="Y25" s="244"/>
    </row>
    <row r="26" spans="1:25" ht="12.75" hidden="1" customHeight="1" outlineLevel="2" x14ac:dyDescent="0.2">
      <c r="A26" s="198" t="str">
        <f>"         "&amp;Labels!B317</f>
        <v xml:space="preserve">         Channels 1</v>
      </c>
      <c r="B26" s="243">
        <f>B466*'(Tables)'!B1096</f>
        <v>0</v>
      </c>
      <c r="C26" s="243">
        <f>C466*'(Tables)'!C1096</f>
        <v>0</v>
      </c>
      <c r="D26" s="243">
        <f>D466*'(Tables)'!D1096</f>
        <v>0</v>
      </c>
      <c r="E26" s="244">
        <f>SUM(B26:D26)</f>
        <v>0</v>
      </c>
      <c r="F26" s="243">
        <f>F466*'(Tables)'!E1096</f>
        <v>0</v>
      </c>
      <c r="G26" s="243">
        <f>G466*'(Tables)'!F1096</f>
        <v>0</v>
      </c>
      <c r="H26" s="243">
        <f>H466*'(Tables)'!G1096</f>
        <v>0</v>
      </c>
      <c r="I26" s="244">
        <f>SUM(F26:H26)</f>
        <v>0</v>
      </c>
      <c r="J26" s="243">
        <f>J466*'(Tables)'!H1096</f>
        <v>0</v>
      </c>
      <c r="K26" s="243">
        <f>K466*'(Tables)'!I1096</f>
        <v>0</v>
      </c>
      <c r="L26" s="243">
        <f>L466*'(Tables)'!J1096</f>
        <v>0</v>
      </c>
      <c r="M26" s="244">
        <f>SUM(J26:L26)</f>
        <v>0</v>
      </c>
      <c r="N26" s="243">
        <f>N466*'(Tables)'!K1096</f>
        <v>0</v>
      </c>
      <c r="O26" s="243">
        <f>O466*'(Tables)'!L1096</f>
        <v>0</v>
      </c>
      <c r="P26" s="243">
        <f>P466*'(Tables)'!M1096</f>
        <v>0</v>
      </c>
      <c r="Q26" s="244">
        <f>SUM(N26:P26)</f>
        <v>0</v>
      </c>
      <c r="R26" s="243">
        <f>R466*'(Tables)'!N1096</f>
        <v>0</v>
      </c>
      <c r="S26" s="243">
        <f>S466*'(Tables)'!O1096</f>
        <v>0</v>
      </c>
      <c r="T26" s="243">
        <f>T466*'(Tables)'!P1096</f>
        <v>0</v>
      </c>
      <c r="U26" s="244">
        <f>SUM(R26:T26)</f>
        <v>0</v>
      </c>
      <c r="V26" s="243">
        <f>V466*'(Tables)'!Q1096</f>
        <v>0</v>
      </c>
      <c r="W26" s="243">
        <f>W466*'(Tables)'!R1096</f>
        <v>0</v>
      </c>
      <c r="X26" s="243">
        <f>X466*'(Tables)'!S1096</f>
        <v>0</v>
      </c>
      <c r="Y26" s="244">
        <f>SUM(V26:X26)</f>
        <v>0</v>
      </c>
    </row>
    <row r="27" spans="1:25" ht="12.75" hidden="1" customHeight="1" outlineLevel="2" x14ac:dyDescent="0.2">
      <c r="A27" s="198" t="str">
        <f>"         "&amp;Labels!B318</f>
        <v xml:space="preserve">         Channels 2</v>
      </c>
      <c r="B27" s="243">
        <f>B466*'(Tables)'!B1097</f>
        <v>0</v>
      </c>
      <c r="C27" s="243">
        <f>C466*'(Tables)'!C1097</f>
        <v>0</v>
      </c>
      <c r="D27" s="243">
        <f>D466*'(Tables)'!D1097</f>
        <v>0</v>
      </c>
      <c r="E27" s="244">
        <f>SUM(B27:D27)</f>
        <v>0</v>
      </c>
      <c r="F27" s="243">
        <f>F466*'(Tables)'!E1097</f>
        <v>0</v>
      </c>
      <c r="G27" s="243">
        <f>G466*'(Tables)'!F1097</f>
        <v>0</v>
      </c>
      <c r="H27" s="243">
        <f>H466*'(Tables)'!G1097</f>
        <v>0</v>
      </c>
      <c r="I27" s="244">
        <f>SUM(F27:H27)</f>
        <v>0</v>
      </c>
      <c r="J27" s="243">
        <f>J466*'(Tables)'!H1097</f>
        <v>0</v>
      </c>
      <c r="K27" s="243">
        <f>K466*'(Tables)'!I1097</f>
        <v>0</v>
      </c>
      <c r="L27" s="243">
        <f>L466*'(Tables)'!J1097</f>
        <v>0</v>
      </c>
      <c r="M27" s="244">
        <f>SUM(J27:L27)</f>
        <v>0</v>
      </c>
      <c r="N27" s="243">
        <f>N466*'(Tables)'!K1097</f>
        <v>0</v>
      </c>
      <c r="O27" s="243">
        <f>O466*'(Tables)'!L1097</f>
        <v>0</v>
      </c>
      <c r="P27" s="243">
        <f>P466*'(Tables)'!M1097</f>
        <v>0</v>
      </c>
      <c r="Q27" s="244">
        <f>SUM(N27:P27)</f>
        <v>0</v>
      </c>
      <c r="R27" s="243">
        <f>R466*'(Tables)'!N1097</f>
        <v>0</v>
      </c>
      <c r="S27" s="243">
        <f>S466*'(Tables)'!O1097</f>
        <v>0</v>
      </c>
      <c r="T27" s="243">
        <f>T466*'(Tables)'!P1097</f>
        <v>0</v>
      </c>
      <c r="U27" s="244">
        <f>SUM(R27:T27)</f>
        <v>0</v>
      </c>
      <c r="V27" s="243">
        <f>V466*'(Tables)'!Q1097</f>
        <v>0</v>
      </c>
      <c r="W27" s="243">
        <f>W466*'(Tables)'!R1097</f>
        <v>0</v>
      </c>
      <c r="X27" s="243">
        <f>X466*'(Tables)'!S1097</f>
        <v>0</v>
      </c>
      <c r="Y27" s="244">
        <f>SUM(V27:X27)</f>
        <v>0</v>
      </c>
    </row>
    <row r="28" spans="1:25" ht="12.75" hidden="1" customHeight="1" outlineLevel="2" x14ac:dyDescent="0.2">
      <c r="A28" s="198" t="str">
        <f>"         "&amp;Labels!C316</f>
        <v xml:space="preserve">         Total</v>
      </c>
      <c r="B28" s="243">
        <f>SUM(B26:B27)</f>
        <v>0</v>
      </c>
      <c r="C28" s="243">
        <f>SUM(C26:C27)</f>
        <v>0</v>
      </c>
      <c r="D28" s="243">
        <f>SUM(D26:D27)</f>
        <v>0</v>
      </c>
      <c r="E28" s="244">
        <f>SUM(B28:D28)</f>
        <v>0</v>
      </c>
      <c r="F28" s="243">
        <f>SUM(F26:F27)</f>
        <v>0</v>
      </c>
      <c r="G28" s="243">
        <f>SUM(G26:G27)</f>
        <v>0</v>
      </c>
      <c r="H28" s="243">
        <f>SUM(H26:H27)</f>
        <v>0</v>
      </c>
      <c r="I28" s="244">
        <f>SUM(F28:H28)</f>
        <v>0</v>
      </c>
      <c r="J28" s="243">
        <f>SUM(J26:J27)</f>
        <v>0</v>
      </c>
      <c r="K28" s="243">
        <f>SUM(K26:K27)</f>
        <v>0</v>
      </c>
      <c r="L28" s="243">
        <f>SUM(L26:L27)</f>
        <v>0</v>
      </c>
      <c r="M28" s="244">
        <f>SUM(J28:L28)</f>
        <v>0</v>
      </c>
      <c r="N28" s="243">
        <f>SUM(N26:N27)</f>
        <v>0</v>
      </c>
      <c r="O28" s="243">
        <f>SUM(O26:O27)</f>
        <v>0</v>
      </c>
      <c r="P28" s="243">
        <f>SUM(P26:P27)</f>
        <v>0</v>
      </c>
      <c r="Q28" s="244">
        <f>SUM(N28:P28)</f>
        <v>0</v>
      </c>
      <c r="R28" s="243">
        <f>SUM(R26:R27)</f>
        <v>0</v>
      </c>
      <c r="S28" s="243">
        <f>SUM(S26:S27)</f>
        <v>0</v>
      </c>
      <c r="T28" s="243">
        <f>SUM(T26:T27)</f>
        <v>0</v>
      </c>
      <c r="U28" s="244">
        <f>SUM(R28:T28)</f>
        <v>0</v>
      </c>
      <c r="V28" s="243">
        <f>SUM(V26:V27)</f>
        <v>0</v>
      </c>
      <c r="W28" s="243">
        <f>SUM(W26:W27)</f>
        <v>0</v>
      </c>
      <c r="X28" s="243">
        <f>SUM(X26:X27)</f>
        <v>0</v>
      </c>
      <c r="Y28" s="244">
        <f>SUM(V28:X28)</f>
        <v>0</v>
      </c>
    </row>
    <row r="29" spans="1:25" ht="12.75" hidden="1" customHeight="1" outlineLevel="2" x14ac:dyDescent="0.2">
      <c r="A29" s="198" t="str">
        <f>"      "&amp;Labels!B386</f>
        <v xml:space="preserve">      Prof Level 2</v>
      </c>
      <c r="B29" s="243"/>
      <c r="C29" s="243"/>
      <c r="D29" s="243"/>
      <c r="E29" s="244"/>
      <c r="F29" s="243"/>
      <c r="G29" s="243"/>
      <c r="H29" s="243"/>
      <c r="I29" s="244"/>
      <c r="J29" s="243"/>
      <c r="K29" s="243"/>
      <c r="L29" s="243"/>
      <c r="M29" s="244"/>
      <c r="N29" s="243"/>
      <c r="O29" s="243"/>
      <c r="P29" s="243"/>
      <c r="Q29" s="244"/>
      <c r="R29" s="243"/>
      <c r="S29" s="243"/>
      <c r="T29" s="243"/>
      <c r="U29" s="244"/>
      <c r="V29" s="243"/>
      <c r="W29" s="243"/>
      <c r="X29" s="243"/>
      <c r="Y29" s="244"/>
    </row>
    <row r="30" spans="1:25" ht="12.75" hidden="1" customHeight="1" outlineLevel="2" x14ac:dyDescent="0.2">
      <c r="A30" s="198" t="str">
        <f>"         "&amp;Labels!B317</f>
        <v xml:space="preserve">         Channels 1</v>
      </c>
      <c r="B30" s="243">
        <f>B467*'(Tables)'!B1100</f>
        <v>0</v>
      </c>
      <c r="C30" s="243">
        <f>C467*'(Tables)'!C1100</f>
        <v>0</v>
      </c>
      <c r="D30" s="243">
        <f>D467*'(Tables)'!D1100</f>
        <v>0</v>
      </c>
      <c r="E30" s="244">
        <f t="shared" ref="E30:E35" si="12">SUM(B30:D30)</f>
        <v>0</v>
      </c>
      <c r="F30" s="243">
        <f>F467*'(Tables)'!E1100</f>
        <v>0</v>
      </c>
      <c r="G30" s="243">
        <f>G467*'(Tables)'!F1100</f>
        <v>0</v>
      </c>
      <c r="H30" s="243">
        <f>H467*'(Tables)'!G1100</f>
        <v>0</v>
      </c>
      <c r="I30" s="244">
        <f t="shared" ref="I30:I35" si="13">SUM(F30:H30)</f>
        <v>0</v>
      </c>
      <c r="J30" s="243">
        <f>J467*'(Tables)'!H1100</f>
        <v>0</v>
      </c>
      <c r="K30" s="243">
        <f>K467*'(Tables)'!I1100</f>
        <v>0</v>
      </c>
      <c r="L30" s="243">
        <f>L467*'(Tables)'!J1100</f>
        <v>0</v>
      </c>
      <c r="M30" s="244">
        <f t="shared" ref="M30:M35" si="14">SUM(J30:L30)</f>
        <v>0</v>
      </c>
      <c r="N30" s="243">
        <f>N467*'(Tables)'!K1100</f>
        <v>0</v>
      </c>
      <c r="O30" s="243">
        <f>O467*'(Tables)'!L1100</f>
        <v>0</v>
      </c>
      <c r="P30" s="243">
        <f>P467*'(Tables)'!M1100</f>
        <v>0</v>
      </c>
      <c r="Q30" s="244">
        <f t="shared" ref="Q30:Q35" si="15">SUM(N30:P30)</f>
        <v>0</v>
      </c>
      <c r="R30" s="243">
        <f>R467*'(Tables)'!N1100</f>
        <v>0</v>
      </c>
      <c r="S30" s="243">
        <f>S467*'(Tables)'!O1100</f>
        <v>0</v>
      </c>
      <c r="T30" s="243">
        <f>T467*'(Tables)'!P1100</f>
        <v>0</v>
      </c>
      <c r="U30" s="244">
        <f t="shared" ref="U30:U35" si="16">SUM(R30:T30)</f>
        <v>0</v>
      </c>
      <c r="V30" s="243">
        <f>V467*'(Tables)'!Q1100</f>
        <v>0</v>
      </c>
      <c r="W30" s="243">
        <f>W467*'(Tables)'!R1100</f>
        <v>0</v>
      </c>
      <c r="X30" s="243">
        <f>X467*'(Tables)'!S1100</f>
        <v>0</v>
      </c>
      <c r="Y30" s="244">
        <f t="shared" ref="Y30:Y35" si="17">SUM(V30:X30)</f>
        <v>0</v>
      </c>
    </row>
    <row r="31" spans="1:25" ht="12.75" hidden="1" customHeight="1" outlineLevel="2" x14ac:dyDescent="0.2">
      <c r="A31" s="198" t="str">
        <f>"         "&amp;Labels!B318</f>
        <v xml:space="preserve">         Channels 2</v>
      </c>
      <c r="B31" s="243">
        <f>B467*'(Tables)'!B1101</f>
        <v>0</v>
      </c>
      <c r="C31" s="243">
        <f>C467*'(Tables)'!C1101</f>
        <v>0</v>
      </c>
      <c r="D31" s="243">
        <f>D467*'(Tables)'!D1101</f>
        <v>0</v>
      </c>
      <c r="E31" s="244">
        <f t="shared" si="12"/>
        <v>0</v>
      </c>
      <c r="F31" s="243">
        <f>F467*'(Tables)'!E1101</f>
        <v>0</v>
      </c>
      <c r="G31" s="243">
        <f>G467*'(Tables)'!F1101</f>
        <v>0</v>
      </c>
      <c r="H31" s="243">
        <f>H467*'(Tables)'!G1101</f>
        <v>0</v>
      </c>
      <c r="I31" s="244">
        <f t="shared" si="13"/>
        <v>0</v>
      </c>
      <c r="J31" s="243">
        <f>J467*'(Tables)'!H1101</f>
        <v>0</v>
      </c>
      <c r="K31" s="243">
        <f>K467*'(Tables)'!I1101</f>
        <v>0</v>
      </c>
      <c r="L31" s="243">
        <f>L467*'(Tables)'!J1101</f>
        <v>0</v>
      </c>
      <c r="M31" s="244">
        <f t="shared" si="14"/>
        <v>0</v>
      </c>
      <c r="N31" s="243">
        <f>N467*'(Tables)'!K1101</f>
        <v>0</v>
      </c>
      <c r="O31" s="243">
        <f>O467*'(Tables)'!L1101</f>
        <v>0</v>
      </c>
      <c r="P31" s="243">
        <f>P467*'(Tables)'!M1101</f>
        <v>0</v>
      </c>
      <c r="Q31" s="244">
        <f t="shared" si="15"/>
        <v>0</v>
      </c>
      <c r="R31" s="243">
        <f>R467*'(Tables)'!N1101</f>
        <v>0</v>
      </c>
      <c r="S31" s="243">
        <f>S467*'(Tables)'!O1101</f>
        <v>0</v>
      </c>
      <c r="T31" s="243">
        <f>T467*'(Tables)'!P1101</f>
        <v>0</v>
      </c>
      <c r="U31" s="244">
        <f t="shared" si="16"/>
        <v>0</v>
      </c>
      <c r="V31" s="243">
        <f>V467*'(Tables)'!Q1101</f>
        <v>0</v>
      </c>
      <c r="W31" s="243">
        <f>W467*'(Tables)'!R1101</f>
        <v>0</v>
      </c>
      <c r="X31" s="243">
        <f>X467*'(Tables)'!S1101</f>
        <v>0</v>
      </c>
      <c r="Y31" s="244">
        <f t="shared" si="17"/>
        <v>0</v>
      </c>
    </row>
    <row r="32" spans="1:25" ht="12.75" hidden="1" customHeight="1" outlineLevel="2" x14ac:dyDescent="0.2">
      <c r="A32" s="198" t="str">
        <f>"         "&amp;Labels!C316</f>
        <v xml:space="preserve">         Total</v>
      </c>
      <c r="B32" s="243">
        <f>SUM(B30:B31)</f>
        <v>0</v>
      </c>
      <c r="C32" s="243">
        <f>SUM(C30:C31)</f>
        <v>0</v>
      </c>
      <c r="D32" s="243">
        <f>SUM(D30:D31)</f>
        <v>0</v>
      </c>
      <c r="E32" s="244">
        <f t="shared" si="12"/>
        <v>0</v>
      </c>
      <c r="F32" s="243">
        <f>SUM(F30:F31)</f>
        <v>0</v>
      </c>
      <c r="G32" s="243">
        <f>SUM(G30:G31)</f>
        <v>0</v>
      </c>
      <c r="H32" s="243">
        <f>SUM(H30:H31)</f>
        <v>0</v>
      </c>
      <c r="I32" s="244">
        <f t="shared" si="13"/>
        <v>0</v>
      </c>
      <c r="J32" s="243">
        <f>SUM(J30:J31)</f>
        <v>0</v>
      </c>
      <c r="K32" s="243">
        <f>SUM(K30:K31)</f>
        <v>0</v>
      </c>
      <c r="L32" s="243">
        <f>SUM(L30:L31)</f>
        <v>0</v>
      </c>
      <c r="M32" s="244">
        <f t="shared" si="14"/>
        <v>0</v>
      </c>
      <c r="N32" s="243">
        <f>SUM(N30:N31)</f>
        <v>0</v>
      </c>
      <c r="O32" s="243">
        <f>SUM(O30:O31)</f>
        <v>0</v>
      </c>
      <c r="P32" s="243">
        <f>SUM(P30:P31)</f>
        <v>0</v>
      </c>
      <c r="Q32" s="244">
        <f t="shared" si="15"/>
        <v>0</v>
      </c>
      <c r="R32" s="243">
        <f>SUM(R30:R31)</f>
        <v>0</v>
      </c>
      <c r="S32" s="243">
        <f>SUM(S30:S31)</f>
        <v>0</v>
      </c>
      <c r="T32" s="243">
        <f>SUM(T30:T31)</f>
        <v>0</v>
      </c>
      <c r="U32" s="244">
        <f t="shared" si="16"/>
        <v>0</v>
      </c>
      <c r="V32" s="243">
        <f>SUM(V30:V31)</f>
        <v>0</v>
      </c>
      <c r="W32" s="243">
        <f>SUM(W30:W31)</f>
        <v>0</v>
      </c>
      <c r="X32" s="243">
        <f>SUM(X30:X31)</f>
        <v>0</v>
      </c>
      <c r="Y32" s="244">
        <f t="shared" si="17"/>
        <v>0</v>
      </c>
    </row>
    <row r="33" spans="1:25" ht="12.75" hidden="1" customHeight="1" outlineLevel="2" x14ac:dyDescent="0.2">
      <c r="A33" s="188" t="str">
        <f>"      "&amp;Labels!C384</f>
        <v xml:space="preserve">      Total</v>
      </c>
      <c r="B33" s="241">
        <f>SUM(B28,B32)</f>
        <v>0</v>
      </c>
      <c r="C33" s="241">
        <f>SUM(C28,C32)</f>
        <v>0</v>
      </c>
      <c r="D33" s="241">
        <f>SUM(D28,D32)</f>
        <v>0</v>
      </c>
      <c r="E33" s="242">
        <f t="shared" si="12"/>
        <v>0</v>
      </c>
      <c r="F33" s="241">
        <f>SUM(F28,F32)</f>
        <v>0</v>
      </c>
      <c r="G33" s="241">
        <f>SUM(G28,G32)</f>
        <v>0</v>
      </c>
      <c r="H33" s="241">
        <f>SUM(H28,H32)</f>
        <v>0</v>
      </c>
      <c r="I33" s="242">
        <f t="shared" si="13"/>
        <v>0</v>
      </c>
      <c r="J33" s="241">
        <f>SUM(J28,J32)</f>
        <v>0</v>
      </c>
      <c r="K33" s="241">
        <f>SUM(K28,K32)</f>
        <v>0</v>
      </c>
      <c r="L33" s="241">
        <f>SUM(L28,L32)</f>
        <v>0</v>
      </c>
      <c r="M33" s="242">
        <f t="shared" si="14"/>
        <v>0</v>
      </c>
      <c r="N33" s="241">
        <f>SUM(N28,N32)</f>
        <v>0</v>
      </c>
      <c r="O33" s="241">
        <f>SUM(O28,O32)</f>
        <v>0</v>
      </c>
      <c r="P33" s="241">
        <f>SUM(P28,P32)</f>
        <v>0</v>
      </c>
      <c r="Q33" s="242">
        <f t="shared" si="15"/>
        <v>0</v>
      </c>
      <c r="R33" s="241">
        <f>SUM(R28,R32)</f>
        <v>0</v>
      </c>
      <c r="S33" s="241">
        <f>SUM(S28,S32)</f>
        <v>0</v>
      </c>
      <c r="T33" s="241">
        <f>SUM(T28,T32)</f>
        <v>0</v>
      </c>
      <c r="U33" s="242">
        <f t="shared" si="16"/>
        <v>0</v>
      </c>
      <c r="V33" s="241">
        <f>SUM(V28,V32)</f>
        <v>0</v>
      </c>
      <c r="W33" s="241">
        <f>SUM(W28,W32)</f>
        <v>0</v>
      </c>
      <c r="X33" s="241">
        <f>SUM(X28,X32)</f>
        <v>0</v>
      </c>
      <c r="Y33" s="242">
        <f t="shared" si="17"/>
        <v>0</v>
      </c>
    </row>
    <row r="34" spans="1:25" ht="12.75" hidden="1" customHeight="1" outlineLevel="2" x14ac:dyDescent="0.2">
      <c r="A34" s="198" t="str">
        <f>"         "&amp;Labels!B317</f>
        <v xml:space="preserve">         Channels 1</v>
      </c>
      <c r="B34" s="243">
        <f t="shared" ref="B34:D36" si="18">SUM(B26,B30)</f>
        <v>0</v>
      </c>
      <c r="C34" s="243">
        <f t="shared" si="18"/>
        <v>0</v>
      </c>
      <c r="D34" s="243">
        <f t="shared" si="18"/>
        <v>0</v>
      </c>
      <c r="E34" s="244">
        <f t="shared" si="12"/>
        <v>0</v>
      </c>
      <c r="F34" s="243">
        <f t="shared" ref="F34:H36" si="19">SUM(F26,F30)</f>
        <v>0</v>
      </c>
      <c r="G34" s="243">
        <f t="shared" si="19"/>
        <v>0</v>
      </c>
      <c r="H34" s="243">
        <f t="shared" si="19"/>
        <v>0</v>
      </c>
      <c r="I34" s="244">
        <f t="shared" si="13"/>
        <v>0</v>
      </c>
      <c r="J34" s="243">
        <f t="shared" ref="J34:L36" si="20">SUM(J26,J30)</f>
        <v>0</v>
      </c>
      <c r="K34" s="243">
        <f t="shared" si="20"/>
        <v>0</v>
      </c>
      <c r="L34" s="243">
        <f t="shared" si="20"/>
        <v>0</v>
      </c>
      <c r="M34" s="244">
        <f t="shared" si="14"/>
        <v>0</v>
      </c>
      <c r="N34" s="243">
        <f t="shared" ref="N34:P36" si="21">SUM(N26,N30)</f>
        <v>0</v>
      </c>
      <c r="O34" s="243">
        <f t="shared" si="21"/>
        <v>0</v>
      </c>
      <c r="P34" s="243">
        <f t="shared" si="21"/>
        <v>0</v>
      </c>
      <c r="Q34" s="244">
        <f t="shared" si="15"/>
        <v>0</v>
      </c>
      <c r="R34" s="243">
        <f t="shared" ref="R34:T36" si="22">SUM(R26,R30)</f>
        <v>0</v>
      </c>
      <c r="S34" s="243">
        <f t="shared" si="22"/>
        <v>0</v>
      </c>
      <c r="T34" s="243">
        <f t="shared" si="22"/>
        <v>0</v>
      </c>
      <c r="U34" s="244">
        <f t="shared" si="16"/>
        <v>0</v>
      </c>
      <c r="V34" s="243">
        <f t="shared" ref="V34:X36" si="23">SUM(V26,V30)</f>
        <v>0</v>
      </c>
      <c r="W34" s="243">
        <f t="shared" si="23"/>
        <v>0</v>
      </c>
      <c r="X34" s="243">
        <f t="shared" si="23"/>
        <v>0</v>
      </c>
      <c r="Y34" s="244">
        <f t="shared" si="17"/>
        <v>0</v>
      </c>
    </row>
    <row r="35" spans="1:25" ht="12.75" hidden="1" customHeight="1" outlineLevel="2" x14ac:dyDescent="0.2">
      <c r="A35" s="198" t="str">
        <f>"         "&amp;Labels!B318</f>
        <v xml:space="preserve">         Channels 2</v>
      </c>
      <c r="B35" s="243">
        <f t="shared" si="18"/>
        <v>0</v>
      </c>
      <c r="C35" s="243">
        <f t="shared" si="18"/>
        <v>0</v>
      </c>
      <c r="D35" s="243">
        <f t="shared" si="18"/>
        <v>0</v>
      </c>
      <c r="E35" s="244">
        <f t="shared" si="12"/>
        <v>0</v>
      </c>
      <c r="F35" s="243">
        <f t="shared" si="19"/>
        <v>0</v>
      </c>
      <c r="G35" s="243">
        <f t="shared" si="19"/>
        <v>0</v>
      </c>
      <c r="H35" s="243">
        <f t="shared" si="19"/>
        <v>0</v>
      </c>
      <c r="I35" s="244">
        <f t="shared" si="13"/>
        <v>0</v>
      </c>
      <c r="J35" s="243">
        <f t="shared" si="20"/>
        <v>0</v>
      </c>
      <c r="K35" s="243">
        <f t="shared" si="20"/>
        <v>0</v>
      </c>
      <c r="L35" s="243">
        <f t="shared" si="20"/>
        <v>0</v>
      </c>
      <c r="M35" s="244">
        <f t="shared" si="14"/>
        <v>0</v>
      </c>
      <c r="N35" s="243">
        <f t="shared" si="21"/>
        <v>0</v>
      </c>
      <c r="O35" s="243">
        <f t="shared" si="21"/>
        <v>0</v>
      </c>
      <c r="P35" s="243">
        <f t="shared" si="21"/>
        <v>0</v>
      </c>
      <c r="Q35" s="244">
        <f t="shared" si="15"/>
        <v>0</v>
      </c>
      <c r="R35" s="243">
        <f t="shared" si="22"/>
        <v>0</v>
      </c>
      <c r="S35" s="243">
        <f t="shared" si="22"/>
        <v>0</v>
      </c>
      <c r="T35" s="243">
        <f t="shared" si="22"/>
        <v>0</v>
      </c>
      <c r="U35" s="244">
        <f t="shared" si="16"/>
        <v>0</v>
      </c>
      <c r="V35" s="243">
        <f t="shared" si="23"/>
        <v>0</v>
      </c>
      <c r="W35" s="243">
        <f t="shared" si="23"/>
        <v>0</v>
      </c>
      <c r="X35" s="243">
        <f t="shared" si="23"/>
        <v>0</v>
      </c>
      <c r="Y35" s="244">
        <f t="shared" si="17"/>
        <v>0</v>
      </c>
    </row>
    <row r="36" spans="1:25" ht="12.75" hidden="1" customHeight="1" outlineLevel="2" x14ac:dyDescent="0.2">
      <c r="A36" s="198" t="str">
        <f>"         "&amp;Labels!C316</f>
        <v xml:space="preserve">         Total</v>
      </c>
      <c r="B36" s="243">
        <f t="shared" si="18"/>
        <v>0</v>
      </c>
      <c r="C36" s="243">
        <f t="shared" si="18"/>
        <v>0</v>
      </c>
      <c r="D36" s="243">
        <f t="shared" si="18"/>
        <v>0</v>
      </c>
      <c r="E36" s="244">
        <f>SUM(B33:D33)</f>
        <v>0</v>
      </c>
      <c r="F36" s="243">
        <f t="shared" si="19"/>
        <v>0</v>
      </c>
      <c r="G36" s="243">
        <f t="shared" si="19"/>
        <v>0</v>
      </c>
      <c r="H36" s="243">
        <f t="shared" si="19"/>
        <v>0</v>
      </c>
      <c r="I36" s="244">
        <f>SUM(F33:H33)</f>
        <v>0</v>
      </c>
      <c r="J36" s="243">
        <f t="shared" si="20"/>
        <v>0</v>
      </c>
      <c r="K36" s="243">
        <f t="shared" si="20"/>
        <v>0</v>
      </c>
      <c r="L36" s="243">
        <f t="shared" si="20"/>
        <v>0</v>
      </c>
      <c r="M36" s="244">
        <f>SUM(J33:L33)</f>
        <v>0</v>
      </c>
      <c r="N36" s="243">
        <f t="shared" si="21"/>
        <v>0</v>
      </c>
      <c r="O36" s="243">
        <f t="shared" si="21"/>
        <v>0</v>
      </c>
      <c r="P36" s="243">
        <f t="shared" si="21"/>
        <v>0</v>
      </c>
      <c r="Q36" s="244">
        <f>SUM(N33:P33)</f>
        <v>0</v>
      </c>
      <c r="R36" s="243">
        <f t="shared" si="22"/>
        <v>0</v>
      </c>
      <c r="S36" s="243">
        <f t="shared" si="22"/>
        <v>0</v>
      </c>
      <c r="T36" s="243">
        <f t="shared" si="22"/>
        <v>0</v>
      </c>
      <c r="U36" s="244">
        <f>SUM(R33:T33)</f>
        <v>0</v>
      </c>
      <c r="V36" s="243">
        <f t="shared" si="23"/>
        <v>0</v>
      </c>
      <c r="W36" s="243">
        <f t="shared" si="23"/>
        <v>0</v>
      </c>
      <c r="X36" s="243">
        <f t="shared" si="23"/>
        <v>0</v>
      </c>
      <c r="Y36" s="244">
        <f>SUM(V33:X33)</f>
        <v>0</v>
      </c>
    </row>
    <row r="37" spans="1:25" ht="12.75" hidden="1" customHeight="1" outlineLevel="2" x14ac:dyDescent="0.2">
      <c r="A37" s="191" t="str">
        <f>"   "&amp;Labels!C380</f>
        <v xml:space="preserve">   Total</v>
      </c>
      <c r="B37" s="245">
        <f>SUM(B20,B33)</f>
        <v>0</v>
      </c>
      <c r="C37" s="245">
        <f>SUM(C20,C33)</f>
        <v>0</v>
      </c>
      <c r="D37" s="245">
        <f>SUM(D20,D33)</f>
        <v>0</v>
      </c>
      <c r="E37" s="246">
        <f>SUM(B37:D37)</f>
        <v>0</v>
      </c>
      <c r="F37" s="245">
        <f>SUM(F20,F33)</f>
        <v>0</v>
      </c>
      <c r="G37" s="245">
        <f>SUM(G20,G33)</f>
        <v>0</v>
      </c>
      <c r="H37" s="245">
        <f>SUM(H20,H33)</f>
        <v>0</v>
      </c>
      <c r="I37" s="246">
        <f>SUM(F37:H37)</f>
        <v>0</v>
      </c>
      <c r="J37" s="245">
        <f>SUM(J20,J33)</f>
        <v>28260.89297106001</v>
      </c>
      <c r="K37" s="245">
        <f>SUM(K20,K33)</f>
        <v>28330.591957132838</v>
      </c>
      <c r="L37" s="245">
        <f>SUM(L20,L33)</f>
        <v>0</v>
      </c>
      <c r="M37" s="246">
        <f>SUM(J37:L37)</f>
        <v>56591.484928192847</v>
      </c>
      <c r="N37" s="245">
        <f>SUM(N20,N33)</f>
        <v>0</v>
      </c>
      <c r="O37" s="245">
        <f>SUM(O20,O33)</f>
        <v>0</v>
      </c>
      <c r="P37" s="245">
        <f>SUM(P20,P33)</f>
        <v>0</v>
      </c>
      <c r="Q37" s="246">
        <f>SUM(N37:P37)</f>
        <v>0</v>
      </c>
      <c r="R37" s="245">
        <f>SUM(R20,R33)</f>
        <v>0</v>
      </c>
      <c r="S37" s="245">
        <f>SUM(S20,S33)</f>
        <v>0</v>
      </c>
      <c r="T37" s="245">
        <f>SUM(T20,T33)</f>
        <v>0</v>
      </c>
      <c r="U37" s="246">
        <f>SUM(R37:T37)</f>
        <v>0</v>
      </c>
      <c r="V37" s="245">
        <f>SUM(V20,V33)</f>
        <v>0</v>
      </c>
      <c r="W37" s="245">
        <f>SUM(W20,W33)</f>
        <v>0</v>
      </c>
      <c r="X37" s="245">
        <f>SUM(X20,X33)</f>
        <v>0</v>
      </c>
      <c r="Y37" s="246">
        <f>SUM(V37:X37)</f>
        <v>0</v>
      </c>
    </row>
    <row r="38" spans="1:25" ht="12.75" hidden="1" customHeight="1" outlineLevel="2" x14ac:dyDescent="0.2">
      <c r="A38" s="198" t="str">
        <f>"      "&amp;Labels!B385</f>
        <v xml:space="preserve">      Prof Level 1</v>
      </c>
      <c r="B38" s="243"/>
      <c r="C38" s="243"/>
      <c r="D38" s="243"/>
      <c r="E38" s="244"/>
      <c r="F38" s="243"/>
      <c r="G38" s="243"/>
      <c r="H38" s="243"/>
      <c r="I38" s="244"/>
      <c r="J38" s="243"/>
      <c r="K38" s="243"/>
      <c r="L38" s="243"/>
      <c r="M38" s="244"/>
      <c r="N38" s="243"/>
      <c r="O38" s="243"/>
      <c r="P38" s="243"/>
      <c r="Q38" s="244"/>
      <c r="R38" s="243"/>
      <c r="S38" s="243"/>
      <c r="T38" s="243"/>
      <c r="U38" s="244"/>
      <c r="V38" s="243"/>
      <c r="W38" s="243"/>
      <c r="X38" s="243"/>
      <c r="Y38" s="244"/>
    </row>
    <row r="39" spans="1:25" ht="12.75" hidden="1" customHeight="1" outlineLevel="2" x14ac:dyDescent="0.2">
      <c r="A39" s="198" t="str">
        <f>"         "&amp;Labels!B317</f>
        <v xml:space="preserve">         Channels 1</v>
      </c>
      <c r="B39" s="243">
        <f t="shared" ref="B39:D41" si="24">SUM(B13,B26)</f>
        <v>0</v>
      </c>
      <c r="C39" s="243">
        <f t="shared" si="24"/>
        <v>0</v>
      </c>
      <c r="D39" s="243">
        <f t="shared" si="24"/>
        <v>0</v>
      </c>
      <c r="E39" s="244">
        <f>SUM(B39:D39)</f>
        <v>0</v>
      </c>
      <c r="F39" s="243">
        <f t="shared" ref="F39:H41" si="25">SUM(F13,F26)</f>
        <v>0</v>
      </c>
      <c r="G39" s="243">
        <f t="shared" si="25"/>
        <v>0</v>
      </c>
      <c r="H39" s="243">
        <f t="shared" si="25"/>
        <v>0</v>
      </c>
      <c r="I39" s="244">
        <f>SUM(F39:H39)</f>
        <v>0</v>
      </c>
      <c r="J39" s="243">
        <f t="shared" ref="J39:L41" si="26">SUM(J13,J26)</f>
        <v>14130.446485530005</v>
      </c>
      <c r="K39" s="243">
        <f t="shared" si="26"/>
        <v>14165.295978566419</v>
      </c>
      <c r="L39" s="243">
        <f t="shared" si="26"/>
        <v>0</v>
      </c>
      <c r="M39" s="244">
        <f>SUM(J39:L39)</f>
        <v>28295.742464096424</v>
      </c>
      <c r="N39" s="243">
        <f t="shared" ref="N39:P41" si="27">SUM(N13,N26)</f>
        <v>0</v>
      </c>
      <c r="O39" s="243">
        <f t="shared" si="27"/>
        <v>0</v>
      </c>
      <c r="P39" s="243">
        <f t="shared" si="27"/>
        <v>0</v>
      </c>
      <c r="Q39" s="244">
        <f>SUM(N39:P39)</f>
        <v>0</v>
      </c>
      <c r="R39" s="243">
        <f t="shared" ref="R39:T41" si="28">SUM(R13,R26)</f>
        <v>0</v>
      </c>
      <c r="S39" s="243">
        <f t="shared" si="28"/>
        <v>0</v>
      </c>
      <c r="T39" s="243">
        <f t="shared" si="28"/>
        <v>0</v>
      </c>
      <c r="U39" s="244">
        <f>SUM(R39:T39)</f>
        <v>0</v>
      </c>
      <c r="V39" s="243">
        <f t="shared" ref="V39:X41" si="29">SUM(V13,V26)</f>
        <v>0</v>
      </c>
      <c r="W39" s="243">
        <f t="shared" si="29"/>
        <v>0</v>
      </c>
      <c r="X39" s="243">
        <f t="shared" si="29"/>
        <v>0</v>
      </c>
      <c r="Y39" s="244">
        <f>SUM(V39:X39)</f>
        <v>0</v>
      </c>
    </row>
    <row r="40" spans="1:25" ht="12.75" hidden="1" customHeight="1" outlineLevel="2" x14ac:dyDescent="0.2">
      <c r="A40" s="198" t="str">
        <f>"         "&amp;Labels!B318</f>
        <v xml:space="preserve">         Channels 2</v>
      </c>
      <c r="B40" s="243">
        <f t="shared" si="24"/>
        <v>0</v>
      </c>
      <c r="C40" s="243">
        <f t="shared" si="24"/>
        <v>0</v>
      </c>
      <c r="D40" s="243">
        <f t="shared" si="24"/>
        <v>0</v>
      </c>
      <c r="E40" s="244">
        <f>SUM(B40:D40)</f>
        <v>0</v>
      </c>
      <c r="F40" s="243">
        <f t="shared" si="25"/>
        <v>0</v>
      </c>
      <c r="G40" s="243">
        <f t="shared" si="25"/>
        <v>0</v>
      </c>
      <c r="H40" s="243">
        <f t="shared" si="25"/>
        <v>0</v>
      </c>
      <c r="I40" s="244">
        <f>SUM(F40:H40)</f>
        <v>0</v>
      </c>
      <c r="J40" s="243">
        <f t="shared" si="26"/>
        <v>0</v>
      </c>
      <c r="K40" s="243">
        <f t="shared" si="26"/>
        <v>0</v>
      </c>
      <c r="L40" s="243">
        <f t="shared" si="26"/>
        <v>0</v>
      </c>
      <c r="M40" s="244">
        <f>SUM(J40:L40)</f>
        <v>0</v>
      </c>
      <c r="N40" s="243">
        <f t="shared" si="27"/>
        <v>0</v>
      </c>
      <c r="O40" s="243">
        <f t="shared" si="27"/>
        <v>0</v>
      </c>
      <c r="P40" s="243">
        <f t="shared" si="27"/>
        <v>0</v>
      </c>
      <c r="Q40" s="244">
        <f>SUM(N40:P40)</f>
        <v>0</v>
      </c>
      <c r="R40" s="243">
        <f t="shared" si="28"/>
        <v>0</v>
      </c>
      <c r="S40" s="243">
        <f t="shared" si="28"/>
        <v>0</v>
      </c>
      <c r="T40" s="243">
        <f t="shared" si="28"/>
        <v>0</v>
      </c>
      <c r="U40" s="244">
        <f>SUM(R40:T40)</f>
        <v>0</v>
      </c>
      <c r="V40" s="243">
        <f t="shared" si="29"/>
        <v>0</v>
      </c>
      <c r="W40" s="243">
        <f t="shared" si="29"/>
        <v>0</v>
      </c>
      <c r="X40" s="243">
        <f t="shared" si="29"/>
        <v>0</v>
      </c>
      <c r="Y40" s="244">
        <f>SUM(V40:X40)</f>
        <v>0</v>
      </c>
    </row>
    <row r="41" spans="1:25" ht="12.75" hidden="1" customHeight="1" outlineLevel="2" x14ac:dyDescent="0.2">
      <c r="A41" s="198" t="str">
        <f>"         "&amp;Labels!C316</f>
        <v xml:space="preserve">         Total</v>
      </c>
      <c r="B41" s="243">
        <f t="shared" si="24"/>
        <v>0</v>
      </c>
      <c r="C41" s="243">
        <f t="shared" si="24"/>
        <v>0</v>
      </c>
      <c r="D41" s="243">
        <f t="shared" si="24"/>
        <v>0</v>
      </c>
      <c r="E41" s="244">
        <f>SUM(B41:D41)</f>
        <v>0</v>
      </c>
      <c r="F41" s="243">
        <f t="shared" si="25"/>
        <v>0</v>
      </c>
      <c r="G41" s="243">
        <f t="shared" si="25"/>
        <v>0</v>
      </c>
      <c r="H41" s="243">
        <f t="shared" si="25"/>
        <v>0</v>
      </c>
      <c r="I41" s="244">
        <f>SUM(F41:H41)</f>
        <v>0</v>
      </c>
      <c r="J41" s="243">
        <f t="shared" si="26"/>
        <v>14130.446485530005</v>
      </c>
      <c r="K41" s="243">
        <f t="shared" si="26"/>
        <v>14165.295978566419</v>
      </c>
      <c r="L41" s="243">
        <f t="shared" si="26"/>
        <v>0</v>
      </c>
      <c r="M41" s="244">
        <f>SUM(J41:L41)</f>
        <v>28295.742464096424</v>
      </c>
      <c r="N41" s="243">
        <f t="shared" si="27"/>
        <v>0</v>
      </c>
      <c r="O41" s="243">
        <f t="shared" si="27"/>
        <v>0</v>
      </c>
      <c r="P41" s="243">
        <f t="shared" si="27"/>
        <v>0</v>
      </c>
      <c r="Q41" s="244">
        <f>SUM(N41:P41)</f>
        <v>0</v>
      </c>
      <c r="R41" s="243">
        <f t="shared" si="28"/>
        <v>0</v>
      </c>
      <c r="S41" s="243">
        <f t="shared" si="28"/>
        <v>0</v>
      </c>
      <c r="T41" s="243">
        <f t="shared" si="28"/>
        <v>0</v>
      </c>
      <c r="U41" s="244">
        <f>SUM(R41:T41)</f>
        <v>0</v>
      </c>
      <c r="V41" s="243">
        <f t="shared" si="29"/>
        <v>0</v>
      </c>
      <c r="W41" s="243">
        <f t="shared" si="29"/>
        <v>0</v>
      </c>
      <c r="X41" s="243">
        <f t="shared" si="29"/>
        <v>0</v>
      </c>
      <c r="Y41" s="244">
        <f>SUM(V41:X41)</f>
        <v>0</v>
      </c>
    </row>
    <row r="42" spans="1:25" ht="12.75" hidden="1" customHeight="1" outlineLevel="2" x14ac:dyDescent="0.2">
      <c r="A42" s="198" t="str">
        <f>"      "&amp;Labels!B386</f>
        <v xml:space="preserve">      Prof Level 2</v>
      </c>
      <c r="B42" s="243"/>
      <c r="C42" s="243"/>
      <c r="D42" s="243"/>
      <c r="E42" s="244"/>
      <c r="F42" s="243"/>
      <c r="G42" s="243"/>
      <c r="H42" s="243"/>
      <c r="I42" s="244"/>
      <c r="J42" s="243"/>
      <c r="K42" s="243"/>
      <c r="L42" s="243"/>
      <c r="M42" s="244"/>
      <c r="N42" s="243"/>
      <c r="O42" s="243"/>
      <c r="P42" s="243"/>
      <c r="Q42" s="244"/>
      <c r="R42" s="243"/>
      <c r="S42" s="243"/>
      <c r="T42" s="243"/>
      <c r="U42" s="244"/>
      <c r="V42" s="243"/>
      <c r="W42" s="243"/>
      <c r="X42" s="243"/>
      <c r="Y42" s="244"/>
    </row>
    <row r="43" spans="1:25" ht="12.75" hidden="1" customHeight="1" outlineLevel="2" x14ac:dyDescent="0.2">
      <c r="A43" s="198" t="str">
        <f>"         "&amp;Labels!B317</f>
        <v xml:space="preserve">         Channels 1</v>
      </c>
      <c r="B43" s="243">
        <f t="shared" ref="B43:D48" si="30">SUM(B17,B30)</f>
        <v>0</v>
      </c>
      <c r="C43" s="243">
        <f t="shared" si="30"/>
        <v>0</v>
      </c>
      <c r="D43" s="243">
        <f t="shared" si="30"/>
        <v>0</v>
      </c>
      <c r="E43" s="244">
        <f>SUM(B43:D43)</f>
        <v>0</v>
      </c>
      <c r="F43" s="243">
        <f t="shared" ref="F43:H48" si="31">SUM(F17,F30)</f>
        <v>0</v>
      </c>
      <c r="G43" s="243">
        <f t="shared" si="31"/>
        <v>0</v>
      </c>
      <c r="H43" s="243">
        <f t="shared" si="31"/>
        <v>0</v>
      </c>
      <c r="I43" s="244">
        <f>SUM(F43:H43)</f>
        <v>0</v>
      </c>
      <c r="J43" s="243">
        <f t="shared" ref="J43:L48" si="32">SUM(J17,J30)</f>
        <v>14130.446485530005</v>
      </c>
      <c r="K43" s="243">
        <f t="shared" si="32"/>
        <v>14165.295978566419</v>
      </c>
      <c r="L43" s="243">
        <f t="shared" si="32"/>
        <v>0</v>
      </c>
      <c r="M43" s="244">
        <f>SUM(J43:L43)</f>
        <v>28295.742464096424</v>
      </c>
      <c r="N43" s="243">
        <f t="shared" ref="N43:P48" si="33">SUM(N17,N30)</f>
        <v>0</v>
      </c>
      <c r="O43" s="243">
        <f t="shared" si="33"/>
        <v>0</v>
      </c>
      <c r="P43" s="243">
        <f t="shared" si="33"/>
        <v>0</v>
      </c>
      <c r="Q43" s="244">
        <f>SUM(N43:P43)</f>
        <v>0</v>
      </c>
      <c r="R43" s="243">
        <f t="shared" ref="R43:T48" si="34">SUM(R17,R30)</f>
        <v>0</v>
      </c>
      <c r="S43" s="243">
        <f t="shared" si="34"/>
        <v>0</v>
      </c>
      <c r="T43" s="243">
        <f t="shared" si="34"/>
        <v>0</v>
      </c>
      <c r="U43" s="244">
        <f>SUM(R43:T43)</f>
        <v>0</v>
      </c>
      <c r="V43" s="243">
        <f t="shared" ref="V43:X48" si="35">SUM(V17,V30)</f>
        <v>0</v>
      </c>
      <c r="W43" s="243">
        <f t="shared" si="35"/>
        <v>0</v>
      </c>
      <c r="X43" s="243">
        <f t="shared" si="35"/>
        <v>0</v>
      </c>
      <c r="Y43" s="244">
        <f>SUM(V43:X43)</f>
        <v>0</v>
      </c>
    </row>
    <row r="44" spans="1:25" ht="12.75" hidden="1" customHeight="1" outlineLevel="2" x14ac:dyDescent="0.2">
      <c r="A44" s="198" t="str">
        <f>"         "&amp;Labels!B318</f>
        <v xml:space="preserve">         Channels 2</v>
      </c>
      <c r="B44" s="243">
        <f t="shared" si="30"/>
        <v>0</v>
      </c>
      <c r="C44" s="243">
        <f t="shared" si="30"/>
        <v>0</v>
      </c>
      <c r="D44" s="243">
        <f t="shared" si="30"/>
        <v>0</v>
      </c>
      <c r="E44" s="244">
        <f>SUM(B44:D44)</f>
        <v>0</v>
      </c>
      <c r="F44" s="243">
        <f t="shared" si="31"/>
        <v>0</v>
      </c>
      <c r="G44" s="243">
        <f t="shared" si="31"/>
        <v>0</v>
      </c>
      <c r="H44" s="243">
        <f t="shared" si="31"/>
        <v>0</v>
      </c>
      <c r="I44" s="244">
        <f>SUM(F44:H44)</f>
        <v>0</v>
      </c>
      <c r="J44" s="243">
        <f t="shared" si="32"/>
        <v>0</v>
      </c>
      <c r="K44" s="243">
        <f t="shared" si="32"/>
        <v>0</v>
      </c>
      <c r="L44" s="243">
        <f t="shared" si="32"/>
        <v>0</v>
      </c>
      <c r="M44" s="244">
        <f>SUM(J44:L44)</f>
        <v>0</v>
      </c>
      <c r="N44" s="243">
        <f t="shared" si="33"/>
        <v>0</v>
      </c>
      <c r="O44" s="243">
        <f t="shared" si="33"/>
        <v>0</v>
      </c>
      <c r="P44" s="243">
        <f t="shared" si="33"/>
        <v>0</v>
      </c>
      <c r="Q44" s="244">
        <f>SUM(N44:P44)</f>
        <v>0</v>
      </c>
      <c r="R44" s="243">
        <f t="shared" si="34"/>
        <v>0</v>
      </c>
      <c r="S44" s="243">
        <f t="shared" si="34"/>
        <v>0</v>
      </c>
      <c r="T44" s="243">
        <f t="shared" si="34"/>
        <v>0</v>
      </c>
      <c r="U44" s="244">
        <f>SUM(R44:T44)</f>
        <v>0</v>
      </c>
      <c r="V44" s="243">
        <f t="shared" si="35"/>
        <v>0</v>
      </c>
      <c r="W44" s="243">
        <f t="shared" si="35"/>
        <v>0</v>
      </c>
      <c r="X44" s="243">
        <f t="shared" si="35"/>
        <v>0</v>
      </c>
      <c r="Y44" s="244">
        <f>SUM(V44:X44)</f>
        <v>0</v>
      </c>
    </row>
    <row r="45" spans="1:25" ht="12.75" hidden="1" customHeight="1" outlineLevel="2" x14ac:dyDescent="0.2">
      <c r="A45" s="198" t="str">
        <f>"         "&amp;Labels!C316</f>
        <v xml:space="preserve">         Total</v>
      </c>
      <c r="B45" s="243">
        <f t="shared" si="30"/>
        <v>0</v>
      </c>
      <c r="C45" s="243">
        <f t="shared" si="30"/>
        <v>0</v>
      </c>
      <c r="D45" s="243">
        <f t="shared" si="30"/>
        <v>0</v>
      </c>
      <c r="E45" s="244">
        <f>SUM(B45:D45)</f>
        <v>0</v>
      </c>
      <c r="F45" s="243">
        <f t="shared" si="31"/>
        <v>0</v>
      </c>
      <c r="G45" s="243">
        <f t="shared" si="31"/>
        <v>0</v>
      </c>
      <c r="H45" s="243">
        <f t="shared" si="31"/>
        <v>0</v>
      </c>
      <c r="I45" s="244">
        <f>SUM(F45:H45)</f>
        <v>0</v>
      </c>
      <c r="J45" s="243">
        <f t="shared" si="32"/>
        <v>14130.446485530005</v>
      </c>
      <c r="K45" s="243">
        <f t="shared" si="32"/>
        <v>14165.295978566419</v>
      </c>
      <c r="L45" s="243">
        <f t="shared" si="32"/>
        <v>0</v>
      </c>
      <c r="M45" s="244">
        <f>SUM(J45:L45)</f>
        <v>28295.742464096424</v>
      </c>
      <c r="N45" s="243">
        <f t="shared" si="33"/>
        <v>0</v>
      </c>
      <c r="O45" s="243">
        <f t="shared" si="33"/>
        <v>0</v>
      </c>
      <c r="P45" s="243">
        <f t="shared" si="33"/>
        <v>0</v>
      </c>
      <c r="Q45" s="244">
        <f>SUM(N45:P45)</f>
        <v>0</v>
      </c>
      <c r="R45" s="243">
        <f t="shared" si="34"/>
        <v>0</v>
      </c>
      <c r="S45" s="243">
        <f t="shared" si="34"/>
        <v>0</v>
      </c>
      <c r="T45" s="243">
        <f t="shared" si="34"/>
        <v>0</v>
      </c>
      <c r="U45" s="244">
        <f>SUM(R45:T45)</f>
        <v>0</v>
      </c>
      <c r="V45" s="243">
        <f t="shared" si="35"/>
        <v>0</v>
      </c>
      <c r="W45" s="243">
        <f t="shared" si="35"/>
        <v>0</v>
      </c>
      <c r="X45" s="243">
        <f t="shared" si="35"/>
        <v>0</v>
      </c>
      <c r="Y45" s="244">
        <f>SUM(V45:X45)</f>
        <v>0</v>
      </c>
    </row>
    <row r="46" spans="1:25" ht="12.75" hidden="1" customHeight="1" outlineLevel="2" x14ac:dyDescent="0.2">
      <c r="A46" s="188" t="str">
        <f>"      "&amp;Labels!C384</f>
        <v xml:space="preserve">      Total</v>
      </c>
      <c r="B46" s="241">
        <f t="shared" si="30"/>
        <v>0</v>
      </c>
      <c r="C46" s="241">
        <f t="shared" si="30"/>
        <v>0</v>
      </c>
      <c r="D46" s="241">
        <f t="shared" si="30"/>
        <v>0</v>
      </c>
      <c r="E46" s="242">
        <f>SUM(B37:D37)</f>
        <v>0</v>
      </c>
      <c r="F46" s="241">
        <f t="shared" si="31"/>
        <v>0</v>
      </c>
      <c r="G46" s="241">
        <f t="shared" si="31"/>
        <v>0</v>
      </c>
      <c r="H46" s="241">
        <f t="shared" si="31"/>
        <v>0</v>
      </c>
      <c r="I46" s="242">
        <f>SUM(F37:H37)</f>
        <v>0</v>
      </c>
      <c r="J46" s="241">
        <f t="shared" si="32"/>
        <v>28260.89297106001</v>
      </c>
      <c r="K46" s="241">
        <f t="shared" si="32"/>
        <v>28330.591957132838</v>
      </c>
      <c r="L46" s="241">
        <f t="shared" si="32"/>
        <v>0</v>
      </c>
      <c r="M46" s="242">
        <f>SUM(J37:L37)</f>
        <v>56591.484928192847</v>
      </c>
      <c r="N46" s="241">
        <f t="shared" si="33"/>
        <v>0</v>
      </c>
      <c r="O46" s="241">
        <f t="shared" si="33"/>
        <v>0</v>
      </c>
      <c r="P46" s="241">
        <f t="shared" si="33"/>
        <v>0</v>
      </c>
      <c r="Q46" s="242">
        <f>SUM(N37:P37)</f>
        <v>0</v>
      </c>
      <c r="R46" s="241">
        <f t="shared" si="34"/>
        <v>0</v>
      </c>
      <c r="S46" s="241">
        <f t="shared" si="34"/>
        <v>0</v>
      </c>
      <c r="T46" s="241">
        <f t="shared" si="34"/>
        <v>0</v>
      </c>
      <c r="U46" s="242">
        <f>SUM(R37:T37)</f>
        <v>0</v>
      </c>
      <c r="V46" s="241">
        <f t="shared" si="35"/>
        <v>0</v>
      </c>
      <c r="W46" s="241">
        <f t="shared" si="35"/>
        <v>0</v>
      </c>
      <c r="X46" s="241">
        <f t="shared" si="35"/>
        <v>0</v>
      </c>
      <c r="Y46" s="242">
        <f>SUM(V37:X37)</f>
        <v>0</v>
      </c>
    </row>
    <row r="47" spans="1:25" ht="12.75" hidden="1" customHeight="1" outlineLevel="2" x14ac:dyDescent="0.2">
      <c r="A47" s="198" t="str">
        <f>"         "&amp;Labels!B317</f>
        <v xml:space="preserve">         Channels 1</v>
      </c>
      <c r="B47" s="243">
        <f t="shared" si="30"/>
        <v>0</v>
      </c>
      <c r="C47" s="243">
        <f t="shared" si="30"/>
        <v>0</v>
      </c>
      <c r="D47" s="243">
        <f t="shared" si="30"/>
        <v>0</v>
      </c>
      <c r="E47" s="244">
        <f>SUM(B47:D47)</f>
        <v>0</v>
      </c>
      <c r="F47" s="243">
        <f t="shared" si="31"/>
        <v>0</v>
      </c>
      <c r="G47" s="243">
        <f t="shared" si="31"/>
        <v>0</v>
      </c>
      <c r="H47" s="243">
        <f t="shared" si="31"/>
        <v>0</v>
      </c>
      <c r="I47" s="244">
        <f>SUM(F47:H47)</f>
        <v>0</v>
      </c>
      <c r="J47" s="243">
        <f t="shared" si="32"/>
        <v>28260.89297106001</v>
      </c>
      <c r="K47" s="243">
        <f t="shared" si="32"/>
        <v>28330.591957132838</v>
      </c>
      <c r="L47" s="243">
        <f t="shared" si="32"/>
        <v>0</v>
      </c>
      <c r="M47" s="244">
        <f>SUM(J47:L47)</f>
        <v>56591.484928192847</v>
      </c>
      <c r="N47" s="243">
        <f t="shared" si="33"/>
        <v>0</v>
      </c>
      <c r="O47" s="243">
        <f t="shared" si="33"/>
        <v>0</v>
      </c>
      <c r="P47" s="243">
        <f t="shared" si="33"/>
        <v>0</v>
      </c>
      <c r="Q47" s="244">
        <f>SUM(N47:P47)</f>
        <v>0</v>
      </c>
      <c r="R47" s="243">
        <f t="shared" si="34"/>
        <v>0</v>
      </c>
      <c r="S47" s="243">
        <f t="shared" si="34"/>
        <v>0</v>
      </c>
      <c r="T47" s="243">
        <f t="shared" si="34"/>
        <v>0</v>
      </c>
      <c r="U47" s="244">
        <f>SUM(R47:T47)</f>
        <v>0</v>
      </c>
      <c r="V47" s="243">
        <f t="shared" si="35"/>
        <v>0</v>
      </c>
      <c r="W47" s="243">
        <f t="shared" si="35"/>
        <v>0</v>
      </c>
      <c r="X47" s="243">
        <f t="shared" si="35"/>
        <v>0</v>
      </c>
      <c r="Y47" s="244">
        <f>SUM(V47:X47)</f>
        <v>0</v>
      </c>
    </row>
    <row r="48" spans="1:25" ht="12.75" hidden="1" customHeight="1" outlineLevel="2" x14ac:dyDescent="0.2">
      <c r="A48" s="198" t="str">
        <f>"         "&amp;Labels!B318</f>
        <v xml:space="preserve">         Channels 2</v>
      </c>
      <c r="B48" s="243">
        <f t="shared" si="30"/>
        <v>0</v>
      </c>
      <c r="C48" s="243">
        <f t="shared" si="30"/>
        <v>0</v>
      </c>
      <c r="D48" s="243">
        <f t="shared" si="30"/>
        <v>0</v>
      </c>
      <c r="E48" s="244">
        <f>SUM(B48:D48)</f>
        <v>0</v>
      </c>
      <c r="F48" s="243">
        <f t="shared" si="31"/>
        <v>0</v>
      </c>
      <c r="G48" s="243">
        <f t="shared" si="31"/>
        <v>0</v>
      </c>
      <c r="H48" s="243">
        <f t="shared" si="31"/>
        <v>0</v>
      </c>
      <c r="I48" s="244">
        <f>SUM(F48:H48)</f>
        <v>0</v>
      </c>
      <c r="J48" s="243">
        <f t="shared" si="32"/>
        <v>0</v>
      </c>
      <c r="K48" s="243">
        <f t="shared" si="32"/>
        <v>0</v>
      </c>
      <c r="L48" s="243">
        <f t="shared" si="32"/>
        <v>0</v>
      </c>
      <c r="M48" s="244">
        <f>SUM(J48:L48)</f>
        <v>0</v>
      </c>
      <c r="N48" s="243">
        <f t="shared" si="33"/>
        <v>0</v>
      </c>
      <c r="O48" s="243">
        <f t="shared" si="33"/>
        <v>0</v>
      </c>
      <c r="P48" s="243">
        <f t="shared" si="33"/>
        <v>0</v>
      </c>
      <c r="Q48" s="244">
        <f>SUM(N48:P48)</f>
        <v>0</v>
      </c>
      <c r="R48" s="243">
        <f t="shared" si="34"/>
        <v>0</v>
      </c>
      <c r="S48" s="243">
        <f t="shared" si="34"/>
        <v>0</v>
      </c>
      <c r="T48" s="243">
        <f t="shared" si="34"/>
        <v>0</v>
      </c>
      <c r="U48" s="244">
        <f>SUM(R48:T48)</f>
        <v>0</v>
      </c>
      <c r="V48" s="243">
        <f t="shared" si="35"/>
        <v>0</v>
      </c>
      <c r="W48" s="243">
        <f t="shared" si="35"/>
        <v>0</v>
      </c>
      <c r="X48" s="243">
        <f t="shared" si="35"/>
        <v>0</v>
      </c>
      <c r="Y48" s="244">
        <f>SUM(V48:X48)</f>
        <v>0</v>
      </c>
    </row>
    <row r="49" spans="1:25" ht="12.75" hidden="1" customHeight="1" outlineLevel="2" x14ac:dyDescent="0.2">
      <c r="A49" s="198" t="str">
        <f>"         "&amp;Labels!C316</f>
        <v xml:space="preserve">         Total</v>
      </c>
      <c r="B49" s="243">
        <f>SUM(B20,B33)</f>
        <v>0</v>
      </c>
      <c r="C49" s="243">
        <f>SUM(C20,C33)</f>
        <v>0</v>
      </c>
      <c r="D49" s="243">
        <f>SUM(D20,D33)</f>
        <v>0</v>
      </c>
      <c r="E49" s="244">
        <f>SUM(B37:D37)</f>
        <v>0</v>
      </c>
      <c r="F49" s="243">
        <f>SUM(F20,F33)</f>
        <v>0</v>
      </c>
      <c r="G49" s="243">
        <f>SUM(G20,G33)</f>
        <v>0</v>
      </c>
      <c r="H49" s="243">
        <f>SUM(H20,H33)</f>
        <v>0</v>
      </c>
      <c r="I49" s="244">
        <f>SUM(F37:H37)</f>
        <v>0</v>
      </c>
      <c r="J49" s="243">
        <f>SUM(J20,J33)</f>
        <v>28260.89297106001</v>
      </c>
      <c r="K49" s="243">
        <f>SUM(K20,K33)</f>
        <v>28330.591957132838</v>
      </c>
      <c r="L49" s="243">
        <f>SUM(L20,L33)</f>
        <v>0</v>
      </c>
      <c r="M49" s="244">
        <f>SUM(J37:L37)</f>
        <v>56591.484928192847</v>
      </c>
      <c r="N49" s="243">
        <f>SUM(N20,N33)</f>
        <v>0</v>
      </c>
      <c r="O49" s="243">
        <f>SUM(O20,O33)</f>
        <v>0</v>
      </c>
      <c r="P49" s="243">
        <f>SUM(P20,P33)</f>
        <v>0</v>
      </c>
      <c r="Q49" s="244">
        <f>SUM(N37:P37)</f>
        <v>0</v>
      </c>
      <c r="R49" s="243">
        <f>SUM(R20,R33)</f>
        <v>0</v>
      </c>
      <c r="S49" s="243">
        <f>SUM(S20,S33)</f>
        <v>0</v>
      </c>
      <c r="T49" s="243">
        <f>SUM(T20,T33)</f>
        <v>0</v>
      </c>
      <c r="U49" s="244">
        <f>SUM(R37:T37)</f>
        <v>0</v>
      </c>
      <c r="V49" s="243">
        <f>SUM(V20,V33)</f>
        <v>0</v>
      </c>
      <c r="W49" s="243">
        <f>SUM(W20,W33)</f>
        <v>0</v>
      </c>
      <c r="X49" s="243">
        <f>SUM(X20,X33)</f>
        <v>0</v>
      </c>
      <c r="Y49" s="244">
        <f>SUM(V37:X37)</f>
        <v>0</v>
      </c>
    </row>
    <row r="50" spans="1:25" ht="12.75" hidden="1" customHeight="1" outlineLevel="2" x14ac:dyDescent="0.2">
      <c r="A50" s="97"/>
      <c r="B50" s="6"/>
      <c r="C50" s="6"/>
      <c r="D50" s="6"/>
      <c r="E50" s="97"/>
      <c r="F50" s="6"/>
      <c r="G50" s="6"/>
      <c r="H50" s="6"/>
      <c r="I50" s="97"/>
      <c r="J50" s="6"/>
      <c r="K50" s="6"/>
      <c r="L50" s="6"/>
      <c r="M50" s="97"/>
      <c r="N50" s="6"/>
      <c r="O50" s="6"/>
      <c r="P50" s="6"/>
      <c r="Q50" s="97"/>
      <c r="R50" s="6"/>
      <c r="S50" s="6"/>
      <c r="T50" s="6"/>
      <c r="U50" s="97"/>
      <c r="V50" s="6"/>
      <c r="W50" s="6"/>
      <c r="X50" s="6"/>
      <c r="Y50" s="97"/>
    </row>
    <row r="51" spans="1:25" ht="12.75" hidden="1" customHeight="1" outlineLevel="2" x14ac:dyDescent="0.2">
      <c r="A51" s="191" t="str">
        <f>Labels!B49</f>
        <v>Travel &amp; Entertainment</v>
      </c>
      <c r="B51" s="192"/>
      <c r="C51" s="192"/>
      <c r="D51" s="192"/>
      <c r="E51" s="190"/>
      <c r="F51" s="192"/>
      <c r="G51" s="192"/>
      <c r="H51" s="192"/>
      <c r="I51" s="190"/>
      <c r="J51" s="192"/>
      <c r="K51" s="192"/>
      <c r="L51" s="192"/>
      <c r="M51" s="190"/>
      <c r="N51" s="192"/>
      <c r="O51" s="192"/>
      <c r="P51" s="192"/>
      <c r="Q51" s="190"/>
      <c r="R51" s="192"/>
      <c r="S51" s="192"/>
      <c r="T51" s="192"/>
      <c r="U51" s="190"/>
      <c r="V51" s="192"/>
      <c r="W51" s="192"/>
      <c r="X51" s="192"/>
      <c r="Y51" s="190"/>
    </row>
    <row r="52" spans="1:25" ht="12.75" hidden="1" customHeight="1" outlineLevel="2" x14ac:dyDescent="0.2">
      <c r="A52" s="188" t="str">
        <f>"   "&amp;Labels!B381</f>
        <v xml:space="preserve">   Practice 1</v>
      </c>
      <c r="B52" s="196"/>
      <c r="C52" s="196"/>
      <c r="D52" s="196"/>
      <c r="E52" s="197"/>
      <c r="F52" s="196"/>
      <c r="G52" s="196"/>
      <c r="H52" s="196"/>
      <c r="I52" s="197"/>
      <c r="J52" s="196"/>
      <c r="K52" s="196"/>
      <c r="L52" s="196"/>
      <c r="M52" s="197"/>
      <c r="N52" s="196"/>
      <c r="O52" s="196"/>
      <c r="P52" s="196"/>
      <c r="Q52" s="197"/>
      <c r="R52" s="196"/>
      <c r="S52" s="196"/>
      <c r="T52" s="196"/>
      <c r="U52" s="197"/>
      <c r="V52" s="196"/>
      <c r="W52" s="196"/>
      <c r="X52" s="196"/>
      <c r="Y52" s="197"/>
    </row>
    <row r="53" spans="1:25" ht="12.75" hidden="1" customHeight="1" outlineLevel="2" x14ac:dyDescent="0.2">
      <c r="A53" s="198" t="str">
        <f>"      "&amp;Labels!B385</f>
        <v xml:space="preserve">      Prof Level 1</v>
      </c>
      <c r="B53" s="226"/>
      <c r="C53" s="226"/>
      <c r="D53" s="226"/>
      <c r="E53" s="227"/>
      <c r="F53" s="226"/>
      <c r="G53" s="226"/>
      <c r="H53" s="226"/>
      <c r="I53" s="227"/>
      <c r="J53" s="226"/>
      <c r="K53" s="226"/>
      <c r="L53" s="226"/>
      <c r="M53" s="227"/>
      <c r="N53" s="226"/>
      <c r="O53" s="226"/>
      <c r="P53" s="226"/>
      <c r="Q53" s="227"/>
      <c r="R53" s="226"/>
      <c r="S53" s="226"/>
      <c r="T53" s="226"/>
      <c r="U53" s="227"/>
      <c r="V53" s="226"/>
      <c r="W53" s="226"/>
      <c r="X53" s="226"/>
      <c r="Y53" s="227"/>
    </row>
    <row r="54" spans="1:25" ht="12.75" hidden="1" customHeight="1" outlineLevel="2" x14ac:dyDescent="0.2">
      <c r="A54" s="198" t="str">
        <f>"         "&amp;Labels!B317</f>
        <v xml:space="preserve">         Channels 1</v>
      </c>
      <c r="B54" s="226">
        <f>Inputs!F153*'(Tables)'!B1083</f>
        <v>0</v>
      </c>
      <c r="C54" s="226">
        <f>Inputs!G153*'(Tables)'!C1083</f>
        <v>0</v>
      </c>
      <c r="D54" s="226">
        <f>Inputs!H153*'(Tables)'!D1083</f>
        <v>1375</v>
      </c>
      <c r="E54" s="227">
        <f>SUM(B54:D54)</f>
        <v>1375</v>
      </c>
      <c r="F54" s="226">
        <f>Inputs!I153*'(Tables)'!E1083</f>
        <v>1375</v>
      </c>
      <c r="G54" s="226">
        <f>Inputs!J153*'(Tables)'!F1083</f>
        <v>0</v>
      </c>
      <c r="H54" s="226">
        <f>Inputs!K153*'(Tables)'!G1083</f>
        <v>1000</v>
      </c>
      <c r="I54" s="227">
        <f>SUM(F54:H54)</f>
        <v>2375</v>
      </c>
      <c r="J54" s="226">
        <f>Inputs!L153*'(Tables)'!H1083</f>
        <v>1000</v>
      </c>
      <c r="K54" s="226">
        <f>Inputs!M153*'(Tables)'!I1083</f>
        <v>1000</v>
      </c>
      <c r="L54" s="226">
        <f>Inputs!N153*'(Tables)'!J1083</f>
        <v>0</v>
      </c>
      <c r="M54" s="227">
        <f>SUM(J54:L54)</f>
        <v>2000</v>
      </c>
      <c r="N54" s="226">
        <f>Inputs!O153*'(Tables)'!K1083</f>
        <v>0</v>
      </c>
      <c r="O54" s="226">
        <f>Inputs!P153*'(Tables)'!L1083</f>
        <v>0</v>
      </c>
      <c r="P54" s="226">
        <f>Inputs!Q153*'(Tables)'!M1083</f>
        <v>0</v>
      </c>
      <c r="Q54" s="227">
        <f>SUM(N54:P54)</f>
        <v>0</v>
      </c>
      <c r="R54" s="226">
        <f>Inputs!R153*'(Tables)'!N1083</f>
        <v>0</v>
      </c>
      <c r="S54" s="226">
        <f>Inputs!S153*'(Tables)'!O1083</f>
        <v>0</v>
      </c>
      <c r="T54" s="226">
        <f>Inputs!T153*'(Tables)'!P1083</f>
        <v>0</v>
      </c>
      <c r="U54" s="227">
        <f>SUM(R54:T54)</f>
        <v>0</v>
      </c>
      <c r="V54" s="226">
        <f>Inputs!U153*'(Tables)'!Q1083</f>
        <v>0</v>
      </c>
      <c r="W54" s="226">
        <f>Inputs!V153*'(Tables)'!R1083</f>
        <v>0</v>
      </c>
      <c r="X54" s="226">
        <f>Inputs!W153*'(Tables)'!S1083</f>
        <v>0</v>
      </c>
      <c r="Y54" s="227">
        <f>SUM(V54:X54)</f>
        <v>0</v>
      </c>
    </row>
    <row r="55" spans="1:25" ht="12.75" hidden="1" customHeight="1" outlineLevel="2" x14ac:dyDescent="0.2">
      <c r="A55" s="198" t="str">
        <f>"         "&amp;Labels!B318</f>
        <v xml:space="preserve">         Channels 2</v>
      </c>
      <c r="B55" s="226">
        <f>Inputs!F154*'(Tables)'!B1084</f>
        <v>0</v>
      </c>
      <c r="C55" s="226">
        <f>Inputs!G154*'(Tables)'!C1084</f>
        <v>0</v>
      </c>
      <c r="D55" s="226">
        <f>Inputs!H154*'(Tables)'!D1084</f>
        <v>0</v>
      </c>
      <c r="E55" s="227">
        <f>SUM(B55:D55)</f>
        <v>0</v>
      </c>
      <c r="F55" s="226">
        <f>Inputs!I154*'(Tables)'!E1084</f>
        <v>0</v>
      </c>
      <c r="G55" s="226">
        <f>Inputs!J154*'(Tables)'!F1084</f>
        <v>0</v>
      </c>
      <c r="H55" s="226">
        <f>Inputs!K154*'(Tables)'!G1084</f>
        <v>0</v>
      </c>
      <c r="I55" s="227">
        <f>SUM(F55:H55)</f>
        <v>0</v>
      </c>
      <c r="J55" s="226">
        <f>Inputs!L154*'(Tables)'!H1084</f>
        <v>0</v>
      </c>
      <c r="K55" s="226">
        <f>Inputs!M154*'(Tables)'!I1084</f>
        <v>0</v>
      </c>
      <c r="L55" s="226">
        <f>Inputs!N154*'(Tables)'!J1084</f>
        <v>0</v>
      </c>
      <c r="M55" s="227">
        <f>SUM(J55:L55)</f>
        <v>0</v>
      </c>
      <c r="N55" s="226">
        <f>Inputs!O154*'(Tables)'!K1084</f>
        <v>0</v>
      </c>
      <c r="O55" s="226">
        <f>Inputs!P154*'(Tables)'!L1084</f>
        <v>0</v>
      </c>
      <c r="P55" s="226">
        <f>Inputs!Q154*'(Tables)'!M1084</f>
        <v>0</v>
      </c>
      <c r="Q55" s="227">
        <f>SUM(N55:P55)</f>
        <v>0</v>
      </c>
      <c r="R55" s="226">
        <f>Inputs!R154*'(Tables)'!N1084</f>
        <v>0</v>
      </c>
      <c r="S55" s="226">
        <f>Inputs!S154*'(Tables)'!O1084</f>
        <v>0</v>
      </c>
      <c r="T55" s="226">
        <f>Inputs!T154*'(Tables)'!P1084</f>
        <v>0</v>
      </c>
      <c r="U55" s="227">
        <f>SUM(R55:T55)</f>
        <v>0</v>
      </c>
      <c r="V55" s="226">
        <f>Inputs!U154*'(Tables)'!Q1084</f>
        <v>0</v>
      </c>
      <c r="W55" s="226">
        <f>Inputs!V154*'(Tables)'!R1084</f>
        <v>0</v>
      </c>
      <c r="X55" s="226">
        <f>Inputs!W154*'(Tables)'!S1084</f>
        <v>0</v>
      </c>
      <c r="Y55" s="227">
        <f>SUM(V55:X55)</f>
        <v>0</v>
      </c>
    </row>
    <row r="56" spans="1:25" ht="12.75" hidden="1" customHeight="1" outlineLevel="2" x14ac:dyDescent="0.2">
      <c r="A56" s="198" t="str">
        <f>"         "&amp;Labels!C316</f>
        <v xml:space="preserve">         Total</v>
      </c>
      <c r="B56" s="226">
        <f>SUM(B54:B55)</f>
        <v>0</v>
      </c>
      <c r="C56" s="226">
        <f>SUM(C54:C55)</f>
        <v>0</v>
      </c>
      <c r="D56" s="226">
        <f>SUM(D54:D55)</f>
        <v>1375</v>
      </c>
      <c r="E56" s="227">
        <f>SUM(B56:D56)</f>
        <v>1375</v>
      </c>
      <c r="F56" s="226">
        <f>SUM(F54:F55)</f>
        <v>1375</v>
      </c>
      <c r="G56" s="226">
        <f>SUM(G54:G55)</f>
        <v>0</v>
      </c>
      <c r="H56" s="226">
        <f>SUM(H54:H55)</f>
        <v>1000</v>
      </c>
      <c r="I56" s="227">
        <f>SUM(F56:H56)</f>
        <v>2375</v>
      </c>
      <c r="J56" s="226">
        <f>SUM(J54:J55)</f>
        <v>1000</v>
      </c>
      <c r="K56" s="226">
        <f>SUM(K54:K55)</f>
        <v>1000</v>
      </c>
      <c r="L56" s="226">
        <f>SUM(L54:L55)</f>
        <v>0</v>
      </c>
      <c r="M56" s="227">
        <f>SUM(J56:L56)</f>
        <v>2000</v>
      </c>
      <c r="N56" s="226">
        <f>SUM(N54:N55)</f>
        <v>0</v>
      </c>
      <c r="O56" s="226">
        <f>SUM(O54:O55)</f>
        <v>0</v>
      </c>
      <c r="P56" s="226">
        <f>SUM(P54:P55)</f>
        <v>0</v>
      </c>
      <c r="Q56" s="227">
        <f>SUM(N56:P56)</f>
        <v>0</v>
      </c>
      <c r="R56" s="226">
        <f>SUM(R54:R55)</f>
        <v>0</v>
      </c>
      <c r="S56" s="226">
        <f>SUM(S54:S55)</f>
        <v>0</v>
      </c>
      <c r="T56" s="226">
        <f>SUM(T54:T55)</f>
        <v>0</v>
      </c>
      <c r="U56" s="227">
        <f>SUM(R56:T56)</f>
        <v>0</v>
      </c>
      <c r="V56" s="226">
        <f>SUM(V54:V55)</f>
        <v>0</v>
      </c>
      <c r="W56" s="226">
        <f>SUM(W54:W55)</f>
        <v>0</v>
      </c>
      <c r="X56" s="226">
        <f>SUM(X54:X55)</f>
        <v>0</v>
      </c>
      <c r="Y56" s="227">
        <f>SUM(V56:X56)</f>
        <v>0</v>
      </c>
    </row>
    <row r="57" spans="1:25" ht="12.75" hidden="1" customHeight="1" outlineLevel="2" x14ac:dyDescent="0.2">
      <c r="A57" s="198" t="str">
        <f>"      "&amp;Labels!B386</f>
        <v xml:space="preserve">      Prof Level 2</v>
      </c>
      <c r="B57" s="226"/>
      <c r="C57" s="226"/>
      <c r="D57" s="226"/>
      <c r="E57" s="227"/>
      <c r="F57" s="226"/>
      <c r="G57" s="226"/>
      <c r="H57" s="226"/>
      <c r="I57" s="227"/>
      <c r="J57" s="226"/>
      <c r="K57" s="226"/>
      <c r="L57" s="226"/>
      <c r="M57" s="227"/>
      <c r="N57" s="226"/>
      <c r="O57" s="226"/>
      <c r="P57" s="226"/>
      <c r="Q57" s="227"/>
      <c r="R57" s="226"/>
      <c r="S57" s="226"/>
      <c r="T57" s="226"/>
      <c r="U57" s="227"/>
      <c r="V57" s="226"/>
      <c r="W57" s="226"/>
      <c r="X57" s="226"/>
      <c r="Y57" s="227"/>
    </row>
    <row r="58" spans="1:25" ht="12.75" hidden="1" customHeight="1" outlineLevel="2" x14ac:dyDescent="0.2">
      <c r="A58" s="198" t="str">
        <f>"         "&amp;Labels!B317</f>
        <v xml:space="preserve">         Channels 1</v>
      </c>
      <c r="B58" s="226">
        <f>Inputs!F155*'(Tables)'!B1087</f>
        <v>0</v>
      </c>
      <c r="C58" s="226">
        <f>Inputs!G155*'(Tables)'!C1087</f>
        <v>0</v>
      </c>
      <c r="D58" s="226">
        <f>Inputs!H155*'(Tables)'!D1087</f>
        <v>1375</v>
      </c>
      <c r="E58" s="227">
        <f t="shared" ref="E58:E63" si="36">SUM(B58:D58)</f>
        <v>1375</v>
      </c>
      <c r="F58" s="226">
        <f>Inputs!I155*'(Tables)'!E1087</f>
        <v>1375</v>
      </c>
      <c r="G58" s="226">
        <f>Inputs!J155*'(Tables)'!F1087</f>
        <v>0</v>
      </c>
      <c r="H58" s="226">
        <f>Inputs!K155*'(Tables)'!G1087</f>
        <v>1000</v>
      </c>
      <c r="I58" s="227">
        <f t="shared" ref="I58:I63" si="37">SUM(F58:H58)</f>
        <v>2375</v>
      </c>
      <c r="J58" s="226">
        <f>Inputs!L155*'(Tables)'!H1087</f>
        <v>1000</v>
      </c>
      <c r="K58" s="226">
        <f>Inputs!M155*'(Tables)'!I1087</f>
        <v>1000</v>
      </c>
      <c r="L58" s="226">
        <f>Inputs!N155*'(Tables)'!J1087</f>
        <v>0</v>
      </c>
      <c r="M58" s="227">
        <f t="shared" ref="M58:M63" si="38">SUM(J58:L58)</f>
        <v>2000</v>
      </c>
      <c r="N58" s="226">
        <f>Inputs!O155*'(Tables)'!K1087</f>
        <v>0</v>
      </c>
      <c r="O58" s="226">
        <f>Inputs!P155*'(Tables)'!L1087</f>
        <v>0</v>
      </c>
      <c r="P58" s="226">
        <f>Inputs!Q155*'(Tables)'!M1087</f>
        <v>0</v>
      </c>
      <c r="Q58" s="227">
        <f t="shared" ref="Q58:Q63" si="39">SUM(N58:P58)</f>
        <v>0</v>
      </c>
      <c r="R58" s="226">
        <f>Inputs!R155*'(Tables)'!N1087</f>
        <v>0</v>
      </c>
      <c r="S58" s="226">
        <f>Inputs!S155*'(Tables)'!O1087</f>
        <v>0</v>
      </c>
      <c r="T58" s="226">
        <f>Inputs!T155*'(Tables)'!P1087</f>
        <v>0</v>
      </c>
      <c r="U58" s="227">
        <f t="shared" ref="U58:U63" si="40">SUM(R58:T58)</f>
        <v>0</v>
      </c>
      <c r="V58" s="226">
        <f>Inputs!U155*'(Tables)'!Q1087</f>
        <v>0</v>
      </c>
      <c r="W58" s="226">
        <f>Inputs!V155*'(Tables)'!R1087</f>
        <v>0</v>
      </c>
      <c r="X58" s="226">
        <f>Inputs!W155*'(Tables)'!S1087</f>
        <v>0</v>
      </c>
      <c r="Y58" s="227">
        <f t="shared" ref="Y58:Y63" si="41">SUM(V58:X58)</f>
        <v>0</v>
      </c>
    </row>
    <row r="59" spans="1:25" ht="12.75" hidden="1" customHeight="1" outlineLevel="2" x14ac:dyDescent="0.2">
      <c r="A59" s="198" t="str">
        <f>"         "&amp;Labels!B318</f>
        <v xml:space="preserve">         Channels 2</v>
      </c>
      <c r="B59" s="226">
        <f>Inputs!F156*'(Tables)'!B1088</f>
        <v>0</v>
      </c>
      <c r="C59" s="226">
        <f>Inputs!G156*'(Tables)'!C1088</f>
        <v>0</v>
      </c>
      <c r="D59" s="226">
        <f>Inputs!H156*'(Tables)'!D1088</f>
        <v>0</v>
      </c>
      <c r="E59" s="227">
        <f t="shared" si="36"/>
        <v>0</v>
      </c>
      <c r="F59" s="226">
        <f>Inputs!I156*'(Tables)'!E1088</f>
        <v>0</v>
      </c>
      <c r="G59" s="226">
        <f>Inputs!J156*'(Tables)'!F1088</f>
        <v>0</v>
      </c>
      <c r="H59" s="226">
        <f>Inputs!K156*'(Tables)'!G1088</f>
        <v>0</v>
      </c>
      <c r="I59" s="227">
        <f t="shared" si="37"/>
        <v>0</v>
      </c>
      <c r="J59" s="226">
        <f>Inputs!L156*'(Tables)'!H1088</f>
        <v>0</v>
      </c>
      <c r="K59" s="226">
        <f>Inputs!M156*'(Tables)'!I1088</f>
        <v>0</v>
      </c>
      <c r="L59" s="226">
        <f>Inputs!N156*'(Tables)'!J1088</f>
        <v>0</v>
      </c>
      <c r="M59" s="227">
        <f t="shared" si="38"/>
        <v>0</v>
      </c>
      <c r="N59" s="226">
        <f>Inputs!O156*'(Tables)'!K1088</f>
        <v>0</v>
      </c>
      <c r="O59" s="226">
        <f>Inputs!P156*'(Tables)'!L1088</f>
        <v>0</v>
      </c>
      <c r="P59" s="226">
        <f>Inputs!Q156*'(Tables)'!M1088</f>
        <v>0</v>
      </c>
      <c r="Q59" s="227">
        <f t="shared" si="39"/>
        <v>0</v>
      </c>
      <c r="R59" s="226">
        <f>Inputs!R156*'(Tables)'!N1088</f>
        <v>0</v>
      </c>
      <c r="S59" s="226">
        <f>Inputs!S156*'(Tables)'!O1088</f>
        <v>0</v>
      </c>
      <c r="T59" s="226">
        <f>Inputs!T156*'(Tables)'!P1088</f>
        <v>0</v>
      </c>
      <c r="U59" s="227">
        <f t="shared" si="40"/>
        <v>0</v>
      </c>
      <c r="V59" s="226">
        <f>Inputs!U156*'(Tables)'!Q1088</f>
        <v>0</v>
      </c>
      <c r="W59" s="226">
        <f>Inputs!V156*'(Tables)'!R1088</f>
        <v>0</v>
      </c>
      <c r="X59" s="226">
        <f>Inputs!W156*'(Tables)'!S1088</f>
        <v>0</v>
      </c>
      <c r="Y59" s="227">
        <f t="shared" si="41"/>
        <v>0</v>
      </c>
    </row>
    <row r="60" spans="1:25" ht="12.75" hidden="1" customHeight="1" outlineLevel="2" x14ac:dyDescent="0.2">
      <c r="A60" s="198" t="str">
        <f>"         "&amp;Labels!C316</f>
        <v xml:space="preserve">         Total</v>
      </c>
      <c r="B60" s="226">
        <f>SUM(B58:B59)</f>
        <v>0</v>
      </c>
      <c r="C60" s="226">
        <f>SUM(C58:C59)</f>
        <v>0</v>
      </c>
      <c r="D60" s="226">
        <f>SUM(D58:D59)</f>
        <v>1375</v>
      </c>
      <c r="E60" s="227">
        <f t="shared" si="36"/>
        <v>1375</v>
      </c>
      <c r="F60" s="226">
        <f>SUM(F58:F59)</f>
        <v>1375</v>
      </c>
      <c r="G60" s="226">
        <f>SUM(G58:G59)</f>
        <v>0</v>
      </c>
      <c r="H60" s="226">
        <f>SUM(H58:H59)</f>
        <v>1000</v>
      </c>
      <c r="I60" s="227">
        <f t="shared" si="37"/>
        <v>2375</v>
      </c>
      <c r="J60" s="226">
        <f>SUM(J58:J59)</f>
        <v>1000</v>
      </c>
      <c r="K60" s="226">
        <f>SUM(K58:K59)</f>
        <v>1000</v>
      </c>
      <c r="L60" s="226">
        <f>SUM(L58:L59)</f>
        <v>0</v>
      </c>
      <c r="M60" s="227">
        <f t="shared" si="38"/>
        <v>2000</v>
      </c>
      <c r="N60" s="226">
        <f>SUM(N58:N59)</f>
        <v>0</v>
      </c>
      <c r="O60" s="226">
        <f>SUM(O58:O59)</f>
        <v>0</v>
      </c>
      <c r="P60" s="226">
        <f>SUM(P58:P59)</f>
        <v>0</v>
      </c>
      <c r="Q60" s="227">
        <f t="shared" si="39"/>
        <v>0</v>
      </c>
      <c r="R60" s="226">
        <f>SUM(R58:R59)</f>
        <v>0</v>
      </c>
      <c r="S60" s="226">
        <f>SUM(S58:S59)</f>
        <v>0</v>
      </c>
      <c r="T60" s="226">
        <f>SUM(T58:T59)</f>
        <v>0</v>
      </c>
      <c r="U60" s="227">
        <f t="shared" si="40"/>
        <v>0</v>
      </c>
      <c r="V60" s="226">
        <f>SUM(V58:V59)</f>
        <v>0</v>
      </c>
      <c r="W60" s="226">
        <f>SUM(W58:W59)</f>
        <v>0</v>
      </c>
      <c r="X60" s="226">
        <f>SUM(X58:X59)</f>
        <v>0</v>
      </c>
      <c r="Y60" s="227">
        <f t="shared" si="41"/>
        <v>0</v>
      </c>
    </row>
    <row r="61" spans="1:25" ht="12.75" hidden="1" customHeight="1" outlineLevel="2" x14ac:dyDescent="0.2">
      <c r="A61" s="188" t="str">
        <f>"      "&amp;Labels!C384</f>
        <v xml:space="preserve">      Total</v>
      </c>
      <c r="B61" s="196">
        <f>SUM(B56,B60)</f>
        <v>0</v>
      </c>
      <c r="C61" s="196">
        <f>SUM(C56,C60)</f>
        <v>0</v>
      </c>
      <c r="D61" s="196">
        <f>SUM(D56,D60)</f>
        <v>2750</v>
      </c>
      <c r="E61" s="197">
        <f t="shared" si="36"/>
        <v>2750</v>
      </c>
      <c r="F61" s="196">
        <f>SUM(F56,F60)</f>
        <v>2750</v>
      </c>
      <c r="G61" s="196">
        <f>SUM(G56,G60)</f>
        <v>0</v>
      </c>
      <c r="H61" s="196">
        <f>SUM(H56,H60)</f>
        <v>2000</v>
      </c>
      <c r="I61" s="197">
        <f t="shared" si="37"/>
        <v>4750</v>
      </c>
      <c r="J61" s="196">
        <f>SUM(J56,J60)</f>
        <v>2000</v>
      </c>
      <c r="K61" s="196">
        <f>SUM(K56,K60)</f>
        <v>2000</v>
      </c>
      <c r="L61" s="196">
        <f>SUM(L56,L60)</f>
        <v>0</v>
      </c>
      <c r="M61" s="197">
        <f t="shared" si="38"/>
        <v>4000</v>
      </c>
      <c r="N61" s="196">
        <f>SUM(N56,N60)</f>
        <v>0</v>
      </c>
      <c r="O61" s="196">
        <f>SUM(O56,O60)</f>
        <v>0</v>
      </c>
      <c r="P61" s="196">
        <f>SUM(P56,P60)</f>
        <v>0</v>
      </c>
      <c r="Q61" s="197">
        <f t="shared" si="39"/>
        <v>0</v>
      </c>
      <c r="R61" s="196">
        <f>SUM(R56,R60)</f>
        <v>0</v>
      </c>
      <c r="S61" s="196">
        <f>SUM(S56,S60)</f>
        <v>0</v>
      </c>
      <c r="T61" s="196">
        <f>SUM(T56,T60)</f>
        <v>0</v>
      </c>
      <c r="U61" s="197">
        <f t="shared" si="40"/>
        <v>0</v>
      </c>
      <c r="V61" s="196">
        <f>SUM(V56,V60)</f>
        <v>0</v>
      </c>
      <c r="W61" s="196">
        <f>SUM(W56,W60)</f>
        <v>0</v>
      </c>
      <c r="X61" s="196">
        <f>SUM(X56,X60)</f>
        <v>0</v>
      </c>
      <c r="Y61" s="197">
        <f t="shared" si="41"/>
        <v>0</v>
      </c>
    </row>
    <row r="62" spans="1:25" ht="12.75" hidden="1" customHeight="1" outlineLevel="2" x14ac:dyDescent="0.2">
      <c r="A62" s="198" t="str">
        <f>"         "&amp;Labels!B317</f>
        <v xml:space="preserve">         Channels 1</v>
      </c>
      <c r="B62" s="226">
        <f t="shared" ref="B62:D64" si="42">SUM(B54,B58)</f>
        <v>0</v>
      </c>
      <c r="C62" s="226">
        <f t="shared" si="42"/>
        <v>0</v>
      </c>
      <c r="D62" s="226">
        <f t="shared" si="42"/>
        <v>2750</v>
      </c>
      <c r="E62" s="227">
        <f t="shared" si="36"/>
        <v>2750</v>
      </c>
      <c r="F62" s="226">
        <f t="shared" ref="F62:H64" si="43">SUM(F54,F58)</f>
        <v>2750</v>
      </c>
      <c r="G62" s="226">
        <f t="shared" si="43"/>
        <v>0</v>
      </c>
      <c r="H62" s="226">
        <f t="shared" si="43"/>
        <v>2000</v>
      </c>
      <c r="I62" s="227">
        <f t="shared" si="37"/>
        <v>4750</v>
      </c>
      <c r="J62" s="226">
        <f t="shared" ref="J62:L64" si="44">SUM(J54,J58)</f>
        <v>2000</v>
      </c>
      <c r="K62" s="226">
        <f t="shared" si="44"/>
        <v>2000</v>
      </c>
      <c r="L62" s="226">
        <f t="shared" si="44"/>
        <v>0</v>
      </c>
      <c r="M62" s="227">
        <f t="shared" si="38"/>
        <v>4000</v>
      </c>
      <c r="N62" s="226">
        <f t="shared" ref="N62:P64" si="45">SUM(N54,N58)</f>
        <v>0</v>
      </c>
      <c r="O62" s="226">
        <f t="shared" si="45"/>
        <v>0</v>
      </c>
      <c r="P62" s="226">
        <f t="shared" si="45"/>
        <v>0</v>
      </c>
      <c r="Q62" s="227">
        <f t="shared" si="39"/>
        <v>0</v>
      </c>
      <c r="R62" s="226">
        <f t="shared" ref="R62:T64" si="46">SUM(R54,R58)</f>
        <v>0</v>
      </c>
      <c r="S62" s="226">
        <f t="shared" si="46"/>
        <v>0</v>
      </c>
      <c r="T62" s="226">
        <f t="shared" si="46"/>
        <v>0</v>
      </c>
      <c r="U62" s="227">
        <f t="shared" si="40"/>
        <v>0</v>
      </c>
      <c r="V62" s="226">
        <f t="shared" ref="V62:X64" si="47">SUM(V54,V58)</f>
        <v>0</v>
      </c>
      <c r="W62" s="226">
        <f t="shared" si="47"/>
        <v>0</v>
      </c>
      <c r="X62" s="226">
        <f t="shared" si="47"/>
        <v>0</v>
      </c>
      <c r="Y62" s="227">
        <f t="shared" si="41"/>
        <v>0</v>
      </c>
    </row>
    <row r="63" spans="1:25" ht="12.75" hidden="1" customHeight="1" outlineLevel="2" x14ac:dyDescent="0.2">
      <c r="A63" s="198" t="str">
        <f>"         "&amp;Labels!B318</f>
        <v xml:space="preserve">         Channels 2</v>
      </c>
      <c r="B63" s="226">
        <f t="shared" si="42"/>
        <v>0</v>
      </c>
      <c r="C63" s="226">
        <f t="shared" si="42"/>
        <v>0</v>
      </c>
      <c r="D63" s="226">
        <f t="shared" si="42"/>
        <v>0</v>
      </c>
      <c r="E63" s="227">
        <f t="shared" si="36"/>
        <v>0</v>
      </c>
      <c r="F63" s="226">
        <f t="shared" si="43"/>
        <v>0</v>
      </c>
      <c r="G63" s="226">
        <f t="shared" si="43"/>
        <v>0</v>
      </c>
      <c r="H63" s="226">
        <f t="shared" si="43"/>
        <v>0</v>
      </c>
      <c r="I63" s="227">
        <f t="shared" si="37"/>
        <v>0</v>
      </c>
      <c r="J63" s="226">
        <f t="shared" si="44"/>
        <v>0</v>
      </c>
      <c r="K63" s="226">
        <f t="shared" si="44"/>
        <v>0</v>
      </c>
      <c r="L63" s="226">
        <f t="shared" si="44"/>
        <v>0</v>
      </c>
      <c r="M63" s="227">
        <f t="shared" si="38"/>
        <v>0</v>
      </c>
      <c r="N63" s="226">
        <f t="shared" si="45"/>
        <v>0</v>
      </c>
      <c r="O63" s="226">
        <f t="shared" si="45"/>
        <v>0</v>
      </c>
      <c r="P63" s="226">
        <f t="shared" si="45"/>
        <v>0</v>
      </c>
      <c r="Q63" s="227">
        <f t="shared" si="39"/>
        <v>0</v>
      </c>
      <c r="R63" s="226">
        <f t="shared" si="46"/>
        <v>0</v>
      </c>
      <c r="S63" s="226">
        <f t="shared" si="46"/>
        <v>0</v>
      </c>
      <c r="T63" s="226">
        <f t="shared" si="46"/>
        <v>0</v>
      </c>
      <c r="U63" s="227">
        <f t="shared" si="40"/>
        <v>0</v>
      </c>
      <c r="V63" s="226">
        <f t="shared" si="47"/>
        <v>0</v>
      </c>
      <c r="W63" s="226">
        <f t="shared" si="47"/>
        <v>0</v>
      </c>
      <c r="X63" s="226">
        <f t="shared" si="47"/>
        <v>0</v>
      </c>
      <c r="Y63" s="227">
        <f t="shared" si="41"/>
        <v>0</v>
      </c>
    </row>
    <row r="64" spans="1:25" ht="12.75" hidden="1" customHeight="1" outlineLevel="2" x14ac:dyDescent="0.2">
      <c r="A64" s="198" t="str">
        <f>"         "&amp;Labels!C316</f>
        <v xml:space="preserve">         Total</v>
      </c>
      <c r="B64" s="226">
        <f t="shared" si="42"/>
        <v>0</v>
      </c>
      <c r="C64" s="226">
        <f t="shared" si="42"/>
        <v>0</v>
      </c>
      <c r="D64" s="226">
        <f t="shared" si="42"/>
        <v>2750</v>
      </c>
      <c r="E64" s="227">
        <f>SUM(B61:D61)</f>
        <v>2750</v>
      </c>
      <c r="F64" s="226">
        <f t="shared" si="43"/>
        <v>2750</v>
      </c>
      <c r="G64" s="226">
        <f t="shared" si="43"/>
        <v>0</v>
      </c>
      <c r="H64" s="226">
        <f t="shared" si="43"/>
        <v>2000</v>
      </c>
      <c r="I64" s="227">
        <f>SUM(F61:H61)</f>
        <v>4750</v>
      </c>
      <c r="J64" s="226">
        <f t="shared" si="44"/>
        <v>2000</v>
      </c>
      <c r="K64" s="226">
        <f t="shared" si="44"/>
        <v>2000</v>
      </c>
      <c r="L64" s="226">
        <f t="shared" si="44"/>
        <v>0</v>
      </c>
      <c r="M64" s="227">
        <f>SUM(J61:L61)</f>
        <v>4000</v>
      </c>
      <c r="N64" s="226">
        <f t="shared" si="45"/>
        <v>0</v>
      </c>
      <c r="O64" s="226">
        <f t="shared" si="45"/>
        <v>0</v>
      </c>
      <c r="P64" s="226">
        <f t="shared" si="45"/>
        <v>0</v>
      </c>
      <c r="Q64" s="227">
        <f>SUM(N61:P61)</f>
        <v>0</v>
      </c>
      <c r="R64" s="226">
        <f t="shared" si="46"/>
        <v>0</v>
      </c>
      <c r="S64" s="226">
        <f t="shared" si="46"/>
        <v>0</v>
      </c>
      <c r="T64" s="226">
        <f t="shared" si="46"/>
        <v>0</v>
      </c>
      <c r="U64" s="227">
        <f>SUM(R61:T61)</f>
        <v>0</v>
      </c>
      <c r="V64" s="226">
        <f t="shared" si="47"/>
        <v>0</v>
      </c>
      <c r="W64" s="226">
        <f t="shared" si="47"/>
        <v>0</v>
      </c>
      <c r="X64" s="226">
        <f t="shared" si="47"/>
        <v>0</v>
      </c>
      <c r="Y64" s="227">
        <f>SUM(V61:X61)</f>
        <v>0</v>
      </c>
    </row>
    <row r="65" spans="1:25" ht="12.75" hidden="1" customHeight="1" outlineLevel="2" x14ac:dyDescent="0.2">
      <c r="A65" s="188" t="str">
        <f>"   "&amp;Labels!B382</f>
        <v xml:space="preserve">   Practice 2</v>
      </c>
      <c r="B65" s="196"/>
      <c r="C65" s="196"/>
      <c r="D65" s="196"/>
      <c r="E65" s="197"/>
      <c r="F65" s="196"/>
      <c r="G65" s="196"/>
      <c r="H65" s="196"/>
      <c r="I65" s="197"/>
      <c r="J65" s="196"/>
      <c r="K65" s="196"/>
      <c r="L65" s="196"/>
      <c r="M65" s="197"/>
      <c r="N65" s="196"/>
      <c r="O65" s="196"/>
      <c r="P65" s="196"/>
      <c r="Q65" s="197"/>
      <c r="R65" s="196"/>
      <c r="S65" s="196"/>
      <c r="T65" s="196"/>
      <c r="U65" s="197"/>
      <c r="V65" s="196"/>
      <c r="W65" s="196"/>
      <c r="X65" s="196"/>
      <c r="Y65" s="197"/>
    </row>
    <row r="66" spans="1:25" ht="12.75" hidden="1" customHeight="1" outlineLevel="2" x14ac:dyDescent="0.2">
      <c r="A66" s="198" t="str">
        <f>"      "&amp;Labels!B385</f>
        <v xml:space="preserve">      Prof Level 1</v>
      </c>
      <c r="B66" s="226"/>
      <c r="C66" s="226"/>
      <c r="D66" s="226"/>
      <c r="E66" s="227"/>
      <c r="F66" s="226"/>
      <c r="G66" s="226"/>
      <c r="H66" s="226"/>
      <c r="I66" s="227"/>
      <c r="J66" s="226"/>
      <c r="K66" s="226"/>
      <c r="L66" s="226"/>
      <c r="M66" s="227"/>
      <c r="N66" s="226"/>
      <c r="O66" s="226"/>
      <c r="P66" s="226"/>
      <c r="Q66" s="227"/>
      <c r="R66" s="226"/>
      <c r="S66" s="226"/>
      <c r="T66" s="226"/>
      <c r="U66" s="227"/>
      <c r="V66" s="226"/>
      <c r="W66" s="226"/>
      <c r="X66" s="226"/>
      <c r="Y66" s="227"/>
    </row>
    <row r="67" spans="1:25" ht="12.75" hidden="1" customHeight="1" outlineLevel="2" x14ac:dyDescent="0.2">
      <c r="A67" s="198" t="str">
        <f>"         "&amp;Labels!B317</f>
        <v xml:space="preserve">         Channels 1</v>
      </c>
      <c r="B67" s="226">
        <f>Inputs!F157*'(Tables)'!B1096</f>
        <v>0</v>
      </c>
      <c r="C67" s="226">
        <f>Inputs!G157*'(Tables)'!C1096</f>
        <v>0</v>
      </c>
      <c r="D67" s="226">
        <f>Inputs!H157*'(Tables)'!D1096</f>
        <v>0</v>
      </c>
      <c r="E67" s="227">
        <f>SUM(B67:D67)</f>
        <v>0</v>
      </c>
      <c r="F67" s="226">
        <f>Inputs!I157*'(Tables)'!E1096</f>
        <v>0</v>
      </c>
      <c r="G67" s="226">
        <f>Inputs!J157*'(Tables)'!F1096</f>
        <v>0</v>
      </c>
      <c r="H67" s="226">
        <f>Inputs!K157*'(Tables)'!G1096</f>
        <v>0</v>
      </c>
      <c r="I67" s="227">
        <f>SUM(F67:H67)</f>
        <v>0</v>
      </c>
      <c r="J67" s="226">
        <f>Inputs!L157*'(Tables)'!H1096</f>
        <v>0</v>
      </c>
      <c r="K67" s="226">
        <f>Inputs!M157*'(Tables)'!I1096</f>
        <v>0</v>
      </c>
      <c r="L67" s="226">
        <f>Inputs!N157*'(Tables)'!J1096</f>
        <v>0</v>
      </c>
      <c r="M67" s="227">
        <f>SUM(J67:L67)</f>
        <v>0</v>
      </c>
      <c r="N67" s="226">
        <f>Inputs!O157*'(Tables)'!K1096</f>
        <v>0</v>
      </c>
      <c r="O67" s="226">
        <f>Inputs!P157*'(Tables)'!L1096</f>
        <v>0</v>
      </c>
      <c r="P67" s="226">
        <f>Inputs!Q157*'(Tables)'!M1096</f>
        <v>0</v>
      </c>
      <c r="Q67" s="227">
        <f>SUM(N67:P67)</f>
        <v>0</v>
      </c>
      <c r="R67" s="226">
        <f>Inputs!R157*'(Tables)'!N1096</f>
        <v>0</v>
      </c>
      <c r="S67" s="226">
        <f>Inputs!S157*'(Tables)'!O1096</f>
        <v>0</v>
      </c>
      <c r="T67" s="226">
        <f>Inputs!T157*'(Tables)'!P1096</f>
        <v>0</v>
      </c>
      <c r="U67" s="227">
        <f>SUM(R67:T67)</f>
        <v>0</v>
      </c>
      <c r="V67" s="226">
        <f>Inputs!U157*'(Tables)'!Q1096</f>
        <v>0</v>
      </c>
      <c r="W67" s="226">
        <f>Inputs!V157*'(Tables)'!R1096</f>
        <v>0</v>
      </c>
      <c r="X67" s="226">
        <f>Inputs!W157*'(Tables)'!S1096</f>
        <v>0</v>
      </c>
      <c r="Y67" s="227">
        <f>SUM(V67:X67)</f>
        <v>0</v>
      </c>
    </row>
    <row r="68" spans="1:25" ht="12.75" hidden="1" customHeight="1" outlineLevel="2" x14ac:dyDescent="0.2">
      <c r="A68" s="198" t="str">
        <f>"         "&amp;Labels!B318</f>
        <v xml:space="preserve">         Channels 2</v>
      </c>
      <c r="B68" s="226">
        <f>Inputs!F158*'(Tables)'!B1097</f>
        <v>0</v>
      </c>
      <c r="C68" s="226">
        <f>Inputs!G158*'(Tables)'!C1097</f>
        <v>0</v>
      </c>
      <c r="D68" s="226">
        <f>Inputs!H158*'(Tables)'!D1097</f>
        <v>0</v>
      </c>
      <c r="E68" s="227">
        <f>SUM(B68:D68)</f>
        <v>0</v>
      </c>
      <c r="F68" s="226">
        <f>Inputs!I158*'(Tables)'!E1097</f>
        <v>0</v>
      </c>
      <c r="G68" s="226">
        <f>Inputs!J158*'(Tables)'!F1097</f>
        <v>0</v>
      </c>
      <c r="H68" s="226">
        <f>Inputs!K158*'(Tables)'!G1097</f>
        <v>0</v>
      </c>
      <c r="I68" s="227">
        <f>SUM(F68:H68)</f>
        <v>0</v>
      </c>
      <c r="J68" s="226">
        <f>Inputs!L158*'(Tables)'!H1097</f>
        <v>0</v>
      </c>
      <c r="K68" s="226">
        <f>Inputs!M158*'(Tables)'!I1097</f>
        <v>0</v>
      </c>
      <c r="L68" s="226">
        <f>Inputs!N158*'(Tables)'!J1097</f>
        <v>0</v>
      </c>
      <c r="M68" s="227">
        <f>SUM(J68:L68)</f>
        <v>0</v>
      </c>
      <c r="N68" s="226">
        <f>Inputs!O158*'(Tables)'!K1097</f>
        <v>0</v>
      </c>
      <c r="O68" s="226">
        <f>Inputs!P158*'(Tables)'!L1097</f>
        <v>0</v>
      </c>
      <c r="P68" s="226">
        <f>Inputs!Q158*'(Tables)'!M1097</f>
        <v>0</v>
      </c>
      <c r="Q68" s="227">
        <f>SUM(N68:P68)</f>
        <v>0</v>
      </c>
      <c r="R68" s="226">
        <f>Inputs!R158*'(Tables)'!N1097</f>
        <v>0</v>
      </c>
      <c r="S68" s="226">
        <f>Inputs!S158*'(Tables)'!O1097</f>
        <v>0</v>
      </c>
      <c r="T68" s="226">
        <f>Inputs!T158*'(Tables)'!P1097</f>
        <v>0</v>
      </c>
      <c r="U68" s="227">
        <f>SUM(R68:T68)</f>
        <v>0</v>
      </c>
      <c r="V68" s="226">
        <f>Inputs!U158*'(Tables)'!Q1097</f>
        <v>0</v>
      </c>
      <c r="W68" s="226">
        <f>Inputs!V158*'(Tables)'!R1097</f>
        <v>0</v>
      </c>
      <c r="X68" s="226">
        <f>Inputs!W158*'(Tables)'!S1097</f>
        <v>0</v>
      </c>
      <c r="Y68" s="227">
        <f>SUM(V68:X68)</f>
        <v>0</v>
      </c>
    </row>
    <row r="69" spans="1:25" ht="12.75" hidden="1" customHeight="1" outlineLevel="2" x14ac:dyDescent="0.2">
      <c r="A69" s="198" t="str">
        <f>"         "&amp;Labels!C316</f>
        <v xml:space="preserve">         Total</v>
      </c>
      <c r="B69" s="226">
        <f>SUM(B67:B68)</f>
        <v>0</v>
      </c>
      <c r="C69" s="226">
        <f>SUM(C67:C68)</f>
        <v>0</v>
      </c>
      <c r="D69" s="226">
        <f>SUM(D67:D68)</f>
        <v>0</v>
      </c>
      <c r="E69" s="227">
        <f>SUM(B69:D69)</f>
        <v>0</v>
      </c>
      <c r="F69" s="226">
        <f>SUM(F67:F68)</f>
        <v>0</v>
      </c>
      <c r="G69" s="226">
        <f>SUM(G67:G68)</f>
        <v>0</v>
      </c>
      <c r="H69" s="226">
        <f>SUM(H67:H68)</f>
        <v>0</v>
      </c>
      <c r="I69" s="227">
        <f>SUM(F69:H69)</f>
        <v>0</v>
      </c>
      <c r="J69" s="226">
        <f>SUM(J67:J68)</f>
        <v>0</v>
      </c>
      <c r="K69" s="226">
        <f>SUM(K67:K68)</f>
        <v>0</v>
      </c>
      <c r="L69" s="226">
        <f>SUM(L67:L68)</f>
        <v>0</v>
      </c>
      <c r="M69" s="227">
        <f>SUM(J69:L69)</f>
        <v>0</v>
      </c>
      <c r="N69" s="226">
        <f>SUM(N67:N68)</f>
        <v>0</v>
      </c>
      <c r="O69" s="226">
        <f>SUM(O67:O68)</f>
        <v>0</v>
      </c>
      <c r="P69" s="226">
        <f>SUM(P67:P68)</f>
        <v>0</v>
      </c>
      <c r="Q69" s="227">
        <f>SUM(N69:P69)</f>
        <v>0</v>
      </c>
      <c r="R69" s="226">
        <f>SUM(R67:R68)</f>
        <v>0</v>
      </c>
      <c r="S69" s="226">
        <f>SUM(S67:S68)</f>
        <v>0</v>
      </c>
      <c r="T69" s="226">
        <f>SUM(T67:T68)</f>
        <v>0</v>
      </c>
      <c r="U69" s="227">
        <f>SUM(R69:T69)</f>
        <v>0</v>
      </c>
      <c r="V69" s="226">
        <f>SUM(V67:V68)</f>
        <v>0</v>
      </c>
      <c r="W69" s="226">
        <f>SUM(W67:W68)</f>
        <v>0</v>
      </c>
      <c r="X69" s="226">
        <f>SUM(X67:X68)</f>
        <v>0</v>
      </c>
      <c r="Y69" s="227">
        <f>SUM(V69:X69)</f>
        <v>0</v>
      </c>
    </row>
    <row r="70" spans="1:25" ht="12.75" hidden="1" customHeight="1" outlineLevel="2" x14ac:dyDescent="0.2">
      <c r="A70" s="198" t="str">
        <f>"      "&amp;Labels!B386</f>
        <v xml:space="preserve">      Prof Level 2</v>
      </c>
      <c r="B70" s="226"/>
      <c r="C70" s="226"/>
      <c r="D70" s="226"/>
      <c r="E70" s="227"/>
      <c r="F70" s="226"/>
      <c r="G70" s="226"/>
      <c r="H70" s="226"/>
      <c r="I70" s="227"/>
      <c r="J70" s="226"/>
      <c r="K70" s="226"/>
      <c r="L70" s="226"/>
      <c r="M70" s="227"/>
      <c r="N70" s="226"/>
      <c r="O70" s="226"/>
      <c r="P70" s="226"/>
      <c r="Q70" s="227"/>
      <c r="R70" s="226"/>
      <c r="S70" s="226"/>
      <c r="T70" s="226"/>
      <c r="U70" s="227"/>
      <c r="V70" s="226"/>
      <c r="W70" s="226"/>
      <c r="X70" s="226"/>
      <c r="Y70" s="227"/>
    </row>
    <row r="71" spans="1:25" ht="12.75" hidden="1" customHeight="1" outlineLevel="2" x14ac:dyDescent="0.2">
      <c r="A71" s="198" t="str">
        <f>"         "&amp;Labels!B317</f>
        <v xml:space="preserve">         Channels 1</v>
      </c>
      <c r="B71" s="226">
        <f>Inputs!F159*'(Tables)'!B1100</f>
        <v>0</v>
      </c>
      <c r="C71" s="226">
        <f>Inputs!G159*'(Tables)'!C1100</f>
        <v>0</v>
      </c>
      <c r="D71" s="226">
        <f>Inputs!H159*'(Tables)'!D1100</f>
        <v>0</v>
      </c>
      <c r="E71" s="227">
        <f t="shared" ref="E71:E76" si="48">SUM(B71:D71)</f>
        <v>0</v>
      </c>
      <c r="F71" s="226">
        <f>Inputs!I159*'(Tables)'!E1100</f>
        <v>0</v>
      </c>
      <c r="G71" s="226">
        <f>Inputs!J159*'(Tables)'!F1100</f>
        <v>0</v>
      </c>
      <c r="H71" s="226">
        <f>Inputs!K159*'(Tables)'!G1100</f>
        <v>0</v>
      </c>
      <c r="I71" s="227">
        <f t="shared" ref="I71:I76" si="49">SUM(F71:H71)</f>
        <v>0</v>
      </c>
      <c r="J71" s="226">
        <f>Inputs!L159*'(Tables)'!H1100</f>
        <v>0</v>
      </c>
      <c r="K71" s="226">
        <f>Inputs!M159*'(Tables)'!I1100</f>
        <v>0</v>
      </c>
      <c r="L71" s="226">
        <f>Inputs!N159*'(Tables)'!J1100</f>
        <v>0</v>
      </c>
      <c r="M71" s="227">
        <f t="shared" ref="M71:M76" si="50">SUM(J71:L71)</f>
        <v>0</v>
      </c>
      <c r="N71" s="226">
        <f>Inputs!O159*'(Tables)'!K1100</f>
        <v>0</v>
      </c>
      <c r="O71" s="226">
        <f>Inputs!P159*'(Tables)'!L1100</f>
        <v>0</v>
      </c>
      <c r="P71" s="226">
        <f>Inputs!Q159*'(Tables)'!M1100</f>
        <v>0</v>
      </c>
      <c r="Q71" s="227">
        <f t="shared" ref="Q71:Q76" si="51">SUM(N71:P71)</f>
        <v>0</v>
      </c>
      <c r="R71" s="226">
        <f>Inputs!R159*'(Tables)'!N1100</f>
        <v>0</v>
      </c>
      <c r="S71" s="226">
        <f>Inputs!S159*'(Tables)'!O1100</f>
        <v>0</v>
      </c>
      <c r="T71" s="226">
        <f>Inputs!T159*'(Tables)'!P1100</f>
        <v>0</v>
      </c>
      <c r="U71" s="227">
        <f t="shared" ref="U71:U76" si="52">SUM(R71:T71)</f>
        <v>0</v>
      </c>
      <c r="V71" s="226">
        <f>Inputs!U159*'(Tables)'!Q1100</f>
        <v>0</v>
      </c>
      <c r="W71" s="226">
        <f>Inputs!V159*'(Tables)'!R1100</f>
        <v>0</v>
      </c>
      <c r="X71" s="226">
        <f>Inputs!W159*'(Tables)'!S1100</f>
        <v>0</v>
      </c>
      <c r="Y71" s="227">
        <f t="shared" ref="Y71:Y76" si="53">SUM(V71:X71)</f>
        <v>0</v>
      </c>
    </row>
    <row r="72" spans="1:25" ht="12.75" hidden="1" customHeight="1" outlineLevel="2" x14ac:dyDescent="0.2">
      <c r="A72" s="198" t="str">
        <f>"         "&amp;Labels!B318</f>
        <v xml:space="preserve">         Channels 2</v>
      </c>
      <c r="B72" s="226">
        <f>Inputs!F160*'(Tables)'!B1101</f>
        <v>0</v>
      </c>
      <c r="C72" s="226">
        <f>Inputs!G160*'(Tables)'!C1101</f>
        <v>0</v>
      </c>
      <c r="D72" s="226">
        <f>Inputs!H160*'(Tables)'!D1101</f>
        <v>0</v>
      </c>
      <c r="E72" s="227">
        <f t="shared" si="48"/>
        <v>0</v>
      </c>
      <c r="F72" s="226">
        <f>Inputs!I160*'(Tables)'!E1101</f>
        <v>0</v>
      </c>
      <c r="G72" s="226">
        <f>Inputs!J160*'(Tables)'!F1101</f>
        <v>0</v>
      </c>
      <c r="H72" s="226">
        <f>Inputs!K160*'(Tables)'!G1101</f>
        <v>0</v>
      </c>
      <c r="I72" s="227">
        <f t="shared" si="49"/>
        <v>0</v>
      </c>
      <c r="J72" s="226">
        <f>Inputs!L160*'(Tables)'!H1101</f>
        <v>0</v>
      </c>
      <c r="K72" s="226">
        <f>Inputs!M160*'(Tables)'!I1101</f>
        <v>0</v>
      </c>
      <c r="L72" s="226">
        <f>Inputs!N160*'(Tables)'!J1101</f>
        <v>0</v>
      </c>
      <c r="M72" s="227">
        <f t="shared" si="50"/>
        <v>0</v>
      </c>
      <c r="N72" s="226">
        <f>Inputs!O160*'(Tables)'!K1101</f>
        <v>0</v>
      </c>
      <c r="O72" s="226">
        <f>Inputs!P160*'(Tables)'!L1101</f>
        <v>0</v>
      </c>
      <c r="P72" s="226">
        <f>Inputs!Q160*'(Tables)'!M1101</f>
        <v>0</v>
      </c>
      <c r="Q72" s="227">
        <f t="shared" si="51"/>
        <v>0</v>
      </c>
      <c r="R72" s="226">
        <f>Inputs!R160*'(Tables)'!N1101</f>
        <v>0</v>
      </c>
      <c r="S72" s="226">
        <f>Inputs!S160*'(Tables)'!O1101</f>
        <v>0</v>
      </c>
      <c r="T72" s="226">
        <f>Inputs!T160*'(Tables)'!P1101</f>
        <v>0</v>
      </c>
      <c r="U72" s="227">
        <f t="shared" si="52"/>
        <v>0</v>
      </c>
      <c r="V72" s="226">
        <f>Inputs!U160*'(Tables)'!Q1101</f>
        <v>0</v>
      </c>
      <c r="W72" s="226">
        <f>Inputs!V160*'(Tables)'!R1101</f>
        <v>0</v>
      </c>
      <c r="X72" s="226">
        <f>Inputs!W160*'(Tables)'!S1101</f>
        <v>0</v>
      </c>
      <c r="Y72" s="227">
        <f t="shared" si="53"/>
        <v>0</v>
      </c>
    </row>
    <row r="73" spans="1:25" ht="12.75" hidden="1" customHeight="1" outlineLevel="2" x14ac:dyDescent="0.2">
      <c r="A73" s="198" t="str">
        <f>"         "&amp;Labels!C316</f>
        <v xml:space="preserve">         Total</v>
      </c>
      <c r="B73" s="226">
        <f>SUM(B71:B72)</f>
        <v>0</v>
      </c>
      <c r="C73" s="226">
        <f>SUM(C71:C72)</f>
        <v>0</v>
      </c>
      <c r="D73" s="226">
        <f>SUM(D71:D72)</f>
        <v>0</v>
      </c>
      <c r="E73" s="227">
        <f t="shared" si="48"/>
        <v>0</v>
      </c>
      <c r="F73" s="226">
        <f>SUM(F71:F72)</f>
        <v>0</v>
      </c>
      <c r="G73" s="226">
        <f>SUM(G71:G72)</f>
        <v>0</v>
      </c>
      <c r="H73" s="226">
        <f>SUM(H71:H72)</f>
        <v>0</v>
      </c>
      <c r="I73" s="227">
        <f t="shared" si="49"/>
        <v>0</v>
      </c>
      <c r="J73" s="226">
        <f>SUM(J71:J72)</f>
        <v>0</v>
      </c>
      <c r="K73" s="226">
        <f>SUM(K71:K72)</f>
        <v>0</v>
      </c>
      <c r="L73" s="226">
        <f>SUM(L71:L72)</f>
        <v>0</v>
      </c>
      <c r="M73" s="227">
        <f t="shared" si="50"/>
        <v>0</v>
      </c>
      <c r="N73" s="226">
        <f>SUM(N71:N72)</f>
        <v>0</v>
      </c>
      <c r="O73" s="226">
        <f>SUM(O71:O72)</f>
        <v>0</v>
      </c>
      <c r="P73" s="226">
        <f>SUM(P71:P72)</f>
        <v>0</v>
      </c>
      <c r="Q73" s="227">
        <f t="shared" si="51"/>
        <v>0</v>
      </c>
      <c r="R73" s="226">
        <f>SUM(R71:R72)</f>
        <v>0</v>
      </c>
      <c r="S73" s="226">
        <f>SUM(S71:S72)</f>
        <v>0</v>
      </c>
      <c r="T73" s="226">
        <f>SUM(T71:T72)</f>
        <v>0</v>
      </c>
      <c r="U73" s="227">
        <f t="shared" si="52"/>
        <v>0</v>
      </c>
      <c r="V73" s="226">
        <f>SUM(V71:V72)</f>
        <v>0</v>
      </c>
      <c r="W73" s="226">
        <f>SUM(W71:W72)</f>
        <v>0</v>
      </c>
      <c r="X73" s="226">
        <f>SUM(X71:X72)</f>
        <v>0</v>
      </c>
      <c r="Y73" s="227">
        <f t="shared" si="53"/>
        <v>0</v>
      </c>
    </row>
    <row r="74" spans="1:25" ht="12.75" hidden="1" customHeight="1" outlineLevel="2" x14ac:dyDescent="0.2">
      <c r="A74" s="188" t="str">
        <f>"      "&amp;Labels!C384</f>
        <v xml:space="preserve">      Total</v>
      </c>
      <c r="B74" s="196">
        <f>SUM(B69,B73)</f>
        <v>0</v>
      </c>
      <c r="C74" s="196">
        <f>SUM(C69,C73)</f>
        <v>0</v>
      </c>
      <c r="D74" s="196">
        <f>SUM(D69,D73)</f>
        <v>0</v>
      </c>
      <c r="E74" s="197">
        <f t="shared" si="48"/>
        <v>0</v>
      </c>
      <c r="F74" s="196">
        <f>SUM(F69,F73)</f>
        <v>0</v>
      </c>
      <c r="G74" s="196">
        <f>SUM(G69,G73)</f>
        <v>0</v>
      </c>
      <c r="H74" s="196">
        <f>SUM(H69,H73)</f>
        <v>0</v>
      </c>
      <c r="I74" s="197">
        <f t="shared" si="49"/>
        <v>0</v>
      </c>
      <c r="J74" s="196">
        <f>SUM(J69,J73)</f>
        <v>0</v>
      </c>
      <c r="K74" s="196">
        <f>SUM(K69,K73)</f>
        <v>0</v>
      </c>
      <c r="L74" s="196">
        <f>SUM(L69,L73)</f>
        <v>0</v>
      </c>
      <c r="M74" s="197">
        <f t="shared" si="50"/>
        <v>0</v>
      </c>
      <c r="N74" s="196">
        <f>SUM(N69,N73)</f>
        <v>0</v>
      </c>
      <c r="O74" s="196">
        <f>SUM(O69,O73)</f>
        <v>0</v>
      </c>
      <c r="P74" s="196">
        <f>SUM(P69,P73)</f>
        <v>0</v>
      </c>
      <c r="Q74" s="197">
        <f t="shared" si="51"/>
        <v>0</v>
      </c>
      <c r="R74" s="196">
        <f>SUM(R69,R73)</f>
        <v>0</v>
      </c>
      <c r="S74" s="196">
        <f>SUM(S69,S73)</f>
        <v>0</v>
      </c>
      <c r="T74" s="196">
        <f>SUM(T69,T73)</f>
        <v>0</v>
      </c>
      <c r="U74" s="197">
        <f t="shared" si="52"/>
        <v>0</v>
      </c>
      <c r="V74" s="196">
        <f>SUM(V69,V73)</f>
        <v>0</v>
      </c>
      <c r="W74" s="196">
        <f>SUM(W69,W73)</f>
        <v>0</v>
      </c>
      <c r="X74" s="196">
        <f>SUM(X69,X73)</f>
        <v>0</v>
      </c>
      <c r="Y74" s="197">
        <f t="shared" si="53"/>
        <v>0</v>
      </c>
    </row>
    <row r="75" spans="1:25" ht="12.75" hidden="1" customHeight="1" outlineLevel="2" x14ac:dyDescent="0.2">
      <c r="A75" s="198" t="str">
        <f>"         "&amp;Labels!B317</f>
        <v xml:space="preserve">         Channels 1</v>
      </c>
      <c r="B75" s="226">
        <f t="shared" ref="B75:D77" si="54">SUM(B67,B71)</f>
        <v>0</v>
      </c>
      <c r="C75" s="226">
        <f t="shared" si="54"/>
        <v>0</v>
      </c>
      <c r="D75" s="226">
        <f t="shared" si="54"/>
        <v>0</v>
      </c>
      <c r="E75" s="227">
        <f t="shared" si="48"/>
        <v>0</v>
      </c>
      <c r="F75" s="226">
        <f t="shared" ref="F75:H77" si="55">SUM(F67,F71)</f>
        <v>0</v>
      </c>
      <c r="G75" s="226">
        <f t="shared" si="55"/>
        <v>0</v>
      </c>
      <c r="H75" s="226">
        <f t="shared" si="55"/>
        <v>0</v>
      </c>
      <c r="I75" s="227">
        <f t="shared" si="49"/>
        <v>0</v>
      </c>
      <c r="J75" s="226">
        <f t="shared" ref="J75:L77" si="56">SUM(J67,J71)</f>
        <v>0</v>
      </c>
      <c r="K75" s="226">
        <f t="shared" si="56"/>
        <v>0</v>
      </c>
      <c r="L75" s="226">
        <f t="shared" si="56"/>
        <v>0</v>
      </c>
      <c r="M75" s="227">
        <f t="shared" si="50"/>
        <v>0</v>
      </c>
      <c r="N75" s="226">
        <f t="shared" ref="N75:P77" si="57">SUM(N67,N71)</f>
        <v>0</v>
      </c>
      <c r="O75" s="226">
        <f t="shared" si="57"/>
        <v>0</v>
      </c>
      <c r="P75" s="226">
        <f t="shared" si="57"/>
        <v>0</v>
      </c>
      <c r="Q75" s="227">
        <f t="shared" si="51"/>
        <v>0</v>
      </c>
      <c r="R75" s="226">
        <f t="shared" ref="R75:T77" si="58">SUM(R67,R71)</f>
        <v>0</v>
      </c>
      <c r="S75" s="226">
        <f t="shared" si="58"/>
        <v>0</v>
      </c>
      <c r="T75" s="226">
        <f t="shared" si="58"/>
        <v>0</v>
      </c>
      <c r="U75" s="227">
        <f t="shared" si="52"/>
        <v>0</v>
      </c>
      <c r="V75" s="226">
        <f t="shared" ref="V75:X77" si="59">SUM(V67,V71)</f>
        <v>0</v>
      </c>
      <c r="W75" s="226">
        <f t="shared" si="59"/>
        <v>0</v>
      </c>
      <c r="X75" s="226">
        <f t="shared" si="59"/>
        <v>0</v>
      </c>
      <c r="Y75" s="227">
        <f t="shared" si="53"/>
        <v>0</v>
      </c>
    </row>
    <row r="76" spans="1:25" ht="12.75" hidden="1" customHeight="1" outlineLevel="2" x14ac:dyDescent="0.2">
      <c r="A76" s="198" t="str">
        <f>"         "&amp;Labels!B318</f>
        <v xml:space="preserve">         Channels 2</v>
      </c>
      <c r="B76" s="226">
        <f t="shared" si="54"/>
        <v>0</v>
      </c>
      <c r="C76" s="226">
        <f t="shared" si="54"/>
        <v>0</v>
      </c>
      <c r="D76" s="226">
        <f t="shared" si="54"/>
        <v>0</v>
      </c>
      <c r="E76" s="227">
        <f t="shared" si="48"/>
        <v>0</v>
      </c>
      <c r="F76" s="226">
        <f t="shared" si="55"/>
        <v>0</v>
      </c>
      <c r="G76" s="226">
        <f t="shared" si="55"/>
        <v>0</v>
      </c>
      <c r="H76" s="226">
        <f t="shared" si="55"/>
        <v>0</v>
      </c>
      <c r="I76" s="227">
        <f t="shared" si="49"/>
        <v>0</v>
      </c>
      <c r="J76" s="226">
        <f t="shared" si="56"/>
        <v>0</v>
      </c>
      <c r="K76" s="226">
        <f t="shared" si="56"/>
        <v>0</v>
      </c>
      <c r="L76" s="226">
        <f t="shared" si="56"/>
        <v>0</v>
      </c>
      <c r="M76" s="227">
        <f t="shared" si="50"/>
        <v>0</v>
      </c>
      <c r="N76" s="226">
        <f t="shared" si="57"/>
        <v>0</v>
      </c>
      <c r="O76" s="226">
        <f t="shared" si="57"/>
        <v>0</v>
      </c>
      <c r="P76" s="226">
        <f t="shared" si="57"/>
        <v>0</v>
      </c>
      <c r="Q76" s="227">
        <f t="shared" si="51"/>
        <v>0</v>
      </c>
      <c r="R76" s="226">
        <f t="shared" si="58"/>
        <v>0</v>
      </c>
      <c r="S76" s="226">
        <f t="shared" si="58"/>
        <v>0</v>
      </c>
      <c r="T76" s="226">
        <f t="shared" si="58"/>
        <v>0</v>
      </c>
      <c r="U76" s="227">
        <f t="shared" si="52"/>
        <v>0</v>
      </c>
      <c r="V76" s="226">
        <f t="shared" si="59"/>
        <v>0</v>
      </c>
      <c r="W76" s="226">
        <f t="shared" si="59"/>
        <v>0</v>
      </c>
      <c r="X76" s="226">
        <f t="shared" si="59"/>
        <v>0</v>
      </c>
      <c r="Y76" s="227">
        <f t="shared" si="53"/>
        <v>0</v>
      </c>
    </row>
    <row r="77" spans="1:25" ht="12.75" hidden="1" customHeight="1" outlineLevel="2" x14ac:dyDescent="0.2">
      <c r="A77" s="198" t="str">
        <f>"         "&amp;Labels!C316</f>
        <v xml:space="preserve">         Total</v>
      </c>
      <c r="B77" s="226">
        <f t="shared" si="54"/>
        <v>0</v>
      </c>
      <c r="C77" s="226">
        <f t="shared" si="54"/>
        <v>0</v>
      </c>
      <c r="D77" s="226">
        <f t="shared" si="54"/>
        <v>0</v>
      </c>
      <c r="E77" s="227">
        <f>SUM(B74:D74)</f>
        <v>0</v>
      </c>
      <c r="F77" s="226">
        <f t="shared" si="55"/>
        <v>0</v>
      </c>
      <c r="G77" s="226">
        <f t="shared" si="55"/>
        <v>0</v>
      </c>
      <c r="H77" s="226">
        <f t="shared" si="55"/>
        <v>0</v>
      </c>
      <c r="I77" s="227">
        <f>SUM(F74:H74)</f>
        <v>0</v>
      </c>
      <c r="J77" s="226">
        <f t="shared" si="56"/>
        <v>0</v>
      </c>
      <c r="K77" s="226">
        <f t="shared" si="56"/>
        <v>0</v>
      </c>
      <c r="L77" s="226">
        <f t="shared" si="56"/>
        <v>0</v>
      </c>
      <c r="M77" s="227">
        <f>SUM(J74:L74)</f>
        <v>0</v>
      </c>
      <c r="N77" s="226">
        <f t="shared" si="57"/>
        <v>0</v>
      </c>
      <c r="O77" s="226">
        <f t="shared" si="57"/>
        <v>0</v>
      </c>
      <c r="P77" s="226">
        <f t="shared" si="57"/>
        <v>0</v>
      </c>
      <c r="Q77" s="227">
        <f>SUM(N74:P74)</f>
        <v>0</v>
      </c>
      <c r="R77" s="226">
        <f t="shared" si="58"/>
        <v>0</v>
      </c>
      <c r="S77" s="226">
        <f t="shared" si="58"/>
        <v>0</v>
      </c>
      <c r="T77" s="226">
        <f t="shared" si="58"/>
        <v>0</v>
      </c>
      <c r="U77" s="227">
        <f>SUM(R74:T74)</f>
        <v>0</v>
      </c>
      <c r="V77" s="226">
        <f t="shared" si="59"/>
        <v>0</v>
      </c>
      <c r="W77" s="226">
        <f t="shared" si="59"/>
        <v>0</v>
      </c>
      <c r="X77" s="226">
        <f t="shared" si="59"/>
        <v>0</v>
      </c>
      <c r="Y77" s="227">
        <f>SUM(V74:X74)</f>
        <v>0</v>
      </c>
    </row>
    <row r="78" spans="1:25" ht="12.75" hidden="1" customHeight="1" outlineLevel="2" x14ac:dyDescent="0.2">
      <c r="A78" s="191" t="str">
        <f>"   "&amp;Labels!C380</f>
        <v xml:space="preserve">   Total</v>
      </c>
      <c r="B78" s="192">
        <f>SUM(B61,B74)</f>
        <v>0</v>
      </c>
      <c r="C78" s="192">
        <f>SUM(C61,C74)</f>
        <v>0</v>
      </c>
      <c r="D78" s="192">
        <f>SUM(D61,D74)</f>
        <v>2750</v>
      </c>
      <c r="E78" s="190">
        <f>SUM(B78:D78)</f>
        <v>2750</v>
      </c>
      <c r="F78" s="192">
        <f>SUM(F61,F74)</f>
        <v>2750</v>
      </c>
      <c r="G78" s="192">
        <f>SUM(G61,G74)</f>
        <v>0</v>
      </c>
      <c r="H78" s="192">
        <f>SUM(H61,H74)</f>
        <v>2000</v>
      </c>
      <c r="I78" s="190">
        <f>SUM(F78:H78)</f>
        <v>4750</v>
      </c>
      <c r="J78" s="192">
        <f>SUM(J61,J74)</f>
        <v>2000</v>
      </c>
      <c r="K78" s="192">
        <f>SUM(K61,K74)</f>
        <v>2000</v>
      </c>
      <c r="L78" s="192">
        <f>SUM(L61,L74)</f>
        <v>0</v>
      </c>
      <c r="M78" s="190">
        <f>SUM(J78:L78)</f>
        <v>4000</v>
      </c>
      <c r="N78" s="192">
        <f>SUM(N61,N74)</f>
        <v>0</v>
      </c>
      <c r="O78" s="192">
        <f>SUM(O61,O74)</f>
        <v>0</v>
      </c>
      <c r="P78" s="192">
        <f>SUM(P61,P74)</f>
        <v>0</v>
      </c>
      <c r="Q78" s="190">
        <f>SUM(N78:P78)</f>
        <v>0</v>
      </c>
      <c r="R78" s="192">
        <f>SUM(R61,R74)</f>
        <v>0</v>
      </c>
      <c r="S78" s="192">
        <f>SUM(S61,S74)</f>
        <v>0</v>
      </c>
      <c r="T78" s="192">
        <f>SUM(T61,T74)</f>
        <v>0</v>
      </c>
      <c r="U78" s="190">
        <f>SUM(R78:T78)</f>
        <v>0</v>
      </c>
      <c r="V78" s="192">
        <f>SUM(V61,V74)</f>
        <v>0</v>
      </c>
      <c r="W78" s="192">
        <f>SUM(W61,W74)</f>
        <v>0</v>
      </c>
      <c r="X78" s="192">
        <f>SUM(X61,X74)</f>
        <v>0</v>
      </c>
      <c r="Y78" s="190">
        <f>SUM(V78:X78)</f>
        <v>0</v>
      </c>
    </row>
    <row r="79" spans="1:25" ht="12.75" hidden="1" customHeight="1" outlineLevel="2" x14ac:dyDescent="0.2">
      <c r="A79" s="198" t="str">
        <f>"      "&amp;Labels!B385</f>
        <v xml:space="preserve">      Prof Level 1</v>
      </c>
      <c r="B79" s="226"/>
      <c r="C79" s="226"/>
      <c r="D79" s="226"/>
      <c r="E79" s="227"/>
      <c r="F79" s="226"/>
      <c r="G79" s="226"/>
      <c r="H79" s="226"/>
      <c r="I79" s="227"/>
      <c r="J79" s="226"/>
      <c r="K79" s="226"/>
      <c r="L79" s="226"/>
      <c r="M79" s="227"/>
      <c r="N79" s="226"/>
      <c r="O79" s="226"/>
      <c r="P79" s="226"/>
      <c r="Q79" s="227"/>
      <c r="R79" s="226"/>
      <c r="S79" s="226"/>
      <c r="T79" s="226"/>
      <c r="U79" s="227"/>
      <c r="V79" s="226"/>
      <c r="W79" s="226"/>
      <c r="X79" s="226"/>
      <c r="Y79" s="227"/>
    </row>
    <row r="80" spans="1:25" ht="12.75" hidden="1" customHeight="1" outlineLevel="2" x14ac:dyDescent="0.2">
      <c r="A80" s="198" t="str">
        <f>"         "&amp;Labels!B317</f>
        <v xml:space="preserve">         Channels 1</v>
      </c>
      <c r="B80" s="226">
        <f t="shared" ref="B80:D82" si="60">SUM(B54,B67)</f>
        <v>0</v>
      </c>
      <c r="C80" s="226">
        <f t="shared" si="60"/>
        <v>0</v>
      </c>
      <c r="D80" s="226">
        <f t="shared" si="60"/>
        <v>1375</v>
      </c>
      <c r="E80" s="227">
        <f>SUM(B80:D80)</f>
        <v>1375</v>
      </c>
      <c r="F80" s="226">
        <f t="shared" ref="F80:H82" si="61">SUM(F54,F67)</f>
        <v>1375</v>
      </c>
      <c r="G80" s="226">
        <f t="shared" si="61"/>
        <v>0</v>
      </c>
      <c r="H80" s="226">
        <f t="shared" si="61"/>
        <v>1000</v>
      </c>
      <c r="I80" s="227">
        <f>SUM(F80:H80)</f>
        <v>2375</v>
      </c>
      <c r="J80" s="226">
        <f t="shared" ref="J80:L82" si="62">SUM(J54,J67)</f>
        <v>1000</v>
      </c>
      <c r="K80" s="226">
        <f t="shared" si="62"/>
        <v>1000</v>
      </c>
      <c r="L80" s="226">
        <f t="shared" si="62"/>
        <v>0</v>
      </c>
      <c r="M80" s="227">
        <f>SUM(J80:L80)</f>
        <v>2000</v>
      </c>
      <c r="N80" s="226">
        <f t="shared" ref="N80:P82" si="63">SUM(N54,N67)</f>
        <v>0</v>
      </c>
      <c r="O80" s="226">
        <f t="shared" si="63"/>
        <v>0</v>
      </c>
      <c r="P80" s="226">
        <f t="shared" si="63"/>
        <v>0</v>
      </c>
      <c r="Q80" s="227">
        <f>SUM(N80:P80)</f>
        <v>0</v>
      </c>
      <c r="R80" s="226">
        <f t="shared" ref="R80:T82" si="64">SUM(R54,R67)</f>
        <v>0</v>
      </c>
      <c r="S80" s="226">
        <f t="shared" si="64"/>
        <v>0</v>
      </c>
      <c r="T80" s="226">
        <f t="shared" si="64"/>
        <v>0</v>
      </c>
      <c r="U80" s="227">
        <f>SUM(R80:T80)</f>
        <v>0</v>
      </c>
      <c r="V80" s="226">
        <f t="shared" ref="V80:X82" si="65">SUM(V54,V67)</f>
        <v>0</v>
      </c>
      <c r="W80" s="226">
        <f t="shared" si="65"/>
        <v>0</v>
      </c>
      <c r="X80" s="226">
        <f t="shared" si="65"/>
        <v>0</v>
      </c>
      <c r="Y80" s="227">
        <f>SUM(V80:X80)</f>
        <v>0</v>
      </c>
    </row>
    <row r="81" spans="1:25" ht="12.75" hidden="1" customHeight="1" outlineLevel="2" x14ac:dyDescent="0.2">
      <c r="A81" s="198" t="str">
        <f>"         "&amp;Labels!B318</f>
        <v xml:space="preserve">         Channels 2</v>
      </c>
      <c r="B81" s="226">
        <f t="shared" si="60"/>
        <v>0</v>
      </c>
      <c r="C81" s="226">
        <f t="shared" si="60"/>
        <v>0</v>
      </c>
      <c r="D81" s="226">
        <f t="shared" si="60"/>
        <v>0</v>
      </c>
      <c r="E81" s="227">
        <f>SUM(B81:D81)</f>
        <v>0</v>
      </c>
      <c r="F81" s="226">
        <f t="shared" si="61"/>
        <v>0</v>
      </c>
      <c r="G81" s="226">
        <f t="shared" si="61"/>
        <v>0</v>
      </c>
      <c r="H81" s="226">
        <f t="shared" si="61"/>
        <v>0</v>
      </c>
      <c r="I81" s="227">
        <f>SUM(F81:H81)</f>
        <v>0</v>
      </c>
      <c r="J81" s="226">
        <f t="shared" si="62"/>
        <v>0</v>
      </c>
      <c r="K81" s="226">
        <f t="shared" si="62"/>
        <v>0</v>
      </c>
      <c r="L81" s="226">
        <f t="shared" si="62"/>
        <v>0</v>
      </c>
      <c r="M81" s="227">
        <f>SUM(J81:L81)</f>
        <v>0</v>
      </c>
      <c r="N81" s="226">
        <f t="shared" si="63"/>
        <v>0</v>
      </c>
      <c r="O81" s="226">
        <f t="shared" si="63"/>
        <v>0</v>
      </c>
      <c r="P81" s="226">
        <f t="shared" si="63"/>
        <v>0</v>
      </c>
      <c r="Q81" s="227">
        <f>SUM(N81:P81)</f>
        <v>0</v>
      </c>
      <c r="R81" s="226">
        <f t="shared" si="64"/>
        <v>0</v>
      </c>
      <c r="S81" s="226">
        <f t="shared" si="64"/>
        <v>0</v>
      </c>
      <c r="T81" s="226">
        <f t="shared" si="64"/>
        <v>0</v>
      </c>
      <c r="U81" s="227">
        <f>SUM(R81:T81)</f>
        <v>0</v>
      </c>
      <c r="V81" s="226">
        <f t="shared" si="65"/>
        <v>0</v>
      </c>
      <c r="W81" s="226">
        <f t="shared" si="65"/>
        <v>0</v>
      </c>
      <c r="X81" s="226">
        <f t="shared" si="65"/>
        <v>0</v>
      </c>
      <c r="Y81" s="227">
        <f>SUM(V81:X81)</f>
        <v>0</v>
      </c>
    </row>
    <row r="82" spans="1:25" ht="12.75" hidden="1" customHeight="1" outlineLevel="2" x14ac:dyDescent="0.2">
      <c r="A82" s="198" t="str">
        <f>"         "&amp;Labels!C316</f>
        <v xml:space="preserve">         Total</v>
      </c>
      <c r="B82" s="226">
        <f t="shared" si="60"/>
        <v>0</v>
      </c>
      <c r="C82" s="226">
        <f t="shared" si="60"/>
        <v>0</v>
      </c>
      <c r="D82" s="226">
        <f t="shared" si="60"/>
        <v>1375</v>
      </c>
      <c r="E82" s="227">
        <f>SUM(B82:D82)</f>
        <v>1375</v>
      </c>
      <c r="F82" s="226">
        <f t="shared" si="61"/>
        <v>1375</v>
      </c>
      <c r="G82" s="226">
        <f t="shared" si="61"/>
        <v>0</v>
      </c>
      <c r="H82" s="226">
        <f t="shared" si="61"/>
        <v>1000</v>
      </c>
      <c r="I82" s="227">
        <f>SUM(F82:H82)</f>
        <v>2375</v>
      </c>
      <c r="J82" s="226">
        <f t="shared" si="62"/>
        <v>1000</v>
      </c>
      <c r="K82" s="226">
        <f t="shared" si="62"/>
        <v>1000</v>
      </c>
      <c r="L82" s="226">
        <f t="shared" si="62"/>
        <v>0</v>
      </c>
      <c r="M82" s="227">
        <f>SUM(J82:L82)</f>
        <v>2000</v>
      </c>
      <c r="N82" s="226">
        <f t="shared" si="63"/>
        <v>0</v>
      </c>
      <c r="O82" s="226">
        <f t="shared" si="63"/>
        <v>0</v>
      </c>
      <c r="P82" s="226">
        <f t="shared" si="63"/>
        <v>0</v>
      </c>
      <c r="Q82" s="227">
        <f>SUM(N82:P82)</f>
        <v>0</v>
      </c>
      <c r="R82" s="226">
        <f t="shared" si="64"/>
        <v>0</v>
      </c>
      <c r="S82" s="226">
        <f t="shared" si="64"/>
        <v>0</v>
      </c>
      <c r="T82" s="226">
        <f t="shared" si="64"/>
        <v>0</v>
      </c>
      <c r="U82" s="227">
        <f>SUM(R82:T82)</f>
        <v>0</v>
      </c>
      <c r="V82" s="226">
        <f t="shared" si="65"/>
        <v>0</v>
      </c>
      <c r="W82" s="226">
        <f t="shared" si="65"/>
        <v>0</v>
      </c>
      <c r="X82" s="226">
        <f t="shared" si="65"/>
        <v>0</v>
      </c>
      <c r="Y82" s="227">
        <f>SUM(V82:X82)</f>
        <v>0</v>
      </c>
    </row>
    <row r="83" spans="1:25" ht="12.75" hidden="1" customHeight="1" outlineLevel="2" x14ac:dyDescent="0.2">
      <c r="A83" s="198" t="str">
        <f>"      "&amp;Labels!B386</f>
        <v xml:space="preserve">      Prof Level 2</v>
      </c>
      <c r="B83" s="226"/>
      <c r="C83" s="226"/>
      <c r="D83" s="226"/>
      <c r="E83" s="227"/>
      <c r="F83" s="226"/>
      <c r="G83" s="226"/>
      <c r="H83" s="226"/>
      <c r="I83" s="227"/>
      <c r="J83" s="226"/>
      <c r="K83" s="226"/>
      <c r="L83" s="226"/>
      <c r="M83" s="227"/>
      <c r="N83" s="226"/>
      <c r="O83" s="226"/>
      <c r="P83" s="226"/>
      <c r="Q83" s="227"/>
      <c r="R83" s="226"/>
      <c r="S83" s="226"/>
      <c r="T83" s="226"/>
      <c r="U83" s="227"/>
      <c r="V83" s="226"/>
      <c r="W83" s="226"/>
      <c r="X83" s="226"/>
      <c r="Y83" s="227"/>
    </row>
    <row r="84" spans="1:25" ht="12.75" hidden="1" customHeight="1" outlineLevel="2" x14ac:dyDescent="0.2">
      <c r="A84" s="198" t="str">
        <f>"         "&amp;Labels!B317</f>
        <v xml:space="preserve">         Channels 1</v>
      </c>
      <c r="B84" s="226">
        <f t="shared" ref="B84:D89" si="66">SUM(B58,B71)</f>
        <v>0</v>
      </c>
      <c r="C84" s="226">
        <f t="shared" si="66"/>
        <v>0</v>
      </c>
      <c r="D84" s="226">
        <f t="shared" si="66"/>
        <v>1375</v>
      </c>
      <c r="E84" s="227">
        <f>SUM(B84:D84)</f>
        <v>1375</v>
      </c>
      <c r="F84" s="226">
        <f t="shared" ref="F84:H89" si="67">SUM(F58,F71)</f>
        <v>1375</v>
      </c>
      <c r="G84" s="226">
        <f t="shared" si="67"/>
        <v>0</v>
      </c>
      <c r="H84" s="226">
        <f t="shared" si="67"/>
        <v>1000</v>
      </c>
      <c r="I84" s="227">
        <f>SUM(F84:H84)</f>
        <v>2375</v>
      </c>
      <c r="J84" s="226">
        <f t="shared" ref="J84:L89" si="68">SUM(J58,J71)</f>
        <v>1000</v>
      </c>
      <c r="K84" s="226">
        <f t="shared" si="68"/>
        <v>1000</v>
      </c>
      <c r="L84" s="226">
        <f t="shared" si="68"/>
        <v>0</v>
      </c>
      <c r="M84" s="227">
        <f>SUM(J84:L84)</f>
        <v>2000</v>
      </c>
      <c r="N84" s="226">
        <f t="shared" ref="N84:P89" si="69">SUM(N58,N71)</f>
        <v>0</v>
      </c>
      <c r="O84" s="226">
        <f t="shared" si="69"/>
        <v>0</v>
      </c>
      <c r="P84" s="226">
        <f t="shared" si="69"/>
        <v>0</v>
      </c>
      <c r="Q84" s="227">
        <f>SUM(N84:P84)</f>
        <v>0</v>
      </c>
      <c r="R84" s="226">
        <f t="shared" ref="R84:T89" si="70">SUM(R58,R71)</f>
        <v>0</v>
      </c>
      <c r="S84" s="226">
        <f t="shared" si="70"/>
        <v>0</v>
      </c>
      <c r="T84" s="226">
        <f t="shared" si="70"/>
        <v>0</v>
      </c>
      <c r="U84" s="227">
        <f>SUM(R84:T84)</f>
        <v>0</v>
      </c>
      <c r="V84" s="226">
        <f t="shared" ref="V84:X89" si="71">SUM(V58,V71)</f>
        <v>0</v>
      </c>
      <c r="W84" s="226">
        <f t="shared" si="71"/>
        <v>0</v>
      </c>
      <c r="X84" s="226">
        <f t="shared" si="71"/>
        <v>0</v>
      </c>
      <c r="Y84" s="227">
        <f>SUM(V84:X84)</f>
        <v>0</v>
      </c>
    </row>
    <row r="85" spans="1:25" ht="12.75" hidden="1" customHeight="1" outlineLevel="2" x14ac:dyDescent="0.2">
      <c r="A85" s="198" t="str">
        <f>"         "&amp;Labels!B318</f>
        <v xml:space="preserve">         Channels 2</v>
      </c>
      <c r="B85" s="226">
        <f t="shared" si="66"/>
        <v>0</v>
      </c>
      <c r="C85" s="226">
        <f t="shared" si="66"/>
        <v>0</v>
      </c>
      <c r="D85" s="226">
        <f t="shared" si="66"/>
        <v>0</v>
      </c>
      <c r="E85" s="227">
        <f>SUM(B85:D85)</f>
        <v>0</v>
      </c>
      <c r="F85" s="226">
        <f t="shared" si="67"/>
        <v>0</v>
      </c>
      <c r="G85" s="226">
        <f t="shared" si="67"/>
        <v>0</v>
      </c>
      <c r="H85" s="226">
        <f t="shared" si="67"/>
        <v>0</v>
      </c>
      <c r="I85" s="227">
        <f>SUM(F85:H85)</f>
        <v>0</v>
      </c>
      <c r="J85" s="226">
        <f t="shared" si="68"/>
        <v>0</v>
      </c>
      <c r="K85" s="226">
        <f t="shared" si="68"/>
        <v>0</v>
      </c>
      <c r="L85" s="226">
        <f t="shared" si="68"/>
        <v>0</v>
      </c>
      <c r="M85" s="227">
        <f>SUM(J85:L85)</f>
        <v>0</v>
      </c>
      <c r="N85" s="226">
        <f t="shared" si="69"/>
        <v>0</v>
      </c>
      <c r="O85" s="226">
        <f t="shared" si="69"/>
        <v>0</v>
      </c>
      <c r="P85" s="226">
        <f t="shared" si="69"/>
        <v>0</v>
      </c>
      <c r="Q85" s="227">
        <f>SUM(N85:P85)</f>
        <v>0</v>
      </c>
      <c r="R85" s="226">
        <f t="shared" si="70"/>
        <v>0</v>
      </c>
      <c r="S85" s="226">
        <f t="shared" si="70"/>
        <v>0</v>
      </c>
      <c r="T85" s="226">
        <f t="shared" si="70"/>
        <v>0</v>
      </c>
      <c r="U85" s="227">
        <f>SUM(R85:T85)</f>
        <v>0</v>
      </c>
      <c r="V85" s="226">
        <f t="shared" si="71"/>
        <v>0</v>
      </c>
      <c r="W85" s="226">
        <f t="shared" si="71"/>
        <v>0</v>
      </c>
      <c r="X85" s="226">
        <f t="shared" si="71"/>
        <v>0</v>
      </c>
      <c r="Y85" s="227">
        <f>SUM(V85:X85)</f>
        <v>0</v>
      </c>
    </row>
    <row r="86" spans="1:25" ht="12.75" hidden="1" customHeight="1" outlineLevel="2" x14ac:dyDescent="0.2">
      <c r="A86" s="198" t="str">
        <f>"         "&amp;Labels!C316</f>
        <v xml:space="preserve">         Total</v>
      </c>
      <c r="B86" s="226">
        <f t="shared" si="66"/>
        <v>0</v>
      </c>
      <c r="C86" s="226">
        <f t="shared" si="66"/>
        <v>0</v>
      </c>
      <c r="D86" s="226">
        <f t="shared" si="66"/>
        <v>1375</v>
      </c>
      <c r="E86" s="227">
        <f>SUM(B86:D86)</f>
        <v>1375</v>
      </c>
      <c r="F86" s="226">
        <f t="shared" si="67"/>
        <v>1375</v>
      </c>
      <c r="G86" s="226">
        <f t="shared" si="67"/>
        <v>0</v>
      </c>
      <c r="H86" s="226">
        <f t="shared" si="67"/>
        <v>1000</v>
      </c>
      <c r="I86" s="227">
        <f>SUM(F86:H86)</f>
        <v>2375</v>
      </c>
      <c r="J86" s="226">
        <f t="shared" si="68"/>
        <v>1000</v>
      </c>
      <c r="K86" s="226">
        <f t="shared" si="68"/>
        <v>1000</v>
      </c>
      <c r="L86" s="226">
        <f t="shared" si="68"/>
        <v>0</v>
      </c>
      <c r="M86" s="227">
        <f>SUM(J86:L86)</f>
        <v>2000</v>
      </c>
      <c r="N86" s="226">
        <f t="shared" si="69"/>
        <v>0</v>
      </c>
      <c r="O86" s="226">
        <f t="shared" si="69"/>
        <v>0</v>
      </c>
      <c r="P86" s="226">
        <f t="shared" si="69"/>
        <v>0</v>
      </c>
      <c r="Q86" s="227">
        <f>SUM(N86:P86)</f>
        <v>0</v>
      </c>
      <c r="R86" s="226">
        <f t="shared" si="70"/>
        <v>0</v>
      </c>
      <c r="S86" s="226">
        <f t="shared" si="70"/>
        <v>0</v>
      </c>
      <c r="T86" s="226">
        <f t="shared" si="70"/>
        <v>0</v>
      </c>
      <c r="U86" s="227">
        <f>SUM(R86:T86)</f>
        <v>0</v>
      </c>
      <c r="V86" s="226">
        <f t="shared" si="71"/>
        <v>0</v>
      </c>
      <c r="W86" s="226">
        <f t="shared" si="71"/>
        <v>0</v>
      </c>
      <c r="X86" s="226">
        <f t="shared" si="71"/>
        <v>0</v>
      </c>
      <c r="Y86" s="227">
        <f>SUM(V86:X86)</f>
        <v>0</v>
      </c>
    </row>
    <row r="87" spans="1:25" ht="12.75" hidden="1" customHeight="1" outlineLevel="2" x14ac:dyDescent="0.2">
      <c r="A87" s="188" t="str">
        <f>"      "&amp;Labels!C384</f>
        <v xml:space="preserve">      Total</v>
      </c>
      <c r="B87" s="196">
        <f t="shared" si="66"/>
        <v>0</v>
      </c>
      <c r="C87" s="196">
        <f t="shared" si="66"/>
        <v>0</v>
      </c>
      <c r="D87" s="196">
        <f t="shared" si="66"/>
        <v>2750</v>
      </c>
      <c r="E87" s="197">
        <f>SUM(B78:D78)</f>
        <v>2750</v>
      </c>
      <c r="F87" s="196">
        <f t="shared" si="67"/>
        <v>2750</v>
      </c>
      <c r="G87" s="196">
        <f t="shared" si="67"/>
        <v>0</v>
      </c>
      <c r="H87" s="196">
        <f t="shared" si="67"/>
        <v>2000</v>
      </c>
      <c r="I87" s="197">
        <f>SUM(F78:H78)</f>
        <v>4750</v>
      </c>
      <c r="J87" s="196">
        <f t="shared" si="68"/>
        <v>2000</v>
      </c>
      <c r="K87" s="196">
        <f t="shared" si="68"/>
        <v>2000</v>
      </c>
      <c r="L87" s="196">
        <f t="shared" si="68"/>
        <v>0</v>
      </c>
      <c r="M87" s="197">
        <f>SUM(J78:L78)</f>
        <v>4000</v>
      </c>
      <c r="N87" s="196">
        <f t="shared" si="69"/>
        <v>0</v>
      </c>
      <c r="O87" s="196">
        <f t="shared" si="69"/>
        <v>0</v>
      </c>
      <c r="P87" s="196">
        <f t="shared" si="69"/>
        <v>0</v>
      </c>
      <c r="Q87" s="197">
        <f>SUM(N78:P78)</f>
        <v>0</v>
      </c>
      <c r="R87" s="196">
        <f t="shared" si="70"/>
        <v>0</v>
      </c>
      <c r="S87" s="196">
        <f t="shared" si="70"/>
        <v>0</v>
      </c>
      <c r="T87" s="196">
        <f t="shared" si="70"/>
        <v>0</v>
      </c>
      <c r="U87" s="197">
        <f>SUM(R78:T78)</f>
        <v>0</v>
      </c>
      <c r="V87" s="196">
        <f t="shared" si="71"/>
        <v>0</v>
      </c>
      <c r="W87" s="196">
        <f t="shared" si="71"/>
        <v>0</v>
      </c>
      <c r="X87" s="196">
        <f t="shared" si="71"/>
        <v>0</v>
      </c>
      <c r="Y87" s="197">
        <f>SUM(V78:X78)</f>
        <v>0</v>
      </c>
    </row>
    <row r="88" spans="1:25" ht="12.75" hidden="1" customHeight="1" outlineLevel="2" x14ac:dyDescent="0.2">
      <c r="A88" s="198" t="str">
        <f>"         "&amp;Labels!B317</f>
        <v xml:space="preserve">         Channels 1</v>
      </c>
      <c r="B88" s="226">
        <f t="shared" si="66"/>
        <v>0</v>
      </c>
      <c r="C88" s="226">
        <f t="shared" si="66"/>
        <v>0</v>
      </c>
      <c r="D88" s="226">
        <f t="shared" si="66"/>
        <v>2750</v>
      </c>
      <c r="E88" s="227">
        <f>SUM(B88:D88)</f>
        <v>2750</v>
      </c>
      <c r="F88" s="226">
        <f t="shared" si="67"/>
        <v>2750</v>
      </c>
      <c r="G88" s="226">
        <f t="shared" si="67"/>
        <v>0</v>
      </c>
      <c r="H88" s="226">
        <f t="shared" si="67"/>
        <v>2000</v>
      </c>
      <c r="I88" s="227">
        <f>SUM(F88:H88)</f>
        <v>4750</v>
      </c>
      <c r="J88" s="226">
        <f t="shared" si="68"/>
        <v>2000</v>
      </c>
      <c r="K88" s="226">
        <f t="shared" si="68"/>
        <v>2000</v>
      </c>
      <c r="L88" s="226">
        <f t="shared" si="68"/>
        <v>0</v>
      </c>
      <c r="M88" s="227">
        <f>SUM(J88:L88)</f>
        <v>4000</v>
      </c>
      <c r="N88" s="226">
        <f t="shared" si="69"/>
        <v>0</v>
      </c>
      <c r="O88" s="226">
        <f t="shared" si="69"/>
        <v>0</v>
      </c>
      <c r="P88" s="226">
        <f t="shared" si="69"/>
        <v>0</v>
      </c>
      <c r="Q88" s="227">
        <f>SUM(N88:P88)</f>
        <v>0</v>
      </c>
      <c r="R88" s="226">
        <f t="shared" si="70"/>
        <v>0</v>
      </c>
      <c r="S88" s="226">
        <f t="shared" si="70"/>
        <v>0</v>
      </c>
      <c r="T88" s="226">
        <f t="shared" si="70"/>
        <v>0</v>
      </c>
      <c r="U88" s="227">
        <f>SUM(R88:T88)</f>
        <v>0</v>
      </c>
      <c r="V88" s="226">
        <f t="shared" si="71"/>
        <v>0</v>
      </c>
      <c r="W88" s="226">
        <f t="shared" si="71"/>
        <v>0</v>
      </c>
      <c r="X88" s="226">
        <f t="shared" si="71"/>
        <v>0</v>
      </c>
      <c r="Y88" s="227">
        <f>SUM(V88:X88)</f>
        <v>0</v>
      </c>
    </row>
    <row r="89" spans="1:25" ht="12.75" hidden="1" customHeight="1" outlineLevel="2" x14ac:dyDescent="0.2">
      <c r="A89" s="198" t="str">
        <f>"         "&amp;Labels!B318</f>
        <v xml:space="preserve">         Channels 2</v>
      </c>
      <c r="B89" s="226">
        <f t="shared" si="66"/>
        <v>0</v>
      </c>
      <c r="C89" s="226">
        <f t="shared" si="66"/>
        <v>0</v>
      </c>
      <c r="D89" s="226">
        <f t="shared" si="66"/>
        <v>0</v>
      </c>
      <c r="E89" s="227">
        <f>SUM(B89:D89)</f>
        <v>0</v>
      </c>
      <c r="F89" s="226">
        <f t="shared" si="67"/>
        <v>0</v>
      </c>
      <c r="G89" s="226">
        <f t="shared" si="67"/>
        <v>0</v>
      </c>
      <c r="H89" s="226">
        <f t="shared" si="67"/>
        <v>0</v>
      </c>
      <c r="I89" s="227">
        <f>SUM(F89:H89)</f>
        <v>0</v>
      </c>
      <c r="J89" s="226">
        <f t="shared" si="68"/>
        <v>0</v>
      </c>
      <c r="K89" s="226">
        <f t="shared" si="68"/>
        <v>0</v>
      </c>
      <c r="L89" s="226">
        <f t="shared" si="68"/>
        <v>0</v>
      </c>
      <c r="M89" s="227">
        <f>SUM(J89:L89)</f>
        <v>0</v>
      </c>
      <c r="N89" s="226">
        <f t="shared" si="69"/>
        <v>0</v>
      </c>
      <c r="O89" s="226">
        <f t="shared" si="69"/>
        <v>0</v>
      </c>
      <c r="P89" s="226">
        <f t="shared" si="69"/>
        <v>0</v>
      </c>
      <c r="Q89" s="227">
        <f>SUM(N89:P89)</f>
        <v>0</v>
      </c>
      <c r="R89" s="226">
        <f t="shared" si="70"/>
        <v>0</v>
      </c>
      <c r="S89" s="226">
        <f t="shared" si="70"/>
        <v>0</v>
      </c>
      <c r="T89" s="226">
        <f t="shared" si="70"/>
        <v>0</v>
      </c>
      <c r="U89" s="227">
        <f>SUM(R89:T89)</f>
        <v>0</v>
      </c>
      <c r="V89" s="226">
        <f t="shared" si="71"/>
        <v>0</v>
      </c>
      <c r="W89" s="226">
        <f t="shared" si="71"/>
        <v>0</v>
      </c>
      <c r="X89" s="226">
        <f t="shared" si="71"/>
        <v>0</v>
      </c>
      <c r="Y89" s="227">
        <f>SUM(V89:X89)</f>
        <v>0</v>
      </c>
    </row>
    <row r="90" spans="1:25" ht="12.75" hidden="1" customHeight="1" outlineLevel="2" x14ac:dyDescent="0.2">
      <c r="A90" s="198" t="str">
        <f>"         "&amp;Labels!C316</f>
        <v xml:space="preserve">         Total</v>
      </c>
      <c r="B90" s="226">
        <f>SUM(B61,B74)</f>
        <v>0</v>
      </c>
      <c r="C90" s="226">
        <f>SUM(C61,C74)</f>
        <v>0</v>
      </c>
      <c r="D90" s="226">
        <f>SUM(D61,D74)</f>
        <v>2750</v>
      </c>
      <c r="E90" s="227">
        <f>SUM(B78:D78)</f>
        <v>2750</v>
      </c>
      <c r="F90" s="226">
        <f>SUM(F61,F74)</f>
        <v>2750</v>
      </c>
      <c r="G90" s="226">
        <f>SUM(G61,G74)</f>
        <v>0</v>
      </c>
      <c r="H90" s="226">
        <f>SUM(H61,H74)</f>
        <v>2000</v>
      </c>
      <c r="I90" s="227">
        <f>SUM(F78:H78)</f>
        <v>4750</v>
      </c>
      <c r="J90" s="226">
        <f>SUM(J61,J74)</f>
        <v>2000</v>
      </c>
      <c r="K90" s="226">
        <f>SUM(K61,K74)</f>
        <v>2000</v>
      </c>
      <c r="L90" s="226">
        <f>SUM(L61,L74)</f>
        <v>0</v>
      </c>
      <c r="M90" s="227">
        <f>SUM(J78:L78)</f>
        <v>4000</v>
      </c>
      <c r="N90" s="226">
        <f>SUM(N61,N74)</f>
        <v>0</v>
      </c>
      <c r="O90" s="226">
        <f>SUM(O61,O74)</f>
        <v>0</v>
      </c>
      <c r="P90" s="226">
        <f>SUM(P61,P74)</f>
        <v>0</v>
      </c>
      <c r="Q90" s="227">
        <f>SUM(N78:P78)</f>
        <v>0</v>
      </c>
      <c r="R90" s="226">
        <f>SUM(R61,R74)</f>
        <v>0</v>
      </c>
      <c r="S90" s="226">
        <f>SUM(S61,S74)</f>
        <v>0</v>
      </c>
      <c r="T90" s="226">
        <f>SUM(T61,T74)</f>
        <v>0</v>
      </c>
      <c r="U90" s="227">
        <f>SUM(R78:T78)</f>
        <v>0</v>
      </c>
      <c r="V90" s="226">
        <f>SUM(V61,V74)</f>
        <v>0</v>
      </c>
      <c r="W90" s="226">
        <f>SUM(W61,W74)</f>
        <v>0</v>
      </c>
      <c r="X90" s="226">
        <f>SUM(X61,X74)</f>
        <v>0</v>
      </c>
      <c r="Y90" s="227">
        <f>SUM(V78:X78)</f>
        <v>0</v>
      </c>
    </row>
    <row r="91" spans="1:25" ht="12.75" hidden="1" customHeight="1" outlineLevel="2" x14ac:dyDescent="0.2">
      <c r="A91" s="97"/>
      <c r="B91" s="6"/>
      <c r="C91" s="6"/>
      <c r="D91" s="6"/>
      <c r="E91" s="97"/>
      <c r="F91" s="6"/>
      <c r="G91" s="6"/>
      <c r="H91" s="6"/>
      <c r="I91" s="97"/>
      <c r="J91" s="6"/>
      <c r="K91" s="6"/>
      <c r="L91" s="6"/>
      <c r="M91" s="97"/>
      <c r="N91" s="6"/>
      <c r="O91" s="6"/>
      <c r="P91" s="6"/>
      <c r="Q91" s="97"/>
      <c r="R91" s="6"/>
      <c r="S91" s="6"/>
      <c r="T91" s="6"/>
      <c r="U91" s="97"/>
      <c r="V91" s="6"/>
      <c r="W91" s="6"/>
      <c r="X91" s="6"/>
      <c r="Y91" s="97"/>
    </row>
    <row r="92" spans="1:25" ht="12.75" hidden="1" customHeight="1" outlineLevel="2" x14ac:dyDescent="0.2">
      <c r="A92" s="191" t="str">
        <f>Labels!B46</f>
        <v xml:space="preserve">Cost of Services - Supplies </v>
      </c>
      <c r="B92" s="192"/>
      <c r="C92" s="192"/>
      <c r="D92" s="192"/>
      <c r="E92" s="190"/>
      <c r="F92" s="192"/>
      <c r="G92" s="192"/>
      <c r="H92" s="192"/>
      <c r="I92" s="190"/>
      <c r="J92" s="192"/>
      <c r="K92" s="192"/>
      <c r="L92" s="192"/>
      <c r="M92" s="190"/>
      <c r="N92" s="192"/>
      <c r="O92" s="192"/>
      <c r="P92" s="192"/>
      <c r="Q92" s="190"/>
      <c r="R92" s="192"/>
      <c r="S92" s="192"/>
      <c r="T92" s="192"/>
      <c r="U92" s="190"/>
      <c r="V92" s="192"/>
      <c r="W92" s="192"/>
      <c r="X92" s="192"/>
      <c r="Y92" s="190"/>
    </row>
    <row r="93" spans="1:25" ht="12.75" hidden="1" customHeight="1" outlineLevel="2" x14ac:dyDescent="0.2">
      <c r="A93" s="188" t="str">
        <f>"   "&amp;Labels!B381</f>
        <v xml:space="preserve">   Practice 1</v>
      </c>
      <c r="B93" s="196"/>
      <c r="C93" s="196"/>
      <c r="D93" s="196"/>
      <c r="E93" s="197"/>
      <c r="F93" s="196"/>
      <c r="G93" s="196"/>
      <c r="H93" s="196"/>
      <c r="I93" s="197"/>
      <c r="J93" s="196"/>
      <c r="K93" s="196"/>
      <c r="L93" s="196"/>
      <c r="M93" s="197"/>
      <c r="N93" s="196"/>
      <c r="O93" s="196"/>
      <c r="P93" s="196"/>
      <c r="Q93" s="197"/>
      <c r="R93" s="196"/>
      <c r="S93" s="196"/>
      <c r="T93" s="196"/>
      <c r="U93" s="197"/>
      <c r="V93" s="196"/>
      <c r="W93" s="196"/>
      <c r="X93" s="196"/>
      <c r="Y93" s="197"/>
    </row>
    <row r="94" spans="1:25" ht="12.75" hidden="1" customHeight="1" outlineLevel="2" x14ac:dyDescent="0.2">
      <c r="A94" s="198" t="str">
        <f>"      "&amp;Labels!B385</f>
        <v xml:space="preserve">      Prof Level 1</v>
      </c>
      <c r="B94" s="226"/>
      <c r="C94" s="226"/>
      <c r="D94" s="226"/>
      <c r="E94" s="227"/>
      <c r="F94" s="226"/>
      <c r="G94" s="226"/>
      <c r="H94" s="226"/>
      <c r="I94" s="227"/>
      <c r="J94" s="226"/>
      <c r="K94" s="226"/>
      <c r="L94" s="226"/>
      <c r="M94" s="227"/>
      <c r="N94" s="226"/>
      <c r="O94" s="226"/>
      <c r="P94" s="226"/>
      <c r="Q94" s="227"/>
      <c r="R94" s="226"/>
      <c r="S94" s="226"/>
      <c r="T94" s="226"/>
      <c r="U94" s="227"/>
      <c r="V94" s="226"/>
      <c r="W94" s="226"/>
      <c r="X94" s="226"/>
      <c r="Y94" s="227"/>
    </row>
    <row r="95" spans="1:25" ht="12.75" hidden="1" customHeight="1" outlineLevel="2" x14ac:dyDescent="0.2">
      <c r="A95" s="198" t="str">
        <f>"         "&amp;Labels!B317</f>
        <v xml:space="preserve">         Channels 1</v>
      </c>
      <c r="B95" s="226"/>
      <c r="C95" s="226"/>
      <c r="D95" s="226"/>
      <c r="E95" s="227"/>
      <c r="F95" s="226"/>
      <c r="G95" s="226"/>
      <c r="H95" s="226"/>
      <c r="I95" s="227"/>
      <c r="J95" s="226"/>
      <c r="K95" s="226"/>
      <c r="L95" s="226"/>
      <c r="M95" s="227"/>
      <c r="N95" s="226"/>
      <c r="O95" s="226"/>
      <c r="P95" s="226"/>
      <c r="Q95" s="227"/>
      <c r="R95" s="226"/>
      <c r="S95" s="226"/>
      <c r="T95" s="226"/>
      <c r="U95" s="227"/>
      <c r="V95" s="226"/>
      <c r="W95" s="226"/>
      <c r="X95" s="226"/>
      <c r="Y95" s="227"/>
    </row>
    <row r="96" spans="1:25" ht="12.75" hidden="1" customHeight="1" outlineLevel="2" x14ac:dyDescent="0.2">
      <c r="A96" s="198" t="str">
        <f>"            "&amp;Labels!B397</f>
        <v xml:space="preserve">            Supply Type 1</v>
      </c>
      <c r="B96" s="189">
        <f>Inputs!F161*'(Tables)'!B1083</f>
        <v>0</v>
      </c>
      <c r="C96" s="189">
        <f>Inputs!G161*'(Tables)'!C1083</f>
        <v>0</v>
      </c>
      <c r="D96" s="189">
        <f>Inputs!H161*'(Tables)'!D1083</f>
        <v>0</v>
      </c>
      <c r="E96" s="190">
        <f>SUM(B96:D96)</f>
        <v>0</v>
      </c>
      <c r="F96" s="189">
        <f>Inputs!I161*'(Tables)'!E1083</f>
        <v>0</v>
      </c>
      <c r="G96" s="189">
        <f>Inputs!J161*'(Tables)'!F1083</f>
        <v>0</v>
      </c>
      <c r="H96" s="189">
        <f>Inputs!K161*'(Tables)'!G1083</f>
        <v>0</v>
      </c>
      <c r="I96" s="190">
        <f>SUM(F96:H96)</f>
        <v>0</v>
      </c>
      <c r="J96" s="189">
        <f>Inputs!L161*'(Tables)'!H1083</f>
        <v>0</v>
      </c>
      <c r="K96" s="189">
        <f>Inputs!M161*'(Tables)'!I1083</f>
        <v>0</v>
      </c>
      <c r="L96" s="189">
        <f>Inputs!N161*'(Tables)'!J1083</f>
        <v>0</v>
      </c>
      <c r="M96" s="190">
        <f>SUM(J96:L96)</f>
        <v>0</v>
      </c>
      <c r="N96" s="189">
        <f>Inputs!O161*'(Tables)'!K1083</f>
        <v>0</v>
      </c>
      <c r="O96" s="189">
        <f>Inputs!P161*'(Tables)'!L1083</f>
        <v>0</v>
      </c>
      <c r="P96" s="189">
        <f>Inputs!Q161*'(Tables)'!M1083</f>
        <v>0</v>
      </c>
      <c r="Q96" s="190">
        <f>SUM(N96:P96)</f>
        <v>0</v>
      </c>
      <c r="R96" s="189">
        <f>Inputs!R161*'(Tables)'!N1083</f>
        <v>0</v>
      </c>
      <c r="S96" s="189">
        <f>Inputs!S161*'(Tables)'!O1083</f>
        <v>0</v>
      </c>
      <c r="T96" s="189">
        <f>Inputs!T161*'(Tables)'!P1083</f>
        <v>0</v>
      </c>
      <c r="U96" s="190">
        <f>SUM(R96:T96)</f>
        <v>0</v>
      </c>
      <c r="V96" s="189">
        <f>Inputs!U161*'(Tables)'!Q1083</f>
        <v>0</v>
      </c>
      <c r="W96" s="189">
        <f>Inputs!V161*'(Tables)'!R1083</f>
        <v>0</v>
      </c>
      <c r="X96" s="189">
        <f>Inputs!W161*'(Tables)'!S1083</f>
        <v>0</v>
      </c>
      <c r="Y96" s="190">
        <f>SUM(V96:X96)</f>
        <v>0</v>
      </c>
    </row>
    <row r="97" spans="1:25" ht="12.75" hidden="1" customHeight="1" outlineLevel="2" x14ac:dyDescent="0.2">
      <c r="A97" s="198" t="str">
        <f>"            "&amp;Labels!B398</f>
        <v xml:space="preserve">            Supply Type 2</v>
      </c>
      <c r="B97" s="189">
        <f>Inputs!F163*'(Tables)'!B1083</f>
        <v>0</v>
      </c>
      <c r="C97" s="189">
        <f>Inputs!G163*'(Tables)'!C1083</f>
        <v>0</v>
      </c>
      <c r="D97" s="189">
        <f>Inputs!H163*'(Tables)'!D1083</f>
        <v>0</v>
      </c>
      <c r="E97" s="190">
        <f>SUM(B97:D97)</f>
        <v>0</v>
      </c>
      <c r="F97" s="189">
        <f>Inputs!I163*'(Tables)'!E1083</f>
        <v>0</v>
      </c>
      <c r="G97" s="189">
        <f>Inputs!J163*'(Tables)'!F1083</f>
        <v>0</v>
      </c>
      <c r="H97" s="189">
        <f>Inputs!K163*'(Tables)'!G1083</f>
        <v>0</v>
      </c>
      <c r="I97" s="190">
        <f>SUM(F97:H97)</f>
        <v>0</v>
      </c>
      <c r="J97" s="189">
        <f>Inputs!L163*'(Tables)'!H1083</f>
        <v>0</v>
      </c>
      <c r="K97" s="189">
        <f>Inputs!M163*'(Tables)'!I1083</f>
        <v>0</v>
      </c>
      <c r="L97" s="189">
        <f>Inputs!N163*'(Tables)'!J1083</f>
        <v>0</v>
      </c>
      <c r="M97" s="190">
        <f>SUM(J97:L97)</f>
        <v>0</v>
      </c>
      <c r="N97" s="189">
        <f>Inputs!O163*'(Tables)'!K1083</f>
        <v>0</v>
      </c>
      <c r="O97" s="189">
        <f>Inputs!P163*'(Tables)'!L1083</f>
        <v>0</v>
      </c>
      <c r="P97" s="189">
        <f>Inputs!Q163*'(Tables)'!M1083</f>
        <v>0</v>
      </c>
      <c r="Q97" s="190">
        <f>SUM(N97:P97)</f>
        <v>0</v>
      </c>
      <c r="R97" s="189">
        <f>Inputs!R163*'(Tables)'!N1083</f>
        <v>0</v>
      </c>
      <c r="S97" s="189">
        <f>Inputs!S163*'(Tables)'!O1083</f>
        <v>0</v>
      </c>
      <c r="T97" s="189">
        <f>Inputs!T163*'(Tables)'!P1083</f>
        <v>0</v>
      </c>
      <c r="U97" s="190">
        <f>SUM(R97:T97)</f>
        <v>0</v>
      </c>
      <c r="V97" s="189">
        <f>Inputs!U163*'(Tables)'!Q1083</f>
        <v>0</v>
      </c>
      <c r="W97" s="189">
        <f>Inputs!V163*'(Tables)'!R1083</f>
        <v>0</v>
      </c>
      <c r="X97" s="189">
        <f>Inputs!W163*'(Tables)'!S1083</f>
        <v>0</v>
      </c>
      <c r="Y97" s="190">
        <f>SUM(V97:X97)</f>
        <v>0</v>
      </c>
    </row>
    <row r="98" spans="1:25" ht="12.75" hidden="1" customHeight="1" outlineLevel="2" x14ac:dyDescent="0.2">
      <c r="A98" s="198" t="str">
        <f>"            "&amp;Labels!C396</f>
        <v xml:space="preserve">            Total</v>
      </c>
      <c r="B98" s="226">
        <f>SUM(B96:B97)</f>
        <v>0</v>
      </c>
      <c r="C98" s="226">
        <f>SUM(C96:C97)</f>
        <v>0</v>
      </c>
      <c r="D98" s="226">
        <f>SUM(D96:D97)</f>
        <v>0</v>
      </c>
      <c r="E98" s="227">
        <f>SUM(B98:D98)</f>
        <v>0</v>
      </c>
      <c r="F98" s="226">
        <f>SUM(F96:F97)</f>
        <v>0</v>
      </c>
      <c r="G98" s="226">
        <f>SUM(G96:G97)</f>
        <v>0</v>
      </c>
      <c r="H98" s="226">
        <f>SUM(H96:H97)</f>
        <v>0</v>
      </c>
      <c r="I98" s="227">
        <f>SUM(F98:H98)</f>
        <v>0</v>
      </c>
      <c r="J98" s="226">
        <f>SUM(J96:J97)</f>
        <v>0</v>
      </c>
      <c r="K98" s="226">
        <f>SUM(K96:K97)</f>
        <v>0</v>
      </c>
      <c r="L98" s="226">
        <f>SUM(L96:L97)</f>
        <v>0</v>
      </c>
      <c r="M98" s="227">
        <f>SUM(J98:L98)</f>
        <v>0</v>
      </c>
      <c r="N98" s="226">
        <f>SUM(N96:N97)</f>
        <v>0</v>
      </c>
      <c r="O98" s="226">
        <f>SUM(O96:O97)</f>
        <v>0</v>
      </c>
      <c r="P98" s="226">
        <f>SUM(P96:P97)</f>
        <v>0</v>
      </c>
      <c r="Q98" s="227">
        <f>SUM(N98:P98)</f>
        <v>0</v>
      </c>
      <c r="R98" s="226">
        <f>SUM(R96:R97)</f>
        <v>0</v>
      </c>
      <c r="S98" s="226">
        <f>SUM(S96:S97)</f>
        <v>0</v>
      </c>
      <c r="T98" s="226">
        <f>SUM(T96:T97)</f>
        <v>0</v>
      </c>
      <c r="U98" s="227">
        <f>SUM(R98:T98)</f>
        <v>0</v>
      </c>
      <c r="V98" s="226">
        <f>SUM(V96:V97)</f>
        <v>0</v>
      </c>
      <c r="W98" s="226">
        <f>SUM(W96:W97)</f>
        <v>0</v>
      </c>
      <c r="X98" s="226">
        <f>SUM(X96:X97)</f>
        <v>0</v>
      </c>
      <c r="Y98" s="227">
        <f>SUM(V98:X98)</f>
        <v>0</v>
      </c>
    </row>
    <row r="99" spans="1:25" ht="12.75" hidden="1" customHeight="1" outlineLevel="2" x14ac:dyDescent="0.2">
      <c r="A99" s="198" t="str">
        <f>"         "&amp;Labels!B318</f>
        <v xml:space="preserve">         Channels 2</v>
      </c>
      <c r="B99" s="226"/>
      <c r="C99" s="226"/>
      <c r="D99" s="226"/>
      <c r="E99" s="227"/>
      <c r="F99" s="226"/>
      <c r="G99" s="226"/>
      <c r="H99" s="226"/>
      <c r="I99" s="227"/>
      <c r="J99" s="226"/>
      <c r="K99" s="226"/>
      <c r="L99" s="226"/>
      <c r="M99" s="227"/>
      <c r="N99" s="226"/>
      <c r="O99" s="226"/>
      <c r="P99" s="226"/>
      <c r="Q99" s="227"/>
      <c r="R99" s="226"/>
      <c r="S99" s="226"/>
      <c r="T99" s="226"/>
      <c r="U99" s="227"/>
      <c r="V99" s="226"/>
      <c r="W99" s="226"/>
      <c r="X99" s="226"/>
      <c r="Y99" s="227"/>
    </row>
    <row r="100" spans="1:25" ht="12.75" hidden="1" customHeight="1" outlineLevel="2" x14ac:dyDescent="0.2">
      <c r="A100" s="198" t="str">
        <f>"            "&amp;Labels!B397</f>
        <v xml:space="preserve">            Supply Type 1</v>
      </c>
      <c r="B100" s="189">
        <f>Inputs!F162*'(Tables)'!B1084</f>
        <v>0</v>
      </c>
      <c r="C100" s="189">
        <f>Inputs!G162*'(Tables)'!C1084</f>
        <v>0</v>
      </c>
      <c r="D100" s="189">
        <f>Inputs!H162*'(Tables)'!D1084</f>
        <v>0</v>
      </c>
      <c r="E100" s="190">
        <f t="shared" ref="E100:E105" si="72">SUM(B100:D100)</f>
        <v>0</v>
      </c>
      <c r="F100" s="189">
        <f>Inputs!I162*'(Tables)'!E1084</f>
        <v>0</v>
      </c>
      <c r="G100" s="189">
        <f>Inputs!J162*'(Tables)'!F1084</f>
        <v>0</v>
      </c>
      <c r="H100" s="189">
        <f>Inputs!K162*'(Tables)'!G1084</f>
        <v>0</v>
      </c>
      <c r="I100" s="190">
        <f t="shared" ref="I100:I105" si="73">SUM(F100:H100)</f>
        <v>0</v>
      </c>
      <c r="J100" s="189">
        <f>Inputs!L162*'(Tables)'!H1084</f>
        <v>0</v>
      </c>
      <c r="K100" s="189">
        <f>Inputs!M162*'(Tables)'!I1084</f>
        <v>0</v>
      </c>
      <c r="L100" s="189">
        <f>Inputs!N162*'(Tables)'!J1084</f>
        <v>0</v>
      </c>
      <c r="M100" s="190">
        <f t="shared" ref="M100:M105" si="74">SUM(J100:L100)</f>
        <v>0</v>
      </c>
      <c r="N100" s="189">
        <f>Inputs!O162*'(Tables)'!K1084</f>
        <v>0</v>
      </c>
      <c r="O100" s="189">
        <f>Inputs!P162*'(Tables)'!L1084</f>
        <v>0</v>
      </c>
      <c r="P100" s="189">
        <f>Inputs!Q162*'(Tables)'!M1084</f>
        <v>0</v>
      </c>
      <c r="Q100" s="190">
        <f t="shared" ref="Q100:Q105" si="75">SUM(N100:P100)</f>
        <v>0</v>
      </c>
      <c r="R100" s="189">
        <f>Inputs!R162*'(Tables)'!N1084</f>
        <v>0</v>
      </c>
      <c r="S100" s="189">
        <f>Inputs!S162*'(Tables)'!O1084</f>
        <v>0</v>
      </c>
      <c r="T100" s="189">
        <f>Inputs!T162*'(Tables)'!P1084</f>
        <v>0</v>
      </c>
      <c r="U100" s="190">
        <f t="shared" ref="U100:U105" si="76">SUM(R100:T100)</f>
        <v>0</v>
      </c>
      <c r="V100" s="189">
        <f>Inputs!U162*'(Tables)'!Q1084</f>
        <v>0</v>
      </c>
      <c r="W100" s="189">
        <f>Inputs!V162*'(Tables)'!R1084</f>
        <v>0</v>
      </c>
      <c r="X100" s="189">
        <f>Inputs!W162*'(Tables)'!S1084</f>
        <v>0</v>
      </c>
      <c r="Y100" s="190">
        <f t="shared" ref="Y100:Y105" si="77">SUM(V100:X100)</f>
        <v>0</v>
      </c>
    </row>
    <row r="101" spans="1:25" ht="12.75" hidden="1" customHeight="1" outlineLevel="2" x14ac:dyDescent="0.2">
      <c r="A101" s="198" t="str">
        <f>"            "&amp;Labels!B398</f>
        <v xml:space="preserve">            Supply Type 2</v>
      </c>
      <c r="B101" s="189">
        <f>Inputs!F164*'(Tables)'!B1084</f>
        <v>0</v>
      </c>
      <c r="C101" s="189">
        <f>Inputs!G164*'(Tables)'!C1084</f>
        <v>0</v>
      </c>
      <c r="D101" s="189">
        <f>Inputs!H164*'(Tables)'!D1084</f>
        <v>0</v>
      </c>
      <c r="E101" s="190">
        <f t="shared" si="72"/>
        <v>0</v>
      </c>
      <c r="F101" s="189">
        <f>Inputs!I164*'(Tables)'!E1084</f>
        <v>0</v>
      </c>
      <c r="G101" s="189">
        <f>Inputs!J164*'(Tables)'!F1084</f>
        <v>0</v>
      </c>
      <c r="H101" s="189">
        <f>Inputs!K164*'(Tables)'!G1084</f>
        <v>0</v>
      </c>
      <c r="I101" s="190">
        <f t="shared" si="73"/>
        <v>0</v>
      </c>
      <c r="J101" s="189">
        <f>Inputs!L164*'(Tables)'!H1084</f>
        <v>0</v>
      </c>
      <c r="K101" s="189">
        <f>Inputs!M164*'(Tables)'!I1084</f>
        <v>0</v>
      </c>
      <c r="L101" s="189">
        <f>Inputs!N164*'(Tables)'!J1084</f>
        <v>0</v>
      </c>
      <c r="M101" s="190">
        <f t="shared" si="74"/>
        <v>0</v>
      </c>
      <c r="N101" s="189">
        <f>Inputs!O164*'(Tables)'!K1084</f>
        <v>0</v>
      </c>
      <c r="O101" s="189">
        <f>Inputs!P164*'(Tables)'!L1084</f>
        <v>0</v>
      </c>
      <c r="P101" s="189">
        <f>Inputs!Q164*'(Tables)'!M1084</f>
        <v>0</v>
      </c>
      <c r="Q101" s="190">
        <f t="shared" si="75"/>
        <v>0</v>
      </c>
      <c r="R101" s="189">
        <f>Inputs!R164*'(Tables)'!N1084</f>
        <v>0</v>
      </c>
      <c r="S101" s="189">
        <f>Inputs!S164*'(Tables)'!O1084</f>
        <v>0</v>
      </c>
      <c r="T101" s="189">
        <f>Inputs!T164*'(Tables)'!P1084</f>
        <v>0</v>
      </c>
      <c r="U101" s="190">
        <f t="shared" si="76"/>
        <v>0</v>
      </c>
      <c r="V101" s="189">
        <f>Inputs!U164*'(Tables)'!Q1084</f>
        <v>0</v>
      </c>
      <c r="W101" s="189">
        <f>Inputs!V164*'(Tables)'!R1084</f>
        <v>0</v>
      </c>
      <c r="X101" s="189">
        <f>Inputs!W164*'(Tables)'!S1084</f>
        <v>0</v>
      </c>
      <c r="Y101" s="190">
        <f t="shared" si="77"/>
        <v>0</v>
      </c>
    </row>
    <row r="102" spans="1:25" ht="12.75" hidden="1" customHeight="1" outlineLevel="2" x14ac:dyDescent="0.2">
      <c r="A102" s="198" t="str">
        <f>"            "&amp;Labels!C396</f>
        <v xml:space="preserve">            Total</v>
      </c>
      <c r="B102" s="226">
        <f>SUM(B100:B101)</f>
        <v>0</v>
      </c>
      <c r="C102" s="226">
        <f>SUM(C100:C101)</f>
        <v>0</v>
      </c>
      <c r="D102" s="226">
        <f>SUM(D100:D101)</f>
        <v>0</v>
      </c>
      <c r="E102" s="227">
        <f t="shared" si="72"/>
        <v>0</v>
      </c>
      <c r="F102" s="226">
        <f>SUM(F100:F101)</f>
        <v>0</v>
      </c>
      <c r="G102" s="226">
        <f>SUM(G100:G101)</f>
        <v>0</v>
      </c>
      <c r="H102" s="226">
        <f>SUM(H100:H101)</f>
        <v>0</v>
      </c>
      <c r="I102" s="227">
        <f t="shared" si="73"/>
        <v>0</v>
      </c>
      <c r="J102" s="226">
        <f>SUM(J100:J101)</f>
        <v>0</v>
      </c>
      <c r="K102" s="226">
        <f>SUM(K100:K101)</f>
        <v>0</v>
      </c>
      <c r="L102" s="226">
        <f>SUM(L100:L101)</f>
        <v>0</v>
      </c>
      <c r="M102" s="227">
        <f t="shared" si="74"/>
        <v>0</v>
      </c>
      <c r="N102" s="226">
        <f>SUM(N100:N101)</f>
        <v>0</v>
      </c>
      <c r="O102" s="226">
        <f>SUM(O100:O101)</f>
        <v>0</v>
      </c>
      <c r="P102" s="226">
        <f>SUM(P100:P101)</f>
        <v>0</v>
      </c>
      <c r="Q102" s="227">
        <f t="shared" si="75"/>
        <v>0</v>
      </c>
      <c r="R102" s="226">
        <f>SUM(R100:R101)</f>
        <v>0</v>
      </c>
      <c r="S102" s="226">
        <f>SUM(S100:S101)</f>
        <v>0</v>
      </c>
      <c r="T102" s="226">
        <f>SUM(T100:T101)</f>
        <v>0</v>
      </c>
      <c r="U102" s="227">
        <f t="shared" si="76"/>
        <v>0</v>
      </c>
      <c r="V102" s="226">
        <f>SUM(V100:V101)</f>
        <v>0</v>
      </c>
      <c r="W102" s="226">
        <f>SUM(W100:W101)</f>
        <v>0</v>
      </c>
      <c r="X102" s="226">
        <f>SUM(X100:X101)</f>
        <v>0</v>
      </c>
      <c r="Y102" s="227">
        <f t="shared" si="77"/>
        <v>0</v>
      </c>
    </row>
    <row r="103" spans="1:25" ht="12.75" hidden="1" customHeight="1" outlineLevel="2" x14ac:dyDescent="0.2">
      <c r="A103" s="198" t="str">
        <f>"         "&amp;Labels!C316</f>
        <v xml:space="preserve">         Total</v>
      </c>
      <c r="B103" s="226">
        <f>SUM(B104:B105)</f>
        <v>0</v>
      </c>
      <c r="C103" s="226">
        <f>SUM(C104:C105)</f>
        <v>0</v>
      </c>
      <c r="D103" s="226">
        <f>SUM(D104:D105)</f>
        <v>0</v>
      </c>
      <c r="E103" s="227">
        <f t="shared" si="72"/>
        <v>0</v>
      </c>
      <c r="F103" s="226">
        <f>SUM(F104:F105)</f>
        <v>0</v>
      </c>
      <c r="G103" s="226">
        <f>SUM(G104:G105)</f>
        <v>0</v>
      </c>
      <c r="H103" s="226">
        <f>SUM(H104:H105)</f>
        <v>0</v>
      </c>
      <c r="I103" s="227">
        <f t="shared" si="73"/>
        <v>0</v>
      </c>
      <c r="J103" s="226">
        <f>SUM(J104:J105)</f>
        <v>0</v>
      </c>
      <c r="K103" s="226">
        <f>SUM(K104:K105)</f>
        <v>0</v>
      </c>
      <c r="L103" s="226">
        <f>SUM(L104:L105)</f>
        <v>0</v>
      </c>
      <c r="M103" s="227">
        <f t="shared" si="74"/>
        <v>0</v>
      </c>
      <c r="N103" s="226">
        <f>SUM(N104:N105)</f>
        <v>0</v>
      </c>
      <c r="O103" s="226">
        <f>SUM(O104:O105)</f>
        <v>0</v>
      </c>
      <c r="P103" s="226">
        <f>SUM(P104:P105)</f>
        <v>0</v>
      </c>
      <c r="Q103" s="227">
        <f t="shared" si="75"/>
        <v>0</v>
      </c>
      <c r="R103" s="226">
        <f>SUM(R104:R105)</f>
        <v>0</v>
      </c>
      <c r="S103" s="226">
        <f>SUM(S104:S105)</f>
        <v>0</v>
      </c>
      <c r="T103" s="226">
        <f>SUM(T104:T105)</f>
        <v>0</v>
      </c>
      <c r="U103" s="227">
        <f t="shared" si="76"/>
        <v>0</v>
      </c>
      <c r="V103" s="226">
        <f>SUM(V104:V105)</f>
        <v>0</v>
      </c>
      <c r="W103" s="226">
        <f>SUM(W104:W105)</f>
        <v>0</v>
      </c>
      <c r="X103" s="226">
        <f>SUM(X104:X105)</f>
        <v>0</v>
      </c>
      <c r="Y103" s="227">
        <f t="shared" si="77"/>
        <v>0</v>
      </c>
    </row>
    <row r="104" spans="1:25" ht="12.75" hidden="1" customHeight="1" outlineLevel="2" x14ac:dyDescent="0.2">
      <c r="A104" s="198" t="str">
        <f>"            "&amp;Labels!B397</f>
        <v xml:space="preserve">            Supply Type 1</v>
      </c>
      <c r="B104" s="189">
        <f t="shared" ref="B104:D106" si="78">SUM(B96,B100)</f>
        <v>0</v>
      </c>
      <c r="C104" s="189">
        <f t="shared" si="78"/>
        <v>0</v>
      </c>
      <c r="D104" s="189">
        <f t="shared" si="78"/>
        <v>0</v>
      </c>
      <c r="E104" s="190">
        <f t="shared" si="72"/>
        <v>0</v>
      </c>
      <c r="F104" s="189">
        <f t="shared" ref="F104:H106" si="79">SUM(F96,F100)</f>
        <v>0</v>
      </c>
      <c r="G104" s="189">
        <f t="shared" si="79"/>
        <v>0</v>
      </c>
      <c r="H104" s="189">
        <f t="shared" si="79"/>
        <v>0</v>
      </c>
      <c r="I104" s="190">
        <f t="shared" si="73"/>
        <v>0</v>
      </c>
      <c r="J104" s="189">
        <f t="shared" ref="J104:L106" si="80">SUM(J96,J100)</f>
        <v>0</v>
      </c>
      <c r="K104" s="189">
        <f t="shared" si="80"/>
        <v>0</v>
      </c>
      <c r="L104" s="189">
        <f t="shared" si="80"/>
        <v>0</v>
      </c>
      <c r="M104" s="190">
        <f t="shared" si="74"/>
        <v>0</v>
      </c>
      <c r="N104" s="189">
        <f t="shared" ref="N104:P106" si="81">SUM(N96,N100)</f>
        <v>0</v>
      </c>
      <c r="O104" s="189">
        <f t="shared" si="81"/>
        <v>0</v>
      </c>
      <c r="P104" s="189">
        <f t="shared" si="81"/>
        <v>0</v>
      </c>
      <c r="Q104" s="190">
        <f t="shared" si="75"/>
        <v>0</v>
      </c>
      <c r="R104" s="189">
        <f t="shared" ref="R104:T106" si="82">SUM(R96,R100)</f>
        <v>0</v>
      </c>
      <c r="S104" s="189">
        <f t="shared" si="82"/>
        <v>0</v>
      </c>
      <c r="T104" s="189">
        <f t="shared" si="82"/>
        <v>0</v>
      </c>
      <c r="U104" s="190">
        <f t="shared" si="76"/>
        <v>0</v>
      </c>
      <c r="V104" s="189">
        <f t="shared" ref="V104:X106" si="83">SUM(V96,V100)</f>
        <v>0</v>
      </c>
      <c r="W104" s="189">
        <f t="shared" si="83"/>
        <v>0</v>
      </c>
      <c r="X104" s="189">
        <f t="shared" si="83"/>
        <v>0</v>
      </c>
      <c r="Y104" s="190">
        <f t="shared" si="77"/>
        <v>0</v>
      </c>
    </row>
    <row r="105" spans="1:25" ht="12.75" hidden="1" customHeight="1" outlineLevel="2" x14ac:dyDescent="0.2">
      <c r="A105" s="198" t="str">
        <f>"            "&amp;Labels!B398</f>
        <v xml:space="preserve">            Supply Type 2</v>
      </c>
      <c r="B105" s="189">
        <f t="shared" si="78"/>
        <v>0</v>
      </c>
      <c r="C105" s="189">
        <f t="shared" si="78"/>
        <v>0</v>
      </c>
      <c r="D105" s="189">
        <f t="shared" si="78"/>
        <v>0</v>
      </c>
      <c r="E105" s="190">
        <f t="shared" si="72"/>
        <v>0</v>
      </c>
      <c r="F105" s="189">
        <f t="shared" si="79"/>
        <v>0</v>
      </c>
      <c r="G105" s="189">
        <f t="shared" si="79"/>
        <v>0</v>
      </c>
      <c r="H105" s="189">
        <f t="shared" si="79"/>
        <v>0</v>
      </c>
      <c r="I105" s="190">
        <f t="shared" si="73"/>
        <v>0</v>
      </c>
      <c r="J105" s="189">
        <f t="shared" si="80"/>
        <v>0</v>
      </c>
      <c r="K105" s="189">
        <f t="shared" si="80"/>
        <v>0</v>
      </c>
      <c r="L105" s="189">
        <f t="shared" si="80"/>
        <v>0</v>
      </c>
      <c r="M105" s="190">
        <f t="shared" si="74"/>
        <v>0</v>
      </c>
      <c r="N105" s="189">
        <f t="shared" si="81"/>
        <v>0</v>
      </c>
      <c r="O105" s="189">
        <f t="shared" si="81"/>
        <v>0</v>
      </c>
      <c r="P105" s="189">
        <f t="shared" si="81"/>
        <v>0</v>
      </c>
      <c r="Q105" s="190">
        <f t="shared" si="75"/>
        <v>0</v>
      </c>
      <c r="R105" s="189">
        <f t="shared" si="82"/>
        <v>0</v>
      </c>
      <c r="S105" s="189">
        <f t="shared" si="82"/>
        <v>0</v>
      </c>
      <c r="T105" s="189">
        <f t="shared" si="82"/>
        <v>0</v>
      </c>
      <c r="U105" s="190">
        <f t="shared" si="76"/>
        <v>0</v>
      </c>
      <c r="V105" s="189">
        <f t="shared" si="83"/>
        <v>0</v>
      </c>
      <c r="W105" s="189">
        <f t="shared" si="83"/>
        <v>0</v>
      </c>
      <c r="X105" s="189">
        <f t="shared" si="83"/>
        <v>0</v>
      </c>
      <c r="Y105" s="190">
        <f t="shared" si="77"/>
        <v>0</v>
      </c>
    </row>
    <row r="106" spans="1:25" ht="12.75" hidden="1" customHeight="1" outlineLevel="2" x14ac:dyDescent="0.2">
      <c r="A106" s="198" t="str">
        <f>"            "&amp;Labels!C396</f>
        <v xml:space="preserve">            Total</v>
      </c>
      <c r="B106" s="226">
        <f t="shared" si="78"/>
        <v>0</v>
      </c>
      <c r="C106" s="226">
        <f t="shared" si="78"/>
        <v>0</v>
      </c>
      <c r="D106" s="226">
        <f t="shared" si="78"/>
        <v>0</v>
      </c>
      <c r="E106" s="227">
        <f>SUM(B103:D103)</f>
        <v>0</v>
      </c>
      <c r="F106" s="226">
        <f t="shared" si="79"/>
        <v>0</v>
      </c>
      <c r="G106" s="226">
        <f t="shared" si="79"/>
        <v>0</v>
      </c>
      <c r="H106" s="226">
        <f t="shared" si="79"/>
        <v>0</v>
      </c>
      <c r="I106" s="227">
        <f>SUM(F103:H103)</f>
        <v>0</v>
      </c>
      <c r="J106" s="226">
        <f t="shared" si="80"/>
        <v>0</v>
      </c>
      <c r="K106" s="226">
        <f t="shared" si="80"/>
        <v>0</v>
      </c>
      <c r="L106" s="226">
        <f t="shared" si="80"/>
        <v>0</v>
      </c>
      <c r="M106" s="227">
        <f>SUM(J103:L103)</f>
        <v>0</v>
      </c>
      <c r="N106" s="226">
        <f t="shared" si="81"/>
        <v>0</v>
      </c>
      <c r="O106" s="226">
        <f t="shared" si="81"/>
        <v>0</v>
      </c>
      <c r="P106" s="226">
        <f t="shared" si="81"/>
        <v>0</v>
      </c>
      <c r="Q106" s="227">
        <f>SUM(N103:P103)</f>
        <v>0</v>
      </c>
      <c r="R106" s="226">
        <f t="shared" si="82"/>
        <v>0</v>
      </c>
      <c r="S106" s="226">
        <f t="shared" si="82"/>
        <v>0</v>
      </c>
      <c r="T106" s="226">
        <f t="shared" si="82"/>
        <v>0</v>
      </c>
      <c r="U106" s="227">
        <f>SUM(R103:T103)</f>
        <v>0</v>
      </c>
      <c r="V106" s="226">
        <f t="shared" si="83"/>
        <v>0</v>
      </c>
      <c r="W106" s="226">
        <f t="shared" si="83"/>
        <v>0</v>
      </c>
      <c r="X106" s="226">
        <f t="shared" si="83"/>
        <v>0</v>
      </c>
      <c r="Y106" s="227">
        <f>SUM(V103:X103)</f>
        <v>0</v>
      </c>
    </row>
    <row r="107" spans="1:25" ht="12.75" hidden="1" customHeight="1" outlineLevel="2" x14ac:dyDescent="0.2">
      <c r="A107" s="198" t="str">
        <f>"      "&amp;Labels!B386</f>
        <v xml:space="preserve">      Prof Level 2</v>
      </c>
      <c r="B107" s="226"/>
      <c r="C107" s="226"/>
      <c r="D107" s="226"/>
      <c r="E107" s="227"/>
      <c r="F107" s="226"/>
      <c r="G107" s="226"/>
      <c r="H107" s="226"/>
      <c r="I107" s="227"/>
      <c r="J107" s="226"/>
      <c r="K107" s="226"/>
      <c r="L107" s="226"/>
      <c r="M107" s="227"/>
      <c r="N107" s="226"/>
      <c r="O107" s="226"/>
      <c r="P107" s="226"/>
      <c r="Q107" s="227"/>
      <c r="R107" s="226"/>
      <c r="S107" s="226"/>
      <c r="T107" s="226"/>
      <c r="U107" s="227"/>
      <c r="V107" s="226"/>
      <c r="W107" s="226"/>
      <c r="X107" s="226"/>
      <c r="Y107" s="227"/>
    </row>
    <row r="108" spans="1:25" ht="12.75" hidden="1" customHeight="1" outlineLevel="2" x14ac:dyDescent="0.2">
      <c r="A108" s="198" t="str">
        <f>"         "&amp;Labels!B317</f>
        <v xml:space="preserve">         Channels 1</v>
      </c>
      <c r="B108" s="226"/>
      <c r="C108" s="226"/>
      <c r="D108" s="226"/>
      <c r="E108" s="227"/>
      <c r="F108" s="226"/>
      <c r="G108" s="226"/>
      <c r="H108" s="226"/>
      <c r="I108" s="227"/>
      <c r="J108" s="226"/>
      <c r="K108" s="226"/>
      <c r="L108" s="226"/>
      <c r="M108" s="227"/>
      <c r="N108" s="226"/>
      <c r="O108" s="226"/>
      <c r="P108" s="226"/>
      <c r="Q108" s="227"/>
      <c r="R108" s="226"/>
      <c r="S108" s="226"/>
      <c r="T108" s="226"/>
      <c r="U108" s="227"/>
      <c r="V108" s="226"/>
      <c r="W108" s="226"/>
      <c r="X108" s="226"/>
      <c r="Y108" s="227"/>
    </row>
    <row r="109" spans="1:25" ht="12.75" hidden="1" customHeight="1" outlineLevel="2" x14ac:dyDescent="0.2">
      <c r="A109" s="198" t="str">
        <f>"            "&amp;Labels!B397</f>
        <v xml:space="preserve">            Supply Type 1</v>
      </c>
      <c r="B109" s="189">
        <f>Inputs!F165*'(Tables)'!B1087</f>
        <v>0</v>
      </c>
      <c r="C109" s="189">
        <f>Inputs!G165*'(Tables)'!C1087</f>
        <v>0</v>
      </c>
      <c r="D109" s="189">
        <f>Inputs!H165*'(Tables)'!D1087</f>
        <v>0</v>
      </c>
      <c r="E109" s="190">
        <f>SUM(B109:D109)</f>
        <v>0</v>
      </c>
      <c r="F109" s="189">
        <f>Inputs!I165*'(Tables)'!E1087</f>
        <v>0</v>
      </c>
      <c r="G109" s="189">
        <f>Inputs!J165*'(Tables)'!F1087</f>
        <v>0</v>
      </c>
      <c r="H109" s="189">
        <f>Inputs!K165*'(Tables)'!G1087</f>
        <v>0</v>
      </c>
      <c r="I109" s="190">
        <f>SUM(F109:H109)</f>
        <v>0</v>
      </c>
      <c r="J109" s="189">
        <f>Inputs!L165*'(Tables)'!H1087</f>
        <v>0</v>
      </c>
      <c r="K109" s="189">
        <f>Inputs!M165*'(Tables)'!I1087</f>
        <v>0</v>
      </c>
      <c r="L109" s="189">
        <f>Inputs!N165*'(Tables)'!J1087</f>
        <v>0</v>
      </c>
      <c r="M109" s="190">
        <f>SUM(J109:L109)</f>
        <v>0</v>
      </c>
      <c r="N109" s="189">
        <f>Inputs!O165*'(Tables)'!K1087</f>
        <v>0</v>
      </c>
      <c r="O109" s="189">
        <f>Inputs!P165*'(Tables)'!L1087</f>
        <v>0</v>
      </c>
      <c r="P109" s="189">
        <f>Inputs!Q165*'(Tables)'!M1087</f>
        <v>0</v>
      </c>
      <c r="Q109" s="190">
        <f>SUM(N109:P109)</f>
        <v>0</v>
      </c>
      <c r="R109" s="189">
        <f>Inputs!R165*'(Tables)'!N1087</f>
        <v>0</v>
      </c>
      <c r="S109" s="189">
        <f>Inputs!S165*'(Tables)'!O1087</f>
        <v>0</v>
      </c>
      <c r="T109" s="189">
        <f>Inputs!T165*'(Tables)'!P1087</f>
        <v>0</v>
      </c>
      <c r="U109" s="190">
        <f>SUM(R109:T109)</f>
        <v>0</v>
      </c>
      <c r="V109" s="189">
        <f>Inputs!U165*'(Tables)'!Q1087</f>
        <v>0</v>
      </c>
      <c r="W109" s="189">
        <f>Inputs!V165*'(Tables)'!R1087</f>
        <v>0</v>
      </c>
      <c r="X109" s="189">
        <f>Inputs!W165*'(Tables)'!S1087</f>
        <v>0</v>
      </c>
      <c r="Y109" s="190">
        <f>SUM(V109:X109)</f>
        <v>0</v>
      </c>
    </row>
    <row r="110" spans="1:25" ht="12.75" hidden="1" customHeight="1" outlineLevel="2" x14ac:dyDescent="0.2">
      <c r="A110" s="198" t="str">
        <f>"            "&amp;Labels!B398</f>
        <v xml:space="preserve">            Supply Type 2</v>
      </c>
      <c r="B110" s="189">
        <f>Inputs!F167*'(Tables)'!B1087</f>
        <v>0</v>
      </c>
      <c r="C110" s="189">
        <f>Inputs!G167*'(Tables)'!C1087</f>
        <v>0</v>
      </c>
      <c r="D110" s="189">
        <f>Inputs!H167*'(Tables)'!D1087</f>
        <v>0</v>
      </c>
      <c r="E110" s="190">
        <f>SUM(B110:D110)</f>
        <v>0</v>
      </c>
      <c r="F110" s="189">
        <f>Inputs!I167*'(Tables)'!E1087</f>
        <v>0</v>
      </c>
      <c r="G110" s="189">
        <f>Inputs!J167*'(Tables)'!F1087</f>
        <v>0</v>
      </c>
      <c r="H110" s="189">
        <f>Inputs!K167*'(Tables)'!G1087</f>
        <v>0</v>
      </c>
      <c r="I110" s="190">
        <f>SUM(F110:H110)</f>
        <v>0</v>
      </c>
      <c r="J110" s="189">
        <f>Inputs!L167*'(Tables)'!H1087</f>
        <v>0</v>
      </c>
      <c r="K110" s="189">
        <f>Inputs!M167*'(Tables)'!I1087</f>
        <v>0</v>
      </c>
      <c r="L110" s="189">
        <f>Inputs!N167*'(Tables)'!J1087</f>
        <v>0</v>
      </c>
      <c r="M110" s="190">
        <f>SUM(J110:L110)</f>
        <v>0</v>
      </c>
      <c r="N110" s="189">
        <f>Inputs!O167*'(Tables)'!K1087</f>
        <v>0</v>
      </c>
      <c r="O110" s="189">
        <f>Inputs!P167*'(Tables)'!L1087</f>
        <v>0</v>
      </c>
      <c r="P110" s="189">
        <f>Inputs!Q167*'(Tables)'!M1087</f>
        <v>0</v>
      </c>
      <c r="Q110" s="190">
        <f>SUM(N110:P110)</f>
        <v>0</v>
      </c>
      <c r="R110" s="189">
        <f>Inputs!R167*'(Tables)'!N1087</f>
        <v>0</v>
      </c>
      <c r="S110" s="189">
        <f>Inputs!S167*'(Tables)'!O1087</f>
        <v>0</v>
      </c>
      <c r="T110" s="189">
        <f>Inputs!T167*'(Tables)'!P1087</f>
        <v>0</v>
      </c>
      <c r="U110" s="190">
        <f>SUM(R110:T110)</f>
        <v>0</v>
      </c>
      <c r="V110" s="189">
        <f>Inputs!U167*'(Tables)'!Q1087</f>
        <v>0</v>
      </c>
      <c r="W110" s="189">
        <f>Inputs!V167*'(Tables)'!R1087</f>
        <v>0</v>
      </c>
      <c r="X110" s="189">
        <f>Inputs!W167*'(Tables)'!S1087</f>
        <v>0</v>
      </c>
      <c r="Y110" s="190">
        <f>SUM(V110:X110)</f>
        <v>0</v>
      </c>
    </row>
    <row r="111" spans="1:25" ht="12.75" hidden="1" customHeight="1" outlineLevel="2" x14ac:dyDescent="0.2">
      <c r="A111" s="198" t="str">
        <f>"            "&amp;Labels!C396</f>
        <v xml:space="preserve">            Total</v>
      </c>
      <c r="B111" s="226">
        <f>SUM(B109:B110)</f>
        <v>0</v>
      </c>
      <c r="C111" s="226">
        <f>SUM(C109:C110)</f>
        <v>0</v>
      </c>
      <c r="D111" s="226">
        <f>SUM(D109:D110)</f>
        <v>0</v>
      </c>
      <c r="E111" s="227">
        <f>SUM(B111:D111)</f>
        <v>0</v>
      </c>
      <c r="F111" s="226">
        <f>SUM(F109:F110)</f>
        <v>0</v>
      </c>
      <c r="G111" s="226">
        <f>SUM(G109:G110)</f>
        <v>0</v>
      </c>
      <c r="H111" s="226">
        <f>SUM(H109:H110)</f>
        <v>0</v>
      </c>
      <c r="I111" s="227">
        <f>SUM(F111:H111)</f>
        <v>0</v>
      </c>
      <c r="J111" s="226">
        <f>SUM(J109:J110)</f>
        <v>0</v>
      </c>
      <c r="K111" s="226">
        <f>SUM(K109:K110)</f>
        <v>0</v>
      </c>
      <c r="L111" s="226">
        <f>SUM(L109:L110)</f>
        <v>0</v>
      </c>
      <c r="M111" s="227">
        <f>SUM(J111:L111)</f>
        <v>0</v>
      </c>
      <c r="N111" s="226">
        <f>SUM(N109:N110)</f>
        <v>0</v>
      </c>
      <c r="O111" s="226">
        <f>SUM(O109:O110)</f>
        <v>0</v>
      </c>
      <c r="P111" s="226">
        <f>SUM(P109:P110)</f>
        <v>0</v>
      </c>
      <c r="Q111" s="227">
        <f>SUM(N111:P111)</f>
        <v>0</v>
      </c>
      <c r="R111" s="226">
        <f>SUM(R109:R110)</f>
        <v>0</v>
      </c>
      <c r="S111" s="226">
        <f>SUM(S109:S110)</f>
        <v>0</v>
      </c>
      <c r="T111" s="226">
        <f>SUM(T109:T110)</f>
        <v>0</v>
      </c>
      <c r="U111" s="227">
        <f>SUM(R111:T111)</f>
        <v>0</v>
      </c>
      <c r="V111" s="226">
        <f>SUM(V109:V110)</f>
        <v>0</v>
      </c>
      <c r="W111" s="226">
        <f>SUM(W109:W110)</f>
        <v>0</v>
      </c>
      <c r="X111" s="226">
        <f>SUM(X109:X110)</f>
        <v>0</v>
      </c>
      <c r="Y111" s="227">
        <f>SUM(V111:X111)</f>
        <v>0</v>
      </c>
    </row>
    <row r="112" spans="1:25" ht="12.75" hidden="1" customHeight="1" outlineLevel="2" x14ac:dyDescent="0.2">
      <c r="A112" s="198" t="str">
        <f>"         "&amp;Labels!B318</f>
        <v xml:space="preserve">         Channels 2</v>
      </c>
      <c r="B112" s="226"/>
      <c r="C112" s="226"/>
      <c r="D112" s="226"/>
      <c r="E112" s="227"/>
      <c r="F112" s="226"/>
      <c r="G112" s="226"/>
      <c r="H112" s="226"/>
      <c r="I112" s="227"/>
      <c r="J112" s="226"/>
      <c r="K112" s="226"/>
      <c r="L112" s="226"/>
      <c r="M112" s="227"/>
      <c r="N112" s="226"/>
      <c r="O112" s="226"/>
      <c r="P112" s="226"/>
      <c r="Q112" s="227"/>
      <c r="R112" s="226"/>
      <c r="S112" s="226"/>
      <c r="T112" s="226"/>
      <c r="U112" s="227"/>
      <c r="V112" s="226"/>
      <c r="W112" s="226"/>
      <c r="X112" s="226"/>
      <c r="Y112" s="227"/>
    </row>
    <row r="113" spans="1:25" ht="12.75" hidden="1" customHeight="1" outlineLevel="2" x14ac:dyDescent="0.2">
      <c r="A113" s="198" t="str">
        <f>"            "&amp;Labels!B397</f>
        <v xml:space="preserve">            Supply Type 1</v>
      </c>
      <c r="B113" s="189">
        <f>Inputs!F166*'(Tables)'!B1088</f>
        <v>0</v>
      </c>
      <c r="C113" s="189">
        <f>Inputs!G166*'(Tables)'!C1088</f>
        <v>0</v>
      </c>
      <c r="D113" s="189">
        <f>Inputs!H166*'(Tables)'!D1088</f>
        <v>0</v>
      </c>
      <c r="E113" s="190">
        <f t="shared" ref="E113:E118" si="84">SUM(B113:D113)</f>
        <v>0</v>
      </c>
      <c r="F113" s="189">
        <f>Inputs!I166*'(Tables)'!E1088</f>
        <v>0</v>
      </c>
      <c r="G113" s="189">
        <f>Inputs!J166*'(Tables)'!F1088</f>
        <v>0</v>
      </c>
      <c r="H113" s="189">
        <f>Inputs!K166*'(Tables)'!G1088</f>
        <v>0</v>
      </c>
      <c r="I113" s="190">
        <f t="shared" ref="I113:I118" si="85">SUM(F113:H113)</f>
        <v>0</v>
      </c>
      <c r="J113" s="189">
        <f>Inputs!L166*'(Tables)'!H1088</f>
        <v>0</v>
      </c>
      <c r="K113" s="189">
        <f>Inputs!M166*'(Tables)'!I1088</f>
        <v>0</v>
      </c>
      <c r="L113" s="189">
        <f>Inputs!N166*'(Tables)'!J1088</f>
        <v>0</v>
      </c>
      <c r="M113" s="190">
        <f t="shared" ref="M113:M118" si="86">SUM(J113:L113)</f>
        <v>0</v>
      </c>
      <c r="N113" s="189">
        <f>Inputs!O166*'(Tables)'!K1088</f>
        <v>0</v>
      </c>
      <c r="O113" s="189">
        <f>Inputs!P166*'(Tables)'!L1088</f>
        <v>0</v>
      </c>
      <c r="P113" s="189">
        <f>Inputs!Q166*'(Tables)'!M1088</f>
        <v>0</v>
      </c>
      <c r="Q113" s="190">
        <f t="shared" ref="Q113:Q118" si="87">SUM(N113:P113)</f>
        <v>0</v>
      </c>
      <c r="R113" s="189">
        <f>Inputs!R166*'(Tables)'!N1088</f>
        <v>0</v>
      </c>
      <c r="S113" s="189">
        <f>Inputs!S166*'(Tables)'!O1088</f>
        <v>0</v>
      </c>
      <c r="T113" s="189">
        <f>Inputs!T166*'(Tables)'!P1088</f>
        <v>0</v>
      </c>
      <c r="U113" s="190">
        <f t="shared" ref="U113:U118" si="88">SUM(R113:T113)</f>
        <v>0</v>
      </c>
      <c r="V113" s="189">
        <f>Inputs!U166*'(Tables)'!Q1088</f>
        <v>0</v>
      </c>
      <c r="W113" s="189">
        <f>Inputs!V166*'(Tables)'!R1088</f>
        <v>0</v>
      </c>
      <c r="X113" s="189">
        <f>Inputs!W166*'(Tables)'!S1088</f>
        <v>0</v>
      </c>
      <c r="Y113" s="190">
        <f t="shared" ref="Y113:Y118" si="89">SUM(V113:X113)</f>
        <v>0</v>
      </c>
    </row>
    <row r="114" spans="1:25" ht="12.75" hidden="1" customHeight="1" outlineLevel="2" x14ac:dyDescent="0.2">
      <c r="A114" s="198" t="str">
        <f>"            "&amp;Labels!B398</f>
        <v xml:space="preserve">            Supply Type 2</v>
      </c>
      <c r="B114" s="189">
        <f>Inputs!F168*'(Tables)'!B1088</f>
        <v>0</v>
      </c>
      <c r="C114" s="189">
        <f>Inputs!G168*'(Tables)'!C1088</f>
        <v>0</v>
      </c>
      <c r="D114" s="189">
        <f>Inputs!H168*'(Tables)'!D1088</f>
        <v>0</v>
      </c>
      <c r="E114" s="190">
        <f t="shared" si="84"/>
        <v>0</v>
      </c>
      <c r="F114" s="189">
        <f>Inputs!I168*'(Tables)'!E1088</f>
        <v>0</v>
      </c>
      <c r="G114" s="189">
        <f>Inputs!J168*'(Tables)'!F1088</f>
        <v>0</v>
      </c>
      <c r="H114" s="189">
        <f>Inputs!K168*'(Tables)'!G1088</f>
        <v>0</v>
      </c>
      <c r="I114" s="190">
        <f t="shared" si="85"/>
        <v>0</v>
      </c>
      <c r="J114" s="189">
        <f>Inputs!L168*'(Tables)'!H1088</f>
        <v>0</v>
      </c>
      <c r="K114" s="189">
        <f>Inputs!M168*'(Tables)'!I1088</f>
        <v>0</v>
      </c>
      <c r="L114" s="189">
        <f>Inputs!N168*'(Tables)'!J1088</f>
        <v>0</v>
      </c>
      <c r="M114" s="190">
        <f t="shared" si="86"/>
        <v>0</v>
      </c>
      <c r="N114" s="189">
        <f>Inputs!O168*'(Tables)'!K1088</f>
        <v>0</v>
      </c>
      <c r="O114" s="189">
        <f>Inputs!P168*'(Tables)'!L1088</f>
        <v>0</v>
      </c>
      <c r="P114" s="189">
        <f>Inputs!Q168*'(Tables)'!M1088</f>
        <v>0</v>
      </c>
      <c r="Q114" s="190">
        <f t="shared" si="87"/>
        <v>0</v>
      </c>
      <c r="R114" s="189">
        <f>Inputs!R168*'(Tables)'!N1088</f>
        <v>0</v>
      </c>
      <c r="S114" s="189">
        <f>Inputs!S168*'(Tables)'!O1088</f>
        <v>0</v>
      </c>
      <c r="T114" s="189">
        <f>Inputs!T168*'(Tables)'!P1088</f>
        <v>0</v>
      </c>
      <c r="U114" s="190">
        <f t="shared" si="88"/>
        <v>0</v>
      </c>
      <c r="V114" s="189">
        <f>Inputs!U168*'(Tables)'!Q1088</f>
        <v>0</v>
      </c>
      <c r="W114" s="189">
        <f>Inputs!V168*'(Tables)'!R1088</f>
        <v>0</v>
      </c>
      <c r="X114" s="189">
        <f>Inputs!W168*'(Tables)'!S1088</f>
        <v>0</v>
      </c>
      <c r="Y114" s="190">
        <f t="shared" si="89"/>
        <v>0</v>
      </c>
    </row>
    <row r="115" spans="1:25" ht="12.75" hidden="1" customHeight="1" outlineLevel="2" x14ac:dyDescent="0.2">
      <c r="A115" s="198" t="str">
        <f>"            "&amp;Labels!C396</f>
        <v xml:space="preserve">            Total</v>
      </c>
      <c r="B115" s="226">
        <f>SUM(B113:B114)</f>
        <v>0</v>
      </c>
      <c r="C115" s="226">
        <f>SUM(C113:C114)</f>
        <v>0</v>
      </c>
      <c r="D115" s="226">
        <f>SUM(D113:D114)</f>
        <v>0</v>
      </c>
      <c r="E115" s="227">
        <f t="shared" si="84"/>
        <v>0</v>
      </c>
      <c r="F115" s="226">
        <f>SUM(F113:F114)</f>
        <v>0</v>
      </c>
      <c r="G115" s="226">
        <f>SUM(G113:G114)</f>
        <v>0</v>
      </c>
      <c r="H115" s="226">
        <f>SUM(H113:H114)</f>
        <v>0</v>
      </c>
      <c r="I115" s="227">
        <f t="shared" si="85"/>
        <v>0</v>
      </c>
      <c r="J115" s="226">
        <f>SUM(J113:J114)</f>
        <v>0</v>
      </c>
      <c r="K115" s="226">
        <f>SUM(K113:K114)</f>
        <v>0</v>
      </c>
      <c r="L115" s="226">
        <f>SUM(L113:L114)</f>
        <v>0</v>
      </c>
      <c r="M115" s="227">
        <f t="shared" si="86"/>
        <v>0</v>
      </c>
      <c r="N115" s="226">
        <f>SUM(N113:N114)</f>
        <v>0</v>
      </c>
      <c r="O115" s="226">
        <f>SUM(O113:O114)</f>
        <v>0</v>
      </c>
      <c r="P115" s="226">
        <f>SUM(P113:P114)</f>
        <v>0</v>
      </c>
      <c r="Q115" s="227">
        <f t="shared" si="87"/>
        <v>0</v>
      </c>
      <c r="R115" s="226">
        <f>SUM(R113:R114)</f>
        <v>0</v>
      </c>
      <c r="S115" s="226">
        <f>SUM(S113:S114)</f>
        <v>0</v>
      </c>
      <c r="T115" s="226">
        <f>SUM(T113:T114)</f>
        <v>0</v>
      </c>
      <c r="U115" s="227">
        <f t="shared" si="88"/>
        <v>0</v>
      </c>
      <c r="V115" s="226">
        <f>SUM(V113:V114)</f>
        <v>0</v>
      </c>
      <c r="W115" s="226">
        <f>SUM(W113:W114)</f>
        <v>0</v>
      </c>
      <c r="X115" s="226">
        <f>SUM(X113:X114)</f>
        <v>0</v>
      </c>
      <c r="Y115" s="227">
        <f t="shared" si="89"/>
        <v>0</v>
      </c>
    </row>
    <row r="116" spans="1:25" ht="12.75" hidden="1" customHeight="1" outlineLevel="2" x14ac:dyDescent="0.2">
      <c r="A116" s="198" t="str">
        <f>"         "&amp;Labels!C316</f>
        <v xml:space="preserve">         Total</v>
      </c>
      <c r="B116" s="226">
        <f>SUM(B117:B118)</f>
        <v>0</v>
      </c>
      <c r="C116" s="226">
        <f>SUM(C117:C118)</f>
        <v>0</v>
      </c>
      <c r="D116" s="226">
        <f>SUM(D117:D118)</f>
        <v>0</v>
      </c>
      <c r="E116" s="227">
        <f t="shared" si="84"/>
        <v>0</v>
      </c>
      <c r="F116" s="226">
        <f>SUM(F117:F118)</f>
        <v>0</v>
      </c>
      <c r="G116" s="226">
        <f>SUM(G117:G118)</f>
        <v>0</v>
      </c>
      <c r="H116" s="226">
        <f>SUM(H117:H118)</f>
        <v>0</v>
      </c>
      <c r="I116" s="227">
        <f t="shared" si="85"/>
        <v>0</v>
      </c>
      <c r="J116" s="226">
        <f>SUM(J117:J118)</f>
        <v>0</v>
      </c>
      <c r="K116" s="226">
        <f>SUM(K117:K118)</f>
        <v>0</v>
      </c>
      <c r="L116" s="226">
        <f>SUM(L117:L118)</f>
        <v>0</v>
      </c>
      <c r="M116" s="227">
        <f t="shared" si="86"/>
        <v>0</v>
      </c>
      <c r="N116" s="226">
        <f>SUM(N117:N118)</f>
        <v>0</v>
      </c>
      <c r="O116" s="226">
        <f>SUM(O117:O118)</f>
        <v>0</v>
      </c>
      <c r="P116" s="226">
        <f>SUM(P117:P118)</f>
        <v>0</v>
      </c>
      <c r="Q116" s="227">
        <f t="shared" si="87"/>
        <v>0</v>
      </c>
      <c r="R116" s="226">
        <f>SUM(R117:R118)</f>
        <v>0</v>
      </c>
      <c r="S116" s="226">
        <f>SUM(S117:S118)</f>
        <v>0</v>
      </c>
      <c r="T116" s="226">
        <f>SUM(T117:T118)</f>
        <v>0</v>
      </c>
      <c r="U116" s="227">
        <f t="shared" si="88"/>
        <v>0</v>
      </c>
      <c r="V116" s="226">
        <f>SUM(V117:V118)</f>
        <v>0</v>
      </c>
      <c r="W116" s="226">
        <f>SUM(W117:W118)</f>
        <v>0</v>
      </c>
      <c r="X116" s="226">
        <f>SUM(X117:X118)</f>
        <v>0</v>
      </c>
      <c r="Y116" s="227">
        <f t="shared" si="89"/>
        <v>0</v>
      </c>
    </row>
    <row r="117" spans="1:25" ht="12.75" hidden="1" customHeight="1" outlineLevel="2" x14ac:dyDescent="0.2">
      <c r="A117" s="198" t="str">
        <f>"            "&amp;Labels!B397</f>
        <v xml:space="preserve">            Supply Type 1</v>
      </c>
      <c r="B117" s="189">
        <f t="shared" ref="B117:D119" si="90">SUM(B109,B113)</f>
        <v>0</v>
      </c>
      <c r="C117" s="189">
        <f t="shared" si="90"/>
        <v>0</v>
      </c>
      <c r="D117" s="189">
        <f t="shared" si="90"/>
        <v>0</v>
      </c>
      <c r="E117" s="190">
        <f t="shared" si="84"/>
        <v>0</v>
      </c>
      <c r="F117" s="189">
        <f t="shared" ref="F117:H119" si="91">SUM(F109,F113)</f>
        <v>0</v>
      </c>
      <c r="G117" s="189">
        <f t="shared" si="91"/>
        <v>0</v>
      </c>
      <c r="H117" s="189">
        <f t="shared" si="91"/>
        <v>0</v>
      </c>
      <c r="I117" s="190">
        <f t="shared" si="85"/>
        <v>0</v>
      </c>
      <c r="J117" s="189">
        <f t="shared" ref="J117:L119" si="92">SUM(J109,J113)</f>
        <v>0</v>
      </c>
      <c r="K117" s="189">
        <f t="shared" si="92"/>
        <v>0</v>
      </c>
      <c r="L117" s="189">
        <f t="shared" si="92"/>
        <v>0</v>
      </c>
      <c r="M117" s="190">
        <f t="shared" si="86"/>
        <v>0</v>
      </c>
      <c r="N117" s="189">
        <f t="shared" ref="N117:P119" si="93">SUM(N109,N113)</f>
        <v>0</v>
      </c>
      <c r="O117" s="189">
        <f t="shared" si="93"/>
        <v>0</v>
      </c>
      <c r="P117" s="189">
        <f t="shared" si="93"/>
        <v>0</v>
      </c>
      <c r="Q117" s="190">
        <f t="shared" si="87"/>
        <v>0</v>
      </c>
      <c r="R117" s="189">
        <f t="shared" ref="R117:T119" si="94">SUM(R109,R113)</f>
        <v>0</v>
      </c>
      <c r="S117" s="189">
        <f t="shared" si="94"/>
        <v>0</v>
      </c>
      <c r="T117" s="189">
        <f t="shared" si="94"/>
        <v>0</v>
      </c>
      <c r="U117" s="190">
        <f t="shared" si="88"/>
        <v>0</v>
      </c>
      <c r="V117" s="189">
        <f t="shared" ref="V117:X119" si="95">SUM(V109,V113)</f>
        <v>0</v>
      </c>
      <c r="W117" s="189">
        <f t="shared" si="95"/>
        <v>0</v>
      </c>
      <c r="X117" s="189">
        <f t="shared" si="95"/>
        <v>0</v>
      </c>
      <c r="Y117" s="190">
        <f t="shared" si="89"/>
        <v>0</v>
      </c>
    </row>
    <row r="118" spans="1:25" ht="12.75" hidden="1" customHeight="1" outlineLevel="2" x14ac:dyDescent="0.2">
      <c r="A118" s="198" t="str">
        <f>"            "&amp;Labels!B398</f>
        <v xml:space="preserve">            Supply Type 2</v>
      </c>
      <c r="B118" s="189">
        <f t="shared" si="90"/>
        <v>0</v>
      </c>
      <c r="C118" s="189">
        <f t="shared" si="90"/>
        <v>0</v>
      </c>
      <c r="D118" s="189">
        <f t="shared" si="90"/>
        <v>0</v>
      </c>
      <c r="E118" s="190">
        <f t="shared" si="84"/>
        <v>0</v>
      </c>
      <c r="F118" s="189">
        <f t="shared" si="91"/>
        <v>0</v>
      </c>
      <c r="G118" s="189">
        <f t="shared" si="91"/>
        <v>0</v>
      </c>
      <c r="H118" s="189">
        <f t="shared" si="91"/>
        <v>0</v>
      </c>
      <c r="I118" s="190">
        <f t="shared" si="85"/>
        <v>0</v>
      </c>
      <c r="J118" s="189">
        <f t="shared" si="92"/>
        <v>0</v>
      </c>
      <c r="K118" s="189">
        <f t="shared" si="92"/>
        <v>0</v>
      </c>
      <c r="L118" s="189">
        <f t="shared" si="92"/>
        <v>0</v>
      </c>
      <c r="M118" s="190">
        <f t="shared" si="86"/>
        <v>0</v>
      </c>
      <c r="N118" s="189">
        <f t="shared" si="93"/>
        <v>0</v>
      </c>
      <c r="O118" s="189">
        <f t="shared" si="93"/>
        <v>0</v>
      </c>
      <c r="P118" s="189">
        <f t="shared" si="93"/>
        <v>0</v>
      </c>
      <c r="Q118" s="190">
        <f t="shared" si="87"/>
        <v>0</v>
      </c>
      <c r="R118" s="189">
        <f t="shared" si="94"/>
        <v>0</v>
      </c>
      <c r="S118" s="189">
        <f t="shared" si="94"/>
        <v>0</v>
      </c>
      <c r="T118" s="189">
        <f t="shared" si="94"/>
        <v>0</v>
      </c>
      <c r="U118" s="190">
        <f t="shared" si="88"/>
        <v>0</v>
      </c>
      <c r="V118" s="189">
        <f t="shared" si="95"/>
        <v>0</v>
      </c>
      <c r="W118" s="189">
        <f t="shared" si="95"/>
        <v>0</v>
      </c>
      <c r="X118" s="189">
        <f t="shared" si="95"/>
        <v>0</v>
      </c>
      <c r="Y118" s="190">
        <f t="shared" si="89"/>
        <v>0</v>
      </c>
    </row>
    <row r="119" spans="1:25" ht="12.75" hidden="1" customHeight="1" outlineLevel="2" x14ac:dyDescent="0.2">
      <c r="A119" s="198" t="str">
        <f>"            "&amp;Labels!C396</f>
        <v xml:space="preserve">            Total</v>
      </c>
      <c r="B119" s="226">
        <f t="shared" si="90"/>
        <v>0</v>
      </c>
      <c r="C119" s="226">
        <f t="shared" si="90"/>
        <v>0</v>
      </c>
      <c r="D119" s="226">
        <f t="shared" si="90"/>
        <v>0</v>
      </c>
      <c r="E119" s="227">
        <f>SUM(B116:D116)</f>
        <v>0</v>
      </c>
      <c r="F119" s="226">
        <f t="shared" si="91"/>
        <v>0</v>
      </c>
      <c r="G119" s="226">
        <f t="shared" si="91"/>
        <v>0</v>
      </c>
      <c r="H119" s="226">
        <f t="shared" si="91"/>
        <v>0</v>
      </c>
      <c r="I119" s="227">
        <f>SUM(F116:H116)</f>
        <v>0</v>
      </c>
      <c r="J119" s="226">
        <f t="shared" si="92"/>
        <v>0</v>
      </c>
      <c r="K119" s="226">
        <f t="shared" si="92"/>
        <v>0</v>
      </c>
      <c r="L119" s="226">
        <f t="shared" si="92"/>
        <v>0</v>
      </c>
      <c r="M119" s="227">
        <f>SUM(J116:L116)</f>
        <v>0</v>
      </c>
      <c r="N119" s="226">
        <f t="shared" si="93"/>
        <v>0</v>
      </c>
      <c r="O119" s="226">
        <f t="shared" si="93"/>
        <v>0</v>
      </c>
      <c r="P119" s="226">
        <f t="shared" si="93"/>
        <v>0</v>
      </c>
      <c r="Q119" s="227">
        <f>SUM(N116:P116)</f>
        <v>0</v>
      </c>
      <c r="R119" s="226">
        <f t="shared" si="94"/>
        <v>0</v>
      </c>
      <c r="S119" s="226">
        <f t="shared" si="94"/>
        <v>0</v>
      </c>
      <c r="T119" s="226">
        <f t="shared" si="94"/>
        <v>0</v>
      </c>
      <c r="U119" s="227">
        <f>SUM(R116:T116)</f>
        <v>0</v>
      </c>
      <c r="V119" s="226">
        <f t="shared" si="95"/>
        <v>0</v>
      </c>
      <c r="W119" s="226">
        <f t="shared" si="95"/>
        <v>0</v>
      </c>
      <c r="X119" s="226">
        <f t="shared" si="95"/>
        <v>0</v>
      </c>
      <c r="Y119" s="227">
        <f>SUM(V116:X116)</f>
        <v>0</v>
      </c>
    </row>
    <row r="120" spans="1:25" ht="12.75" hidden="1" customHeight="1" outlineLevel="2" x14ac:dyDescent="0.2">
      <c r="A120" s="188" t="str">
        <f>"      "&amp;Labels!C384</f>
        <v xml:space="preserve">      Total</v>
      </c>
      <c r="B120" s="196">
        <f>SUM(B103,B116)</f>
        <v>0</v>
      </c>
      <c r="C120" s="196">
        <f>SUM(C103,C116)</f>
        <v>0</v>
      </c>
      <c r="D120" s="196">
        <f>SUM(D103,D116)</f>
        <v>0</v>
      </c>
      <c r="E120" s="197">
        <f>SUM(B120:D120)</f>
        <v>0</v>
      </c>
      <c r="F120" s="196">
        <f>SUM(F103,F116)</f>
        <v>0</v>
      </c>
      <c r="G120" s="196">
        <f>SUM(G103,G116)</f>
        <v>0</v>
      </c>
      <c r="H120" s="196">
        <f>SUM(H103,H116)</f>
        <v>0</v>
      </c>
      <c r="I120" s="197">
        <f>SUM(F120:H120)</f>
        <v>0</v>
      </c>
      <c r="J120" s="196">
        <f>SUM(J103,J116)</f>
        <v>0</v>
      </c>
      <c r="K120" s="196">
        <f>SUM(K103,K116)</f>
        <v>0</v>
      </c>
      <c r="L120" s="196">
        <f>SUM(L103,L116)</f>
        <v>0</v>
      </c>
      <c r="M120" s="197">
        <f>SUM(J120:L120)</f>
        <v>0</v>
      </c>
      <c r="N120" s="196">
        <f>SUM(N103,N116)</f>
        <v>0</v>
      </c>
      <c r="O120" s="196">
        <f>SUM(O103,O116)</f>
        <v>0</v>
      </c>
      <c r="P120" s="196">
        <f>SUM(P103,P116)</f>
        <v>0</v>
      </c>
      <c r="Q120" s="197">
        <f>SUM(N120:P120)</f>
        <v>0</v>
      </c>
      <c r="R120" s="196">
        <f>SUM(R103,R116)</f>
        <v>0</v>
      </c>
      <c r="S120" s="196">
        <f>SUM(S103,S116)</f>
        <v>0</v>
      </c>
      <c r="T120" s="196">
        <f>SUM(T103,T116)</f>
        <v>0</v>
      </c>
      <c r="U120" s="197">
        <f>SUM(R120:T120)</f>
        <v>0</v>
      </c>
      <c r="V120" s="196">
        <f>SUM(V103,V116)</f>
        <v>0</v>
      </c>
      <c r="W120" s="196">
        <f>SUM(W103,W116)</f>
        <v>0</v>
      </c>
      <c r="X120" s="196">
        <f>SUM(X103,X116)</f>
        <v>0</v>
      </c>
      <c r="Y120" s="197">
        <f>SUM(V120:X120)</f>
        <v>0</v>
      </c>
    </row>
    <row r="121" spans="1:25" ht="12.75" hidden="1" customHeight="1" outlineLevel="2" x14ac:dyDescent="0.2">
      <c r="A121" s="198" t="str">
        <f>"         "&amp;Labels!B317</f>
        <v xml:space="preserve">         Channels 1</v>
      </c>
      <c r="B121" s="226"/>
      <c r="C121" s="226"/>
      <c r="D121" s="226"/>
      <c r="E121" s="227"/>
      <c r="F121" s="226"/>
      <c r="G121" s="226"/>
      <c r="H121" s="226"/>
      <c r="I121" s="227"/>
      <c r="J121" s="226"/>
      <c r="K121" s="226"/>
      <c r="L121" s="226"/>
      <c r="M121" s="227"/>
      <c r="N121" s="226"/>
      <c r="O121" s="226"/>
      <c r="P121" s="226"/>
      <c r="Q121" s="227"/>
      <c r="R121" s="226"/>
      <c r="S121" s="226"/>
      <c r="T121" s="226"/>
      <c r="U121" s="227"/>
      <c r="V121" s="226"/>
      <c r="W121" s="226"/>
      <c r="X121" s="226"/>
      <c r="Y121" s="227"/>
    </row>
    <row r="122" spans="1:25" ht="12.75" hidden="1" customHeight="1" outlineLevel="2" x14ac:dyDescent="0.2">
      <c r="A122" s="198" t="str">
        <f>"            "&amp;Labels!B397</f>
        <v xml:space="preserve">            Supply Type 1</v>
      </c>
      <c r="B122" s="189">
        <f t="shared" ref="B122:D124" si="96">SUM(B96,B109)</f>
        <v>0</v>
      </c>
      <c r="C122" s="189">
        <f t="shared" si="96"/>
        <v>0</v>
      </c>
      <c r="D122" s="189">
        <f t="shared" si="96"/>
        <v>0</v>
      </c>
      <c r="E122" s="190">
        <f>SUM(B122:D122)</f>
        <v>0</v>
      </c>
      <c r="F122" s="189">
        <f t="shared" ref="F122:H124" si="97">SUM(F96,F109)</f>
        <v>0</v>
      </c>
      <c r="G122" s="189">
        <f t="shared" si="97"/>
        <v>0</v>
      </c>
      <c r="H122" s="189">
        <f t="shared" si="97"/>
        <v>0</v>
      </c>
      <c r="I122" s="190">
        <f>SUM(F122:H122)</f>
        <v>0</v>
      </c>
      <c r="J122" s="189">
        <f t="shared" ref="J122:L124" si="98">SUM(J96,J109)</f>
        <v>0</v>
      </c>
      <c r="K122" s="189">
        <f t="shared" si="98"/>
        <v>0</v>
      </c>
      <c r="L122" s="189">
        <f t="shared" si="98"/>
        <v>0</v>
      </c>
      <c r="M122" s="190">
        <f>SUM(J122:L122)</f>
        <v>0</v>
      </c>
      <c r="N122" s="189">
        <f t="shared" ref="N122:P124" si="99">SUM(N96,N109)</f>
        <v>0</v>
      </c>
      <c r="O122" s="189">
        <f t="shared" si="99"/>
        <v>0</v>
      </c>
      <c r="P122" s="189">
        <f t="shared" si="99"/>
        <v>0</v>
      </c>
      <c r="Q122" s="190">
        <f>SUM(N122:P122)</f>
        <v>0</v>
      </c>
      <c r="R122" s="189">
        <f t="shared" ref="R122:T124" si="100">SUM(R96,R109)</f>
        <v>0</v>
      </c>
      <c r="S122" s="189">
        <f t="shared" si="100"/>
        <v>0</v>
      </c>
      <c r="T122" s="189">
        <f t="shared" si="100"/>
        <v>0</v>
      </c>
      <c r="U122" s="190">
        <f>SUM(R122:T122)</f>
        <v>0</v>
      </c>
      <c r="V122" s="189">
        <f t="shared" ref="V122:X124" si="101">SUM(V96,V109)</f>
        <v>0</v>
      </c>
      <c r="W122" s="189">
        <f t="shared" si="101"/>
        <v>0</v>
      </c>
      <c r="X122" s="189">
        <f t="shared" si="101"/>
        <v>0</v>
      </c>
      <c r="Y122" s="190">
        <f>SUM(V122:X122)</f>
        <v>0</v>
      </c>
    </row>
    <row r="123" spans="1:25" ht="12.75" hidden="1" customHeight="1" outlineLevel="2" x14ac:dyDescent="0.2">
      <c r="A123" s="198" t="str">
        <f>"            "&amp;Labels!B398</f>
        <v xml:space="preserve">            Supply Type 2</v>
      </c>
      <c r="B123" s="189">
        <f t="shared" si="96"/>
        <v>0</v>
      </c>
      <c r="C123" s="189">
        <f t="shared" si="96"/>
        <v>0</v>
      </c>
      <c r="D123" s="189">
        <f t="shared" si="96"/>
        <v>0</v>
      </c>
      <c r="E123" s="190">
        <f>SUM(B123:D123)</f>
        <v>0</v>
      </c>
      <c r="F123" s="189">
        <f t="shared" si="97"/>
        <v>0</v>
      </c>
      <c r="G123" s="189">
        <f t="shared" si="97"/>
        <v>0</v>
      </c>
      <c r="H123" s="189">
        <f t="shared" si="97"/>
        <v>0</v>
      </c>
      <c r="I123" s="190">
        <f>SUM(F123:H123)</f>
        <v>0</v>
      </c>
      <c r="J123" s="189">
        <f t="shared" si="98"/>
        <v>0</v>
      </c>
      <c r="K123" s="189">
        <f t="shared" si="98"/>
        <v>0</v>
      </c>
      <c r="L123" s="189">
        <f t="shared" si="98"/>
        <v>0</v>
      </c>
      <c r="M123" s="190">
        <f>SUM(J123:L123)</f>
        <v>0</v>
      </c>
      <c r="N123" s="189">
        <f t="shared" si="99"/>
        <v>0</v>
      </c>
      <c r="O123" s="189">
        <f t="shared" si="99"/>
        <v>0</v>
      </c>
      <c r="P123" s="189">
        <f t="shared" si="99"/>
        <v>0</v>
      </c>
      <c r="Q123" s="190">
        <f>SUM(N123:P123)</f>
        <v>0</v>
      </c>
      <c r="R123" s="189">
        <f t="shared" si="100"/>
        <v>0</v>
      </c>
      <c r="S123" s="189">
        <f t="shared" si="100"/>
        <v>0</v>
      </c>
      <c r="T123" s="189">
        <f t="shared" si="100"/>
        <v>0</v>
      </c>
      <c r="U123" s="190">
        <f>SUM(R123:T123)</f>
        <v>0</v>
      </c>
      <c r="V123" s="189">
        <f t="shared" si="101"/>
        <v>0</v>
      </c>
      <c r="W123" s="189">
        <f t="shared" si="101"/>
        <v>0</v>
      </c>
      <c r="X123" s="189">
        <f t="shared" si="101"/>
        <v>0</v>
      </c>
      <c r="Y123" s="190">
        <f>SUM(V123:X123)</f>
        <v>0</v>
      </c>
    </row>
    <row r="124" spans="1:25" ht="12.75" hidden="1" customHeight="1" outlineLevel="2" x14ac:dyDescent="0.2">
      <c r="A124" s="198" t="str">
        <f>"            "&amp;Labels!C396</f>
        <v xml:space="preserve">            Total</v>
      </c>
      <c r="B124" s="226">
        <f t="shared" si="96"/>
        <v>0</v>
      </c>
      <c r="C124" s="226">
        <f t="shared" si="96"/>
        <v>0</v>
      </c>
      <c r="D124" s="226">
        <f t="shared" si="96"/>
        <v>0</v>
      </c>
      <c r="E124" s="227">
        <f>SUM(B124:D124)</f>
        <v>0</v>
      </c>
      <c r="F124" s="226">
        <f t="shared" si="97"/>
        <v>0</v>
      </c>
      <c r="G124" s="226">
        <f t="shared" si="97"/>
        <v>0</v>
      </c>
      <c r="H124" s="226">
        <f t="shared" si="97"/>
        <v>0</v>
      </c>
      <c r="I124" s="227">
        <f>SUM(F124:H124)</f>
        <v>0</v>
      </c>
      <c r="J124" s="226">
        <f t="shared" si="98"/>
        <v>0</v>
      </c>
      <c r="K124" s="226">
        <f t="shared" si="98"/>
        <v>0</v>
      </c>
      <c r="L124" s="226">
        <f t="shared" si="98"/>
        <v>0</v>
      </c>
      <c r="M124" s="227">
        <f>SUM(J124:L124)</f>
        <v>0</v>
      </c>
      <c r="N124" s="226">
        <f t="shared" si="99"/>
        <v>0</v>
      </c>
      <c r="O124" s="226">
        <f t="shared" si="99"/>
        <v>0</v>
      </c>
      <c r="P124" s="226">
        <f t="shared" si="99"/>
        <v>0</v>
      </c>
      <c r="Q124" s="227">
        <f>SUM(N124:P124)</f>
        <v>0</v>
      </c>
      <c r="R124" s="226">
        <f t="shared" si="100"/>
        <v>0</v>
      </c>
      <c r="S124" s="226">
        <f t="shared" si="100"/>
        <v>0</v>
      </c>
      <c r="T124" s="226">
        <f t="shared" si="100"/>
        <v>0</v>
      </c>
      <c r="U124" s="227">
        <f>SUM(R124:T124)</f>
        <v>0</v>
      </c>
      <c r="V124" s="226">
        <f t="shared" si="101"/>
        <v>0</v>
      </c>
      <c r="W124" s="226">
        <f t="shared" si="101"/>
        <v>0</v>
      </c>
      <c r="X124" s="226">
        <f t="shared" si="101"/>
        <v>0</v>
      </c>
      <c r="Y124" s="227">
        <f>SUM(V124:X124)</f>
        <v>0</v>
      </c>
    </row>
    <row r="125" spans="1:25" ht="12.75" hidden="1" customHeight="1" outlineLevel="2" x14ac:dyDescent="0.2">
      <c r="A125" s="198" t="str">
        <f>"         "&amp;Labels!B318</f>
        <v xml:space="preserve">         Channels 2</v>
      </c>
      <c r="B125" s="226"/>
      <c r="C125" s="226"/>
      <c r="D125" s="226"/>
      <c r="E125" s="227"/>
      <c r="F125" s="226"/>
      <c r="G125" s="226"/>
      <c r="H125" s="226"/>
      <c r="I125" s="227"/>
      <c r="J125" s="226"/>
      <c r="K125" s="226"/>
      <c r="L125" s="226"/>
      <c r="M125" s="227"/>
      <c r="N125" s="226"/>
      <c r="O125" s="226"/>
      <c r="P125" s="226"/>
      <c r="Q125" s="227"/>
      <c r="R125" s="226"/>
      <c r="S125" s="226"/>
      <c r="T125" s="226"/>
      <c r="U125" s="227"/>
      <c r="V125" s="226"/>
      <c r="W125" s="226"/>
      <c r="X125" s="226"/>
      <c r="Y125" s="227"/>
    </row>
    <row r="126" spans="1:25" ht="12.75" hidden="1" customHeight="1" outlineLevel="2" x14ac:dyDescent="0.2">
      <c r="A126" s="198" t="str">
        <f>"            "&amp;Labels!B397</f>
        <v xml:space="preserve">            Supply Type 1</v>
      </c>
      <c r="B126" s="189">
        <f t="shared" ref="B126:D131" si="102">SUM(B100,B113)</f>
        <v>0</v>
      </c>
      <c r="C126" s="189">
        <f t="shared" si="102"/>
        <v>0</v>
      </c>
      <c r="D126" s="189">
        <f t="shared" si="102"/>
        <v>0</v>
      </c>
      <c r="E126" s="190">
        <f>SUM(B126:D126)</f>
        <v>0</v>
      </c>
      <c r="F126" s="189">
        <f t="shared" ref="F126:H131" si="103">SUM(F100,F113)</f>
        <v>0</v>
      </c>
      <c r="G126" s="189">
        <f t="shared" si="103"/>
        <v>0</v>
      </c>
      <c r="H126" s="189">
        <f t="shared" si="103"/>
        <v>0</v>
      </c>
      <c r="I126" s="190">
        <f>SUM(F126:H126)</f>
        <v>0</v>
      </c>
      <c r="J126" s="189">
        <f t="shared" ref="J126:L131" si="104">SUM(J100,J113)</f>
        <v>0</v>
      </c>
      <c r="K126" s="189">
        <f t="shared" si="104"/>
        <v>0</v>
      </c>
      <c r="L126" s="189">
        <f t="shared" si="104"/>
        <v>0</v>
      </c>
      <c r="M126" s="190">
        <f>SUM(J126:L126)</f>
        <v>0</v>
      </c>
      <c r="N126" s="189">
        <f t="shared" ref="N126:P131" si="105">SUM(N100,N113)</f>
        <v>0</v>
      </c>
      <c r="O126" s="189">
        <f t="shared" si="105"/>
        <v>0</v>
      </c>
      <c r="P126" s="189">
        <f t="shared" si="105"/>
        <v>0</v>
      </c>
      <c r="Q126" s="190">
        <f>SUM(N126:P126)</f>
        <v>0</v>
      </c>
      <c r="R126" s="189">
        <f t="shared" ref="R126:T131" si="106">SUM(R100,R113)</f>
        <v>0</v>
      </c>
      <c r="S126" s="189">
        <f t="shared" si="106"/>
        <v>0</v>
      </c>
      <c r="T126" s="189">
        <f t="shared" si="106"/>
        <v>0</v>
      </c>
      <c r="U126" s="190">
        <f>SUM(R126:T126)</f>
        <v>0</v>
      </c>
      <c r="V126" s="189">
        <f t="shared" ref="V126:X131" si="107">SUM(V100,V113)</f>
        <v>0</v>
      </c>
      <c r="W126" s="189">
        <f t="shared" si="107"/>
        <v>0</v>
      </c>
      <c r="X126" s="189">
        <f t="shared" si="107"/>
        <v>0</v>
      </c>
      <c r="Y126" s="190">
        <f>SUM(V126:X126)</f>
        <v>0</v>
      </c>
    </row>
    <row r="127" spans="1:25" ht="12.75" hidden="1" customHeight="1" outlineLevel="2" x14ac:dyDescent="0.2">
      <c r="A127" s="198" t="str">
        <f>"            "&amp;Labels!B398</f>
        <v xml:space="preserve">            Supply Type 2</v>
      </c>
      <c r="B127" s="189">
        <f t="shared" si="102"/>
        <v>0</v>
      </c>
      <c r="C127" s="189">
        <f t="shared" si="102"/>
        <v>0</v>
      </c>
      <c r="D127" s="189">
        <f t="shared" si="102"/>
        <v>0</v>
      </c>
      <c r="E127" s="190">
        <f>SUM(B127:D127)</f>
        <v>0</v>
      </c>
      <c r="F127" s="189">
        <f t="shared" si="103"/>
        <v>0</v>
      </c>
      <c r="G127" s="189">
        <f t="shared" si="103"/>
        <v>0</v>
      </c>
      <c r="H127" s="189">
        <f t="shared" si="103"/>
        <v>0</v>
      </c>
      <c r="I127" s="190">
        <f>SUM(F127:H127)</f>
        <v>0</v>
      </c>
      <c r="J127" s="189">
        <f t="shared" si="104"/>
        <v>0</v>
      </c>
      <c r="K127" s="189">
        <f t="shared" si="104"/>
        <v>0</v>
      </c>
      <c r="L127" s="189">
        <f t="shared" si="104"/>
        <v>0</v>
      </c>
      <c r="M127" s="190">
        <f>SUM(J127:L127)</f>
        <v>0</v>
      </c>
      <c r="N127" s="189">
        <f t="shared" si="105"/>
        <v>0</v>
      </c>
      <c r="O127" s="189">
        <f t="shared" si="105"/>
        <v>0</v>
      </c>
      <c r="P127" s="189">
        <f t="shared" si="105"/>
        <v>0</v>
      </c>
      <c r="Q127" s="190">
        <f>SUM(N127:P127)</f>
        <v>0</v>
      </c>
      <c r="R127" s="189">
        <f t="shared" si="106"/>
        <v>0</v>
      </c>
      <c r="S127" s="189">
        <f t="shared" si="106"/>
        <v>0</v>
      </c>
      <c r="T127" s="189">
        <f t="shared" si="106"/>
        <v>0</v>
      </c>
      <c r="U127" s="190">
        <f>SUM(R127:T127)</f>
        <v>0</v>
      </c>
      <c r="V127" s="189">
        <f t="shared" si="107"/>
        <v>0</v>
      </c>
      <c r="W127" s="189">
        <f t="shared" si="107"/>
        <v>0</v>
      </c>
      <c r="X127" s="189">
        <f t="shared" si="107"/>
        <v>0</v>
      </c>
      <c r="Y127" s="190">
        <f>SUM(V127:X127)</f>
        <v>0</v>
      </c>
    </row>
    <row r="128" spans="1:25" ht="12.75" hidden="1" customHeight="1" outlineLevel="2" x14ac:dyDescent="0.2">
      <c r="A128" s="198" t="str">
        <f>"            "&amp;Labels!C396</f>
        <v xml:space="preserve">            Total</v>
      </c>
      <c r="B128" s="226">
        <f t="shared" si="102"/>
        <v>0</v>
      </c>
      <c r="C128" s="226">
        <f t="shared" si="102"/>
        <v>0</v>
      </c>
      <c r="D128" s="226">
        <f t="shared" si="102"/>
        <v>0</v>
      </c>
      <c r="E128" s="227">
        <f>SUM(B128:D128)</f>
        <v>0</v>
      </c>
      <c r="F128" s="226">
        <f t="shared" si="103"/>
        <v>0</v>
      </c>
      <c r="G128" s="226">
        <f t="shared" si="103"/>
        <v>0</v>
      </c>
      <c r="H128" s="226">
        <f t="shared" si="103"/>
        <v>0</v>
      </c>
      <c r="I128" s="227">
        <f>SUM(F128:H128)</f>
        <v>0</v>
      </c>
      <c r="J128" s="226">
        <f t="shared" si="104"/>
        <v>0</v>
      </c>
      <c r="K128" s="226">
        <f t="shared" si="104"/>
        <v>0</v>
      </c>
      <c r="L128" s="226">
        <f t="shared" si="104"/>
        <v>0</v>
      </c>
      <c r="M128" s="227">
        <f>SUM(J128:L128)</f>
        <v>0</v>
      </c>
      <c r="N128" s="226">
        <f t="shared" si="105"/>
        <v>0</v>
      </c>
      <c r="O128" s="226">
        <f t="shared" si="105"/>
        <v>0</v>
      </c>
      <c r="P128" s="226">
        <f t="shared" si="105"/>
        <v>0</v>
      </c>
      <c r="Q128" s="227">
        <f>SUM(N128:P128)</f>
        <v>0</v>
      </c>
      <c r="R128" s="226">
        <f t="shared" si="106"/>
        <v>0</v>
      </c>
      <c r="S128" s="226">
        <f t="shared" si="106"/>
        <v>0</v>
      </c>
      <c r="T128" s="226">
        <f t="shared" si="106"/>
        <v>0</v>
      </c>
      <c r="U128" s="227">
        <f>SUM(R128:T128)</f>
        <v>0</v>
      </c>
      <c r="V128" s="226">
        <f t="shared" si="107"/>
        <v>0</v>
      </c>
      <c r="W128" s="226">
        <f t="shared" si="107"/>
        <v>0</v>
      </c>
      <c r="X128" s="226">
        <f t="shared" si="107"/>
        <v>0</v>
      </c>
      <c r="Y128" s="227">
        <f>SUM(V128:X128)</f>
        <v>0</v>
      </c>
    </row>
    <row r="129" spans="1:25" ht="12.75" hidden="1" customHeight="1" outlineLevel="2" x14ac:dyDescent="0.2">
      <c r="A129" s="198" t="str">
        <f>"         "&amp;Labels!C316</f>
        <v xml:space="preserve">         Total</v>
      </c>
      <c r="B129" s="226">
        <f t="shared" si="102"/>
        <v>0</v>
      </c>
      <c r="C129" s="226">
        <f t="shared" si="102"/>
        <v>0</v>
      </c>
      <c r="D129" s="226">
        <f t="shared" si="102"/>
        <v>0</v>
      </c>
      <c r="E129" s="227">
        <f>SUM(B120:D120)</f>
        <v>0</v>
      </c>
      <c r="F129" s="226">
        <f t="shared" si="103"/>
        <v>0</v>
      </c>
      <c r="G129" s="226">
        <f t="shared" si="103"/>
        <v>0</v>
      </c>
      <c r="H129" s="226">
        <f t="shared" si="103"/>
        <v>0</v>
      </c>
      <c r="I129" s="227">
        <f>SUM(F120:H120)</f>
        <v>0</v>
      </c>
      <c r="J129" s="226">
        <f t="shared" si="104"/>
        <v>0</v>
      </c>
      <c r="K129" s="226">
        <f t="shared" si="104"/>
        <v>0</v>
      </c>
      <c r="L129" s="226">
        <f t="shared" si="104"/>
        <v>0</v>
      </c>
      <c r="M129" s="227">
        <f>SUM(J120:L120)</f>
        <v>0</v>
      </c>
      <c r="N129" s="226">
        <f t="shared" si="105"/>
        <v>0</v>
      </c>
      <c r="O129" s="226">
        <f t="shared" si="105"/>
        <v>0</v>
      </c>
      <c r="P129" s="226">
        <f t="shared" si="105"/>
        <v>0</v>
      </c>
      <c r="Q129" s="227">
        <f>SUM(N120:P120)</f>
        <v>0</v>
      </c>
      <c r="R129" s="226">
        <f t="shared" si="106"/>
        <v>0</v>
      </c>
      <c r="S129" s="226">
        <f t="shared" si="106"/>
        <v>0</v>
      </c>
      <c r="T129" s="226">
        <f t="shared" si="106"/>
        <v>0</v>
      </c>
      <c r="U129" s="227">
        <f>SUM(R120:T120)</f>
        <v>0</v>
      </c>
      <c r="V129" s="226">
        <f t="shared" si="107"/>
        <v>0</v>
      </c>
      <c r="W129" s="226">
        <f t="shared" si="107"/>
        <v>0</v>
      </c>
      <c r="X129" s="226">
        <f t="shared" si="107"/>
        <v>0</v>
      </c>
      <c r="Y129" s="227">
        <f>SUM(V120:X120)</f>
        <v>0</v>
      </c>
    </row>
    <row r="130" spans="1:25" ht="12.75" hidden="1" customHeight="1" outlineLevel="2" x14ac:dyDescent="0.2">
      <c r="A130" s="198" t="str">
        <f>"            "&amp;Labels!B397</f>
        <v xml:space="preserve">            Supply Type 1</v>
      </c>
      <c r="B130" s="189">
        <f t="shared" si="102"/>
        <v>0</v>
      </c>
      <c r="C130" s="189">
        <f t="shared" si="102"/>
        <v>0</v>
      </c>
      <c r="D130" s="189">
        <f t="shared" si="102"/>
        <v>0</v>
      </c>
      <c r="E130" s="190">
        <f>SUM(B130:D130)</f>
        <v>0</v>
      </c>
      <c r="F130" s="189">
        <f t="shared" si="103"/>
        <v>0</v>
      </c>
      <c r="G130" s="189">
        <f t="shared" si="103"/>
        <v>0</v>
      </c>
      <c r="H130" s="189">
        <f t="shared" si="103"/>
        <v>0</v>
      </c>
      <c r="I130" s="190">
        <f>SUM(F130:H130)</f>
        <v>0</v>
      </c>
      <c r="J130" s="189">
        <f t="shared" si="104"/>
        <v>0</v>
      </c>
      <c r="K130" s="189">
        <f t="shared" si="104"/>
        <v>0</v>
      </c>
      <c r="L130" s="189">
        <f t="shared" si="104"/>
        <v>0</v>
      </c>
      <c r="M130" s="190">
        <f>SUM(J130:L130)</f>
        <v>0</v>
      </c>
      <c r="N130" s="189">
        <f t="shared" si="105"/>
        <v>0</v>
      </c>
      <c r="O130" s="189">
        <f t="shared" si="105"/>
        <v>0</v>
      </c>
      <c r="P130" s="189">
        <f t="shared" si="105"/>
        <v>0</v>
      </c>
      <c r="Q130" s="190">
        <f>SUM(N130:P130)</f>
        <v>0</v>
      </c>
      <c r="R130" s="189">
        <f t="shared" si="106"/>
        <v>0</v>
      </c>
      <c r="S130" s="189">
        <f t="shared" si="106"/>
        <v>0</v>
      </c>
      <c r="T130" s="189">
        <f t="shared" si="106"/>
        <v>0</v>
      </c>
      <c r="U130" s="190">
        <f>SUM(R130:T130)</f>
        <v>0</v>
      </c>
      <c r="V130" s="189">
        <f t="shared" si="107"/>
        <v>0</v>
      </c>
      <c r="W130" s="189">
        <f t="shared" si="107"/>
        <v>0</v>
      </c>
      <c r="X130" s="189">
        <f t="shared" si="107"/>
        <v>0</v>
      </c>
      <c r="Y130" s="190">
        <f>SUM(V130:X130)</f>
        <v>0</v>
      </c>
    </row>
    <row r="131" spans="1:25" ht="12.75" hidden="1" customHeight="1" outlineLevel="2" x14ac:dyDescent="0.2">
      <c r="A131" s="198" t="str">
        <f>"            "&amp;Labels!B398</f>
        <v xml:space="preserve">            Supply Type 2</v>
      </c>
      <c r="B131" s="189">
        <f t="shared" si="102"/>
        <v>0</v>
      </c>
      <c r="C131" s="189">
        <f t="shared" si="102"/>
        <v>0</v>
      </c>
      <c r="D131" s="189">
        <f t="shared" si="102"/>
        <v>0</v>
      </c>
      <c r="E131" s="190">
        <f>SUM(B131:D131)</f>
        <v>0</v>
      </c>
      <c r="F131" s="189">
        <f t="shared" si="103"/>
        <v>0</v>
      </c>
      <c r="G131" s="189">
        <f t="shared" si="103"/>
        <v>0</v>
      </c>
      <c r="H131" s="189">
        <f t="shared" si="103"/>
        <v>0</v>
      </c>
      <c r="I131" s="190">
        <f>SUM(F131:H131)</f>
        <v>0</v>
      </c>
      <c r="J131" s="189">
        <f t="shared" si="104"/>
        <v>0</v>
      </c>
      <c r="K131" s="189">
        <f t="shared" si="104"/>
        <v>0</v>
      </c>
      <c r="L131" s="189">
        <f t="shared" si="104"/>
        <v>0</v>
      </c>
      <c r="M131" s="190">
        <f>SUM(J131:L131)</f>
        <v>0</v>
      </c>
      <c r="N131" s="189">
        <f t="shared" si="105"/>
        <v>0</v>
      </c>
      <c r="O131" s="189">
        <f t="shared" si="105"/>
        <v>0</v>
      </c>
      <c r="P131" s="189">
        <f t="shared" si="105"/>
        <v>0</v>
      </c>
      <c r="Q131" s="190">
        <f>SUM(N131:P131)</f>
        <v>0</v>
      </c>
      <c r="R131" s="189">
        <f t="shared" si="106"/>
        <v>0</v>
      </c>
      <c r="S131" s="189">
        <f t="shared" si="106"/>
        <v>0</v>
      </c>
      <c r="T131" s="189">
        <f t="shared" si="106"/>
        <v>0</v>
      </c>
      <c r="U131" s="190">
        <f>SUM(R131:T131)</f>
        <v>0</v>
      </c>
      <c r="V131" s="189">
        <f t="shared" si="107"/>
        <v>0</v>
      </c>
      <c r="W131" s="189">
        <f t="shared" si="107"/>
        <v>0</v>
      </c>
      <c r="X131" s="189">
        <f t="shared" si="107"/>
        <v>0</v>
      </c>
      <c r="Y131" s="190">
        <f>SUM(V131:X131)</f>
        <v>0</v>
      </c>
    </row>
    <row r="132" spans="1:25" ht="12.75" hidden="1" customHeight="1" outlineLevel="2" x14ac:dyDescent="0.2">
      <c r="A132" s="198" t="str">
        <f>"            "&amp;Labels!C396</f>
        <v xml:space="preserve">            Total</v>
      </c>
      <c r="B132" s="226">
        <f>SUM(B103,B116)</f>
        <v>0</v>
      </c>
      <c r="C132" s="226">
        <f>SUM(C103,C116)</f>
        <v>0</v>
      </c>
      <c r="D132" s="226">
        <f>SUM(D103,D116)</f>
        <v>0</v>
      </c>
      <c r="E132" s="227">
        <f>SUM(B120:D120)</f>
        <v>0</v>
      </c>
      <c r="F132" s="226">
        <f>SUM(F103,F116)</f>
        <v>0</v>
      </c>
      <c r="G132" s="226">
        <f>SUM(G103,G116)</f>
        <v>0</v>
      </c>
      <c r="H132" s="226">
        <f>SUM(H103,H116)</f>
        <v>0</v>
      </c>
      <c r="I132" s="227">
        <f>SUM(F120:H120)</f>
        <v>0</v>
      </c>
      <c r="J132" s="226">
        <f>SUM(J103,J116)</f>
        <v>0</v>
      </c>
      <c r="K132" s="226">
        <f>SUM(K103,K116)</f>
        <v>0</v>
      </c>
      <c r="L132" s="226">
        <f>SUM(L103,L116)</f>
        <v>0</v>
      </c>
      <c r="M132" s="227">
        <f>SUM(J120:L120)</f>
        <v>0</v>
      </c>
      <c r="N132" s="226">
        <f>SUM(N103,N116)</f>
        <v>0</v>
      </c>
      <c r="O132" s="226">
        <f>SUM(O103,O116)</f>
        <v>0</v>
      </c>
      <c r="P132" s="226">
        <f>SUM(P103,P116)</f>
        <v>0</v>
      </c>
      <c r="Q132" s="227">
        <f>SUM(N120:P120)</f>
        <v>0</v>
      </c>
      <c r="R132" s="226">
        <f>SUM(R103,R116)</f>
        <v>0</v>
      </c>
      <c r="S132" s="226">
        <f>SUM(S103,S116)</f>
        <v>0</v>
      </c>
      <c r="T132" s="226">
        <f>SUM(T103,T116)</f>
        <v>0</v>
      </c>
      <c r="U132" s="227">
        <f>SUM(R120:T120)</f>
        <v>0</v>
      </c>
      <c r="V132" s="226">
        <f>SUM(V103,V116)</f>
        <v>0</v>
      </c>
      <c r="W132" s="226">
        <f>SUM(W103,W116)</f>
        <v>0</v>
      </c>
      <c r="X132" s="226">
        <f>SUM(X103,X116)</f>
        <v>0</v>
      </c>
      <c r="Y132" s="227">
        <f>SUM(V120:X120)</f>
        <v>0</v>
      </c>
    </row>
    <row r="133" spans="1:25" ht="12.75" hidden="1" customHeight="1" outlineLevel="2" x14ac:dyDescent="0.2">
      <c r="A133" s="188" t="str">
        <f>"   "&amp;Labels!B382</f>
        <v xml:space="preserve">   Practice 2</v>
      </c>
      <c r="B133" s="196"/>
      <c r="C133" s="196"/>
      <c r="D133" s="196"/>
      <c r="E133" s="197"/>
      <c r="F133" s="196"/>
      <c r="G133" s="196"/>
      <c r="H133" s="196"/>
      <c r="I133" s="197"/>
      <c r="J133" s="196"/>
      <c r="K133" s="196"/>
      <c r="L133" s="196"/>
      <c r="M133" s="197"/>
      <c r="N133" s="196"/>
      <c r="O133" s="196"/>
      <c r="P133" s="196"/>
      <c r="Q133" s="197"/>
      <c r="R133" s="196"/>
      <c r="S133" s="196"/>
      <c r="T133" s="196"/>
      <c r="U133" s="197"/>
      <c r="V133" s="196"/>
      <c r="W133" s="196"/>
      <c r="X133" s="196"/>
      <c r="Y133" s="197"/>
    </row>
    <row r="134" spans="1:25" ht="12.75" hidden="1" customHeight="1" outlineLevel="2" x14ac:dyDescent="0.2">
      <c r="A134" s="198" t="str">
        <f>"      "&amp;Labels!B385</f>
        <v xml:space="preserve">      Prof Level 1</v>
      </c>
      <c r="B134" s="226"/>
      <c r="C134" s="226"/>
      <c r="D134" s="226"/>
      <c r="E134" s="227"/>
      <c r="F134" s="226"/>
      <c r="G134" s="226"/>
      <c r="H134" s="226"/>
      <c r="I134" s="227"/>
      <c r="J134" s="226"/>
      <c r="K134" s="226"/>
      <c r="L134" s="226"/>
      <c r="M134" s="227"/>
      <c r="N134" s="226"/>
      <c r="O134" s="226"/>
      <c r="P134" s="226"/>
      <c r="Q134" s="227"/>
      <c r="R134" s="226"/>
      <c r="S134" s="226"/>
      <c r="T134" s="226"/>
      <c r="U134" s="227"/>
      <c r="V134" s="226"/>
      <c r="W134" s="226"/>
      <c r="X134" s="226"/>
      <c r="Y134" s="227"/>
    </row>
    <row r="135" spans="1:25" ht="12.75" hidden="1" customHeight="1" outlineLevel="2" x14ac:dyDescent="0.2">
      <c r="A135" s="198" t="str">
        <f>"         "&amp;Labels!B317</f>
        <v xml:space="preserve">         Channels 1</v>
      </c>
      <c r="B135" s="226"/>
      <c r="C135" s="226"/>
      <c r="D135" s="226"/>
      <c r="E135" s="227"/>
      <c r="F135" s="226"/>
      <c r="G135" s="226"/>
      <c r="H135" s="226"/>
      <c r="I135" s="227"/>
      <c r="J135" s="226"/>
      <c r="K135" s="226"/>
      <c r="L135" s="226"/>
      <c r="M135" s="227"/>
      <c r="N135" s="226"/>
      <c r="O135" s="226"/>
      <c r="P135" s="226"/>
      <c r="Q135" s="227"/>
      <c r="R135" s="226"/>
      <c r="S135" s="226"/>
      <c r="T135" s="226"/>
      <c r="U135" s="227"/>
      <c r="V135" s="226"/>
      <c r="W135" s="226"/>
      <c r="X135" s="226"/>
      <c r="Y135" s="227"/>
    </row>
    <row r="136" spans="1:25" ht="12.75" hidden="1" customHeight="1" outlineLevel="2" x14ac:dyDescent="0.2">
      <c r="A136" s="198" t="str">
        <f>"            "&amp;Labels!B397</f>
        <v xml:space="preserve">            Supply Type 1</v>
      </c>
      <c r="B136" s="189">
        <f>Inputs!F169*'(Tables)'!B1096</f>
        <v>0</v>
      </c>
      <c r="C136" s="189">
        <f>Inputs!G169*'(Tables)'!C1096</f>
        <v>0</v>
      </c>
      <c r="D136" s="189">
        <f>Inputs!H169*'(Tables)'!D1096</f>
        <v>0</v>
      </c>
      <c r="E136" s="190">
        <f>SUM(B136:D136)</f>
        <v>0</v>
      </c>
      <c r="F136" s="189">
        <f>Inputs!I169*'(Tables)'!E1096</f>
        <v>0</v>
      </c>
      <c r="G136" s="189">
        <f>Inputs!J169*'(Tables)'!F1096</f>
        <v>0</v>
      </c>
      <c r="H136" s="189">
        <f>Inputs!K169*'(Tables)'!G1096</f>
        <v>0</v>
      </c>
      <c r="I136" s="190">
        <f>SUM(F136:H136)</f>
        <v>0</v>
      </c>
      <c r="J136" s="189">
        <f>Inputs!L169*'(Tables)'!H1096</f>
        <v>0</v>
      </c>
      <c r="K136" s="189">
        <f>Inputs!M169*'(Tables)'!I1096</f>
        <v>0</v>
      </c>
      <c r="L136" s="189">
        <f>Inputs!N169*'(Tables)'!J1096</f>
        <v>0</v>
      </c>
      <c r="M136" s="190">
        <f>SUM(J136:L136)</f>
        <v>0</v>
      </c>
      <c r="N136" s="189">
        <f>Inputs!O169*'(Tables)'!K1096</f>
        <v>0</v>
      </c>
      <c r="O136" s="189">
        <f>Inputs!P169*'(Tables)'!L1096</f>
        <v>0</v>
      </c>
      <c r="P136" s="189">
        <f>Inputs!Q169*'(Tables)'!M1096</f>
        <v>0</v>
      </c>
      <c r="Q136" s="190">
        <f>SUM(N136:P136)</f>
        <v>0</v>
      </c>
      <c r="R136" s="189">
        <f>Inputs!R169*'(Tables)'!N1096</f>
        <v>0</v>
      </c>
      <c r="S136" s="189">
        <f>Inputs!S169*'(Tables)'!O1096</f>
        <v>0</v>
      </c>
      <c r="T136" s="189">
        <f>Inputs!T169*'(Tables)'!P1096</f>
        <v>0</v>
      </c>
      <c r="U136" s="190">
        <f>SUM(R136:T136)</f>
        <v>0</v>
      </c>
      <c r="V136" s="189">
        <f>Inputs!U169*'(Tables)'!Q1096</f>
        <v>0</v>
      </c>
      <c r="W136" s="189">
        <f>Inputs!V169*'(Tables)'!R1096</f>
        <v>0</v>
      </c>
      <c r="X136" s="189">
        <f>Inputs!W169*'(Tables)'!S1096</f>
        <v>0</v>
      </c>
      <c r="Y136" s="190">
        <f>SUM(V136:X136)</f>
        <v>0</v>
      </c>
    </row>
    <row r="137" spans="1:25" ht="12.75" hidden="1" customHeight="1" outlineLevel="2" x14ac:dyDescent="0.2">
      <c r="A137" s="198" t="str">
        <f>"            "&amp;Labels!B398</f>
        <v xml:space="preserve">            Supply Type 2</v>
      </c>
      <c r="B137" s="189">
        <f>Inputs!F171*'(Tables)'!B1096</f>
        <v>0</v>
      </c>
      <c r="C137" s="189">
        <f>Inputs!G171*'(Tables)'!C1096</f>
        <v>0</v>
      </c>
      <c r="D137" s="189">
        <f>Inputs!H171*'(Tables)'!D1096</f>
        <v>0</v>
      </c>
      <c r="E137" s="190">
        <f>SUM(B137:D137)</f>
        <v>0</v>
      </c>
      <c r="F137" s="189">
        <f>Inputs!I171*'(Tables)'!E1096</f>
        <v>0</v>
      </c>
      <c r="G137" s="189">
        <f>Inputs!J171*'(Tables)'!F1096</f>
        <v>0</v>
      </c>
      <c r="H137" s="189">
        <f>Inputs!K171*'(Tables)'!G1096</f>
        <v>0</v>
      </c>
      <c r="I137" s="190">
        <f>SUM(F137:H137)</f>
        <v>0</v>
      </c>
      <c r="J137" s="189">
        <f>Inputs!L171*'(Tables)'!H1096</f>
        <v>0</v>
      </c>
      <c r="K137" s="189">
        <f>Inputs!M171*'(Tables)'!I1096</f>
        <v>0</v>
      </c>
      <c r="L137" s="189">
        <f>Inputs!N171*'(Tables)'!J1096</f>
        <v>0</v>
      </c>
      <c r="M137" s="190">
        <f>SUM(J137:L137)</f>
        <v>0</v>
      </c>
      <c r="N137" s="189">
        <f>Inputs!O171*'(Tables)'!K1096</f>
        <v>0</v>
      </c>
      <c r="O137" s="189">
        <f>Inputs!P171*'(Tables)'!L1096</f>
        <v>0</v>
      </c>
      <c r="P137" s="189">
        <f>Inputs!Q171*'(Tables)'!M1096</f>
        <v>0</v>
      </c>
      <c r="Q137" s="190">
        <f>SUM(N137:P137)</f>
        <v>0</v>
      </c>
      <c r="R137" s="189">
        <f>Inputs!R171*'(Tables)'!N1096</f>
        <v>0</v>
      </c>
      <c r="S137" s="189">
        <f>Inputs!S171*'(Tables)'!O1096</f>
        <v>0</v>
      </c>
      <c r="T137" s="189">
        <f>Inputs!T171*'(Tables)'!P1096</f>
        <v>0</v>
      </c>
      <c r="U137" s="190">
        <f>SUM(R137:T137)</f>
        <v>0</v>
      </c>
      <c r="V137" s="189">
        <f>Inputs!U171*'(Tables)'!Q1096</f>
        <v>0</v>
      </c>
      <c r="W137" s="189">
        <f>Inputs!V171*'(Tables)'!R1096</f>
        <v>0</v>
      </c>
      <c r="X137" s="189">
        <f>Inputs!W171*'(Tables)'!S1096</f>
        <v>0</v>
      </c>
      <c r="Y137" s="190">
        <f>SUM(V137:X137)</f>
        <v>0</v>
      </c>
    </row>
    <row r="138" spans="1:25" ht="12.75" hidden="1" customHeight="1" outlineLevel="2" x14ac:dyDescent="0.2">
      <c r="A138" s="198" t="str">
        <f>"            "&amp;Labels!C396</f>
        <v xml:space="preserve">            Total</v>
      </c>
      <c r="B138" s="226">
        <f>SUM(B136:B137)</f>
        <v>0</v>
      </c>
      <c r="C138" s="226">
        <f>SUM(C136:C137)</f>
        <v>0</v>
      </c>
      <c r="D138" s="226">
        <f>SUM(D136:D137)</f>
        <v>0</v>
      </c>
      <c r="E138" s="227">
        <f>SUM(B138:D138)</f>
        <v>0</v>
      </c>
      <c r="F138" s="226">
        <f>SUM(F136:F137)</f>
        <v>0</v>
      </c>
      <c r="G138" s="226">
        <f>SUM(G136:G137)</f>
        <v>0</v>
      </c>
      <c r="H138" s="226">
        <f>SUM(H136:H137)</f>
        <v>0</v>
      </c>
      <c r="I138" s="227">
        <f>SUM(F138:H138)</f>
        <v>0</v>
      </c>
      <c r="J138" s="226">
        <f>SUM(J136:J137)</f>
        <v>0</v>
      </c>
      <c r="K138" s="226">
        <f>SUM(K136:K137)</f>
        <v>0</v>
      </c>
      <c r="L138" s="226">
        <f>SUM(L136:L137)</f>
        <v>0</v>
      </c>
      <c r="M138" s="227">
        <f>SUM(J138:L138)</f>
        <v>0</v>
      </c>
      <c r="N138" s="226">
        <f>SUM(N136:N137)</f>
        <v>0</v>
      </c>
      <c r="O138" s="226">
        <f>SUM(O136:O137)</f>
        <v>0</v>
      </c>
      <c r="P138" s="226">
        <f>SUM(P136:P137)</f>
        <v>0</v>
      </c>
      <c r="Q138" s="227">
        <f>SUM(N138:P138)</f>
        <v>0</v>
      </c>
      <c r="R138" s="226">
        <f>SUM(R136:R137)</f>
        <v>0</v>
      </c>
      <c r="S138" s="226">
        <f>SUM(S136:S137)</f>
        <v>0</v>
      </c>
      <c r="T138" s="226">
        <f>SUM(T136:T137)</f>
        <v>0</v>
      </c>
      <c r="U138" s="227">
        <f>SUM(R138:T138)</f>
        <v>0</v>
      </c>
      <c r="V138" s="226">
        <f>SUM(V136:V137)</f>
        <v>0</v>
      </c>
      <c r="W138" s="226">
        <f>SUM(W136:W137)</f>
        <v>0</v>
      </c>
      <c r="X138" s="226">
        <f>SUM(X136:X137)</f>
        <v>0</v>
      </c>
      <c r="Y138" s="227">
        <f>SUM(V138:X138)</f>
        <v>0</v>
      </c>
    </row>
    <row r="139" spans="1:25" ht="12.75" hidden="1" customHeight="1" outlineLevel="2" x14ac:dyDescent="0.2">
      <c r="A139" s="198" t="str">
        <f>"         "&amp;Labels!B318</f>
        <v xml:space="preserve">         Channels 2</v>
      </c>
      <c r="B139" s="226"/>
      <c r="C139" s="226"/>
      <c r="D139" s="226"/>
      <c r="E139" s="227"/>
      <c r="F139" s="226"/>
      <c r="G139" s="226"/>
      <c r="H139" s="226"/>
      <c r="I139" s="227"/>
      <c r="J139" s="226"/>
      <c r="K139" s="226"/>
      <c r="L139" s="226"/>
      <c r="M139" s="227"/>
      <c r="N139" s="226"/>
      <c r="O139" s="226"/>
      <c r="P139" s="226"/>
      <c r="Q139" s="227"/>
      <c r="R139" s="226"/>
      <c r="S139" s="226"/>
      <c r="T139" s="226"/>
      <c r="U139" s="227"/>
      <c r="V139" s="226"/>
      <c r="W139" s="226"/>
      <c r="X139" s="226"/>
      <c r="Y139" s="227"/>
    </row>
    <row r="140" spans="1:25" ht="12.75" hidden="1" customHeight="1" outlineLevel="2" x14ac:dyDescent="0.2">
      <c r="A140" s="198" t="str">
        <f>"            "&amp;Labels!B397</f>
        <v xml:space="preserve">            Supply Type 1</v>
      </c>
      <c r="B140" s="189">
        <f>Inputs!F170*'(Tables)'!B1097</f>
        <v>0</v>
      </c>
      <c r="C140" s="189">
        <f>Inputs!G170*'(Tables)'!C1097</f>
        <v>0</v>
      </c>
      <c r="D140" s="189">
        <f>Inputs!H170*'(Tables)'!D1097</f>
        <v>0</v>
      </c>
      <c r="E140" s="190">
        <f t="shared" ref="E140:E145" si="108">SUM(B140:D140)</f>
        <v>0</v>
      </c>
      <c r="F140" s="189">
        <f>Inputs!I170*'(Tables)'!E1097</f>
        <v>0</v>
      </c>
      <c r="G140" s="189">
        <f>Inputs!J170*'(Tables)'!F1097</f>
        <v>0</v>
      </c>
      <c r="H140" s="189">
        <f>Inputs!K170*'(Tables)'!G1097</f>
        <v>0</v>
      </c>
      <c r="I140" s="190">
        <f t="shared" ref="I140:I145" si="109">SUM(F140:H140)</f>
        <v>0</v>
      </c>
      <c r="J140" s="189">
        <f>Inputs!L170*'(Tables)'!H1097</f>
        <v>0</v>
      </c>
      <c r="K140" s="189">
        <f>Inputs!M170*'(Tables)'!I1097</f>
        <v>0</v>
      </c>
      <c r="L140" s="189">
        <f>Inputs!N170*'(Tables)'!J1097</f>
        <v>0</v>
      </c>
      <c r="M140" s="190">
        <f t="shared" ref="M140:M145" si="110">SUM(J140:L140)</f>
        <v>0</v>
      </c>
      <c r="N140" s="189">
        <f>Inputs!O170*'(Tables)'!K1097</f>
        <v>0</v>
      </c>
      <c r="O140" s="189">
        <f>Inputs!P170*'(Tables)'!L1097</f>
        <v>0</v>
      </c>
      <c r="P140" s="189">
        <f>Inputs!Q170*'(Tables)'!M1097</f>
        <v>0</v>
      </c>
      <c r="Q140" s="190">
        <f t="shared" ref="Q140:Q145" si="111">SUM(N140:P140)</f>
        <v>0</v>
      </c>
      <c r="R140" s="189">
        <f>Inputs!R170*'(Tables)'!N1097</f>
        <v>0</v>
      </c>
      <c r="S140" s="189">
        <f>Inputs!S170*'(Tables)'!O1097</f>
        <v>0</v>
      </c>
      <c r="T140" s="189">
        <f>Inputs!T170*'(Tables)'!P1097</f>
        <v>0</v>
      </c>
      <c r="U140" s="190">
        <f t="shared" ref="U140:U145" si="112">SUM(R140:T140)</f>
        <v>0</v>
      </c>
      <c r="V140" s="189">
        <f>Inputs!U170*'(Tables)'!Q1097</f>
        <v>0</v>
      </c>
      <c r="W140" s="189">
        <f>Inputs!V170*'(Tables)'!R1097</f>
        <v>0</v>
      </c>
      <c r="X140" s="189">
        <f>Inputs!W170*'(Tables)'!S1097</f>
        <v>0</v>
      </c>
      <c r="Y140" s="190">
        <f t="shared" ref="Y140:Y145" si="113">SUM(V140:X140)</f>
        <v>0</v>
      </c>
    </row>
    <row r="141" spans="1:25" ht="12.75" hidden="1" customHeight="1" outlineLevel="2" x14ac:dyDescent="0.2">
      <c r="A141" s="198" t="str">
        <f>"            "&amp;Labels!B398</f>
        <v xml:space="preserve">            Supply Type 2</v>
      </c>
      <c r="B141" s="189">
        <f>Inputs!F172*'(Tables)'!B1097</f>
        <v>0</v>
      </c>
      <c r="C141" s="189">
        <f>Inputs!G172*'(Tables)'!C1097</f>
        <v>0</v>
      </c>
      <c r="D141" s="189">
        <f>Inputs!H172*'(Tables)'!D1097</f>
        <v>0</v>
      </c>
      <c r="E141" s="190">
        <f t="shared" si="108"/>
        <v>0</v>
      </c>
      <c r="F141" s="189">
        <f>Inputs!I172*'(Tables)'!E1097</f>
        <v>0</v>
      </c>
      <c r="G141" s="189">
        <f>Inputs!J172*'(Tables)'!F1097</f>
        <v>0</v>
      </c>
      <c r="H141" s="189">
        <f>Inputs!K172*'(Tables)'!G1097</f>
        <v>0</v>
      </c>
      <c r="I141" s="190">
        <f t="shared" si="109"/>
        <v>0</v>
      </c>
      <c r="J141" s="189">
        <f>Inputs!L172*'(Tables)'!H1097</f>
        <v>0</v>
      </c>
      <c r="K141" s="189">
        <f>Inputs!M172*'(Tables)'!I1097</f>
        <v>0</v>
      </c>
      <c r="L141" s="189">
        <f>Inputs!N172*'(Tables)'!J1097</f>
        <v>0</v>
      </c>
      <c r="M141" s="190">
        <f t="shared" si="110"/>
        <v>0</v>
      </c>
      <c r="N141" s="189">
        <f>Inputs!O172*'(Tables)'!K1097</f>
        <v>0</v>
      </c>
      <c r="O141" s="189">
        <f>Inputs!P172*'(Tables)'!L1097</f>
        <v>0</v>
      </c>
      <c r="P141" s="189">
        <f>Inputs!Q172*'(Tables)'!M1097</f>
        <v>0</v>
      </c>
      <c r="Q141" s="190">
        <f t="shared" si="111"/>
        <v>0</v>
      </c>
      <c r="R141" s="189">
        <f>Inputs!R172*'(Tables)'!N1097</f>
        <v>0</v>
      </c>
      <c r="S141" s="189">
        <f>Inputs!S172*'(Tables)'!O1097</f>
        <v>0</v>
      </c>
      <c r="T141" s="189">
        <f>Inputs!T172*'(Tables)'!P1097</f>
        <v>0</v>
      </c>
      <c r="U141" s="190">
        <f t="shared" si="112"/>
        <v>0</v>
      </c>
      <c r="V141" s="189">
        <f>Inputs!U172*'(Tables)'!Q1097</f>
        <v>0</v>
      </c>
      <c r="W141" s="189">
        <f>Inputs!V172*'(Tables)'!R1097</f>
        <v>0</v>
      </c>
      <c r="X141" s="189">
        <f>Inputs!W172*'(Tables)'!S1097</f>
        <v>0</v>
      </c>
      <c r="Y141" s="190">
        <f t="shared" si="113"/>
        <v>0</v>
      </c>
    </row>
    <row r="142" spans="1:25" ht="12.75" hidden="1" customHeight="1" outlineLevel="2" x14ac:dyDescent="0.2">
      <c r="A142" s="198" t="str">
        <f>"            "&amp;Labels!C396</f>
        <v xml:space="preserve">            Total</v>
      </c>
      <c r="B142" s="226">
        <f>SUM(B140:B141)</f>
        <v>0</v>
      </c>
      <c r="C142" s="226">
        <f>SUM(C140:C141)</f>
        <v>0</v>
      </c>
      <c r="D142" s="226">
        <f>SUM(D140:D141)</f>
        <v>0</v>
      </c>
      <c r="E142" s="227">
        <f t="shared" si="108"/>
        <v>0</v>
      </c>
      <c r="F142" s="226">
        <f>SUM(F140:F141)</f>
        <v>0</v>
      </c>
      <c r="G142" s="226">
        <f>SUM(G140:G141)</f>
        <v>0</v>
      </c>
      <c r="H142" s="226">
        <f>SUM(H140:H141)</f>
        <v>0</v>
      </c>
      <c r="I142" s="227">
        <f t="shared" si="109"/>
        <v>0</v>
      </c>
      <c r="J142" s="226">
        <f>SUM(J140:J141)</f>
        <v>0</v>
      </c>
      <c r="K142" s="226">
        <f>SUM(K140:K141)</f>
        <v>0</v>
      </c>
      <c r="L142" s="226">
        <f>SUM(L140:L141)</f>
        <v>0</v>
      </c>
      <c r="M142" s="227">
        <f t="shared" si="110"/>
        <v>0</v>
      </c>
      <c r="N142" s="226">
        <f>SUM(N140:N141)</f>
        <v>0</v>
      </c>
      <c r="O142" s="226">
        <f>SUM(O140:O141)</f>
        <v>0</v>
      </c>
      <c r="P142" s="226">
        <f>SUM(P140:P141)</f>
        <v>0</v>
      </c>
      <c r="Q142" s="227">
        <f t="shared" si="111"/>
        <v>0</v>
      </c>
      <c r="R142" s="226">
        <f>SUM(R140:R141)</f>
        <v>0</v>
      </c>
      <c r="S142" s="226">
        <f>SUM(S140:S141)</f>
        <v>0</v>
      </c>
      <c r="T142" s="226">
        <f>SUM(T140:T141)</f>
        <v>0</v>
      </c>
      <c r="U142" s="227">
        <f t="shared" si="112"/>
        <v>0</v>
      </c>
      <c r="V142" s="226">
        <f>SUM(V140:V141)</f>
        <v>0</v>
      </c>
      <c r="W142" s="226">
        <f>SUM(W140:W141)</f>
        <v>0</v>
      </c>
      <c r="X142" s="226">
        <f>SUM(X140:X141)</f>
        <v>0</v>
      </c>
      <c r="Y142" s="227">
        <f t="shared" si="113"/>
        <v>0</v>
      </c>
    </row>
    <row r="143" spans="1:25" ht="12.75" hidden="1" customHeight="1" outlineLevel="2" x14ac:dyDescent="0.2">
      <c r="A143" s="198" t="str">
        <f>"         "&amp;Labels!C316</f>
        <v xml:space="preserve">         Total</v>
      </c>
      <c r="B143" s="226">
        <f>SUM(B144:B145)</f>
        <v>0</v>
      </c>
      <c r="C143" s="226">
        <f>SUM(C144:C145)</f>
        <v>0</v>
      </c>
      <c r="D143" s="226">
        <f>SUM(D144:D145)</f>
        <v>0</v>
      </c>
      <c r="E143" s="227">
        <f t="shared" si="108"/>
        <v>0</v>
      </c>
      <c r="F143" s="226">
        <f>SUM(F144:F145)</f>
        <v>0</v>
      </c>
      <c r="G143" s="226">
        <f>SUM(G144:G145)</f>
        <v>0</v>
      </c>
      <c r="H143" s="226">
        <f>SUM(H144:H145)</f>
        <v>0</v>
      </c>
      <c r="I143" s="227">
        <f t="shared" si="109"/>
        <v>0</v>
      </c>
      <c r="J143" s="226">
        <f>SUM(J144:J145)</f>
        <v>0</v>
      </c>
      <c r="K143" s="226">
        <f>SUM(K144:K145)</f>
        <v>0</v>
      </c>
      <c r="L143" s="226">
        <f>SUM(L144:L145)</f>
        <v>0</v>
      </c>
      <c r="M143" s="227">
        <f t="shared" si="110"/>
        <v>0</v>
      </c>
      <c r="N143" s="226">
        <f>SUM(N144:N145)</f>
        <v>0</v>
      </c>
      <c r="O143" s="226">
        <f>SUM(O144:O145)</f>
        <v>0</v>
      </c>
      <c r="P143" s="226">
        <f>SUM(P144:P145)</f>
        <v>0</v>
      </c>
      <c r="Q143" s="227">
        <f t="shared" si="111"/>
        <v>0</v>
      </c>
      <c r="R143" s="226">
        <f>SUM(R144:R145)</f>
        <v>0</v>
      </c>
      <c r="S143" s="226">
        <f>SUM(S144:S145)</f>
        <v>0</v>
      </c>
      <c r="T143" s="226">
        <f>SUM(T144:T145)</f>
        <v>0</v>
      </c>
      <c r="U143" s="227">
        <f t="shared" si="112"/>
        <v>0</v>
      </c>
      <c r="V143" s="226">
        <f>SUM(V144:V145)</f>
        <v>0</v>
      </c>
      <c r="W143" s="226">
        <f>SUM(W144:W145)</f>
        <v>0</v>
      </c>
      <c r="X143" s="226">
        <f>SUM(X144:X145)</f>
        <v>0</v>
      </c>
      <c r="Y143" s="227">
        <f t="shared" si="113"/>
        <v>0</v>
      </c>
    </row>
    <row r="144" spans="1:25" ht="12.75" hidden="1" customHeight="1" outlineLevel="2" x14ac:dyDescent="0.2">
      <c r="A144" s="198" t="str">
        <f>"            "&amp;Labels!B397</f>
        <v xml:space="preserve">            Supply Type 1</v>
      </c>
      <c r="B144" s="189">
        <f t="shared" ref="B144:D146" si="114">SUM(B136,B140)</f>
        <v>0</v>
      </c>
      <c r="C144" s="189">
        <f t="shared" si="114"/>
        <v>0</v>
      </c>
      <c r="D144" s="189">
        <f t="shared" si="114"/>
        <v>0</v>
      </c>
      <c r="E144" s="190">
        <f t="shared" si="108"/>
        <v>0</v>
      </c>
      <c r="F144" s="189">
        <f t="shared" ref="F144:H146" si="115">SUM(F136,F140)</f>
        <v>0</v>
      </c>
      <c r="G144" s="189">
        <f t="shared" si="115"/>
        <v>0</v>
      </c>
      <c r="H144" s="189">
        <f t="shared" si="115"/>
        <v>0</v>
      </c>
      <c r="I144" s="190">
        <f t="shared" si="109"/>
        <v>0</v>
      </c>
      <c r="J144" s="189">
        <f t="shared" ref="J144:L146" si="116">SUM(J136,J140)</f>
        <v>0</v>
      </c>
      <c r="K144" s="189">
        <f t="shared" si="116"/>
        <v>0</v>
      </c>
      <c r="L144" s="189">
        <f t="shared" si="116"/>
        <v>0</v>
      </c>
      <c r="M144" s="190">
        <f t="shared" si="110"/>
        <v>0</v>
      </c>
      <c r="N144" s="189">
        <f t="shared" ref="N144:P146" si="117">SUM(N136,N140)</f>
        <v>0</v>
      </c>
      <c r="O144" s="189">
        <f t="shared" si="117"/>
        <v>0</v>
      </c>
      <c r="P144" s="189">
        <f t="shared" si="117"/>
        <v>0</v>
      </c>
      <c r="Q144" s="190">
        <f t="shared" si="111"/>
        <v>0</v>
      </c>
      <c r="R144" s="189">
        <f t="shared" ref="R144:T146" si="118">SUM(R136,R140)</f>
        <v>0</v>
      </c>
      <c r="S144" s="189">
        <f t="shared" si="118"/>
        <v>0</v>
      </c>
      <c r="T144" s="189">
        <f t="shared" si="118"/>
        <v>0</v>
      </c>
      <c r="U144" s="190">
        <f t="shared" si="112"/>
        <v>0</v>
      </c>
      <c r="V144" s="189">
        <f t="shared" ref="V144:X146" si="119">SUM(V136,V140)</f>
        <v>0</v>
      </c>
      <c r="W144" s="189">
        <f t="shared" si="119"/>
        <v>0</v>
      </c>
      <c r="X144" s="189">
        <f t="shared" si="119"/>
        <v>0</v>
      </c>
      <c r="Y144" s="190">
        <f t="shared" si="113"/>
        <v>0</v>
      </c>
    </row>
    <row r="145" spans="1:25" ht="12.75" hidden="1" customHeight="1" outlineLevel="2" x14ac:dyDescent="0.2">
      <c r="A145" s="198" t="str">
        <f>"            "&amp;Labels!B398</f>
        <v xml:space="preserve">            Supply Type 2</v>
      </c>
      <c r="B145" s="189">
        <f t="shared" si="114"/>
        <v>0</v>
      </c>
      <c r="C145" s="189">
        <f t="shared" si="114"/>
        <v>0</v>
      </c>
      <c r="D145" s="189">
        <f t="shared" si="114"/>
        <v>0</v>
      </c>
      <c r="E145" s="190">
        <f t="shared" si="108"/>
        <v>0</v>
      </c>
      <c r="F145" s="189">
        <f t="shared" si="115"/>
        <v>0</v>
      </c>
      <c r="G145" s="189">
        <f t="shared" si="115"/>
        <v>0</v>
      </c>
      <c r="H145" s="189">
        <f t="shared" si="115"/>
        <v>0</v>
      </c>
      <c r="I145" s="190">
        <f t="shared" si="109"/>
        <v>0</v>
      </c>
      <c r="J145" s="189">
        <f t="shared" si="116"/>
        <v>0</v>
      </c>
      <c r="K145" s="189">
        <f t="shared" si="116"/>
        <v>0</v>
      </c>
      <c r="L145" s="189">
        <f t="shared" si="116"/>
        <v>0</v>
      </c>
      <c r="M145" s="190">
        <f t="shared" si="110"/>
        <v>0</v>
      </c>
      <c r="N145" s="189">
        <f t="shared" si="117"/>
        <v>0</v>
      </c>
      <c r="O145" s="189">
        <f t="shared" si="117"/>
        <v>0</v>
      </c>
      <c r="P145" s="189">
        <f t="shared" si="117"/>
        <v>0</v>
      </c>
      <c r="Q145" s="190">
        <f t="shared" si="111"/>
        <v>0</v>
      </c>
      <c r="R145" s="189">
        <f t="shared" si="118"/>
        <v>0</v>
      </c>
      <c r="S145" s="189">
        <f t="shared" si="118"/>
        <v>0</v>
      </c>
      <c r="T145" s="189">
        <f t="shared" si="118"/>
        <v>0</v>
      </c>
      <c r="U145" s="190">
        <f t="shared" si="112"/>
        <v>0</v>
      </c>
      <c r="V145" s="189">
        <f t="shared" si="119"/>
        <v>0</v>
      </c>
      <c r="W145" s="189">
        <f t="shared" si="119"/>
        <v>0</v>
      </c>
      <c r="X145" s="189">
        <f t="shared" si="119"/>
        <v>0</v>
      </c>
      <c r="Y145" s="190">
        <f t="shared" si="113"/>
        <v>0</v>
      </c>
    </row>
    <row r="146" spans="1:25" ht="12.75" hidden="1" customHeight="1" outlineLevel="2" x14ac:dyDescent="0.2">
      <c r="A146" s="198" t="str">
        <f>"            "&amp;Labels!C396</f>
        <v xml:space="preserve">            Total</v>
      </c>
      <c r="B146" s="226">
        <f t="shared" si="114"/>
        <v>0</v>
      </c>
      <c r="C146" s="226">
        <f t="shared" si="114"/>
        <v>0</v>
      </c>
      <c r="D146" s="226">
        <f t="shared" si="114"/>
        <v>0</v>
      </c>
      <c r="E146" s="227">
        <f>SUM(B143:D143)</f>
        <v>0</v>
      </c>
      <c r="F146" s="226">
        <f t="shared" si="115"/>
        <v>0</v>
      </c>
      <c r="G146" s="226">
        <f t="shared" si="115"/>
        <v>0</v>
      </c>
      <c r="H146" s="226">
        <f t="shared" si="115"/>
        <v>0</v>
      </c>
      <c r="I146" s="227">
        <f>SUM(F143:H143)</f>
        <v>0</v>
      </c>
      <c r="J146" s="226">
        <f t="shared" si="116"/>
        <v>0</v>
      </c>
      <c r="K146" s="226">
        <f t="shared" si="116"/>
        <v>0</v>
      </c>
      <c r="L146" s="226">
        <f t="shared" si="116"/>
        <v>0</v>
      </c>
      <c r="M146" s="227">
        <f>SUM(J143:L143)</f>
        <v>0</v>
      </c>
      <c r="N146" s="226">
        <f t="shared" si="117"/>
        <v>0</v>
      </c>
      <c r="O146" s="226">
        <f t="shared" si="117"/>
        <v>0</v>
      </c>
      <c r="P146" s="226">
        <f t="shared" si="117"/>
        <v>0</v>
      </c>
      <c r="Q146" s="227">
        <f>SUM(N143:P143)</f>
        <v>0</v>
      </c>
      <c r="R146" s="226">
        <f t="shared" si="118"/>
        <v>0</v>
      </c>
      <c r="S146" s="226">
        <f t="shared" si="118"/>
        <v>0</v>
      </c>
      <c r="T146" s="226">
        <f t="shared" si="118"/>
        <v>0</v>
      </c>
      <c r="U146" s="227">
        <f>SUM(R143:T143)</f>
        <v>0</v>
      </c>
      <c r="V146" s="226">
        <f t="shared" si="119"/>
        <v>0</v>
      </c>
      <c r="W146" s="226">
        <f t="shared" si="119"/>
        <v>0</v>
      </c>
      <c r="X146" s="226">
        <f t="shared" si="119"/>
        <v>0</v>
      </c>
      <c r="Y146" s="227">
        <f>SUM(V143:X143)</f>
        <v>0</v>
      </c>
    </row>
    <row r="147" spans="1:25" ht="12.75" hidden="1" customHeight="1" outlineLevel="2" x14ac:dyDescent="0.2">
      <c r="A147" s="198" t="str">
        <f>"      "&amp;Labels!B386</f>
        <v xml:space="preserve">      Prof Level 2</v>
      </c>
      <c r="B147" s="226"/>
      <c r="C147" s="226"/>
      <c r="D147" s="226"/>
      <c r="E147" s="227"/>
      <c r="F147" s="226"/>
      <c r="G147" s="226"/>
      <c r="H147" s="226"/>
      <c r="I147" s="227"/>
      <c r="J147" s="226"/>
      <c r="K147" s="226"/>
      <c r="L147" s="226"/>
      <c r="M147" s="227"/>
      <c r="N147" s="226"/>
      <c r="O147" s="226"/>
      <c r="P147" s="226"/>
      <c r="Q147" s="227"/>
      <c r="R147" s="226"/>
      <c r="S147" s="226"/>
      <c r="T147" s="226"/>
      <c r="U147" s="227"/>
      <c r="V147" s="226"/>
      <c r="W147" s="226"/>
      <c r="X147" s="226"/>
      <c r="Y147" s="227"/>
    </row>
    <row r="148" spans="1:25" ht="12.75" hidden="1" customHeight="1" outlineLevel="2" x14ac:dyDescent="0.2">
      <c r="A148" s="198" t="str">
        <f>"         "&amp;Labels!B317</f>
        <v xml:space="preserve">         Channels 1</v>
      </c>
      <c r="B148" s="226"/>
      <c r="C148" s="226"/>
      <c r="D148" s="226"/>
      <c r="E148" s="227"/>
      <c r="F148" s="226"/>
      <c r="G148" s="226"/>
      <c r="H148" s="226"/>
      <c r="I148" s="227"/>
      <c r="J148" s="226"/>
      <c r="K148" s="226"/>
      <c r="L148" s="226"/>
      <c r="M148" s="227"/>
      <c r="N148" s="226"/>
      <c r="O148" s="226"/>
      <c r="P148" s="226"/>
      <c r="Q148" s="227"/>
      <c r="R148" s="226"/>
      <c r="S148" s="226"/>
      <c r="T148" s="226"/>
      <c r="U148" s="227"/>
      <c r="V148" s="226"/>
      <c r="W148" s="226"/>
      <c r="X148" s="226"/>
      <c r="Y148" s="227"/>
    </row>
    <row r="149" spans="1:25" ht="12.75" hidden="1" customHeight="1" outlineLevel="2" x14ac:dyDescent="0.2">
      <c r="A149" s="198" t="str">
        <f>"            "&amp;Labels!B397</f>
        <v xml:space="preserve">            Supply Type 1</v>
      </c>
      <c r="B149" s="189">
        <f>Inputs!F173*'(Tables)'!B1100</f>
        <v>0</v>
      </c>
      <c r="C149" s="189">
        <f>Inputs!G173*'(Tables)'!C1100</f>
        <v>0</v>
      </c>
      <c r="D149" s="189">
        <f>Inputs!H173*'(Tables)'!D1100</f>
        <v>0</v>
      </c>
      <c r="E149" s="190">
        <f>SUM(B149:D149)</f>
        <v>0</v>
      </c>
      <c r="F149" s="189">
        <f>Inputs!I173*'(Tables)'!E1100</f>
        <v>0</v>
      </c>
      <c r="G149" s="189">
        <f>Inputs!J173*'(Tables)'!F1100</f>
        <v>0</v>
      </c>
      <c r="H149" s="189">
        <f>Inputs!K173*'(Tables)'!G1100</f>
        <v>0</v>
      </c>
      <c r="I149" s="190">
        <f>SUM(F149:H149)</f>
        <v>0</v>
      </c>
      <c r="J149" s="189">
        <f>Inputs!L173*'(Tables)'!H1100</f>
        <v>0</v>
      </c>
      <c r="K149" s="189">
        <f>Inputs!M173*'(Tables)'!I1100</f>
        <v>0</v>
      </c>
      <c r="L149" s="189">
        <f>Inputs!N173*'(Tables)'!J1100</f>
        <v>0</v>
      </c>
      <c r="M149" s="190">
        <f>SUM(J149:L149)</f>
        <v>0</v>
      </c>
      <c r="N149" s="189">
        <f>Inputs!O173*'(Tables)'!K1100</f>
        <v>0</v>
      </c>
      <c r="O149" s="189">
        <f>Inputs!P173*'(Tables)'!L1100</f>
        <v>0</v>
      </c>
      <c r="P149" s="189">
        <f>Inputs!Q173*'(Tables)'!M1100</f>
        <v>0</v>
      </c>
      <c r="Q149" s="190">
        <f>SUM(N149:P149)</f>
        <v>0</v>
      </c>
      <c r="R149" s="189">
        <f>Inputs!R173*'(Tables)'!N1100</f>
        <v>0</v>
      </c>
      <c r="S149" s="189">
        <f>Inputs!S173*'(Tables)'!O1100</f>
        <v>0</v>
      </c>
      <c r="T149" s="189">
        <f>Inputs!T173*'(Tables)'!P1100</f>
        <v>0</v>
      </c>
      <c r="U149" s="190">
        <f>SUM(R149:T149)</f>
        <v>0</v>
      </c>
      <c r="V149" s="189">
        <f>Inputs!U173*'(Tables)'!Q1100</f>
        <v>0</v>
      </c>
      <c r="W149" s="189">
        <f>Inputs!V173*'(Tables)'!R1100</f>
        <v>0</v>
      </c>
      <c r="X149" s="189">
        <f>Inputs!W173*'(Tables)'!S1100</f>
        <v>0</v>
      </c>
      <c r="Y149" s="190">
        <f>SUM(V149:X149)</f>
        <v>0</v>
      </c>
    </row>
    <row r="150" spans="1:25" ht="12.75" hidden="1" customHeight="1" outlineLevel="2" x14ac:dyDescent="0.2">
      <c r="A150" s="198" t="str">
        <f>"            "&amp;Labels!B398</f>
        <v xml:space="preserve">            Supply Type 2</v>
      </c>
      <c r="B150" s="189">
        <f>Inputs!F175*'(Tables)'!B1100</f>
        <v>0</v>
      </c>
      <c r="C150" s="189">
        <f>Inputs!G175*'(Tables)'!C1100</f>
        <v>0</v>
      </c>
      <c r="D150" s="189">
        <f>Inputs!H175*'(Tables)'!D1100</f>
        <v>0</v>
      </c>
      <c r="E150" s="190">
        <f>SUM(B150:D150)</f>
        <v>0</v>
      </c>
      <c r="F150" s="189">
        <f>Inputs!I175*'(Tables)'!E1100</f>
        <v>0</v>
      </c>
      <c r="G150" s="189">
        <f>Inputs!J175*'(Tables)'!F1100</f>
        <v>0</v>
      </c>
      <c r="H150" s="189">
        <f>Inputs!K175*'(Tables)'!G1100</f>
        <v>0</v>
      </c>
      <c r="I150" s="190">
        <f>SUM(F150:H150)</f>
        <v>0</v>
      </c>
      <c r="J150" s="189">
        <f>Inputs!L175*'(Tables)'!H1100</f>
        <v>0</v>
      </c>
      <c r="K150" s="189">
        <f>Inputs!M175*'(Tables)'!I1100</f>
        <v>0</v>
      </c>
      <c r="L150" s="189">
        <f>Inputs!N175*'(Tables)'!J1100</f>
        <v>0</v>
      </c>
      <c r="M150" s="190">
        <f>SUM(J150:L150)</f>
        <v>0</v>
      </c>
      <c r="N150" s="189">
        <f>Inputs!O175*'(Tables)'!K1100</f>
        <v>0</v>
      </c>
      <c r="O150" s="189">
        <f>Inputs!P175*'(Tables)'!L1100</f>
        <v>0</v>
      </c>
      <c r="P150" s="189">
        <f>Inputs!Q175*'(Tables)'!M1100</f>
        <v>0</v>
      </c>
      <c r="Q150" s="190">
        <f>SUM(N150:P150)</f>
        <v>0</v>
      </c>
      <c r="R150" s="189">
        <f>Inputs!R175*'(Tables)'!N1100</f>
        <v>0</v>
      </c>
      <c r="S150" s="189">
        <f>Inputs!S175*'(Tables)'!O1100</f>
        <v>0</v>
      </c>
      <c r="T150" s="189">
        <f>Inputs!T175*'(Tables)'!P1100</f>
        <v>0</v>
      </c>
      <c r="U150" s="190">
        <f>SUM(R150:T150)</f>
        <v>0</v>
      </c>
      <c r="V150" s="189">
        <f>Inputs!U175*'(Tables)'!Q1100</f>
        <v>0</v>
      </c>
      <c r="W150" s="189">
        <f>Inputs!V175*'(Tables)'!R1100</f>
        <v>0</v>
      </c>
      <c r="X150" s="189">
        <f>Inputs!W175*'(Tables)'!S1100</f>
        <v>0</v>
      </c>
      <c r="Y150" s="190">
        <f>SUM(V150:X150)</f>
        <v>0</v>
      </c>
    </row>
    <row r="151" spans="1:25" ht="12.75" hidden="1" customHeight="1" outlineLevel="2" x14ac:dyDescent="0.2">
      <c r="A151" s="198" t="str">
        <f>"            "&amp;Labels!C396</f>
        <v xml:space="preserve">            Total</v>
      </c>
      <c r="B151" s="226">
        <f>SUM(B149:B150)</f>
        <v>0</v>
      </c>
      <c r="C151" s="226">
        <f>SUM(C149:C150)</f>
        <v>0</v>
      </c>
      <c r="D151" s="226">
        <f>SUM(D149:D150)</f>
        <v>0</v>
      </c>
      <c r="E151" s="227">
        <f>SUM(B151:D151)</f>
        <v>0</v>
      </c>
      <c r="F151" s="226">
        <f>SUM(F149:F150)</f>
        <v>0</v>
      </c>
      <c r="G151" s="226">
        <f>SUM(G149:G150)</f>
        <v>0</v>
      </c>
      <c r="H151" s="226">
        <f>SUM(H149:H150)</f>
        <v>0</v>
      </c>
      <c r="I151" s="227">
        <f>SUM(F151:H151)</f>
        <v>0</v>
      </c>
      <c r="J151" s="226">
        <f>SUM(J149:J150)</f>
        <v>0</v>
      </c>
      <c r="K151" s="226">
        <f>SUM(K149:K150)</f>
        <v>0</v>
      </c>
      <c r="L151" s="226">
        <f>SUM(L149:L150)</f>
        <v>0</v>
      </c>
      <c r="M151" s="227">
        <f>SUM(J151:L151)</f>
        <v>0</v>
      </c>
      <c r="N151" s="226">
        <f>SUM(N149:N150)</f>
        <v>0</v>
      </c>
      <c r="O151" s="226">
        <f>SUM(O149:O150)</f>
        <v>0</v>
      </c>
      <c r="P151" s="226">
        <f>SUM(P149:P150)</f>
        <v>0</v>
      </c>
      <c r="Q151" s="227">
        <f>SUM(N151:P151)</f>
        <v>0</v>
      </c>
      <c r="R151" s="226">
        <f>SUM(R149:R150)</f>
        <v>0</v>
      </c>
      <c r="S151" s="226">
        <f>SUM(S149:S150)</f>
        <v>0</v>
      </c>
      <c r="T151" s="226">
        <f>SUM(T149:T150)</f>
        <v>0</v>
      </c>
      <c r="U151" s="227">
        <f>SUM(R151:T151)</f>
        <v>0</v>
      </c>
      <c r="V151" s="226">
        <f>SUM(V149:V150)</f>
        <v>0</v>
      </c>
      <c r="W151" s="226">
        <f>SUM(W149:W150)</f>
        <v>0</v>
      </c>
      <c r="X151" s="226">
        <f>SUM(X149:X150)</f>
        <v>0</v>
      </c>
      <c r="Y151" s="227">
        <f>SUM(V151:X151)</f>
        <v>0</v>
      </c>
    </row>
    <row r="152" spans="1:25" ht="12.75" hidden="1" customHeight="1" outlineLevel="2" x14ac:dyDescent="0.2">
      <c r="A152" s="198" t="str">
        <f>"         "&amp;Labels!B318</f>
        <v xml:space="preserve">         Channels 2</v>
      </c>
      <c r="B152" s="226"/>
      <c r="C152" s="226"/>
      <c r="D152" s="226"/>
      <c r="E152" s="227"/>
      <c r="F152" s="226"/>
      <c r="G152" s="226"/>
      <c r="H152" s="226"/>
      <c r="I152" s="227"/>
      <c r="J152" s="226"/>
      <c r="K152" s="226"/>
      <c r="L152" s="226"/>
      <c r="M152" s="227"/>
      <c r="N152" s="226"/>
      <c r="O152" s="226"/>
      <c r="P152" s="226"/>
      <c r="Q152" s="227"/>
      <c r="R152" s="226"/>
      <c r="S152" s="226"/>
      <c r="T152" s="226"/>
      <c r="U152" s="227"/>
      <c r="V152" s="226"/>
      <c r="W152" s="226"/>
      <c r="X152" s="226"/>
      <c r="Y152" s="227"/>
    </row>
    <row r="153" spans="1:25" ht="12.75" hidden="1" customHeight="1" outlineLevel="2" x14ac:dyDescent="0.2">
      <c r="A153" s="198" t="str">
        <f>"            "&amp;Labels!B397</f>
        <v xml:space="preserve">            Supply Type 1</v>
      </c>
      <c r="B153" s="189">
        <f>Inputs!F174*'(Tables)'!B1101</f>
        <v>0</v>
      </c>
      <c r="C153" s="189">
        <f>Inputs!G174*'(Tables)'!C1101</f>
        <v>0</v>
      </c>
      <c r="D153" s="189">
        <f>Inputs!H174*'(Tables)'!D1101</f>
        <v>0</v>
      </c>
      <c r="E153" s="190">
        <f t="shared" ref="E153:E158" si="120">SUM(B153:D153)</f>
        <v>0</v>
      </c>
      <c r="F153" s="189">
        <f>Inputs!I174*'(Tables)'!E1101</f>
        <v>0</v>
      </c>
      <c r="G153" s="189">
        <f>Inputs!J174*'(Tables)'!F1101</f>
        <v>0</v>
      </c>
      <c r="H153" s="189">
        <f>Inputs!K174*'(Tables)'!G1101</f>
        <v>0</v>
      </c>
      <c r="I153" s="190">
        <f t="shared" ref="I153:I158" si="121">SUM(F153:H153)</f>
        <v>0</v>
      </c>
      <c r="J153" s="189">
        <f>Inputs!L174*'(Tables)'!H1101</f>
        <v>0</v>
      </c>
      <c r="K153" s="189">
        <f>Inputs!M174*'(Tables)'!I1101</f>
        <v>0</v>
      </c>
      <c r="L153" s="189">
        <f>Inputs!N174*'(Tables)'!J1101</f>
        <v>0</v>
      </c>
      <c r="M153" s="190">
        <f t="shared" ref="M153:M158" si="122">SUM(J153:L153)</f>
        <v>0</v>
      </c>
      <c r="N153" s="189">
        <f>Inputs!O174*'(Tables)'!K1101</f>
        <v>0</v>
      </c>
      <c r="O153" s="189">
        <f>Inputs!P174*'(Tables)'!L1101</f>
        <v>0</v>
      </c>
      <c r="P153" s="189">
        <f>Inputs!Q174*'(Tables)'!M1101</f>
        <v>0</v>
      </c>
      <c r="Q153" s="190">
        <f t="shared" ref="Q153:Q158" si="123">SUM(N153:P153)</f>
        <v>0</v>
      </c>
      <c r="R153" s="189">
        <f>Inputs!R174*'(Tables)'!N1101</f>
        <v>0</v>
      </c>
      <c r="S153" s="189">
        <f>Inputs!S174*'(Tables)'!O1101</f>
        <v>0</v>
      </c>
      <c r="T153" s="189">
        <f>Inputs!T174*'(Tables)'!P1101</f>
        <v>0</v>
      </c>
      <c r="U153" s="190">
        <f t="shared" ref="U153:U158" si="124">SUM(R153:T153)</f>
        <v>0</v>
      </c>
      <c r="V153" s="189">
        <f>Inputs!U174*'(Tables)'!Q1101</f>
        <v>0</v>
      </c>
      <c r="W153" s="189">
        <f>Inputs!V174*'(Tables)'!R1101</f>
        <v>0</v>
      </c>
      <c r="X153" s="189">
        <f>Inputs!W174*'(Tables)'!S1101</f>
        <v>0</v>
      </c>
      <c r="Y153" s="190">
        <f t="shared" ref="Y153:Y158" si="125">SUM(V153:X153)</f>
        <v>0</v>
      </c>
    </row>
    <row r="154" spans="1:25" ht="12.75" hidden="1" customHeight="1" outlineLevel="2" x14ac:dyDescent="0.2">
      <c r="A154" s="198" t="str">
        <f>"            "&amp;Labels!B398</f>
        <v xml:space="preserve">            Supply Type 2</v>
      </c>
      <c r="B154" s="189">
        <f>Inputs!F176*'(Tables)'!B1101</f>
        <v>0</v>
      </c>
      <c r="C154" s="189">
        <f>Inputs!G176*'(Tables)'!C1101</f>
        <v>0</v>
      </c>
      <c r="D154" s="189">
        <f>Inputs!H176*'(Tables)'!D1101</f>
        <v>0</v>
      </c>
      <c r="E154" s="190">
        <f t="shared" si="120"/>
        <v>0</v>
      </c>
      <c r="F154" s="189">
        <f>Inputs!I176*'(Tables)'!E1101</f>
        <v>0</v>
      </c>
      <c r="G154" s="189">
        <f>Inputs!J176*'(Tables)'!F1101</f>
        <v>0</v>
      </c>
      <c r="H154" s="189">
        <f>Inputs!K176*'(Tables)'!G1101</f>
        <v>0</v>
      </c>
      <c r="I154" s="190">
        <f t="shared" si="121"/>
        <v>0</v>
      </c>
      <c r="J154" s="189">
        <f>Inputs!L176*'(Tables)'!H1101</f>
        <v>0</v>
      </c>
      <c r="K154" s="189">
        <f>Inputs!M176*'(Tables)'!I1101</f>
        <v>0</v>
      </c>
      <c r="L154" s="189">
        <f>Inputs!N176*'(Tables)'!J1101</f>
        <v>0</v>
      </c>
      <c r="M154" s="190">
        <f t="shared" si="122"/>
        <v>0</v>
      </c>
      <c r="N154" s="189">
        <f>Inputs!O176*'(Tables)'!K1101</f>
        <v>0</v>
      </c>
      <c r="O154" s="189">
        <f>Inputs!P176*'(Tables)'!L1101</f>
        <v>0</v>
      </c>
      <c r="P154" s="189">
        <f>Inputs!Q176*'(Tables)'!M1101</f>
        <v>0</v>
      </c>
      <c r="Q154" s="190">
        <f t="shared" si="123"/>
        <v>0</v>
      </c>
      <c r="R154" s="189">
        <f>Inputs!R176*'(Tables)'!N1101</f>
        <v>0</v>
      </c>
      <c r="S154" s="189">
        <f>Inputs!S176*'(Tables)'!O1101</f>
        <v>0</v>
      </c>
      <c r="T154" s="189">
        <f>Inputs!T176*'(Tables)'!P1101</f>
        <v>0</v>
      </c>
      <c r="U154" s="190">
        <f t="shared" si="124"/>
        <v>0</v>
      </c>
      <c r="V154" s="189">
        <f>Inputs!U176*'(Tables)'!Q1101</f>
        <v>0</v>
      </c>
      <c r="W154" s="189">
        <f>Inputs!V176*'(Tables)'!R1101</f>
        <v>0</v>
      </c>
      <c r="X154" s="189">
        <f>Inputs!W176*'(Tables)'!S1101</f>
        <v>0</v>
      </c>
      <c r="Y154" s="190">
        <f t="shared" si="125"/>
        <v>0</v>
      </c>
    </row>
    <row r="155" spans="1:25" ht="12.75" hidden="1" customHeight="1" outlineLevel="2" x14ac:dyDescent="0.2">
      <c r="A155" s="198" t="str">
        <f>"            "&amp;Labels!C396</f>
        <v xml:space="preserve">            Total</v>
      </c>
      <c r="B155" s="226">
        <f>SUM(B153:B154)</f>
        <v>0</v>
      </c>
      <c r="C155" s="226">
        <f>SUM(C153:C154)</f>
        <v>0</v>
      </c>
      <c r="D155" s="226">
        <f>SUM(D153:D154)</f>
        <v>0</v>
      </c>
      <c r="E155" s="227">
        <f t="shared" si="120"/>
        <v>0</v>
      </c>
      <c r="F155" s="226">
        <f>SUM(F153:F154)</f>
        <v>0</v>
      </c>
      <c r="G155" s="226">
        <f>SUM(G153:G154)</f>
        <v>0</v>
      </c>
      <c r="H155" s="226">
        <f>SUM(H153:H154)</f>
        <v>0</v>
      </c>
      <c r="I155" s="227">
        <f t="shared" si="121"/>
        <v>0</v>
      </c>
      <c r="J155" s="226">
        <f>SUM(J153:J154)</f>
        <v>0</v>
      </c>
      <c r="K155" s="226">
        <f>SUM(K153:K154)</f>
        <v>0</v>
      </c>
      <c r="L155" s="226">
        <f>SUM(L153:L154)</f>
        <v>0</v>
      </c>
      <c r="M155" s="227">
        <f t="shared" si="122"/>
        <v>0</v>
      </c>
      <c r="N155" s="226">
        <f>SUM(N153:N154)</f>
        <v>0</v>
      </c>
      <c r="O155" s="226">
        <f>SUM(O153:O154)</f>
        <v>0</v>
      </c>
      <c r="P155" s="226">
        <f>SUM(P153:P154)</f>
        <v>0</v>
      </c>
      <c r="Q155" s="227">
        <f t="shared" si="123"/>
        <v>0</v>
      </c>
      <c r="R155" s="226">
        <f>SUM(R153:R154)</f>
        <v>0</v>
      </c>
      <c r="S155" s="226">
        <f>SUM(S153:S154)</f>
        <v>0</v>
      </c>
      <c r="T155" s="226">
        <f>SUM(T153:T154)</f>
        <v>0</v>
      </c>
      <c r="U155" s="227">
        <f t="shared" si="124"/>
        <v>0</v>
      </c>
      <c r="V155" s="226">
        <f>SUM(V153:V154)</f>
        <v>0</v>
      </c>
      <c r="W155" s="226">
        <f>SUM(W153:W154)</f>
        <v>0</v>
      </c>
      <c r="X155" s="226">
        <f>SUM(X153:X154)</f>
        <v>0</v>
      </c>
      <c r="Y155" s="227">
        <f t="shared" si="125"/>
        <v>0</v>
      </c>
    </row>
    <row r="156" spans="1:25" ht="12.75" hidden="1" customHeight="1" outlineLevel="2" x14ac:dyDescent="0.2">
      <c r="A156" s="198" t="str">
        <f>"         "&amp;Labels!C316</f>
        <v xml:space="preserve">         Total</v>
      </c>
      <c r="B156" s="226">
        <f>SUM(B157:B158)</f>
        <v>0</v>
      </c>
      <c r="C156" s="226">
        <f>SUM(C157:C158)</f>
        <v>0</v>
      </c>
      <c r="D156" s="226">
        <f>SUM(D157:D158)</f>
        <v>0</v>
      </c>
      <c r="E156" s="227">
        <f t="shared" si="120"/>
        <v>0</v>
      </c>
      <c r="F156" s="226">
        <f>SUM(F157:F158)</f>
        <v>0</v>
      </c>
      <c r="G156" s="226">
        <f>SUM(G157:G158)</f>
        <v>0</v>
      </c>
      <c r="H156" s="226">
        <f>SUM(H157:H158)</f>
        <v>0</v>
      </c>
      <c r="I156" s="227">
        <f t="shared" si="121"/>
        <v>0</v>
      </c>
      <c r="J156" s="226">
        <f>SUM(J157:J158)</f>
        <v>0</v>
      </c>
      <c r="K156" s="226">
        <f>SUM(K157:K158)</f>
        <v>0</v>
      </c>
      <c r="L156" s="226">
        <f>SUM(L157:L158)</f>
        <v>0</v>
      </c>
      <c r="M156" s="227">
        <f t="shared" si="122"/>
        <v>0</v>
      </c>
      <c r="N156" s="226">
        <f>SUM(N157:N158)</f>
        <v>0</v>
      </c>
      <c r="O156" s="226">
        <f>SUM(O157:O158)</f>
        <v>0</v>
      </c>
      <c r="P156" s="226">
        <f>SUM(P157:P158)</f>
        <v>0</v>
      </c>
      <c r="Q156" s="227">
        <f t="shared" si="123"/>
        <v>0</v>
      </c>
      <c r="R156" s="226">
        <f>SUM(R157:R158)</f>
        <v>0</v>
      </c>
      <c r="S156" s="226">
        <f>SUM(S157:S158)</f>
        <v>0</v>
      </c>
      <c r="T156" s="226">
        <f>SUM(T157:T158)</f>
        <v>0</v>
      </c>
      <c r="U156" s="227">
        <f t="shared" si="124"/>
        <v>0</v>
      </c>
      <c r="V156" s="226">
        <f>SUM(V157:V158)</f>
        <v>0</v>
      </c>
      <c r="W156" s="226">
        <f>SUM(W157:W158)</f>
        <v>0</v>
      </c>
      <c r="X156" s="226">
        <f>SUM(X157:X158)</f>
        <v>0</v>
      </c>
      <c r="Y156" s="227">
        <f t="shared" si="125"/>
        <v>0</v>
      </c>
    </row>
    <row r="157" spans="1:25" ht="12.75" hidden="1" customHeight="1" outlineLevel="2" x14ac:dyDescent="0.2">
      <c r="A157" s="198" t="str">
        <f>"            "&amp;Labels!B397</f>
        <v xml:space="preserve">            Supply Type 1</v>
      </c>
      <c r="B157" s="189">
        <f t="shared" ref="B157:D159" si="126">SUM(B149,B153)</f>
        <v>0</v>
      </c>
      <c r="C157" s="189">
        <f t="shared" si="126"/>
        <v>0</v>
      </c>
      <c r="D157" s="189">
        <f t="shared" si="126"/>
        <v>0</v>
      </c>
      <c r="E157" s="190">
        <f t="shared" si="120"/>
        <v>0</v>
      </c>
      <c r="F157" s="189">
        <f t="shared" ref="F157:H159" si="127">SUM(F149,F153)</f>
        <v>0</v>
      </c>
      <c r="G157" s="189">
        <f t="shared" si="127"/>
        <v>0</v>
      </c>
      <c r="H157" s="189">
        <f t="shared" si="127"/>
        <v>0</v>
      </c>
      <c r="I157" s="190">
        <f t="shared" si="121"/>
        <v>0</v>
      </c>
      <c r="J157" s="189">
        <f t="shared" ref="J157:L159" si="128">SUM(J149,J153)</f>
        <v>0</v>
      </c>
      <c r="K157" s="189">
        <f t="shared" si="128"/>
        <v>0</v>
      </c>
      <c r="L157" s="189">
        <f t="shared" si="128"/>
        <v>0</v>
      </c>
      <c r="M157" s="190">
        <f t="shared" si="122"/>
        <v>0</v>
      </c>
      <c r="N157" s="189">
        <f t="shared" ref="N157:P159" si="129">SUM(N149,N153)</f>
        <v>0</v>
      </c>
      <c r="O157" s="189">
        <f t="shared" si="129"/>
        <v>0</v>
      </c>
      <c r="P157" s="189">
        <f t="shared" si="129"/>
        <v>0</v>
      </c>
      <c r="Q157" s="190">
        <f t="shared" si="123"/>
        <v>0</v>
      </c>
      <c r="R157" s="189">
        <f t="shared" ref="R157:T159" si="130">SUM(R149,R153)</f>
        <v>0</v>
      </c>
      <c r="S157" s="189">
        <f t="shared" si="130"/>
        <v>0</v>
      </c>
      <c r="T157" s="189">
        <f t="shared" si="130"/>
        <v>0</v>
      </c>
      <c r="U157" s="190">
        <f t="shared" si="124"/>
        <v>0</v>
      </c>
      <c r="V157" s="189">
        <f t="shared" ref="V157:X159" si="131">SUM(V149,V153)</f>
        <v>0</v>
      </c>
      <c r="W157" s="189">
        <f t="shared" si="131"/>
        <v>0</v>
      </c>
      <c r="X157" s="189">
        <f t="shared" si="131"/>
        <v>0</v>
      </c>
      <c r="Y157" s="190">
        <f t="shared" si="125"/>
        <v>0</v>
      </c>
    </row>
    <row r="158" spans="1:25" ht="12.75" hidden="1" customHeight="1" outlineLevel="2" x14ac:dyDescent="0.2">
      <c r="A158" s="198" t="str">
        <f>"            "&amp;Labels!B398</f>
        <v xml:space="preserve">            Supply Type 2</v>
      </c>
      <c r="B158" s="189">
        <f t="shared" si="126"/>
        <v>0</v>
      </c>
      <c r="C158" s="189">
        <f t="shared" si="126"/>
        <v>0</v>
      </c>
      <c r="D158" s="189">
        <f t="shared" si="126"/>
        <v>0</v>
      </c>
      <c r="E158" s="190">
        <f t="shared" si="120"/>
        <v>0</v>
      </c>
      <c r="F158" s="189">
        <f t="shared" si="127"/>
        <v>0</v>
      </c>
      <c r="G158" s="189">
        <f t="shared" si="127"/>
        <v>0</v>
      </c>
      <c r="H158" s="189">
        <f t="shared" si="127"/>
        <v>0</v>
      </c>
      <c r="I158" s="190">
        <f t="shared" si="121"/>
        <v>0</v>
      </c>
      <c r="J158" s="189">
        <f t="shared" si="128"/>
        <v>0</v>
      </c>
      <c r="K158" s="189">
        <f t="shared" si="128"/>
        <v>0</v>
      </c>
      <c r="L158" s="189">
        <f t="shared" si="128"/>
        <v>0</v>
      </c>
      <c r="M158" s="190">
        <f t="shared" si="122"/>
        <v>0</v>
      </c>
      <c r="N158" s="189">
        <f t="shared" si="129"/>
        <v>0</v>
      </c>
      <c r="O158" s="189">
        <f t="shared" si="129"/>
        <v>0</v>
      </c>
      <c r="P158" s="189">
        <f t="shared" si="129"/>
        <v>0</v>
      </c>
      <c r="Q158" s="190">
        <f t="shared" si="123"/>
        <v>0</v>
      </c>
      <c r="R158" s="189">
        <f t="shared" si="130"/>
        <v>0</v>
      </c>
      <c r="S158" s="189">
        <f t="shared" si="130"/>
        <v>0</v>
      </c>
      <c r="T158" s="189">
        <f t="shared" si="130"/>
        <v>0</v>
      </c>
      <c r="U158" s="190">
        <f t="shared" si="124"/>
        <v>0</v>
      </c>
      <c r="V158" s="189">
        <f t="shared" si="131"/>
        <v>0</v>
      </c>
      <c r="W158" s="189">
        <f t="shared" si="131"/>
        <v>0</v>
      </c>
      <c r="X158" s="189">
        <f t="shared" si="131"/>
        <v>0</v>
      </c>
      <c r="Y158" s="190">
        <f t="shared" si="125"/>
        <v>0</v>
      </c>
    </row>
    <row r="159" spans="1:25" ht="12.75" hidden="1" customHeight="1" outlineLevel="2" x14ac:dyDescent="0.2">
      <c r="A159" s="198" t="str">
        <f>"            "&amp;Labels!C396</f>
        <v xml:space="preserve">            Total</v>
      </c>
      <c r="B159" s="226">
        <f t="shared" si="126"/>
        <v>0</v>
      </c>
      <c r="C159" s="226">
        <f t="shared" si="126"/>
        <v>0</v>
      </c>
      <c r="D159" s="226">
        <f t="shared" si="126"/>
        <v>0</v>
      </c>
      <c r="E159" s="227">
        <f>SUM(B156:D156)</f>
        <v>0</v>
      </c>
      <c r="F159" s="226">
        <f t="shared" si="127"/>
        <v>0</v>
      </c>
      <c r="G159" s="226">
        <f t="shared" si="127"/>
        <v>0</v>
      </c>
      <c r="H159" s="226">
        <f t="shared" si="127"/>
        <v>0</v>
      </c>
      <c r="I159" s="227">
        <f>SUM(F156:H156)</f>
        <v>0</v>
      </c>
      <c r="J159" s="226">
        <f t="shared" si="128"/>
        <v>0</v>
      </c>
      <c r="K159" s="226">
        <f t="shared" si="128"/>
        <v>0</v>
      </c>
      <c r="L159" s="226">
        <f t="shared" si="128"/>
        <v>0</v>
      </c>
      <c r="M159" s="227">
        <f>SUM(J156:L156)</f>
        <v>0</v>
      </c>
      <c r="N159" s="226">
        <f t="shared" si="129"/>
        <v>0</v>
      </c>
      <c r="O159" s="226">
        <f t="shared" si="129"/>
        <v>0</v>
      </c>
      <c r="P159" s="226">
        <f t="shared" si="129"/>
        <v>0</v>
      </c>
      <c r="Q159" s="227">
        <f>SUM(N156:P156)</f>
        <v>0</v>
      </c>
      <c r="R159" s="226">
        <f t="shared" si="130"/>
        <v>0</v>
      </c>
      <c r="S159" s="226">
        <f t="shared" si="130"/>
        <v>0</v>
      </c>
      <c r="T159" s="226">
        <f t="shared" si="130"/>
        <v>0</v>
      </c>
      <c r="U159" s="227">
        <f>SUM(R156:T156)</f>
        <v>0</v>
      </c>
      <c r="V159" s="226">
        <f t="shared" si="131"/>
        <v>0</v>
      </c>
      <c r="W159" s="226">
        <f t="shared" si="131"/>
        <v>0</v>
      </c>
      <c r="X159" s="226">
        <f t="shared" si="131"/>
        <v>0</v>
      </c>
      <c r="Y159" s="227">
        <f>SUM(V156:X156)</f>
        <v>0</v>
      </c>
    </row>
    <row r="160" spans="1:25" ht="12.75" hidden="1" customHeight="1" outlineLevel="2" x14ac:dyDescent="0.2">
      <c r="A160" s="188" t="str">
        <f>"      "&amp;Labels!C384</f>
        <v xml:space="preserve">      Total</v>
      </c>
      <c r="B160" s="196">
        <f>SUM(B143,B156)</f>
        <v>0</v>
      </c>
      <c r="C160" s="196">
        <f>SUM(C143,C156)</f>
        <v>0</v>
      </c>
      <c r="D160" s="196">
        <f>SUM(D143,D156)</f>
        <v>0</v>
      </c>
      <c r="E160" s="197">
        <f>SUM(B160:D160)</f>
        <v>0</v>
      </c>
      <c r="F160" s="196">
        <f>SUM(F143,F156)</f>
        <v>0</v>
      </c>
      <c r="G160" s="196">
        <f>SUM(G143,G156)</f>
        <v>0</v>
      </c>
      <c r="H160" s="196">
        <f>SUM(H143,H156)</f>
        <v>0</v>
      </c>
      <c r="I160" s="197">
        <f>SUM(F160:H160)</f>
        <v>0</v>
      </c>
      <c r="J160" s="196">
        <f>SUM(J143,J156)</f>
        <v>0</v>
      </c>
      <c r="K160" s="196">
        <f>SUM(K143,K156)</f>
        <v>0</v>
      </c>
      <c r="L160" s="196">
        <f>SUM(L143,L156)</f>
        <v>0</v>
      </c>
      <c r="M160" s="197">
        <f>SUM(J160:L160)</f>
        <v>0</v>
      </c>
      <c r="N160" s="196">
        <f>SUM(N143,N156)</f>
        <v>0</v>
      </c>
      <c r="O160" s="196">
        <f>SUM(O143,O156)</f>
        <v>0</v>
      </c>
      <c r="P160" s="196">
        <f>SUM(P143,P156)</f>
        <v>0</v>
      </c>
      <c r="Q160" s="197">
        <f>SUM(N160:P160)</f>
        <v>0</v>
      </c>
      <c r="R160" s="196">
        <f>SUM(R143,R156)</f>
        <v>0</v>
      </c>
      <c r="S160" s="196">
        <f>SUM(S143,S156)</f>
        <v>0</v>
      </c>
      <c r="T160" s="196">
        <f>SUM(T143,T156)</f>
        <v>0</v>
      </c>
      <c r="U160" s="197">
        <f>SUM(R160:T160)</f>
        <v>0</v>
      </c>
      <c r="V160" s="196">
        <f>SUM(V143,V156)</f>
        <v>0</v>
      </c>
      <c r="W160" s="196">
        <f>SUM(W143,W156)</f>
        <v>0</v>
      </c>
      <c r="X160" s="196">
        <f>SUM(X143,X156)</f>
        <v>0</v>
      </c>
      <c r="Y160" s="197">
        <f>SUM(V160:X160)</f>
        <v>0</v>
      </c>
    </row>
    <row r="161" spans="1:25" ht="12.75" hidden="1" customHeight="1" outlineLevel="2" x14ac:dyDescent="0.2">
      <c r="A161" s="198" t="str">
        <f>"         "&amp;Labels!B317</f>
        <v xml:space="preserve">         Channels 1</v>
      </c>
      <c r="B161" s="226"/>
      <c r="C161" s="226"/>
      <c r="D161" s="226"/>
      <c r="E161" s="227"/>
      <c r="F161" s="226"/>
      <c r="G161" s="226"/>
      <c r="H161" s="226"/>
      <c r="I161" s="227"/>
      <c r="J161" s="226"/>
      <c r="K161" s="226"/>
      <c r="L161" s="226"/>
      <c r="M161" s="227"/>
      <c r="N161" s="226"/>
      <c r="O161" s="226"/>
      <c r="P161" s="226"/>
      <c r="Q161" s="227"/>
      <c r="R161" s="226"/>
      <c r="S161" s="226"/>
      <c r="T161" s="226"/>
      <c r="U161" s="227"/>
      <c r="V161" s="226"/>
      <c r="W161" s="226"/>
      <c r="X161" s="226"/>
      <c r="Y161" s="227"/>
    </row>
    <row r="162" spans="1:25" ht="12.75" hidden="1" customHeight="1" outlineLevel="2" x14ac:dyDescent="0.2">
      <c r="A162" s="198" t="str">
        <f>"            "&amp;Labels!B397</f>
        <v xml:space="preserve">            Supply Type 1</v>
      </c>
      <c r="B162" s="189">
        <f t="shared" ref="B162:D164" si="132">SUM(B136,B149)</f>
        <v>0</v>
      </c>
      <c r="C162" s="189">
        <f t="shared" si="132"/>
        <v>0</v>
      </c>
      <c r="D162" s="189">
        <f t="shared" si="132"/>
        <v>0</v>
      </c>
      <c r="E162" s="190">
        <f>SUM(B162:D162)</f>
        <v>0</v>
      </c>
      <c r="F162" s="189">
        <f t="shared" ref="F162:H164" si="133">SUM(F136,F149)</f>
        <v>0</v>
      </c>
      <c r="G162" s="189">
        <f t="shared" si="133"/>
        <v>0</v>
      </c>
      <c r="H162" s="189">
        <f t="shared" si="133"/>
        <v>0</v>
      </c>
      <c r="I162" s="190">
        <f>SUM(F162:H162)</f>
        <v>0</v>
      </c>
      <c r="J162" s="189">
        <f t="shared" ref="J162:L164" si="134">SUM(J136,J149)</f>
        <v>0</v>
      </c>
      <c r="K162" s="189">
        <f t="shared" si="134"/>
        <v>0</v>
      </c>
      <c r="L162" s="189">
        <f t="shared" si="134"/>
        <v>0</v>
      </c>
      <c r="M162" s="190">
        <f>SUM(J162:L162)</f>
        <v>0</v>
      </c>
      <c r="N162" s="189">
        <f t="shared" ref="N162:P164" si="135">SUM(N136,N149)</f>
        <v>0</v>
      </c>
      <c r="O162" s="189">
        <f t="shared" si="135"/>
        <v>0</v>
      </c>
      <c r="P162" s="189">
        <f t="shared" si="135"/>
        <v>0</v>
      </c>
      <c r="Q162" s="190">
        <f>SUM(N162:P162)</f>
        <v>0</v>
      </c>
      <c r="R162" s="189">
        <f t="shared" ref="R162:T164" si="136">SUM(R136,R149)</f>
        <v>0</v>
      </c>
      <c r="S162" s="189">
        <f t="shared" si="136"/>
        <v>0</v>
      </c>
      <c r="T162" s="189">
        <f t="shared" si="136"/>
        <v>0</v>
      </c>
      <c r="U162" s="190">
        <f>SUM(R162:T162)</f>
        <v>0</v>
      </c>
      <c r="V162" s="189">
        <f t="shared" ref="V162:X164" si="137">SUM(V136,V149)</f>
        <v>0</v>
      </c>
      <c r="W162" s="189">
        <f t="shared" si="137"/>
        <v>0</v>
      </c>
      <c r="X162" s="189">
        <f t="shared" si="137"/>
        <v>0</v>
      </c>
      <c r="Y162" s="190">
        <f>SUM(V162:X162)</f>
        <v>0</v>
      </c>
    </row>
    <row r="163" spans="1:25" ht="12.75" hidden="1" customHeight="1" outlineLevel="2" x14ac:dyDescent="0.2">
      <c r="A163" s="198" t="str">
        <f>"            "&amp;Labels!B398</f>
        <v xml:space="preserve">            Supply Type 2</v>
      </c>
      <c r="B163" s="189">
        <f t="shared" si="132"/>
        <v>0</v>
      </c>
      <c r="C163" s="189">
        <f t="shared" si="132"/>
        <v>0</v>
      </c>
      <c r="D163" s="189">
        <f t="shared" si="132"/>
        <v>0</v>
      </c>
      <c r="E163" s="190">
        <f>SUM(B163:D163)</f>
        <v>0</v>
      </c>
      <c r="F163" s="189">
        <f t="shared" si="133"/>
        <v>0</v>
      </c>
      <c r="G163" s="189">
        <f t="shared" si="133"/>
        <v>0</v>
      </c>
      <c r="H163" s="189">
        <f t="shared" si="133"/>
        <v>0</v>
      </c>
      <c r="I163" s="190">
        <f>SUM(F163:H163)</f>
        <v>0</v>
      </c>
      <c r="J163" s="189">
        <f t="shared" si="134"/>
        <v>0</v>
      </c>
      <c r="K163" s="189">
        <f t="shared" si="134"/>
        <v>0</v>
      </c>
      <c r="L163" s="189">
        <f t="shared" si="134"/>
        <v>0</v>
      </c>
      <c r="M163" s="190">
        <f>SUM(J163:L163)</f>
        <v>0</v>
      </c>
      <c r="N163" s="189">
        <f t="shared" si="135"/>
        <v>0</v>
      </c>
      <c r="O163" s="189">
        <f t="shared" si="135"/>
        <v>0</v>
      </c>
      <c r="P163" s="189">
        <f t="shared" si="135"/>
        <v>0</v>
      </c>
      <c r="Q163" s="190">
        <f>SUM(N163:P163)</f>
        <v>0</v>
      </c>
      <c r="R163" s="189">
        <f t="shared" si="136"/>
        <v>0</v>
      </c>
      <c r="S163" s="189">
        <f t="shared" si="136"/>
        <v>0</v>
      </c>
      <c r="T163" s="189">
        <f t="shared" si="136"/>
        <v>0</v>
      </c>
      <c r="U163" s="190">
        <f>SUM(R163:T163)</f>
        <v>0</v>
      </c>
      <c r="V163" s="189">
        <f t="shared" si="137"/>
        <v>0</v>
      </c>
      <c r="W163" s="189">
        <f t="shared" si="137"/>
        <v>0</v>
      </c>
      <c r="X163" s="189">
        <f t="shared" si="137"/>
        <v>0</v>
      </c>
      <c r="Y163" s="190">
        <f>SUM(V163:X163)</f>
        <v>0</v>
      </c>
    </row>
    <row r="164" spans="1:25" ht="12.75" hidden="1" customHeight="1" outlineLevel="2" x14ac:dyDescent="0.2">
      <c r="A164" s="198" t="str">
        <f>"            "&amp;Labels!C396</f>
        <v xml:space="preserve">            Total</v>
      </c>
      <c r="B164" s="226">
        <f t="shared" si="132"/>
        <v>0</v>
      </c>
      <c r="C164" s="226">
        <f t="shared" si="132"/>
        <v>0</v>
      </c>
      <c r="D164" s="226">
        <f t="shared" si="132"/>
        <v>0</v>
      </c>
      <c r="E164" s="227">
        <f>SUM(B164:D164)</f>
        <v>0</v>
      </c>
      <c r="F164" s="226">
        <f t="shared" si="133"/>
        <v>0</v>
      </c>
      <c r="G164" s="226">
        <f t="shared" si="133"/>
        <v>0</v>
      </c>
      <c r="H164" s="226">
        <f t="shared" si="133"/>
        <v>0</v>
      </c>
      <c r="I164" s="227">
        <f>SUM(F164:H164)</f>
        <v>0</v>
      </c>
      <c r="J164" s="226">
        <f t="shared" si="134"/>
        <v>0</v>
      </c>
      <c r="K164" s="226">
        <f t="shared" si="134"/>
        <v>0</v>
      </c>
      <c r="L164" s="226">
        <f t="shared" si="134"/>
        <v>0</v>
      </c>
      <c r="M164" s="227">
        <f>SUM(J164:L164)</f>
        <v>0</v>
      </c>
      <c r="N164" s="226">
        <f t="shared" si="135"/>
        <v>0</v>
      </c>
      <c r="O164" s="226">
        <f t="shared" si="135"/>
        <v>0</v>
      </c>
      <c r="P164" s="226">
        <f t="shared" si="135"/>
        <v>0</v>
      </c>
      <c r="Q164" s="227">
        <f>SUM(N164:P164)</f>
        <v>0</v>
      </c>
      <c r="R164" s="226">
        <f t="shared" si="136"/>
        <v>0</v>
      </c>
      <c r="S164" s="226">
        <f t="shared" si="136"/>
        <v>0</v>
      </c>
      <c r="T164" s="226">
        <f t="shared" si="136"/>
        <v>0</v>
      </c>
      <c r="U164" s="227">
        <f>SUM(R164:T164)</f>
        <v>0</v>
      </c>
      <c r="V164" s="226">
        <f t="shared" si="137"/>
        <v>0</v>
      </c>
      <c r="W164" s="226">
        <f t="shared" si="137"/>
        <v>0</v>
      </c>
      <c r="X164" s="226">
        <f t="shared" si="137"/>
        <v>0</v>
      </c>
      <c r="Y164" s="227">
        <f>SUM(V164:X164)</f>
        <v>0</v>
      </c>
    </row>
    <row r="165" spans="1:25" ht="12.75" hidden="1" customHeight="1" outlineLevel="2" x14ac:dyDescent="0.2">
      <c r="A165" s="198" t="str">
        <f>"         "&amp;Labels!B318</f>
        <v xml:space="preserve">         Channels 2</v>
      </c>
      <c r="B165" s="226"/>
      <c r="C165" s="226"/>
      <c r="D165" s="226"/>
      <c r="E165" s="227"/>
      <c r="F165" s="226"/>
      <c r="G165" s="226"/>
      <c r="H165" s="226"/>
      <c r="I165" s="227"/>
      <c r="J165" s="226"/>
      <c r="K165" s="226"/>
      <c r="L165" s="226"/>
      <c r="M165" s="227"/>
      <c r="N165" s="226"/>
      <c r="O165" s="226"/>
      <c r="P165" s="226"/>
      <c r="Q165" s="227"/>
      <c r="R165" s="226"/>
      <c r="S165" s="226"/>
      <c r="T165" s="226"/>
      <c r="U165" s="227"/>
      <c r="V165" s="226"/>
      <c r="W165" s="226"/>
      <c r="X165" s="226"/>
      <c r="Y165" s="227"/>
    </row>
    <row r="166" spans="1:25" ht="12.75" hidden="1" customHeight="1" outlineLevel="2" x14ac:dyDescent="0.2">
      <c r="A166" s="198" t="str">
        <f>"            "&amp;Labels!B397</f>
        <v xml:space="preserve">            Supply Type 1</v>
      </c>
      <c r="B166" s="189">
        <f t="shared" ref="B166:D171" si="138">SUM(B140,B153)</f>
        <v>0</v>
      </c>
      <c r="C166" s="189">
        <f t="shared" si="138"/>
        <v>0</v>
      </c>
      <c r="D166" s="189">
        <f t="shared" si="138"/>
        <v>0</v>
      </c>
      <c r="E166" s="190">
        <f>SUM(B166:D166)</f>
        <v>0</v>
      </c>
      <c r="F166" s="189">
        <f t="shared" ref="F166:H171" si="139">SUM(F140,F153)</f>
        <v>0</v>
      </c>
      <c r="G166" s="189">
        <f t="shared" si="139"/>
        <v>0</v>
      </c>
      <c r="H166" s="189">
        <f t="shared" si="139"/>
        <v>0</v>
      </c>
      <c r="I166" s="190">
        <f>SUM(F166:H166)</f>
        <v>0</v>
      </c>
      <c r="J166" s="189">
        <f t="shared" ref="J166:L171" si="140">SUM(J140,J153)</f>
        <v>0</v>
      </c>
      <c r="K166" s="189">
        <f t="shared" si="140"/>
        <v>0</v>
      </c>
      <c r="L166" s="189">
        <f t="shared" si="140"/>
        <v>0</v>
      </c>
      <c r="M166" s="190">
        <f>SUM(J166:L166)</f>
        <v>0</v>
      </c>
      <c r="N166" s="189">
        <f t="shared" ref="N166:P171" si="141">SUM(N140,N153)</f>
        <v>0</v>
      </c>
      <c r="O166" s="189">
        <f t="shared" si="141"/>
        <v>0</v>
      </c>
      <c r="P166" s="189">
        <f t="shared" si="141"/>
        <v>0</v>
      </c>
      <c r="Q166" s="190">
        <f>SUM(N166:P166)</f>
        <v>0</v>
      </c>
      <c r="R166" s="189">
        <f t="shared" ref="R166:T171" si="142">SUM(R140,R153)</f>
        <v>0</v>
      </c>
      <c r="S166" s="189">
        <f t="shared" si="142"/>
        <v>0</v>
      </c>
      <c r="T166" s="189">
        <f t="shared" si="142"/>
        <v>0</v>
      </c>
      <c r="U166" s="190">
        <f>SUM(R166:T166)</f>
        <v>0</v>
      </c>
      <c r="V166" s="189">
        <f t="shared" ref="V166:X171" si="143">SUM(V140,V153)</f>
        <v>0</v>
      </c>
      <c r="W166" s="189">
        <f t="shared" si="143"/>
        <v>0</v>
      </c>
      <c r="X166" s="189">
        <f t="shared" si="143"/>
        <v>0</v>
      </c>
      <c r="Y166" s="190">
        <f>SUM(V166:X166)</f>
        <v>0</v>
      </c>
    </row>
    <row r="167" spans="1:25" ht="12.75" hidden="1" customHeight="1" outlineLevel="2" x14ac:dyDescent="0.2">
      <c r="A167" s="198" t="str">
        <f>"            "&amp;Labels!B398</f>
        <v xml:space="preserve">            Supply Type 2</v>
      </c>
      <c r="B167" s="189">
        <f t="shared" si="138"/>
        <v>0</v>
      </c>
      <c r="C167" s="189">
        <f t="shared" si="138"/>
        <v>0</v>
      </c>
      <c r="D167" s="189">
        <f t="shared" si="138"/>
        <v>0</v>
      </c>
      <c r="E167" s="190">
        <f>SUM(B167:D167)</f>
        <v>0</v>
      </c>
      <c r="F167" s="189">
        <f t="shared" si="139"/>
        <v>0</v>
      </c>
      <c r="G167" s="189">
        <f t="shared" si="139"/>
        <v>0</v>
      </c>
      <c r="H167" s="189">
        <f t="shared" si="139"/>
        <v>0</v>
      </c>
      <c r="I167" s="190">
        <f>SUM(F167:H167)</f>
        <v>0</v>
      </c>
      <c r="J167" s="189">
        <f t="shared" si="140"/>
        <v>0</v>
      </c>
      <c r="K167" s="189">
        <f t="shared" si="140"/>
        <v>0</v>
      </c>
      <c r="L167" s="189">
        <f t="shared" si="140"/>
        <v>0</v>
      </c>
      <c r="M167" s="190">
        <f>SUM(J167:L167)</f>
        <v>0</v>
      </c>
      <c r="N167" s="189">
        <f t="shared" si="141"/>
        <v>0</v>
      </c>
      <c r="O167" s="189">
        <f t="shared" si="141"/>
        <v>0</v>
      </c>
      <c r="P167" s="189">
        <f t="shared" si="141"/>
        <v>0</v>
      </c>
      <c r="Q167" s="190">
        <f>SUM(N167:P167)</f>
        <v>0</v>
      </c>
      <c r="R167" s="189">
        <f t="shared" si="142"/>
        <v>0</v>
      </c>
      <c r="S167" s="189">
        <f t="shared" si="142"/>
        <v>0</v>
      </c>
      <c r="T167" s="189">
        <f t="shared" si="142"/>
        <v>0</v>
      </c>
      <c r="U167" s="190">
        <f>SUM(R167:T167)</f>
        <v>0</v>
      </c>
      <c r="V167" s="189">
        <f t="shared" si="143"/>
        <v>0</v>
      </c>
      <c r="W167" s="189">
        <f t="shared" si="143"/>
        <v>0</v>
      </c>
      <c r="X167" s="189">
        <f t="shared" si="143"/>
        <v>0</v>
      </c>
      <c r="Y167" s="190">
        <f>SUM(V167:X167)</f>
        <v>0</v>
      </c>
    </row>
    <row r="168" spans="1:25" ht="12.75" hidden="1" customHeight="1" outlineLevel="2" x14ac:dyDescent="0.2">
      <c r="A168" s="198" t="str">
        <f>"            "&amp;Labels!C396</f>
        <v xml:space="preserve">            Total</v>
      </c>
      <c r="B168" s="226">
        <f t="shared" si="138"/>
        <v>0</v>
      </c>
      <c r="C168" s="226">
        <f t="shared" si="138"/>
        <v>0</v>
      </c>
      <c r="D168" s="226">
        <f t="shared" si="138"/>
        <v>0</v>
      </c>
      <c r="E168" s="227">
        <f>SUM(B168:D168)</f>
        <v>0</v>
      </c>
      <c r="F168" s="226">
        <f t="shared" si="139"/>
        <v>0</v>
      </c>
      <c r="G168" s="226">
        <f t="shared" si="139"/>
        <v>0</v>
      </c>
      <c r="H168" s="226">
        <f t="shared" si="139"/>
        <v>0</v>
      </c>
      <c r="I168" s="227">
        <f>SUM(F168:H168)</f>
        <v>0</v>
      </c>
      <c r="J168" s="226">
        <f t="shared" si="140"/>
        <v>0</v>
      </c>
      <c r="K168" s="226">
        <f t="shared" si="140"/>
        <v>0</v>
      </c>
      <c r="L168" s="226">
        <f t="shared" si="140"/>
        <v>0</v>
      </c>
      <c r="M168" s="227">
        <f>SUM(J168:L168)</f>
        <v>0</v>
      </c>
      <c r="N168" s="226">
        <f t="shared" si="141"/>
        <v>0</v>
      </c>
      <c r="O168" s="226">
        <f t="shared" si="141"/>
        <v>0</v>
      </c>
      <c r="P168" s="226">
        <f t="shared" si="141"/>
        <v>0</v>
      </c>
      <c r="Q168" s="227">
        <f>SUM(N168:P168)</f>
        <v>0</v>
      </c>
      <c r="R168" s="226">
        <f t="shared" si="142"/>
        <v>0</v>
      </c>
      <c r="S168" s="226">
        <f t="shared" si="142"/>
        <v>0</v>
      </c>
      <c r="T168" s="226">
        <f t="shared" si="142"/>
        <v>0</v>
      </c>
      <c r="U168" s="227">
        <f>SUM(R168:T168)</f>
        <v>0</v>
      </c>
      <c r="V168" s="226">
        <f t="shared" si="143"/>
        <v>0</v>
      </c>
      <c r="W168" s="226">
        <f t="shared" si="143"/>
        <v>0</v>
      </c>
      <c r="X168" s="226">
        <f t="shared" si="143"/>
        <v>0</v>
      </c>
      <c r="Y168" s="227">
        <f>SUM(V168:X168)</f>
        <v>0</v>
      </c>
    </row>
    <row r="169" spans="1:25" ht="12.75" hidden="1" customHeight="1" outlineLevel="2" x14ac:dyDescent="0.2">
      <c r="A169" s="198" t="str">
        <f>"         "&amp;Labels!C316</f>
        <v xml:space="preserve">         Total</v>
      </c>
      <c r="B169" s="226">
        <f t="shared" si="138"/>
        <v>0</v>
      </c>
      <c r="C169" s="226">
        <f t="shared" si="138"/>
        <v>0</v>
      </c>
      <c r="D169" s="226">
        <f t="shared" si="138"/>
        <v>0</v>
      </c>
      <c r="E169" s="227">
        <f>SUM(B160:D160)</f>
        <v>0</v>
      </c>
      <c r="F169" s="226">
        <f t="shared" si="139"/>
        <v>0</v>
      </c>
      <c r="G169" s="226">
        <f t="shared" si="139"/>
        <v>0</v>
      </c>
      <c r="H169" s="226">
        <f t="shared" si="139"/>
        <v>0</v>
      </c>
      <c r="I169" s="227">
        <f>SUM(F160:H160)</f>
        <v>0</v>
      </c>
      <c r="J169" s="226">
        <f t="shared" si="140"/>
        <v>0</v>
      </c>
      <c r="K169" s="226">
        <f t="shared" si="140"/>
        <v>0</v>
      </c>
      <c r="L169" s="226">
        <f t="shared" si="140"/>
        <v>0</v>
      </c>
      <c r="M169" s="227">
        <f>SUM(J160:L160)</f>
        <v>0</v>
      </c>
      <c r="N169" s="226">
        <f t="shared" si="141"/>
        <v>0</v>
      </c>
      <c r="O169" s="226">
        <f t="shared" si="141"/>
        <v>0</v>
      </c>
      <c r="P169" s="226">
        <f t="shared" si="141"/>
        <v>0</v>
      </c>
      <c r="Q169" s="227">
        <f>SUM(N160:P160)</f>
        <v>0</v>
      </c>
      <c r="R169" s="226">
        <f t="shared" si="142"/>
        <v>0</v>
      </c>
      <c r="S169" s="226">
        <f t="shared" si="142"/>
        <v>0</v>
      </c>
      <c r="T169" s="226">
        <f t="shared" si="142"/>
        <v>0</v>
      </c>
      <c r="U169" s="227">
        <f>SUM(R160:T160)</f>
        <v>0</v>
      </c>
      <c r="V169" s="226">
        <f t="shared" si="143"/>
        <v>0</v>
      </c>
      <c r="W169" s="226">
        <f t="shared" si="143"/>
        <v>0</v>
      </c>
      <c r="X169" s="226">
        <f t="shared" si="143"/>
        <v>0</v>
      </c>
      <c r="Y169" s="227">
        <f>SUM(V160:X160)</f>
        <v>0</v>
      </c>
    </row>
    <row r="170" spans="1:25" ht="12.75" hidden="1" customHeight="1" outlineLevel="2" x14ac:dyDescent="0.2">
      <c r="A170" s="198" t="str">
        <f>"            "&amp;Labels!B397</f>
        <v xml:space="preserve">            Supply Type 1</v>
      </c>
      <c r="B170" s="189">
        <f t="shared" si="138"/>
        <v>0</v>
      </c>
      <c r="C170" s="189">
        <f t="shared" si="138"/>
        <v>0</v>
      </c>
      <c r="D170" s="189">
        <f t="shared" si="138"/>
        <v>0</v>
      </c>
      <c r="E170" s="190">
        <f>SUM(B170:D170)</f>
        <v>0</v>
      </c>
      <c r="F170" s="189">
        <f t="shared" si="139"/>
        <v>0</v>
      </c>
      <c r="G170" s="189">
        <f t="shared" si="139"/>
        <v>0</v>
      </c>
      <c r="H170" s="189">
        <f t="shared" si="139"/>
        <v>0</v>
      </c>
      <c r="I170" s="190">
        <f>SUM(F170:H170)</f>
        <v>0</v>
      </c>
      <c r="J170" s="189">
        <f t="shared" si="140"/>
        <v>0</v>
      </c>
      <c r="K170" s="189">
        <f t="shared" si="140"/>
        <v>0</v>
      </c>
      <c r="L170" s="189">
        <f t="shared" si="140"/>
        <v>0</v>
      </c>
      <c r="M170" s="190">
        <f>SUM(J170:L170)</f>
        <v>0</v>
      </c>
      <c r="N170" s="189">
        <f t="shared" si="141"/>
        <v>0</v>
      </c>
      <c r="O170" s="189">
        <f t="shared" si="141"/>
        <v>0</v>
      </c>
      <c r="P170" s="189">
        <f t="shared" si="141"/>
        <v>0</v>
      </c>
      <c r="Q170" s="190">
        <f>SUM(N170:P170)</f>
        <v>0</v>
      </c>
      <c r="R170" s="189">
        <f t="shared" si="142"/>
        <v>0</v>
      </c>
      <c r="S170" s="189">
        <f t="shared" si="142"/>
        <v>0</v>
      </c>
      <c r="T170" s="189">
        <f t="shared" si="142"/>
        <v>0</v>
      </c>
      <c r="U170" s="190">
        <f>SUM(R170:T170)</f>
        <v>0</v>
      </c>
      <c r="V170" s="189">
        <f t="shared" si="143"/>
        <v>0</v>
      </c>
      <c r="W170" s="189">
        <f t="shared" si="143"/>
        <v>0</v>
      </c>
      <c r="X170" s="189">
        <f t="shared" si="143"/>
        <v>0</v>
      </c>
      <c r="Y170" s="190">
        <f>SUM(V170:X170)</f>
        <v>0</v>
      </c>
    </row>
    <row r="171" spans="1:25" ht="12.75" hidden="1" customHeight="1" outlineLevel="2" x14ac:dyDescent="0.2">
      <c r="A171" s="198" t="str">
        <f>"            "&amp;Labels!B398</f>
        <v xml:space="preserve">            Supply Type 2</v>
      </c>
      <c r="B171" s="189">
        <f t="shared" si="138"/>
        <v>0</v>
      </c>
      <c r="C171" s="189">
        <f t="shared" si="138"/>
        <v>0</v>
      </c>
      <c r="D171" s="189">
        <f t="shared" si="138"/>
        <v>0</v>
      </c>
      <c r="E171" s="190">
        <f>SUM(B171:D171)</f>
        <v>0</v>
      </c>
      <c r="F171" s="189">
        <f t="shared" si="139"/>
        <v>0</v>
      </c>
      <c r="G171" s="189">
        <f t="shared" si="139"/>
        <v>0</v>
      </c>
      <c r="H171" s="189">
        <f t="shared" si="139"/>
        <v>0</v>
      </c>
      <c r="I171" s="190">
        <f>SUM(F171:H171)</f>
        <v>0</v>
      </c>
      <c r="J171" s="189">
        <f t="shared" si="140"/>
        <v>0</v>
      </c>
      <c r="K171" s="189">
        <f t="shared" si="140"/>
        <v>0</v>
      </c>
      <c r="L171" s="189">
        <f t="shared" si="140"/>
        <v>0</v>
      </c>
      <c r="M171" s="190">
        <f>SUM(J171:L171)</f>
        <v>0</v>
      </c>
      <c r="N171" s="189">
        <f t="shared" si="141"/>
        <v>0</v>
      </c>
      <c r="O171" s="189">
        <f t="shared" si="141"/>
        <v>0</v>
      </c>
      <c r="P171" s="189">
        <f t="shared" si="141"/>
        <v>0</v>
      </c>
      <c r="Q171" s="190">
        <f>SUM(N171:P171)</f>
        <v>0</v>
      </c>
      <c r="R171" s="189">
        <f t="shared" si="142"/>
        <v>0</v>
      </c>
      <c r="S171" s="189">
        <f t="shared" si="142"/>
        <v>0</v>
      </c>
      <c r="T171" s="189">
        <f t="shared" si="142"/>
        <v>0</v>
      </c>
      <c r="U171" s="190">
        <f>SUM(R171:T171)</f>
        <v>0</v>
      </c>
      <c r="V171" s="189">
        <f t="shared" si="143"/>
        <v>0</v>
      </c>
      <c r="W171" s="189">
        <f t="shared" si="143"/>
        <v>0</v>
      </c>
      <c r="X171" s="189">
        <f t="shared" si="143"/>
        <v>0</v>
      </c>
      <c r="Y171" s="190">
        <f>SUM(V171:X171)</f>
        <v>0</v>
      </c>
    </row>
    <row r="172" spans="1:25" ht="12.75" hidden="1" customHeight="1" outlineLevel="2" x14ac:dyDescent="0.2">
      <c r="A172" s="198" t="str">
        <f>"            "&amp;Labels!C396</f>
        <v xml:space="preserve">            Total</v>
      </c>
      <c r="B172" s="226">
        <f>SUM(B143,B156)</f>
        <v>0</v>
      </c>
      <c r="C172" s="226">
        <f>SUM(C143,C156)</f>
        <v>0</v>
      </c>
      <c r="D172" s="226">
        <f>SUM(D143,D156)</f>
        <v>0</v>
      </c>
      <c r="E172" s="227">
        <f>SUM(B160:D160)</f>
        <v>0</v>
      </c>
      <c r="F172" s="226">
        <f>SUM(F143,F156)</f>
        <v>0</v>
      </c>
      <c r="G172" s="226">
        <f>SUM(G143,G156)</f>
        <v>0</v>
      </c>
      <c r="H172" s="226">
        <f>SUM(H143,H156)</f>
        <v>0</v>
      </c>
      <c r="I172" s="227">
        <f>SUM(F160:H160)</f>
        <v>0</v>
      </c>
      <c r="J172" s="226">
        <f>SUM(J143,J156)</f>
        <v>0</v>
      </c>
      <c r="K172" s="226">
        <f>SUM(K143,K156)</f>
        <v>0</v>
      </c>
      <c r="L172" s="226">
        <f>SUM(L143,L156)</f>
        <v>0</v>
      </c>
      <c r="M172" s="227">
        <f>SUM(J160:L160)</f>
        <v>0</v>
      </c>
      <c r="N172" s="226">
        <f>SUM(N143,N156)</f>
        <v>0</v>
      </c>
      <c r="O172" s="226">
        <f>SUM(O143,O156)</f>
        <v>0</v>
      </c>
      <c r="P172" s="226">
        <f>SUM(P143,P156)</f>
        <v>0</v>
      </c>
      <c r="Q172" s="227">
        <f>SUM(N160:P160)</f>
        <v>0</v>
      </c>
      <c r="R172" s="226">
        <f>SUM(R143,R156)</f>
        <v>0</v>
      </c>
      <c r="S172" s="226">
        <f>SUM(S143,S156)</f>
        <v>0</v>
      </c>
      <c r="T172" s="226">
        <f>SUM(T143,T156)</f>
        <v>0</v>
      </c>
      <c r="U172" s="227">
        <f>SUM(R160:T160)</f>
        <v>0</v>
      </c>
      <c r="V172" s="226">
        <f>SUM(V143,V156)</f>
        <v>0</v>
      </c>
      <c r="W172" s="226">
        <f>SUM(W143,W156)</f>
        <v>0</v>
      </c>
      <c r="X172" s="226">
        <f>SUM(X143,X156)</f>
        <v>0</v>
      </c>
      <c r="Y172" s="227">
        <f>SUM(V160:X160)</f>
        <v>0</v>
      </c>
    </row>
    <row r="173" spans="1:25" ht="12.75" hidden="1" customHeight="1" outlineLevel="2" x14ac:dyDescent="0.2">
      <c r="A173" s="191" t="str">
        <f>"   "&amp;Labels!C380</f>
        <v xml:space="preserve">   Total</v>
      </c>
      <c r="B173" s="192">
        <f>SUM(B120,B160)</f>
        <v>0</v>
      </c>
      <c r="C173" s="192">
        <f>SUM(C120,C160)</f>
        <v>0</v>
      </c>
      <c r="D173" s="192">
        <f>SUM(D120,D160)</f>
        <v>0</v>
      </c>
      <c r="E173" s="190">
        <f>SUM(B173:D173)</f>
        <v>0</v>
      </c>
      <c r="F173" s="192">
        <f>SUM(F120,F160)</f>
        <v>0</v>
      </c>
      <c r="G173" s="192">
        <f>SUM(G120,G160)</f>
        <v>0</v>
      </c>
      <c r="H173" s="192">
        <f>SUM(H120,H160)</f>
        <v>0</v>
      </c>
      <c r="I173" s="190">
        <f>SUM(F173:H173)</f>
        <v>0</v>
      </c>
      <c r="J173" s="192">
        <f>SUM(J120,J160)</f>
        <v>0</v>
      </c>
      <c r="K173" s="192">
        <f>SUM(K120,K160)</f>
        <v>0</v>
      </c>
      <c r="L173" s="192">
        <f>SUM(L120,L160)</f>
        <v>0</v>
      </c>
      <c r="M173" s="190">
        <f>SUM(J173:L173)</f>
        <v>0</v>
      </c>
      <c r="N173" s="192">
        <f>SUM(N120,N160)</f>
        <v>0</v>
      </c>
      <c r="O173" s="192">
        <f>SUM(O120,O160)</f>
        <v>0</v>
      </c>
      <c r="P173" s="192">
        <f>SUM(P120,P160)</f>
        <v>0</v>
      </c>
      <c r="Q173" s="190">
        <f>SUM(N173:P173)</f>
        <v>0</v>
      </c>
      <c r="R173" s="192">
        <f>SUM(R120,R160)</f>
        <v>0</v>
      </c>
      <c r="S173" s="192">
        <f>SUM(S120,S160)</f>
        <v>0</v>
      </c>
      <c r="T173" s="192">
        <f>SUM(T120,T160)</f>
        <v>0</v>
      </c>
      <c r="U173" s="190">
        <f>SUM(R173:T173)</f>
        <v>0</v>
      </c>
      <c r="V173" s="192">
        <f>SUM(V120,V160)</f>
        <v>0</v>
      </c>
      <c r="W173" s="192">
        <f>SUM(W120,W160)</f>
        <v>0</v>
      </c>
      <c r="X173" s="192">
        <f>SUM(X120,X160)</f>
        <v>0</v>
      </c>
      <c r="Y173" s="190">
        <f>SUM(V173:X173)</f>
        <v>0</v>
      </c>
    </row>
    <row r="174" spans="1:25" ht="12.75" hidden="1" customHeight="1" outlineLevel="2" x14ac:dyDescent="0.2">
      <c r="A174" s="198" t="str">
        <f>"      "&amp;Labels!B385</f>
        <v xml:space="preserve">      Prof Level 1</v>
      </c>
      <c r="B174" s="226"/>
      <c r="C174" s="226"/>
      <c r="D174" s="226"/>
      <c r="E174" s="227"/>
      <c r="F174" s="226"/>
      <c r="G174" s="226"/>
      <c r="H174" s="226"/>
      <c r="I174" s="227"/>
      <c r="J174" s="226"/>
      <c r="K174" s="226"/>
      <c r="L174" s="226"/>
      <c r="M174" s="227"/>
      <c r="N174" s="226"/>
      <c r="O174" s="226"/>
      <c r="P174" s="226"/>
      <c r="Q174" s="227"/>
      <c r="R174" s="226"/>
      <c r="S174" s="226"/>
      <c r="T174" s="226"/>
      <c r="U174" s="227"/>
      <c r="V174" s="226"/>
      <c r="W174" s="226"/>
      <c r="X174" s="226"/>
      <c r="Y174" s="227"/>
    </row>
    <row r="175" spans="1:25" ht="12.75" hidden="1" customHeight="1" outlineLevel="2" x14ac:dyDescent="0.2">
      <c r="A175" s="198" t="str">
        <f>"         "&amp;Labels!B317</f>
        <v xml:space="preserve">         Channels 1</v>
      </c>
      <c r="B175" s="226"/>
      <c r="C175" s="226"/>
      <c r="D175" s="226"/>
      <c r="E175" s="227"/>
      <c r="F175" s="226"/>
      <c r="G175" s="226"/>
      <c r="H175" s="226"/>
      <c r="I175" s="227"/>
      <c r="J175" s="226"/>
      <c r="K175" s="226"/>
      <c r="L175" s="226"/>
      <c r="M175" s="227"/>
      <c r="N175" s="226"/>
      <c r="O175" s="226"/>
      <c r="P175" s="226"/>
      <c r="Q175" s="227"/>
      <c r="R175" s="226"/>
      <c r="S175" s="226"/>
      <c r="T175" s="226"/>
      <c r="U175" s="227"/>
      <c r="V175" s="226"/>
      <c r="W175" s="226"/>
      <c r="X175" s="226"/>
      <c r="Y175" s="227"/>
    </row>
    <row r="176" spans="1:25" ht="12.75" hidden="1" customHeight="1" outlineLevel="2" x14ac:dyDescent="0.2">
      <c r="A176" s="198" t="str">
        <f>"            "&amp;Labels!B397</f>
        <v xml:space="preserve">            Supply Type 1</v>
      </c>
      <c r="B176" s="189">
        <f t="shared" ref="B176:D178" si="144">SUM(B96,B136)</f>
        <v>0</v>
      </c>
      <c r="C176" s="189">
        <f t="shared" si="144"/>
        <v>0</v>
      </c>
      <c r="D176" s="189">
        <f t="shared" si="144"/>
        <v>0</v>
      </c>
      <c r="E176" s="190">
        <f>SUM(B176:D176)</f>
        <v>0</v>
      </c>
      <c r="F176" s="189">
        <f t="shared" ref="F176:H178" si="145">SUM(F96,F136)</f>
        <v>0</v>
      </c>
      <c r="G176" s="189">
        <f t="shared" si="145"/>
        <v>0</v>
      </c>
      <c r="H176" s="189">
        <f t="shared" si="145"/>
        <v>0</v>
      </c>
      <c r="I176" s="190">
        <f>SUM(F176:H176)</f>
        <v>0</v>
      </c>
      <c r="J176" s="189">
        <f t="shared" ref="J176:L178" si="146">SUM(J96,J136)</f>
        <v>0</v>
      </c>
      <c r="K176" s="189">
        <f t="shared" si="146"/>
        <v>0</v>
      </c>
      <c r="L176" s="189">
        <f t="shared" si="146"/>
        <v>0</v>
      </c>
      <c r="M176" s="190">
        <f>SUM(J176:L176)</f>
        <v>0</v>
      </c>
      <c r="N176" s="189">
        <f t="shared" ref="N176:P178" si="147">SUM(N96,N136)</f>
        <v>0</v>
      </c>
      <c r="O176" s="189">
        <f t="shared" si="147"/>
        <v>0</v>
      </c>
      <c r="P176" s="189">
        <f t="shared" si="147"/>
        <v>0</v>
      </c>
      <c r="Q176" s="190">
        <f>SUM(N176:P176)</f>
        <v>0</v>
      </c>
      <c r="R176" s="189">
        <f t="shared" ref="R176:T178" si="148">SUM(R96,R136)</f>
        <v>0</v>
      </c>
      <c r="S176" s="189">
        <f t="shared" si="148"/>
        <v>0</v>
      </c>
      <c r="T176" s="189">
        <f t="shared" si="148"/>
        <v>0</v>
      </c>
      <c r="U176" s="190">
        <f>SUM(R176:T176)</f>
        <v>0</v>
      </c>
      <c r="V176" s="189">
        <f t="shared" ref="V176:X178" si="149">SUM(V96,V136)</f>
        <v>0</v>
      </c>
      <c r="W176" s="189">
        <f t="shared" si="149"/>
        <v>0</v>
      </c>
      <c r="X176" s="189">
        <f t="shared" si="149"/>
        <v>0</v>
      </c>
      <c r="Y176" s="190">
        <f>SUM(V176:X176)</f>
        <v>0</v>
      </c>
    </row>
    <row r="177" spans="1:25" ht="12.75" hidden="1" customHeight="1" outlineLevel="2" x14ac:dyDescent="0.2">
      <c r="A177" s="198" t="str">
        <f>"            "&amp;Labels!B398</f>
        <v xml:space="preserve">            Supply Type 2</v>
      </c>
      <c r="B177" s="189">
        <f t="shared" si="144"/>
        <v>0</v>
      </c>
      <c r="C177" s="189">
        <f t="shared" si="144"/>
        <v>0</v>
      </c>
      <c r="D177" s="189">
        <f t="shared" si="144"/>
        <v>0</v>
      </c>
      <c r="E177" s="190">
        <f>SUM(B177:D177)</f>
        <v>0</v>
      </c>
      <c r="F177" s="189">
        <f t="shared" si="145"/>
        <v>0</v>
      </c>
      <c r="G177" s="189">
        <f t="shared" si="145"/>
        <v>0</v>
      </c>
      <c r="H177" s="189">
        <f t="shared" si="145"/>
        <v>0</v>
      </c>
      <c r="I177" s="190">
        <f>SUM(F177:H177)</f>
        <v>0</v>
      </c>
      <c r="J177" s="189">
        <f t="shared" si="146"/>
        <v>0</v>
      </c>
      <c r="K177" s="189">
        <f t="shared" si="146"/>
        <v>0</v>
      </c>
      <c r="L177" s="189">
        <f t="shared" si="146"/>
        <v>0</v>
      </c>
      <c r="M177" s="190">
        <f>SUM(J177:L177)</f>
        <v>0</v>
      </c>
      <c r="N177" s="189">
        <f t="shared" si="147"/>
        <v>0</v>
      </c>
      <c r="O177" s="189">
        <f t="shared" si="147"/>
        <v>0</v>
      </c>
      <c r="P177" s="189">
        <f t="shared" si="147"/>
        <v>0</v>
      </c>
      <c r="Q177" s="190">
        <f>SUM(N177:P177)</f>
        <v>0</v>
      </c>
      <c r="R177" s="189">
        <f t="shared" si="148"/>
        <v>0</v>
      </c>
      <c r="S177" s="189">
        <f t="shared" si="148"/>
        <v>0</v>
      </c>
      <c r="T177" s="189">
        <f t="shared" si="148"/>
        <v>0</v>
      </c>
      <c r="U177" s="190">
        <f>SUM(R177:T177)</f>
        <v>0</v>
      </c>
      <c r="V177" s="189">
        <f t="shared" si="149"/>
        <v>0</v>
      </c>
      <c r="W177" s="189">
        <f t="shared" si="149"/>
        <v>0</v>
      </c>
      <c r="X177" s="189">
        <f t="shared" si="149"/>
        <v>0</v>
      </c>
      <c r="Y177" s="190">
        <f>SUM(V177:X177)</f>
        <v>0</v>
      </c>
    </row>
    <row r="178" spans="1:25" ht="12.75" hidden="1" customHeight="1" outlineLevel="2" x14ac:dyDescent="0.2">
      <c r="A178" s="198" t="str">
        <f>"            "&amp;Labels!C396</f>
        <v xml:space="preserve">            Total</v>
      </c>
      <c r="B178" s="226">
        <f t="shared" si="144"/>
        <v>0</v>
      </c>
      <c r="C178" s="226">
        <f t="shared" si="144"/>
        <v>0</v>
      </c>
      <c r="D178" s="226">
        <f t="shared" si="144"/>
        <v>0</v>
      </c>
      <c r="E178" s="227">
        <f>SUM(B178:D178)</f>
        <v>0</v>
      </c>
      <c r="F178" s="226">
        <f t="shared" si="145"/>
        <v>0</v>
      </c>
      <c r="G178" s="226">
        <f t="shared" si="145"/>
        <v>0</v>
      </c>
      <c r="H178" s="226">
        <f t="shared" si="145"/>
        <v>0</v>
      </c>
      <c r="I178" s="227">
        <f>SUM(F178:H178)</f>
        <v>0</v>
      </c>
      <c r="J178" s="226">
        <f t="shared" si="146"/>
        <v>0</v>
      </c>
      <c r="K178" s="226">
        <f t="shared" si="146"/>
        <v>0</v>
      </c>
      <c r="L178" s="226">
        <f t="shared" si="146"/>
        <v>0</v>
      </c>
      <c r="M178" s="227">
        <f>SUM(J178:L178)</f>
        <v>0</v>
      </c>
      <c r="N178" s="226">
        <f t="shared" si="147"/>
        <v>0</v>
      </c>
      <c r="O178" s="226">
        <f t="shared" si="147"/>
        <v>0</v>
      </c>
      <c r="P178" s="226">
        <f t="shared" si="147"/>
        <v>0</v>
      </c>
      <c r="Q178" s="227">
        <f>SUM(N178:P178)</f>
        <v>0</v>
      </c>
      <c r="R178" s="226">
        <f t="shared" si="148"/>
        <v>0</v>
      </c>
      <c r="S178" s="226">
        <f t="shared" si="148"/>
        <v>0</v>
      </c>
      <c r="T178" s="226">
        <f t="shared" si="148"/>
        <v>0</v>
      </c>
      <c r="U178" s="227">
        <f>SUM(R178:T178)</f>
        <v>0</v>
      </c>
      <c r="V178" s="226">
        <f t="shared" si="149"/>
        <v>0</v>
      </c>
      <c r="W178" s="226">
        <f t="shared" si="149"/>
        <v>0</v>
      </c>
      <c r="X178" s="226">
        <f t="shared" si="149"/>
        <v>0</v>
      </c>
      <c r="Y178" s="227">
        <f>SUM(V178:X178)</f>
        <v>0</v>
      </c>
    </row>
    <row r="179" spans="1:25" ht="12.75" hidden="1" customHeight="1" outlineLevel="2" x14ac:dyDescent="0.2">
      <c r="A179" s="198" t="str">
        <f>"         "&amp;Labels!B318</f>
        <v xml:space="preserve">         Channels 2</v>
      </c>
      <c r="B179" s="226"/>
      <c r="C179" s="226"/>
      <c r="D179" s="226"/>
      <c r="E179" s="227"/>
      <c r="F179" s="226"/>
      <c r="G179" s="226"/>
      <c r="H179" s="226"/>
      <c r="I179" s="227"/>
      <c r="J179" s="226"/>
      <c r="K179" s="226"/>
      <c r="L179" s="226"/>
      <c r="M179" s="227"/>
      <c r="N179" s="226"/>
      <c r="O179" s="226"/>
      <c r="P179" s="226"/>
      <c r="Q179" s="227"/>
      <c r="R179" s="226"/>
      <c r="S179" s="226"/>
      <c r="T179" s="226"/>
      <c r="U179" s="227"/>
      <c r="V179" s="226"/>
      <c r="W179" s="226"/>
      <c r="X179" s="226"/>
      <c r="Y179" s="227"/>
    </row>
    <row r="180" spans="1:25" ht="12.75" hidden="1" customHeight="1" outlineLevel="2" x14ac:dyDescent="0.2">
      <c r="A180" s="198" t="str">
        <f>"            "&amp;Labels!B397</f>
        <v xml:space="preserve">            Supply Type 1</v>
      </c>
      <c r="B180" s="189">
        <f t="shared" ref="B180:D185" si="150">SUM(B100,B140)</f>
        <v>0</v>
      </c>
      <c r="C180" s="189">
        <f t="shared" si="150"/>
        <v>0</v>
      </c>
      <c r="D180" s="189">
        <f t="shared" si="150"/>
        <v>0</v>
      </c>
      <c r="E180" s="190">
        <f t="shared" ref="E180:E185" si="151">SUM(B180:D180)</f>
        <v>0</v>
      </c>
      <c r="F180" s="189">
        <f t="shared" ref="F180:H185" si="152">SUM(F100,F140)</f>
        <v>0</v>
      </c>
      <c r="G180" s="189">
        <f t="shared" si="152"/>
        <v>0</v>
      </c>
      <c r="H180" s="189">
        <f t="shared" si="152"/>
        <v>0</v>
      </c>
      <c r="I180" s="190">
        <f t="shared" ref="I180:I185" si="153">SUM(F180:H180)</f>
        <v>0</v>
      </c>
      <c r="J180" s="189">
        <f t="shared" ref="J180:L185" si="154">SUM(J100,J140)</f>
        <v>0</v>
      </c>
      <c r="K180" s="189">
        <f t="shared" si="154"/>
        <v>0</v>
      </c>
      <c r="L180" s="189">
        <f t="shared" si="154"/>
        <v>0</v>
      </c>
      <c r="M180" s="190">
        <f t="shared" ref="M180:M185" si="155">SUM(J180:L180)</f>
        <v>0</v>
      </c>
      <c r="N180" s="189">
        <f t="shared" ref="N180:P185" si="156">SUM(N100,N140)</f>
        <v>0</v>
      </c>
      <c r="O180" s="189">
        <f t="shared" si="156"/>
        <v>0</v>
      </c>
      <c r="P180" s="189">
        <f t="shared" si="156"/>
        <v>0</v>
      </c>
      <c r="Q180" s="190">
        <f t="shared" ref="Q180:Q185" si="157">SUM(N180:P180)</f>
        <v>0</v>
      </c>
      <c r="R180" s="189">
        <f t="shared" ref="R180:T185" si="158">SUM(R100,R140)</f>
        <v>0</v>
      </c>
      <c r="S180" s="189">
        <f t="shared" si="158"/>
        <v>0</v>
      </c>
      <c r="T180" s="189">
        <f t="shared" si="158"/>
        <v>0</v>
      </c>
      <c r="U180" s="190">
        <f t="shared" ref="U180:U185" si="159">SUM(R180:T180)</f>
        <v>0</v>
      </c>
      <c r="V180" s="189">
        <f t="shared" ref="V180:X185" si="160">SUM(V100,V140)</f>
        <v>0</v>
      </c>
      <c r="W180" s="189">
        <f t="shared" si="160"/>
        <v>0</v>
      </c>
      <c r="X180" s="189">
        <f t="shared" si="160"/>
        <v>0</v>
      </c>
      <c r="Y180" s="190">
        <f t="shared" ref="Y180:Y185" si="161">SUM(V180:X180)</f>
        <v>0</v>
      </c>
    </row>
    <row r="181" spans="1:25" ht="12.75" hidden="1" customHeight="1" outlineLevel="2" x14ac:dyDescent="0.2">
      <c r="A181" s="198" t="str">
        <f>"            "&amp;Labels!B398</f>
        <v xml:space="preserve">            Supply Type 2</v>
      </c>
      <c r="B181" s="189">
        <f t="shared" si="150"/>
        <v>0</v>
      </c>
      <c r="C181" s="189">
        <f t="shared" si="150"/>
        <v>0</v>
      </c>
      <c r="D181" s="189">
        <f t="shared" si="150"/>
        <v>0</v>
      </c>
      <c r="E181" s="190">
        <f t="shared" si="151"/>
        <v>0</v>
      </c>
      <c r="F181" s="189">
        <f t="shared" si="152"/>
        <v>0</v>
      </c>
      <c r="G181" s="189">
        <f t="shared" si="152"/>
        <v>0</v>
      </c>
      <c r="H181" s="189">
        <f t="shared" si="152"/>
        <v>0</v>
      </c>
      <c r="I181" s="190">
        <f t="shared" si="153"/>
        <v>0</v>
      </c>
      <c r="J181" s="189">
        <f t="shared" si="154"/>
        <v>0</v>
      </c>
      <c r="K181" s="189">
        <f t="shared" si="154"/>
        <v>0</v>
      </c>
      <c r="L181" s="189">
        <f t="shared" si="154"/>
        <v>0</v>
      </c>
      <c r="M181" s="190">
        <f t="shared" si="155"/>
        <v>0</v>
      </c>
      <c r="N181" s="189">
        <f t="shared" si="156"/>
        <v>0</v>
      </c>
      <c r="O181" s="189">
        <f t="shared" si="156"/>
        <v>0</v>
      </c>
      <c r="P181" s="189">
        <f t="shared" si="156"/>
        <v>0</v>
      </c>
      <c r="Q181" s="190">
        <f t="shared" si="157"/>
        <v>0</v>
      </c>
      <c r="R181" s="189">
        <f t="shared" si="158"/>
        <v>0</v>
      </c>
      <c r="S181" s="189">
        <f t="shared" si="158"/>
        <v>0</v>
      </c>
      <c r="T181" s="189">
        <f t="shared" si="158"/>
        <v>0</v>
      </c>
      <c r="U181" s="190">
        <f t="shared" si="159"/>
        <v>0</v>
      </c>
      <c r="V181" s="189">
        <f t="shared" si="160"/>
        <v>0</v>
      </c>
      <c r="W181" s="189">
        <f t="shared" si="160"/>
        <v>0</v>
      </c>
      <c r="X181" s="189">
        <f t="shared" si="160"/>
        <v>0</v>
      </c>
      <c r="Y181" s="190">
        <f t="shared" si="161"/>
        <v>0</v>
      </c>
    </row>
    <row r="182" spans="1:25" ht="12.75" hidden="1" customHeight="1" outlineLevel="2" x14ac:dyDescent="0.2">
      <c r="A182" s="198" t="str">
        <f>"            "&amp;Labels!C396</f>
        <v xml:space="preserve">            Total</v>
      </c>
      <c r="B182" s="226">
        <f t="shared" si="150"/>
        <v>0</v>
      </c>
      <c r="C182" s="226">
        <f t="shared" si="150"/>
        <v>0</v>
      </c>
      <c r="D182" s="226">
        <f t="shared" si="150"/>
        <v>0</v>
      </c>
      <c r="E182" s="227">
        <f t="shared" si="151"/>
        <v>0</v>
      </c>
      <c r="F182" s="226">
        <f t="shared" si="152"/>
        <v>0</v>
      </c>
      <c r="G182" s="226">
        <f t="shared" si="152"/>
        <v>0</v>
      </c>
      <c r="H182" s="226">
        <f t="shared" si="152"/>
        <v>0</v>
      </c>
      <c r="I182" s="227">
        <f t="shared" si="153"/>
        <v>0</v>
      </c>
      <c r="J182" s="226">
        <f t="shared" si="154"/>
        <v>0</v>
      </c>
      <c r="K182" s="226">
        <f t="shared" si="154"/>
        <v>0</v>
      </c>
      <c r="L182" s="226">
        <f t="shared" si="154"/>
        <v>0</v>
      </c>
      <c r="M182" s="227">
        <f t="shared" si="155"/>
        <v>0</v>
      </c>
      <c r="N182" s="226">
        <f t="shared" si="156"/>
        <v>0</v>
      </c>
      <c r="O182" s="226">
        <f t="shared" si="156"/>
        <v>0</v>
      </c>
      <c r="P182" s="226">
        <f t="shared" si="156"/>
        <v>0</v>
      </c>
      <c r="Q182" s="227">
        <f t="shared" si="157"/>
        <v>0</v>
      </c>
      <c r="R182" s="226">
        <f t="shared" si="158"/>
        <v>0</v>
      </c>
      <c r="S182" s="226">
        <f t="shared" si="158"/>
        <v>0</v>
      </c>
      <c r="T182" s="226">
        <f t="shared" si="158"/>
        <v>0</v>
      </c>
      <c r="U182" s="227">
        <f t="shared" si="159"/>
        <v>0</v>
      </c>
      <c r="V182" s="226">
        <f t="shared" si="160"/>
        <v>0</v>
      </c>
      <c r="W182" s="226">
        <f t="shared" si="160"/>
        <v>0</v>
      </c>
      <c r="X182" s="226">
        <f t="shared" si="160"/>
        <v>0</v>
      </c>
      <c r="Y182" s="227">
        <f t="shared" si="161"/>
        <v>0</v>
      </c>
    </row>
    <row r="183" spans="1:25" ht="12.75" hidden="1" customHeight="1" outlineLevel="2" x14ac:dyDescent="0.2">
      <c r="A183" s="198" t="str">
        <f>"         "&amp;Labels!C316</f>
        <v xml:space="preserve">         Total</v>
      </c>
      <c r="B183" s="226">
        <f t="shared" si="150"/>
        <v>0</v>
      </c>
      <c r="C183" s="226">
        <f t="shared" si="150"/>
        <v>0</v>
      </c>
      <c r="D183" s="226">
        <f t="shared" si="150"/>
        <v>0</v>
      </c>
      <c r="E183" s="227">
        <f t="shared" si="151"/>
        <v>0</v>
      </c>
      <c r="F183" s="226">
        <f t="shared" si="152"/>
        <v>0</v>
      </c>
      <c r="G183" s="226">
        <f t="shared" si="152"/>
        <v>0</v>
      </c>
      <c r="H183" s="226">
        <f t="shared" si="152"/>
        <v>0</v>
      </c>
      <c r="I183" s="227">
        <f t="shared" si="153"/>
        <v>0</v>
      </c>
      <c r="J183" s="226">
        <f t="shared" si="154"/>
        <v>0</v>
      </c>
      <c r="K183" s="226">
        <f t="shared" si="154"/>
        <v>0</v>
      </c>
      <c r="L183" s="226">
        <f t="shared" si="154"/>
        <v>0</v>
      </c>
      <c r="M183" s="227">
        <f t="shared" si="155"/>
        <v>0</v>
      </c>
      <c r="N183" s="226">
        <f t="shared" si="156"/>
        <v>0</v>
      </c>
      <c r="O183" s="226">
        <f t="shared" si="156"/>
        <v>0</v>
      </c>
      <c r="P183" s="226">
        <f t="shared" si="156"/>
        <v>0</v>
      </c>
      <c r="Q183" s="227">
        <f t="shared" si="157"/>
        <v>0</v>
      </c>
      <c r="R183" s="226">
        <f t="shared" si="158"/>
        <v>0</v>
      </c>
      <c r="S183" s="226">
        <f t="shared" si="158"/>
        <v>0</v>
      </c>
      <c r="T183" s="226">
        <f t="shared" si="158"/>
        <v>0</v>
      </c>
      <c r="U183" s="227">
        <f t="shared" si="159"/>
        <v>0</v>
      </c>
      <c r="V183" s="226">
        <f t="shared" si="160"/>
        <v>0</v>
      </c>
      <c r="W183" s="226">
        <f t="shared" si="160"/>
        <v>0</v>
      </c>
      <c r="X183" s="226">
        <f t="shared" si="160"/>
        <v>0</v>
      </c>
      <c r="Y183" s="227">
        <f t="shared" si="161"/>
        <v>0</v>
      </c>
    </row>
    <row r="184" spans="1:25" ht="12.75" hidden="1" customHeight="1" outlineLevel="2" x14ac:dyDescent="0.2">
      <c r="A184" s="198" t="str">
        <f>"            "&amp;Labels!B397</f>
        <v xml:space="preserve">            Supply Type 1</v>
      </c>
      <c r="B184" s="189">
        <f t="shared" si="150"/>
        <v>0</v>
      </c>
      <c r="C184" s="189">
        <f t="shared" si="150"/>
        <v>0</v>
      </c>
      <c r="D184" s="189">
        <f t="shared" si="150"/>
        <v>0</v>
      </c>
      <c r="E184" s="190">
        <f t="shared" si="151"/>
        <v>0</v>
      </c>
      <c r="F184" s="189">
        <f t="shared" si="152"/>
        <v>0</v>
      </c>
      <c r="G184" s="189">
        <f t="shared" si="152"/>
        <v>0</v>
      </c>
      <c r="H184" s="189">
        <f t="shared" si="152"/>
        <v>0</v>
      </c>
      <c r="I184" s="190">
        <f t="shared" si="153"/>
        <v>0</v>
      </c>
      <c r="J184" s="189">
        <f t="shared" si="154"/>
        <v>0</v>
      </c>
      <c r="K184" s="189">
        <f t="shared" si="154"/>
        <v>0</v>
      </c>
      <c r="L184" s="189">
        <f t="shared" si="154"/>
        <v>0</v>
      </c>
      <c r="M184" s="190">
        <f t="shared" si="155"/>
        <v>0</v>
      </c>
      <c r="N184" s="189">
        <f t="shared" si="156"/>
        <v>0</v>
      </c>
      <c r="O184" s="189">
        <f t="shared" si="156"/>
        <v>0</v>
      </c>
      <c r="P184" s="189">
        <f t="shared" si="156"/>
        <v>0</v>
      </c>
      <c r="Q184" s="190">
        <f t="shared" si="157"/>
        <v>0</v>
      </c>
      <c r="R184" s="189">
        <f t="shared" si="158"/>
        <v>0</v>
      </c>
      <c r="S184" s="189">
        <f t="shared" si="158"/>
        <v>0</v>
      </c>
      <c r="T184" s="189">
        <f t="shared" si="158"/>
        <v>0</v>
      </c>
      <c r="U184" s="190">
        <f t="shared" si="159"/>
        <v>0</v>
      </c>
      <c r="V184" s="189">
        <f t="shared" si="160"/>
        <v>0</v>
      </c>
      <c r="W184" s="189">
        <f t="shared" si="160"/>
        <v>0</v>
      </c>
      <c r="X184" s="189">
        <f t="shared" si="160"/>
        <v>0</v>
      </c>
      <c r="Y184" s="190">
        <f t="shared" si="161"/>
        <v>0</v>
      </c>
    </row>
    <row r="185" spans="1:25" ht="12.75" hidden="1" customHeight="1" outlineLevel="2" x14ac:dyDescent="0.2">
      <c r="A185" s="198" t="str">
        <f>"            "&amp;Labels!B398</f>
        <v xml:space="preserve">            Supply Type 2</v>
      </c>
      <c r="B185" s="189">
        <f t="shared" si="150"/>
        <v>0</v>
      </c>
      <c r="C185" s="189">
        <f t="shared" si="150"/>
        <v>0</v>
      </c>
      <c r="D185" s="189">
        <f t="shared" si="150"/>
        <v>0</v>
      </c>
      <c r="E185" s="190">
        <f t="shared" si="151"/>
        <v>0</v>
      </c>
      <c r="F185" s="189">
        <f t="shared" si="152"/>
        <v>0</v>
      </c>
      <c r="G185" s="189">
        <f t="shared" si="152"/>
        <v>0</v>
      </c>
      <c r="H185" s="189">
        <f t="shared" si="152"/>
        <v>0</v>
      </c>
      <c r="I185" s="190">
        <f t="shared" si="153"/>
        <v>0</v>
      </c>
      <c r="J185" s="189">
        <f t="shared" si="154"/>
        <v>0</v>
      </c>
      <c r="K185" s="189">
        <f t="shared" si="154"/>
        <v>0</v>
      </c>
      <c r="L185" s="189">
        <f t="shared" si="154"/>
        <v>0</v>
      </c>
      <c r="M185" s="190">
        <f t="shared" si="155"/>
        <v>0</v>
      </c>
      <c r="N185" s="189">
        <f t="shared" si="156"/>
        <v>0</v>
      </c>
      <c r="O185" s="189">
        <f t="shared" si="156"/>
        <v>0</v>
      </c>
      <c r="P185" s="189">
        <f t="shared" si="156"/>
        <v>0</v>
      </c>
      <c r="Q185" s="190">
        <f t="shared" si="157"/>
        <v>0</v>
      </c>
      <c r="R185" s="189">
        <f t="shared" si="158"/>
        <v>0</v>
      </c>
      <c r="S185" s="189">
        <f t="shared" si="158"/>
        <v>0</v>
      </c>
      <c r="T185" s="189">
        <f t="shared" si="158"/>
        <v>0</v>
      </c>
      <c r="U185" s="190">
        <f t="shared" si="159"/>
        <v>0</v>
      </c>
      <c r="V185" s="189">
        <f t="shared" si="160"/>
        <v>0</v>
      </c>
      <c r="W185" s="189">
        <f t="shared" si="160"/>
        <v>0</v>
      </c>
      <c r="X185" s="189">
        <f t="shared" si="160"/>
        <v>0</v>
      </c>
      <c r="Y185" s="190">
        <f t="shared" si="161"/>
        <v>0</v>
      </c>
    </row>
    <row r="186" spans="1:25" ht="12.75" hidden="1" customHeight="1" outlineLevel="2" x14ac:dyDescent="0.2">
      <c r="A186" s="198" t="str">
        <f>"            "&amp;Labels!C396</f>
        <v xml:space="preserve">            Total</v>
      </c>
      <c r="B186" s="226">
        <f>SUM(B103,B143)</f>
        <v>0</v>
      </c>
      <c r="C186" s="226">
        <f>SUM(C103,C143)</f>
        <v>0</v>
      </c>
      <c r="D186" s="226">
        <f>SUM(D103,D143)</f>
        <v>0</v>
      </c>
      <c r="E186" s="227">
        <f>SUM(B183:D183)</f>
        <v>0</v>
      </c>
      <c r="F186" s="226">
        <f>SUM(F103,F143)</f>
        <v>0</v>
      </c>
      <c r="G186" s="226">
        <f>SUM(G103,G143)</f>
        <v>0</v>
      </c>
      <c r="H186" s="226">
        <f>SUM(H103,H143)</f>
        <v>0</v>
      </c>
      <c r="I186" s="227">
        <f>SUM(F183:H183)</f>
        <v>0</v>
      </c>
      <c r="J186" s="226">
        <f>SUM(J103,J143)</f>
        <v>0</v>
      </c>
      <c r="K186" s="226">
        <f>SUM(K103,K143)</f>
        <v>0</v>
      </c>
      <c r="L186" s="226">
        <f>SUM(L103,L143)</f>
        <v>0</v>
      </c>
      <c r="M186" s="227">
        <f>SUM(J183:L183)</f>
        <v>0</v>
      </c>
      <c r="N186" s="226">
        <f>SUM(N103,N143)</f>
        <v>0</v>
      </c>
      <c r="O186" s="226">
        <f>SUM(O103,O143)</f>
        <v>0</v>
      </c>
      <c r="P186" s="226">
        <f>SUM(P103,P143)</f>
        <v>0</v>
      </c>
      <c r="Q186" s="227">
        <f>SUM(N183:P183)</f>
        <v>0</v>
      </c>
      <c r="R186" s="226">
        <f>SUM(R103,R143)</f>
        <v>0</v>
      </c>
      <c r="S186" s="226">
        <f>SUM(S103,S143)</f>
        <v>0</v>
      </c>
      <c r="T186" s="226">
        <f>SUM(T103,T143)</f>
        <v>0</v>
      </c>
      <c r="U186" s="227">
        <f>SUM(R183:T183)</f>
        <v>0</v>
      </c>
      <c r="V186" s="226">
        <f>SUM(V103,V143)</f>
        <v>0</v>
      </c>
      <c r="W186" s="226">
        <f>SUM(W103,W143)</f>
        <v>0</v>
      </c>
      <c r="X186" s="226">
        <f>SUM(X103,X143)</f>
        <v>0</v>
      </c>
      <c r="Y186" s="227">
        <f>SUM(V183:X183)</f>
        <v>0</v>
      </c>
    </row>
    <row r="187" spans="1:25" ht="12.75" hidden="1" customHeight="1" outlineLevel="2" x14ac:dyDescent="0.2">
      <c r="A187" s="198" t="str">
        <f>"      "&amp;Labels!B386</f>
        <v xml:space="preserve">      Prof Level 2</v>
      </c>
      <c r="B187" s="226"/>
      <c r="C187" s="226"/>
      <c r="D187" s="226"/>
      <c r="E187" s="227"/>
      <c r="F187" s="226"/>
      <c r="G187" s="226"/>
      <c r="H187" s="226"/>
      <c r="I187" s="227"/>
      <c r="J187" s="226"/>
      <c r="K187" s="226"/>
      <c r="L187" s="226"/>
      <c r="M187" s="227"/>
      <c r="N187" s="226"/>
      <c r="O187" s="226"/>
      <c r="P187" s="226"/>
      <c r="Q187" s="227"/>
      <c r="R187" s="226"/>
      <c r="S187" s="226"/>
      <c r="T187" s="226"/>
      <c r="U187" s="227"/>
      <c r="V187" s="226"/>
      <c r="W187" s="226"/>
      <c r="X187" s="226"/>
      <c r="Y187" s="227"/>
    </row>
    <row r="188" spans="1:25" ht="12.75" hidden="1" customHeight="1" outlineLevel="2" x14ac:dyDescent="0.2">
      <c r="A188" s="198" t="str">
        <f>"         "&amp;Labels!B317</f>
        <v xml:space="preserve">         Channels 1</v>
      </c>
      <c r="B188" s="226"/>
      <c r="C188" s="226"/>
      <c r="D188" s="226"/>
      <c r="E188" s="227"/>
      <c r="F188" s="226"/>
      <c r="G188" s="226"/>
      <c r="H188" s="226"/>
      <c r="I188" s="227"/>
      <c r="J188" s="226"/>
      <c r="K188" s="226"/>
      <c r="L188" s="226"/>
      <c r="M188" s="227"/>
      <c r="N188" s="226"/>
      <c r="O188" s="226"/>
      <c r="P188" s="226"/>
      <c r="Q188" s="227"/>
      <c r="R188" s="226"/>
      <c r="S188" s="226"/>
      <c r="T188" s="226"/>
      <c r="U188" s="227"/>
      <c r="V188" s="226"/>
      <c r="W188" s="226"/>
      <c r="X188" s="226"/>
      <c r="Y188" s="227"/>
    </row>
    <row r="189" spans="1:25" ht="12.75" hidden="1" customHeight="1" outlineLevel="2" x14ac:dyDescent="0.2">
      <c r="A189" s="198" t="str">
        <f>"            "&amp;Labels!B397</f>
        <v xml:space="preserve">            Supply Type 1</v>
      </c>
      <c r="B189" s="189">
        <f t="shared" ref="B189:D191" si="162">SUM(B109,B149)</f>
        <v>0</v>
      </c>
      <c r="C189" s="189">
        <f t="shared" si="162"/>
        <v>0</v>
      </c>
      <c r="D189" s="189">
        <f t="shared" si="162"/>
        <v>0</v>
      </c>
      <c r="E189" s="190">
        <f>SUM(B189:D189)</f>
        <v>0</v>
      </c>
      <c r="F189" s="189">
        <f t="shared" ref="F189:H191" si="163">SUM(F109,F149)</f>
        <v>0</v>
      </c>
      <c r="G189" s="189">
        <f t="shared" si="163"/>
        <v>0</v>
      </c>
      <c r="H189" s="189">
        <f t="shared" si="163"/>
        <v>0</v>
      </c>
      <c r="I189" s="190">
        <f>SUM(F189:H189)</f>
        <v>0</v>
      </c>
      <c r="J189" s="189">
        <f t="shared" ref="J189:L191" si="164">SUM(J109,J149)</f>
        <v>0</v>
      </c>
      <c r="K189" s="189">
        <f t="shared" si="164"/>
        <v>0</v>
      </c>
      <c r="L189" s="189">
        <f t="shared" si="164"/>
        <v>0</v>
      </c>
      <c r="M189" s="190">
        <f>SUM(J189:L189)</f>
        <v>0</v>
      </c>
      <c r="N189" s="189">
        <f t="shared" ref="N189:P191" si="165">SUM(N109,N149)</f>
        <v>0</v>
      </c>
      <c r="O189" s="189">
        <f t="shared" si="165"/>
        <v>0</v>
      </c>
      <c r="P189" s="189">
        <f t="shared" si="165"/>
        <v>0</v>
      </c>
      <c r="Q189" s="190">
        <f>SUM(N189:P189)</f>
        <v>0</v>
      </c>
      <c r="R189" s="189">
        <f t="shared" ref="R189:T191" si="166">SUM(R109,R149)</f>
        <v>0</v>
      </c>
      <c r="S189" s="189">
        <f t="shared" si="166"/>
        <v>0</v>
      </c>
      <c r="T189" s="189">
        <f t="shared" si="166"/>
        <v>0</v>
      </c>
      <c r="U189" s="190">
        <f>SUM(R189:T189)</f>
        <v>0</v>
      </c>
      <c r="V189" s="189">
        <f t="shared" ref="V189:X191" si="167">SUM(V109,V149)</f>
        <v>0</v>
      </c>
      <c r="W189" s="189">
        <f t="shared" si="167"/>
        <v>0</v>
      </c>
      <c r="X189" s="189">
        <f t="shared" si="167"/>
        <v>0</v>
      </c>
      <c r="Y189" s="190">
        <f>SUM(V189:X189)</f>
        <v>0</v>
      </c>
    </row>
    <row r="190" spans="1:25" ht="12.75" hidden="1" customHeight="1" outlineLevel="2" x14ac:dyDescent="0.2">
      <c r="A190" s="198" t="str">
        <f>"            "&amp;Labels!B398</f>
        <v xml:space="preserve">            Supply Type 2</v>
      </c>
      <c r="B190" s="189">
        <f t="shared" si="162"/>
        <v>0</v>
      </c>
      <c r="C190" s="189">
        <f t="shared" si="162"/>
        <v>0</v>
      </c>
      <c r="D190" s="189">
        <f t="shared" si="162"/>
        <v>0</v>
      </c>
      <c r="E190" s="190">
        <f>SUM(B190:D190)</f>
        <v>0</v>
      </c>
      <c r="F190" s="189">
        <f t="shared" si="163"/>
        <v>0</v>
      </c>
      <c r="G190" s="189">
        <f t="shared" si="163"/>
        <v>0</v>
      </c>
      <c r="H190" s="189">
        <f t="shared" si="163"/>
        <v>0</v>
      </c>
      <c r="I190" s="190">
        <f>SUM(F190:H190)</f>
        <v>0</v>
      </c>
      <c r="J190" s="189">
        <f t="shared" si="164"/>
        <v>0</v>
      </c>
      <c r="K190" s="189">
        <f t="shared" si="164"/>
        <v>0</v>
      </c>
      <c r="L190" s="189">
        <f t="shared" si="164"/>
        <v>0</v>
      </c>
      <c r="M190" s="190">
        <f>SUM(J190:L190)</f>
        <v>0</v>
      </c>
      <c r="N190" s="189">
        <f t="shared" si="165"/>
        <v>0</v>
      </c>
      <c r="O190" s="189">
        <f t="shared" si="165"/>
        <v>0</v>
      </c>
      <c r="P190" s="189">
        <f t="shared" si="165"/>
        <v>0</v>
      </c>
      <c r="Q190" s="190">
        <f>SUM(N190:P190)</f>
        <v>0</v>
      </c>
      <c r="R190" s="189">
        <f t="shared" si="166"/>
        <v>0</v>
      </c>
      <c r="S190" s="189">
        <f t="shared" si="166"/>
        <v>0</v>
      </c>
      <c r="T190" s="189">
        <f t="shared" si="166"/>
        <v>0</v>
      </c>
      <c r="U190" s="190">
        <f>SUM(R190:T190)</f>
        <v>0</v>
      </c>
      <c r="V190" s="189">
        <f t="shared" si="167"/>
        <v>0</v>
      </c>
      <c r="W190" s="189">
        <f t="shared" si="167"/>
        <v>0</v>
      </c>
      <c r="X190" s="189">
        <f t="shared" si="167"/>
        <v>0</v>
      </c>
      <c r="Y190" s="190">
        <f>SUM(V190:X190)</f>
        <v>0</v>
      </c>
    </row>
    <row r="191" spans="1:25" ht="12.75" hidden="1" customHeight="1" outlineLevel="2" x14ac:dyDescent="0.2">
      <c r="A191" s="198" t="str">
        <f>"            "&amp;Labels!C396</f>
        <v xml:space="preserve">            Total</v>
      </c>
      <c r="B191" s="226">
        <f t="shared" si="162"/>
        <v>0</v>
      </c>
      <c r="C191" s="226">
        <f t="shared" si="162"/>
        <v>0</v>
      </c>
      <c r="D191" s="226">
        <f t="shared" si="162"/>
        <v>0</v>
      </c>
      <c r="E191" s="227">
        <f>SUM(B191:D191)</f>
        <v>0</v>
      </c>
      <c r="F191" s="226">
        <f t="shared" si="163"/>
        <v>0</v>
      </c>
      <c r="G191" s="226">
        <f t="shared" si="163"/>
        <v>0</v>
      </c>
      <c r="H191" s="226">
        <f t="shared" si="163"/>
        <v>0</v>
      </c>
      <c r="I191" s="227">
        <f>SUM(F191:H191)</f>
        <v>0</v>
      </c>
      <c r="J191" s="226">
        <f t="shared" si="164"/>
        <v>0</v>
      </c>
      <c r="K191" s="226">
        <f t="shared" si="164"/>
        <v>0</v>
      </c>
      <c r="L191" s="226">
        <f t="shared" si="164"/>
        <v>0</v>
      </c>
      <c r="M191" s="227">
        <f>SUM(J191:L191)</f>
        <v>0</v>
      </c>
      <c r="N191" s="226">
        <f t="shared" si="165"/>
        <v>0</v>
      </c>
      <c r="O191" s="226">
        <f t="shared" si="165"/>
        <v>0</v>
      </c>
      <c r="P191" s="226">
        <f t="shared" si="165"/>
        <v>0</v>
      </c>
      <c r="Q191" s="227">
        <f>SUM(N191:P191)</f>
        <v>0</v>
      </c>
      <c r="R191" s="226">
        <f t="shared" si="166"/>
        <v>0</v>
      </c>
      <c r="S191" s="226">
        <f t="shared" si="166"/>
        <v>0</v>
      </c>
      <c r="T191" s="226">
        <f t="shared" si="166"/>
        <v>0</v>
      </c>
      <c r="U191" s="227">
        <f>SUM(R191:T191)</f>
        <v>0</v>
      </c>
      <c r="V191" s="226">
        <f t="shared" si="167"/>
        <v>0</v>
      </c>
      <c r="W191" s="226">
        <f t="shared" si="167"/>
        <v>0</v>
      </c>
      <c r="X191" s="226">
        <f t="shared" si="167"/>
        <v>0</v>
      </c>
      <c r="Y191" s="227">
        <f>SUM(V191:X191)</f>
        <v>0</v>
      </c>
    </row>
    <row r="192" spans="1:25" ht="12.75" hidden="1" customHeight="1" outlineLevel="2" x14ac:dyDescent="0.2">
      <c r="A192" s="198" t="str">
        <f>"         "&amp;Labels!B318</f>
        <v xml:space="preserve">         Channels 2</v>
      </c>
      <c r="B192" s="226"/>
      <c r="C192" s="226"/>
      <c r="D192" s="226"/>
      <c r="E192" s="227"/>
      <c r="F192" s="226"/>
      <c r="G192" s="226"/>
      <c r="H192" s="226"/>
      <c r="I192" s="227"/>
      <c r="J192" s="226"/>
      <c r="K192" s="226"/>
      <c r="L192" s="226"/>
      <c r="M192" s="227"/>
      <c r="N192" s="226"/>
      <c r="O192" s="226"/>
      <c r="P192" s="226"/>
      <c r="Q192" s="227"/>
      <c r="R192" s="226"/>
      <c r="S192" s="226"/>
      <c r="T192" s="226"/>
      <c r="U192" s="227"/>
      <c r="V192" s="226"/>
      <c r="W192" s="226"/>
      <c r="X192" s="226"/>
      <c r="Y192" s="227"/>
    </row>
    <row r="193" spans="1:25" ht="12.75" hidden="1" customHeight="1" outlineLevel="2" x14ac:dyDescent="0.2">
      <c r="A193" s="198" t="str">
        <f>"            "&amp;Labels!B397</f>
        <v xml:space="preserve">            Supply Type 1</v>
      </c>
      <c r="B193" s="189">
        <f t="shared" ref="B193:D198" si="168">SUM(B113,B153)</f>
        <v>0</v>
      </c>
      <c r="C193" s="189">
        <f t="shared" si="168"/>
        <v>0</v>
      </c>
      <c r="D193" s="189">
        <f t="shared" si="168"/>
        <v>0</v>
      </c>
      <c r="E193" s="190">
        <f t="shared" ref="E193:E198" si="169">SUM(B193:D193)</f>
        <v>0</v>
      </c>
      <c r="F193" s="189">
        <f t="shared" ref="F193:H198" si="170">SUM(F113,F153)</f>
        <v>0</v>
      </c>
      <c r="G193" s="189">
        <f t="shared" si="170"/>
        <v>0</v>
      </c>
      <c r="H193" s="189">
        <f t="shared" si="170"/>
        <v>0</v>
      </c>
      <c r="I193" s="190">
        <f t="shared" ref="I193:I198" si="171">SUM(F193:H193)</f>
        <v>0</v>
      </c>
      <c r="J193" s="189">
        <f t="shared" ref="J193:L198" si="172">SUM(J113,J153)</f>
        <v>0</v>
      </c>
      <c r="K193" s="189">
        <f t="shared" si="172"/>
        <v>0</v>
      </c>
      <c r="L193" s="189">
        <f t="shared" si="172"/>
        <v>0</v>
      </c>
      <c r="M193" s="190">
        <f t="shared" ref="M193:M198" si="173">SUM(J193:L193)</f>
        <v>0</v>
      </c>
      <c r="N193" s="189">
        <f t="shared" ref="N193:P198" si="174">SUM(N113,N153)</f>
        <v>0</v>
      </c>
      <c r="O193" s="189">
        <f t="shared" si="174"/>
        <v>0</v>
      </c>
      <c r="P193" s="189">
        <f t="shared" si="174"/>
        <v>0</v>
      </c>
      <c r="Q193" s="190">
        <f t="shared" ref="Q193:Q198" si="175">SUM(N193:P193)</f>
        <v>0</v>
      </c>
      <c r="R193" s="189">
        <f t="shared" ref="R193:T198" si="176">SUM(R113,R153)</f>
        <v>0</v>
      </c>
      <c r="S193" s="189">
        <f t="shared" si="176"/>
        <v>0</v>
      </c>
      <c r="T193" s="189">
        <f t="shared" si="176"/>
        <v>0</v>
      </c>
      <c r="U193" s="190">
        <f t="shared" ref="U193:U198" si="177">SUM(R193:T193)</f>
        <v>0</v>
      </c>
      <c r="V193" s="189">
        <f t="shared" ref="V193:X198" si="178">SUM(V113,V153)</f>
        <v>0</v>
      </c>
      <c r="W193" s="189">
        <f t="shared" si="178"/>
        <v>0</v>
      </c>
      <c r="X193" s="189">
        <f t="shared" si="178"/>
        <v>0</v>
      </c>
      <c r="Y193" s="190">
        <f t="shared" ref="Y193:Y198" si="179">SUM(V193:X193)</f>
        <v>0</v>
      </c>
    </row>
    <row r="194" spans="1:25" ht="12.75" hidden="1" customHeight="1" outlineLevel="2" x14ac:dyDescent="0.2">
      <c r="A194" s="198" t="str">
        <f>"            "&amp;Labels!B398</f>
        <v xml:space="preserve">            Supply Type 2</v>
      </c>
      <c r="B194" s="189">
        <f t="shared" si="168"/>
        <v>0</v>
      </c>
      <c r="C194" s="189">
        <f t="shared" si="168"/>
        <v>0</v>
      </c>
      <c r="D194" s="189">
        <f t="shared" si="168"/>
        <v>0</v>
      </c>
      <c r="E194" s="190">
        <f t="shared" si="169"/>
        <v>0</v>
      </c>
      <c r="F194" s="189">
        <f t="shared" si="170"/>
        <v>0</v>
      </c>
      <c r="G194" s="189">
        <f t="shared" si="170"/>
        <v>0</v>
      </c>
      <c r="H194" s="189">
        <f t="shared" si="170"/>
        <v>0</v>
      </c>
      <c r="I194" s="190">
        <f t="shared" si="171"/>
        <v>0</v>
      </c>
      <c r="J194" s="189">
        <f t="shared" si="172"/>
        <v>0</v>
      </c>
      <c r="K194" s="189">
        <f t="shared" si="172"/>
        <v>0</v>
      </c>
      <c r="L194" s="189">
        <f t="shared" si="172"/>
        <v>0</v>
      </c>
      <c r="M194" s="190">
        <f t="shared" si="173"/>
        <v>0</v>
      </c>
      <c r="N194" s="189">
        <f t="shared" si="174"/>
        <v>0</v>
      </c>
      <c r="O194" s="189">
        <f t="shared" si="174"/>
        <v>0</v>
      </c>
      <c r="P194" s="189">
        <f t="shared" si="174"/>
        <v>0</v>
      </c>
      <c r="Q194" s="190">
        <f t="shared" si="175"/>
        <v>0</v>
      </c>
      <c r="R194" s="189">
        <f t="shared" si="176"/>
        <v>0</v>
      </c>
      <c r="S194" s="189">
        <f t="shared" si="176"/>
        <v>0</v>
      </c>
      <c r="T194" s="189">
        <f t="shared" si="176"/>
        <v>0</v>
      </c>
      <c r="U194" s="190">
        <f t="shared" si="177"/>
        <v>0</v>
      </c>
      <c r="V194" s="189">
        <f t="shared" si="178"/>
        <v>0</v>
      </c>
      <c r="W194" s="189">
        <f t="shared" si="178"/>
        <v>0</v>
      </c>
      <c r="X194" s="189">
        <f t="shared" si="178"/>
        <v>0</v>
      </c>
      <c r="Y194" s="190">
        <f t="shared" si="179"/>
        <v>0</v>
      </c>
    </row>
    <row r="195" spans="1:25" ht="12.75" hidden="1" customHeight="1" outlineLevel="2" x14ac:dyDescent="0.2">
      <c r="A195" s="198" t="str">
        <f>"            "&amp;Labels!C396</f>
        <v xml:space="preserve">            Total</v>
      </c>
      <c r="B195" s="226">
        <f t="shared" si="168"/>
        <v>0</v>
      </c>
      <c r="C195" s="226">
        <f t="shared" si="168"/>
        <v>0</v>
      </c>
      <c r="D195" s="226">
        <f t="shared" si="168"/>
        <v>0</v>
      </c>
      <c r="E195" s="227">
        <f t="shared" si="169"/>
        <v>0</v>
      </c>
      <c r="F195" s="226">
        <f t="shared" si="170"/>
        <v>0</v>
      </c>
      <c r="G195" s="226">
        <f t="shared" si="170"/>
        <v>0</v>
      </c>
      <c r="H195" s="226">
        <f t="shared" si="170"/>
        <v>0</v>
      </c>
      <c r="I195" s="227">
        <f t="shared" si="171"/>
        <v>0</v>
      </c>
      <c r="J195" s="226">
        <f t="shared" si="172"/>
        <v>0</v>
      </c>
      <c r="K195" s="226">
        <f t="shared" si="172"/>
        <v>0</v>
      </c>
      <c r="L195" s="226">
        <f t="shared" si="172"/>
        <v>0</v>
      </c>
      <c r="M195" s="227">
        <f t="shared" si="173"/>
        <v>0</v>
      </c>
      <c r="N195" s="226">
        <f t="shared" si="174"/>
        <v>0</v>
      </c>
      <c r="O195" s="226">
        <f t="shared" si="174"/>
        <v>0</v>
      </c>
      <c r="P195" s="226">
        <f t="shared" si="174"/>
        <v>0</v>
      </c>
      <c r="Q195" s="227">
        <f t="shared" si="175"/>
        <v>0</v>
      </c>
      <c r="R195" s="226">
        <f t="shared" si="176"/>
        <v>0</v>
      </c>
      <c r="S195" s="226">
        <f t="shared" si="176"/>
        <v>0</v>
      </c>
      <c r="T195" s="226">
        <f t="shared" si="176"/>
        <v>0</v>
      </c>
      <c r="U195" s="227">
        <f t="shared" si="177"/>
        <v>0</v>
      </c>
      <c r="V195" s="226">
        <f t="shared" si="178"/>
        <v>0</v>
      </c>
      <c r="W195" s="226">
        <f t="shared" si="178"/>
        <v>0</v>
      </c>
      <c r="X195" s="226">
        <f t="shared" si="178"/>
        <v>0</v>
      </c>
      <c r="Y195" s="227">
        <f t="shared" si="179"/>
        <v>0</v>
      </c>
    </row>
    <row r="196" spans="1:25" ht="12.75" hidden="1" customHeight="1" outlineLevel="2" x14ac:dyDescent="0.2">
      <c r="A196" s="198" t="str">
        <f>"         "&amp;Labels!C316</f>
        <v xml:space="preserve">         Total</v>
      </c>
      <c r="B196" s="226">
        <f t="shared" si="168"/>
        <v>0</v>
      </c>
      <c r="C196" s="226">
        <f t="shared" si="168"/>
        <v>0</v>
      </c>
      <c r="D196" s="226">
        <f t="shared" si="168"/>
        <v>0</v>
      </c>
      <c r="E196" s="227">
        <f t="shared" si="169"/>
        <v>0</v>
      </c>
      <c r="F196" s="226">
        <f t="shared" si="170"/>
        <v>0</v>
      </c>
      <c r="G196" s="226">
        <f t="shared" si="170"/>
        <v>0</v>
      </c>
      <c r="H196" s="226">
        <f t="shared" si="170"/>
        <v>0</v>
      </c>
      <c r="I196" s="227">
        <f t="shared" si="171"/>
        <v>0</v>
      </c>
      <c r="J196" s="226">
        <f t="shared" si="172"/>
        <v>0</v>
      </c>
      <c r="K196" s="226">
        <f t="shared" si="172"/>
        <v>0</v>
      </c>
      <c r="L196" s="226">
        <f t="shared" si="172"/>
        <v>0</v>
      </c>
      <c r="M196" s="227">
        <f t="shared" si="173"/>
        <v>0</v>
      </c>
      <c r="N196" s="226">
        <f t="shared" si="174"/>
        <v>0</v>
      </c>
      <c r="O196" s="226">
        <f t="shared" si="174"/>
        <v>0</v>
      </c>
      <c r="P196" s="226">
        <f t="shared" si="174"/>
        <v>0</v>
      </c>
      <c r="Q196" s="227">
        <f t="shared" si="175"/>
        <v>0</v>
      </c>
      <c r="R196" s="226">
        <f t="shared" si="176"/>
        <v>0</v>
      </c>
      <c r="S196" s="226">
        <f t="shared" si="176"/>
        <v>0</v>
      </c>
      <c r="T196" s="226">
        <f t="shared" si="176"/>
        <v>0</v>
      </c>
      <c r="U196" s="227">
        <f t="shared" si="177"/>
        <v>0</v>
      </c>
      <c r="V196" s="226">
        <f t="shared" si="178"/>
        <v>0</v>
      </c>
      <c r="W196" s="226">
        <f t="shared" si="178"/>
        <v>0</v>
      </c>
      <c r="X196" s="226">
        <f t="shared" si="178"/>
        <v>0</v>
      </c>
      <c r="Y196" s="227">
        <f t="shared" si="179"/>
        <v>0</v>
      </c>
    </row>
    <row r="197" spans="1:25" ht="12.75" hidden="1" customHeight="1" outlineLevel="2" x14ac:dyDescent="0.2">
      <c r="A197" s="198" t="str">
        <f>"            "&amp;Labels!B397</f>
        <v xml:space="preserve">            Supply Type 1</v>
      </c>
      <c r="B197" s="189">
        <f t="shared" si="168"/>
        <v>0</v>
      </c>
      <c r="C197" s="189">
        <f t="shared" si="168"/>
        <v>0</v>
      </c>
      <c r="D197" s="189">
        <f t="shared" si="168"/>
        <v>0</v>
      </c>
      <c r="E197" s="190">
        <f t="shared" si="169"/>
        <v>0</v>
      </c>
      <c r="F197" s="189">
        <f t="shared" si="170"/>
        <v>0</v>
      </c>
      <c r="G197" s="189">
        <f t="shared" si="170"/>
        <v>0</v>
      </c>
      <c r="H197" s="189">
        <f t="shared" si="170"/>
        <v>0</v>
      </c>
      <c r="I197" s="190">
        <f t="shared" si="171"/>
        <v>0</v>
      </c>
      <c r="J197" s="189">
        <f t="shared" si="172"/>
        <v>0</v>
      </c>
      <c r="K197" s="189">
        <f t="shared" si="172"/>
        <v>0</v>
      </c>
      <c r="L197" s="189">
        <f t="shared" si="172"/>
        <v>0</v>
      </c>
      <c r="M197" s="190">
        <f t="shared" si="173"/>
        <v>0</v>
      </c>
      <c r="N197" s="189">
        <f t="shared" si="174"/>
        <v>0</v>
      </c>
      <c r="O197" s="189">
        <f t="shared" si="174"/>
        <v>0</v>
      </c>
      <c r="P197" s="189">
        <f t="shared" si="174"/>
        <v>0</v>
      </c>
      <c r="Q197" s="190">
        <f t="shared" si="175"/>
        <v>0</v>
      </c>
      <c r="R197" s="189">
        <f t="shared" si="176"/>
        <v>0</v>
      </c>
      <c r="S197" s="189">
        <f t="shared" si="176"/>
        <v>0</v>
      </c>
      <c r="T197" s="189">
        <f t="shared" si="176"/>
        <v>0</v>
      </c>
      <c r="U197" s="190">
        <f t="shared" si="177"/>
        <v>0</v>
      </c>
      <c r="V197" s="189">
        <f t="shared" si="178"/>
        <v>0</v>
      </c>
      <c r="W197" s="189">
        <f t="shared" si="178"/>
        <v>0</v>
      </c>
      <c r="X197" s="189">
        <f t="shared" si="178"/>
        <v>0</v>
      </c>
      <c r="Y197" s="190">
        <f t="shared" si="179"/>
        <v>0</v>
      </c>
    </row>
    <row r="198" spans="1:25" ht="12.75" hidden="1" customHeight="1" outlineLevel="2" x14ac:dyDescent="0.2">
      <c r="A198" s="198" t="str">
        <f>"            "&amp;Labels!B398</f>
        <v xml:space="preserve">            Supply Type 2</v>
      </c>
      <c r="B198" s="189">
        <f t="shared" si="168"/>
        <v>0</v>
      </c>
      <c r="C198" s="189">
        <f t="shared" si="168"/>
        <v>0</v>
      </c>
      <c r="D198" s="189">
        <f t="shared" si="168"/>
        <v>0</v>
      </c>
      <c r="E198" s="190">
        <f t="shared" si="169"/>
        <v>0</v>
      </c>
      <c r="F198" s="189">
        <f t="shared" si="170"/>
        <v>0</v>
      </c>
      <c r="G198" s="189">
        <f t="shared" si="170"/>
        <v>0</v>
      </c>
      <c r="H198" s="189">
        <f t="shared" si="170"/>
        <v>0</v>
      </c>
      <c r="I198" s="190">
        <f t="shared" si="171"/>
        <v>0</v>
      </c>
      <c r="J198" s="189">
        <f t="shared" si="172"/>
        <v>0</v>
      </c>
      <c r="K198" s="189">
        <f t="shared" si="172"/>
        <v>0</v>
      </c>
      <c r="L198" s="189">
        <f t="shared" si="172"/>
        <v>0</v>
      </c>
      <c r="M198" s="190">
        <f t="shared" si="173"/>
        <v>0</v>
      </c>
      <c r="N198" s="189">
        <f t="shared" si="174"/>
        <v>0</v>
      </c>
      <c r="O198" s="189">
        <f t="shared" si="174"/>
        <v>0</v>
      </c>
      <c r="P198" s="189">
        <f t="shared" si="174"/>
        <v>0</v>
      </c>
      <c r="Q198" s="190">
        <f t="shared" si="175"/>
        <v>0</v>
      </c>
      <c r="R198" s="189">
        <f t="shared" si="176"/>
        <v>0</v>
      </c>
      <c r="S198" s="189">
        <f t="shared" si="176"/>
        <v>0</v>
      </c>
      <c r="T198" s="189">
        <f t="shared" si="176"/>
        <v>0</v>
      </c>
      <c r="U198" s="190">
        <f t="shared" si="177"/>
        <v>0</v>
      </c>
      <c r="V198" s="189">
        <f t="shared" si="178"/>
        <v>0</v>
      </c>
      <c r="W198" s="189">
        <f t="shared" si="178"/>
        <v>0</v>
      </c>
      <c r="X198" s="189">
        <f t="shared" si="178"/>
        <v>0</v>
      </c>
      <c r="Y198" s="190">
        <f t="shared" si="179"/>
        <v>0</v>
      </c>
    </row>
    <row r="199" spans="1:25" ht="12.75" hidden="1" customHeight="1" outlineLevel="2" x14ac:dyDescent="0.2">
      <c r="A199" s="198" t="str">
        <f>"            "&amp;Labels!C396</f>
        <v xml:space="preserve">            Total</v>
      </c>
      <c r="B199" s="226">
        <f>SUM(B116,B156)</f>
        <v>0</v>
      </c>
      <c r="C199" s="226">
        <f>SUM(C116,C156)</f>
        <v>0</v>
      </c>
      <c r="D199" s="226">
        <f>SUM(D116,D156)</f>
        <v>0</v>
      </c>
      <c r="E199" s="227">
        <f>SUM(B196:D196)</f>
        <v>0</v>
      </c>
      <c r="F199" s="226">
        <f>SUM(F116,F156)</f>
        <v>0</v>
      </c>
      <c r="G199" s="226">
        <f>SUM(G116,G156)</f>
        <v>0</v>
      </c>
      <c r="H199" s="226">
        <f>SUM(H116,H156)</f>
        <v>0</v>
      </c>
      <c r="I199" s="227">
        <f>SUM(F196:H196)</f>
        <v>0</v>
      </c>
      <c r="J199" s="226">
        <f>SUM(J116,J156)</f>
        <v>0</v>
      </c>
      <c r="K199" s="226">
        <f>SUM(K116,K156)</f>
        <v>0</v>
      </c>
      <c r="L199" s="226">
        <f>SUM(L116,L156)</f>
        <v>0</v>
      </c>
      <c r="M199" s="227">
        <f>SUM(J196:L196)</f>
        <v>0</v>
      </c>
      <c r="N199" s="226">
        <f>SUM(N116,N156)</f>
        <v>0</v>
      </c>
      <c r="O199" s="226">
        <f>SUM(O116,O156)</f>
        <v>0</v>
      </c>
      <c r="P199" s="226">
        <f>SUM(P116,P156)</f>
        <v>0</v>
      </c>
      <c r="Q199" s="227">
        <f>SUM(N196:P196)</f>
        <v>0</v>
      </c>
      <c r="R199" s="226">
        <f>SUM(R116,R156)</f>
        <v>0</v>
      </c>
      <c r="S199" s="226">
        <f>SUM(S116,S156)</f>
        <v>0</v>
      </c>
      <c r="T199" s="226">
        <f>SUM(T116,T156)</f>
        <v>0</v>
      </c>
      <c r="U199" s="227">
        <f>SUM(R196:T196)</f>
        <v>0</v>
      </c>
      <c r="V199" s="226">
        <f>SUM(V116,V156)</f>
        <v>0</v>
      </c>
      <c r="W199" s="226">
        <f>SUM(W116,W156)</f>
        <v>0</v>
      </c>
      <c r="X199" s="226">
        <f>SUM(X116,X156)</f>
        <v>0</v>
      </c>
      <c r="Y199" s="227">
        <f>SUM(V196:X196)</f>
        <v>0</v>
      </c>
    </row>
    <row r="200" spans="1:25" ht="12.75" hidden="1" customHeight="1" outlineLevel="2" x14ac:dyDescent="0.2">
      <c r="A200" s="188" t="str">
        <f>"      "&amp;Labels!C384</f>
        <v xml:space="preserve">      Total</v>
      </c>
      <c r="B200" s="196">
        <f>SUM(B120,B160)</f>
        <v>0</v>
      </c>
      <c r="C200" s="196">
        <f>SUM(C120,C160)</f>
        <v>0</v>
      </c>
      <c r="D200" s="196">
        <f>SUM(D120,D160)</f>
        <v>0</v>
      </c>
      <c r="E200" s="197">
        <f>SUM(B173:D173)</f>
        <v>0</v>
      </c>
      <c r="F200" s="196">
        <f>SUM(F120,F160)</f>
        <v>0</v>
      </c>
      <c r="G200" s="196">
        <f>SUM(G120,G160)</f>
        <v>0</v>
      </c>
      <c r="H200" s="196">
        <f>SUM(H120,H160)</f>
        <v>0</v>
      </c>
      <c r="I200" s="197">
        <f>SUM(F173:H173)</f>
        <v>0</v>
      </c>
      <c r="J200" s="196">
        <f>SUM(J120,J160)</f>
        <v>0</v>
      </c>
      <c r="K200" s="196">
        <f>SUM(K120,K160)</f>
        <v>0</v>
      </c>
      <c r="L200" s="196">
        <f>SUM(L120,L160)</f>
        <v>0</v>
      </c>
      <c r="M200" s="197">
        <f>SUM(J173:L173)</f>
        <v>0</v>
      </c>
      <c r="N200" s="196">
        <f>SUM(N120,N160)</f>
        <v>0</v>
      </c>
      <c r="O200" s="196">
        <f>SUM(O120,O160)</f>
        <v>0</v>
      </c>
      <c r="P200" s="196">
        <f>SUM(P120,P160)</f>
        <v>0</v>
      </c>
      <c r="Q200" s="197">
        <f>SUM(N173:P173)</f>
        <v>0</v>
      </c>
      <c r="R200" s="196">
        <f>SUM(R120,R160)</f>
        <v>0</v>
      </c>
      <c r="S200" s="196">
        <f>SUM(S120,S160)</f>
        <v>0</v>
      </c>
      <c r="T200" s="196">
        <f>SUM(T120,T160)</f>
        <v>0</v>
      </c>
      <c r="U200" s="197">
        <f>SUM(R173:T173)</f>
        <v>0</v>
      </c>
      <c r="V200" s="196">
        <f>SUM(V120,V160)</f>
        <v>0</v>
      </c>
      <c r="W200" s="196">
        <f>SUM(W120,W160)</f>
        <v>0</v>
      </c>
      <c r="X200" s="196">
        <f>SUM(X120,X160)</f>
        <v>0</v>
      </c>
      <c r="Y200" s="197">
        <f>SUM(V173:X173)</f>
        <v>0</v>
      </c>
    </row>
    <row r="201" spans="1:25" ht="12.75" hidden="1" customHeight="1" outlineLevel="2" x14ac:dyDescent="0.2">
      <c r="A201" s="198" t="str">
        <f>"         "&amp;Labels!B317</f>
        <v xml:space="preserve">         Channels 1</v>
      </c>
      <c r="B201" s="226"/>
      <c r="C201" s="226"/>
      <c r="D201" s="226"/>
      <c r="E201" s="227"/>
      <c r="F201" s="226"/>
      <c r="G201" s="226"/>
      <c r="H201" s="226"/>
      <c r="I201" s="227"/>
      <c r="J201" s="226"/>
      <c r="K201" s="226"/>
      <c r="L201" s="226"/>
      <c r="M201" s="227"/>
      <c r="N201" s="226"/>
      <c r="O201" s="226"/>
      <c r="P201" s="226"/>
      <c r="Q201" s="227"/>
      <c r="R201" s="226"/>
      <c r="S201" s="226"/>
      <c r="T201" s="226"/>
      <c r="U201" s="227"/>
      <c r="V201" s="226"/>
      <c r="W201" s="226"/>
      <c r="X201" s="226"/>
      <c r="Y201" s="227"/>
    </row>
    <row r="202" spans="1:25" ht="12.75" hidden="1" customHeight="1" outlineLevel="2" x14ac:dyDescent="0.2">
      <c r="A202" s="198" t="str">
        <f>"            "&amp;Labels!B397</f>
        <v xml:space="preserve">            Supply Type 1</v>
      </c>
      <c r="B202" s="189">
        <f t="shared" ref="B202:D204" si="180">SUM(B122,B162)</f>
        <v>0</v>
      </c>
      <c r="C202" s="189">
        <f t="shared" si="180"/>
        <v>0</v>
      </c>
      <c r="D202" s="189">
        <f t="shared" si="180"/>
        <v>0</v>
      </c>
      <c r="E202" s="190">
        <f>SUM(B202:D202)</f>
        <v>0</v>
      </c>
      <c r="F202" s="189">
        <f t="shared" ref="F202:H204" si="181">SUM(F122,F162)</f>
        <v>0</v>
      </c>
      <c r="G202" s="189">
        <f t="shared" si="181"/>
        <v>0</v>
      </c>
      <c r="H202" s="189">
        <f t="shared" si="181"/>
        <v>0</v>
      </c>
      <c r="I202" s="190">
        <f>SUM(F202:H202)</f>
        <v>0</v>
      </c>
      <c r="J202" s="189">
        <f t="shared" ref="J202:L204" si="182">SUM(J122,J162)</f>
        <v>0</v>
      </c>
      <c r="K202" s="189">
        <f t="shared" si="182"/>
        <v>0</v>
      </c>
      <c r="L202" s="189">
        <f t="shared" si="182"/>
        <v>0</v>
      </c>
      <c r="M202" s="190">
        <f>SUM(J202:L202)</f>
        <v>0</v>
      </c>
      <c r="N202" s="189">
        <f t="shared" ref="N202:P204" si="183">SUM(N122,N162)</f>
        <v>0</v>
      </c>
      <c r="O202" s="189">
        <f t="shared" si="183"/>
        <v>0</v>
      </c>
      <c r="P202" s="189">
        <f t="shared" si="183"/>
        <v>0</v>
      </c>
      <c r="Q202" s="190">
        <f>SUM(N202:P202)</f>
        <v>0</v>
      </c>
      <c r="R202" s="189">
        <f t="shared" ref="R202:T204" si="184">SUM(R122,R162)</f>
        <v>0</v>
      </c>
      <c r="S202" s="189">
        <f t="shared" si="184"/>
        <v>0</v>
      </c>
      <c r="T202" s="189">
        <f t="shared" si="184"/>
        <v>0</v>
      </c>
      <c r="U202" s="190">
        <f>SUM(R202:T202)</f>
        <v>0</v>
      </c>
      <c r="V202" s="189">
        <f t="shared" ref="V202:X204" si="185">SUM(V122,V162)</f>
        <v>0</v>
      </c>
      <c r="W202" s="189">
        <f t="shared" si="185"/>
        <v>0</v>
      </c>
      <c r="X202" s="189">
        <f t="shared" si="185"/>
        <v>0</v>
      </c>
      <c r="Y202" s="190">
        <f>SUM(V202:X202)</f>
        <v>0</v>
      </c>
    </row>
    <row r="203" spans="1:25" ht="12.75" hidden="1" customHeight="1" outlineLevel="2" x14ac:dyDescent="0.2">
      <c r="A203" s="198" t="str">
        <f>"            "&amp;Labels!B398</f>
        <v xml:space="preserve">            Supply Type 2</v>
      </c>
      <c r="B203" s="189">
        <f t="shared" si="180"/>
        <v>0</v>
      </c>
      <c r="C203" s="189">
        <f t="shared" si="180"/>
        <v>0</v>
      </c>
      <c r="D203" s="189">
        <f t="shared" si="180"/>
        <v>0</v>
      </c>
      <c r="E203" s="190">
        <f>SUM(B203:D203)</f>
        <v>0</v>
      </c>
      <c r="F203" s="189">
        <f t="shared" si="181"/>
        <v>0</v>
      </c>
      <c r="G203" s="189">
        <f t="shared" si="181"/>
        <v>0</v>
      </c>
      <c r="H203" s="189">
        <f t="shared" si="181"/>
        <v>0</v>
      </c>
      <c r="I203" s="190">
        <f>SUM(F203:H203)</f>
        <v>0</v>
      </c>
      <c r="J203" s="189">
        <f t="shared" si="182"/>
        <v>0</v>
      </c>
      <c r="K203" s="189">
        <f t="shared" si="182"/>
        <v>0</v>
      </c>
      <c r="L203" s="189">
        <f t="shared" si="182"/>
        <v>0</v>
      </c>
      <c r="M203" s="190">
        <f>SUM(J203:L203)</f>
        <v>0</v>
      </c>
      <c r="N203" s="189">
        <f t="shared" si="183"/>
        <v>0</v>
      </c>
      <c r="O203" s="189">
        <f t="shared" si="183"/>
        <v>0</v>
      </c>
      <c r="P203" s="189">
        <f t="shared" si="183"/>
        <v>0</v>
      </c>
      <c r="Q203" s="190">
        <f>SUM(N203:P203)</f>
        <v>0</v>
      </c>
      <c r="R203" s="189">
        <f t="shared" si="184"/>
        <v>0</v>
      </c>
      <c r="S203" s="189">
        <f t="shared" si="184"/>
        <v>0</v>
      </c>
      <c r="T203" s="189">
        <f t="shared" si="184"/>
        <v>0</v>
      </c>
      <c r="U203" s="190">
        <f>SUM(R203:T203)</f>
        <v>0</v>
      </c>
      <c r="V203" s="189">
        <f t="shared" si="185"/>
        <v>0</v>
      </c>
      <c r="W203" s="189">
        <f t="shared" si="185"/>
        <v>0</v>
      </c>
      <c r="X203" s="189">
        <f t="shared" si="185"/>
        <v>0</v>
      </c>
      <c r="Y203" s="190">
        <f>SUM(V203:X203)</f>
        <v>0</v>
      </c>
    </row>
    <row r="204" spans="1:25" ht="12.75" hidden="1" customHeight="1" outlineLevel="2" x14ac:dyDescent="0.2">
      <c r="A204" s="198" t="str">
        <f>"            "&amp;Labels!C396</f>
        <v xml:space="preserve">            Total</v>
      </c>
      <c r="B204" s="226">
        <f t="shared" si="180"/>
        <v>0</v>
      </c>
      <c r="C204" s="226">
        <f t="shared" si="180"/>
        <v>0</v>
      </c>
      <c r="D204" s="226">
        <f t="shared" si="180"/>
        <v>0</v>
      </c>
      <c r="E204" s="227">
        <f>SUM(B204:D204)</f>
        <v>0</v>
      </c>
      <c r="F204" s="226">
        <f t="shared" si="181"/>
        <v>0</v>
      </c>
      <c r="G204" s="226">
        <f t="shared" si="181"/>
        <v>0</v>
      </c>
      <c r="H204" s="226">
        <f t="shared" si="181"/>
        <v>0</v>
      </c>
      <c r="I204" s="227">
        <f>SUM(F204:H204)</f>
        <v>0</v>
      </c>
      <c r="J204" s="226">
        <f t="shared" si="182"/>
        <v>0</v>
      </c>
      <c r="K204" s="226">
        <f t="shared" si="182"/>
        <v>0</v>
      </c>
      <c r="L204" s="226">
        <f t="shared" si="182"/>
        <v>0</v>
      </c>
      <c r="M204" s="227">
        <f>SUM(J204:L204)</f>
        <v>0</v>
      </c>
      <c r="N204" s="226">
        <f t="shared" si="183"/>
        <v>0</v>
      </c>
      <c r="O204" s="226">
        <f t="shared" si="183"/>
        <v>0</v>
      </c>
      <c r="P204" s="226">
        <f t="shared" si="183"/>
        <v>0</v>
      </c>
      <c r="Q204" s="227">
        <f>SUM(N204:P204)</f>
        <v>0</v>
      </c>
      <c r="R204" s="226">
        <f t="shared" si="184"/>
        <v>0</v>
      </c>
      <c r="S204" s="226">
        <f t="shared" si="184"/>
        <v>0</v>
      </c>
      <c r="T204" s="226">
        <f t="shared" si="184"/>
        <v>0</v>
      </c>
      <c r="U204" s="227">
        <f>SUM(R204:T204)</f>
        <v>0</v>
      </c>
      <c r="V204" s="226">
        <f t="shared" si="185"/>
        <v>0</v>
      </c>
      <c r="W204" s="226">
        <f t="shared" si="185"/>
        <v>0</v>
      </c>
      <c r="X204" s="226">
        <f t="shared" si="185"/>
        <v>0</v>
      </c>
      <c r="Y204" s="227">
        <f>SUM(V204:X204)</f>
        <v>0</v>
      </c>
    </row>
    <row r="205" spans="1:25" ht="12.75" hidden="1" customHeight="1" outlineLevel="2" x14ac:dyDescent="0.2">
      <c r="A205" s="198" t="str">
        <f>"         "&amp;Labels!B318</f>
        <v xml:space="preserve">         Channels 2</v>
      </c>
      <c r="B205" s="226"/>
      <c r="C205" s="226"/>
      <c r="D205" s="226"/>
      <c r="E205" s="227"/>
      <c r="F205" s="226"/>
      <c r="G205" s="226"/>
      <c r="H205" s="226"/>
      <c r="I205" s="227"/>
      <c r="J205" s="226"/>
      <c r="K205" s="226"/>
      <c r="L205" s="226"/>
      <c r="M205" s="227"/>
      <c r="N205" s="226"/>
      <c r="O205" s="226"/>
      <c r="P205" s="226"/>
      <c r="Q205" s="227"/>
      <c r="R205" s="226"/>
      <c r="S205" s="226"/>
      <c r="T205" s="226"/>
      <c r="U205" s="227"/>
      <c r="V205" s="226"/>
      <c r="W205" s="226"/>
      <c r="X205" s="226"/>
      <c r="Y205" s="227"/>
    </row>
    <row r="206" spans="1:25" ht="12.75" hidden="1" customHeight="1" outlineLevel="2" x14ac:dyDescent="0.2">
      <c r="A206" s="198" t="str">
        <f>"            "&amp;Labels!B397</f>
        <v xml:space="preserve">            Supply Type 1</v>
      </c>
      <c r="B206" s="189">
        <f t="shared" ref="B206:D208" si="186">SUM(B126,B166)</f>
        <v>0</v>
      </c>
      <c r="C206" s="189">
        <f t="shared" si="186"/>
        <v>0</v>
      </c>
      <c r="D206" s="189">
        <f t="shared" si="186"/>
        <v>0</v>
      </c>
      <c r="E206" s="190">
        <f>SUM(B206:D206)</f>
        <v>0</v>
      </c>
      <c r="F206" s="189">
        <f t="shared" ref="F206:H208" si="187">SUM(F126,F166)</f>
        <v>0</v>
      </c>
      <c r="G206" s="189">
        <f t="shared" si="187"/>
        <v>0</v>
      </c>
      <c r="H206" s="189">
        <f t="shared" si="187"/>
        <v>0</v>
      </c>
      <c r="I206" s="190">
        <f>SUM(F206:H206)</f>
        <v>0</v>
      </c>
      <c r="J206" s="189">
        <f t="shared" ref="J206:L208" si="188">SUM(J126,J166)</f>
        <v>0</v>
      </c>
      <c r="K206" s="189">
        <f t="shared" si="188"/>
        <v>0</v>
      </c>
      <c r="L206" s="189">
        <f t="shared" si="188"/>
        <v>0</v>
      </c>
      <c r="M206" s="190">
        <f>SUM(J206:L206)</f>
        <v>0</v>
      </c>
      <c r="N206" s="189">
        <f t="shared" ref="N206:P208" si="189">SUM(N126,N166)</f>
        <v>0</v>
      </c>
      <c r="O206" s="189">
        <f t="shared" si="189"/>
        <v>0</v>
      </c>
      <c r="P206" s="189">
        <f t="shared" si="189"/>
        <v>0</v>
      </c>
      <c r="Q206" s="190">
        <f>SUM(N206:P206)</f>
        <v>0</v>
      </c>
      <c r="R206" s="189">
        <f t="shared" ref="R206:T208" si="190">SUM(R126,R166)</f>
        <v>0</v>
      </c>
      <c r="S206" s="189">
        <f t="shared" si="190"/>
        <v>0</v>
      </c>
      <c r="T206" s="189">
        <f t="shared" si="190"/>
        <v>0</v>
      </c>
      <c r="U206" s="190">
        <f>SUM(R206:T206)</f>
        <v>0</v>
      </c>
      <c r="V206" s="189">
        <f t="shared" ref="V206:X208" si="191">SUM(V126,V166)</f>
        <v>0</v>
      </c>
      <c r="W206" s="189">
        <f t="shared" si="191"/>
        <v>0</v>
      </c>
      <c r="X206" s="189">
        <f t="shared" si="191"/>
        <v>0</v>
      </c>
      <c r="Y206" s="190">
        <f>SUM(V206:X206)</f>
        <v>0</v>
      </c>
    </row>
    <row r="207" spans="1:25" ht="12.75" hidden="1" customHeight="1" outlineLevel="2" x14ac:dyDescent="0.2">
      <c r="A207" s="198" t="str">
        <f>"            "&amp;Labels!B398</f>
        <v xml:space="preserve">            Supply Type 2</v>
      </c>
      <c r="B207" s="189">
        <f t="shared" si="186"/>
        <v>0</v>
      </c>
      <c r="C207" s="189">
        <f t="shared" si="186"/>
        <v>0</v>
      </c>
      <c r="D207" s="189">
        <f t="shared" si="186"/>
        <v>0</v>
      </c>
      <c r="E207" s="190">
        <f>SUM(B207:D207)</f>
        <v>0</v>
      </c>
      <c r="F207" s="189">
        <f t="shared" si="187"/>
        <v>0</v>
      </c>
      <c r="G207" s="189">
        <f t="shared" si="187"/>
        <v>0</v>
      </c>
      <c r="H207" s="189">
        <f t="shared" si="187"/>
        <v>0</v>
      </c>
      <c r="I207" s="190">
        <f>SUM(F207:H207)</f>
        <v>0</v>
      </c>
      <c r="J207" s="189">
        <f t="shared" si="188"/>
        <v>0</v>
      </c>
      <c r="K207" s="189">
        <f t="shared" si="188"/>
        <v>0</v>
      </c>
      <c r="L207" s="189">
        <f t="shared" si="188"/>
        <v>0</v>
      </c>
      <c r="M207" s="190">
        <f>SUM(J207:L207)</f>
        <v>0</v>
      </c>
      <c r="N207" s="189">
        <f t="shared" si="189"/>
        <v>0</v>
      </c>
      <c r="O207" s="189">
        <f t="shared" si="189"/>
        <v>0</v>
      </c>
      <c r="P207" s="189">
        <f t="shared" si="189"/>
        <v>0</v>
      </c>
      <c r="Q207" s="190">
        <f>SUM(N207:P207)</f>
        <v>0</v>
      </c>
      <c r="R207" s="189">
        <f t="shared" si="190"/>
        <v>0</v>
      </c>
      <c r="S207" s="189">
        <f t="shared" si="190"/>
        <v>0</v>
      </c>
      <c r="T207" s="189">
        <f t="shared" si="190"/>
        <v>0</v>
      </c>
      <c r="U207" s="190">
        <f>SUM(R207:T207)</f>
        <v>0</v>
      </c>
      <c r="V207" s="189">
        <f t="shared" si="191"/>
        <v>0</v>
      </c>
      <c r="W207" s="189">
        <f t="shared" si="191"/>
        <v>0</v>
      </c>
      <c r="X207" s="189">
        <f t="shared" si="191"/>
        <v>0</v>
      </c>
      <c r="Y207" s="190">
        <f>SUM(V207:X207)</f>
        <v>0</v>
      </c>
    </row>
    <row r="208" spans="1:25" ht="12.75" hidden="1" customHeight="1" outlineLevel="2" x14ac:dyDescent="0.2">
      <c r="A208" s="198" t="str">
        <f>"            "&amp;Labels!C396</f>
        <v xml:space="preserve">            Total</v>
      </c>
      <c r="B208" s="226">
        <f t="shared" si="186"/>
        <v>0</v>
      </c>
      <c r="C208" s="226">
        <f t="shared" si="186"/>
        <v>0</v>
      </c>
      <c r="D208" s="226">
        <f t="shared" si="186"/>
        <v>0</v>
      </c>
      <c r="E208" s="227">
        <f>SUM(B208:D208)</f>
        <v>0</v>
      </c>
      <c r="F208" s="226">
        <f t="shared" si="187"/>
        <v>0</v>
      </c>
      <c r="G208" s="226">
        <f t="shared" si="187"/>
        <v>0</v>
      </c>
      <c r="H208" s="226">
        <f t="shared" si="187"/>
        <v>0</v>
      </c>
      <c r="I208" s="227">
        <f>SUM(F208:H208)</f>
        <v>0</v>
      </c>
      <c r="J208" s="226">
        <f t="shared" si="188"/>
        <v>0</v>
      </c>
      <c r="K208" s="226">
        <f t="shared" si="188"/>
        <v>0</v>
      </c>
      <c r="L208" s="226">
        <f t="shared" si="188"/>
        <v>0</v>
      </c>
      <c r="M208" s="227">
        <f>SUM(J208:L208)</f>
        <v>0</v>
      </c>
      <c r="N208" s="226">
        <f t="shared" si="189"/>
        <v>0</v>
      </c>
      <c r="O208" s="226">
        <f t="shared" si="189"/>
        <v>0</v>
      </c>
      <c r="P208" s="226">
        <f t="shared" si="189"/>
        <v>0</v>
      </c>
      <c r="Q208" s="227">
        <f>SUM(N208:P208)</f>
        <v>0</v>
      </c>
      <c r="R208" s="226">
        <f t="shared" si="190"/>
        <v>0</v>
      </c>
      <c r="S208" s="226">
        <f t="shared" si="190"/>
        <v>0</v>
      </c>
      <c r="T208" s="226">
        <f t="shared" si="190"/>
        <v>0</v>
      </c>
      <c r="U208" s="227">
        <f>SUM(R208:T208)</f>
        <v>0</v>
      </c>
      <c r="V208" s="226">
        <f t="shared" si="191"/>
        <v>0</v>
      </c>
      <c r="W208" s="226">
        <f t="shared" si="191"/>
        <v>0</v>
      </c>
      <c r="X208" s="226">
        <f t="shared" si="191"/>
        <v>0</v>
      </c>
      <c r="Y208" s="227">
        <f>SUM(V208:X208)</f>
        <v>0</v>
      </c>
    </row>
    <row r="209" spans="1:25" ht="12.75" hidden="1" customHeight="1" outlineLevel="2" x14ac:dyDescent="0.2">
      <c r="A209" s="198" t="str">
        <f>"         "&amp;Labels!C316</f>
        <v xml:space="preserve">         Total</v>
      </c>
      <c r="B209" s="226">
        <f>SUM(B120,B160)</f>
        <v>0</v>
      </c>
      <c r="C209" s="226">
        <f>SUM(C120,C160)</f>
        <v>0</v>
      </c>
      <c r="D209" s="226">
        <f>SUM(D120,D160)</f>
        <v>0</v>
      </c>
      <c r="E209" s="227">
        <f>SUM(B173:D173)</f>
        <v>0</v>
      </c>
      <c r="F209" s="226">
        <f>SUM(F120,F160)</f>
        <v>0</v>
      </c>
      <c r="G209" s="226">
        <f>SUM(G120,G160)</f>
        <v>0</v>
      </c>
      <c r="H209" s="226">
        <f>SUM(H120,H160)</f>
        <v>0</v>
      </c>
      <c r="I209" s="227">
        <f>SUM(F173:H173)</f>
        <v>0</v>
      </c>
      <c r="J209" s="226">
        <f>SUM(J120,J160)</f>
        <v>0</v>
      </c>
      <c r="K209" s="226">
        <f>SUM(K120,K160)</f>
        <v>0</v>
      </c>
      <c r="L209" s="226">
        <f>SUM(L120,L160)</f>
        <v>0</v>
      </c>
      <c r="M209" s="227">
        <f>SUM(J173:L173)</f>
        <v>0</v>
      </c>
      <c r="N209" s="226">
        <f>SUM(N120,N160)</f>
        <v>0</v>
      </c>
      <c r="O209" s="226">
        <f>SUM(O120,O160)</f>
        <v>0</v>
      </c>
      <c r="P209" s="226">
        <f>SUM(P120,P160)</f>
        <v>0</v>
      </c>
      <c r="Q209" s="227">
        <f>SUM(N173:P173)</f>
        <v>0</v>
      </c>
      <c r="R209" s="226">
        <f>SUM(R120,R160)</f>
        <v>0</v>
      </c>
      <c r="S209" s="226">
        <f>SUM(S120,S160)</f>
        <v>0</v>
      </c>
      <c r="T209" s="226">
        <f>SUM(T120,T160)</f>
        <v>0</v>
      </c>
      <c r="U209" s="227">
        <f>SUM(R173:T173)</f>
        <v>0</v>
      </c>
      <c r="V209" s="226">
        <f>SUM(V120,V160)</f>
        <v>0</v>
      </c>
      <c r="W209" s="226">
        <f>SUM(W120,W160)</f>
        <v>0</v>
      </c>
      <c r="X209" s="226">
        <f>SUM(X120,X160)</f>
        <v>0</v>
      </c>
      <c r="Y209" s="227">
        <f>SUM(V173:X173)</f>
        <v>0</v>
      </c>
    </row>
    <row r="210" spans="1:25" ht="12.75" hidden="1" customHeight="1" outlineLevel="2" x14ac:dyDescent="0.2">
      <c r="A210" s="198" t="str">
        <f>"            "&amp;Labels!B397</f>
        <v xml:space="preserve">            Supply Type 1</v>
      </c>
      <c r="B210" s="189">
        <f t="shared" ref="B210:D211" si="192">SUM(B130,B170)</f>
        <v>0</v>
      </c>
      <c r="C210" s="189">
        <f t="shared" si="192"/>
        <v>0</v>
      </c>
      <c r="D210" s="189">
        <f t="shared" si="192"/>
        <v>0</v>
      </c>
      <c r="E210" s="190">
        <f>SUM(B210:D210)</f>
        <v>0</v>
      </c>
      <c r="F210" s="189">
        <f t="shared" ref="F210:H211" si="193">SUM(F130,F170)</f>
        <v>0</v>
      </c>
      <c r="G210" s="189">
        <f t="shared" si="193"/>
        <v>0</v>
      </c>
      <c r="H210" s="189">
        <f t="shared" si="193"/>
        <v>0</v>
      </c>
      <c r="I210" s="190">
        <f>SUM(F210:H210)</f>
        <v>0</v>
      </c>
      <c r="J210" s="189">
        <f t="shared" ref="J210:L211" si="194">SUM(J130,J170)</f>
        <v>0</v>
      </c>
      <c r="K210" s="189">
        <f t="shared" si="194"/>
        <v>0</v>
      </c>
      <c r="L210" s="189">
        <f t="shared" si="194"/>
        <v>0</v>
      </c>
      <c r="M210" s="190">
        <f>SUM(J210:L210)</f>
        <v>0</v>
      </c>
      <c r="N210" s="189">
        <f t="shared" ref="N210:P211" si="195">SUM(N130,N170)</f>
        <v>0</v>
      </c>
      <c r="O210" s="189">
        <f t="shared" si="195"/>
        <v>0</v>
      </c>
      <c r="P210" s="189">
        <f t="shared" si="195"/>
        <v>0</v>
      </c>
      <c r="Q210" s="190">
        <f>SUM(N210:P210)</f>
        <v>0</v>
      </c>
      <c r="R210" s="189">
        <f t="shared" ref="R210:T211" si="196">SUM(R130,R170)</f>
        <v>0</v>
      </c>
      <c r="S210" s="189">
        <f t="shared" si="196"/>
        <v>0</v>
      </c>
      <c r="T210" s="189">
        <f t="shared" si="196"/>
        <v>0</v>
      </c>
      <c r="U210" s="190">
        <f>SUM(R210:T210)</f>
        <v>0</v>
      </c>
      <c r="V210" s="189">
        <f t="shared" ref="V210:X211" si="197">SUM(V130,V170)</f>
        <v>0</v>
      </c>
      <c r="W210" s="189">
        <f t="shared" si="197"/>
        <v>0</v>
      </c>
      <c r="X210" s="189">
        <f t="shared" si="197"/>
        <v>0</v>
      </c>
      <c r="Y210" s="190">
        <f>SUM(V210:X210)</f>
        <v>0</v>
      </c>
    </row>
    <row r="211" spans="1:25" ht="12.75" hidden="1" customHeight="1" outlineLevel="2" x14ac:dyDescent="0.2">
      <c r="A211" s="198" t="str">
        <f>"            "&amp;Labels!B398</f>
        <v xml:space="preserve">            Supply Type 2</v>
      </c>
      <c r="B211" s="189">
        <f t="shared" si="192"/>
        <v>0</v>
      </c>
      <c r="C211" s="189">
        <f t="shared" si="192"/>
        <v>0</v>
      </c>
      <c r="D211" s="189">
        <f t="shared" si="192"/>
        <v>0</v>
      </c>
      <c r="E211" s="190">
        <f>SUM(B211:D211)</f>
        <v>0</v>
      </c>
      <c r="F211" s="189">
        <f t="shared" si="193"/>
        <v>0</v>
      </c>
      <c r="G211" s="189">
        <f t="shared" si="193"/>
        <v>0</v>
      </c>
      <c r="H211" s="189">
        <f t="shared" si="193"/>
        <v>0</v>
      </c>
      <c r="I211" s="190">
        <f>SUM(F211:H211)</f>
        <v>0</v>
      </c>
      <c r="J211" s="189">
        <f t="shared" si="194"/>
        <v>0</v>
      </c>
      <c r="K211" s="189">
        <f t="shared" si="194"/>
        <v>0</v>
      </c>
      <c r="L211" s="189">
        <f t="shared" si="194"/>
        <v>0</v>
      </c>
      <c r="M211" s="190">
        <f>SUM(J211:L211)</f>
        <v>0</v>
      </c>
      <c r="N211" s="189">
        <f t="shared" si="195"/>
        <v>0</v>
      </c>
      <c r="O211" s="189">
        <f t="shared" si="195"/>
        <v>0</v>
      </c>
      <c r="P211" s="189">
        <f t="shared" si="195"/>
        <v>0</v>
      </c>
      <c r="Q211" s="190">
        <f>SUM(N211:P211)</f>
        <v>0</v>
      </c>
      <c r="R211" s="189">
        <f t="shared" si="196"/>
        <v>0</v>
      </c>
      <c r="S211" s="189">
        <f t="shared" si="196"/>
        <v>0</v>
      </c>
      <c r="T211" s="189">
        <f t="shared" si="196"/>
        <v>0</v>
      </c>
      <c r="U211" s="190">
        <f>SUM(R211:T211)</f>
        <v>0</v>
      </c>
      <c r="V211" s="189">
        <f t="shared" si="197"/>
        <v>0</v>
      </c>
      <c r="W211" s="189">
        <f t="shared" si="197"/>
        <v>0</v>
      </c>
      <c r="X211" s="189">
        <f t="shared" si="197"/>
        <v>0</v>
      </c>
      <c r="Y211" s="190">
        <f>SUM(V211:X211)</f>
        <v>0</v>
      </c>
    </row>
    <row r="212" spans="1:25" ht="12.75" hidden="1" customHeight="1" outlineLevel="2" x14ac:dyDescent="0.2">
      <c r="A212" s="230" t="str">
        <f>"            "&amp;Labels!C396</f>
        <v xml:space="preserve">            Total</v>
      </c>
      <c r="B212" s="231">
        <f>SUM(B120,B160)</f>
        <v>0</v>
      </c>
      <c r="C212" s="231">
        <f>SUM(C120,C160)</f>
        <v>0</v>
      </c>
      <c r="D212" s="231">
        <f>SUM(D120,D160)</f>
        <v>0</v>
      </c>
      <c r="E212" s="232">
        <f>SUM(B173:D173)</f>
        <v>0</v>
      </c>
      <c r="F212" s="231">
        <f>SUM(F120,F160)</f>
        <v>0</v>
      </c>
      <c r="G212" s="231">
        <f>SUM(G120,G160)</f>
        <v>0</v>
      </c>
      <c r="H212" s="231">
        <f>SUM(H120,H160)</f>
        <v>0</v>
      </c>
      <c r="I212" s="232">
        <f>SUM(F173:H173)</f>
        <v>0</v>
      </c>
      <c r="J212" s="231">
        <f>SUM(J120,J160)</f>
        <v>0</v>
      </c>
      <c r="K212" s="231">
        <f>SUM(K120,K160)</f>
        <v>0</v>
      </c>
      <c r="L212" s="231">
        <f>SUM(L120,L160)</f>
        <v>0</v>
      </c>
      <c r="M212" s="232">
        <f>SUM(J173:L173)</f>
        <v>0</v>
      </c>
      <c r="N212" s="231">
        <f>SUM(N120,N160)</f>
        <v>0</v>
      </c>
      <c r="O212" s="231">
        <f>SUM(O120,O160)</f>
        <v>0</v>
      </c>
      <c r="P212" s="231">
        <f>SUM(P120,P160)</f>
        <v>0</v>
      </c>
      <c r="Q212" s="232">
        <f>SUM(N173:P173)</f>
        <v>0</v>
      </c>
      <c r="R212" s="231">
        <f>SUM(R120,R160)</f>
        <v>0</v>
      </c>
      <c r="S212" s="231">
        <f>SUM(S120,S160)</f>
        <v>0</v>
      </c>
      <c r="T212" s="231">
        <f>SUM(T120,T160)</f>
        <v>0</v>
      </c>
      <c r="U212" s="232">
        <f>SUM(R173:T173)</f>
        <v>0</v>
      </c>
      <c r="V212" s="231">
        <f>SUM(V120,V160)</f>
        <v>0</v>
      </c>
      <c r="W212" s="231">
        <f>SUM(W120,W160)</f>
        <v>0</v>
      </c>
      <c r="X212" s="231">
        <f>SUM(X120,X160)</f>
        <v>0</v>
      </c>
      <c r="Y212" s="232">
        <f>SUM(V173:X173)</f>
        <v>0</v>
      </c>
    </row>
    <row r="213" spans="1:25" ht="12.75" hidden="1" customHeight="1" outlineLevel="2" collapsed="1" x14ac:dyDescent="0.2"/>
    <row r="214" spans="1:25" ht="12.75" hidden="1" customHeight="1" outlineLevel="1" collapsed="1" x14ac:dyDescent="0.2">
      <c r="A214" s="465" t="str">
        <f>"Gross Margin Detail"</f>
        <v>Gross Margin Detail</v>
      </c>
      <c r="B214" s="465"/>
    </row>
    <row r="215" spans="1:25" ht="12.75" hidden="1" customHeight="1" outlineLevel="2" x14ac:dyDescent="0.2">
      <c r="B215" s="9" t="str">
        <f>'(FnCalls 1)'!F41</f>
        <v>MMM 2010</v>
      </c>
      <c r="C215" s="10" t="str">
        <f>'(FnCalls 1)'!F42</f>
        <v>MMM 2010</v>
      </c>
      <c r="D215" s="10" t="str">
        <f>'(FnCalls 1)'!F43</f>
        <v>MMM 2010</v>
      </c>
      <c r="E215" s="181" t="str">
        <f>'(FnCalls 1)'!G41</f>
        <v>Q1 2010</v>
      </c>
      <c r="F215" s="10" t="str">
        <f>'(FnCalls 1)'!F44</f>
        <v>MMM 2010</v>
      </c>
      <c r="G215" s="10" t="str">
        <f>'(FnCalls 1)'!F45</f>
        <v>MMM 2010</v>
      </c>
      <c r="H215" s="10" t="str">
        <f>'(FnCalls 1)'!F46</f>
        <v>MMM 2010</v>
      </c>
      <c r="I215" s="181" t="str">
        <f>'(FnCalls 1)'!G44</f>
        <v>Q2 2010</v>
      </c>
      <c r="J215" s="10" t="str">
        <f>'(FnCalls 1)'!F47</f>
        <v>MMM 2010</v>
      </c>
      <c r="K215" s="10" t="str">
        <f>'(FnCalls 1)'!F48</f>
        <v>MMM 2010</v>
      </c>
      <c r="L215" s="10" t="str">
        <f>'(FnCalls 1)'!F49</f>
        <v>MMM 2010</v>
      </c>
      <c r="M215" s="181" t="str">
        <f>'(FnCalls 1)'!G47</f>
        <v>Q3 2010</v>
      </c>
      <c r="N215" s="10" t="str">
        <f>'(FnCalls 1)'!F50</f>
        <v>MMM 2010</v>
      </c>
      <c r="O215" s="10" t="str">
        <f>'(FnCalls 1)'!F51</f>
        <v>MMM 2010</v>
      </c>
      <c r="P215" s="10" t="str">
        <f>'(FnCalls 1)'!F52</f>
        <v>MMM 2010</v>
      </c>
      <c r="Q215" s="181" t="str">
        <f>'(FnCalls 1)'!G50</f>
        <v>Q4 2010</v>
      </c>
      <c r="R215" s="10" t="str">
        <f>'(FnCalls 1)'!F53</f>
        <v>MMM 2011</v>
      </c>
      <c r="S215" s="10" t="str">
        <f>'(FnCalls 1)'!F54</f>
        <v>MMM 2011</v>
      </c>
      <c r="T215" s="10" t="str">
        <f>'(FnCalls 1)'!F55</f>
        <v>MMM 2011</v>
      </c>
      <c r="U215" s="181" t="str">
        <f>'(FnCalls 1)'!G53</f>
        <v>Q1 2011</v>
      </c>
      <c r="V215" s="10" t="str">
        <f>'(FnCalls 1)'!F56</f>
        <v>MMM 2011</v>
      </c>
      <c r="W215" s="10" t="str">
        <f>'(FnCalls 1)'!F57</f>
        <v>MMM 2011</v>
      </c>
      <c r="X215" s="10" t="str">
        <f>'(FnCalls 1)'!F58</f>
        <v>MMM 2011</v>
      </c>
      <c r="Y215" s="181" t="str">
        <f>'(FnCalls 1)'!G56</f>
        <v>Q2 2011</v>
      </c>
    </row>
    <row r="216" spans="1:25" ht="12.75" hidden="1" customHeight="1" outlineLevel="2" x14ac:dyDescent="0.2">
      <c r="A216" s="182" t="str">
        <f>Labels!B381</f>
        <v>Practice 1</v>
      </c>
      <c r="B216" s="13"/>
      <c r="C216" s="13"/>
      <c r="D216" s="13"/>
      <c r="E216" s="182"/>
      <c r="F216" s="13"/>
      <c r="G216" s="13"/>
      <c r="H216" s="13"/>
      <c r="I216" s="182"/>
      <c r="J216" s="13"/>
      <c r="K216" s="13"/>
      <c r="L216" s="13"/>
      <c r="M216" s="182"/>
      <c r="N216" s="13"/>
      <c r="O216" s="13"/>
      <c r="P216" s="13"/>
      <c r="Q216" s="182"/>
      <c r="R216" s="13"/>
      <c r="S216" s="13"/>
      <c r="T216" s="13"/>
      <c r="U216" s="182"/>
      <c r="V216" s="13"/>
      <c r="W216" s="13"/>
      <c r="X216" s="13"/>
      <c r="Y216" s="182"/>
    </row>
    <row r="217" spans="1:25" ht="12.75" hidden="1" customHeight="1" outlineLevel="2" x14ac:dyDescent="0.2">
      <c r="A217" s="188" t="str">
        <f>"   "&amp;Labels!B385</f>
        <v xml:space="preserve">   Prof Level 1</v>
      </c>
      <c r="B217" s="31"/>
      <c r="C217" s="31"/>
      <c r="D217" s="31"/>
      <c r="E217" s="188"/>
      <c r="F217" s="31"/>
      <c r="G217" s="31"/>
      <c r="H217" s="31"/>
      <c r="I217" s="188"/>
      <c r="J217" s="31"/>
      <c r="K217" s="31"/>
      <c r="L217" s="31"/>
      <c r="M217" s="188"/>
      <c r="N217" s="31"/>
      <c r="O217" s="31"/>
      <c r="P217" s="31"/>
      <c r="Q217" s="188"/>
      <c r="R217" s="31"/>
      <c r="S217" s="31"/>
      <c r="T217" s="31"/>
      <c r="U217" s="188"/>
      <c r="V217" s="31"/>
      <c r="W217" s="31"/>
      <c r="X217" s="31"/>
      <c r="Y217" s="188"/>
    </row>
    <row r="218" spans="1:25" ht="12.75" hidden="1" customHeight="1" outlineLevel="2" x14ac:dyDescent="0.2">
      <c r="A218" s="198" t="str">
        <f>"      "&amp;Labels!B317</f>
        <v xml:space="preserve">      Channels 1</v>
      </c>
      <c r="B218" s="43"/>
      <c r="C218" s="43"/>
      <c r="D218" s="43"/>
      <c r="E218" s="198"/>
      <c r="F218" s="43"/>
      <c r="G218" s="43"/>
      <c r="H218" s="43"/>
      <c r="I218" s="198"/>
      <c r="J218" s="43"/>
      <c r="K218" s="43"/>
      <c r="L218" s="43"/>
      <c r="M218" s="198"/>
      <c r="N218" s="43"/>
      <c r="O218" s="43"/>
      <c r="P218" s="43"/>
      <c r="Q218" s="198"/>
      <c r="R218" s="43"/>
      <c r="S218" s="43"/>
      <c r="T218" s="43"/>
      <c r="U218" s="198"/>
      <c r="V218" s="43"/>
      <c r="W218" s="43"/>
      <c r="X218" s="43"/>
      <c r="Y218" s="198"/>
    </row>
    <row r="219" spans="1:25" ht="12.75" hidden="1" customHeight="1" outlineLevel="2" x14ac:dyDescent="0.2">
      <c r="A219" s="198" t="str">
        <f>"         "&amp;Labels!B98</f>
        <v xml:space="preserve">         Gross Margin</v>
      </c>
      <c r="B219" s="226">
        <f>Sales!B109-Practices!B66/2-B390/2</f>
        <v>0</v>
      </c>
      <c r="C219" s="226">
        <f>Sales!C109-Practices!C66/2-C390/2</f>
        <v>0</v>
      </c>
      <c r="D219" s="226">
        <f>Sales!D109-Practices!D66/2-D390/2</f>
        <v>27500</v>
      </c>
      <c r="E219" s="227">
        <f>SUM(B219:D219)</f>
        <v>27500</v>
      </c>
      <c r="F219" s="226">
        <f>Sales!F109-Practices!F66/2-F390/2</f>
        <v>27500</v>
      </c>
      <c r="G219" s="226">
        <f>Sales!G109-Practices!G66/2-G390/2</f>
        <v>0</v>
      </c>
      <c r="H219" s="226">
        <f>Sales!H109-Practices!H66/2-H390/2</f>
        <v>20000</v>
      </c>
      <c r="I219" s="227">
        <f>SUM(F219:H219)</f>
        <v>47500</v>
      </c>
      <c r="J219" s="226">
        <f>Sales!J109-Practices!J66/2-J390/2</f>
        <v>5869.5535144699952</v>
      </c>
      <c r="K219" s="226">
        <f>Sales!K109-Practices!K66/2-K390/2</f>
        <v>2293.3800267919764</v>
      </c>
      <c r="L219" s="226">
        <f>Sales!L109-Practices!L66/2-L390/2</f>
        <v>0</v>
      </c>
      <c r="M219" s="227">
        <f>SUM(J219:L219)</f>
        <v>8162.9335412619712</v>
      </c>
      <c r="N219" s="226">
        <f>Sales!N109-Practices!N66/2-N390/2</f>
        <v>0</v>
      </c>
      <c r="O219" s="226">
        <f>Sales!O109-Practices!O66/2-O390/2</f>
        <v>0</v>
      </c>
      <c r="P219" s="226">
        <f>Sales!P109-Practices!P66/2-P390/2</f>
        <v>0</v>
      </c>
      <c r="Q219" s="227">
        <f>SUM(N219:P219)</f>
        <v>0</v>
      </c>
      <c r="R219" s="226">
        <f>Sales!R109-Practices!R66/2-R390/2</f>
        <v>0</v>
      </c>
      <c r="S219" s="226">
        <f>Sales!S109-Practices!S66/2-S390/2</f>
        <v>0</v>
      </c>
      <c r="T219" s="226">
        <f>Sales!T109-Practices!T66/2-T390/2</f>
        <v>0</v>
      </c>
      <c r="U219" s="227">
        <f>SUM(R219:T219)</f>
        <v>0</v>
      </c>
      <c r="V219" s="226">
        <f>Sales!V109-Practices!V66/2-V390/2</f>
        <v>0</v>
      </c>
      <c r="W219" s="226">
        <f>Sales!W109-Practices!W66/2-W390/2</f>
        <v>0</v>
      </c>
      <c r="X219" s="226">
        <f>Sales!X109-Practices!X66/2-X390/2</f>
        <v>0</v>
      </c>
      <c r="Y219" s="227">
        <f>SUM(V219:X219)</f>
        <v>0</v>
      </c>
    </row>
    <row r="220" spans="1:25" ht="12.75" hidden="1" customHeight="1" outlineLevel="2" x14ac:dyDescent="0.2">
      <c r="A220" s="198" t="str">
        <f>"         "&amp;Labels!B100</f>
        <v xml:space="preserve">         Gross Margin %</v>
      </c>
      <c r="B220" s="233">
        <f>IF(Sales!B109=0,0,B219/Sales!B109)</f>
        <v>0</v>
      </c>
      <c r="C220" s="233">
        <f>IF(Sales!C109=0,0,C219/Sales!C109)</f>
        <v>0</v>
      </c>
      <c r="D220" s="233">
        <f>IF(Sales!D109=0,0,D219/Sales!D109)</f>
        <v>0.95238095238095233</v>
      </c>
      <c r="E220" s="234">
        <f>IF(SUM(Sales!B109:D109)=0,0,SUM(B219:D219)/SUM(Sales!B109:D109))</f>
        <v>0.95238095238095233</v>
      </c>
      <c r="F220" s="233">
        <f>IF(Sales!F109=0,0,F219/Sales!F109)</f>
        <v>0.95238095238095233</v>
      </c>
      <c r="G220" s="233">
        <f>IF(Sales!G109=0,0,G219/Sales!G109)</f>
        <v>0</v>
      </c>
      <c r="H220" s="233">
        <f>IF(Sales!H109=0,0,H219/Sales!H109)</f>
        <v>0.95238095238095233</v>
      </c>
      <c r="I220" s="234">
        <f>IF(SUM(Sales!F109:H109)=0,0,SUM(F219:H219)/SUM(Sales!F109:H109))</f>
        <v>0.95238095238095233</v>
      </c>
      <c r="J220" s="233">
        <f>IF(Sales!J109=0,0,J219/Sales!J109)</f>
        <v>0.27950254830809501</v>
      </c>
      <c r="K220" s="233">
        <f>IF(Sales!K109=0,0,K219/Sales!K109)</f>
        <v>0.10920857270437984</v>
      </c>
      <c r="L220" s="233">
        <f>IF(Sales!L109=0,0,L219/Sales!L109)</f>
        <v>0</v>
      </c>
      <c r="M220" s="234">
        <f>IF(SUM(Sales!J109:L109)=0,0,SUM(J219:L219)/SUM(Sales!J109:L109))</f>
        <v>0.1943555605062374</v>
      </c>
      <c r="N220" s="233">
        <f>IF(Sales!N109=0,0,N219/Sales!N109)</f>
        <v>0</v>
      </c>
      <c r="O220" s="233">
        <f>IF(Sales!O109=0,0,O219/Sales!O109)</f>
        <v>0</v>
      </c>
      <c r="P220" s="233">
        <f>IF(Sales!P109=0,0,P219/Sales!P109)</f>
        <v>0</v>
      </c>
      <c r="Q220" s="234">
        <f>IF(SUM(Sales!N109:P109)=0,0,SUM(N219:P219)/SUM(Sales!N109:P109))</f>
        <v>0</v>
      </c>
      <c r="R220" s="233">
        <f>IF(Sales!R109=0,0,R219/Sales!R109)</f>
        <v>0</v>
      </c>
      <c r="S220" s="233">
        <f>IF(Sales!S109=0,0,S219/Sales!S109)</f>
        <v>0</v>
      </c>
      <c r="T220" s="233">
        <f>IF(Sales!T109=0,0,T219/Sales!T109)</f>
        <v>0</v>
      </c>
      <c r="U220" s="234">
        <f>IF(SUM(Sales!R109:T109)=0,0,SUM(R219:T219)/SUM(Sales!R109:T109))</f>
        <v>0</v>
      </c>
      <c r="V220" s="233">
        <f>IF(Sales!V109=0,0,V219/Sales!V109)</f>
        <v>0</v>
      </c>
      <c r="W220" s="233">
        <f>IF(Sales!W109=0,0,W219/Sales!W109)</f>
        <v>0</v>
      </c>
      <c r="X220" s="233">
        <f>IF(Sales!X109=0,0,X219/Sales!X109)</f>
        <v>0</v>
      </c>
      <c r="Y220" s="234">
        <f>IF(SUM(Sales!V109:X109)=0,0,SUM(V219:X219)/SUM(Sales!V109:X109))</f>
        <v>0</v>
      </c>
    </row>
    <row r="221" spans="1:25" ht="12.75" hidden="1" customHeight="1" outlineLevel="2" x14ac:dyDescent="0.2">
      <c r="A221" s="198" t="str">
        <f>"      "&amp;Labels!B318</f>
        <v xml:space="preserve">      Channels 2</v>
      </c>
      <c r="B221" s="43"/>
      <c r="C221" s="43"/>
      <c r="D221" s="43"/>
      <c r="E221" s="198"/>
      <c r="F221" s="43"/>
      <c r="G221" s="43"/>
      <c r="H221" s="43"/>
      <c r="I221" s="198"/>
      <c r="J221" s="43"/>
      <c r="K221" s="43"/>
      <c r="L221" s="43"/>
      <c r="M221" s="198"/>
      <c r="N221" s="43"/>
      <c r="O221" s="43"/>
      <c r="P221" s="43"/>
      <c r="Q221" s="198"/>
      <c r="R221" s="43"/>
      <c r="S221" s="43"/>
      <c r="T221" s="43"/>
      <c r="U221" s="198"/>
      <c r="V221" s="43"/>
      <c r="W221" s="43"/>
      <c r="X221" s="43"/>
      <c r="Y221" s="198"/>
    </row>
    <row r="222" spans="1:25" ht="12.75" hidden="1" customHeight="1" outlineLevel="2" x14ac:dyDescent="0.2">
      <c r="A222" s="198" t="str">
        <f>"         "&amp;Labels!B98</f>
        <v xml:space="preserve">         Gross Margin</v>
      </c>
      <c r="B222" s="226">
        <f>Sales!B110-Practices!B71/2-B390/2</f>
        <v>0</v>
      </c>
      <c r="C222" s="226">
        <f>Sales!C110-Practices!C71/2-C390/2</f>
        <v>0</v>
      </c>
      <c r="D222" s="226">
        <f>Sales!D110-Practices!D71/2-D390/2</f>
        <v>27500</v>
      </c>
      <c r="E222" s="227">
        <f>SUM(B222:D222)</f>
        <v>27500</v>
      </c>
      <c r="F222" s="226">
        <f>Sales!F110-Practices!F71/2-F390/2</f>
        <v>27500</v>
      </c>
      <c r="G222" s="226">
        <f>Sales!G110-Practices!G71/2-G390/2</f>
        <v>0</v>
      </c>
      <c r="H222" s="226">
        <f>Sales!H110-Practices!H71/2-H390/2</f>
        <v>20000</v>
      </c>
      <c r="I222" s="227">
        <f>SUM(F222:H222)</f>
        <v>47500</v>
      </c>
      <c r="J222" s="226">
        <f>Sales!J110-Practices!J71/2-J390/2</f>
        <v>20000</v>
      </c>
      <c r="K222" s="226">
        <f>Sales!K110-Practices!K71/2-K390/2</f>
        <v>16458.676005358397</v>
      </c>
      <c r="L222" s="226">
        <f>Sales!L110-Practices!L71/2-L390/2</f>
        <v>0</v>
      </c>
      <c r="M222" s="227">
        <f>SUM(J222:L222)</f>
        <v>36458.6760053584</v>
      </c>
      <c r="N222" s="226">
        <f>Sales!N110-Practices!N71/2-N390/2</f>
        <v>0</v>
      </c>
      <c r="O222" s="226">
        <f>Sales!O110-Practices!O71/2-O390/2</f>
        <v>0</v>
      </c>
      <c r="P222" s="226">
        <f>Sales!P110-Practices!P71/2-P390/2</f>
        <v>0</v>
      </c>
      <c r="Q222" s="227">
        <f>SUM(N222:P222)</f>
        <v>0</v>
      </c>
      <c r="R222" s="226">
        <f>Sales!R110-Practices!R71/2-R390/2</f>
        <v>0</v>
      </c>
      <c r="S222" s="226">
        <f>Sales!S110-Practices!S71/2-S390/2</f>
        <v>0</v>
      </c>
      <c r="T222" s="226">
        <f>Sales!T110-Practices!T71/2-T390/2</f>
        <v>0</v>
      </c>
      <c r="U222" s="227">
        <f>SUM(R222:T222)</f>
        <v>0</v>
      </c>
      <c r="V222" s="226">
        <f>Sales!V110-Practices!V71/2-V390/2</f>
        <v>0</v>
      </c>
      <c r="W222" s="226">
        <f>Sales!W110-Practices!W71/2-W390/2</f>
        <v>0</v>
      </c>
      <c r="X222" s="226">
        <f>Sales!X110-Practices!X71/2-X390/2</f>
        <v>0</v>
      </c>
      <c r="Y222" s="227">
        <f>SUM(V222:X222)</f>
        <v>0</v>
      </c>
    </row>
    <row r="223" spans="1:25" ht="12.75" hidden="1" customHeight="1" outlineLevel="2" x14ac:dyDescent="0.2">
      <c r="A223" s="198" t="str">
        <f>"         "&amp;Labels!B100</f>
        <v xml:space="preserve">         Gross Margin %</v>
      </c>
      <c r="B223" s="233">
        <f>IF(Sales!B110=0,0,B222/Sales!B110)</f>
        <v>0</v>
      </c>
      <c r="C223" s="233">
        <f>IF(Sales!C110=0,0,C222/Sales!C110)</f>
        <v>0</v>
      </c>
      <c r="D223" s="233">
        <f>IF(Sales!D110=0,0,D222/Sales!D110)</f>
        <v>1</v>
      </c>
      <c r="E223" s="234">
        <f>IF(SUM(Sales!B110:D110)=0,0,SUM(B222:D222)/SUM(Sales!B110:D110))</f>
        <v>1</v>
      </c>
      <c r="F223" s="233">
        <f>IF(Sales!F110=0,0,F222/Sales!F110)</f>
        <v>1</v>
      </c>
      <c r="G223" s="233">
        <f>IF(Sales!G110=0,0,G222/Sales!G110)</f>
        <v>0</v>
      </c>
      <c r="H223" s="233">
        <f>IF(Sales!H110=0,0,H222/Sales!H110)</f>
        <v>1</v>
      </c>
      <c r="I223" s="234">
        <f>IF(SUM(Sales!F110:H110)=0,0,SUM(F222:H222)/SUM(Sales!F110:H110))</f>
        <v>1</v>
      </c>
      <c r="J223" s="233">
        <f>IF(Sales!J110=0,0,J222/Sales!J110)</f>
        <v>1</v>
      </c>
      <c r="K223" s="233">
        <f>IF(Sales!K110=0,0,K222/Sales!K110)</f>
        <v>0.82293380026791985</v>
      </c>
      <c r="L223" s="233">
        <f>IF(Sales!L110=0,0,L222/Sales!L110)</f>
        <v>0</v>
      </c>
      <c r="M223" s="234">
        <f>IF(SUM(Sales!J110:L110)=0,0,SUM(J222:L222)/SUM(Sales!J110:L110))</f>
        <v>0.91146690013396003</v>
      </c>
      <c r="N223" s="233">
        <f>IF(Sales!N110=0,0,N222/Sales!N110)</f>
        <v>0</v>
      </c>
      <c r="O223" s="233">
        <f>IF(Sales!O110=0,0,O222/Sales!O110)</f>
        <v>0</v>
      </c>
      <c r="P223" s="233">
        <f>IF(Sales!P110=0,0,P222/Sales!P110)</f>
        <v>0</v>
      </c>
      <c r="Q223" s="234">
        <f>IF(SUM(Sales!N110:P110)=0,0,SUM(N222:P222)/SUM(Sales!N110:P110))</f>
        <v>0</v>
      </c>
      <c r="R223" s="233">
        <f>IF(Sales!R110=0,0,R222/Sales!R110)</f>
        <v>0</v>
      </c>
      <c r="S223" s="233">
        <f>IF(Sales!S110=0,0,S222/Sales!S110)</f>
        <v>0</v>
      </c>
      <c r="T223" s="233">
        <f>IF(Sales!T110=0,0,T222/Sales!T110)</f>
        <v>0</v>
      </c>
      <c r="U223" s="234">
        <f>IF(SUM(Sales!R110:T110)=0,0,SUM(R222:T222)/SUM(Sales!R110:T110))</f>
        <v>0</v>
      </c>
      <c r="V223" s="233">
        <f>IF(Sales!V110=0,0,V222/Sales!V110)</f>
        <v>0</v>
      </c>
      <c r="W223" s="233">
        <f>IF(Sales!W110=0,0,W222/Sales!W110)</f>
        <v>0</v>
      </c>
      <c r="X223" s="233">
        <f>IF(Sales!X110=0,0,X222/Sales!X110)</f>
        <v>0</v>
      </c>
      <c r="Y223" s="234">
        <f>IF(SUM(Sales!V110:X110)=0,0,SUM(V222:X222)/SUM(Sales!V110:X110))</f>
        <v>0</v>
      </c>
    </row>
    <row r="224" spans="1:25" ht="12.75" hidden="1" customHeight="1" outlineLevel="2" x14ac:dyDescent="0.2">
      <c r="A224" s="188" t="str">
        <f>"      "&amp;Labels!C316</f>
        <v xml:space="preserve">      Total</v>
      </c>
      <c r="B224" s="31"/>
      <c r="C224" s="31"/>
      <c r="D224" s="31"/>
      <c r="E224" s="188"/>
      <c r="F224" s="31"/>
      <c r="G224" s="31"/>
      <c r="H224" s="31"/>
      <c r="I224" s="188"/>
      <c r="J224" s="31"/>
      <c r="K224" s="31"/>
      <c r="L224" s="31"/>
      <c r="M224" s="188"/>
      <c r="N224" s="31"/>
      <c r="O224" s="31"/>
      <c r="P224" s="31"/>
      <c r="Q224" s="188"/>
      <c r="R224" s="31"/>
      <c r="S224" s="31"/>
      <c r="T224" s="31"/>
      <c r="U224" s="188"/>
      <c r="V224" s="31"/>
      <c r="W224" s="31"/>
      <c r="X224" s="31"/>
      <c r="Y224" s="188"/>
    </row>
    <row r="225" spans="1:25" ht="12.75" hidden="1" customHeight="1" outlineLevel="2" x14ac:dyDescent="0.2">
      <c r="A225" s="198" t="str">
        <f>"         "&amp;Labels!B98</f>
        <v xml:space="preserve">         Gross Margin</v>
      </c>
      <c r="B225" s="226">
        <f>SUM(B219,B222)</f>
        <v>0</v>
      </c>
      <c r="C225" s="226">
        <f>SUM(C219,C222)</f>
        <v>0</v>
      </c>
      <c r="D225" s="226">
        <f>SUM(D219,D222)</f>
        <v>55000</v>
      </c>
      <c r="E225" s="227">
        <f>SUM(B225:D225)</f>
        <v>55000</v>
      </c>
      <c r="F225" s="226">
        <f>SUM(F219,F222)</f>
        <v>55000</v>
      </c>
      <c r="G225" s="226">
        <f>SUM(G219,G222)</f>
        <v>0</v>
      </c>
      <c r="H225" s="226">
        <f>SUM(H219,H222)</f>
        <v>40000</v>
      </c>
      <c r="I225" s="227">
        <f>SUM(F225:H225)</f>
        <v>95000</v>
      </c>
      <c r="J225" s="226">
        <f>SUM(J219,J222)</f>
        <v>25869.553514469997</v>
      </c>
      <c r="K225" s="226">
        <f>SUM(K219,K222)</f>
        <v>18752.056032150373</v>
      </c>
      <c r="L225" s="226">
        <f>SUM(L219,L222)</f>
        <v>0</v>
      </c>
      <c r="M225" s="227">
        <f>SUM(J225:L225)</f>
        <v>44621.60954662037</v>
      </c>
      <c r="N225" s="226">
        <f>SUM(N219,N222)</f>
        <v>0</v>
      </c>
      <c r="O225" s="226">
        <f>SUM(O219,O222)</f>
        <v>0</v>
      </c>
      <c r="P225" s="226">
        <f>SUM(P219,P222)</f>
        <v>0</v>
      </c>
      <c r="Q225" s="227">
        <f>SUM(N225:P225)</f>
        <v>0</v>
      </c>
      <c r="R225" s="226">
        <f>SUM(R219,R222)</f>
        <v>0</v>
      </c>
      <c r="S225" s="226">
        <f>SUM(S219,S222)</f>
        <v>0</v>
      </c>
      <c r="T225" s="226">
        <f>SUM(T219,T222)</f>
        <v>0</v>
      </c>
      <c r="U225" s="227">
        <f>SUM(R225:T225)</f>
        <v>0</v>
      </c>
      <c r="V225" s="226">
        <f>SUM(V219,V222)</f>
        <v>0</v>
      </c>
      <c r="W225" s="226">
        <f>SUM(W219,W222)</f>
        <v>0</v>
      </c>
      <c r="X225" s="226">
        <f>SUM(X219,X222)</f>
        <v>0</v>
      </c>
      <c r="Y225" s="227">
        <f>SUM(V225:X225)</f>
        <v>0</v>
      </c>
    </row>
    <row r="226" spans="1:25" ht="12.75" hidden="1" customHeight="1" outlineLevel="2" x14ac:dyDescent="0.2">
      <c r="A226" s="198" t="str">
        <f>"         "&amp;Labels!B100</f>
        <v xml:space="preserve">         Gross Margin %</v>
      </c>
      <c r="B226" s="233">
        <f>IF(Practices!B179=0,0,B225/Practices!B179)</f>
        <v>0</v>
      </c>
      <c r="C226" s="233">
        <f>IF(Practices!C179=0,0,C225/Practices!C179)</f>
        <v>0</v>
      </c>
      <c r="D226" s="233">
        <f>IF(Practices!D179=0,0,D225/Practices!D179)</f>
        <v>0.97560975609756095</v>
      </c>
      <c r="E226" s="234">
        <f>IF(SUM(Practices!B179:D179)=0,0,SUM(B225:D225)/SUM(Practices!B179:D179))</f>
        <v>0.97560975609756095</v>
      </c>
      <c r="F226" s="233">
        <f>IF(Practices!F179=0,0,F225/Practices!F179)</f>
        <v>0.97560975609756095</v>
      </c>
      <c r="G226" s="233">
        <f>IF(Practices!G179=0,0,G225/Practices!G179)</f>
        <v>0</v>
      </c>
      <c r="H226" s="233">
        <f>IF(Practices!H179=0,0,H225/Practices!H179)</f>
        <v>0.97560975609756095</v>
      </c>
      <c r="I226" s="234">
        <f>IF(SUM(Practices!F179:H179)=0,0,SUM(F225:H225)/SUM(Practices!F179:H179))</f>
        <v>0.97560975609756095</v>
      </c>
      <c r="J226" s="233">
        <f>IF(Practices!J179=0,0,J225/Practices!J179)</f>
        <v>0.63096471986512193</v>
      </c>
      <c r="K226" s="233">
        <f>IF(Practices!K179=0,0,K225/Practices!K179)</f>
        <v>0.45736722029635057</v>
      </c>
      <c r="L226" s="233">
        <f>IF(Practices!L179=0,0,L225/Practices!L179)</f>
        <v>0</v>
      </c>
      <c r="M226" s="234">
        <f>IF(SUM(Practices!J179:L179)=0,0,SUM(J225:L225)/SUM(Practices!J179:L179))</f>
        <v>0.54416597008073619</v>
      </c>
      <c r="N226" s="233">
        <f>IF(Practices!N179=0,0,N225/Practices!N179)</f>
        <v>0</v>
      </c>
      <c r="O226" s="233">
        <f>IF(Practices!O179=0,0,O225/Practices!O179)</f>
        <v>0</v>
      </c>
      <c r="P226" s="233">
        <f>IF(Practices!P179=0,0,P225/Practices!P179)</f>
        <v>0</v>
      </c>
      <c r="Q226" s="234">
        <f>IF(SUM(Practices!N179:P179)=0,0,SUM(N225:P225)/SUM(Practices!N179:P179))</f>
        <v>0</v>
      </c>
      <c r="R226" s="233">
        <f>IF(Practices!R179=0,0,R225/Practices!R179)</f>
        <v>0</v>
      </c>
      <c r="S226" s="233">
        <f>IF(Practices!S179=0,0,S225/Practices!S179)</f>
        <v>0</v>
      </c>
      <c r="T226" s="233">
        <f>IF(Practices!T179=0,0,T225/Practices!T179)</f>
        <v>0</v>
      </c>
      <c r="U226" s="234">
        <f>IF(SUM(Practices!R179:T179)=0,0,SUM(R225:T225)/SUM(Practices!R179:T179))</f>
        <v>0</v>
      </c>
      <c r="V226" s="233">
        <f>IF(Practices!V179=0,0,V225/Practices!V179)</f>
        <v>0</v>
      </c>
      <c r="W226" s="233">
        <f>IF(Practices!W179=0,0,W225/Practices!W179)</f>
        <v>0</v>
      </c>
      <c r="X226" s="233">
        <f>IF(Practices!X179=0,0,X225/Practices!X179)</f>
        <v>0</v>
      </c>
      <c r="Y226" s="234">
        <f>IF(SUM(Practices!V179:X179)=0,0,SUM(V225:X225)/SUM(Practices!V179:X179))</f>
        <v>0</v>
      </c>
    </row>
    <row r="227" spans="1:25" ht="12.75" hidden="1" customHeight="1" outlineLevel="2" x14ac:dyDescent="0.2">
      <c r="A227" s="188" t="str">
        <f>"   "&amp;Labels!B386</f>
        <v xml:space="preserve">   Prof Level 2</v>
      </c>
      <c r="B227" s="31"/>
      <c r="C227" s="31"/>
      <c r="D227" s="31"/>
      <c r="E227" s="188"/>
      <c r="F227" s="31"/>
      <c r="G227" s="31"/>
      <c r="H227" s="31"/>
      <c r="I227" s="188"/>
      <c r="J227" s="31"/>
      <c r="K227" s="31"/>
      <c r="L227" s="31"/>
      <c r="M227" s="188"/>
      <c r="N227" s="31"/>
      <c r="O227" s="31"/>
      <c r="P227" s="31"/>
      <c r="Q227" s="188"/>
      <c r="R227" s="31"/>
      <c r="S227" s="31"/>
      <c r="T227" s="31"/>
      <c r="U227" s="188"/>
      <c r="V227" s="31"/>
      <c r="W227" s="31"/>
      <c r="X227" s="31"/>
      <c r="Y227" s="188"/>
    </row>
    <row r="228" spans="1:25" ht="12.75" hidden="1" customHeight="1" outlineLevel="2" x14ac:dyDescent="0.2">
      <c r="A228" s="198" t="str">
        <f>"      "&amp;Labels!B317</f>
        <v xml:space="preserve">      Channels 1</v>
      </c>
      <c r="B228" s="43"/>
      <c r="C228" s="43"/>
      <c r="D228" s="43"/>
      <c r="E228" s="198"/>
      <c r="F228" s="43"/>
      <c r="G228" s="43"/>
      <c r="H228" s="43"/>
      <c r="I228" s="198"/>
      <c r="J228" s="43"/>
      <c r="K228" s="43"/>
      <c r="L228" s="43"/>
      <c r="M228" s="198"/>
      <c r="N228" s="43"/>
      <c r="O228" s="43"/>
      <c r="P228" s="43"/>
      <c r="Q228" s="198"/>
      <c r="R228" s="43"/>
      <c r="S228" s="43"/>
      <c r="T228" s="43"/>
      <c r="U228" s="198"/>
      <c r="V228" s="43"/>
      <c r="W228" s="43"/>
      <c r="X228" s="43"/>
      <c r="Y228" s="198"/>
    </row>
    <row r="229" spans="1:25" ht="12.75" hidden="1" customHeight="1" outlineLevel="2" x14ac:dyDescent="0.2">
      <c r="A229" s="198" t="str">
        <f>"         "&amp;Labels!B98</f>
        <v xml:space="preserve">         Gross Margin</v>
      </c>
      <c r="B229" s="226">
        <f>Sales!B113-Practices!B66/2-B391/2</f>
        <v>0</v>
      </c>
      <c r="C229" s="226">
        <f>Sales!C113-Practices!C66/2-C391/2</f>
        <v>0</v>
      </c>
      <c r="D229" s="226">
        <f>Sales!D113-Practices!D66/2-D391/2</f>
        <v>27500</v>
      </c>
      <c r="E229" s="227">
        <f>SUM(B229:D229)</f>
        <v>27500</v>
      </c>
      <c r="F229" s="226">
        <f>Sales!F113-Practices!F66/2-F391/2</f>
        <v>27500</v>
      </c>
      <c r="G229" s="226">
        <f>Sales!G113-Practices!G66/2-G391/2</f>
        <v>0</v>
      </c>
      <c r="H229" s="226">
        <f>Sales!H113-Practices!H66/2-H391/2</f>
        <v>20000</v>
      </c>
      <c r="I229" s="227">
        <f>SUM(F229:H229)</f>
        <v>47500</v>
      </c>
      <c r="J229" s="226">
        <f>Sales!J113-Practices!J66/2-J391/2</f>
        <v>5869.5535144699952</v>
      </c>
      <c r="K229" s="226">
        <f>Sales!K113-Practices!K66/2-K391/2</f>
        <v>2293.3800267919764</v>
      </c>
      <c r="L229" s="226">
        <f>Sales!L113-Practices!L66/2-L391/2</f>
        <v>0</v>
      </c>
      <c r="M229" s="227">
        <f>SUM(J229:L229)</f>
        <v>8162.9335412619712</v>
      </c>
      <c r="N229" s="226">
        <f>Sales!N113-Practices!N66/2-N391/2</f>
        <v>0</v>
      </c>
      <c r="O229" s="226">
        <f>Sales!O113-Practices!O66/2-O391/2</f>
        <v>0</v>
      </c>
      <c r="P229" s="226">
        <f>Sales!P113-Practices!P66/2-P391/2</f>
        <v>0</v>
      </c>
      <c r="Q229" s="227">
        <f>SUM(N229:P229)</f>
        <v>0</v>
      </c>
      <c r="R229" s="226">
        <f>Sales!R113-Practices!R66/2-R391/2</f>
        <v>0</v>
      </c>
      <c r="S229" s="226">
        <f>Sales!S113-Practices!S66/2-S391/2</f>
        <v>0</v>
      </c>
      <c r="T229" s="226">
        <f>Sales!T113-Practices!T66/2-T391/2</f>
        <v>0</v>
      </c>
      <c r="U229" s="227">
        <f>SUM(R229:T229)</f>
        <v>0</v>
      </c>
      <c r="V229" s="226">
        <f>Sales!V113-Practices!V66/2-V391/2</f>
        <v>0</v>
      </c>
      <c r="W229" s="226">
        <f>Sales!W113-Practices!W66/2-W391/2</f>
        <v>0</v>
      </c>
      <c r="X229" s="226">
        <f>Sales!X113-Practices!X66/2-X391/2</f>
        <v>0</v>
      </c>
      <c r="Y229" s="227">
        <f>SUM(V229:X229)</f>
        <v>0</v>
      </c>
    </row>
    <row r="230" spans="1:25" ht="12.75" hidden="1" customHeight="1" outlineLevel="2" x14ac:dyDescent="0.2">
      <c r="A230" s="198" t="str">
        <f>"         "&amp;Labels!B100</f>
        <v xml:space="preserve">         Gross Margin %</v>
      </c>
      <c r="B230" s="233">
        <f>IF(Sales!B113=0,0,B229/Sales!B113)</f>
        <v>0</v>
      </c>
      <c r="C230" s="233">
        <f>IF(Sales!C113=0,0,C229/Sales!C113)</f>
        <v>0</v>
      </c>
      <c r="D230" s="233">
        <f>IF(Sales!D113=0,0,D229/Sales!D113)</f>
        <v>0.95238095238095233</v>
      </c>
      <c r="E230" s="234">
        <f>IF(SUM(Sales!B113:D113)=0,0,SUM(B229:D229)/SUM(Sales!B113:D113))</f>
        <v>0.95238095238095233</v>
      </c>
      <c r="F230" s="233">
        <f>IF(Sales!F113=0,0,F229/Sales!F113)</f>
        <v>0.95238095238095233</v>
      </c>
      <c r="G230" s="233">
        <f>IF(Sales!G113=0,0,G229/Sales!G113)</f>
        <v>0</v>
      </c>
      <c r="H230" s="233">
        <f>IF(Sales!H113=0,0,H229/Sales!H113)</f>
        <v>0.95238095238095233</v>
      </c>
      <c r="I230" s="234">
        <f>IF(SUM(Sales!F113:H113)=0,0,SUM(F229:H229)/SUM(Sales!F113:H113))</f>
        <v>0.95238095238095233</v>
      </c>
      <c r="J230" s="233">
        <f>IF(Sales!J113=0,0,J229/Sales!J113)</f>
        <v>0.27950254830809501</v>
      </c>
      <c r="K230" s="233">
        <f>IF(Sales!K113=0,0,K229/Sales!K113)</f>
        <v>0.10920857270437984</v>
      </c>
      <c r="L230" s="233">
        <f>IF(Sales!L113=0,0,L229/Sales!L113)</f>
        <v>0</v>
      </c>
      <c r="M230" s="234">
        <f>IF(SUM(Sales!J113:L113)=0,0,SUM(J229:L229)/SUM(Sales!J113:L113))</f>
        <v>0.1943555605062374</v>
      </c>
      <c r="N230" s="233">
        <f>IF(Sales!N113=0,0,N229/Sales!N113)</f>
        <v>0</v>
      </c>
      <c r="O230" s="233">
        <f>IF(Sales!O113=0,0,O229/Sales!O113)</f>
        <v>0</v>
      </c>
      <c r="P230" s="233">
        <f>IF(Sales!P113=0,0,P229/Sales!P113)</f>
        <v>0</v>
      </c>
      <c r="Q230" s="234">
        <f>IF(SUM(Sales!N113:P113)=0,0,SUM(N229:P229)/SUM(Sales!N113:P113))</f>
        <v>0</v>
      </c>
      <c r="R230" s="233">
        <f>IF(Sales!R113=0,0,R229/Sales!R113)</f>
        <v>0</v>
      </c>
      <c r="S230" s="233">
        <f>IF(Sales!S113=0,0,S229/Sales!S113)</f>
        <v>0</v>
      </c>
      <c r="T230" s="233">
        <f>IF(Sales!T113=0,0,T229/Sales!T113)</f>
        <v>0</v>
      </c>
      <c r="U230" s="234">
        <f>IF(SUM(Sales!R113:T113)=0,0,SUM(R229:T229)/SUM(Sales!R113:T113))</f>
        <v>0</v>
      </c>
      <c r="V230" s="233">
        <f>IF(Sales!V113=0,0,V229/Sales!V113)</f>
        <v>0</v>
      </c>
      <c r="W230" s="233">
        <f>IF(Sales!W113=0,0,W229/Sales!W113)</f>
        <v>0</v>
      </c>
      <c r="X230" s="233">
        <f>IF(Sales!X113=0,0,X229/Sales!X113)</f>
        <v>0</v>
      </c>
      <c r="Y230" s="234">
        <f>IF(SUM(Sales!V113:X113)=0,0,SUM(V229:X229)/SUM(Sales!V113:X113))</f>
        <v>0</v>
      </c>
    </row>
    <row r="231" spans="1:25" ht="12.75" hidden="1" customHeight="1" outlineLevel="2" x14ac:dyDescent="0.2">
      <c r="A231" s="198" t="str">
        <f>"      "&amp;Labels!B318</f>
        <v xml:space="preserve">      Channels 2</v>
      </c>
      <c r="B231" s="43"/>
      <c r="C231" s="43"/>
      <c r="D231" s="43"/>
      <c r="E231" s="198"/>
      <c r="F231" s="43"/>
      <c r="G231" s="43"/>
      <c r="H231" s="43"/>
      <c r="I231" s="198"/>
      <c r="J231" s="43"/>
      <c r="K231" s="43"/>
      <c r="L231" s="43"/>
      <c r="M231" s="198"/>
      <c r="N231" s="43"/>
      <c r="O231" s="43"/>
      <c r="P231" s="43"/>
      <c r="Q231" s="198"/>
      <c r="R231" s="43"/>
      <c r="S231" s="43"/>
      <c r="T231" s="43"/>
      <c r="U231" s="198"/>
      <c r="V231" s="43"/>
      <c r="W231" s="43"/>
      <c r="X231" s="43"/>
      <c r="Y231" s="198"/>
    </row>
    <row r="232" spans="1:25" ht="12.75" hidden="1" customHeight="1" outlineLevel="2" x14ac:dyDescent="0.2">
      <c r="A232" s="198" t="str">
        <f>"         "&amp;Labels!B98</f>
        <v xml:space="preserve">         Gross Margin</v>
      </c>
      <c r="B232" s="226">
        <f>Sales!B114-Practices!B71/2-B391/2</f>
        <v>0</v>
      </c>
      <c r="C232" s="226">
        <f>Sales!C114-Practices!C71/2-C391/2</f>
        <v>0</v>
      </c>
      <c r="D232" s="226">
        <f>Sales!D114-Practices!D71/2-D391/2</f>
        <v>27500</v>
      </c>
      <c r="E232" s="227">
        <f>SUM(B232:D232)</f>
        <v>27500</v>
      </c>
      <c r="F232" s="226">
        <f>Sales!F114-Practices!F71/2-F391/2</f>
        <v>27500</v>
      </c>
      <c r="G232" s="226">
        <f>Sales!G114-Practices!G71/2-G391/2</f>
        <v>0</v>
      </c>
      <c r="H232" s="226">
        <f>Sales!H114-Practices!H71/2-H391/2</f>
        <v>20000</v>
      </c>
      <c r="I232" s="227">
        <f>SUM(F232:H232)</f>
        <v>47500</v>
      </c>
      <c r="J232" s="226">
        <f>Sales!J114-Practices!J71/2-J391/2</f>
        <v>20000</v>
      </c>
      <c r="K232" s="226">
        <f>Sales!K114-Practices!K71/2-K391/2</f>
        <v>16458.676005358397</v>
      </c>
      <c r="L232" s="226">
        <f>Sales!L114-Practices!L71/2-L391/2</f>
        <v>0</v>
      </c>
      <c r="M232" s="227">
        <f>SUM(J232:L232)</f>
        <v>36458.6760053584</v>
      </c>
      <c r="N232" s="226">
        <f>Sales!N114-Practices!N71/2-N391/2</f>
        <v>0</v>
      </c>
      <c r="O232" s="226">
        <f>Sales!O114-Practices!O71/2-O391/2</f>
        <v>0</v>
      </c>
      <c r="P232" s="226">
        <f>Sales!P114-Practices!P71/2-P391/2</f>
        <v>0</v>
      </c>
      <c r="Q232" s="227">
        <f>SUM(N232:P232)</f>
        <v>0</v>
      </c>
      <c r="R232" s="226">
        <f>Sales!R114-Practices!R71/2-R391/2</f>
        <v>0</v>
      </c>
      <c r="S232" s="226">
        <f>Sales!S114-Practices!S71/2-S391/2</f>
        <v>0</v>
      </c>
      <c r="T232" s="226">
        <f>Sales!T114-Practices!T71/2-T391/2</f>
        <v>0</v>
      </c>
      <c r="U232" s="227">
        <f>SUM(R232:T232)</f>
        <v>0</v>
      </c>
      <c r="V232" s="226">
        <f>Sales!V114-Practices!V71/2-V391/2</f>
        <v>0</v>
      </c>
      <c r="W232" s="226">
        <f>Sales!W114-Practices!W71/2-W391/2</f>
        <v>0</v>
      </c>
      <c r="X232" s="226">
        <f>Sales!X114-Practices!X71/2-X391/2</f>
        <v>0</v>
      </c>
      <c r="Y232" s="227">
        <f>SUM(V232:X232)</f>
        <v>0</v>
      </c>
    </row>
    <row r="233" spans="1:25" ht="12.75" hidden="1" customHeight="1" outlineLevel="2" x14ac:dyDescent="0.2">
      <c r="A233" s="198" t="str">
        <f>"         "&amp;Labels!B100</f>
        <v xml:space="preserve">         Gross Margin %</v>
      </c>
      <c r="B233" s="233">
        <f>IF(Sales!B114=0,0,B232/Sales!B114)</f>
        <v>0</v>
      </c>
      <c r="C233" s="233">
        <f>IF(Sales!C114=0,0,C232/Sales!C114)</f>
        <v>0</v>
      </c>
      <c r="D233" s="233">
        <f>IF(Sales!D114=0,0,D232/Sales!D114)</f>
        <v>1</v>
      </c>
      <c r="E233" s="234">
        <f>IF(SUM(Sales!B114:D114)=0,0,SUM(B232:D232)/SUM(Sales!B114:D114))</f>
        <v>1</v>
      </c>
      <c r="F233" s="233">
        <f>IF(Sales!F114=0,0,F232/Sales!F114)</f>
        <v>1</v>
      </c>
      <c r="G233" s="233">
        <f>IF(Sales!G114=0,0,G232/Sales!G114)</f>
        <v>0</v>
      </c>
      <c r="H233" s="233">
        <f>IF(Sales!H114=0,0,H232/Sales!H114)</f>
        <v>1</v>
      </c>
      <c r="I233" s="234">
        <f>IF(SUM(Sales!F114:H114)=0,0,SUM(F232:H232)/SUM(Sales!F114:H114))</f>
        <v>1</v>
      </c>
      <c r="J233" s="233">
        <f>IF(Sales!J114=0,0,J232/Sales!J114)</f>
        <v>1</v>
      </c>
      <c r="K233" s="233">
        <f>IF(Sales!K114=0,0,K232/Sales!K114)</f>
        <v>0.82293380026791985</v>
      </c>
      <c r="L233" s="233">
        <f>IF(Sales!L114=0,0,L232/Sales!L114)</f>
        <v>0</v>
      </c>
      <c r="M233" s="234">
        <f>IF(SUM(Sales!J114:L114)=0,0,SUM(J232:L232)/SUM(Sales!J114:L114))</f>
        <v>0.91146690013396003</v>
      </c>
      <c r="N233" s="233">
        <f>IF(Sales!N114=0,0,N232/Sales!N114)</f>
        <v>0</v>
      </c>
      <c r="O233" s="233">
        <f>IF(Sales!O114=0,0,O232/Sales!O114)</f>
        <v>0</v>
      </c>
      <c r="P233" s="233">
        <f>IF(Sales!P114=0,0,P232/Sales!P114)</f>
        <v>0</v>
      </c>
      <c r="Q233" s="234">
        <f>IF(SUM(Sales!N114:P114)=0,0,SUM(N232:P232)/SUM(Sales!N114:P114))</f>
        <v>0</v>
      </c>
      <c r="R233" s="233">
        <f>IF(Sales!R114=0,0,R232/Sales!R114)</f>
        <v>0</v>
      </c>
      <c r="S233" s="233">
        <f>IF(Sales!S114=0,0,S232/Sales!S114)</f>
        <v>0</v>
      </c>
      <c r="T233" s="233">
        <f>IF(Sales!T114=0,0,T232/Sales!T114)</f>
        <v>0</v>
      </c>
      <c r="U233" s="234">
        <f>IF(SUM(Sales!R114:T114)=0,0,SUM(R232:T232)/SUM(Sales!R114:T114))</f>
        <v>0</v>
      </c>
      <c r="V233" s="233">
        <f>IF(Sales!V114=0,0,V232/Sales!V114)</f>
        <v>0</v>
      </c>
      <c r="W233" s="233">
        <f>IF(Sales!W114=0,0,W232/Sales!W114)</f>
        <v>0</v>
      </c>
      <c r="X233" s="233">
        <f>IF(Sales!X114=0,0,X232/Sales!X114)</f>
        <v>0</v>
      </c>
      <c r="Y233" s="234">
        <f>IF(SUM(Sales!V114:X114)=0,0,SUM(V232:X232)/SUM(Sales!V114:X114))</f>
        <v>0</v>
      </c>
    </row>
    <row r="234" spans="1:25" ht="12.75" hidden="1" customHeight="1" outlineLevel="2" x14ac:dyDescent="0.2">
      <c r="A234" s="188" t="str">
        <f>"      "&amp;Labels!C316</f>
        <v xml:space="preserve">      Total</v>
      </c>
      <c r="B234" s="31"/>
      <c r="C234" s="31"/>
      <c r="D234" s="31"/>
      <c r="E234" s="188"/>
      <c r="F234" s="31"/>
      <c r="G234" s="31"/>
      <c r="H234" s="31"/>
      <c r="I234" s="188"/>
      <c r="J234" s="31"/>
      <c r="K234" s="31"/>
      <c r="L234" s="31"/>
      <c r="M234" s="188"/>
      <c r="N234" s="31"/>
      <c r="O234" s="31"/>
      <c r="P234" s="31"/>
      <c r="Q234" s="188"/>
      <c r="R234" s="31"/>
      <c r="S234" s="31"/>
      <c r="T234" s="31"/>
      <c r="U234" s="188"/>
      <c r="V234" s="31"/>
      <c r="W234" s="31"/>
      <c r="X234" s="31"/>
      <c r="Y234" s="188"/>
    </row>
    <row r="235" spans="1:25" ht="12.75" hidden="1" customHeight="1" outlineLevel="2" x14ac:dyDescent="0.2">
      <c r="A235" s="198" t="str">
        <f>"         "&amp;Labels!B98</f>
        <v xml:space="preserve">         Gross Margin</v>
      </c>
      <c r="B235" s="226">
        <f>SUM(B229,B232)</f>
        <v>0</v>
      </c>
      <c r="C235" s="226">
        <f>SUM(C229,C232)</f>
        <v>0</v>
      </c>
      <c r="D235" s="226">
        <f>SUM(D229,D232)</f>
        <v>55000</v>
      </c>
      <c r="E235" s="227">
        <f>SUM(B235:D235)</f>
        <v>55000</v>
      </c>
      <c r="F235" s="226">
        <f>SUM(F229,F232)</f>
        <v>55000</v>
      </c>
      <c r="G235" s="226">
        <f>SUM(G229,G232)</f>
        <v>0</v>
      </c>
      <c r="H235" s="226">
        <f>SUM(H229,H232)</f>
        <v>40000</v>
      </c>
      <c r="I235" s="227">
        <f>SUM(F235:H235)</f>
        <v>95000</v>
      </c>
      <c r="J235" s="226">
        <f>SUM(J229,J232)</f>
        <v>25869.553514469997</v>
      </c>
      <c r="K235" s="226">
        <f>SUM(K229,K232)</f>
        <v>18752.056032150373</v>
      </c>
      <c r="L235" s="226">
        <f>SUM(L229,L232)</f>
        <v>0</v>
      </c>
      <c r="M235" s="227">
        <f>SUM(J235:L235)</f>
        <v>44621.60954662037</v>
      </c>
      <c r="N235" s="226">
        <f>SUM(N229,N232)</f>
        <v>0</v>
      </c>
      <c r="O235" s="226">
        <f>SUM(O229,O232)</f>
        <v>0</v>
      </c>
      <c r="P235" s="226">
        <f>SUM(P229,P232)</f>
        <v>0</v>
      </c>
      <c r="Q235" s="227">
        <f>SUM(N235:P235)</f>
        <v>0</v>
      </c>
      <c r="R235" s="226">
        <f>SUM(R229,R232)</f>
        <v>0</v>
      </c>
      <c r="S235" s="226">
        <f>SUM(S229,S232)</f>
        <v>0</v>
      </c>
      <c r="T235" s="226">
        <f>SUM(T229,T232)</f>
        <v>0</v>
      </c>
      <c r="U235" s="227">
        <f>SUM(R235:T235)</f>
        <v>0</v>
      </c>
      <c r="V235" s="226">
        <f>SUM(V229,V232)</f>
        <v>0</v>
      </c>
      <c r="W235" s="226">
        <f>SUM(W229,W232)</f>
        <v>0</v>
      </c>
      <c r="X235" s="226">
        <f>SUM(X229,X232)</f>
        <v>0</v>
      </c>
      <c r="Y235" s="227">
        <f>SUM(V235:X235)</f>
        <v>0</v>
      </c>
    </row>
    <row r="236" spans="1:25" ht="12.75" hidden="1" customHeight="1" outlineLevel="2" x14ac:dyDescent="0.2">
      <c r="A236" s="198" t="str">
        <f>"         "&amp;Labels!B100</f>
        <v xml:space="preserve">         Gross Margin %</v>
      </c>
      <c r="B236" s="233">
        <f>IF(Practices!B180=0,0,B235/Practices!B180)</f>
        <v>0</v>
      </c>
      <c r="C236" s="233">
        <f>IF(Practices!C180=0,0,C235/Practices!C180)</f>
        <v>0</v>
      </c>
      <c r="D236" s="233">
        <f>IF(Practices!D180=0,0,D235/Practices!D180)</f>
        <v>0.97560975609756095</v>
      </c>
      <c r="E236" s="234">
        <f>IF(SUM(Practices!B180:D180)=0,0,SUM(B235:D235)/SUM(Practices!B180:D180))</f>
        <v>0.97560975609756095</v>
      </c>
      <c r="F236" s="233">
        <f>IF(Practices!F180=0,0,F235/Practices!F180)</f>
        <v>0.97560975609756095</v>
      </c>
      <c r="G236" s="233">
        <f>IF(Practices!G180=0,0,G235/Practices!G180)</f>
        <v>0</v>
      </c>
      <c r="H236" s="233">
        <f>IF(Practices!H180=0,0,H235/Practices!H180)</f>
        <v>0.97560975609756095</v>
      </c>
      <c r="I236" s="234">
        <f>IF(SUM(Practices!F180:H180)=0,0,SUM(F235:H235)/SUM(Practices!F180:H180))</f>
        <v>0.97560975609756095</v>
      </c>
      <c r="J236" s="233">
        <f>IF(Practices!J180=0,0,J235/Practices!J180)</f>
        <v>0.63096471986512193</v>
      </c>
      <c r="K236" s="233">
        <f>IF(Practices!K180=0,0,K235/Practices!K180)</f>
        <v>0.45736722029635057</v>
      </c>
      <c r="L236" s="233">
        <f>IF(Practices!L180=0,0,L235/Practices!L180)</f>
        <v>0</v>
      </c>
      <c r="M236" s="234">
        <f>IF(SUM(Practices!J180:L180)=0,0,SUM(J235:L235)/SUM(Practices!J180:L180))</f>
        <v>0.54416597008073619</v>
      </c>
      <c r="N236" s="233">
        <f>IF(Practices!N180=0,0,N235/Practices!N180)</f>
        <v>0</v>
      </c>
      <c r="O236" s="233">
        <f>IF(Practices!O180=0,0,O235/Practices!O180)</f>
        <v>0</v>
      </c>
      <c r="P236" s="233">
        <f>IF(Practices!P180=0,0,P235/Practices!P180)</f>
        <v>0</v>
      </c>
      <c r="Q236" s="234">
        <f>IF(SUM(Practices!N180:P180)=0,0,SUM(N235:P235)/SUM(Practices!N180:P180))</f>
        <v>0</v>
      </c>
      <c r="R236" s="233">
        <f>IF(Practices!R180=0,0,R235/Practices!R180)</f>
        <v>0</v>
      </c>
      <c r="S236" s="233">
        <f>IF(Practices!S180=0,0,S235/Practices!S180)</f>
        <v>0</v>
      </c>
      <c r="T236" s="233">
        <f>IF(Practices!T180=0,0,T235/Practices!T180)</f>
        <v>0</v>
      </c>
      <c r="U236" s="234">
        <f>IF(SUM(Practices!R180:T180)=0,0,SUM(R235:T235)/SUM(Practices!R180:T180))</f>
        <v>0</v>
      </c>
      <c r="V236" s="233">
        <f>IF(Practices!V180=0,0,V235/Practices!V180)</f>
        <v>0</v>
      </c>
      <c r="W236" s="233">
        <f>IF(Practices!W180=0,0,W235/Practices!W180)</f>
        <v>0</v>
      </c>
      <c r="X236" s="233">
        <f>IF(Practices!X180=0,0,X235/Practices!X180)</f>
        <v>0</v>
      </c>
      <c r="Y236" s="234">
        <f>IF(SUM(Practices!V180:X180)=0,0,SUM(V235:X235)/SUM(Practices!V180:X180))</f>
        <v>0</v>
      </c>
    </row>
    <row r="237" spans="1:25" ht="12.75" hidden="1" customHeight="1" outlineLevel="2" x14ac:dyDescent="0.2">
      <c r="A237" s="191" t="str">
        <f>"   "&amp;Labels!C384</f>
        <v xml:space="preserve">   Total</v>
      </c>
      <c r="B237" s="3"/>
      <c r="C237" s="3"/>
      <c r="D237" s="3"/>
      <c r="E237" s="191"/>
      <c r="F237" s="3"/>
      <c r="G237" s="3"/>
      <c r="H237" s="3"/>
      <c r="I237" s="191"/>
      <c r="J237" s="3"/>
      <c r="K237" s="3"/>
      <c r="L237" s="3"/>
      <c r="M237" s="191"/>
      <c r="N237" s="3"/>
      <c r="O237" s="3"/>
      <c r="P237" s="3"/>
      <c r="Q237" s="191"/>
      <c r="R237" s="3"/>
      <c r="S237" s="3"/>
      <c r="T237" s="3"/>
      <c r="U237" s="191"/>
      <c r="V237" s="3"/>
      <c r="W237" s="3"/>
      <c r="X237" s="3"/>
      <c r="Y237" s="191"/>
    </row>
    <row r="238" spans="1:25" ht="12.75" hidden="1" customHeight="1" outlineLevel="2" x14ac:dyDescent="0.2">
      <c r="A238" s="198" t="str">
        <f>"      "&amp;Labels!B317</f>
        <v xml:space="preserve">      Channels 1</v>
      </c>
      <c r="B238" s="43"/>
      <c r="C238" s="43"/>
      <c r="D238" s="43"/>
      <c r="E238" s="198"/>
      <c r="F238" s="43"/>
      <c r="G238" s="43"/>
      <c r="H238" s="43"/>
      <c r="I238" s="198"/>
      <c r="J238" s="43"/>
      <c r="K238" s="43"/>
      <c r="L238" s="43"/>
      <c r="M238" s="198"/>
      <c r="N238" s="43"/>
      <c r="O238" s="43"/>
      <c r="P238" s="43"/>
      <c r="Q238" s="198"/>
      <c r="R238" s="43"/>
      <c r="S238" s="43"/>
      <c r="T238" s="43"/>
      <c r="U238" s="198"/>
      <c r="V238" s="43"/>
      <c r="W238" s="43"/>
      <c r="X238" s="43"/>
      <c r="Y238" s="198"/>
    </row>
    <row r="239" spans="1:25" ht="12.75" hidden="1" customHeight="1" outlineLevel="2" x14ac:dyDescent="0.2">
      <c r="A239" s="198" t="str">
        <f>"         "&amp;Labels!B98</f>
        <v xml:space="preserve">         Gross Margin</v>
      </c>
      <c r="B239" s="226">
        <f>SUM(B219,B229)</f>
        <v>0</v>
      </c>
      <c r="C239" s="226">
        <f>SUM(C219,C229)</f>
        <v>0</v>
      </c>
      <c r="D239" s="226">
        <f>SUM(D219,D229)</f>
        <v>55000</v>
      </c>
      <c r="E239" s="227">
        <f>SUM(B239:D239)</f>
        <v>55000</v>
      </c>
      <c r="F239" s="226">
        <f>SUM(F219,F229)</f>
        <v>55000</v>
      </c>
      <c r="G239" s="226">
        <f>SUM(G219,G229)</f>
        <v>0</v>
      </c>
      <c r="H239" s="226">
        <f>SUM(H219,H229)</f>
        <v>40000</v>
      </c>
      <c r="I239" s="227">
        <f>SUM(F239:H239)</f>
        <v>95000</v>
      </c>
      <c r="J239" s="226">
        <f>SUM(J219,J229)</f>
        <v>11739.10702893999</v>
      </c>
      <c r="K239" s="226">
        <f>SUM(K219,K229)</f>
        <v>4586.7600535839529</v>
      </c>
      <c r="L239" s="226">
        <f>SUM(L219,L229)</f>
        <v>0</v>
      </c>
      <c r="M239" s="227">
        <f>SUM(J239:L239)</f>
        <v>16325.867082523942</v>
      </c>
      <c r="N239" s="226">
        <f>SUM(N219,N229)</f>
        <v>0</v>
      </c>
      <c r="O239" s="226">
        <f>SUM(O219,O229)</f>
        <v>0</v>
      </c>
      <c r="P239" s="226">
        <f>SUM(P219,P229)</f>
        <v>0</v>
      </c>
      <c r="Q239" s="227">
        <f>SUM(N239:P239)</f>
        <v>0</v>
      </c>
      <c r="R239" s="226">
        <f>SUM(R219,R229)</f>
        <v>0</v>
      </c>
      <c r="S239" s="226">
        <f>SUM(S219,S229)</f>
        <v>0</v>
      </c>
      <c r="T239" s="226">
        <f>SUM(T219,T229)</f>
        <v>0</v>
      </c>
      <c r="U239" s="227">
        <f>SUM(R239:T239)</f>
        <v>0</v>
      </c>
      <c r="V239" s="226">
        <f>SUM(V219,V229)</f>
        <v>0</v>
      </c>
      <c r="W239" s="226">
        <f>SUM(W219,W229)</f>
        <v>0</v>
      </c>
      <c r="X239" s="226">
        <f>SUM(X219,X229)</f>
        <v>0</v>
      </c>
      <c r="Y239" s="227">
        <f>SUM(V239:X239)</f>
        <v>0</v>
      </c>
    </row>
    <row r="240" spans="1:25" ht="12.75" hidden="1" customHeight="1" outlineLevel="2" x14ac:dyDescent="0.2">
      <c r="A240" s="198" t="str">
        <f>"         "&amp;Labels!B100</f>
        <v xml:space="preserve">         Gross Margin %</v>
      </c>
      <c r="B240" s="233">
        <f>IF(Practices!B48=0,0,B239/Practices!B48)</f>
        <v>0</v>
      </c>
      <c r="C240" s="233">
        <f>IF(Practices!C48=0,0,C239/Practices!C48)</f>
        <v>0</v>
      </c>
      <c r="D240" s="233">
        <f>IF(Practices!D48=0,0,D239/Practices!D48)</f>
        <v>0.95238095238095233</v>
      </c>
      <c r="E240" s="234">
        <f>IF(SUM(Practices!B48:D48)=0,0,SUM(B239:D239)/SUM(Practices!B48:D48))</f>
        <v>0.95238095238095233</v>
      </c>
      <c r="F240" s="233">
        <f>IF(Practices!F48=0,0,F239/Practices!F48)</f>
        <v>0.95238095238095233</v>
      </c>
      <c r="G240" s="233">
        <f>IF(Practices!G48=0,0,G239/Practices!G48)</f>
        <v>0</v>
      </c>
      <c r="H240" s="233">
        <f>IF(Practices!H48=0,0,H239/Practices!H48)</f>
        <v>0.95238095238095233</v>
      </c>
      <c r="I240" s="234">
        <f>IF(SUM(Practices!F48:H48)=0,0,SUM(F239:H239)/SUM(Practices!F48:H48))</f>
        <v>0.95238095238095233</v>
      </c>
      <c r="J240" s="233">
        <f>IF(Practices!J48=0,0,J239/Practices!J48)</f>
        <v>0.27950254830809501</v>
      </c>
      <c r="K240" s="233">
        <f>IF(Practices!K48=0,0,K239/Practices!K48)</f>
        <v>0.10920857270437984</v>
      </c>
      <c r="L240" s="233">
        <f>IF(Practices!L48=0,0,L239/Practices!L48)</f>
        <v>0</v>
      </c>
      <c r="M240" s="234">
        <f>IF(SUM(Practices!J48:L48)=0,0,SUM(J239:L239)/SUM(Practices!J48:L48))</f>
        <v>0.1943555605062374</v>
      </c>
      <c r="N240" s="233">
        <f>IF(Practices!N48=0,0,N239/Practices!N48)</f>
        <v>0</v>
      </c>
      <c r="O240" s="233">
        <f>IF(Practices!O48=0,0,O239/Practices!O48)</f>
        <v>0</v>
      </c>
      <c r="P240" s="233">
        <f>IF(Practices!P48=0,0,P239/Practices!P48)</f>
        <v>0</v>
      </c>
      <c r="Q240" s="234">
        <f>IF(SUM(Practices!N48:P48)=0,0,SUM(N239:P239)/SUM(Practices!N48:P48))</f>
        <v>0</v>
      </c>
      <c r="R240" s="233">
        <f>IF(Practices!R48=0,0,R239/Practices!R48)</f>
        <v>0</v>
      </c>
      <c r="S240" s="233">
        <f>IF(Practices!S48=0,0,S239/Practices!S48)</f>
        <v>0</v>
      </c>
      <c r="T240" s="233">
        <f>IF(Practices!T48=0,0,T239/Practices!T48)</f>
        <v>0</v>
      </c>
      <c r="U240" s="234">
        <f>IF(SUM(Practices!R48:T48)=0,0,SUM(R239:T239)/SUM(Practices!R48:T48))</f>
        <v>0</v>
      </c>
      <c r="V240" s="233">
        <f>IF(Practices!V48=0,0,V239/Practices!V48)</f>
        <v>0</v>
      </c>
      <c r="W240" s="233">
        <f>IF(Practices!W48=0,0,W239/Practices!W48)</f>
        <v>0</v>
      </c>
      <c r="X240" s="233">
        <f>IF(Practices!X48=0,0,X239/Practices!X48)</f>
        <v>0</v>
      </c>
      <c r="Y240" s="234">
        <f>IF(SUM(Practices!V48:X48)=0,0,SUM(V239:X239)/SUM(Practices!V48:X48))</f>
        <v>0</v>
      </c>
    </row>
    <row r="241" spans="1:25" ht="12.75" hidden="1" customHeight="1" outlineLevel="2" x14ac:dyDescent="0.2">
      <c r="A241" s="198" t="str">
        <f>"      "&amp;Labels!B318</f>
        <v xml:space="preserve">      Channels 2</v>
      </c>
      <c r="B241" s="43"/>
      <c r="C241" s="43"/>
      <c r="D241" s="43"/>
      <c r="E241" s="198"/>
      <c r="F241" s="43"/>
      <c r="G241" s="43"/>
      <c r="H241" s="43"/>
      <c r="I241" s="198"/>
      <c r="J241" s="43"/>
      <c r="K241" s="43"/>
      <c r="L241" s="43"/>
      <c r="M241" s="198"/>
      <c r="N241" s="43"/>
      <c r="O241" s="43"/>
      <c r="P241" s="43"/>
      <c r="Q241" s="198"/>
      <c r="R241" s="43"/>
      <c r="S241" s="43"/>
      <c r="T241" s="43"/>
      <c r="U241" s="198"/>
      <c r="V241" s="43"/>
      <c r="W241" s="43"/>
      <c r="X241" s="43"/>
      <c r="Y241" s="198"/>
    </row>
    <row r="242" spans="1:25" ht="12.75" hidden="1" customHeight="1" outlineLevel="2" x14ac:dyDescent="0.2">
      <c r="A242" s="198" t="str">
        <f>"         "&amp;Labels!B98</f>
        <v xml:space="preserve">         Gross Margin</v>
      </c>
      <c r="B242" s="226">
        <f>SUM(B222,B232)</f>
        <v>0</v>
      </c>
      <c r="C242" s="226">
        <f>SUM(C222,C232)</f>
        <v>0</v>
      </c>
      <c r="D242" s="226">
        <f>SUM(D222,D232)</f>
        <v>55000</v>
      </c>
      <c r="E242" s="227">
        <f>SUM(B242:D242)</f>
        <v>55000</v>
      </c>
      <c r="F242" s="226">
        <f>SUM(F222,F232)</f>
        <v>55000</v>
      </c>
      <c r="G242" s="226">
        <f>SUM(G222,G232)</f>
        <v>0</v>
      </c>
      <c r="H242" s="226">
        <f>SUM(H222,H232)</f>
        <v>40000</v>
      </c>
      <c r="I242" s="227">
        <f>SUM(F242:H242)</f>
        <v>95000</v>
      </c>
      <c r="J242" s="226">
        <f>SUM(J222,J232)</f>
        <v>40000</v>
      </c>
      <c r="K242" s="226">
        <f>SUM(K222,K232)</f>
        <v>32917.352010716793</v>
      </c>
      <c r="L242" s="226">
        <f>SUM(L222,L232)</f>
        <v>0</v>
      </c>
      <c r="M242" s="227">
        <f>SUM(J242:L242)</f>
        <v>72917.352010716801</v>
      </c>
      <c r="N242" s="226">
        <f>SUM(N222,N232)</f>
        <v>0</v>
      </c>
      <c r="O242" s="226">
        <f>SUM(O222,O232)</f>
        <v>0</v>
      </c>
      <c r="P242" s="226">
        <f>SUM(P222,P232)</f>
        <v>0</v>
      </c>
      <c r="Q242" s="227">
        <f>SUM(N242:P242)</f>
        <v>0</v>
      </c>
      <c r="R242" s="226">
        <f>SUM(R222,R232)</f>
        <v>0</v>
      </c>
      <c r="S242" s="226">
        <f>SUM(S222,S232)</f>
        <v>0</v>
      </c>
      <c r="T242" s="226">
        <f>SUM(T222,T232)</f>
        <v>0</v>
      </c>
      <c r="U242" s="227">
        <f>SUM(R242:T242)</f>
        <v>0</v>
      </c>
      <c r="V242" s="226">
        <f>SUM(V222,V232)</f>
        <v>0</v>
      </c>
      <c r="W242" s="226">
        <f>SUM(W222,W232)</f>
        <v>0</v>
      </c>
      <c r="X242" s="226">
        <f>SUM(X222,X232)</f>
        <v>0</v>
      </c>
      <c r="Y242" s="227">
        <f>SUM(V242:X242)</f>
        <v>0</v>
      </c>
    </row>
    <row r="243" spans="1:25" ht="12.75" hidden="1" customHeight="1" outlineLevel="2" x14ac:dyDescent="0.2">
      <c r="A243" s="198" t="str">
        <f>"         "&amp;Labels!B100</f>
        <v xml:space="preserve">         Gross Margin %</v>
      </c>
      <c r="B243" s="233">
        <f>IF(Practices!B49=0,0,B242/Practices!B49)</f>
        <v>0</v>
      </c>
      <c r="C243" s="233">
        <f>IF(Practices!C49=0,0,C242/Practices!C49)</f>
        <v>0</v>
      </c>
      <c r="D243" s="233">
        <f>IF(Practices!D49=0,0,D242/Practices!D49)</f>
        <v>1</v>
      </c>
      <c r="E243" s="234">
        <f>IF(SUM(Practices!B49:D49)=0,0,SUM(B242:D242)/SUM(Practices!B49:D49))</f>
        <v>1</v>
      </c>
      <c r="F243" s="233">
        <f>IF(Practices!F49=0,0,F242/Practices!F49)</f>
        <v>1</v>
      </c>
      <c r="G243" s="233">
        <f>IF(Practices!G49=0,0,G242/Practices!G49)</f>
        <v>0</v>
      </c>
      <c r="H243" s="233">
        <f>IF(Practices!H49=0,0,H242/Practices!H49)</f>
        <v>1</v>
      </c>
      <c r="I243" s="234">
        <f>IF(SUM(Practices!F49:H49)=0,0,SUM(F242:H242)/SUM(Practices!F49:H49))</f>
        <v>1</v>
      </c>
      <c r="J243" s="233">
        <f>IF(Practices!J49=0,0,J242/Practices!J49)</f>
        <v>1</v>
      </c>
      <c r="K243" s="233">
        <f>IF(Practices!K49=0,0,K242/Practices!K49)</f>
        <v>0.82293380026791985</v>
      </c>
      <c r="L243" s="233">
        <f>IF(Practices!L49=0,0,L242/Practices!L49)</f>
        <v>0</v>
      </c>
      <c r="M243" s="234">
        <f>IF(SUM(Practices!J49:L49)=0,0,SUM(J242:L242)/SUM(Practices!J49:L49))</f>
        <v>0.91146690013396003</v>
      </c>
      <c r="N243" s="233">
        <f>IF(Practices!N49=0,0,N242/Practices!N49)</f>
        <v>0</v>
      </c>
      <c r="O243" s="233">
        <f>IF(Practices!O49=0,0,O242/Practices!O49)</f>
        <v>0</v>
      </c>
      <c r="P243" s="233">
        <f>IF(Practices!P49=0,0,P242/Practices!P49)</f>
        <v>0</v>
      </c>
      <c r="Q243" s="234">
        <f>IF(SUM(Practices!N49:P49)=0,0,SUM(N242:P242)/SUM(Practices!N49:P49))</f>
        <v>0</v>
      </c>
      <c r="R243" s="233">
        <f>IF(Practices!R49=0,0,R242/Practices!R49)</f>
        <v>0</v>
      </c>
      <c r="S243" s="233">
        <f>IF(Practices!S49=0,0,S242/Practices!S49)</f>
        <v>0</v>
      </c>
      <c r="T243" s="233">
        <f>IF(Practices!T49=0,0,T242/Practices!T49)</f>
        <v>0</v>
      </c>
      <c r="U243" s="234">
        <f>IF(SUM(Practices!R49:T49)=0,0,SUM(R242:T242)/SUM(Practices!R49:T49))</f>
        <v>0</v>
      </c>
      <c r="V243" s="233">
        <f>IF(Practices!V49=0,0,V242/Practices!V49)</f>
        <v>0</v>
      </c>
      <c r="W243" s="233">
        <f>IF(Practices!W49=0,0,W242/Practices!W49)</f>
        <v>0</v>
      </c>
      <c r="X243" s="233">
        <f>IF(Practices!X49=0,0,X242/Practices!X49)</f>
        <v>0</v>
      </c>
      <c r="Y243" s="234">
        <f>IF(SUM(Practices!V49:X49)=0,0,SUM(V242:X242)/SUM(Practices!V49:X49))</f>
        <v>0</v>
      </c>
    </row>
    <row r="244" spans="1:25" ht="12.75" hidden="1" customHeight="1" outlineLevel="2" x14ac:dyDescent="0.2">
      <c r="A244" s="188" t="str">
        <f>"      "&amp;Labels!C316</f>
        <v xml:space="preserve">      Total</v>
      </c>
      <c r="B244" s="31"/>
      <c r="C244" s="31"/>
      <c r="D244" s="31"/>
      <c r="E244" s="188"/>
      <c r="F244" s="31"/>
      <c r="G244" s="31"/>
      <c r="H244" s="31"/>
      <c r="I244" s="188"/>
      <c r="J244" s="31"/>
      <c r="K244" s="31"/>
      <c r="L244" s="31"/>
      <c r="M244" s="188"/>
      <c r="N244" s="31"/>
      <c r="O244" s="31"/>
      <c r="P244" s="31"/>
      <c r="Q244" s="188"/>
      <c r="R244" s="31"/>
      <c r="S244" s="31"/>
      <c r="T244" s="31"/>
      <c r="U244" s="188"/>
      <c r="V244" s="31"/>
      <c r="W244" s="31"/>
      <c r="X244" s="31"/>
      <c r="Y244" s="188"/>
    </row>
    <row r="245" spans="1:25" ht="12.75" hidden="1" customHeight="1" outlineLevel="2" x14ac:dyDescent="0.2">
      <c r="A245" s="198" t="str">
        <f>"         "&amp;Labels!B98</f>
        <v xml:space="preserve">         Gross Margin</v>
      </c>
      <c r="B245" s="226">
        <f>SUM(B225,B235)</f>
        <v>0</v>
      </c>
      <c r="C245" s="226">
        <f>SUM(C225,C235)</f>
        <v>0</v>
      </c>
      <c r="D245" s="226">
        <f>SUM(D225,D235)</f>
        <v>110000</v>
      </c>
      <c r="E245" s="227">
        <f>SUM(B245:D245)</f>
        <v>110000</v>
      </c>
      <c r="F245" s="226">
        <f>SUM(F225,F235)</f>
        <v>110000</v>
      </c>
      <c r="G245" s="226">
        <f>SUM(G225,G235)</f>
        <v>0</v>
      </c>
      <c r="H245" s="226">
        <f>SUM(H225,H235)</f>
        <v>80000</v>
      </c>
      <c r="I245" s="227">
        <f>SUM(F245:H245)</f>
        <v>190000</v>
      </c>
      <c r="J245" s="226">
        <f>SUM(J225,J235)</f>
        <v>51739.107028939994</v>
      </c>
      <c r="K245" s="226">
        <f>SUM(K225,K235)</f>
        <v>37504.112064300745</v>
      </c>
      <c r="L245" s="226">
        <f>SUM(L225,L235)</f>
        <v>0</v>
      </c>
      <c r="M245" s="227">
        <f>SUM(J245:L245)</f>
        <v>89243.219093240739</v>
      </c>
      <c r="N245" s="226">
        <f>SUM(N225,N235)</f>
        <v>0</v>
      </c>
      <c r="O245" s="226">
        <f>SUM(O225,O235)</f>
        <v>0</v>
      </c>
      <c r="P245" s="226">
        <f>SUM(P225,P235)</f>
        <v>0</v>
      </c>
      <c r="Q245" s="227">
        <f>SUM(N245:P245)</f>
        <v>0</v>
      </c>
      <c r="R245" s="226">
        <f>SUM(R225,R235)</f>
        <v>0</v>
      </c>
      <c r="S245" s="226">
        <f>SUM(S225,S235)</f>
        <v>0</v>
      </c>
      <c r="T245" s="226">
        <f>SUM(T225,T235)</f>
        <v>0</v>
      </c>
      <c r="U245" s="227">
        <f>SUM(R245:T245)</f>
        <v>0</v>
      </c>
      <c r="V245" s="226">
        <f>SUM(V225,V235)</f>
        <v>0</v>
      </c>
      <c r="W245" s="226">
        <f>SUM(W225,W235)</f>
        <v>0</v>
      </c>
      <c r="X245" s="226">
        <f>SUM(X225,X235)</f>
        <v>0</v>
      </c>
      <c r="Y245" s="227">
        <f>SUM(V245:X245)</f>
        <v>0</v>
      </c>
    </row>
    <row r="246" spans="1:25" ht="12.75" hidden="1" customHeight="1" outlineLevel="2" x14ac:dyDescent="0.2">
      <c r="A246" s="198" t="str">
        <f>"         "&amp;Labels!B100</f>
        <v xml:space="preserve">         Gross Margin %</v>
      </c>
      <c r="B246" s="233">
        <f>IF(Practices!B9=0,0,B245/Practices!B9)</f>
        <v>0</v>
      </c>
      <c r="C246" s="233">
        <f>IF(Practices!C9=0,0,C245/Practices!C9)</f>
        <v>0</v>
      </c>
      <c r="D246" s="233">
        <f>IF(Practices!D9=0,0,D245/Practices!D9)</f>
        <v>0.97560975609756095</v>
      </c>
      <c r="E246" s="234">
        <f>IF(SUM(Practices!B9:D9)=0,0,SUM(B245:D245)/SUM(Practices!B9:D9))</f>
        <v>0.97560975609756095</v>
      </c>
      <c r="F246" s="233">
        <f>IF(Practices!F9=0,0,F245/Practices!F9)</f>
        <v>0.97560975609756095</v>
      </c>
      <c r="G246" s="233">
        <f>IF(Practices!G9=0,0,G245/Practices!G9)</f>
        <v>0</v>
      </c>
      <c r="H246" s="233">
        <f>IF(Practices!H9=0,0,H245/Practices!H9)</f>
        <v>0.97560975609756095</v>
      </c>
      <c r="I246" s="234">
        <f>IF(SUM(Practices!F9:H9)=0,0,SUM(F245:H245)/SUM(Practices!F9:H9))</f>
        <v>0.97560975609756095</v>
      </c>
      <c r="J246" s="233">
        <f>IF(Practices!J9=0,0,J245/Practices!J9)</f>
        <v>0.63096471986512193</v>
      </c>
      <c r="K246" s="233">
        <f>IF(Practices!K9=0,0,K245/Practices!K9)</f>
        <v>0.45736722029635057</v>
      </c>
      <c r="L246" s="233">
        <f>IF(Practices!L9=0,0,L245/Practices!L9)</f>
        <v>0</v>
      </c>
      <c r="M246" s="234">
        <f>IF(SUM(Practices!J9:L9)=0,0,SUM(J245:L245)/SUM(Practices!J9:L9))</f>
        <v>0.54416597008073619</v>
      </c>
      <c r="N246" s="233">
        <f>IF(Practices!N9=0,0,N245/Practices!N9)</f>
        <v>0</v>
      </c>
      <c r="O246" s="233">
        <f>IF(Practices!O9=0,0,O245/Practices!O9)</f>
        <v>0</v>
      </c>
      <c r="P246" s="233">
        <f>IF(Practices!P9=0,0,P245/Practices!P9)</f>
        <v>0</v>
      </c>
      <c r="Q246" s="234">
        <f>IF(SUM(Practices!N9:P9)=0,0,SUM(N245:P245)/SUM(Practices!N9:P9))</f>
        <v>0</v>
      </c>
      <c r="R246" s="233">
        <f>IF(Practices!R9=0,0,R245/Practices!R9)</f>
        <v>0</v>
      </c>
      <c r="S246" s="233">
        <f>IF(Practices!S9=0,0,S245/Practices!S9)</f>
        <v>0</v>
      </c>
      <c r="T246" s="233">
        <f>IF(Practices!T9=0,0,T245/Practices!T9)</f>
        <v>0</v>
      </c>
      <c r="U246" s="234">
        <f>IF(SUM(Practices!R9:T9)=0,0,SUM(R245:T245)/SUM(Practices!R9:T9))</f>
        <v>0</v>
      </c>
      <c r="V246" s="233">
        <f>IF(Practices!V9=0,0,V245/Practices!V9)</f>
        <v>0</v>
      </c>
      <c r="W246" s="233">
        <f>IF(Practices!W9=0,0,W245/Practices!W9)</f>
        <v>0</v>
      </c>
      <c r="X246" s="233">
        <f>IF(Practices!X9=0,0,X245/Practices!X9)</f>
        <v>0</v>
      </c>
      <c r="Y246" s="234">
        <f>IF(SUM(Practices!V9:X9)=0,0,SUM(V245:X245)/SUM(Practices!V9:X9))</f>
        <v>0</v>
      </c>
    </row>
    <row r="247" spans="1:25" ht="12.75" hidden="1" customHeight="1" outlineLevel="2" x14ac:dyDescent="0.2">
      <c r="A247" s="191" t="str">
        <f>Labels!B382</f>
        <v>Practice 2</v>
      </c>
      <c r="B247" s="3"/>
      <c r="C247" s="3"/>
      <c r="D247" s="3"/>
      <c r="E247" s="191"/>
      <c r="F247" s="3"/>
      <c r="G247" s="3"/>
      <c r="H247" s="3"/>
      <c r="I247" s="191"/>
      <c r="J247" s="3"/>
      <c r="K247" s="3"/>
      <c r="L247" s="3"/>
      <c r="M247" s="191"/>
      <c r="N247" s="3"/>
      <c r="O247" s="3"/>
      <c r="P247" s="3"/>
      <c r="Q247" s="191"/>
      <c r="R247" s="3"/>
      <c r="S247" s="3"/>
      <c r="T247" s="3"/>
      <c r="U247" s="191"/>
      <c r="V247" s="3"/>
      <c r="W247" s="3"/>
      <c r="X247" s="3"/>
      <c r="Y247" s="191"/>
    </row>
    <row r="248" spans="1:25" ht="12.75" hidden="1" customHeight="1" outlineLevel="2" x14ac:dyDescent="0.2">
      <c r="A248" s="188" t="str">
        <f>"   "&amp;Labels!B385</f>
        <v xml:space="preserve">   Prof Level 1</v>
      </c>
      <c r="B248" s="31"/>
      <c r="C248" s="31"/>
      <c r="D248" s="31"/>
      <c r="E248" s="188"/>
      <c r="F248" s="31"/>
      <c r="G248" s="31"/>
      <c r="H248" s="31"/>
      <c r="I248" s="188"/>
      <c r="J248" s="31"/>
      <c r="K248" s="31"/>
      <c r="L248" s="31"/>
      <c r="M248" s="188"/>
      <c r="N248" s="31"/>
      <c r="O248" s="31"/>
      <c r="P248" s="31"/>
      <c r="Q248" s="188"/>
      <c r="R248" s="31"/>
      <c r="S248" s="31"/>
      <c r="T248" s="31"/>
      <c r="U248" s="188"/>
      <c r="V248" s="31"/>
      <c r="W248" s="31"/>
      <c r="X248" s="31"/>
      <c r="Y248" s="188"/>
    </row>
    <row r="249" spans="1:25" ht="12.75" hidden="1" customHeight="1" outlineLevel="2" x14ac:dyDescent="0.2">
      <c r="A249" s="198" t="str">
        <f>"      "&amp;Labels!B317</f>
        <v xml:space="preserve">      Channels 1</v>
      </c>
      <c r="B249" s="43"/>
      <c r="C249" s="43"/>
      <c r="D249" s="43"/>
      <c r="E249" s="198"/>
      <c r="F249" s="43"/>
      <c r="G249" s="43"/>
      <c r="H249" s="43"/>
      <c r="I249" s="198"/>
      <c r="J249" s="43"/>
      <c r="K249" s="43"/>
      <c r="L249" s="43"/>
      <c r="M249" s="198"/>
      <c r="N249" s="43"/>
      <c r="O249" s="43"/>
      <c r="P249" s="43"/>
      <c r="Q249" s="198"/>
      <c r="R249" s="43"/>
      <c r="S249" s="43"/>
      <c r="T249" s="43"/>
      <c r="U249" s="198"/>
      <c r="V249" s="43"/>
      <c r="W249" s="43"/>
      <c r="X249" s="43"/>
      <c r="Y249" s="198"/>
    </row>
    <row r="250" spans="1:25" ht="12.75" hidden="1" customHeight="1" outlineLevel="2" x14ac:dyDescent="0.2">
      <c r="A250" s="198" t="str">
        <f>"         "&amp;Labels!B98</f>
        <v xml:space="preserve">         Gross Margin</v>
      </c>
      <c r="B250" s="226">
        <f>Sales!B122-Practices!B82/2-B394/2</f>
        <v>0</v>
      </c>
      <c r="C250" s="226">
        <f>Sales!C122-Practices!C82/2-C394/2</f>
        <v>0</v>
      </c>
      <c r="D250" s="226">
        <f>Sales!D122-Practices!D82/2-D394/2</f>
        <v>0</v>
      </c>
      <c r="E250" s="227">
        <f>SUM(B250:D250)</f>
        <v>0</v>
      </c>
      <c r="F250" s="226">
        <f>Sales!F122-Practices!F82/2-F394/2</f>
        <v>0</v>
      </c>
      <c r="G250" s="226">
        <f>Sales!G122-Practices!G82/2-G394/2</f>
        <v>0</v>
      </c>
      <c r="H250" s="226">
        <f>Sales!H122-Practices!H82/2-H394/2</f>
        <v>0</v>
      </c>
      <c r="I250" s="227">
        <f>SUM(F250:H250)</f>
        <v>0</v>
      </c>
      <c r="J250" s="226">
        <f>Sales!J122-Practices!J82/2-J394/2</f>
        <v>0</v>
      </c>
      <c r="K250" s="226">
        <f>Sales!K122-Practices!K82/2-K394/2</f>
        <v>0</v>
      </c>
      <c r="L250" s="226">
        <f>Sales!L122-Practices!L82/2-L394/2</f>
        <v>0</v>
      </c>
      <c r="M250" s="227">
        <f>SUM(J250:L250)</f>
        <v>0</v>
      </c>
      <c r="N250" s="226">
        <f>Sales!N122-Practices!N82/2-N394/2</f>
        <v>0</v>
      </c>
      <c r="O250" s="226">
        <f>Sales!O122-Practices!O82/2-O394/2</f>
        <v>0</v>
      </c>
      <c r="P250" s="226">
        <f>Sales!P122-Practices!P82/2-P394/2</f>
        <v>0</v>
      </c>
      <c r="Q250" s="227">
        <f>SUM(N250:P250)</f>
        <v>0</v>
      </c>
      <c r="R250" s="226">
        <f>Sales!R122-Practices!R82/2-R394/2</f>
        <v>0</v>
      </c>
      <c r="S250" s="226">
        <f>Sales!S122-Practices!S82/2-S394/2</f>
        <v>0</v>
      </c>
      <c r="T250" s="226">
        <f>Sales!T122-Practices!T82/2-T394/2</f>
        <v>0</v>
      </c>
      <c r="U250" s="227">
        <f>SUM(R250:T250)</f>
        <v>0</v>
      </c>
      <c r="V250" s="226">
        <f>Sales!V122-Practices!V82/2-V394/2</f>
        <v>0</v>
      </c>
      <c r="W250" s="226">
        <f>Sales!W122-Practices!W82/2-W394/2</f>
        <v>0</v>
      </c>
      <c r="X250" s="226">
        <f>Sales!X122-Practices!X82/2-X394/2</f>
        <v>0</v>
      </c>
      <c r="Y250" s="227">
        <f>SUM(V250:X250)</f>
        <v>0</v>
      </c>
    </row>
    <row r="251" spans="1:25" ht="12.75" hidden="1" customHeight="1" outlineLevel="2" x14ac:dyDescent="0.2">
      <c r="A251" s="198" t="str">
        <f>"         "&amp;Labels!B100</f>
        <v xml:space="preserve">         Gross Margin %</v>
      </c>
      <c r="B251" s="233">
        <f>IF(Sales!B122=0,0,B250/Sales!B122)</f>
        <v>0</v>
      </c>
      <c r="C251" s="233">
        <f>IF(Sales!C122=0,0,C250/Sales!C122)</f>
        <v>0</v>
      </c>
      <c r="D251" s="233">
        <f>IF(Sales!D122=0,0,D250/Sales!D122)</f>
        <v>0</v>
      </c>
      <c r="E251" s="234">
        <f>IF(SUM(Sales!B122:D122)=0,0,SUM(B250:D250)/SUM(Sales!B122:D122))</f>
        <v>0</v>
      </c>
      <c r="F251" s="233">
        <f>IF(Sales!F122=0,0,F250/Sales!F122)</f>
        <v>0</v>
      </c>
      <c r="G251" s="233">
        <f>IF(Sales!G122=0,0,G250/Sales!G122)</f>
        <v>0</v>
      </c>
      <c r="H251" s="233">
        <f>IF(Sales!H122=0,0,H250/Sales!H122)</f>
        <v>0</v>
      </c>
      <c r="I251" s="234">
        <f>IF(SUM(Sales!F122:H122)=0,0,SUM(F250:H250)/SUM(Sales!F122:H122))</f>
        <v>0</v>
      </c>
      <c r="J251" s="233">
        <f>IF(Sales!J122=0,0,J250/Sales!J122)</f>
        <v>0</v>
      </c>
      <c r="K251" s="233">
        <f>IF(Sales!K122=0,0,K250/Sales!K122)</f>
        <v>0</v>
      </c>
      <c r="L251" s="233">
        <f>IF(Sales!L122=0,0,L250/Sales!L122)</f>
        <v>0</v>
      </c>
      <c r="M251" s="234">
        <f>IF(SUM(Sales!J122:L122)=0,0,SUM(J250:L250)/SUM(Sales!J122:L122))</f>
        <v>0</v>
      </c>
      <c r="N251" s="233">
        <f>IF(Sales!N122=0,0,N250/Sales!N122)</f>
        <v>0</v>
      </c>
      <c r="O251" s="233">
        <f>IF(Sales!O122=0,0,O250/Sales!O122)</f>
        <v>0</v>
      </c>
      <c r="P251" s="233">
        <f>IF(Sales!P122=0,0,P250/Sales!P122)</f>
        <v>0</v>
      </c>
      <c r="Q251" s="234">
        <f>IF(SUM(Sales!N122:P122)=0,0,SUM(N250:P250)/SUM(Sales!N122:P122))</f>
        <v>0</v>
      </c>
      <c r="R251" s="233">
        <f>IF(Sales!R122=0,0,R250/Sales!R122)</f>
        <v>0</v>
      </c>
      <c r="S251" s="233">
        <f>IF(Sales!S122=0,0,S250/Sales!S122)</f>
        <v>0</v>
      </c>
      <c r="T251" s="233">
        <f>IF(Sales!T122=0,0,T250/Sales!T122)</f>
        <v>0</v>
      </c>
      <c r="U251" s="234">
        <f>IF(SUM(Sales!R122:T122)=0,0,SUM(R250:T250)/SUM(Sales!R122:T122))</f>
        <v>0</v>
      </c>
      <c r="V251" s="233">
        <f>IF(Sales!V122=0,0,V250/Sales!V122)</f>
        <v>0</v>
      </c>
      <c r="W251" s="233">
        <f>IF(Sales!W122=0,0,W250/Sales!W122)</f>
        <v>0</v>
      </c>
      <c r="X251" s="233">
        <f>IF(Sales!X122=0,0,X250/Sales!X122)</f>
        <v>0</v>
      </c>
      <c r="Y251" s="234">
        <f>IF(SUM(Sales!V122:X122)=0,0,SUM(V250:X250)/SUM(Sales!V122:X122))</f>
        <v>0</v>
      </c>
    </row>
    <row r="252" spans="1:25" ht="12.75" hidden="1" customHeight="1" outlineLevel="2" x14ac:dyDescent="0.2">
      <c r="A252" s="198" t="str">
        <f>"      "&amp;Labels!B318</f>
        <v xml:space="preserve">      Channels 2</v>
      </c>
      <c r="B252" s="43"/>
      <c r="C252" s="43"/>
      <c r="D252" s="43"/>
      <c r="E252" s="198"/>
      <c r="F252" s="43"/>
      <c r="G252" s="43"/>
      <c r="H252" s="43"/>
      <c r="I252" s="198"/>
      <c r="J252" s="43"/>
      <c r="K252" s="43"/>
      <c r="L252" s="43"/>
      <c r="M252" s="198"/>
      <c r="N252" s="43"/>
      <c r="O252" s="43"/>
      <c r="P252" s="43"/>
      <c r="Q252" s="198"/>
      <c r="R252" s="43"/>
      <c r="S252" s="43"/>
      <c r="T252" s="43"/>
      <c r="U252" s="198"/>
      <c r="V252" s="43"/>
      <c r="W252" s="43"/>
      <c r="X252" s="43"/>
      <c r="Y252" s="198"/>
    </row>
    <row r="253" spans="1:25" ht="12.75" hidden="1" customHeight="1" outlineLevel="2" x14ac:dyDescent="0.2">
      <c r="A253" s="198" t="str">
        <f>"         "&amp;Labels!B98</f>
        <v xml:space="preserve">         Gross Margin</v>
      </c>
      <c r="B253" s="226">
        <f>Sales!B123-Practices!B87/2-B394/2</f>
        <v>0</v>
      </c>
      <c r="C253" s="226">
        <f>Sales!C123-Practices!C87/2-C394/2</f>
        <v>0</v>
      </c>
      <c r="D253" s="226">
        <f>Sales!D123-Practices!D87/2-D394/2</f>
        <v>0</v>
      </c>
      <c r="E253" s="227">
        <f>SUM(B253:D253)</f>
        <v>0</v>
      </c>
      <c r="F253" s="226">
        <f>Sales!F123-Practices!F87/2-F394/2</f>
        <v>0</v>
      </c>
      <c r="G253" s="226">
        <f>Sales!G123-Practices!G87/2-G394/2</f>
        <v>0</v>
      </c>
      <c r="H253" s="226">
        <f>Sales!H123-Practices!H87/2-H394/2</f>
        <v>0</v>
      </c>
      <c r="I253" s="227">
        <f>SUM(F253:H253)</f>
        <v>0</v>
      </c>
      <c r="J253" s="226">
        <f>Sales!J123-Practices!J87/2-J394/2</f>
        <v>0</v>
      </c>
      <c r="K253" s="226">
        <f>Sales!K123-Practices!K87/2-K394/2</f>
        <v>0</v>
      </c>
      <c r="L253" s="226">
        <f>Sales!L123-Practices!L87/2-L394/2</f>
        <v>0</v>
      </c>
      <c r="M253" s="227">
        <f>SUM(J253:L253)</f>
        <v>0</v>
      </c>
      <c r="N253" s="226">
        <f>Sales!N123-Practices!N87/2-N394/2</f>
        <v>0</v>
      </c>
      <c r="O253" s="226">
        <f>Sales!O123-Practices!O87/2-O394/2</f>
        <v>0</v>
      </c>
      <c r="P253" s="226">
        <f>Sales!P123-Practices!P87/2-P394/2</f>
        <v>0</v>
      </c>
      <c r="Q253" s="227">
        <f>SUM(N253:P253)</f>
        <v>0</v>
      </c>
      <c r="R253" s="226">
        <f>Sales!R123-Practices!R87/2-R394/2</f>
        <v>0</v>
      </c>
      <c r="S253" s="226">
        <f>Sales!S123-Practices!S87/2-S394/2</f>
        <v>0</v>
      </c>
      <c r="T253" s="226">
        <f>Sales!T123-Practices!T87/2-T394/2</f>
        <v>0</v>
      </c>
      <c r="U253" s="227">
        <f>SUM(R253:T253)</f>
        <v>0</v>
      </c>
      <c r="V253" s="226">
        <f>Sales!V123-Practices!V87/2-V394/2</f>
        <v>0</v>
      </c>
      <c r="W253" s="226">
        <f>Sales!W123-Practices!W87/2-W394/2</f>
        <v>0</v>
      </c>
      <c r="X253" s="226">
        <f>Sales!X123-Practices!X87/2-X394/2</f>
        <v>0</v>
      </c>
      <c r="Y253" s="227">
        <f>SUM(V253:X253)</f>
        <v>0</v>
      </c>
    </row>
    <row r="254" spans="1:25" ht="12.75" hidden="1" customHeight="1" outlineLevel="2" x14ac:dyDescent="0.2">
      <c r="A254" s="198" t="str">
        <f>"         "&amp;Labels!B100</f>
        <v xml:space="preserve">         Gross Margin %</v>
      </c>
      <c r="B254" s="233">
        <f>IF(Sales!B123=0,0,B253/Sales!B123)</f>
        <v>0</v>
      </c>
      <c r="C254" s="233">
        <f>IF(Sales!C123=0,0,C253/Sales!C123)</f>
        <v>0</v>
      </c>
      <c r="D254" s="233">
        <f>IF(Sales!D123=0,0,D253/Sales!D123)</f>
        <v>0</v>
      </c>
      <c r="E254" s="234">
        <f>IF(SUM(Sales!B123:D123)=0,0,SUM(B253:D253)/SUM(Sales!B123:D123))</f>
        <v>0</v>
      </c>
      <c r="F254" s="233">
        <f>IF(Sales!F123=0,0,F253/Sales!F123)</f>
        <v>0</v>
      </c>
      <c r="G254" s="233">
        <f>IF(Sales!G123=0,0,G253/Sales!G123)</f>
        <v>0</v>
      </c>
      <c r="H254" s="233">
        <f>IF(Sales!H123=0,0,H253/Sales!H123)</f>
        <v>0</v>
      </c>
      <c r="I254" s="234">
        <f>IF(SUM(Sales!F123:H123)=0,0,SUM(F253:H253)/SUM(Sales!F123:H123))</f>
        <v>0</v>
      </c>
      <c r="J254" s="233">
        <f>IF(Sales!J123=0,0,J253/Sales!J123)</f>
        <v>0</v>
      </c>
      <c r="K254" s="233">
        <f>IF(Sales!K123=0,0,K253/Sales!K123)</f>
        <v>0</v>
      </c>
      <c r="L254" s="233">
        <f>IF(Sales!L123=0,0,L253/Sales!L123)</f>
        <v>0</v>
      </c>
      <c r="M254" s="234">
        <f>IF(SUM(Sales!J123:L123)=0,0,SUM(J253:L253)/SUM(Sales!J123:L123))</f>
        <v>0</v>
      </c>
      <c r="N254" s="233">
        <f>IF(Sales!N123=0,0,N253/Sales!N123)</f>
        <v>0</v>
      </c>
      <c r="O254" s="233">
        <f>IF(Sales!O123=0,0,O253/Sales!O123)</f>
        <v>0</v>
      </c>
      <c r="P254" s="233">
        <f>IF(Sales!P123=0,0,P253/Sales!P123)</f>
        <v>0</v>
      </c>
      <c r="Q254" s="234">
        <f>IF(SUM(Sales!N123:P123)=0,0,SUM(N253:P253)/SUM(Sales!N123:P123))</f>
        <v>0</v>
      </c>
      <c r="R254" s="233">
        <f>IF(Sales!R123=0,0,R253/Sales!R123)</f>
        <v>0</v>
      </c>
      <c r="S254" s="233">
        <f>IF(Sales!S123=0,0,S253/Sales!S123)</f>
        <v>0</v>
      </c>
      <c r="T254" s="233">
        <f>IF(Sales!T123=0,0,T253/Sales!T123)</f>
        <v>0</v>
      </c>
      <c r="U254" s="234">
        <f>IF(SUM(Sales!R123:T123)=0,0,SUM(R253:T253)/SUM(Sales!R123:T123))</f>
        <v>0</v>
      </c>
      <c r="V254" s="233">
        <f>IF(Sales!V123=0,0,V253/Sales!V123)</f>
        <v>0</v>
      </c>
      <c r="W254" s="233">
        <f>IF(Sales!W123=0,0,W253/Sales!W123)</f>
        <v>0</v>
      </c>
      <c r="X254" s="233">
        <f>IF(Sales!X123=0,0,X253/Sales!X123)</f>
        <v>0</v>
      </c>
      <c r="Y254" s="234">
        <f>IF(SUM(Sales!V123:X123)=0,0,SUM(V253:X253)/SUM(Sales!V123:X123))</f>
        <v>0</v>
      </c>
    </row>
    <row r="255" spans="1:25" ht="12.75" hidden="1" customHeight="1" outlineLevel="2" x14ac:dyDescent="0.2">
      <c r="A255" s="188" t="str">
        <f>"      "&amp;Labels!C316</f>
        <v xml:space="preserve">      Total</v>
      </c>
      <c r="B255" s="31"/>
      <c r="C255" s="31"/>
      <c r="D255" s="31"/>
      <c r="E255" s="188"/>
      <c r="F255" s="31"/>
      <c r="G255" s="31"/>
      <c r="H255" s="31"/>
      <c r="I255" s="188"/>
      <c r="J255" s="31"/>
      <c r="K255" s="31"/>
      <c r="L255" s="31"/>
      <c r="M255" s="188"/>
      <c r="N255" s="31"/>
      <c r="O255" s="31"/>
      <c r="P255" s="31"/>
      <c r="Q255" s="188"/>
      <c r="R255" s="31"/>
      <c r="S255" s="31"/>
      <c r="T255" s="31"/>
      <c r="U255" s="188"/>
      <c r="V255" s="31"/>
      <c r="W255" s="31"/>
      <c r="X255" s="31"/>
      <c r="Y255" s="188"/>
    </row>
    <row r="256" spans="1:25" ht="12.75" hidden="1" customHeight="1" outlineLevel="2" x14ac:dyDescent="0.2">
      <c r="A256" s="198" t="str">
        <f>"         "&amp;Labels!B98</f>
        <v xml:space="preserve">         Gross Margin</v>
      </c>
      <c r="B256" s="226">
        <f>SUM(B250,B253)</f>
        <v>0</v>
      </c>
      <c r="C256" s="226">
        <f>SUM(C250,C253)</f>
        <v>0</v>
      </c>
      <c r="D256" s="226">
        <f>SUM(D250,D253)</f>
        <v>0</v>
      </c>
      <c r="E256" s="227">
        <f>SUM(B256:D256)</f>
        <v>0</v>
      </c>
      <c r="F256" s="226">
        <f>SUM(F250,F253)</f>
        <v>0</v>
      </c>
      <c r="G256" s="226">
        <f>SUM(G250,G253)</f>
        <v>0</v>
      </c>
      <c r="H256" s="226">
        <f>SUM(H250,H253)</f>
        <v>0</v>
      </c>
      <c r="I256" s="227">
        <f>SUM(F256:H256)</f>
        <v>0</v>
      </c>
      <c r="J256" s="226">
        <f>SUM(J250,J253)</f>
        <v>0</v>
      </c>
      <c r="K256" s="226">
        <f>SUM(K250,K253)</f>
        <v>0</v>
      </c>
      <c r="L256" s="226">
        <f>SUM(L250,L253)</f>
        <v>0</v>
      </c>
      <c r="M256" s="227">
        <f>SUM(J256:L256)</f>
        <v>0</v>
      </c>
      <c r="N256" s="226">
        <f>SUM(N250,N253)</f>
        <v>0</v>
      </c>
      <c r="O256" s="226">
        <f>SUM(O250,O253)</f>
        <v>0</v>
      </c>
      <c r="P256" s="226">
        <f>SUM(P250,P253)</f>
        <v>0</v>
      </c>
      <c r="Q256" s="227">
        <f>SUM(N256:P256)</f>
        <v>0</v>
      </c>
      <c r="R256" s="226">
        <f>SUM(R250,R253)</f>
        <v>0</v>
      </c>
      <c r="S256" s="226">
        <f>SUM(S250,S253)</f>
        <v>0</v>
      </c>
      <c r="T256" s="226">
        <f>SUM(T250,T253)</f>
        <v>0</v>
      </c>
      <c r="U256" s="227">
        <f>SUM(R256:T256)</f>
        <v>0</v>
      </c>
      <c r="V256" s="226">
        <f>SUM(V250,V253)</f>
        <v>0</v>
      </c>
      <c r="W256" s="226">
        <f>SUM(W250,W253)</f>
        <v>0</v>
      </c>
      <c r="X256" s="226">
        <f>SUM(X250,X253)</f>
        <v>0</v>
      </c>
      <c r="Y256" s="227">
        <f>SUM(V256:X256)</f>
        <v>0</v>
      </c>
    </row>
    <row r="257" spans="1:25" ht="12.75" hidden="1" customHeight="1" outlineLevel="2" x14ac:dyDescent="0.2">
      <c r="A257" s="198" t="str">
        <f>"         "&amp;Labels!B100</f>
        <v xml:space="preserve">         Gross Margin %</v>
      </c>
      <c r="B257" s="233">
        <f>IF(Practices!B183=0,0,B256/Practices!B183)</f>
        <v>0</v>
      </c>
      <c r="C257" s="233">
        <f>IF(Practices!C183=0,0,C256/Practices!C183)</f>
        <v>0</v>
      </c>
      <c r="D257" s="233">
        <f>IF(Practices!D183=0,0,D256/Practices!D183)</f>
        <v>0</v>
      </c>
      <c r="E257" s="234">
        <f>IF(SUM(Practices!B183:D183)=0,0,SUM(B256:D256)/SUM(Practices!B183:D183))</f>
        <v>0</v>
      </c>
      <c r="F257" s="233">
        <f>IF(Practices!F183=0,0,F256/Practices!F183)</f>
        <v>0</v>
      </c>
      <c r="G257" s="233">
        <f>IF(Practices!G183=0,0,G256/Practices!G183)</f>
        <v>0</v>
      </c>
      <c r="H257" s="233">
        <f>IF(Practices!H183=0,0,H256/Practices!H183)</f>
        <v>0</v>
      </c>
      <c r="I257" s="234">
        <f>IF(SUM(Practices!F183:H183)=0,0,SUM(F256:H256)/SUM(Practices!F183:H183))</f>
        <v>0</v>
      </c>
      <c r="J257" s="233">
        <f>IF(Practices!J183=0,0,J256/Practices!J183)</f>
        <v>0</v>
      </c>
      <c r="K257" s="233">
        <f>IF(Practices!K183=0,0,K256/Practices!K183)</f>
        <v>0</v>
      </c>
      <c r="L257" s="233">
        <f>IF(Practices!L183=0,0,L256/Practices!L183)</f>
        <v>0</v>
      </c>
      <c r="M257" s="234">
        <f>IF(SUM(Practices!J183:L183)=0,0,SUM(J256:L256)/SUM(Practices!J183:L183))</f>
        <v>0</v>
      </c>
      <c r="N257" s="233">
        <f>IF(Practices!N183=0,0,N256/Practices!N183)</f>
        <v>0</v>
      </c>
      <c r="O257" s="233">
        <f>IF(Practices!O183=0,0,O256/Practices!O183)</f>
        <v>0</v>
      </c>
      <c r="P257" s="233">
        <f>IF(Practices!P183=0,0,P256/Practices!P183)</f>
        <v>0</v>
      </c>
      <c r="Q257" s="234">
        <f>IF(SUM(Practices!N183:P183)=0,0,SUM(N256:P256)/SUM(Practices!N183:P183))</f>
        <v>0</v>
      </c>
      <c r="R257" s="233">
        <f>IF(Practices!R183=0,0,R256/Practices!R183)</f>
        <v>0</v>
      </c>
      <c r="S257" s="233">
        <f>IF(Practices!S183=0,0,S256/Practices!S183)</f>
        <v>0</v>
      </c>
      <c r="T257" s="233">
        <f>IF(Practices!T183=0,0,T256/Practices!T183)</f>
        <v>0</v>
      </c>
      <c r="U257" s="234">
        <f>IF(SUM(Practices!R183:T183)=0,0,SUM(R256:T256)/SUM(Practices!R183:T183))</f>
        <v>0</v>
      </c>
      <c r="V257" s="233">
        <f>IF(Practices!V183=0,0,V256/Practices!V183)</f>
        <v>0</v>
      </c>
      <c r="W257" s="233">
        <f>IF(Practices!W183=0,0,W256/Practices!W183)</f>
        <v>0</v>
      </c>
      <c r="X257" s="233">
        <f>IF(Practices!X183=0,0,X256/Practices!X183)</f>
        <v>0</v>
      </c>
      <c r="Y257" s="234">
        <f>IF(SUM(Practices!V183:X183)=0,0,SUM(V256:X256)/SUM(Practices!V183:X183))</f>
        <v>0</v>
      </c>
    </row>
    <row r="258" spans="1:25" ht="12.75" hidden="1" customHeight="1" outlineLevel="2" x14ac:dyDescent="0.2">
      <c r="A258" s="188" t="str">
        <f>"   "&amp;Labels!B386</f>
        <v xml:space="preserve">   Prof Level 2</v>
      </c>
      <c r="B258" s="31"/>
      <c r="C258" s="31"/>
      <c r="D258" s="31"/>
      <c r="E258" s="188"/>
      <c r="F258" s="31"/>
      <c r="G258" s="31"/>
      <c r="H258" s="31"/>
      <c r="I258" s="188"/>
      <c r="J258" s="31"/>
      <c r="K258" s="31"/>
      <c r="L258" s="31"/>
      <c r="M258" s="188"/>
      <c r="N258" s="31"/>
      <c r="O258" s="31"/>
      <c r="P258" s="31"/>
      <c r="Q258" s="188"/>
      <c r="R258" s="31"/>
      <c r="S258" s="31"/>
      <c r="T258" s="31"/>
      <c r="U258" s="188"/>
      <c r="V258" s="31"/>
      <c r="W258" s="31"/>
      <c r="X258" s="31"/>
      <c r="Y258" s="188"/>
    </row>
    <row r="259" spans="1:25" ht="12.75" hidden="1" customHeight="1" outlineLevel="2" x14ac:dyDescent="0.2">
      <c r="A259" s="198" t="str">
        <f>"      "&amp;Labels!B317</f>
        <v xml:space="preserve">      Channels 1</v>
      </c>
      <c r="B259" s="43"/>
      <c r="C259" s="43"/>
      <c r="D259" s="43"/>
      <c r="E259" s="198"/>
      <c r="F259" s="43"/>
      <c r="G259" s="43"/>
      <c r="H259" s="43"/>
      <c r="I259" s="198"/>
      <c r="J259" s="43"/>
      <c r="K259" s="43"/>
      <c r="L259" s="43"/>
      <c r="M259" s="198"/>
      <c r="N259" s="43"/>
      <c r="O259" s="43"/>
      <c r="P259" s="43"/>
      <c r="Q259" s="198"/>
      <c r="R259" s="43"/>
      <c r="S259" s="43"/>
      <c r="T259" s="43"/>
      <c r="U259" s="198"/>
      <c r="V259" s="43"/>
      <c r="W259" s="43"/>
      <c r="X259" s="43"/>
      <c r="Y259" s="198"/>
    </row>
    <row r="260" spans="1:25" ht="12.75" hidden="1" customHeight="1" outlineLevel="2" x14ac:dyDescent="0.2">
      <c r="A260" s="198" t="str">
        <f>"         "&amp;Labels!B98</f>
        <v xml:space="preserve">         Gross Margin</v>
      </c>
      <c r="B260" s="226">
        <f>Sales!B126-Practices!B82/2-B395/2</f>
        <v>0</v>
      </c>
      <c r="C260" s="226">
        <f>Sales!C126-Practices!C82/2-C395/2</f>
        <v>0</v>
      </c>
      <c r="D260" s="226">
        <f>Sales!D126-Practices!D82/2-D395/2</f>
        <v>0</v>
      </c>
      <c r="E260" s="227">
        <f>SUM(B260:D260)</f>
        <v>0</v>
      </c>
      <c r="F260" s="226">
        <f>Sales!F126-Practices!F82/2-F395/2</f>
        <v>0</v>
      </c>
      <c r="G260" s="226">
        <f>Sales!G126-Practices!G82/2-G395/2</f>
        <v>0</v>
      </c>
      <c r="H260" s="226">
        <f>Sales!H126-Practices!H82/2-H395/2</f>
        <v>0</v>
      </c>
      <c r="I260" s="227">
        <f>SUM(F260:H260)</f>
        <v>0</v>
      </c>
      <c r="J260" s="226">
        <f>Sales!J126-Practices!J82/2-J395/2</f>
        <v>0</v>
      </c>
      <c r="K260" s="226">
        <f>Sales!K126-Practices!K82/2-K395/2</f>
        <v>0</v>
      </c>
      <c r="L260" s="226">
        <f>Sales!L126-Practices!L82/2-L395/2</f>
        <v>0</v>
      </c>
      <c r="M260" s="227">
        <f>SUM(J260:L260)</f>
        <v>0</v>
      </c>
      <c r="N260" s="226">
        <f>Sales!N126-Practices!N82/2-N395/2</f>
        <v>0</v>
      </c>
      <c r="O260" s="226">
        <f>Sales!O126-Practices!O82/2-O395/2</f>
        <v>0</v>
      </c>
      <c r="P260" s="226">
        <f>Sales!P126-Practices!P82/2-P395/2</f>
        <v>0</v>
      </c>
      <c r="Q260" s="227">
        <f>SUM(N260:P260)</f>
        <v>0</v>
      </c>
      <c r="R260" s="226">
        <f>Sales!R126-Practices!R82/2-R395/2</f>
        <v>0</v>
      </c>
      <c r="S260" s="226">
        <f>Sales!S126-Practices!S82/2-S395/2</f>
        <v>0</v>
      </c>
      <c r="T260" s="226">
        <f>Sales!T126-Practices!T82/2-T395/2</f>
        <v>0</v>
      </c>
      <c r="U260" s="227">
        <f>SUM(R260:T260)</f>
        <v>0</v>
      </c>
      <c r="V260" s="226">
        <f>Sales!V126-Practices!V82/2-V395/2</f>
        <v>0</v>
      </c>
      <c r="W260" s="226">
        <f>Sales!W126-Practices!W82/2-W395/2</f>
        <v>0</v>
      </c>
      <c r="X260" s="226">
        <f>Sales!X126-Practices!X82/2-X395/2</f>
        <v>0</v>
      </c>
      <c r="Y260" s="227">
        <f>SUM(V260:X260)</f>
        <v>0</v>
      </c>
    </row>
    <row r="261" spans="1:25" ht="12.75" hidden="1" customHeight="1" outlineLevel="2" x14ac:dyDescent="0.2">
      <c r="A261" s="198" t="str">
        <f>"         "&amp;Labels!B100</f>
        <v xml:space="preserve">         Gross Margin %</v>
      </c>
      <c r="B261" s="233">
        <f>IF(Sales!B126=0,0,B260/Sales!B126)</f>
        <v>0</v>
      </c>
      <c r="C261" s="233">
        <f>IF(Sales!C126=0,0,C260/Sales!C126)</f>
        <v>0</v>
      </c>
      <c r="D261" s="233">
        <f>IF(Sales!D126=0,0,D260/Sales!D126)</f>
        <v>0</v>
      </c>
      <c r="E261" s="234">
        <f>IF(SUM(Sales!B126:D126)=0,0,SUM(B260:D260)/SUM(Sales!B126:D126))</f>
        <v>0</v>
      </c>
      <c r="F261" s="233">
        <f>IF(Sales!F126=0,0,F260/Sales!F126)</f>
        <v>0</v>
      </c>
      <c r="G261" s="233">
        <f>IF(Sales!G126=0,0,G260/Sales!G126)</f>
        <v>0</v>
      </c>
      <c r="H261" s="233">
        <f>IF(Sales!H126=0,0,H260/Sales!H126)</f>
        <v>0</v>
      </c>
      <c r="I261" s="234">
        <f>IF(SUM(Sales!F126:H126)=0,0,SUM(F260:H260)/SUM(Sales!F126:H126))</f>
        <v>0</v>
      </c>
      <c r="J261" s="233">
        <f>IF(Sales!J126=0,0,J260/Sales!J126)</f>
        <v>0</v>
      </c>
      <c r="K261" s="233">
        <f>IF(Sales!K126=0,0,K260/Sales!K126)</f>
        <v>0</v>
      </c>
      <c r="L261" s="233">
        <f>IF(Sales!L126=0,0,L260/Sales!L126)</f>
        <v>0</v>
      </c>
      <c r="M261" s="234">
        <f>IF(SUM(Sales!J126:L126)=0,0,SUM(J260:L260)/SUM(Sales!J126:L126))</f>
        <v>0</v>
      </c>
      <c r="N261" s="233">
        <f>IF(Sales!N126=0,0,N260/Sales!N126)</f>
        <v>0</v>
      </c>
      <c r="O261" s="233">
        <f>IF(Sales!O126=0,0,O260/Sales!O126)</f>
        <v>0</v>
      </c>
      <c r="P261" s="233">
        <f>IF(Sales!P126=0,0,P260/Sales!P126)</f>
        <v>0</v>
      </c>
      <c r="Q261" s="234">
        <f>IF(SUM(Sales!N126:P126)=0,0,SUM(N260:P260)/SUM(Sales!N126:P126))</f>
        <v>0</v>
      </c>
      <c r="R261" s="233">
        <f>IF(Sales!R126=0,0,R260/Sales!R126)</f>
        <v>0</v>
      </c>
      <c r="S261" s="233">
        <f>IF(Sales!S126=0,0,S260/Sales!S126)</f>
        <v>0</v>
      </c>
      <c r="T261" s="233">
        <f>IF(Sales!T126=0,0,T260/Sales!T126)</f>
        <v>0</v>
      </c>
      <c r="U261" s="234">
        <f>IF(SUM(Sales!R126:T126)=0,0,SUM(R260:T260)/SUM(Sales!R126:T126))</f>
        <v>0</v>
      </c>
      <c r="V261" s="233">
        <f>IF(Sales!V126=0,0,V260/Sales!V126)</f>
        <v>0</v>
      </c>
      <c r="W261" s="233">
        <f>IF(Sales!W126=0,0,W260/Sales!W126)</f>
        <v>0</v>
      </c>
      <c r="X261" s="233">
        <f>IF(Sales!X126=0,0,X260/Sales!X126)</f>
        <v>0</v>
      </c>
      <c r="Y261" s="234">
        <f>IF(SUM(Sales!V126:X126)=0,0,SUM(V260:X260)/SUM(Sales!V126:X126))</f>
        <v>0</v>
      </c>
    </row>
    <row r="262" spans="1:25" ht="12.75" hidden="1" customHeight="1" outlineLevel="2" x14ac:dyDescent="0.2">
      <c r="A262" s="198" t="str">
        <f>"      "&amp;Labels!B318</f>
        <v xml:space="preserve">      Channels 2</v>
      </c>
      <c r="B262" s="43"/>
      <c r="C262" s="43"/>
      <c r="D262" s="43"/>
      <c r="E262" s="198"/>
      <c r="F262" s="43"/>
      <c r="G262" s="43"/>
      <c r="H262" s="43"/>
      <c r="I262" s="198"/>
      <c r="J262" s="43"/>
      <c r="K262" s="43"/>
      <c r="L262" s="43"/>
      <c r="M262" s="198"/>
      <c r="N262" s="43"/>
      <c r="O262" s="43"/>
      <c r="P262" s="43"/>
      <c r="Q262" s="198"/>
      <c r="R262" s="43"/>
      <c r="S262" s="43"/>
      <c r="T262" s="43"/>
      <c r="U262" s="198"/>
      <c r="V262" s="43"/>
      <c r="W262" s="43"/>
      <c r="X262" s="43"/>
      <c r="Y262" s="198"/>
    </row>
    <row r="263" spans="1:25" ht="12.75" hidden="1" customHeight="1" outlineLevel="2" x14ac:dyDescent="0.2">
      <c r="A263" s="198" t="str">
        <f>"         "&amp;Labels!B98</f>
        <v xml:space="preserve">         Gross Margin</v>
      </c>
      <c r="B263" s="226">
        <f>Sales!B127-Practices!B87/2-B395/2</f>
        <v>0</v>
      </c>
      <c r="C263" s="226">
        <f>Sales!C127-Practices!C87/2-C395/2</f>
        <v>0</v>
      </c>
      <c r="D263" s="226">
        <f>Sales!D127-Practices!D87/2-D395/2</f>
        <v>0</v>
      </c>
      <c r="E263" s="227">
        <f>SUM(B263:D263)</f>
        <v>0</v>
      </c>
      <c r="F263" s="226">
        <f>Sales!F127-Practices!F87/2-F395/2</f>
        <v>0</v>
      </c>
      <c r="G263" s="226">
        <f>Sales!G127-Practices!G87/2-G395/2</f>
        <v>0</v>
      </c>
      <c r="H263" s="226">
        <f>Sales!H127-Practices!H87/2-H395/2</f>
        <v>0</v>
      </c>
      <c r="I263" s="227">
        <f>SUM(F263:H263)</f>
        <v>0</v>
      </c>
      <c r="J263" s="226">
        <f>Sales!J127-Practices!J87/2-J395/2</f>
        <v>0</v>
      </c>
      <c r="K263" s="226">
        <f>Sales!K127-Practices!K87/2-K395/2</f>
        <v>0</v>
      </c>
      <c r="L263" s="226">
        <f>Sales!L127-Practices!L87/2-L395/2</f>
        <v>0</v>
      </c>
      <c r="M263" s="227">
        <f>SUM(J263:L263)</f>
        <v>0</v>
      </c>
      <c r="N263" s="226">
        <f>Sales!N127-Practices!N87/2-N395/2</f>
        <v>0</v>
      </c>
      <c r="O263" s="226">
        <f>Sales!O127-Practices!O87/2-O395/2</f>
        <v>0</v>
      </c>
      <c r="P263" s="226">
        <f>Sales!P127-Practices!P87/2-P395/2</f>
        <v>0</v>
      </c>
      <c r="Q263" s="227">
        <f>SUM(N263:P263)</f>
        <v>0</v>
      </c>
      <c r="R263" s="226">
        <f>Sales!R127-Practices!R87/2-R395/2</f>
        <v>0</v>
      </c>
      <c r="S263" s="226">
        <f>Sales!S127-Practices!S87/2-S395/2</f>
        <v>0</v>
      </c>
      <c r="T263" s="226">
        <f>Sales!T127-Practices!T87/2-T395/2</f>
        <v>0</v>
      </c>
      <c r="U263" s="227">
        <f>SUM(R263:T263)</f>
        <v>0</v>
      </c>
      <c r="V263" s="226">
        <f>Sales!V127-Practices!V87/2-V395/2</f>
        <v>0</v>
      </c>
      <c r="W263" s="226">
        <f>Sales!W127-Practices!W87/2-W395/2</f>
        <v>0</v>
      </c>
      <c r="X263" s="226">
        <f>Sales!X127-Practices!X87/2-X395/2</f>
        <v>0</v>
      </c>
      <c r="Y263" s="227">
        <f>SUM(V263:X263)</f>
        <v>0</v>
      </c>
    </row>
    <row r="264" spans="1:25" ht="12.75" hidden="1" customHeight="1" outlineLevel="2" x14ac:dyDescent="0.2">
      <c r="A264" s="198" t="str">
        <f>"         "&amp;Labels!B100</f>
        <v xml:space="preserve">         Gross Margin %</v>
      </c>
      <c r="B264" s="233">
        <f>IF(Sales!B127=0,0,B263/Sales!B127)</f>
        <v>0</v>
      </c>
      <c r="C264" s="233">
        <f>IF(Sales!C127=0,0,C263/Sales!C127)</f>
        <v>0</v>
      </c>
      <c r="D264" s="233">
        <f>IF(Sales!D127=0,0,D263/Sales!D127)</f>
        <v>0</v>
      </c>
      <c r="E264" s="234">
        <f>IF(SUM(Sales!B127:D127)=0,0,SUM(B263:D263)/SUM(Sales!B127:D127))</f>
        <v>0</v>
      </c>
      <c r="F264" s="233">
        <f>IF(Sales!F127=0,0,F263/Sales!F127)</f>
        <v>0</v>
      </c>
      <c r="G264" s="233">
        <f>IF(Sales!G127=0,0,G263/Sales!G127)</f>
        <v>0</v>
      </c>
      <c r="H264" s="233">
        <f>IF(Sales!H127=0,0,H263/Sales!H127)</f>
        <v>0</v>
      </c>
      <c r="I264" s="234">
        <f>IF(SUM(Sales!F127:H127)=0,0,SUM(F263:H263)/SUM(Sales!F127:H127))</f>
        <v>0</v>
      </c>
      <c r="J264" s="233">
        <f>IF(Sales!J127=0,0,J263/Sales!J127)</f>
        <v>0</v>
      </c>
      <c r="K264" s="233">
        <f>IF(Sales!K127=0,0,K263/Sales!K127)</f>
        <v>0</v>
      </c>
      <c r="L264" s="233">
        <f>IF(Sales!L127=0,0,L263/Sales!L127)</f>
        <v>0</v>
      </c>
      <c r="M264" s="234">
        <f>IF(SUM(Sales!J127:L127)=0,0,SUM(J263:L263)/SUM(Sales!J127:L127))</f>
        <v>0</v>
      </c>
      <c r="N264" s="233">
        <f>IF(Sales!N127=0,0,N263/Sales!N127)</f>
        <v>0</v>
      </c>
      <c r="O264" s="233">
        <f>IF(Sales!O127=0,0,O263/Sales!O127)</f>
        <v>0</v>
      </c>
      <c r="P264" s="233">
        <f>IF(Sales!P127=0,0,P263/Sales!P127)</f>
        <v>0</v>
      </c>
      <c r="Q264" s="234">
        <f>IF(SUM(Sales!N127:P127)=0,0,SUM(N263:P263)/SUM(Sales!N127:P127))</f>
        <v>0</v>
      </c>
      <c r="R264" s="233">
        <f>IF(Sales!R127=0,0,R263/Sales!R127)</f>
        <v>0</v>
      </c>
      <c r="S264" s="233">
        <f>IF(Sales!S127=0,0,S263/Sales!S127)</f>
        <v>0</v>
      </c>
      <c r="T264" s="233">
        <f>IF(Sales!T127=0,0,T263/Sales!T127)</f>
        <v>0</v>
      </c>
      <c r="U264" s="234">
        <f>IF(SUM(Sales!R127:T127)=0,0,SUM(R263:T263)/SUM(Sales!R127:T127))</f>
        <v>0</v>
      </c>
      <c r="V264" s="233">
        <f>IF(Sales!V127=0,0,V263/Sales!V127)</f>
        <v>0</v>
      </c>
      <c r="W264" s="233">
        <f>IF(Sales!W127=0,0,W263/Sales!W127)</f>
        <v>0</v>
      </c>
      <c r="X264" s="233">
        <f>IF(Sales!X127=0,0,X263/Sales!X127)</f>
        <v>0</v>
      </c>
      <c r="Y264" s="234">
        <f>IF(SUM(Sales!V127:X127)=0,0,SUM(V263:X263)/SUM(Sales!V127:X127))</f>
        <v>0</v>
      </c>
    </row>
    <row r="265" spans="1:25" ht="12.75" hidden="1" customHeight="1" outlineLevel="2" x14ac:dyDescent="0.2">
      <c r="A265" s="188" t="str">
        <f>"      "&amp;Labels!C316</f>
        <v xml:space="preserve">      Total</v>
      </c>
      <c r="B265" s="31"/>
      <c r="C265" s="31"/>
      <c r="D265" s="31"/>
      <c r="E265" s="188"/>
      <c r="F265" s="31"/>
      <c r="G265" s="31"/>
      <c r="H265" s="31"/>
      <c r="I265" s="188"/>
      <c r="J265" s="31"/>
      <c r="K265" s="31"/>
      <c r="L265" s="31"/>
      <c r="M265" s="188"/>
      <c r="N265" s="31"/>
      <c r="O265" s="31"/>
      <c r="P265" s="31"/>
      <c r="Q265" s="188"/>
      <c r="R265" s="31"/>
      <c r="S265" s="31"/>
      <c r="T265" s="31"/>
      <c r="U265" s="188"/>
      <c r="V265" s="31"/>
      <c r="W265" s="31"/>
      <c r="X265" s="31"/>
      <c r="Y265" s="188"/>
    </row>
    <row r="266" spans="1:25" ht="12.75" hidden="1" customHeight="1" outlineLevel="2" x14ac:dyDescent="0.2">
      <c r="A266" s="198" t="str">
        <f>"         "&amp;Labels!B98</f>
        <v xml:space="preserve">         Gross Margin</v>
      </c>
      <c r="B266" s="226">
        <f>SUM(B260,B263)</f>
        <v>0</v>
      </c>
      <c r="C266" s="226">
        <f>SUM(C260,C263)</f>
        <v>0</v>
      </c>
      <c r="D266" s="226">
        <f>SUM(D260,D263)</f>
        <v>0</v>
      </c>
      <c r="E266" s="227">
        <f>SUM(B266:D266)</f>
        <v>0</v>
      </c>
      <c r="F266" s="226">
        <f>SUM(F260,F263)</f>
        <v>0</v>
      </c>
      <c r="G266" s="226">
        <f>SUM(G260,G263)</f>
        <v>0</v>
      </c>
      <c r="H266" s="226">
        <f>SUM(H260,H263)</f>
        <v>0</v>
      </c>
      <c r="I266" s="227">
        <f>SUM(F266:H266)</f>
        <v>0</v>
      </c>
      <c r="J266" s="226">
        <f>SUM(J260,J263)</f>
        <v>0</v>
      </c>
      <c r="K266" s="226">
        <f>SUM(K260,K263)</f>
        <v>0</v>
      </c>
      <c r="L266" s="226">
        <f>SUM(L260,L263)</f>
        <v>0</v>
      </c>
      <c r="M266" s="227">
        <f>SUM(J266:L266)</f>
        <v>0</v>
      </c>
      <c r="N266" s="226">
        <f>SUM(N260,N263)</f>
        <v>0</v>
      </c>
      <c r="O266" s="226">
        <f>SUM(O260,O263)</f>
        <v>0</v>
      </c>
      <c r="P266" s="226">
        <f>SUM(P260,P263)</f>
        <v>0</v>
      </c>
      <c r="Q266" s="227">
        <f>SUM(N266:P266)</f>
        <v>0</v>
      </c>
      <c r="R266" s="226">
        <f>SUM(R260,R263)</f>
        <v>0</v>
      </c>
      <c r="S266" s="226">
        <f>SUM(S260,S263)</f>
        <v>0</v>
      </c>
      <c r="T266" s="226">
        <f>SUM(T260,T263)</f>
        <v>0</v>
      </c>
      <c r="U266" s="227">
        <f>SUM(R266:T266)</f>
        <v>0</v>
      </c>
      <c r="V266" s="226">
        <f>SUM(V260,V263)</f>
        <v>0</v>
      </c>
      <c r="W266" s="226">
        <f>SUM(W260,W263)</f>
        <v>0</v>
      </c>
      <c r="X266" s="226">
        <f>SUM(X260,X263)</f>
        <v>0</v>
      </c>
      <c r="Y266" s="227">
        <f>SUM(V266:X266)</f>
        <v>0</v>
      </c>
    </row>
    <row r="267" spans="1:25" ht="12.75" hidden="1" customHeight="1" outlineLevel="2" x14ac:dyDescent="0.2">
      <c r="A267" s="198" t="str">
        <f>"         "&amp;Labels!B100</f>
        <v xml:space="preserve">         Gross Margin %</v>
      </c>
      <c r="B267" s="233">
        <f>IF(Practices!B184=0,0,B266/Practices!B184)</f>
        <v>0</v>
      </c>
      <c r="C267" s="233">
        <f>IF(Practices!C184=0,0,C266/Practices!C184)</f>
        <v>0</v>
      </c>
      <c r="D267" s="233">
        <f>IF(Practices!D184=0,0,D266/Practices!D184)</f>
        <v>0</v>
      </c>
      <c r="E267" s="234">
        <f>IF(SUM(Practices!B184:D184)=0,0,SUM(B266:D266)/SUM(Practices!B184:D184))</f>
        <v>0</v>
      </c>
      <c r="F267" s="233">
        <f>IF(Practices!F184=0,0,F266/Practices!F184)</f>
        <v>0</v>
      </c>
      <c r="G267" s="233">
        <f>IF(Practices!G184=0,0,G266/Practices!G184)</f>
        <v>0</v>
      </c>
      <c r="H267" s="233">
        <f>IF(Practices!H184=0,0,H266/Practices!H184)</f>
        <v>0</v>
      </c>
      <c r="I267" s="234">
        <f>IF(SUM(Practices!F184:H184)=0,0,SUM(F266:H266)/SUM(Practices!F184:H184))</f>
        <v>0</v>
      </c>
      <c r="J267" s="233">
        <f>IF(Practices!J184=0,0,J266/Practices!J184)</f>
        <v>0</v>
      </c>
      <c r="K267" s="233">
        <f>IF(Practices!K184=0,0,K266/Practices!K184)</f>
        <v>0</v>
      </c>
      <c r="L267" s="233">
        <f>IF(Practices!L184=0,0,L266/Practices!L184)</f>
        <v>0</v>
      </c>
      <c r="M267" s="234">
        <f>IF(SUM(Practices!J184:L184)=0,0,SUM(J266:L266)/SUM(Practices!J184:L184))</f>
        <v>0</v>
      </c>
      <c r="N267" s="233">
        <f>IF(Practices!N184=0,0,N266/Practices!N184)</f>
        <v>0</v>
      </c>
      <c r="O267" s="233">
        <f>IF(Practices!O184=0,0,O266/Practices!O184)</f>
        <v>0</v>
      </c>
      <c r="P267" s="233">
        <f>IF(Practices!P184=0,0,P266/Practices!P184)</f>
        <v>0</v>
      </c>
      <c r="Q267" s="234">
        <f>IF(SUM(Practices!N184:P184)=0,0,SUM(N266:P266)/SUM(Practices!N184:P184))</f>
        <v>0</v>
      </c>
      <c r="R267" s="233">
        <f>IF(Practices!R184=0,0,R266/Practices!R184)</f>
        <v>0</v>
      </c>
      <c r="S267" s="233">
        <f>IF(Practices!S184=0,0,S266/Practices!S184)</f>
        <v>0</v>
      </c>
      <c r="T267" s="233">
        <f>IF(Practices!T184=0,0,T266/Practices!T184)</f>
        <v>0</v>
      </c>
      <c r="U267" s="234">
        <f>IF(SUM(Practices!R184:T184)=0,0,SUM(R266:T266)/SUM(Practices!R184:T184))</f>
        <v>0</v>
      </c>
      <c r="V267" s="233">
        <f>IF(Practices!V184=0,0,V266/Practices!V184)</f>
        <v>0</v>
      </c>
      <c r="W267" s="233">
        <f>IF(Practices!W184=0,0,W266/Practices!W184)</f>
        <v>0</v>
      </c>
      <c r="X267" s="233">
        <f>IF(Practices!X184=0,0,X266/Practices!X184)</f>
        <v>0</v>
      </c>
      <c r="Y267" s="234">
        <f>IF(SUM(Practices!V184:X184)=0,0,SUM(V266:X266)/SUM(Practices!V184:X184))</f>
        <v>0</v>
      </c>
    </row>
    <row r="268" spans="1:25" ht="12.75" hidden="1" customHeight="1" outlineLevel="2" x14ac:dyDescent="0.2">
      <c r="A268" s="191" t="str">
        <f>"   "&amp;Labels!C384</f>
        <v xml:space="preserve">   Total</v>
      </c>
      <c r="B268" s="3"/>
      <c r="C268" s="3"/>
      <c r="D268" s="3"/>
      <c r="E268" s="191"/>
      <c r="F268" s="3"/>
      <c r="G268" s="3"/>
      <c r="H268" s="3"/>
      <c r="I268" s="191"/>
      <c r="J268" s="3"/>
      <c r="K268" s="3"/>
      <c r="L268" s="3"/>
      <c r="M268" s="191"/>
      <c r="N268" s="3"/>
      <c r="O268" s="3"/>
      <c r="P268" s="3"/>
      <c r="Q268" s="191"/>
      <c r="R268" s="3"/>
      <c r="S268" s="3"/>
      <c r="T268" s="3"/>
      <c r="U268" s="191"/>
      <c r="V268" s="3"/>
      <c r="W268" s="3"/>
      <c r="X268" s="3"/>
      <c r="Y268" s="191"/>
    </row>
    <row r="269" spans="1:25" ht="12.75" hidden="1" customHeight="1" outlineLevel="2" x14ac:dyDescent="0.2">
      <c r="A269" s="198" t="str">
        <f>"      "&amp;Labels!B317</f>
        <v xml:space="preserve">      Channels 1</v>
      </c>
      <c r="B269" s="43"/>
      <c r="C269" s="43"/>
      <c r="D269" s="43"/>
      <c r="E269" s="198"/>
      <c r="F269" s="43"/>
      <c r="G269" s="43"/>
      <c r="H269" s="43"/>
      <c r="I269" s="198"/>
      <c r="J269" s="43"/>
      <c r="K269" s="43"/>
      <c r="L269" s="43"/>
      <c r="M269" s="198"/>
      <c r="N269" s="43"/>
      <c r="O269" s="43"/>
      <c r="P269" s="43"/>
      <c r="Q269" s="198"/>
      <c r="R269" s="43"/>
      <c r="S269" s="43"/>
      <c r="T269" s="43"/>
      <c r="U269" s="198"/>
      <c r="V269" s="43"/>
      <c r="W269" s="43"/>
      <c r="X269" s="43"/>
      <c r="Y269" s="198"/>
    </row>
    <row r="270" spans="1:25" ht="12.75" hidden="1" customHeight="1" outlineLevel="2" x14ac:dyDescent="0.2">
      <c r="A270" s="198" t="str">
        <f>"         "&amp;Labels!B98</f>
        <v xml:space="preserve">         Gross Margin</v>
      </c>
      <c r="B270" s="226">
        <f>SUM(B250,B260)</f>
        <v>0</v>
      </c>
      <c r="C270" s="226">
        <f>SUM(C250,C260)</f>
        <v>0</v>
      </c>
      <c r="D270" s="226">
        <f>SUM(D250,D260)</f>
        <v>0</v>
      </c>
      <c r="E270" s="227">
        <f>SUM(B270:D270)</f>
        <v>0</v>
      </c>
      <c r="F270" s="226">
        <f>SUM(F250,F260)</f>
        <v>0</v>
      </c>
      <c r="G270" s="226">
        <f>SUM(G250,G260)</f>
        <v>0</v>
      </c>
      <c r="H270" s="226">
        <f>SUM(H250,H260)</f>
        <v>0</v>
      </c>
      <c r="I270" s="227">
        <f>SUM(F270:H270)</f>
        <v>0</v>
      </c>
      <c r="J270" s="226">
        <f>SUM(J250,J260)</f>
        <v>0</v>
      </c>
      <c r="K270" s="226">
        <f>SUM(K250,K260)</f>
        <v>0</v>
      </c>
      <c r="L270" s="226">
        <f>SUM(L250,L260)</f>
        <v>0</v>
      </c>
      <c r="M270" s="227">
        <f>SUM(J270:L270)</f>
        <v>0</v>
      </c>
      <c r="N270" s="226">
        <f>SUM(N250,N260)</f>
        <v>0</v>
      </c>
      <c r="O270" s="226">
        <f>SUM(O250,O260)</f>
        <v>0</v>
      </c>
      <c r="P270" s="226">
        <f>SUM(P250,P260)</f>
        <v>0</v>
      </c>
      <c r="Q270" s="227">
        <f>SUM(N270:P270)</f>
        <v>0</v>
      </c>
      <c r="R270" s="226">
        <f>SUM(R250,R260)</f>
        <v>0</v>
      </c>
      <c r="S270" s="226">
        <f>SUM(S250,S260)</f>
        <v>0</v>
      </c>
      <c r="T270" s="226">
        <f>SUM(T250,T260)</f>
        <v>0</v>
      </c>
      <c r="U270" s="227">
        <f>SUM(R270:T270)</f>
        <v>0</v>
      </c>
      <c r="V270" s="226">
        <f>SUM(V250,V260)</f>
        <v>0</v>
      </c>
      <c r="W270" s="226">
        <f>SUM(W250,W260)</f>
        <v>0</v>
      </c>
      <c r="X270" s="226">
        <f>SUM(X250,X260)</f>
        <v>0</v>
      </c>
      <c r="Y270" s="227">
        <f>SUM(V270:X270)</f>
        <v>0</v>
      </c>
    </row>
    <row r="271" spans="1:25" ht="12.75" hidden="1" customHeight="1" outlineLevel="2" x14ac:dyDescent="0.2">
      <c r="A271" s="198" t="str">
        <f>"         "&amp;Labels!B100</f>
        <v xml:space="preserve">         Gross Margin %</v>
      </c>
      <c r="B271" s="233">
        <f>IF(Practices!B52=0,0,B270/Practices!B52)</f>
        <v>0</v>
      </c>
      <c r="C271" s="233">
        <f>IF(Practices!C52=0,0,C270/Practices!C52)</f>
        <v>0</v>
      </c>
      <c r="D271" s="233">
        <f>IF(Practices!D52=0,0,D270/Practices!D52)</f>
        <v>0</v>
      </c>
      <c r="E271" s="234">
        <f>IF(SUM(Practices!B52:D52)=0,0,SUM(B270:D270)/SUM(Practices!B52:D52))</f>
        <v>0</v>
      </c>
      <c r="F271" s="233">
        <f>IF(Practices!F52=0,0,F270/Practices!F52)</f>
        <v>0</v>
      </c>
      <c r="G271" s="233">
        <f>IF(Practices!G52=0,0,G270/Practices!G52)</f>
        <v>0</v>
      </c>
      <c r="H271" s="233">
        <f>IF(Practices!H52=0,0,H270/Practices!H52)</f>
        <v>0</v>
      </c>
      <c r="I271" s="234">
        <f>IF(SUM(Practices!F52:H52)=0,0,SUM(F270:H270)/SUM(Practices!F52:H52))</f>
        <v>0</v>
      </c>
      <c r="J271" s="233">
        <f>IF(Practices!J52=0,0,J270/Practices!J52)</f>
        <v>0</v>
      </c>
      <c r="K271" s="233">
        <f>IF(Practices!K52=0,0,K270/Practices!K52)</f>
        <v>0</v>
      </c>
      <c r="L271" s="233">
        <f>IF(Practices!L52=0,0,L270/Practices!L52)</f>
        <v>0</v>
      </c>
      <c r="M271" s="234">
        <f>IF(SUM(Practices!J52:L52)=0,0,SUM(J270:L270)/SUM(Practices!J52:L52))</f>
        <v>0</v>
      </c>
      <c r="N271" s="233">
        <f>IF(Practices!N52=0,0,N270/Practices!N52)</f>
        <v>0</v>
      </c>
      <c r="O271" s="233">
        <f>IF(Practices!O52=0,0,O270/Practices!O52)</f>
        <v>0</v>
      </c>
      <c r="P271" s="233">
        <f>IF(Practices!P52=0,0,P270/Practices!P52)</f>
        <v>0</v>
      </c>
      <c r="Q271" s="234">
        <f>IF(SUM(Practices!N52:P52)=0,0,SUM(N270:P270)/SUM(Practices!N52:P52))</f>
        <v>0</v>
      </c>
      <c r="R271" s="233">
        <f>IF(Practices!R52=0,0,R270/Practices!R52)</f>
        <v>0</v>
      </c>
      <c r="S271" s="233">
        <f>IF(Practices!S52=0,0,S270/Practices!S52)</f>
        <v>0</v>
      </c>
      <c r="T271" s="233">
        <f>IF(Practices!T52=0,0,T270/Practices!T52)</f>
        <v>0</v>
      </c>
      <c r="U271" s="234">
        <f>IF(SUM(Practices!R52:T52)=0,0,SUM(R270:T270)/SUM(Practices!R52:T52))</f>
        <v>0</v>
      </c>
      <c r="V271" s="233">
        <f>IF(Practices!V52=0,0,V270/Practices!V52)</f>
        <v>0</v>
      </c>
      <c r="W271" s="233">
        <f>IF(Practices!W52=0,0,W270/Practices!W52)</f>
        <v>0</v>
      </c>
      <c r="X271" s="233">
        <f>IF(Practices!X52=0,0,X270/Practices!X52)</f>
        <v>0</v>
      </c>
      <c r="Y271" s="234">
        <f>IF(SUM(Practices!V52:X52)=0,0,SUM(V270:X270)/SUM(Practices!V52:X52))</f>
        <v>0</v>
      </c>
    </row>
    <row r="272" spans="1:25" ht="12.75" hidden="1" customHeight="1" outlineLevel="2" x14ac:dyDescent="0.2">
      <c r="A272" s="198" t="str">
        <f>"      "&amp;Labels!B318</f>
        <v xml:space="preserve">      Channels 2</v>
      </c>
      <c r="B272" s="43"/>
      <c r="C272" s="43"/>
      <c r="D272" s="43"/>
      <c r="E272" s="198"/>
      <c r="F272" s="43"/>
      <c r="G272" s="43"/>
      <c r="H272" s="43"/>
      <c r="I272" s="198"/>
      <c r="J272" s="43"/>
      <c r="K272" s="43"/>
      <c r="L272" s="43"/>
      <c r="M272" s="198"/>
      <c r="N272" s="43"/>
      <c r="O272" s="43"/>
      <c r="P272" s="43"/>
      <c r="Q272" s="198"/>
      <c r="R272" s="43"/>
      <c r="S272" s="43"/>
      <c r="T272" s="43"/>
      <c r="U272" s="198"/>
      <c r="V272" s="43"/>
      <c r="W272" s="43"/>
      <c r="X272" s="43"/>
      <c r="Y272" s="198"/>
    </row>
    <row r="273" spans="1:25" ht="12.75" hidden="1" customHeight="1" outlineLevel="2" x14ac:dyDescent="0.2">
      <c r="A273" s="198" t="str">
        <f>"         "&amp;Labels!B98</f>
        <v xml:space="preserve">         Gross Margin</v>
      </c>
      <c r="B273" s="226">
        <f>SUM(B253,B263)</f>
        <v>0</v>
      </c>
      <c r="C273" s="226">
        <f>SUM(C253,C263)</f>
        <v>0</v>
      </c>
      <c r="D273" s="226">
        <f>SUM(D253,D263)</f>
        <v>0</v>
      </c>
      <c r="E273" s="227">
        <f>SUM(B273:D273)</f>
        <v>0</v>
      </c>
      <c r="F273" s="226">
        <f>SUM(F253,F263)</f>
        <v>0</v>
      </c>
      <c r="G273" s="226">
        <f>SUM(G253,G263)</f>
        <v>0</v>
      </c>
      <c r="H273" s="226">
        <f>SUM(H253,H263)</f>
        <v>0</v>
      </c>
      <c r="I273" s="227">
        <f>SUM(F273:H273)</f>
        <v>0</v>
      </c>
      <c r="J273" s="226">
        <f>SUM(J253,J263)</f>
        <v>0</v>
      </c>
      <c r="K273" s="226">
        <f>SUM(K253,K263)</f>
        <v>0</v>
      </c>
      <c r="L273" s="226">
        <f>SUM(L253,L263)</f>
        <v>0</v>
      </c>
      <c r="M273" s="227">
        <f>SUM(J273:L273)</f>
        <v>0</v>
      </c>
      <c r="N273" s="226">
        <f>SUM(N253,N263)</f>
        <v>0</v>
      </c>
      <c r="O273" s="226">
        <f>SUM(O253,O263)</f>
        <v>0</v>
      </c>
      <c r="P273" s="226">
        <f>SUM(P253,P263)</f>
        <v>0</v>
      </c>
      <c r="Q273" s="227">
        <f>SUM(N273:P273)</f>
        <v>0</v>
      </c>
      <c r="R273" s="226">
        <f>SUM(R253,R263)</f>
        <v>0</v>
      </c>
      <c r="S273" s="226">
        <f>SUM(S253,S263)</f>
        <v>0</v>
      </c>
      <c r="T273" s="226">
        <f>SUM(T253,T263)</f>
        <v>0</v>
      </c>
      <c r="U273" s="227">
        <f>SUM(R273:T273)</f>
        <v>0</v>
      </c>
      <c r="V273" s="226">
        <f>SUM(V253,V263)</f>
        <v>0</v>
      </c>
      <c r="W273" s="226">
        <f>SUM(W253,W263)</f>
        <v>0</v>
      </c>
      <c r="X273" s="226">
        <f>SUM(X253,X263)</f>
        <v>0</v>
      </c>
      <c r="Y273" s="227">
        <f>SUM(V273:X273)</f>
        <v>0</v>
      </c>
    </row>
    <row r="274" spans="1:25" ht="12.75" hidden="1" customHeight="1" outlineLevel="2" x14ac:dyDescent="0.2">
      <c r="A274" s="198" t="str">
        <f>"         "&amp;Labels!B100</f>
        <v xml:space="preserve">         Gross Margin %</v>
      </c>
      <c r="B274" s="233">
        <f>IF(Practices!B53=0,0,B273/Practices!B53)</f>
        <v>0</v>
      </c>
      <c r="C274" s="233">
        <f>IF(Practices!C53=0,0,C273/Practices!C53)</f>
        <v>0</v>
      </c>
      <c r="D274" s="233">
        <f>IF(Practices!D53=0,0,D273/Practices!D53)</f>
        <v>0</v>
      </c>
      <c r="E274" s="234">
        <f>IF(SUM(Practices!B53:D53)=0,0,SUM(B273:D273)/SUM(Practices!B53:D53))</f>
        <v>0</v>
      </c>
      <c r="F274" s="233">
        <f>IF(Practices!F53=0,0,F273/Practices!F53)</f>
        <v>0</v>
      </c>
      <c r="G274" s="233">
        <f>IF(Practices!G53=0,0,G273/Practices!G53)</f>
        <v>0</v>
      </c>
      <c r="H274" s="233">
        <f>IF(Practices!H53=0,0,H273/Practices!H53)</f>
        <v>0</v>
      </c>
      <c r="I274" s="234">
        <f>IF(SUM(Practices!F53:H53)=0,0,SUM(F273:H273)/SUM(Practices!F53:H53))</f>
        <v>0</v>
      </c>
      <c r="J274" s="233">
        <f>IF(Practices!J53=0,0,J273/Practices!J53)</f>
        <v>0</v>
      </c>
      <c r="K274" s="233">
        <f>IF(Practices!K53=0,0,K273/Practices!K53)</f>
        <v>0</v>
      </c>
      <c r="L274" s="233">
        <f>IF(Practices!L53=0,0,L273/Practices!L53)</f>
        <v>0</v>
      </c>
      <c r="M274" s="234">
        <f>IF(SUM(Practices!J53:L53)=0,0,SUM(J273:L273)/SUM(Practices!J53:L53))</f>
        <v>0</v>
      </c>
      <c r="N274" s="233">
        <f>IF(Practices!N53=0,0,N273/Practices!N53)</f>
        <v>0</v>
      </c>
      <c r="O274" s="233">
        <f>IF(Practices!O53=0,0,O273/Practices!O53)</f>
        <v>0</v>
      </c>
      <c r="P274" s="233">
        <f>IF(Practices!P53=0,0,P273/Practices!P53)</f>
        <v>0</v>
      </c>
      <c r="Q274" s="234">
        <f>IF(SUM(Practices!N53:P53)=0,0,SUM(N273:P273)/SUM(Practices!N53:P53))</f>
        <v>0</v>
      </c>
      <c r="R274" s="233">
        <f>IF(Practices!R53=0,0,R273/Practices!R53)</f>
        <v>0</v>
      </c>
      <c r="S274" s="233">
        <f>IF(Practices!S53=0,0,S273/Practices!S53)</f>
        <v>0</v>
      </c>
      <c r="T274" s="233">
        <f>IF(Practices!T53=0,0,T273/Practices!T53)</f>
        <v>0</v>
      </c>
      <c r="U274" s="234">
        <f>IF(SUM(Practices!R53:T53)=0,0,SUM(R273:T273)/SUM(Practices!R53:T53))</f>
        <v>0</v>
      </c>
      <c r="V274" s="233">
        <f>IF(Practices!V53=0,0,V273/Practices!V53)</f>
        <v>0</v>
      </c>
      <c r="W274" s="233">
        <f>IF(Practices!W53=0,0,W273/Practices!W53)</f>
        <v>0</v>
      </c>
      <c r="X274" s="233">
        <f>IF(Practices!X53=0,0,X273/Practices!X53)</f>
        <v>0</v>
      </c>
      <c r="Y274" s="234">
        <f>IF(SUM(Practices!V53:X53)=0,0,SUM(V273:X273)/SUM(Practices!V53:X53))</f>
        <v>0</v>
      </c>
    </row>
    <row r="275" spans="1:25" ht="12.75" hidden="1" customHeight="1" outlineLevel="2" x14ac:dyDescent="0.2">
      <c r="A275" s="188" t="str">
        <f>"      "&amp;Labels!C316</f>
        <v xml:space="preserve">      Total</v>
      </c>
      <c r="B275" s="31"/>
      <c r="C275" s="31"/>
      <c r="D275" s="31"/>
      <c r="E275" s="188"/>
      <c r="F275" s="31"/>
      <c r="G275" s="31"/>
      <c r="H275" s="31"/>
      <c r="I275" s="188"/>
      <c r="J275" s="31"/>
      <c r="K275" s="31"/>
      <c r="L275" s="31"/>
      <c r="M275" s="188"/>
      <c r="N275" s="31"/>
      <c r="O275" s="31"/>
      <c r="P275" s="31"/>
      <c r="Q275" s="188"/>
      <c r="R275" s="31"/>
      <c r="S275" s="31"/>
      <c r="T275" s="31"/>
      <c r="U275" s="188"/>
      <c r="V275" s="31"/>
      <c r="W275" s="31"/>
      <c r="X275" s="31"/>
      <c r="Y275" s="188"/>
    </row>
    <row r="276" spans="1:25" ht="12.75" hidden="1" customHeight="1" outlineLevel="2" x14ac:dyDescent="0.2">
      <c r="A276" s="198" t="str">
        <f>"         "&amp;Labels!B98</f>
        <v xml:space="preserve">         Gross Margin</v>
      </c>
      <c r="B276" s="226">
        <f>SUM(B256,B266)</f>
        <v>0</v>
      </c>
      <c r="C276" s="226">
        <f>SUM(C256,C266)</f>
        <v>0</v>
      </c>
      <c r="D276" s="226">
        <f>SUM(D256,D266)</f>
        <v>0</v>
      </c>
      <c r="E276" s="227">
        <f>SUM(B276:D276)</f>
        <v>0</v>
      </c>
      <c r="F276" s="226">
        <f>SUM(F256,F266)</f>
        <v>0</v>
      </c>
      <c r="G276" s="226">
        <f>SUM(G256,G266)</f>
        <v>0</v>
      </c>
      <c r="H276" s="226">
        <f>SUM(H256,H266)</f>
        <v>0</v>
      </c>
      <c r="I276" s="227">
        <f>SUM(F276:H276)</f>
        <v>0</v>
      </c>
      <c r="J276" s="226">
        <f>SUM(J256,J266)</f>
        <v>0</v>
      </c>
      <c r="K276" s="226">
        <f>SUM(K256,K266)</f>
        <v>0</v>
      </c>
      <c r="L276" s="226">
        <f>SUM(L256,L266)</f>
        <v>0</v>
      </c>
      <c r="M276" s="227">
        <f>SUM(J276:L276)</f>
        <v>0</v>
      </c>
      <c r="N276" s="226">
        <f>SUM(N256,N266)</f>
        <v>0</v>
      </c>
      <c r="O276" s="226">
        <f>SUM(O256,O266)</f>
        <v>0</v>
      </c>
      <c r="P276" s="226">
        <f>SUM(P256,P266)</f>
        <v>0</v>
      </c>
      <c r="Q276" s="227">
        <f>SUM(N276:P276)</f>
        <v>0</v>
      </c>
      <c r="R276" s="226">
        <f>SUM(R256,R266)</f>
        <v>0</v>
      </c>
      <c r="S276" s="226">
        <f>SUM(S256,S266)</f>
        <v>0</v>
      </c>
      <c r="T276" s="226">
        <f>SUM(T256,T266)</f>
        <v>0</v>
      </c>
      <c r="U276" s="227">
        <f>SUM(R276:T276)</f>
        <v>0</v>
      </c>
      <c r="V276" s="226">
        <f>SUM(V256,V266)</f>
        <v>0</v>
      </c>
      <c r="W276" s="226">
        <f>SUM(W256,W266)</f>
        <v>0</v>
      </c>
      <c r="X276" s="226">
        <f>SUM(X256,X266)</f>
        <v>0</v>
      </c>
      <c r="Y276" s="227">
        <f>SUM(V276:X276)</f>
        <v>0</v>
      </c>
    </row>
    <row r="277" spans="1:25" ht="12.75" hidden="1" customHeight="1" outlineLevel="2" x14ac:dyDescent="0.2">
      <c r="A277" s="198" t="str">
        <f>"         "&amp;Labels!B100</f>
        <v xml:space="preserve">         Gross Margin %</v>
      </c>
      <c r="B277" s="233">
        <f>IF(Practices!B10=0,0,B276/Practices!B10)</f>
        <v>0</v>
      </c>
      <c r="C277" s="233">
        <f>IF(Practices!C10=0,0,C276/Practices!C10)</f>
        <v>0</v>
      </c>
      <c r="D277" s="233">
        <f>IF(Practices!D10=0,0,D276/Practices!D10)</f>
        <v>0</v>
      </c>
      <c r="E277" s="234">
        <f>IF(SUM(Practices!B10:D10)=0,0,SUM(B276:D276)/SUM(Practices!B10:D10))</f>
        <v>0</v>
      </c>
      <c r="F277" s="233">
        <f>IF(Practices!F10=0,0,F276/Practices!F10)</f>
        <v>0</v>
      </c>
      <c r="G277" s="233">
        <f>IF(Practices!G10=0,0,G276/Practices!G10)</f>
        <v>0</v>
      </c>
      <c r="H277" s="233">
        <f>IF(Practices!H10=0,0,H276/Practices!H10)</f>
        <v>0</v>
      </c>
      <c r="I277" s="234">
        <f>IF(SUM(Practices!F10:H10)=0,0,SUM(F276:H276)/SUM(Practices!F10:H10))</f>
        <v>0</v>
      </c>
      <c r="J277" s="233">
        <f>IF(Practices!J10=0,0,J276/Practices!J10)</f>
        <v>0</v>
      </c>
      <c r="K277" s="233">
        <f>IF(Practices!K10=0,0,K276/Practices!K10)</f>
        <v>0</v>
      </c>
      <c r="L277" s="233">
        <f>IF(Practices!L10=0,0,L276/Practices!L10)</f>
        <v>0</v>
      </c>
      <c r="M277" s="234">
        <f>IF(SUM(Practices!J10:L10)=0,0,SUM(J276:L276)/SUM(Practices!J10:L10))</f>
        <v>0</v>
      </c>
      <c r="N277" s="233">
        <f>IF(Practices!N10=0,0,N276/Practices!N10)</f>
        <v>0</v>
      </c>
      <c r="O277" s="233">
        <f>IF(Practices!O10=0,0,O276/Practices!O10)</f>
        <v>0</v>
      </c>
      <c r="P277" s="233">
        <f>IF(Practices!P10=0,0,P276/Practices!P10)</f>
        <v>0</v>
      </c>
      <c r="Q277" s="234">
        <f>IF(SUM(Practices!N10:P10)=0,0,SUM(N276:P276)/SUM(Practices!N10:P10))</f>
        <v>0</v>
      </c>
      <c r="R277" s="233">
        <f>IF(Practices!R10=0,0,R276/Practices!R10)</f>
        <v>0</v>
      </c>
      <c r="S277" s="233">
        <f>IF(Practices!S10=0,0,S276/Practices!S10)</f>
        <v>0</v>
      </c>
      <c r="T277" s="233">
        <f>IF(Practices!T10=0,0,T276/Practices!T10)</f>
        <v>0</v>
      </c>
      <c r="U277" s="234">
        <f>IF(SUM(Practices!R10:T10)=0,0,SUM(R276:T276)/SUM(Practices!R10:T10))</f>
        <v>0</v>
      </c>
      <c r="V277" s="233">
        <f>IF(Practices!V10=0,0,V276/Practices!V10)</f>
        <v>0</v>
      </c>
      <c r="W277" s="233">
        <f>IF(Practices!W10=0,0,W276/Practices!W10)</f>
        <v>0</v>
      </c>
      <c r="X277" s="233">
        <f>IF(Practices!X10=0,0,X276/Practices!X10)</f>
        <v>0</v>
      </c>
      <c r="Y277" s="234">
        <f>IF(SUM(Practices!V10:X10)=0,0,SUM(V276:X276)/SUM(Practices!V10:X10))</f>
        <v>0</v>
      </c>
    </row>
    <row r="278" spans="1:25" ht="12.75" hidden="1" customHeight="1" outlineLevel="2" x14ac:dyDescent="0.2">
      <c r="A278" s="97" t="str">
        <f>Labels!C380</f>
        <v>Total</v>
      </c>
      <c r="B278" s="6"/>
      <c r="C278" s="6"/>
      <c r="D278" s="6"/>
      <c r="E278" s="97"/>
      <c r="F278" s="6"/>
      <c r="G278" s="6"/>
      <c r="H278" s="6"/>
      <c r="I278" s="97"/>
      <c r="J278" s="6"/>
      <c r="K278" s="6"/>
      <c r="L278" s="6"/>
      <c r="M278" s="97"/>
      <c r="N278" s="6"/>
      <c r="O278" s="6"/>
      <c r="P278" s="6"/>
      <c r="Q278" s="97"/>
      <c r="R278" s="6"/>
      <c r="S278" s="6"/>
      <c r="T278" s="6"/>
      <c r="U278" s="97"/>
      <c r="V278" s="6"/>
      <c r="W278" s="6"/>
      <c r="X278" s="6"/>
      <c r="Y278" s="97"/>
    </row>
    <row r="279" spans="1:25" ht="12.75" hidden="1" customHeight="1" outlineLevel="2" x14ac:dyDescent="0.2">
      <c r="A279" s="188" t="str">
        <f>"   "&amp;Labels!B385</f>
        <v xml:space="preserve">   Prof Level 1</v>
      </c>
      <c r="B279" s="31"/>
      <c r="C279" s="31"/>
      <c r="D279" s="31"/>
      <c r="E279" s="188"/>
      <c r="F279" s="31"/>
      <c r="G279" s="31"/>
      <c r="H279" s="31"/>
      <c r="I279" s="188"/>
      <c r="J279" s="31"/>
      <c r="K279" s="31"/>
      <c r="L279" s="31"/>
      <c r="M279" s="188"/>
      <c r="N279" s="31"/>
      <c r="O279" s="31"/>
      <c r="P279" s="31"/>
      <c r="Q279" s="188"/>
      <c r="R279" s="31"/>
      <c r="S279" s="31"/>
      <c r="T279" s="31"/>
      <c r="U279" s="188"/>
      <c r="V279" s="31"/>
      <c r="W279" s="31"/>
      <c r="X279" s="31"/>
      <c r="Y279" s="188"/>
    </row>
    <row r="280" spans="1:25" ht="12.75" hidden="1" customHeight="1" outlineLevel="2" x14ac:dyDescent="0.2">
      <c r="A280" s="198" t="str">
        <f>"      "&amp;Labels!B317</f>
        <v xml:space="preserve">      Channels 1</v>
      </c>
      <c r="B280" s="43"/>
      <c r="C280" s="43"/>
      <c r="D280" s="43"/>
      <c r="E280" s="198"/>
      <c r="F280" s="43"/>
      <c r="G280" s="43"/>
      <c r="H280" s="43"/>
      <c r="I280" s="198"/>
      <c r="J280" s="43"/>
      <c r="K280" s="43"/>
      <c r="L280" s="43"/>
      <c r="M280" s="198"/>
      <c r="N280" s="43"/>
      <c r="O280" s="43"/>
      <c r="P280" s="43"/>
      <c r="Q280" s="198"/>
      <c r="R280" s="43"/>
      <c r="S280" s="43"/>
      <c r="T280" s="43"/>
      <c r="U280" s="198"/>
      <c r="V280" s="43"/>
      <c r="W280" s="43"/>
      <c r="X280" s="43"/>
      <c r="Y280" s="198"/>
    </row>
    <row r="281" spans="1:25" ht="12.75" hidden="1" customHeight="1" outlineLevel="2" x14ac:dyDescent="0.2">
      <c r="A281" s="198" t="str">
        <f>"         "&amp;Labels!B98</f>
        <v xml:space="preserve">         Gross Margin</v>
      </c>
      <c r="B281" s="226">
        <f>SUM(B219,B250)</f>
        <v>0</v>
      </c>
      <c r="C281" s="226">
        <f>SUM(C219,C250)</f>
        <v>0</v>
      </c>
      <c r="D281" s="226">
        <f>SUM(D219,D250)</f>
        <v>27500</v>
      </c>
      <c r="E281" s="227">
        <f>SUM(B281:D281)</f>
        <v>27500</v>
      </c>
      <c r="F281" s="226">
        <f>SUM(F219,F250)</f>
        <v>27500</v>
      </c>
      <c r="G281" s="226">
        <f>SUM(G219,G250)</f>
        <v>0</v>
      </c>
      <c r="H281" s="226">
        <f>SUM(H219,H250)</f>
        <v>20000</v>
      </c>
      <c r="I281" s="227">
        <f>SUM(F281:H281)</f>
        <v>47500</v>
      </c>
      <c r="J281" s="226">
        <f>SUM(J219,J250)</f>
        <v>5869.5535144699952</v>
      </c>
      <c r="K281" s="226">
        <f>SUM(K219,K250)</f>
        <v>2293.3800267919764</v>
      </c>
      <c r="L281" s="226">
        <f>SUM(L219,L250)</f>
        <v>0</v>
      </c>
      <c r="M281" s="227">
        <f>SUM(J281:L281)</f>
        <v>8162.9335412619712</v>
      </c>
      <c r="N281" s="226">
        <f>SUM(N219,N250)</f>
        <v>0</v>
      </c>
      <c r="O281" s="226">
        <f>SUM(O219,O250)</f>
        <v>0</v>
      </c>
      <c r="P281" s="226">
        <f>SUM(P219,P250)</f>
        <v>0</v>
      </c>
      <c r="Q281" s="227">
        <f>SUM(N281:P281)</f>
        <v>0</v>
      </c>
      <c r="R281" s="226">
        <f>SUM(R219,R250)</f>
        <v>0</v>
      </c>
      <c r="S281" s="226">
        <f>SUM(S219,S250)</f>
        <v>0</v>
      </c>
      <c r="T281" s="226">
        <f>SUM(T219,T250)</f>
        <v>0</v>
      </c>
      <c r="U281" s="227">
        <f>SUM(R281:T281)</f>
        <v>0</v>
      </c>
      <c r="V281" s="226">
        <f>SUM(V219,V250)</f>
        <v>0</v>
      </c>
      <c r="W281" s="226">
        <f>SUM(W219,W250)</f>
        <v>0</v>
      </c>
      <c r="X281" s="226">
        <f>SUM(X219,X250)</f>
        <v>0</v>
      </c>
      <c r="Y281" s="227">
        <f>SUM(V281:X281)</f>
        <v>0</v>
      </c>
    </row>
    <row r="282" spans="1:25" ht="12.75" hidden="1" customHeight="1" outlineLevel="2" x14ac:dyDescent="0.2">
      <c r="A282" s="198" t="str">
        <f>"         "&amp;Labels!B100</f>
        <v xml:space="preserve">         Gross Margin %</v>
      </c>
      <c r="B282" s="233">
        <f>IF(Sales!B135=0,0,B281/Sales!B135)</f>
        <v>0</v>
      </c>
      <c r="C282" s="233">
        <f>IF(Sales!C135=0,0,C281/Sales!C135)</f>
        <v>0</v>
      </c>
      <c r="D282" s="233">
        <f>IF(Sales!D135=0,0,D281/Sales!D135)</f>
        <v>0.95238095238095233</v>
      </c>
      <c r="E282" s="234">
        <f>IF(SUM(Sales!B135:D135)=0,0,SUM(B281:D281)/SUM(Sales!B135:D135))</f>
        <v>0.95238095238095233</v>
      </c>
      <c r="F282" s="233">
        <f>IF(Sales!F135=0,0,F281/Sales!F135)</f>
        <v>0.95238095238095233</v>
      </c>
      <c r="G282" s="233">
        <f>IF(Sales!G135=0,0,G281/Sales!G135)</f>
        <v>0</v>
      </c>
      <c r="H282" s="233">
        <f>IF(Sales!H135=0,0,H281/Sales!H135)</f>
        <v>0.95238095238095233</v>
      </c>
      <c r="I282" s="234">
        <f>IF(SUM(Sales!F135:H135)=0,0,SUM(F281:H281)/SUM(Sales!F135:H135))</f>
        <v>0.95238095238095233</v>
      </c>
      <c r="J282" s="233">
        <f>IF(Sales!J135=0,0,J281/Sales!J135)</f>
        <v>0.27950254830809501</v>
      </c>
      <c r="K282" s="233">
        <f>IF(Sales!K135=0,0,K281/Sales!K135)</f>
        <v>0.10920857270437984</v>
      </c>
      <c r="L282" s="233">
        <f>IF(Sales!L135=0,0,L281/Sales!L135)</f>
        <v>0</v>
      </c>
      <c r="M282" s="234">
        <f>IF(SUM(Sales!J135:L135)=0,0,SUM(J281:L281)/SUM(Sales!J135:L135))</f>
        <v>0.1943555605062374</v>
      </c>
      <c r="N282" s="233">
        <f>IF(Sales!N135=0,0,N281/Sales!N135)</f>
        <v>0</v>
      </c>
      <c r="O282" s="233">
        <f>IF(Sales!O135=0,0,O281/Sales!O135)</f>
        <v>0</v>
      </c>
      <c r="P282" s="233">
        <f>IF(Sales!P135=0,0,P281/Sales!P135)</f>
        <v>0</v>
      </c>
      <c r="Q282" s="234">
        <f>IF(SUM(Sales!N135:P135)=0,0,SUM(N281:P281)/SUM(Sales!N135:P135))</f>
        <v>0</v>
      </c>
      <c r="R282" s="233">
        <f>IF(Sales!R135=0,0,R281/Sales!R135)</f>
        <v>0</v>
      </c>
      <c r="S282" s="233">
        <f>IF(Sales!S135=0,0,S281/Sales!S135)</f>
        <v>0</v>
      </c>
      <c r="T282" s="233">
        <f>IF(Sales!T135=0,0,T281/Sales!T135)</f>
        <v>0</v>
      </c>
      <c r="U282" s="234">
        <f>IF(SUM(Sales!R135:T135)=0,0,SUM(R281:T281)/SUM(Sales!R135:T135))</f>
        <v>0</v>
      </c>
      <c r="V282" s="233">
        <f>IF(Sales!V135=0,0,V281/Sales!V135)</f>
        <v>0</v>
      </c>
      <c r="W282" s="233">
        <f>IF(Sales!W135=0,0,W281/Sales!W135)</f>
        <v>0</v>
      </c>
      <c r="X282" s="233">
        <f>IF(Sales!X135=0,0,X281/Sales!X135)</f>
        <v>0</v>
      </c>
      <c r="Y282" s="234">
        <f>IF(SUM(Sales!V135:X135)=0,0,SUM(V281:X281)/SUM(Sales!V135:X135))</f>
        <v>0</v>
      </c>
    </row>
    <row r="283" spans="1:25" ht="12.75" hidden="1" customHeight="1" outlineLevel="2" x14ac:dyDescent="0.2">
      <c r="A283" s="198" t="str">
        <f>"      "&amp;Labels!B318</f>
        <v xml:space="preserve">      Channels 2</v>
      </c>
      <c r="B283" s="43"/>
      <c r="C283" s="43"/>
      <c r="D283" s="43"/>
      <c r="E283" s="198"/>
      <c r="F283" s="43"/>
      <c r="G283" s="43"/>
      <c r="H283" s="43"/>
      <c r="I283" s="198"/>
      <c r="J283" s="43"/>
      <c r="K283" s="43"/>
      <c r="L283" s="43"/>
      <c r="M283" s="198"/>
      <c r="N283" s="43"/>
      <c r="O283" s="43"/>
      <c r="P283" s="43"/>
      <c r="Q283" s="198"/>
      <c r="R283" s="43"/>
      <c r="S283" s="43"/>
      <c r="T283" s="43"/>
      <c r="U283" s="198"/>
      <c r="V283" s="43"/>
      <c r="W283" s="43"/>
      <c r="X283" s="43"/>
      <c r="Y283" s="198"/>
    </row>
    <row r="284" spans="1:25" ht="12.75" hidden="1" customHeight="1" outlineLevel="2" x14ac:dyDescent="0.2">
      <c r="A284" s="198" t="str">
        <f>"         "&amp;Labels!B98</f>
        <v xml:space="preserve">         Gross Margin</v>
      </c>
      <c r="B284" s="226">
        <f>SUM(B222,B253)</f>
        <v>0</v>
      </c>
      <c r="C284" s="226">
        <f>SUM(C222,C253)</f>
        <v>0</v>
      </c>
      <c r="D284" s="226">
        <f>SUM(D222,D253)</f>
        <v>27500</v>
      </c>
      <c r="E284" s="227">
        <f>SUM(B284:D284)</f>
        <v>27500</v>
      </c>
      <c r="F284" s="226">
        <f>SUM(F222,F253)</f>
        <v>27500</v>
      </c>
      <c r="G284" s="226">
        <f>SUM(G222,G253)</f>
        <v>0</v>
      </c>
      <c r="H284" s="226">
        <f>SUM(H222,H253)</f>
        <v>20000</v>
      </c>
      <c r="I284" s="227">
        <f>SUM(F284:H284)</f>
        <v>47500</v>
      </c>
      <c r="J284" s="226">
        <f>SUM(J222,J253)</f>
        <v>20000</v>
      </c>
      <c r="K284" s="226">
        <f>SUM(K222,K253)</f>
        <v>16458.676005358397</v>
      </c>
      <c r="L284" s="226">
        <f>SUM(L222,L253)</f>
        <v>0</v>
      </c>
      <c r="M284" s="227">
        <f>SUM(J284:L284)</f>
        <v>36458.6760053584</v>
      </c>
      <c r="N284" s="226">
        <f>SUM(N222,N253)</f>
        <v>0</v>
      </c>
      <c r="O284" s="226">
        <f>SUM(O222,O253)</f>
        <v>0</v>
      </c>
      <c r="P284" s="226">
        <f>SUM(P222,P253)</f>
        <v>0</v>
      </c>
      <c r="Q284" s="227">
        <f>SUM(N284:P284)</f>
        <v>0</v>
      </c>
      <c r="R284" s="226">
        <f>SUM(R222,R253)</f>
        <v>0</v>
      </c>
      <c r="S284" s="226">
        <f>SUM(S222,S253)</f>
        <v>0</v>
      </c>
      <c r="T284" s="226">
        <f>SUM(T222,T253)</f>
        <v>0</v>
      </c>
      <c r="U284" s="227">
        <f>SUM(R284:T284)</f>
        <v>0</v>
      </c>
      <c r="V284" s="226">
        <f>SUM(V222,V253)</f>
        <v>0</v>
      </c>
      <c r="W284" s="226">
        <f>SUM(W222,W253)</f>
        <v>0</v>
      </c>
      <c r="X284" s="226">
        <f>SUM(X222,X253)</f>
        <v>0</v>
      </c>
      <c r="Y284" s="227">
        <f>SUM(V284:X284)</f>
        <v>0</v>
      </c>
    </row>
    <row r="285" spans="1:25" ht="12.75" hidden="1" customHeight="1" outlineLevel="2" x14ac:dyDescent="0.2">
      <c r="A285" s="198" t="str">
        <f>"         "&amp;Labels!B100</f>
        <v xml:space="preserve">         Gross Margin %</v>
      </c>
      <c r="B285" s="233">
        <f>IF(Sales!B136=0,0,B284/Sales!B136)</f>
        <v>0</v>
      </c>
      <c r="C285" s="233">
        <f>IF(Sales!C136=0,0,C284/Sales!C136)</f>
        <v>0</v>
      </c>
      <c r="D285" s="233">
        <f>IF(Sales!D136=0,0,D284/Sales!D136)</f>
        <v>1</v>
      </c>
      <c r="E285" s="234">
        <f>IF(SUM(Sales!B136:D136)=0,0,SUM(B284:D284)/SUM(Sales!B136:D136))</f>
        <v>1</v>
      </c>
      <c r="F285" s="233">
        <f>IF(Sales!F136=0,0,F284/Sales!F136)</f>
        <v>1</v>
      </c>
      <c r="G285" s="233">
        <f>IF(Sales!G136=0,0,G284/Sales!G136)</f>
        <v>0</v>
      </c>
      <c r="H285" s="233">
        <f>IF(Sales!H136=0,0,H284/Sales!H136)</f>
        <v>1</v>
      </c>
      <c r="I285" s="234">
        <f>IF(SUM(Sales!F136:H136)=0,0,SUM(F284:H284)/SUM(Sales!F136:H136))</f>
        <v>1</v>
      </c>
      <c r="J285" s="233">
        <f>IF(Sales!J136=0,0,J284/Sales!J136)</f>
        <v>1</v>
      </c>
      <c r="K285" s="233">
        <f>IF(Sales!K136=0,0,K284/Sales!K136)</f>
        <v>0.82293380026791985</v>
      </c>
      <c r="L285" s="233">
        <f>IF(Sales!L136=0,0,L284/Sales!L136)</f>
        <v>0</v>
      </c>
      <c r="M285" s="234">
        <f>IF(SUM(Sales!J136:L136)=0,0,SUM(J284:L284)/SUM(Sales!J136:L136))</f>
        <v>0.91146690013396003</v>
      </c>
      <c r="N285" s="233">
        <f>IF(Sales!N136=0,0,N284/Sales!N136)</f>
        <v>0</v>
      </c>
      <c r="O285" s="233">
        <f>IF(Sales!O136=0,0,O284/Sales!O136)</f>
        <v>0</v>
      </c>
      <c r="P285" s="233">
        <f>IF(Sales!P136=0,0,P284/Sales!P136)</f>
        <v>0</v>
      </c>
      <c r="Q285" s="234">
        <f>IF(SUM(Sales!N136:P136)=0,0,SUM(N284:P284)/SUM(Sales!N136:P136))</f>
        <v>0</v>
      </c>
      <c r="R285" s="233">
        <f>IF(Sales!R136=0,0,R284/Sales!R136)</f>
        <v>0</v>
      </c>
      <c r="S285" s="233">
        <f>IF(Sales!S136=0,0,S284/Sales!S136)</f>
        <v>0</v>
      </c>
      <c r="T285" s="233">
        <f>IF(Sales!T136=0,0,T284/Sales!T136)</f>
        <v>0</v>
      </c>
      <c r="U285" s="234">
        <f>IF(SUM(Sales!R136:T136)=0,0,SUM(R284:T284)/SUM(Sales!R136:T136))</f>
        <v>0</v>
      </c>
      <c r="V285" s="233">
        <f>IF(Sales!V136=0,0,V284/Sales!V136)</f>
        <v>0</v>
      </c>
      <c r="W285" s="233">
        <f>IF(Sales!W136=0,0,W284/Sales!W136)</f>
        <v>0</v>
      </c>
      <c r="X285" s="233">
        <f>IF(Sales!X136=0,0,X284/Sales!X136)</f>
        <v>0</v>
      </c>
      <c r="Y285" s="234">
        <f>IF(SUM(Sales!V136:X136)=0,0,SUM(V284:X284)/SUM(Sales!V136:X136))</f>
        <v>0</v>
      </c>
    </row>
    <row r="286" spans="1:25" ht="12.75" hidden="1" customHeight="1" outlineLevel="2" x14ac:dyDescent="0.2">
      <c r="A286" s="188" t="str">
        <f>"      "&amp;Labels!C316</f>
        <v xml:space="preserve">      Total</v>
      </c>
      <c r="B286" s="31"/>
      <c r="C286" s="31"/>
      <c r="D286" s="31"/>
      <c r="E286" s="188"/>
      <c r="F286" s="31"/>
      <c r="G286" s="31"/>
      <c r="H286" s="31"/>
      <c r="I286" s="188"/>
      <c r="J286" s="31"/>
      <c r="K286" s="31"/>
      <c r="L286" s="31"/>
      <c r="M286" s="188"/>
      <c r="N286" s="31"/>
      <c r="O286" s="31"/>
      <c r="P286" s="31"/>
      <c r="Q286" s="188"/>
      <c r="R286" s="31"/>
      <c r="S286" s="31"/>
      <c r="T286" s="31"/>
      <c r="U286" s="188"/>
      <c r="V286" s="31"/>
      <c r="W286" s="31"/>
      <c r="X286" s="31"/>
      <c r="Y286" s="188"/>
    </row>
    <row r="287" spans="1:25" ht="12.75" hidden="1" customHeight="1" outlineLevel="2" x14ac:dyDescent="0.2">
      <c r="A287" s="198" t="str">
        <f>"         "&amp;Labels!B98</f>
        <v xml:space="preserve">         Gross Margin</v>
      </c>
      <c r="B287" s="226">
        <f>SUM(B225,B256)</f>
        <v>0</v>
      </c>
      <c r="C287" s="226">
        <f>SUM(C225,C256)</f>
        <v>0</v>
      </c>
      <c r="D287" s="226">
        <f>SUM(D225,D256)</f>
        <v>55000</v>
      </c>
      <c r="E287" s="227">
        <f>SUM(B287:D287)</f>
        <v>55000</v>
      </c>
      <c r="F287" s="226">
        <f>SUM(F225,F256)</f>
        <v>55000</v>
      </c>
      <c r="G287" s="226">
        <f>SUM(G225,G256)</f>
        <v>0</v>
      </c>
      <c r="H287" s="226">
        <f>SUM(H225,H256)</f>
        <v>40000</v>
      </c>
      <c r="I287" s="227">
        <f>SUM(F287:H287)</f>
        <v>95000</v>
      </c>
      <c r="J287" s="226">
        <f>SUM(J225,J256)</f>
        <v>25869.553514469997</v>
      </c>
      <c r="K287" s="226">
        <f>SUM(K225,K256)</f>
        <v>18752.056032150373</v>
      </c>
      <c r="L287" s="226">
        <f>SUM(L225,L256)</f>
        <v>0</v>
      </c>
      <c r="M287" s="227">
        <f>SUM(J287:L287)</f>
        <v>44621.60954662037</v>
      </c>
      <c r="N287" s="226">
        <f>SUM(N225,N256)</f>
        <v>0</v>
      </c>
      <c r="O287" s="226">
        <f>SUM(O225,O256)</f>
        <v>0</v>
      </c>
      <c r="P287" s="226">
        <f>SUM(P225,P256)</f>
        <v>0</v>
      </c>
      <c r="Q287" s="227">
        <f>SUM(N287:P287)</f>
        <v>0</v>
      </c>
      <c r="R287" s="226">
        <f>SUM(R225,R256)</f>
        <v>0</v>
      </c>
      <c r="S287" s="226">
        <f>SUM(S225,S256)</f>
        <v>0</v>
      </c>
      <c r="T287" s="226">
        <f>SUM(T225,T256)</f>
        <v>0</v>
      </c>
      <c r="U287" s="227">
        <f>SUM(R287:T287)</f>
        <v>0</v>
      </c>
      <c r="V287" s="226">
        <f>SUM(V225,V256)</f>
        <v>0</v>
      </c>
      <c r="W287" s="226">
        <f>SUM(W225,W256)</f>
        <v>0</v>
      </c>
      <c r="X287" s="226">
        <f>SUM(X225,X256)</f>
        <v>0</v>
      </c>
      <c r="Y287" s="227">
        <f>SUM(V287:X287)</f>
        <v>0</v>
      </c>
    </row>
    <row r="288" spans="1:25" ht="12.75" hidden="1" customHeight="1" outlineLevel="2" x14ac:dyDescent="0.2">
      <c r="A288" s="198" t="str">
        <f>"         "&amp;Labels!B100</f>
        <v xml:space="preserve">         Gross Margin %</v>
      </c>
      <c r="B288" s="233">
        <f>IF(Practices!B187=0,0,B287/Practices!B187)</f>
        <v>0</v>
      </c>
      <c r="C288" s="233">
        <f>IF(Practices!C187=0,0,C287/Practices!C187)</f>
        <v>0</v>
      </c>
      <c r="D288" s="233">
        <f>IF(Practices!D187=0,0,D287/Practices!D187)</f>
        <v>0.97560975609756095</v>
      </c>
      <c r="E288" s="234">
        <f>IF(SUM(Practices!B187:D187)=0,0,SUM(B287:D287)/SUM(Practices!B187:D187))</f>
        <v>0.97560975609756095</v>
      </c>
      <c r="F288" s="233">
        <f>IF(Practices!F187=0,0,F287/Practices!F187)</f>
        <v>0.97560975609756095</v>
      </c>
      <c r="G288" s="233">
        <f>IF(Practices!G187=0,0,G287/Practices!G187)</f>
        <v>0</v>
      </c>
      <c r="H288" s="233">
        <f>IF(Practices!H187=0,0,H287/Practices!H187)</f>
        <v>0.97560975609756095</v>
      </c>
      <c r="I288" s="234">
        <f>IF(SUM(Practices!F187:H187)=0,0,SUM(F287:H287)/SUM(Practices!F187:H187))</f>
        <v>0.97560975609756095</v>
      </c>
      <c r="J288" s="233">
        <f>IF(Practices!J187=0,0,J287/Practices!J187)</f>
        <v>0.63096471986512193</v>
      </c>
      <c r="K288" s="233">
        <f>IF(Practices!K187=0,0,K287/Practices!K187)</f>
        <v>0.45736722029635057</v>
      </c>
      <c r="L288" s="233">
        <f>IF(Practices!L187=0,0,L287/Practices!L187)</f>
        <v>0</v>
      </c>
      <c r="M288" s="234">
        <f>IF(SUM(Practices!J187:L187)=0,0,SUM(J287:L287)/SUM(Practices!J187:L187))</f>
        <v>0.54416597008073619</v>
      </c>
      <c r="N288" s="233">
        <f>IF(Practices!N187=0,0,N287/Practices!N187)</f>
        <v>0</v>
      </c>
      <c r="O288" s="233">
        <f>IF(Practices!O187=0,0,O287/Practices!O187)</f>
        <v>0</v>
      </c>
      <c r="P288" s="233">
        <f>IF(Practices!P187=0,0,P287/Practices!P187)</f>
        <v>0</v>
      </c>
      <c r="Q288" s="234">
        <f>IF(SUM(Practices!N187:P187)=0,0,SUM(N287:P287)/SUM(Practices!N187:P187))</f>
        <v>0</v>
      </c>
      <c r="R288" s="233">
        <f>IF(Practices!R187=0,0,R287/Practices!R187)</f>
        <v>0</v>
      </c>
      <c r="S288" s="233">
        <f>IF(Practices!S187=0,0,S287/Practices!S187)</f>
        <v>0</v>
      </c>
      <c r="T288" s="233">
        <f>IF(Practices!T187=0,0,T287/Practices!T187)</f>
        <v>0</v>
      </c>
      <c r="U288" s="234">
        <f>IF(SUM(Practices!R187:T187)=0,0,SUM(R287:T287)/SUM(Practices!R187:T187))</f>
        <v>0</v>
      </c>
      <c r="V288" s="233">
        <f>IF(Practices!V187=0,0,V287/Practices!V187)</f>
        <v>0</v>
      </c>
      <c r="W288" s="233">
        <f>IF(Practices!W187=0,0,W287/Practices!W187)</f>
        <v>0</v>
      </c>
      <c r="X288" s="233">
        <f>IF(Practices!X187=0,0,X287/Practices!X187)</f>
        <v>0</v>
      </c>
      <c r="Y288" s="234">
        <f>IF(SUM(Practices!V187:X187)=0,0,SUM(V287:X287)/SUM(Practices!V187:X187))</f>
        <v>0</v>
      </c>
    </row>
    <row r="289" spans="1:25" ht="12.75" hidden="1" customHeight="1" outlineLevel="2" x14ac:dyDescent="0.2">
      <c r="A289" s="188" t="str">
        <f>"   "&amp;Labels!B386</f>
        <v xml:space="preserve">   Prof Level 2</v>
      </c>
      <c r="B289" s="31"/>
      <c r="C289" s="31"/>
      <c r="D289" s="31"/>
      <c r="E289" s="188"/>
      <c r="F289" s="31"/>
      <c r="G289" s="31"/>
      <c r="H289" s="31"/>
      <c r="I289" s="188"/>
      <c r="J289" s="31"/>
      <c r="K289" s="31"/>
      <c r="L289" s="31"/>
      <c r="M289" s="188"/>
      <c r="N289" s="31"/>
      <c r="O289" s="31"/>
      <c r="P289" s="31"/>
      <c r="Q289" s="188"/>
      <c r="R289" s="31"/>
      <c r="S289" s="31"/>
      <c r="T289" s="31"/>
      <c r="U289" s="188"/>
      <c r="V289" s="31"/>
      <c r="W289" s="31"/>
      <c r="X289" s="31"/>
      <c r="Y289" s="188"/>
    </row>
    <row r="290" spans="1:25" ht="12.75" hidden="1" customHeight="1" outlineLevel="2" x14ac:dyDescent="0.2">
      <c r="A290" s="198" t="str">
        <f>"      "&amp;Labels!B317</f>
        <v xml:space="preserve">      Channels 1</v>
      </c>
      <c r="B290" s="43"/>
      <c r="C290" s="43"/>
      <c r="D290" s="43"/>
      <c r="E290" s="198"/>
      <c r="F290" s="43"/>
      <c r="G290" s="43"/>
      <c r="H290" s="43"/>
      <c r="I290" s="198"/>
      <c r="J290" s="43"/>
      <c r="K290" s="43"/>
      <c r="L290" s="43"/>
      <c r="M290" s="198"/>
      <c r="N290" s="43"/>
      <c r="O290" s="43"/>
      <c r="P290" s="43"/>
      <c r="Q290" s="198"/>
      <c r="R290" s="43"/>
      <c r="S290" s="43"/>
      <c r="T290" s="43"/>
      <c r="U290" s="198"/>
      <c r="V290" s="43"/>
      <c r="W290" s="43"/>
      <c r="X290" s="43"/>
      <c r="Y290" s="198"/>
    </row>
    <row r="291" spans="1:25" ht="12.75" hidden="1" customHeight="1" outlineLevel="2" x14ac:dyDescent="0.2">
      <c r="A291" s="198" t="str">
        <f>"         "&amp;Labels!B98</f>
        <v xml:space="preserve">         Gross Margin</v>
      </c>
      <c r="B291" s="226">
        <f>SUM(B229,B260)</f>
        <v>0</v>
      </c>
      <c r="C291" s="226">
        <f>SUM(C229,C260)</f>
        <v>0</v>
      </c>
      <c r="D291" s="226">
        <f>SUM(D229,D260)</f>
        <v>27500</v>
      </c>
      <c r="E291" s="227">
        <f>SUM(B291:D291)</f>
        <v>27500</v>
      </c>
      <c r="F291" s="226">
        <f>SUM(F229,F260)</f>
        <v>27500</v>
      </c>
      <c r="G291" s="226">
        <f>SUM(G229,G260)</f>
        <v>0</v>
      </c>
      <c r="H291" s="226">
        <f>SUM(H229,H260)</f>
        <v>20000</v>
      </c>
      <c r="I291" s="227">
        <f>SUM(F291:H291)</f>
        <v>47500</v>
      </c>
      <c r="J291" s="226">
        <f>SUM(J229,J260)</f>
        <v>5869.5535144699952</v>
      </c>
      <c r="K291" s="226">
        <f>SUM(K229,K260)</f>
        <v>2293.3800267919764</v>
      </c>
      <c r="L291" s="226">
        <f>SUM(L229,L260)</f>
        <v>0</v>
      </c>
      <c r="M291" s="227">
        <f>SUM(J291:L291)</f>
        <v>8162.9335412619712</v>
      </c>
      <c r="N291" s="226">
        <f>SUM(N229,N260)</f>
        <v>0</v>
      </c>
      <c r="O291" s="226">
        <f>SUM(O229,O260)</f>
        <v>0</v>
      </c>
      <c r="P291" s="226">
        <f>SUM(P229,P260)</f>
        <v>0</v>
      </c>
      <c r="Q291" s="227">
        <f>SUM(N291:P291)</f>
        <v>0</v>
      </c>
      <c r="R291" s="226">
        <f>SUM(R229,R260)</f>
        <v>0</v>
      </c>
      <c r="S291" s="226">
        <f>SUM(S229,S260)</f>
        <v>0</v>
      </c>
      <c r="T291" s="226">
        <f>SUM(T229,T260)</f>
        <v>0</v>
      </c>
      <c r="U291" s="227">
        <f>SUM(R291:T291)</f>
        <v>0</v>
      </c>
      <c r="V291" s="226">
        <f>SUM(V229,V260)</f>
        <v>0</v>
      </c>
      <c r="W291" s="226">
        <f>SUM(W229,W260)</f>
        <v>0</v>
      </c>
      <c r="X291" s="226">
        <f>SUM(X229,X260)</f>
        <v>0</v>
      </c>
      <c r="Y291" s="227">
        <f>SUM(V291:X291)</f>
        <v>0</v>
      </c>
    </row>
    <row r="292" spans="1:25" ht="12.75" hidden="1" customHeight="1" outlineLevel="2" x14ac:dyDescent="0.2">
      <c r="A292" s="198" t="str">
        <f>"         "&amp;Labels!B100</f>
        <v xml:space="preserve">         Gross Margin %</v>
      </c>
      <c r="B292" s="233">
        <f>IF(Sales!B139=0,0,B291/Sales!B139)</f>
        <v>0</v>
      </c>
      <c r="C292" s="233">
        <f>IF(Sales!C139=0,0,C291/Sales!C139)</f>
        <v>0</v>
      </c>
      <c r="D292" s="233">
        <f>IF(Sales!D139=0,0,D291/Sales!D139)</f>
        <v>0.95238095238095233</v>
      </c>
      <c r="E292" s="234">
        <f>IF(SUM(Sales!B139:D139)=0,0,SUM(B291:D291)/SUM(Sales!B139:D139))</f>
        <v>0.95238095238095233</v>
      </c>
      <c r="F292" s="233">
        <f>IF(Sales!F139=0,0,F291/Sales!F139)</f>
        <v>0.95238095238095233</v>
      </c>
      <c r="G292" s="233">
        <f>IF(Sales!G139=0,0,G291/Sales!G139)</f>
        <v>0</v>
      </c>
      <c r="H292" s="233">
        <f>IF(Sales!H139=0,0,H291/Sales!H139)</f>
        <v>0.95238095238095233</v>
      </c>
      <c r="I292" s="234">
        <f>IF(SUM(Sales!F139:H139)=0,0,SUM(F291:H291)/SUM(Sales!F139:H139))</f>
        <v>0.95238095238095233</v>
      </c>
      <c r="J292" s="233">
        <f>IF(Sales!J139=0,0,J291/Sales!J139)</f>
        <v>0.27950254830809501</v>
      </c>
      <c r="K292" s="233">
        <f>IF(Sales!K139=0,0,K291/Sales!K139)</f>
        <v>0.10920857270437984</v>
      </c>
      <c r="L292" s="233">
        <f>IF(Sales!L139=0,0,L291/Sales!L139)</f>
        <v>0</v>
      </c>
      <c r="M292" s="234">
        <f>IF(SUM(Sales!J139:L139)=0,0,SUM(J291:L291)/SUM(Sales!J139:L139))</f>
        <v>0.1943555605062374</v>
      </c>
      <c r="N292" s="233">
        <f>IF(Sales!N139=0,0,N291/Sales!N139)</f>
        <v>0</v>
      </c>
      <c r="O292" s="233">
        <f>IF(Sales!O139=0,0,O291/Sales!O139)</f>
        <v>0</v>
      </c>
      <c r="P292" s="233">
        <f>IF(Sales!P139=0,0,P291/Sales!P139)</f>
        <v>0</v>
      </c>
      <c r="Q292" s="234">
        <f>IF(SUM(Sales!N139:P139)=0,0,SUM(N291:P291)/SUM(Sales!N139:P139))</f>
        <v>0</v>
      </c>
      <c r="R292" s="233">
        <f>IF(Sales!R139=0,0,R291/Sales!R139)</f>
        <v>0</v>
      </c>
      <c r="S292" s="233">
        <f>IF(Sales!S139=0,0,S291/Sales!S139)</f>
        <v>0</v>
      </c>
      <c r="T292" s="233">
        <f>IF(Sales!T139=0,0,T291/Sales!T139)</f>
        <v>0</v>
      </c>
      <c r="U292" s="234">
        <f>IF(SUM(Sales!R139:T139)=0,0,SUM(R291:T291)/SUM(Sales!R139:T139))</f>
        <v>0</v>
      </c>
      <c r="V292" s="233">
        <f>IF(Sales!V139=0,0,V291/Sales!V139)</f>
        <v>0</v>
      </c>
      <c r="W292" s="233">
        <f>IF(Sales!W139=0,0,W291/Sales!W139)</f>
        <v>0</v>
      </c>
      <c r="X292" s="233">
        <f>IF(Sales!X139=0,0,X291/Sales!X139)</f>
        <v>0</v>
      </c>
      <c r="Y292" s="234">
        <f>IF(SUM(Sales!V139:X139)=0,0,SUM(V291:X291)/SUM(Sales!V139:X139))</f>
        <v>0</v>
      </c>
    </row>
    <row r="293" spans="1:25" ht="12.75" hidden="1" customHeight="1" outlineLevel="2" x14ac:dyDescent="0.2">
      <c r="A293" s="198" t="str">
        <f>"      "&amp;Labels!B318</f>
        <v xml:space="preserve">      Channels 2</v>
      </c>
      <c r="B293" s="43"/>
      <c r="C293" s="43"/>
      <c r="D293" s="43"/>
      <c r="E293" s="198"/>
      <c r="F293" s="43"/>
      <c r="G293" s="43"/>
      <c r="H293" s="43"/>
      <c r="I293" s="198"/>
      <c r="J293" s="43"/>
      <c r="K293" s="43"/>
      <c r="L293" s="43"/>
      <c r="M293" s="198"/>
      <c r="N293" s="43"/>
      <c r="O293" s="43"/>
      <c r="P293" s="43"/>
      <c r="Q293" s="198"/>
      <c r="R293" s="43"/>
      <c r="S293" s="43"/>
      <c r="T293" s="43"/>
      <c r="U293" s="198"/>
      <c r="V293" s="43"/>
      <c r="W293" s="43"/>
      <c r="X293" s="43"/>
      <c r="Y293" s="198"/>
    </row>
    <row r="294" spans="1:25" ht="12.75" hidden="1" customHeight="1" outlineLevel="2" x14ac:dyDescent="0.2">
      <c r="A294" s="198" t="str">
        <f>"         "&amp;Labels!B98</f>
        <v xml:space="preserve">         Gross Margin</v>
      </c>
      <c r="B294" s="226">
        <f>SUM(B232,B263)</f>
        <v>0</v>
      </c>
      <c r="C294" s="226">
        <f>SUM(C232,C263)</f>
        <v>0</v>
      </c>
      <c r="D294" s="226">
        <f>SUM(D232,D263)</f>
        <v>27500</v>
      </c>
      <c r="E294" s="227">
        <f>SUM(B294:D294)</f>
        <v>27500</v>
      </c>
      <c r="F294" s="226">
        <f>SUM(F232,F263)</f>
        <v>27500</v>
      </c>
      <c r="G294" s="226">
        <f>SUM(G232,G263)</f>
        <v>0</v>
      </c>
      <c r="H294" s="226">
        <f>SUM(H232,H263)</f>
        <v>20000</v>
      </c>
      <c r="I294" s="227">
        <f>SUM(F294:H294)</f>
        <v>47500</v>
      </c>
      <c r="J294" s="226">
        <f>SUM(J232,J263)</f>
        <v>20000</v>
      </c>
      <c r="K294" s="226">
        <f>SUM(K232,K263)</f>
        <v>16458.676005358397</v>
      </c>
      <c r="L294" s="226">
        <f>SUM(L232,L263)</f>
        <v>0</v>
      </c>
      <c r="M294" s="227">
        <f>SUM(J294:L294)</f>
        <v>36458.6760053584</v>
      </c>
      <c r="N294" s="226">
        <f>SUM(N232,N263)</f>
        <v>0</v>
      </c>
      <c r="O294" s="226">
        <f>SUM(O232,O263)</f>
        <v>0</v>
      </c>
      <c r="P294" s="226">
        <f>SUM(P232,P263)</f>
        <v>0</v>
      </c>
      <c r="Q294" s="227">
        <f>SUM(N294:P294)</f>
        <v>0</v>
      </c>
      <c r="R294" s="226">
        <f>SUM(R232,R263)</f>
        <v>0</v>
      </c>
      <c r="S294" s="226">
        <f>SUM(S232,S263)</f>
        <v>0</v>
      </c>
      <c r="T294" s="226">
        <f>SUM(T232,T263)</f>
        <v>0</v>
      </c>
      <c r="U294" s="227">
        <f>SUM(R294:T294)</f>
        <v>0</v>
      </c>
      <c r="V294" s="226">
        <f>SUM(V232,V263)</f>
        <v>0</v>
      </c>
      <c r="W294" s="226">
        <f>SUM(W232,W263)</f>
        <v>0</v>
      </c>
      <c r="X294" s="226">
        <f>SUM(X232,X263)</f>
        <v>0</v>
      </c>
      <c r="Y294" s="227">
        <f>SUM(V294:X294)</f>
        <v>0</v>
      </c>
    </row>
    <row r="295" spans="1:25" ht="12.75" hidden="1" customHeight="1" outlineLevel="2" x14ac:dyDescent="0.2">
      <c r="A295" s="198" t="str">
        <f>"         "&amp;Labels!B100</f>
        <v xml:space="preserve">         Gross Margin %</v>
      </c>
      <c r="B295" s="233">
        <f>IF(Sales!B140=0,0,B294/Sales!B140)</f>
        <v>0</v>
      </c>
      <c r="C295" s="233">
        <f>IF(Sales!C140=0,0,C294/Sales!C140)</f>
        <v>0</v>
      </c>
      <c r="D295" s="233">
        <f>IF(Sales!D140=0,0,D294/Sales!D140)</f>
        <v>1</v>
      </c>
      <c r="E295" s="234">
        <f>IF(SUM(Sales!B140:D140)=0,0,SUM(B294:D294)/SUM(Sales!B140:D140))</f>
        <v>1</v>
      </c>
      <c r="F295" s="233">
        <f>IF(Sales!F140=0,0,F294/Sales!F140)</f>
        <v>1</v>
      </c>
      <c r="G295" s="233">
        <f>IF(Sales!G140=0,0,G294/Sales!G140)</f>
        <v>0</v>
      </c>
      <c r="H295" s="233">
        <f>IF(Sales!H140=0,0,H294/Sales!H140)</f>
        <v>1</v>
      </c>
      <c r="I295" s="234">
        <f>IF(SUM(Sales!F140:H140)=0,0,SUM(F294:H294)/SUM(Sales!F140:H140))</f>
        <v>1</v>
      </c>
      <c r="J295" s="233">
        <f>IF(Sales!J140=0,0,J294/Sales!J140)</f>
        <v>1</v>
      </c>
      <c r="K295" s="233">
        <f>IF(Sales!K140=0,0,K294/Sales!K140)</f>
        <v>0.82293380026791985</v>
      </c>
      <c r="L295" s="233">
        <f>IF(Sales!L140=0,0,L294/Sales!L140)</f>
        <v>0</v>
      </c>
      <c r="M295" s="234">
        <f>IF(SUM(Sales!J140:L140)=0,0,SUM(J294:L294)/SUM(Sales!J140:L140))</f>
        <v>0.91146690013396003</v>
      </c>
      <c r="N295" s="233">
        <f>IF(Sales!N140=0,0,N294/Sales!N140)</f>
        <v>0</v>
      </c>
      <c r="O295" s="233">
        <f>IF(Sales!O140=0,0,O294/Sales!O140)</f>
        <v>0</v>
      </c>
      <c r="P295" s="233">
        <f>IF(Sales!P140=0,0,P294/Sales!P140)</f>
        <v>0</v>
      </c>
      <c r="Q295" s="234">
        <f>IF(SUM(Sales!N140:P140)=0,0,SUM(N294:P294)/SUM(Sales!N140:P140))</f>
        <v>0</v>
      </c>
      <c r="R295" s="233">
        <f>IF(Sales!R140=0,0,R294/Sales!R140)</f>
        <v>0</v>
      </c>
      <c r="S295" s="233">
        <f>IF(Sales!S140=0,0,S294/Sales!S140)</f>
        <v>0</v>
      </c>
      <c r="T295" s="233">
        <f>IF(Sales!T140=0,0,T294/Sales!T140)</f>
        <v>0</v>
      </c>
      <c r="U295" s="234">
        <f>IF(SUM(Sales!R140:T140)=0,0,SUM(R294:T294)/SUM(Sales!R140:T140))</f>
        <v>0</v>
      </c>
      <c r="V295" s="233">
        <f>IF(Sales!V140=0,0,V294/Sales!V140)</f>
        <v>0</v>
      </c>
      <c r="W295" s="233">
        <f>IF(Sales!W140=0,0,W294/Sales!W140)</f>
        <v>0</v>
      </c>
      <c r="X295" s="233">
        <f>IF(Sales!X140=0,0,X294/Sales!X140)</f>
        <v>0</v>
      </c>
      <c r="Y295" s="234">
        <f>IF(SUM(Sales!V140:X140)=0,0,SUM(V294:X294)/SUM(Sales!V140:X140))</f>
        <v>0</v>
      </c>
    </row>
    <row r="296" spans="1:25" ht="12.75" hidden="1" customHeight="1" outlineLevel="2" x14ac:dyDescent="0.2">
      <c r="A296" s="188" t="str">
        <f>"      "&amp;Labels!C316</f>
        <v xml:space="preserve">      Total</v>
      </c>
      <c r="B296" s="31"/>
      <c r="C296" s="31"/>
      <c r="D296" s="31"/>
      <c r="E296" s="188"/>
      <c r="F296" s="31"/>
      <c r="G296" s="31"/>
      <c r="H296" s="31"/>
      <c r="I296" s="188"/>
      <c r="J296" s="31"/>
      <c r="K296" s="31"/>
      <c r="L296" s="31"/>
      <c r="M296" s="188"/>
      <c r="N296" s="31"/>
      <c r="O296" s="31"/>
      <c r="P296" s="31"/>
      <c r="Q296" s="188"/>
      <c r="R296" s="31"/>
      <c r="S296" s="31"/>
      <c r="T296" s="31"/>
      <c r="U296" s="188"/>
      <c r="V296" s="31"/>
      <c r="W296" s="31"/>
      <c r="X296" s="31"/>
      <c r="Y296" s="188"/>
    </row>
    <row r="297" spans="1:25" ht="12.75" hidden="1" customHeight="1" outlineLevel="2" x14ac:dyDescent="0.2">
      <c r="A297" s="198" t="str">
        <f>"         "&amp;Labels!B98</f>
        <v xml:space="preserve">         Gross Margin</v>
      </c>
      <c r="B297" s="226">
        <f>SUM(B235,B266)</f>
        <v>0</v>
      </c>
      <c r="C297" s="226">
        <f>SUM(C235,C266)</f>
        <v>0</v>
      </c>
      <c r="D297" s="226">
        <f>SUM(D235,D266)</f>
        <v>55000</v>
      </c>
      <c r="E297" s="227">
        <f>SUM(B297:D297)</f>
        <v>55000</v>
      </c>
      <c r="F297" s="226">
        <f>SUM(F235,F266)</f>
        <v>55000</v>
      </c>
      <c r="G297" s="226">
        <f>SUM(G235,G266)</f>
        <v>0</v>
      </c>
      <c r="H297" s="226">
        <f>SUM(H235,H266)</f>
        <v>40000</v>
      </c>
      <c r="I297" s="227">
        <f>SUM(F297:H297)</f>
        <v>95000</v>
      </c>
      <c r="J297" s="226">
        <f>SUM(J235,J266)</f>
        <v>25869.553514469997</v>
      </c>
      <c r="K297" s="226">
        <f>SUM(K235,K266)</f>
        <v>18752.056032150373</v>
      </c>
      <c r="L297" s="226">
        <f>SUM(L235,L266)</f>
        <v>0</v>
      </c>
      <c r="M297" s="227">
        <f>SUM(J297:L297)</f>
        <v>44621.60954662037</v>
      </c>
      <c r="N297" s="226">
        <f>SUM(N235,N266)</f>
        <v>0</v>
      </c>
      <c r="O297" s="226">
        <f>SUM(O235,O266)</f>
        <v>0</v>
      </c>
      <c r="P297" s="226">
        <f>SUM(P235,P266)</f>
        <v>0</v>
      </c>
      <c r="Q297" s="227">
        <f>SUM(N297:P297)</f>
        <v>0</v>
      </c>
      <c r="R297" s="226">
        <f>SUM(R235,R266)</f>
        <v>0</v>
      </c>
      <c r="S297" s="226">
        <f>SUM(S235,S266)</f>
        <v>0</v>
      </c>
      <c r="T297" s="226">
        <f>SUM(T235,T266)</f>
        <v>0</v>
      </c>
      <c r="U297" s="227">
        <f>SUM(R297:T297)</f>
        <v>0</v>
      </c>
      <c r="V297" s="226">
        <f>SUM(V235,V266)</f>
        <v>0</v>
      </c>
      <c r="W297" s="226">
        <f>SUM(W235,W266)</f>
        <v>0</v>
      </c>
      <c r="X297" s="226">
        <f>SUM(X235,X266)</f>
        <v>0</v>
      </c>
      <c r="Y297" s="227">
        <f>SUM(V297:X297)</f>
        <v>0</v>
      </c>
    </row>
    <row r="298" spans="1:25" ht="12.75" hidden="1" customHeight="1" outlineLevel="2" x14ac:dyDescent="0.2">
      <c r="A298" s="198" t="str">
        <f>"         "&amp;Labels!B100</f>
        <v xml:space="preserve">         Gross Margin %</v>
      </c>
      <c r="B298" s="233">
        <f>IF(Practices!B188=0,0,B297/Practices!B188)</f>
        <v>0</v>
      </c>
      <c r="C298" s="233">
        <f>IF(Practices!C188=0,0,C297/Practices!C188)</f>
        <v>0</v>
      </c>
      <c r="D298" s="233">
        <f>IF(Practices!D188=0,0,D297/Practices!D188)</f>
        <v>0.97560975609756095</v>
      </c>
      <c r="E298" s="234">
        <f>IF(SUM(Practices!B188:D188)=0,0,SUM(B297:D297)/SUM(Practices!B188:D188))</f>
        <v>0.97560975609756095</v>
      </c>
      <c r="F298" s="233">
        <f>IF(Practices!F188=0,0,F297/Practices!F188)</f>
        <v>0.97560975609756095</v>
      </c>
      <c r="G298" s="233">
        <f>IF(Practices!G188=0,0,G297/Practices!G188)</f>
        <v>0</v>
      </c>
      <c r="H298" s="233">
        <f>IF(Practices!H188=0,0,H297/Practices!H188)</f>
        <v>0.97560975609756095</v>
      </c>
      <c r="I298" s="234">
        <f>IF(SUM(Practices!F188:H188)=0,0,SUM(F297:H297)/SUM(Practices!F188:H188))</f>
        <v>0.97560975609756095</v>
      </c>
      <c r="J298" s="233">
        <f>IF(Practices!J188=0,0,J297/Practices!J188)</f>
        <v>0.63096471986512193</v>
      </c>
      <c r="K298" s="233">
        <f>IF(Practices!K188=0,0,K297/Practices!K188)</f>
        <v>0.45736722029635057</v>
      </c>
      <c r="L298" s="233">
        <f>IF(Practices!L188=0,0,L297/Practices!L188)</f>
        <v>0</v>
      </c>
      <c r="M298" s="234">
        <f>IF(SUM(Practices!J188:L188)=0,0,SUM(J297:L297)/SUM(Practices!J188:L188))</f>
        <v>0.54416597008073619</v>
      </c>
      <c r="N298" s="233">
        <f>IF(Practices!N188=0,0,N297/Practices!N188)</f>
        <v>0</v>
      </c>
      <c r="O298" s="233">
        <f>IF(Practices!O188=0,0,O297/Practices!O188)</f>
        <v>0</v>
      </c>
      <c r="P298" s="233">
        <f>IF(Practices!P188=0,0,P297/Practices!P188)</f>
        <v>0</v>
      </c>
      <c r="Q298" s="234">
        <f>IF(SUM(Practices!N188:P188)=0,0,SUM(N297:P297)/SUM(Practices!N188:P188))</f>
        <v>0</v>
      </c>
      <c r="R298" s="233">
        <f>IF(Practices!R188=0,0,R297/Practices!R188)</f>
        <v>0</v>
      </c>
      <c r="S298" s="233">
        <f>IF(Practices!S188=0,0,S297/Practices!S188)</f>
        <v>0</v>
      </c>
      <c r="T298" s="233">
        <f>IF(Practices!T188=0,0,T297/Practices!T188)</f>
        <v>0</v>
      </c>
      <c r="U298" s="234">
        <f>IF(SUM(Practices!R188:T188)=0,0,SUM(R297:T297)/SUM(Practices!R188:T188))</f>
        <v>0</v>
      </c>
      <c r="V298" s="233">
        <f>IF(Practices!V188=0,0,V297/Practices!V188)</f>
        <v>0</v>
      </c>
      <c r="W298" s="233">
        <f>IF(Practices!W188=0,0,W297/Practices!W188)</f>
        <v>0</v>
      </c>
      <c r="X298" s="233">
        <f>IF(Practices!X188=0,0,X297/Practices!X188)</f>
        <v>0</v>
      </c>
      <c r="Y298" s="234">
        <f>IF(SUM(Practices!V188:X188)=0,0,SUM(V297:X297)/SUM(Practices!V188:X188))</f>
        <v>0</v>
      </c>
    </row>
    <row r="299" spans="1:25" ht="12.75" hidden="1" customHeight="1" outlineLevel="2" x14ac:dyDescent="0.2">
      <c r="A299" s="191" t="str">
        <f>"   "&amp;Labels!C384</f>
        <v xml:space="preserve">   Total</v>
      </c>
      <c r="B299" s="3"/>
      <c r="C299" s="3"/>
      <c r="D299" s="3"/>
      <c r="E299" s="191"/>
      <c r="F299" s="3"/>
      <c r="G299" s="3"/>
      <c r="H299" s="3"/>
      <c r="I299" s="191"/>
      <c r="J299" s="3"/>
      <c r="K299" s="3"/>
      <c r="L299" s="3"/>
      <c r="M299" s="191"/>
      <c r="N299" s="3"/>
      <c r="O299" s="3"/>
      <c r="P299" s="3"/>
      <c r="Q299" s="191"/>
      <c r="R299" s="3"/>
      <c r="S299" s="3"/>
      <c r="T299" s="3"/>
      <c r="U299" s="191"/>
      <c r="V299" s="3"/>
      <c r="W299" s="3"/>
      <c r="X299" s="3"/>
      <c r="Y299" s="191"/>
    </row>
    <row r="300" spans="1:25" ht="12.75" hidden="1" customHeight="1" outlineLevel="2" x14ac:dyDescent="0.2">
      <c r="A300" s="198" t="str">
        <f>"      "&amp;Labels!B317</f>
        <v xml:space="preserve">      Channels 1</v>
      </c>
      <c r="B300" s="43"/>
      <c r="C300" s="43"/>
      <c r="D300" s="43"/>
      <c r="E300" s="198"/>
      <c r="F300" s="43"/>
      <c r="G300" s="43"/>
      <c r="H300" s="43"/>
      <c r="I300" s="198"/>
      <c r="J300" s="43"/>
      <c r="K300" s="43"/>
      <c r="L300" s="43"/>
      <c r="M300" s="198"/>
      <c r="N300" s="43"/>
      <c r="O300" s="43"/>
      <c r="P300" s="43"/>
      <c r="Q300" s="198"/>
      <c r="R300" s="43"/>
      <c r="S300" s="43"/>
      <c r="T300" s="43"/>
      <c r="U300" s="198"/>
      <c r="V300" s="43"/>
      <c r="W300" s="43"/>
      <c r="X300" s="43"/>
      <c r="Y300" s="198"/>
    </row>
    <row r="301" spans="1:25" ht="12.75" hidden="1" customHeight="1" outlineLevel="2" x14ac:dyDescent="0.2">
      <c r="A301" s="198" t="str">
        <f>"         "&amp;Labels!B98</f>
        <v xml:space="preserve">         Gross Margin</v>
      </c>
      <c r="B301" s="226">
        <f>SUM(B239,B270)</f>
        <v>0</v>
      </c>
      <c r="C301" s="226">
        <f>SUM(C239,C270)</f>
        <v>0</v>
      </c>
      <c r="D301" s="226">
        <f>SUM(D239,D270)</f>
        <v>55000</v>
      </c>
      <c r="E301" s="227">
        <f>SUM(B301:D301)</f>
        <v>55000</v>
      </c>
      <c r="F301" s="226">
        <f>SUM(F239,F270)</f>
        <v>55000</v>
      </c>
      <c r="G301" s="226">
        <f>SUM(G239,G270)</f>
        <v>0</v>
      </c>
      <c r="H301" s="226">
        <f>SUM(H239,H270)</f>
        <v>40000</v>
      </c>
      <c r="I301" s="227">
        <f>SUM(F301:H301)</f>
        <v>95000</v>
      </c>
      <c r="J301" s="226">
        <f>SUM(J239,J270)</f>
        <v>11739.10702893999</v>
      </c>
      <c r="K301" s="226">
        <f>SUM(K239,K270)</f>
        <v>4586.7600535839529</v>
      </c>
      <c r="L301" s="226">
        <f>SUM(L239,L270)</f>
        <v>0</v>
      </c>
      <c r="M301" s="227">
        <f>SUM(J301:L301)</f>
        <v>16325.867082523942</v>
      </c>
      <c r="N301" s="226">
        <f>SUM(N239,N270)</f>
        <v>0</v>
      </c>
      <c r="O301" s="226">
        <f>SUM(O239,O270)</f>
        <v>0</v>
      </c>
      <c r="P301" s="226">
        <f>SUM(P239,P270)</f>
        <v>0</v>
      </c>
      <c r="Q301" s="227">
        <f>SUM(N301:P301)</f>
        <v>0</v>
      </c>
      <c r="R301" s="226">
        <f>SUM(R239,R270)</f>
        <v>0</v>
      </c>
      <c r="S301" s="226">
        <f>SUM(S239,S270)</f>
        <v>0</v>
      </c>
      <c r="T301" s="226">
        <f>SUM(T239,T270)</f>
        <v>0</v>
      </c>
      <c r="U301" s="227">
        <f>SUM(R301:T301)</f>
        <v>0</v>
      </c>
      <c r="V301" s="226">
        <f>SUM(V239,V270)</f>
        <v>0</v>
      </c>
      <c r="W301" s="226">
        <f>SUM(W239,W270)</f>
        <v>0</v>
      </c>
      <c r="X301" s="226">
        <f>SUM(X239,X270)</f>
        <v>0</v>
      </c>
      <c r="Y301" s="227">
        <f>SUM(V301:X301)</f>
        <v>0</v>
      </c>
    </row>
    <row r="302" spans="1:25" ht="12.75" hidden="1" customHeight="1" outlineLevel="2" x14ac:dyDescent="0.2">
      <c r="A302" s="198" t="str">
        <f>"         "&amp;Labels!B100</f>
        <v xml:space="preserve">         Gross Margin %</v>
      </c>
      <c r="B302" s="233">
        <f>IF(Practices!B56=0,0,B301/Practices!B56)</f>
        <v>0</v>
      </c>
      <c r="C302" s="233">
        <f>IF(Practices!C56=0,0,C301/Practices!C56)</f>
        <v>0</v>
      </c>
      <c r="D302" s="233">
        <f>IF(Practices!D56=0,0,D301/Practices!D56)</f>
        <v>0.95238095238095233</v>
      </c>
      <c r="E302" s="234">
        <f>IF(SUM(Practices!B56:D56)=0,0,SUM(B301:D301)/SUM(Practices!B56:D56))</f>
        <v>0.95238095238095233</v>
      </c>
      <c r="F302" s="233">
        <f>IF(Practices!F56=0,0,F301/Practices!F56)</f>
        <v>0.95238095238095233</v>
      </c>
      <c r="G302" s="233">
        <f>IF(Practices!G56=0,0,G301/Practices!G56)</f>
        <v>0</v>
      </c>
      <c r="H302" s="233">
        <f>IF(Practices!H56=0,0,H301/Practices!H56)</f>
        <v>0.95238095238095233</v>
      </c>
      <c r="I302" s="234">
        <f>IF(SUM(Practices!F56:H56)=0,0,SUM(F301:H301)/SUM(Practices!F56:H56))</f>
        <v>0.95238095238095233</v>
      </c>
      <c r="J302" s="233">
        <f>IF(Practices!J56=0,0,J301/Practices!J56)</f>
        <v>0.27950254830809501</v>
      </c>
      <c r="K302" s="233">
        <f>IF(Practices!K56=0,0,K301/Practices!K56)</f>
        <v>0.10920857270437984</v>
      </c>
      <c r="L302" s="233">
        <f>IF(Practices!L56=0,0,L301/Practices!L56)</f>
        <v>0</v>
      </c>
      <c r="M302" s="234">
        <f>IF(SUM(Practices!J56:L56)=0,0,SUM(J301:L301)/SUM(Practices!J56:L56))</f>
        <v>0.1943555605062374</v>
      </c>
      <c r="N302" s="233">
        <f>IF(Practices!N56=0,0,N301/Practices!N56)</f>
        <v>0</v>
      </c>
      <c r="O302" s="233">
        <f>IF(Practices!O56=0,0,O301/Practices!O56)</f>
        <v>0</v>
      </c>
      <c r="P302" s="233">
        <f>IF(Practices!P56=0,0,P301/Practices!P56)</f>
        <v>0</v>
      </c>
      <c r="Q302" s="234">
        <f>IF(SUM(Practices!N56:P56)=0,0,SUM(N301:P301)/SUM(Practices!N56:P56))</f>
        <v>0</v>
      </c>
      <c r="R302" s="233">
        <f>IF(Practices!R56=0,0,R301/Practices!R56)</f>
        <v>0</v>
      </c>
      <c r="S302" s="233">
        <f>IF(Practices!S56=0,0,S301/Practices!S56)</f>
        <v>0</v>
      </c>
      <c r="T302" s="233">
        <f>IF(Practices!T56=0,0,T301/Practices!T56)</f>
        <v>0</v>
      </c>
      <c r="U302" s="234">
        <f>IF(SUM(Practices!R56:T56)=0,0,SUM(R301:T301)/SUM(Practices!R56:T56))</f>
        <v>0</v>
      </c>
      <c r="V302" s="233">
        <f>IF(Practices!V56=0,0,V301/Practices!V56)</f>
        <v>0</v>
      </c>
      <c r="W302" s="233">
        <f>IF(Practices!W56=0,0,W301/Practices!W56)</f>
        <v>0</v>
      </c>
      <c r="X302" s="233">
        <f>IF(Practices!X56=0,0,X301/Practices!X56)</f>
        <v>0</v>
      </c>
      <c r="Y302" s="234">
        <f>IF(SUM(Practices!V56:X56)=0,0,SUM(V301:X301)/SUM(Practices!V56:X56))</f>
        <v>0</v>
      </c>
    </row>
    <row r="303" spans="1:25" ht="12.75" hidden="1" customHeight="1" outlineLevel="2" x14ac:dyDescent="0.2">
      <c r="A303" s="198" t="str">
        <f>"      "&amp;Labels!B318</f>
        <v xml:space="preserve">      Channels 2</v>
      </c>
      <c r="B303" s="43"/>
      <c r="C303" s="43"/>
      <c r="D303" s="43"/>
      <c r="E303" s="198"/>
      <c r="F303" s="43"/>
      <c r="G303" s="43"/>
      <c r="H303" s="43"/>
      <c r="I303" s="198"/>
      <c r="J303" s="43"/>
      <c r="K303" s="43"/>
      <c r="L303" s="43"/>
      <c r="M303" s="198"/>
      <c r="N303" s="43"/>
      <c r="O303" s="43"/>
      <c r="P303" s="43"/>
      <c r="Q303" s="198"/>
      <c r="R303" s="43"/>
      <c r="S303" s="43"/>
      <c r="T303" s="43"/>
      <c r="U303" s="198"/>
      <c r="V303" s="43"/>
      <c r="W303" s="43"/>
      <c r="X303" s="43"/>
      <c r="Y303" s="198"/>
    </row>
    <row r="304" spans="1:25" ht="12.75" hidden="1" customHeight="1" outlineLevel="2" x14ac:dyDescent="0.2">
      <c r="A304" s="198" t="str">
        <f>"         "&amp;Labels!B98</f>
        <v xml:space="preserve">         Gross Margin</v>
      </c>
      <c r="B304" s="226">
        <f>SUM(B242,B273)</f>
        <v>0</v>
      </c>
      <c r="C304" s="226">
        <f>SUM(C242,C273)</f>
        <v>0</v>
      </c>
      <c r="D304" s="226">
        <f>SUM(D242,D273)</f>
        <v>55000</v>
      </c>
      <c r="E304" s="227">
        <f>SUM(B304:D304)</f>
        <v>55000</v>
      </c>
      <c r="F304" s="226">
        <f>SUM(F242,F273)</f>
        <v>55000</v>
      </c>
      <c r="G304" s="226">
        <f>SUM(G242,G273)</f>
        <v>0</v>
      </c>
      <c r="H304" s="226">
        <f>SUM(H242,H273)</f>
        <v>40000</v>
      </c>
      <c r="I304" s="227">
        <f>SUM(F304:H304)</f>
        <v>95000</v>
      </c>
      <c r="J304" s="226">
        <f>SUM(J242,J273)</f>
        <v>40000</v>
      </c>
      <c r="K304" s="226">
        <f>SUM(K242,K273)</f>
        <v>32917.352010716793</v>
      </c>
      <c r="L304" s="226">
        <f>SUM(L242,L273)</f>
        <v>0</v>
      </c>
      <c r="M304" s="227">
        <f>SUM(J304:L304)</f>
        <v>72917.352010716801</v>
      </c>
      <c r="N304" s="226">
        <f>SUM(N242,N273)</f>
        <v>0</v>
      </c>
      <c r="O304" s="226">
        <f>SUM(O242,O273)</f>
        <v>0</v>
      </c>
      <c r="P304" s="226">
        <f>SUM(P242,P273)</f>
        <v>0</v>
      </c>
      <c r="Q304" s="227">
        <f>SUM(N304:P304)</f>
        <v>0</v>
      </c>
      <c r="R304" s="226">
        <f>SUM(R242,R273)</f>
        <v>0</v>
      </c>
      <c r="S304" s="226">
        <f>SUM(S242,S273)</f>
        <v>0</v>
      </c>
      <c r="T304" s="226">
        <f>SUM(T242,T273)</f>
        <v>0</v>
      </c>
      <c r="U304" s="227">
        <f>SUM(R304:T304)</f>
        <v>0</v>
      </c>
      <c r="V304" s="226">
        <f>SUM(V242,V273)</f>
        <v>0</v>
      </c>
      <c r="W304" s="226">
        <f>SUM(W242,W273)</f>
        <v>0</v>
      </c>
      <c r="X304" s="226">
        <f>SUM(X242,X273)</f>
        <v>0</v>
      </c>
      <c r="Y304" s="227">
        <f>SUM(V304:X304)</f>
        <v>0</v>
      </c>
    </row>
    <row r="305" spans="1:25" ht="12.75" hidden="1" customHeight="1" outlineLevel="2" x14ac:dyDescent="0.2">
      <c r="A305" s="198" t="str">
        <f>"         "&amp;Labels!B100</f>
        <v xml:space="preserve">         Gross Margin %</v>
      </c>
      <c r="B305" s="233">
        <f>IF(Practices!B57=0,0,B304/Practices!B57)</f>
        <v>0</v>
      </c>
      <c r="C305" s="233">
        <f>IF(Practices!C57=0,0,C304/Practices!C57)</f>
        <v>0</v>
      </c>
      <c r="D305" s="233">
        <f>IF(Practices!D57=0,0,D304/Practices!D57)</f>
        <v>1</v>
      </c>
      <c r="E305" s="234">
        <f>IF(SUM(Practices!B57:D57)=0,0,SUM(B304:D304)/SUM(Practices!B57:D57))</f>
        <v>1</v>
      </c>
      <c r="F305" s="233">
        <f>IF(Practices!F57=0,0,F304/Practices!F57)</f>
        <v>1</v>
      </c>
      <c r="G305" s="233">
        <f>IF(Practices!G57=0,0,G304/Practices!G57)</f>
        <v>0</v>
      </c>
      <c r="H305" s="233">
        <f>IF(Practices!H57=0,0,H304/Practices!H57)</f>
        <v>1</v>
      </c>
      <c r="I305" s="234">
        <f>IF(SUM(Practices!F57:H57)=0,0,SUM(F304:H304)/SUM(Practices!F57:H57))</f>
        <v>1</v>
      </c>
      <c r="J305" s="233">
        <f>IF(Practices!J57=0,0,J304/Practices!J57)</f>
        <v>1</v>
      </c>
      <c r="K305" s="233">
        <f>IF(Practices!K57=0,0,K304/Practices!K57)</f>
        <v>0.82293380026791985</v>
      </c>
      <c r="L305" s="233">
        <f>IF(Practices!L57=0,0,L304/Practices!L57)</f>
        <v>0</v>
      </c>
      <c r="M305" s="234">
        <f>IF(SUM(Practices!J57:L57)=0,0,SUM(J304:L304)/SUM(Practices!J57:L57))</f>
        <v>0.91146690013396003</v>
      </c>
      <c r="N305" s="233">
        <f>IF(Practices!N57=0,0,N304/Practices!N57)</f>
        <v>0</v>
      </c>
      <c r="O305" s="233">
        <f>IF(Practices!O57=0,0,O304/Practices!O57)</f>
        <v>0</v>
      </c>
      <c r="P305" s="233">
        <f>IF(Practices!P57=0,0,P304/Practices!P57)</f>
        <v>0</v>
      </c>
      <c r="Q305" s="234">
        <f>IF(SUM(Practices!N57:P57)=0,0,SUM(N304:P304)/SUM(Practices!N57:P57))</f>
        <v>0</v>
      </c>
      <c r="R305" s="233">
        <f>IF(Practices!R57=0,0,R304/Practices!R57)</f>
        <v>0</v>
      </c>
      <c r="S305" s="233">
        <f>IF(Practices!S57=0,0,S304/Practices!S57)</f>
        <v>0</v>
      </c>
      <c r="T305" s="233">
        <f>IF(Practices!T57=0,0,T304/Practices!T57)</f>
        <v>0</v>
      </c>
      <c r="U305" s="234">
        <f>IF(SUM(Practices!R57:T57)=0,0,SUM(R304:T304)/SUM(Practices!R57:T57))</f>
        <v>0</v>
      </c>
      <c r="V305" s="233">
        <f>IF(Practices!V57=0,0,V304/Practices!V57)</f>
        <v>0</v>
      </c>
      <c r="W305" s="233">
        <f>IF(Practices!W57=0,0,W304/Practices!W57)</f>
        <v>0</v>
      </c>
      <c r="X305" s="233">
        <f>IF(Practices!X57=0,0,X304/Practices!X57)</f>
        <v>0</v>
      </c>
      <c r="Y305" s="234">
        <f>IF(SUM(Practices!V57:X57)=0,0,SUM(V304:X304)/SUM(Practices!V57:X57))</f>
        <v>0</v>
      </c>
    </row>
    <row r="306" spans="1:25" ht="12.75" hidden="1" customHeight="1" outlineLevel="2" x14ac:dyDescent="0.2">
      <c r="A306" s="188" t="str">
        <f>"      "&amp;Labels!C316</f>
        <v xml:space="preserve">      Total</v>
      </c>
      <c r="B306" s="31"/>
      <c r="C306" s="31"/>
      <c r="D306" s="31"/>
      <c r="E306" s="188"/>
      <c r="F306" s="31"/>
      <c r="G306" s="31"/>
      <c r="H306" s="31"/>
      <c r="I306" s="188"/>
      <c r="J306" s="31"/>
      <c r="K306" s="31"/>
      <c r="L306" s="31"/>
      <c r="M306" s="188"/>
      <c r="N306" s="31"/>
      <c r="O306" s="31"/>
      <c r="P306" s="31"/>
      <c r="Q306" s="188"/>
      <c r="R306" s="31"/>
      <c r="S306" s="31"/>
      <c r="T306" s="31"/>
      <c r="U306" s="188"/>
      <c r="V306" s="31"/>
      <c r="W306" s="31"/>
      <c r="X306" s="31"/>
      <c r="Y306" s="188"/>
    </row>
    <row r="307" spans="1:25" ht="12.75" hidden="1" customHeight="1" outlineLevel="2" x14ac:dyDescent="0.2">
      <c r="A307" s="198" t="str">
        <f>"         "&amp;Labels!B98</f>
        <v xml:space="preserve">         Gross Margin</v>
      </c>
      <c r="B307" s="226">
        <f>SUM(B245,B276)</f>
        <v>0</v>
      </c>
      <c r="C307" s="226">
        <f>SUM(C245,C276)</f>
        <v>0</v>
      </c>
      <c r="D307" s="226">
        <f>SUM(D245,D276)</f>
        <v>110000</v>
      </c>
      <c r="E307" s="227">
        <f>SUM(B307:D307)</f>
        <v>110000</v>
      </c>
      <c r="F307" s="226">
        <f>SUM(F245,F276)</f>
        <v>110000</v>
      </c>
      <c r="G307" s="226">
        <f>SUM(G245,G276)</f>
        <v>0</v>
      </c>
      <c r="H307" s="226">
        <f>SUM(H245,H276)</f>
        <v>80000</v>
      </c>
      <c r="I307" s="227">
        <f>SUM(F307:H307)</f>
        <v>190000</v>
      </c>
      <c r="J307" s="226">
        <f>SUM(J245,J276)</f>
        <v>51739.107028939994</v>
      </c>
      <c r="K307" s="226">
        <f>SUM(K245,K276)</f>
        <v>37504.112064300745</v>
      </c>
      <c r="L307" s="226">
        <f>SUM(L245,L276)</f>
        <v>0</v>
      </c>
      <c r="M307" s="227">
        <f>SUM(J307:L307)</f>
        <v>89243.219093240739</v>
      </c>
      <c r="N307" s="226">
        <f>SUM(N245,N276)</f>
        <v>0</v>
      </c>
      <c r="O307" s="226">
        <f>SUM(O245,O276)</f>
        <v>0</v>
      </c>
      <c r="P307" s="226">
        <f>SUM(P245,P276)</f>
        <v>0</v>
      </c>
      <c r="Q307" s="227">
        <f>SUM(N307:P307)</f>
        <v>0</v>
      </c>
      <c r="R307" s="226">
        <f>SUM(R245,R276)</f>
        <v>0</v>
      </c>
      <c r="S307" s="226">
        <f>SUM(S245,S276)</f>
        <v>0</v>
      </c>
      <c r="T307" s="226">
        <f>SUM(T245,T276)</f>
        <v>0</v>
      </c>
      <c r="U307" s="227">
        <f>SUM(R307:T307)</f>
        <v>0</v>
      </c>
      <c r="V307" s="226">
        <f>SUM(V245,V276)</f>
        <v>0</v>
      </c>
      <c r="W307" s="226">
        <f>SUM(W245,W276)</f>
        <v>0</v>
      </c>
      <c r="X307" s="226">
        <f>SUM(X245,X276)</f>
        <v>0</v>
      </c>
      <c r="Y307" s="227">
        <f>SUM(V307:X307)</f>
        <v>0</v>
      </c>
    </row>
    <row r="308" spans="1:25" ht="12.75" hidden="1" customHeight="1" outlineLevel="2" x14ac:dyDescent="0.2">
      <c r="A308" s="230" t="str">
        <f>"         "&amp;Labels!B100</f>
        <v xml:space="preserve">         Gross Margin %</v>
      </c>
      <c r="B308" s="235">
        <f>IF(IncStmt!B6=0,0,B307/IncStmt!B6)</f>
        <v>0</v>
      </c>
      <c r="C308" s="235">
        <f>IF(IncStmt!C6=0,0,C307/IncStmt!C6)</f>
        <v>0</v>
      </c>
      <c r="D308" s="235">
        <f>IF(IncStmt!D6=0,0,D307/IncStmt!D6)</f>
        <v>0.97560975609756095</v>
      </c>
      <c r="E308" s="236">
        <f>IF(SUM(IncStmt!B6:D6)=0,0,SUM(B307:D307)/SUM(IncStmt!B6:D6))</f>
        <v>0.97560975609756095</v>
      </c>
      <c r="F308" s="235">
        <f>IF(IncStmt!F6=0,0,F307/IncStmt!F6)</f>
        <v>0.97560975609756095</v>
      </c>
      <c r="G308" s="235">
        <f>IF(IncStmt!G6=0,0,G307/IncStmt!G6)</f>
        <v>0</v>
      </c>
      <c r="H308" s="235">
        <f>IF(IncStmt!H6=0,0,H307/IncStmt!H6)</f>
        <v>0.97560975609756095</v>
      </c>
      <c r="I308" s="236">
        <f>IF(SUM(IncStmt!F6:H6)=0,0,SUM(F307:H307)/SUM(IncStmt!F6:H6))</f>
        <v>0.97560975609756095</v>
      </c>
      <c r="J308" s="235">
        <f>IF(IncStmt!J6=0,0,J307/IncStmt!J6)</f>
        <v>0.63096471986512193</v>
      </c>
      <c r="K308" s="235">
        <f>IF(IncStmt!K6=0,0,K307/IncStmt!K6)</f>
        <v>0.45736722029635057</v>
      </c>
      <c r="L308" s="235">
        <f>IF(IncStmt!L6=0,0,L307/IncStmt!L6)</f>
        <v>0</v>
      </c>
      <c r="M308" s="236">
        <f>IF(SUM(IncStmt!J6:L6)=0,0,SUM(J307:L307)/SUM(IncStmt!J6:L6))</f>
        <v>0.54416597008073619</v>
      </c>
      <c r="N308" s="235">
        <f>IF(IncStmt!N6=0,0,N307/IncStmt!N6)</f>
        <v>0</v>
      </c>
      <c r="O308" s="235">
        <f>IF(IncStmt!O6=0,0,O307/IncStmt!O6)</f>
        <v>0</v>
      </c>
      <c r="P308" s="235">
        <f>IF(IncStmt!P6=0,0,P307/IncStmt!P6)</f>
        <v>0</v>
      </c>
      <c r="Q308" s="236">
        <f>IF(SUM(IncStmt!N6:P6)=0,0,SUM(N307:P307)/SUM(IncStmt!N6:P6))</f>
        <v>0</v>
      </c>
      <c r="R308" s="235">
        <f>IF(IncStmt!R6=0,0,R307/IncStmt!R6)</f>
        <v>0</v>
      </c>
      <c r="S308" s="235">
        <f>IF(IncStmt!S6=0,0,S307/IncStmt!S6)</f>
        <v>0</v>
      </c>
      <c r="T308" s="235">
        <f>IF(IncStmt!T6=0,0,T307/IncStmt!T6)</f>
        <v>0</v>
      </c>
      <c r="U308" s="236">
        <f>IF(SUM(IncStmt!R6:T6)=0,0,SUM(R307:T307)/SUM(IncStmt!R6:T6))</f>
        <v>0</v>
      </c>
      <c r="V308" s="235">
        <f>IF(IncStmt!V6=0,0,V307/IncStmt!V6)</f>
        <v>0</v>
      </c>
      <c r="W308" s="235">
        <f>IF(IncStmt!W6=0,0,W307/IncStmt!W6)</f>
        <v>0</v>
      </c>
      <c r="X308" s="235">
        <f>IF(IncStmt!X6=0,0,X307/IncStmt!X6)</f>
        <v>0</v>
      </c>
      <c r="Y308" s="236">
        <f>IF(SUM(IncStmt!V6:X6)=0,0,SUM(V307:X307)/SUM(IncStmt!V6:X6))</f>
        <v>0</v>
      </c>
    </row>
    <row r="309" spans="1:25" ht="12.75" hidden="1" customHeight="1" outlineLevel="2" collapsed="1" x14ac:dyDescent="0.2"/>
    <row r="310" spans="1:25" ht="12.75" hidden="1" customHeight="1" outlineLevel="1" collapsed="1" x14ac:dyDescent="0.2"/>
    <row r="311" spans="1:25" ht="12.75" customHeight="1" collapsed="1" x14ac:dyDescent="0.2"/>
    <row r="312" spans="1:25" ht="12.75" customHeight="1" x14ac:dyDescent="0.2">
      <c r="A312" s="464" t="str">
        <f>"Professional Staff Detail"</f>
        <v>Professional Staff Detail</v>
      </c>
      <c r="B312" s="464"/>
      <c r="C312" s="464"/>
    </row>
    <row r="313" spans="1:25" ht="12.75" customHeight="1" x14ac:dyDescent="0.2">
      <c r="A313" s="1" t="str">
        <f>" "</f>
        <v xml:space="preserve"> </v>
      </c>
    </row>
    <row r="314" spans="1:25" ht="12.75" customHeight="1" collapsed="1" x14ac:dyDescent="0.2">
      <c r="A314" s="465" t="str">
        <f>"Professional Staff Utilization"</f>
        <v>Professional Staff Utilization</v>
      </c>
      <c r="B314" s="465"/>
      <c r="C314" s="465"/>
    </row>
    <row r="315" spans="1:25" ht="12.75" hidden="1" customHeight="1" outlineLevel="1" x14ac:dyDescent="0.2">
      <c r="A315" s="465" t="str">
        <f>""</f>
        <v/>
      </c>
      <c r="B315" s="465"/>
      <c r="C315" s="465"/>
    </row>
    <row r="316" spans="1:25" ht="12.75" hidden="1" customHeight="1" outlineLevel="1" x14ac:dyDescent="0.2">
      <c r="B316" s="9" t="str">
        <f>'(FnCalls 1)'!F41</f>
        <v>MMM 2010</v>
      </c>
      <c r="C316" s="10" t="str">
        <f>'(FnCalls 1)'!F42</f>
        <v>MMM 2010</v>
      </c>
      <c r="D316" s="10" t="str">
        <f>'(FnCalls 1)'!F43</f>
        <v>MMM 2010</v>
      </c>
      <c r="E316" s="181" t="str">
        <f>'(FnCalls 1)'!G41</f>
        <v>Q1 2010</v>
      </c>
      <c r="F316" s="10" t="str">
        <f>'(FnCalls 1)'!F44</f>
        <v>MMM 2010</v>
      </c>
      <c r="G316" s="10" t="str">
        <f>'(FnCalls 1)'!F45</f>
        <v>MMM 2010</v>
      </c>
      <c r="H316" s="10" t="str">
        <f>'(FnCalls 1)'!F46</f>
        <v>MMM 2010</v>
      </c>
      <c r="I316" s="181" t="str">
        <f>'(FnCalls 1)'!G44</f>
        <v>Q2 2010</v>
      </c>
      <c r="J316" s="10" t="str">
        <f>'(FnCalls 1)'!F47</f>
        <v>MMM 2010</v>
      </c>
      <c r="K316" s="10" t="str">
        <f>'(FnCalls 1)'!F48</f>
        <v>MMM 2010</v>
      </c>
      <c r="L316" s="10" t="str">
        <f>'(FnCalls 1)'!F49</f>
        <v>MMM 2010</v>
      </c>
      <c r="M316" s="181" t="str">
        <f>'(FnCalls 1)'!G47</f>
        <v>Q3 2010</v>
      </c>
      <c r="N316" s="10" t="str">
        <f>'(FnCalls 1)'!F50</f>
        <v>MMM 2010</v>
      </c>
      <c r="O316" s="10" t="str">
        <f>'(FnCalls 1)'!F51</f>
        <v>MMM 2010</v>
      </c>
      <c r="P316" s="10" t="str">
        <f>'(FnCalls 1)'!F52</f>
        <v>MMM 2010</v>
      </c>
      <c r="Q316" s="181" t="str">
        <f>'(FnCalls 1)'!G50</f>
        <v>Q4 2010</v>
      </c>
      <c r="R316" s="10" t="str">
        <f>'(FnCalls 1)'!F53</f>
        <v>MMM 2011</v>
      </c>
      <c r="S316" s="10" t="str">
        <f>'(FnCalls 1)'!F54</f>
        <v>MMM 2011</v>
      </c>
      <c r="T316" s="10" t="str">
        <f>'(FnCalls 1)'!F55</f>
        <v>MMM 2011</v>
      </c>
      <c r="U316" s="181" t="str">
        <f>'(FnCalls 1)'!G53</f>
        <v>Q1 2011</v>
      </c>
      <c r="V316" s="10" t="str">
        <f>'(FnCalls 1)'!F56</f>
        <v>MMM 2011</v>
      </c>
      <c r="W316" s="10" t="str">
        <f>'(FnCalls 1)'!F57</f>
        <v>MMM 2011</v>
      </c>
      <c r="X316" s="10" t="str">
        <f>'(FnCalls 1)'!F58</f>
        <v>MMM 2011</v>
      </c>
      <c r="Y316" s="181" t="str">
        <f>'(FnCalls 1)'!G56</f>
        <v>Q2 2011</v>
      </c>
    </row>
    <row r="317" spans="1:25" ht="12.75" hidden="1" customHeight="1" outlineLevel="1" x14ac:dyDescent="0.2">
      <c r="A317" s="182" t="str">
        <f>Labels!B209</f>
        <v>Professional Staff Utilization %</v>
      </c>
      <c r="B317" s="207"/>
      <c r="C317" s="207"/>
      <c r="D317" s="207"/>
      <c r="E317" s="208"/>
      <c r="F317" s="207"/>
      <c r="G317" s="207"/>
      <c r="H317" s="207"/>
      <c r="I317" s="208"/>
      <c r="J317" s="207"/>
      <c r="K317" s="207"/>
      <c r="L317" s="207"/>
      <c r="M317" s="208"/>
      <c r="N317" s="207"/>
      <c r="O317" s="207"/>
      <c r="P317" s="207"/>
      <c r="Q317" s="208"/>
      <c r="R317" s="207"/>
      <c r="S317" s="207"/>
      <c r="T317" s="207"/>
      <c r="U317" s="208"/>
      <c r="V317" s="207"/>
      <c r="W317" s="207"/>
      <c r="X317" s="207"/>
      <c r="Y317" s="208"/>
    </row>
    <row r="318" spans="1:25" ht="12.75" hidden="1" customHeight="1" outlineLevel="1" x14ac:dyDescent="0.2">
      <c r="A318" s="188" t="str">
        <f>"   "&amp;Labels!B381</f>
        <v xml:space="preserve">   Practice 1</v>
      </c>
      <c r="B318" s="218"/>
      <c r="C318" s="218"/>
      <c r="D318" s="218"/>
      <c r="E318" s="219"/>
      <c r="F318" s="218"/>
      <c r="G318" s="218"/>
      <c r="H318" s="218"/>
      <c r="I318" s="219"/>
      <c r="J318" s="218"/>
      <c r="K318" s="218"/>
      <c r="L318" s="218"/>
      <c r="M318" s="219"/>
      <c r="N318" s="218"/>
      <c r="O318" s="218"/>
      <c r="P318" s="218"/>
      <c r="Q318" s="219"/>
      <c r="R318" s="218"/>
      <c r="S318" s="218"/>
      <c r="T318" s="218"/>
      <c r="U318" s="219"/>
      <c r="V318" s="218"/>
      <c r="W318" s="218"/>
      <c r="X318" s="218"/>
      <c r="Y318" s="219"/>
    </row>
    <row r="319" spans="1:25" ht="12.75" hidden="1" customHeight="1" outlineLevel="1" x14ac:dyDescent="0.2">
      <c r="A319" s="198" t="str">
        <f>"      "&amp;Labels!B385</f>
        <v xml:space="preserve">      Prof Level 1</v>
      </c>
      <c r="B319" s="233" t="str">
        <f t="shared" ref="B319:D321" si="198">IF(B507=0," ",B351/B507)</f>
        <v xml:space="preserve"> </v>
      </c>
      <c r="C319" s="233" t="str">
        <f t="shared" si="198"/>
        <v xml:space="preserve"> </v>
      </c>
      <c r="D319" s="233" t="str">
        <f t="shared" si="198"/>
        <v xml:space="preserve"> </v>
      </c>
      <c r="E319" s="234" t="str">
        <f>IF(SUM(B507:D507)=0," ",SUM(B351:D351)/SUM(B507:D507))</f>
        <v xml:space="preserve"> </v>
      </c>
      <c r="F319" s="233" t="str">
        <f t="shared" ref="F319:H321" si="199">IF(F507=0," ",F351/F507)</f>
        <v xml:space="preserve"> </v>
      </c>
      <c r="G319" s="233" t="str">
        <f t="shared" si="199"/>
        <v xml:space="preserve"> </v>
      </c>
      <c r="H319" s="233" t="str">
        <f t="shared" si="199"/>
        <v xml:space="preserve"> </v>
      </c>
      <c r="I319" s="234" t="str">
        <f>IF(SUM(F507:H507)=0," ",SUM(F351:H351)/SUM(F507:H507))</f>
        <v xml:space="preserve"> </v>
      </c>
      <c r="J319" s="233">
        <f t="shared" ref="J319:L321" si="200">IF(J507=0," ",J351/J507)</f>
        <v>1.3333333333333333</v>
      </c>
      <c r="K319" s="233">
        <f t="shared" si="200"/>
        <v>0.66666666666666663</v>
      </c>
      <c r="L319" s="233" t="str">
        <f t="shared" si="200"/>
        <v xml:space="preserve"> </v>
      </c>
      <c r="M319" s="234">
        <f>IF(SUM(J507:L507)=0," ",SUM(J351:L351)/SUM(J507:L507))</f>
        <v>0.88888888888888884</v>
      </c>
      <c r="N319" s="233" t="str">
        <f t="shared" ref="N319:P321" si="201">IF(N507=0," ",N351/N507)</f>
        <v xml:space="preserve"> </v>
      </c>
      <c r="O319" s="233" t="str">
        <f t="shared" si="201"/>
        <v xml:space="preserve"> </v>
      </c>
      <c r="P319" s="233" t="str">
        <f t="shared" si="201"/>
        <v xml:space="preserve"> </v>
      </c>
      <c r="Q319" s="234" t="str">
        <f>IF(SUM(N507:P507)=0," ",SUM(N351:P351)/SUM(N507:P507))</f>
        <v xml:space="preserve"> </v>
      </c>
      <c r="R319" s="233" t="str">
        <f t="shared" ref="R319:T321" si="202">IF(R507=0," ",R351/R507)</f>
        <v xml:space="preserve"> </v>
      </c>
      <c r="S319" s="233" t="str">
        <f t="shared" si="202"/>
        <v xml:space="preserve"> </v>
      </c>
      <c r="T319" s="233" t="str">
        <f t="shared" si="202"/>
        <v xml:space="preserve"> </v>
      </c>
      <c r="U319" s="234" t="str">
        <f>IF(SUM(R507:T507)=0," ",SUM(R351:T351)/SUM(R507:T507))</f>
        <v xml:space="preserve"> </v>
      </c>
      <c r="V319" s="233" t="str">
        <f t="shared" ref="V319:X321" si="203">IF(V507=0," ",V351/V507)</f>
        <v xml:space="preserve"> </v>
      </c>
      <c r="W319" s="233" t="str">
        <f t="shared" si="203"/>
        <v xml:space="preserve"> </v>
      </c>
      <c r="X319" s="233" t="str">
        <f t="shared" si="203"/>
        <v xml:space="preserve"> </v>
      </c>
      <c r="Y319" s="234" t="str">
        <f>IF(SUM(V507:X507)=0," ",SUM(V351:X351)/SUM(V507:X507))</f>
        <v xml:space="preserve"> </v>
      </c>
    </row>
    <row r="320" spans="1:25" ht="12.75" hidden="1" customHeight="1" outlineLevel="1" x14ac:dyDescent="0.2">
      <c r="A320" s="198" t="str">
        <f>"      "&amp;Labels!B386</f>
        <v xml:space="preserve">      Prof Level 2</v>
      </c>
      <c r="B320" s="233" t="str">
        <f t="shared" si="198"/>
        <v xml:space="preserve"> </v>
      </c>
      <c r="C320" s="233" t="str">
        <f t="shared" si="198"/>
        <v xml:space="preserve"> </v>
      </c>
      <c r="D320" s="233" t="str">
        <f t="shared" si="198"/>
        <v xml:space="preserve"> </v>
      </c>
      <c r="E320" s="234" t="str">
        <f>IF(SUM(B508:D508)=0," ",SUM(B352:D352)/SUM(B508:D508))</f>
        <v xml:space="preserve"> </v>
      </c>
      <c r="F320" s="233" t="str">
        <f t="shared" si="199"/>
        <v xml:space="preserve"> </v>
      </c>
      <c r="G320" s="233" t="str">
        <f t="shared" si="199"/>
        <v xml:space="preserve"> </v>
      </c>
      <c r="H320" s="233" t="str">
        <f t="shared" si="199"/>
        <v xml:space="preserve"> </v>
      </c>
      <c r="I320" s="234" t="str">
        <f>IF(SUM(F508:H508)=0," ",SUM(F352:H352)/SUM(F508:H508))</f>
        <v xml:space="preserve"> </v>
      </c>
      <c r="J320" s="233">
        <f t="shared" si="200"/>
        <v>1.3333333333333333</v>
      </c>
      <c r="K320" s="233">
        <f t="shared" si="200"/>
        <v>0.66666666666666663</v>
      </c>
      <c r="L320" s="233" t="str">
        <f t="shared" si="200"/>
        <v xml:space="preserve"> </v>
      </c>
      <c r="M320" s="234">
        <f>IF(SUM(J508:L508)=0," ",SUM(J352:L352)/SUM(J508:L508))</f>
        <v>0.88888888888888884</v>
      </c>
      <c r="N320" s="233" t="str">
        <f t="shared" si="201"/>
        <v xml:space="preserve"> </v>
      </c>
      <c r="O320" s="233" t="str">
        <f t="shared" si="201"/>
        <v xml:space="preserve"> </v>
      </c>
      <c r="P320" s="233" t="str">
        <f t="shared" si="201"/>
        <v xml:space="preserve"> </v>
      </c>
      <c r="Q320" s="234" t="str">
        <f>IF(SUM(N508:P508)=0," ",SUM(N352:P352)/SUM(N508:P508))</f>
        <v xml:space="preserve"> </v>
      </c>
      <c r="R320" s="233" t="str">
        <f t="shared" si="202"/>
        <v xml:space="preserve"> </v>
      </c>
      <c r="S320" s="233" t="str">
        <f t="shared" si="202"/>
        <v xml:space="preserve"> </v>
      </c>
      <c r="T320" s="233" t="str">
        <f t="shared" si="202"/>
        <v xml:space="preserve"> </v>
      </c>
      <c r="U320" s="234" t="str">
        <f>IF(SUM(R508:T508)=0," ",SUM(R352:T352)/SUM(R508:T508))</f>
        <v xml:space="preserve"> </v>
      </c>
      <c r="V320" s="233" t="str">
        <f t="shared" si="203"/>
        <v xml:space="preserve"> </v>
      </c>
      <c r="W320" s="233" t="str">
        <f t="shared" si="203"/>
        <v xml:space="preserve"> </v>
      </c>
      <c r="X320" s="233" t="str">
        <f t="shared" si="203"/>
        <v xml:space="preserve"> </v>
      </c>
      <c r="Y320" s="234" t="str">
        <f>IF(SUM(V508:X508)=0," ",SUM(V352:X352)/SUM(V508:X508))</f>
        <v xml:space="preserve"> </v>
      </c>
    </row>
    <row r="321" spans="1:25" ht="12.75" hidden="1" customHeight="1" outlineLevel="1" x14ac:dyDescent="0.2">
      <c r="A321" s="188" t="str">
        <f>"      "&amp;Labels!C384</f>
        <v xml:space="preserve">      Total</v>
      </c>
      <c r="B321" s="218" t="str">
        <f t="shared" si="198"/>
        <v xml:space="preserve"> </v>
      </c>
      <c r="C321" s="218" t="str">
        <f t="shared" si="198"/>
        <v xml:space="preserve"> </v>
      </c>
      <c r="D321" s="218" t="str">
        <f t="shared" si="198"/>
        <v xml:space="preserve"> </v>
      </c>
      <c r="E321" s="219" t="str">
        <f>IF(SUM(B509:D509)=0," ",SUM(B353:D353)/SUM(B509:D509))</f>
        <v xml:space="preserve"> </v>
      </c>
      <c r="F321" s="218" t="str">
        <f t="shared" si="199"/>
        <v xml:space="preserve"> </v>
      </c>
      <c r="G321" s="218" t="str">
        <f t="shared" si="199"/>
        <v xml:space="preserve"> </v>
      </c>
      <c r="H321" s="218" t="str">
        <f t="shared" si="199"/>
        <v xml:space="preserve"> </v>
      </c>
      <c r="I321" s="219" t="str">
        <f>IF(SUM(F509:H509)=0," ",SUM(F353:H353)/SUM(F509:H509))</f>
        <v xml:space="preserve"> </v>
      </c>
      <c r="J321" s="218">
        <f t="shared" si="200"/>
        <v>1.3333333333333333</v>
      </c>
      <c r="K321" s="218">
        <f t="shared" si="200"/>
        <v>0.66666666666666663</v>
      </c>
      <c r="L321" s="218" t="str">
        <f t="shared" si="200"/>
        <v xml:space="preserve"> </v>
      </c>
      <c r="M321" s="219">
        <f>IF(SUM(J509:L509)=0," ",SUM(J353:L353)/SUM(J509:L509))</f>
        <v>0.88888888888888884</v>
      </c>
      <c r="N321" s="218" t="str">
        <f t="shared" si="201"/>
        <v xml:space="preserve"> </v>
      </c>
      <c r="O321" s="218" t="str">
        <f t="shared" si="201"/>
        <v xml:space="preserve"> </v>
      </c>
      <c r="P321" s="218" t="str">
        <f t="shared" si="201"/>
        <v xml:space="preserve"> </v>
      </c>
      <c r="Q321" s="219" t="str">
        <f>IF(SUM(N509:P509)=0," ",SUM(N353:P353)/SUM(N509:P509))</f>
        <v xml:space="preserve"> </v>
      </c>
      <c r="R321" s="218" t="str">
        <f t="shared" si="202"/>
        <v xml:space="preserve"> </v>
      </c>
      <c r="S321" s="218" t="str">
        <f t="shared" si="202"/>
        <v xml:space="preserve"> </v>
      </c>
      <c r="T321" s="218" t="str">
        <f t="shared" si="202"/>
        <v xml:space="preserve"> </v>
      </c>
      <c r="U321" s="219" t="str">
        <f>IF(SUM(R509:T509)=0," ",SUM(R353:T353)/SUM(R509:T509))</f>
        <v xml:space="preserve"> </v>
      </c>
      <c r="V321" s="218" t="str">
        <f t="shared" si="203"/>
        <v xml:space="preserve"> </v>
      </c>
      <c r="W321" s="218" t="str">
        <f t="shared" si="203"/>
        <v xml:space="preserve"> </v>
      </c>
      <c r="X321" s="218" t="str">
        <f t="shared" si="203"/>
        <v xml:space="preserve"> </v>
      </c>
      <c r="Y321" s="219" t="str">
        <f>IF(SUM(V509:X509)=0," ",SUM(V353:X353)/SUM(V509:X509))</f>
        <v xml:space="preserve"> </v>
      </c>
    </row>
    <row r="322" spans="1:25" ht="12.75" hidden="1" customHeight="1" outlineLevel="1" x14ac:dyDescent="0.2">
      <c r="A322" s="188" t="str">
        <f>"   "&amp;Labels!B382</f>
        <v xml:space="preserve">   Practice 2</v>
      </c>
      <c r="B322" s="218"/>
      <c r="C322" s="218"/>
      <c r="D322" s="218"/>
      <c r="E322" s="219"/>
      <c r="F322" s="218"/>
      <c r="G322" s="218"/>
      <c r="H322" s="218"/>
      <c r="I322" s="219"/>
      <c r="J322" s="218"/>
      <c r="K322" s="218"/>
      <c r="L322" s="218"/>
      <c r="M322" s="219"/>
      <c r="N322" s="218"/>
      <c r="O322" s="218"/>
      <c r="P322" s="218"/>
      <c r="Q322" s="219"/>
      <c r="R322" s="218"/>
      <c r="S322" s="218"/>
      <c r="T322" s="218"/>
      <c r="U322" s="219"/>
      <c r="V322" s="218"/>
      <c r="W322" s="218"/>
      <c r="X322" s="218"/>
      <c r="Y322" s="219"/>
    </row>
    <row r="323" spans="1:25" ht="12.75" hidden="1" customHeight="1" outlineLevel="1" x14ac:dyDescent="0.2">
      <c r="A323" s="198" t="str">
        <f>"      "&amp;Labels!B385</f>
        <v xml:space="preserve">      Prof Level 1</v>
      </c>
      <c r="B323" s="233" t="str">
        <f t="shared" ref="B323:D328" si="204">IF(B511=0," ",B355/B511)</f>
        <v xml:space="preserve"> </v>
      </c>
      <c r="C323" s="233" t="str">
        <f t="shared" si="204"/>
        <v xml:space="preserve"> </v>
      </c>
      <c r="D323" s="233" t="str">
        <f t="shared" si="204"/>
        <v xml:space="preserve"> </v>
      </c>
      <c r="E323" s="234" t="str">
        <f t="shared" ref="E323:E328" si="205">IF(SUM(B511:D511)=0," ",SUM(B355:D355)/SUM(B511:D511))</f>
        <v xml:space="preserve"> </v>
      </c>
      <c r="F323" s="233" t="str">
        <f t="shared" ref="F323:H328" si="206">IF(F511=0," ",F355/F511)</f>
        <v xml:space="preserve"> </v>
      </c>
      <c r="G323" s="233" t="str">
        <f t="shared" si="206"/>
        <v xml:space="preserve"> </v>
      </c>
      <c r="H323" s="233" t="str">
        <f t="shared" si="206"/>
        <v xml:space="preserve"> </v>
      </c>
      <c r="I323" s="234" t="str">
        <f t="shared" ref="I323:I328" si="207">IF(SUM(F511:H511)=0," ",SUM(F355:H355)/SUM(F511:H511))</f>
        <v xml:space="preserve"> </v>
      </c>
      <c r="J323" s="233" t="str">
        <f t="shared" ref="J323:L328" si="208">IF(J511=0," ",J355/J511)</f>
        <v xml:space="preserve"> </v>
      </c>
      <c r="K323" s="233" t="str">
        <f t="shared" si="208"/>
        <v xml:space="preserve"> </v>
      </c>
      <c r="L323" s="233" t="str">
        <f t="shared" si="208"/>
        <v xml:space="preserve"> </v>
      </c>
      <c r="M323" s="234" t="str">
        <f t="shared" ref="M323:M328" si="209">IF(SUM(J511:L511)=0," ",SUM(J355:L355)/SUM(J511:L511))</f>
        <v xml:space="preserve"> </v>
      </c>
      <c r="N323" s="233" t="str">
        <f t="shared" ref="N323:P328" si="210">IF(N511=0," ",N355/N511)</f>
        <v xml:space="preserve"> </v>
      </c>
      <c r="O323" s="233" t="str">
        <f t="shared" si="210"/>
        <v xml:space="preserve"> </v>
      </c>
      <c r="P323" s="233" t="str">
        <f t="shared" si="210"/>
        <v xml:space="preserve"> </v>
      </c>
      <c r="Q323" s="234" t="str">
        <f t="shared" ref="Q323:Q328" si="211">IF(SUM(N511:P511)=0," ",SUM(N355:P355)/SUM(N511:P511))</f>
        <v xml:space="preserve"> </v>
      </c>
      <c r="R323" s="233" t="str">
        <f t="shared" ref="R323:T328" si="212">IF(R511=0," ",R355/R511)</f>
        <v xml:space="preserve"> </v>
      </c>
      <c r="S323" s="233" t="str">
        <f t="shared" si="212"/>
        <v xml:space="preserve"> </v>
      </c>
      <c r="T323" s="233" t="str">
        <f t="shared" si="212"/>
        <v xml:space="preserve"> </v>
      </c>
      <c r="U323" s="234" t="str">
        <f t="shared" ref="U323:U328" si="213">IF(SUM(R511:T511)=0," ",SUM(R355:T355)/SUM(R511:T511))</f>
        <v xml:space="preserve"> </v>
      </c>
      <c r="V323" s="233" t="str">
        <f t="shared" ref="V323:X328" si="214">IF(V511=0," ",V355/V511)</f>
        <v xml:space="preserve"> </v>
      </c>
      <c r="W323" s="233" t="str">
        <f t="shared" si="214"/>
        <v xml:space="preserve"> </v>
      </c>
      <c r="X323" s="233" t="str">
        <f t="shared" si="214"/>
        <v xml:space="preserve"> </v>
      </c>
      <c r="Y323" s="234" t="str">
        <f t="shared" ref="Y323:Y328" si="215">IF(SUM(V511:X511)=0," ",SUM(V355:X355)/SUM(V511:X511))</f>
        <v xml:space="preserve"> </v>
      </c>
    </row>
    <row r="324" spans="1:25" ht="12.75" hidden="1" customHeight="1" outlineLevel="1" x14ac:dyDescent="0.2">
      <c r="A324" s="198" t="str">
        <f>"      "&amp;Labels!B386</f>
        <v xml:space="preserve">      Prof Level 2</v>
      </c>
      <c r="B324" s="233" t="str">
        <f t="shared" si="204"/>
        <v xml:space="preserve"> </v>
      </c>
      <c r="C324" s="233" t="str">
        <f t="shared" si="204"/>
        <v xml:space="preserve"> </v>
      </c>
      <c r="D324" s="233" t="str">
        <f t="shared" si="204"/>
        <v xml:space="preserve"> </v>
      </c>
      <c r="E324" s="234" t="str">
        <f t="shared" si="205"/>
        <v xml:space="preserve"> </v>
      </c>
      <c r="F324" s="233" t="str">
        <f t="shared" si="206"/>
        <v xml:space="preserve"> </v>
      </c>
      <c r="G324" s="233" t="str">
        <f t="shared" si="206"/>
        <v xml:space="preserve"> </v>
      </c>
      <c r="H324" s="233" t="str">
        <f t="shared" si="206"/>
        <v xml:space="preserve"> </v>
      </c>
      <c r="I324" s="234" t="str">
        <f t="shared" si="207"/>
        <v xml:space="preserve"> </v>
      </c>
      <c r="J324" s="233" t="str">
        <f t="shared" si="208"/>
        <v xml:space="preserve"> </v>
      </c>
      <c r="K324" s="233" t="str">
        <f t="shared" si="208"/>
        <v xml:space="preserve"> </v>
      </c>
      <c r="L324" s="233" t="str">
        <f t="shared" si="208"/>
        <v xml:space="preserve"> </v>
      </c>
      <c r="M324" s="234" t="str">
        <f t="shared" si="209"/>
        <v xml:space="preserve"> </v>
      </c>
      <c r="N324" s="233" t="str">
        <f t="shared" si="210"/>
        <v xml:space="preserve"> </v>
      </c>
      <c r="O324" s="233" t="str">
        <f t="shared" si="210"/>
        <v xml:space="preserve"> </v>
      </c>
      <c r="P324" s="233" t="str">
        <f t="shared" si="210"/>
        <v xml:space="preserve"> </v>
      </c>
      <c r="Q324" s="234" t="str">
        <f t="shared" si="211"/>
        <v xml:space="preserve"> </v>
      </c>
      <c r="R324" s="233" t="str">
        <f t="shared" si="212"/>
        <v xml:space="preserve"> </v>
      </c>
      <c r="S324" s="233" t="str">
        <f t="shared" si="212"/>
        <v xml:space="preserve"> </v>
      </c>
      <c r="T324" s="233" t="str">
        <f t="shared" si="212"/>
        <v xml:space="preserve"> </v>
      </c>
      <c r="U324" s="234" t="str">
        <f t="shared" si="213"/>
        <v xml:space="preserve"> </v>
      </c>
      <c r="V324" s="233" t="str">
        <f t="shared" si="214"/>
        <v xml:space="preserve"> </v>
      </c>
      <c r="W324" s="233" t="str">
        <f t="shared" si="214"/>
        <v xml:space="preserve"> </v>
      </c>
      <c r="X324" s="233" t="str">
        <f t="shared" si="214"/>
        <v xml:space="preserve"> </v>
      </c>
      <c r="Y324" s="234" t="str">
        <f t="shared" si="215"/>
        <v xml:space="preserve"> </v>
      </c>
    </row>
    <row r="325" spans="1:25" ht="12.75" hidden="1" customHeight="1" outlineLevel="1" x14ac:dyDescent="0.2">
      <c r="A325" s="188" t="str">
        <f>"      "&amp;Labels!C384</f>
        <v xml:space="preserve">      Total</v>
      </c>
      <c r="B325" s="218" t="str">
        <f t="shared" si="204"/>
        <v xml:space="preserve"> </v>
      </c>
      <c r="C325" s="218" t="str">
        <f t="shared" si="204"/>
        <v xml:space="preserve"> </v>
      </c>
      <c r="D325" s="218" t="str">
        <f t="shared" si="204"/>
        <v xml:space="preserve"> </v>
      </c>
      <c r="E325" s="219" t="str">
        <f t="shared" si="205"/>
        <v xml:space="preserve"> </v>
      </c>
      <c r="F325" s="218" t="str">
        <f t="shared" si="206"/>
        <v xml:space="preserve"> </v>
      </c>
      <c r="G325" s="218" t="str">
        <f t="shared" si="206"/>
        <v xml:space="preserve"> </v>
      </c>
      <c r="H325" s="218" t="str">
        <f t="shared" si="206"/>
        <v xml:space="preserve"> </v>
      </c>
      <c r="I325" s="219" t="str">
        <f t="shared" si="207"/>
        <v xml:space="preserve"> </v>
      </c>
      <c r="J325" s="218" t="str">
        <f t="shared" si="208"/>
        <v xml:space="preserve"> </v>
      </c>
      <c r="K325" s="218" t="str">
        <f t="shared" si="208"/>
        <v xml:space="preserve"> </v>
      </c>
      <c r="L325" s="218" t="str">
        <f t="shared" si="208"/>
        <v xml:space="preserve"> </v>
      </c>
      <c r="M325" s="219" t="str">
        <f t="shared" si="209"/>
        <v xml:space="preserve"> </v>
      </c>
      <c r="N325" s="218" t="str">
        <f t="shared" si="210"/>
        <v xml:space="preserve"> </v>
      </c>
      <c r="O325" s="218" t="str">
        <f t="shared" si="210"/>
        <v xml:space="preserve"> </v>
      </c>
      <c r="P325" s="218" t="str">
        <f t="shared" si="210"/>
        <v xml:space="preserve"> </v>
      </c>
      <c r="Q325" s="219" t="str">
        <f t="shared" si="211"/>
        <v xml:space="preserve"> </v>
      </c>
      <c r="R325" s="218" t="str">
        <f t="shared" si="212"/>
        <v xml:space="preserve"> </v>
      </c>
      <c r="S325" s="218" t="str">
        <f t="shared" si="212"/>
        <v xml:space="preserve"> </v>
      </c>
      <c r="T325" s="218" t="str">
        <f t="shared" si="212"/>
        <v xml:space="preserve"> </v>
      </c>
      <c r="U325" s="219" t="str">
        <f t="shared" si="213"/>
        <v xml:space="preserve"> </v>
      </c>
      <c r="V325" s="218" t="str">
        <f t="shared" si="214"/>
        <v xml:space="preserve"> </v>
      </c>
      <c r="W325" s="218" t="str">
        <f t="shared" si="214"/>
        <v xml:space="preserve"> </v>
      </c>
      <c r="X325" s="218" t="str">
        <f t="shared" si="214"/>
        <v xml:space="preserve"> </v>
      </c>
      <c r="Y325" s="219" t="str">
        <f t="shared" si="215"/>
        <v xml:space="preserve"> </v>
      </c>
    </row>
    <row r="326" spans="1:25" ht="12.75" hidden="1" customHeight="1" outlineLevel="1" x14ac:dyDescent="0.2">
      <c r="A326" s="191" t="str">
        <f>"   "&amp;Labels!C380</f>
        <v xml:space="preserve">   Total</v>
      </c>
      <c r="B326" s="211" t="str">
        <f t="shared" si="204"/>
        <v xml:space="preserve"> </v>
      </c>
      <c r="C326" s="211" t="str">
        <f t="shared" si="204"/>
        <v xml:space="preserve"> </v>
      </c>
      <c r="D326" s="211" t="str">
        <f t="shared" si="204"/>
        <v xml:space="preserve"> </v>
      </c>
      <c r="E326" s="210" t="str">
        <f t="shared" si="205"/>
        <v xml:space="preserve"> </v>
      </c>
      <c r="F326" s="211" t="str">
        <f t="shared" si="206"/>
        <v xml:space="preserve"> </v>
      </c>
      <c r="G326" s="211" t="str">
        <f t="shared" si="206"/>
        <v xml:space="preserve"> </v>
      </c>
      <c r="H326" s="211" t="str">
        <f t="shared" si="206"/>
        <v xml:space="preserve"> </v>
      </c>
      <c r="I326" s="210" t="str">
        <f t="shared" si="207"/>
        <v xml:space="preserve"> </v>
      </c>
      <c r="J326" s="211">
        <f t="shared" si="208"/>
        <v>1.3333333333333333</v>
      </c>
      <c r="K326" s="211">
        <f t="shared" si="208"/>
        <v>0.66666666666666663</v>
      </c>
      <c r="L326" s="211" t="str">
        <f t="shared" si="208"/>
        <v xml:space="preserve"> </v>
      </c>
      <c r="M326" s="210">
        <f t="shared" si="209"/>
        <v>0.88888888888888884</v>
      </c>
      <c r="N326" s="211" t="str">
        <f t="shared" si="210"/>
        <v xml:space="preserve"> </v>
      </c>
      <c r="O326" s="211" t="str">
        <f t="shared" si="210"/>
        <v xml:space="preserve"> </v>
      </c>
      <c r="P326" s="211" t="str">
        <f t="shared" si="210"/>
        <v xml:space="preserve"> </v>
      </c>
      <c r="Q326" s="210" t="str">
        <f t="shared" si="211"/>
        <v xml:space="preserve"> </v>
      </c>
      <c r="R326" s="211" t="str">
        <f t="shared" si="212"/>
        <v xml:space="preserve"> </v>
      </c>
      <c r="S326" s="211" t="str">
        <f t="shared" si="212"/>
        <v xml:space="preserve"> </v>
      </c>
      <c r="T326" s="211" t="str">
        <f t="shared" si="212"/>
        <v xml:space="preserve"> </v>
      </c>
      <c r="U326" s="210" t="str">
        <f t="shared" si="213"/>
        <v xml:space="preserve"> </v>
      </c>
      <c r="V326" s="211" t="str">
        <f t="shared" si="214"/>
        <v xml:space="preserve"> </v>
      </c>
      <c r="W326" s="211" t="str">
        <f t="shared" si="214"/>
        <v xml:space="preserve"> </v>
      </c>
      <c r="X326" s="211" t="str">
        <f t="shared" si="214"/>
        <v xml:space="preserve"> </v>
      </c>
      <c r="Y326" s="210" t="str">
        <f t="shared" si="215"/>
        <v xml:space="preserve"> </v>
      </c>
    </row>
    <row r="327" spans="1:25" ht="12.75" hidden="1" customHeight="1" outlineLevel="1" x14ac:dyDescent="0.2">
      <c r="A327" s="198" t="str">
        <f>"      "&amp;Labels!B385</f>
        <v xml:space="preserve">      Prof Level 1</v>
      </c>
      <c r="B327" s="233" t="str">
        <f t="shared" si="204"/>
        <v xml:space="preserve"> </v>
      </c>
      <c r="C327" s="233" t="str">
        <f t="shared" si="204"/>
        <v xml:space="preserve"> </v>
      </c>
      <c r="D327" s="233" t="str">
        <f t="shared" si="204"/>
        <v xml:space="preserve"> </v>
      </c>
      <c r="E327" s="234" t="str">
        <f t="shared" si="205"/>
        <v xml:space="preserve"> </v>
      </c>
      <c r="F327" s="233" t="str">
        <f t="shared" si="206"/>
        <v xml:space="preserve"> </v>
      </c>
      <c r="G327" s="233" t="str">
        <f t="shared" si="206"/>
        <v xml:space="preserve"> </v>
      </c>
      <c r="H327" s="233" t="str">
        <f t="shared" si="206"/>
        <v xml:space="preserve"> </v>
      </c>
      <c r="I327" s="234" t="str">
        <f t="shared" si="207"/>
        <v xml:space="preserve"> </v>
      </c>
      <c r="J327" s="233">
        <f t="shared" si="208"/>
        <v>1.3333333333333333</v>
      </c>
      <c r="K327" s="233">
        <f t="shared" si="208"/>
        <v>0.66666666666666663</v>
      </c>
      <c r="L327" s="233" t="str">
        <f t="shared" si="208"/>
        <v xml:space="preserve"> </v>
      </c>
      <c r="M327" s="234">
        <f t="shared" si="209"/>
        <v>0.88888888888888884</v>
      </c>
      <c r="N327" s="233" t="str">
        <f t="shared" si="210"/>
        <v xml:space="preserve"> </v>
      </c>
      <c r="O327" s="233" t="str">
        <f t="shared" si="210"/>
        <v xml:space="preserve"> </v>
      </c>
      <c r="P327" s="233" t="str">
        <f t="shared" si="210"/>
        <v xml:space="preserve"> </v>
      </c>
      <c r="Q327" s="234" t="str">
        <f t="shared" si="211"/>
        <v xml:space="preserve"> </v>
      </c>
      <c r="R327" s="233" t="str">
        <f t="shared" si="212"/>
        <v xml:space="preserve"> </v>
      </c>
      <c r="S327" s="233" t="str">
        <f t="shared" si="212"/>
        <v xml:space="preserve"> </v>
      </c>
      <c r="T327" s="233" t="str">
        <f t="shared" si="212"/>
        <v xml:space="preserve"> </v>
      </c>
      <c r="U327" s="234" t="str">
        <f t="shared" si="213"/>
        <v xml:space="preserve"> </v>
      </c>
      <c r="V327" s="233" t="str">
        <f t="shared" si="214"/>
        <v xml:space="preserve"> </v>
      </c>
      <c r="W327" s="233" t="str">
        <f t="shared" si="214"/>
        <v xml:space="preserve"> </v>
      </c>
      <c r="X327" s="233" t="str">
        <f t="shared" si="214"/>
        <v xml:space="preserve"> </v>
      </c>
      <c r="Y327" s="234" t="str">
        <f t="shared" si="215"/>
        <v xml:space="preserve"> </v>
      </c>
    </row>
    <row r="328" spans="1:25" ht="12.75" hidden="1" customHeight="1" outlineLevel="1" x14ac:dyDescent="0.2">
      <c r="A328" s="198" t="str">
        <f>"      "&amp;Labels!B386</f>
        <v xml:space="preserve">      Prof Level 2</v>
      </c>
      <c r="B328" s="233" t="str">
        <f t="shared" si="204"/>
        <v xml:space="preserve"> </v>
      </c>
      <c r="C328" s="233" t="str">
        <f t="shared" si="204"/>
        <v xml:space="preserve"> </v>
      </c>
      <c r="D328" s="233" t="str">
        <f t="shared" si="204"/>
        <v xml:space="preserve"> </v>
      </c>
      <c r="E328" s="234" t="str">
        <f t="shared" si="205"/>
        <v xml:space="preserve"> </v>
      </c>
      <c r="F328" s="233" t="str">
        <f t="shared" si="206"/>
        <v xml:space="preserve"> </v>
      </c>
      <c r="G328" s="233" t="str">
        <f t="shared" si="206"/>
        <v xml:space="preserve"> </v>
      </c>
      <c r="H328" s="233" t="str">
        <f t="shared" si="206"/>
        <v xml:space="preserve"> </v>
      </c>
      <c r="I328" s="234" t="str">
        <f t="shared" si="207"/>
        <v xml:space="preserve"> </v>
      </c>
      <c r="J328" s="233">
        <f t="shared" si="208"/>
        <v>1.3333333333333333</v>
      </c>
      <c r="K328" s="233">
        <f t="shared" si="208"/>
        <v>0.66666666666666663</v>
      </c>
      <c r="L328" s="233" t="str">
        <f t="shared" si="208"/>
        <v xml:space="preserve"> </v>
      </c>
      <c r="M328" s="234">
        <f t="shared" si="209"/>
        <v>0.88888888888888884</v>
      </c>
      <c r="N328" s="233" t="str">
        <f t="shared" si="210"/>
        <v xml:space="preserve"> </v>
      </c>
      <c r="O328" s="233" t="str">
        <f t="shared" si="210"/>
        <v xml:space="preserve"> </v>
      </c>
      <c r="P328" s="233" t="str">
        <f t="shared" si="210"/>
        <v xml:space="preserve"> </v>
      </c>
      <c r="Q328" s="234" t="str">
        <f t="shared" si="211"/>
        <v xml:space="preserve"> </v>
      </c>
      <c r="R328" s="233" t="str">
        <f t="shared" si="212"/>
        <v xml:space="preserve"> </v>
      </c>
      <c r="S328" s="233" t="str">
        <f t="shared" si="212"/>
        <v xml:space="preserve"> </v>
      </c>
      <c r="T328" s="233" t="str">
        <f t="shared" si="212"/>
        <v xml:space="preserve"> </v>
      </c>
      <c r="U328" s="234" t="str">
        <f t="shared" si="213"/>
        <v xml:space="preserve"> </v>
      </c>
      <c r="V328" s="233" t="str">
        <f t="shared" si="214"/>
        <v xml:space="preserve"> </v>
      </c>
      <c r="W328" s="233" t="str">
        <f t="shared" si="214"/>
        <v xml:space="preserve"> </v>
      </c>
      <c r="X328" s="233" t="str">
        <f t="shared" si="214"/>
        <v xml:space="preserve"> </v>
      </c>
      <c r="Y328" s="234" t="str">
        <f t="shared" si="215"/>
        <v xml:space="preserve"> </v>
      </c>
    </row>
    <row r="329" spans="1:25" ht="12.75" hidden="1" customHeight="1" outlineLevel="1" x14ac:dyDescent="0.2">
      <c r="A329" s="188" t="str">
        <f>"      "&amp;Labels!C384</f>
        <v xml:space="preserve">      Total</v>
      </c>
      <c r="B329" s="218" t="str">
        <f>IF(B514=0," ",B358/B514)</f>
        <v xml:space="preserve"> </v>
      </c>
      <c r="C329" s="218" t="str">
        <f>IF(C514=0," ",C358/C514)</f>
        <v xml:space="preserve"> </v>
      </c>
      <c r="D329" s="218" t="str">
        <f>IF(D514=0," ",D358/D514)</f>
        <v xml:space="preserve"> </v>
      </c>
      <c r="E329" s="219" t="str">
        <f>IF(SUM(B514:D514)=0," ",SUM(B358:D358)/SUM(B514:D514))</f>
        <v xml:space="preserve"> </v>
      </c>
      <c r="F329" s="218" t="str">
        <f>IF(F514=0," ",F358/F514)</f>
        <v xml:space="preserve"> </v>
      </c>
      <c r="G329" s="218" t="str">
        <f>IF(G514=0," ",G358/G514)</f>
        <v xml:space="preserve"> </v>
      </c>
      <c r="H329" s="218" t="str">
        <f>IF(H514=0," ",H358/H514)</f>
        <v xml:space="preserve"> </v>
      </c>
      <c r="I329" s="219" t="str">
        <f>IF(SUM(F514:H514)=0," ",SUM(F358:H358)/SUM(F514:H514))</f>
        <v xml:space="preserve"> </v>
      </c>
      <c r="J329" s="218">
        <f>IF(J514=0," ",J358/J514)</f>
        <v>1.3333333333333333</v>
      </c>
      <c r="K329" s="218">
        <f>IF(K514=0," ",K358/K514)</f>
        <v>0.66666666666666663</v>
      </c>
      <c r="L329" s="218" t="str">
        <f>IF(L514=0," ",L358/L514)</f>
        <v xml:space="preserve"> </v>
      </c>
      <c r="M329" s="219">
        <f>IF(SUM(J514:L514)=0," ",SUM(J358:L358)/SUM(J514:L514))</f>
        <v>0.88888888888888884</v>
      </c>
      <c r="N329" s="218" t="str">
        <f>IF(N514=0," ",N358/N514)</f>
        <v xml:space="preserve"> </v>
      </c>
      <c r="O329" s="218" t="str">
        <f>IF(O514=0," ",O358/O514)</f>
        <v xml:space="preserve"> </v>
      </c>
      <c r="P329" s="218" t="str">
        <f>IF(P514=0," ",P358/P514)</f>
        <v xml:space="preserve"> </v>
      </c>
      <c r="Q329" s="219" t="str">
        <f>IF(SUM(N514:P514)=0," ",SUM(N358:P358)/SUM(N514:P514))</f>
        <v xml:space="preserve"> </v>
      </c>
      <c r="R329" s="218" t="str">
        <f>IF(R514=0," ",R358/R514)</f>
        <v xml:space="preserve"> </v>
      </c>
      <c r="S329" s="218" t="str">
        <f>IF(S514=0," ",S358/S514)</f>
        <v xml:space="preserve"> </v>
      </c>
      <c r="T329" s="218" t="str">
        <f>IF(T514=0," ",T358/T514)</f>
        <v xml:space="preserve"> </v>
      </c>
      <c r="U329" s="219" t="str">
        <f>IF(SUM(R514:T514)=0," ",SUM(R358:T358)/SUM(R514:T514))</f>
        <v xml:space="preserve"> </v>
      </c>
      <c r="V329" s="218" t="str">
        <f>IF(V514=0," ",V358/V514)</f>
        <v xml:space="preserve"> </v>
      </c>
      <c r="W329" s="218" t="str">
        <f>IF(W514=0," ",W358/W514)</f>
        <v xml:space="preserve"> </v>
      </c>
      <c r="X329" s="218" t="str">
        <f>IF(X514=0," ",X358/X514)</f>
        <v xml:space="preserve"> </v>
      </c>
      <c r="Y329" s="219" t="str">
        <f>IF(SUM(V514:X514)=0," ",SUM(V358:X358)/SUM(V514:X514))</f>
        <v xml:space="preserve"> </v>
      </c>
    </row>
    <row r="330" spans="1:25" ht="12.75" hidden="1" customHeight="1" outlineLevel="1" x14ac:dyDescent="0.2">
      <c r="A330" s="97"/>
      <c r="B330" s="6"/>
      <c r="C330" s="6"/>
      <c r="D330" s="6"/>
      <c r="E330" s="97"/>
      <c r="F330" s="6"/>
      <c r="G330" s="6"/>
      <c r="H330" s="6"/>
      <c r="I330" s="97"/>
      <c r="J330" s="6"/>
      <c r="K330" s="6"/>
      <c r="L330" s="6"/>
      <c r="M330" s="97"/>
      <c r="N330" s="6"/>
      <c r="O330" s="6"/>
      <c r="P330" s="6"/>
      <c r="Q330" s="97"/>
      <c r="R330" s="6"/>
      <c r="S330" s="6"/>
      <c r="T330" s="6"/>
      <c r="U330" s="97"/>
      <c r="V330" s="6"/>
      <c r="W330" s="6"/>
      <c r="X330" s="6"/>
      <c r="Y330" s="97"/>
    </row>
    <row r="331" spans="1:25" ht="12.75" hidden="1" customHeight="1" outlineLevel="1" x14ac:dyDescent="0.2">
      <c r="A331" s="191" t="str">
        <f>Labels!B206</f>
        <v>Prof Staff Target Util %</v>
      </c>
      <c r="B331" s="300"/>
      <c r="C331" s="300"/>
      <c r="D331" s="300"/>
      <c r="E331" s="301"/>
      <c r="F331" s="300"/>
      <c r="G331" s="300"/>
      <c r="H331" s="300"/>
      <c r="I331" s="301"/>
      <c r="J331" s="300"/>
      <c r="K331" s="300"/>
      <c r="L331" s="300"/>
      <c r="M331" s="301"/>
      <c r="N331" s="300"/>
      <c r="O331" s="300"/>
      <c r="P331" s="300"/>
      <c r="Q331" s="301"/>
      <c r="R331" s="300"/>
      <c r="S331" s="300"/>
      <c r="T331" s="300"/>
      <c r="U331" s="301"/>
      <c r="V331" s="300"/>
      <c r="W331" s="300"/>
      <c r="X331" s="300"/>
      <c r="Y331" s="301"/>
    </row>
    <row r="332" spans="1:25" ht="12.75" hidden="1" customHeight="1" outlineLevel="1" x14ac:dyDescent="0.2">
      <c r="A332" s="188" t="str">
        <f>"   "&amp;Labels!B381</f>
        <v xml:space="preserve">   Practice 1</v>
      </c>
      <c r="B332" s="275"/>
      <c r="C332" s="275"/>
      <c r="D332" s="275"/>
      <c r="E332" s="302"/>
      <c r="F332" s="275"/>
      <c r="G332" s="275"/>
      <c r="H332" s="275"/>
      <c r="I332" s="302"/>
      <c r="J332" s="275"/>
      <c r="K332" s="275"/>
      <c r="L332" s="275"/>
      <c r="M332" s="302"/>
      <c r="N332" s="275"/>
      <c r="O332" s="275"/>
      <c r="P332" s="275"/>
      <c r="Q332" s="302"/>
      <c r="R332" s="275"/>
      <c r="S332" s="275"/>
      <c r="T332" s="275"/>
      <c r="U332" s="302"/>
      <c r="V332" s="275"/>
      <c r="W332" s="275"/>
      <c r="X332" s="275"/>
      <c r="Y332" s="302"/>
    </row>
    <row r="333" spans="1:25" ht="12.75" hidden="1" customHeight="1" outlineLevel="1" x14ac:dyDescent="0.2">
      <c r="A333" s="198" t="str">
        <f>"      "&amp;Labels!B385</f>
        <v xml:space="preserve">      Prof Level 1</v>
      </c>
      <c r="B333" s="303">
        <f>Inputs!F189</f>
        <v>0.8</v>
      </c>
      <c r="C333" s="303">
        <f>Inputs!G189</f>
        <v>0.8</v>
      </c>
      <c r="D333" s="303">
        <f>Inputs!H189</f>
        <v>0.8</v>
      </c>
      <c r="E333" s="304">
        <f>AVERAGE(B333:D333)</f>
        <v>0.80000000000000016</v>
      </c>
      <c r="F333" s="303">
        <f>Inputs!I189</f>
        <v>0.8</v>
      </c>
      <c r="G333" s="303">
        <f>Inputs!J189</f>
        <v>0.8</v>
      </c>
      <c r="H333" s="303">
        <f>Inputs!K189</f>
        <v>0.8</v>
      </c>
      <c r="I333" s="304">
        <f>AVERAGE(F333:H333)</f>
        <v>0.80000000000000016</v>
      </c>
      <c r="J333" s="303">
        <f>Inputs!L189</f>
        <v>0.8</v>
      </c>
      <c r="K333" s="303">
        <f>Inputs!M189</f>
        <v>0.8</v>
      </c>
      <c r="L333" s="303">
        <f>Inputs!N189</f>
        <v>0.8</v>
      </c>
      <c r="M333" s="304">
        <f>AVERAGE(J333:L333)</f>
        <v>0.80000000000000016</v>
      </c>
      <c r="N333" s="303">
        <f>Inputs!O189</f>
        <v>0.8</v>
      </c>
      <c r="O333" s="303">
        <f>Inputs!P189</f>
        <v>0.8</v>
      </c>
      <c r="P333" s="303">
        <f>Inputs!Q189</f>
        <v>0.8</v>
      </c>
      <c r="Q333" s="304">
        <f>AVERAGE(N333:P333)</f>
        <v>0.80000000000000016</v>
      </c>
      <c r="R333" s="303">
        <f>Inputs!R189</f>
        <v>0.8</v>
      </c>
      <c r="S333" s="303">
        <f>Inputs!S189</f>
        <v>0.8</v>
      </c>
      <c r="T333" s="303">
        <f>Inputs!T189</f>
        <v>0.8</v>
      </c>
      <c r="U333" s="304">
        <f>AVERAGE(R333:T333)</f>
        <v>0.80000000000000016</v>
      </c>
      <c r="V333" s="303">
        <f>Inputs!U189</f>
        <v>0.8</v>
      </c>
      <c r="W333" s="303">
        <f>Inputs!V189</f>
        <v>0.8</v>
      </c>
      <c r="X333" s="303">
        <f>Inputs!W189</f>
        <v>0.8</v>
      </c>
      <c r="Y333" s="304">
        <f>AVERAGE(V333:X333)</f>
        <v>0.80000000000000016</v>
      </c>
    </row>
    <row r="334" spans="1:25" ht="12.75" hidden="1" customHeight="1" outlineLevel="1" x14ac:dyDescent="0.2">
      <c r="A334" s="198" t="str">
        <f>"      "&amp;Labels!B386</f>
        <v xml:space="preserve">      Prof Level 2</v>
      </c>
      <c r="B334" s="303">
        <f>Inputs!F190</f>
        <v>0.8</v>
      </c>
      <c r="C334" s="303">
        <f>Inputs!G190</f>
        <v>0.8</v>
      </c>
      <c r="D334" s="303">
        <f>Inputs!H190</f>
        <v>0.8</v>
      </c>
      <c r="E334" s="304">
        <f>AVERAGE(B334:D334)</f>
        <v>0.80000000000000016</v>
      </c>
      <c r="F334" s="303">
        <f>Inputs!I190</f>
        <v>0.8</v>
      </c>
      <c r="G334" s="303">
        <f>Inputs!J190</f>
        <v>0.8</v>
      </c>
      <c r="H334" s="303">
        <f>Inputs!K190</f>
        <v>0.8</v>
      </c>
      <c r="I334" s="304">
        <f>AVERAGE(F334:H334)</f>
        <v>0.80000000000000016</v>
      </c>
      <c r="J334" s="303">
        <f>Inputs!L190</f>
        <v>0.8</v>
      </c>
      <c r="K334" s="303">
        <f>Inputs!M190</f>
        <v>0.8</v>
      </c>
      <c r="L334" s="303">
        <f>Inputs!N190</f>
        <v>0.8</v>
      </c>
      <c r="M334" s="304">
        <f>AVERAGE(J334:L334)</f>
        <v>0.80000000000000016</v>
      </c>
      <c r="N334" s="303">
        <f>Inputs!O190</f>
        <v>0.8</v>
      </c>
      <c r="O334" s="303">
        <f>Inputs!P190</f>
        <v>0.8</v>
      </c>
      <c r="P334" s="303">
        <f>Inputs!Q190</f>
        <v>0.8</v>
      </c>
      <c r="Q334" s="304">
        <f>AVERAGE(N334:P334)</f>
        <v>0.80000000000000016</v>
      </c>
      <c r="R334" s="303">
        <f>Inputs!R190</f>
        <v>0.8</v>
      </c>
      <c r="S334" s="303">
        <f>Inputs!S190</f>
        <v>0.8</v>
      </c>
      <c r="T334" s="303">
        <f>Inputs!T190</f>
        <v>0.8</v>
      </c>
      <c r="U334" s="304">
        <f>AVERAGE(R334:T334)</f>
        <v>0.80000000000000016</v>
      </c>
      <c r="V334" s="303">
        <f>Inputs!U190</f>
        <v>0.8</v>
      </c>
      <c r="W334" s="303">
        <f>Inputs!V190</f>
        <v>0.8</v>
      </c>
      <c r="X334" s="303">
        <f>Inputs!W190</f>
        <v>0.8</v>
      </c>
      <c r="Y334" s="304">
        <f>AVERAGE(V334:X334)</f>
        <v>0.80000000000000016</v>
      </c>
    </row>
    <row r="335" spans="1:25" ht="12.75" hidden="1" customHeight="1" outlineLevel="1" x14ac:dyDescent="0.2">
      <c r="A335" s="188" t="str">
        <f>"      "&amp;Labels!C384</f>
        <v xml:space="preserve">      Total</v>
      </c>
      <c r="B335" s="275">
        <f>AVERAGE(B333:B334)</f>
        <v>0.8</v>
      </c>
      <c r="C335" s="275">
        <f>AVERAGE(C333:C334)</f>
        <v>0.8</v>
      </c>
      <c r="D335" s="275">
        <f>AVERAGE(D333:D334)</f>
        <v>0.8</v>
      </c>
      <c r="E335" s="302">
        <f>AVERAGE(B335:D335)</f>
        <v>0.80000000000000016</v>
      </c>
      <c r="F335" s="275">
        <f>AVERAGE(F333:F334)</f>
        <v>0.8</v>
      </c>
      <c r="G335" s="275">
        <f>AVERAGE(G333:G334)</f>
        <v>0.8</v>
      </c>
      <c r="H335" s="275">
        <f>AVERAGE(H333:H334)</f>
        <v>0.8</v>
      </c>
      <c r="I335" s="302">
        <f>AVERAGE(F335:H335)</f>
        <v>0.80000000000000016</v>
      </c>
      <c r="J335" s="275">
        <f>AVERAGE(J333:J334)</f>
        <v>0.8</v>
      </c>
      <c r="K335" s="275">
        <f>AVERAGE(K333:K334)</f>
        <v>0.8</v>
      </c>
      <c r="L335" s="275">
        <f>AVERAGE(L333:L334)</f>
        <v>0.8</v>
      </c>
      <c r="M335" s="302">
        <f>AVERAGE(J335:L335)</f>
        <v>0.80000000000000016</v>
      </c>
      <c r="N335" s="275">
        <f>AVERAGE(N333:N334)</f>
        <v>0.8</v>
      </c>
      <c r="O335" s="275">
        <f>AVERAGE(O333:O334)</f>
        <v>0.8</v>
      </c>
      <c r="P335" s="275">
        <f>AVERAGE(P333:P334)</f>
        <v>0.8</v>
      </c>
      <c r="Q335" s="302">
        <f>AVERAGE(N335:P335)</f>
        <v>0.80000000000000016</v>
      </c>
      <c r="R335" s="275">
        <f>AVERAGE(R333:R334)</f>
        <v>0.8</v>
      </c>
      <c r="S335" s="275">
        <f>AVERAGE(S333:S334)</f>
        <v>0.8</v>
      </c>
      <c r="T335" s="275">
        <f>AVERAGE(T333:T334)</f>
        <v>0.8</v>
      </c>
      <c r="U335" s="302">
        <f>AVERAGE(R335:T335)</f>
        <v>0.80000000000000016</v>
      </c>
      <c r="V335" s="275">
        <f>AVERAGE(V333:V334)</f>
        <v>0.8</v>
      </c>
      <c r="W335" s="275">
        <f>AVERAGE(W333:W334)</f>
        <v>0.8</v>
      </c>
      <c r="X335" s="275">
        <f>AVERAGE(X333:X334)</f>
        <v>0.8</v>
      </c>
      <c r="Y335" s="302">
        <f>AVERAGE(V335:X335)</f>
        <v>0.80000000000000016</v>
      </c>
    </row>
    <row r="336" spans="1:25" ht="12.75" hidden="1" customHeight="1" outlineLevel="1" x14ac:dyDescent="0.2">
      <c r="A336" s="188" t="str">
        <f>"   "&amp;Labels!B382</f>
        <v xml:space="preserve">   Practice 2</v>
      </c>
      <c r="B336" s="275"/>
      <c r="C336" s="275"/>
      <c r="D336" s="275"/>
      <c r="E336" s="302"/>
      <c r="F336" s="275"/>
      <c r="G336" s="275"/>
      <c r="H336" s="275"/>
      <c r="I336" s="302"/>
      <c r="J336" s="275"/>
      <c r="K336" s="275"/>
      <c r="L336" s="275"/>
      <c r="M336" s="302"/>
      <c r="N336" s="275"/>
      <c r="O336" s="275"/>
      <c r="P336" s="275"/>
      <c r="Q336" s="302"/>
      <c r="R336" s="275"/>
      <c r="S336" s="275"/>
      <c r="T336" s="275"/>
      <c r="U336" s="302"/>
      <c r="V336" s="275"/>
      <c r="W336" s="275"/>
      <c r="X336" s="275"/>
      <c r="Y336" s="302"/>
    </row>
    <row r="337" spans="1:25" ht="12.75" hidden="1" customHeight="1" outlineLevel="1" x14ac:dyDescent="0.2">
      <c r="A337" s="198" t="str">
        <f>"      "&amp;Labels!B385</f>
        <v xml:space="preserve">      Prof Level 1</v>
      </c>
      <c r="B337" s="303">
        <f>Inputs!F191</f>
        <v>0.8</v>
      </c>
      <c r="C337" s="303">
        <f>Inputs!G191</f>
        <v>0.8</v>
      </c>
      <c r="D337" s="303">
        <f>Inputs!H191</f>
        <v>0.8</v>
      </c>
      <c r="E337" s="304">
        <f t="shared" ref="E337:E342" si="216">AVERAGE(B337:D337)</f>
        <v>0.80000000000000016</v>
      </c>
      <c r="F337" s="303">
        <f>Inputs!I191</f>
        <v>0.8</v>
      </c>
      <c r="G337" s="303">
        <f>Inputs!J191</f>
        <v>0.8</v>
      </c>
      <c r="H337" s="303">
        <f>Inputs!K191</f>
        <v>0.8</v>
      </c>
      <c r="I337" s="304">
        <f t="shared" ref="I337:I342" si="217">AVERAGE(F337:H337)</f>
        <v>0.80000000000000016</v>
      </c>
      <c r="J337" s="303">
        <f>Inputs!L191</f>
        <v>0.8</v>
      </c>
      <c r="K337" s="303">
        <f>Inputs!M191</f>
        <v>0.8</v>
      </c>
      <c r="L337" s="303">
        <f>Inputs!N191</f>
        <v>0.8</v>
      </c>
      <c r="M337" s="304">
        <f t="shared" ref="M337:M342" si="218">AVERAGE(J337:L337)</f>
        <v>0.80000000000000016</v>
      </c>
      <c r="N337" s="303">
        <f>Inputs!O191</f>
        <v>0.8</v>
      </c>
      <c r="O337" s="303">
        <f>Inputs!P191</f>
        <v>0.8</v>
      </c>
      <c r="P337" s="303">
        <f>Inputs!Q191</f>
        <v>0.8</v>
      </c>
      <c r="Q337" s="304">
        <f t="shared" ref="Q337:Q342" si="219">AVERAGE(N337:P337)</f>
        <v>0.80000000000000016</v>
      </c>
      <c r="R337" s="303">
        <f>Inputs!R191</f>
        <v>0.8</v>
      </c>
      <c r="S337" s="303">
        <f>Inputs!S191</f>
        <v>0.8</v>
      </c>
      <c r="T337" s="303">
        <f>Inputs!T191</f>
        <v>0.8</v>
      </c>
      <c r="U337" s="304">
        <f t="shared" ref="U337:U342" si="220">AVERAGE(R337:T337)</f>
        <v>0.80000000000000016</v>
      </c>
      <c r="V337" s="303">
        <f>Inputs!U191</f>
        <v>0.8</v>
      </c>
      <c r="W337" s="303">
        <f>Inputs!V191</f>
        <v>0.8</v>
      </c>
      <c r="X337" s="303">
        <f>Inputs!W191</f>
        <v>0.8</v>
      </c>
      <c r="Y337" s="304">
        <f t="shared" ref="Y337:Y342" si="221">AVERAGE(V337:X337)</f>
        <v>0.80000000000000016</v>
      </c>
    </row>
    <row r="338" spans="1:25" ht="12.75" hidden="1" customHeight="1" outlineLevel="1" x14ac:dyDescent="0.2">
      <c r="A338" s="198" t="str">
        <f>"      "&amp;Labels!B386</f>
        <v xml:space="preserve">      Prof Level 2</v>
      </c>
      <c r="B338" s="303">
        <f>Inputs!F192</f>
        <v>0.8</v>
      </c>
      <c r="C338" s="303">
        <f>Inputs!G192</f>
        <v>0.8</v>
      </c>
      <c r="D338" s="303">
        <f>Inputs!H192</f>
        <v>0.8</v>
      </c>
      <c r="E338" s="304">
        <f t="shared" si="216"/>
        <v>0.80000000000000016</v>
      </c>
      <c r="F338" s="303">
        <f>Inputs!I192</f>
        <v>0.8</v>
      </c>
      <c r="G338" s="303">
        <f>Inputs!J192</f>
        <v>0.8</v>
      </c>
      <c r="H338" s="303">
        <f>Inputs!K192</f>
        <v>0.8</v>
      </c>
      <c r="I338" s="304">
        <f t="shared" si="217"/>
        <v>0.80000000000000016</v>
      </c>
      <c r="J338" s="303">
        <f>Inputs!L192</f>
        <v>0.8</v>
      </c>
      <c r="K338" s="303">
        <f>Inputs!M192</f>
        <v>0.8</v>
      </c>
      <c r="L338" s="303">
        <f>Inputs!N192</f>
        <v>0.8</v>
      </c>
      <c r="M338" s="304">
        <f t="shared" si="218"/>
        <v>0.80000000000000016</v>
      </c>
      <c r="N338" s="303">
        <f>Inputs!O192</f>
        <v>0.8</v>
      </c>
      <c r="O338" s="303">
        <f>Inputs!P192</f>
        <v>0.8</v>
      </c>
      <c r="P338" s="303">
        <f>Inputs!Q192</f>
        <v>0.8</v>
      </c>
      <c r="Q338" s="304">
        <f t="shared" si="219"/>
        <v>0.80000000000000016</v>
      </c>
      <c r="R338" s="303">
        <f>Inputs!R192</f>
        <v>0.8</v>
      </c>
      <c r="S338" s="303">
        <f>Inputs!S192</f>
        <v>0.8</v>
      </c>
      <c r="T338" s="303">
        <f>Inputs!T192</f>
        <v>0.8</v>
      </c>
      <c r="U338" s="304">
        <f t="shared" si="220"/>
        <v>0.80000000000000016</v>
      </c>
      <c r="V338" s="303">
        <f>Inputs!U192</f>
        <v>0.8</v>
      </c>
      <c r="W338" s="303">
        <f>Inputs!V192</f>
        <v>0.8</v>
      </c>
      <c r="X338" s="303">
        <f>Inputs!W192</f>
        <v>0.8</v>
      </c>
      <c r="Y338" s="304">
        <f t="shared" si="221"/>
        <v>0.80000000000000016</v>
      </c>
    </row>
    <row r="339" spans="1:25" ht="12.75" hidden="1" customHeight="1" outlineLevel="1" x14ac:dyDescent="0.2">
      <c r="A339" s="188" t="str">
        <f>"      "&amp;Labels!C384</f>
        <v xml:space="preserve">      Total</v>
      </c>
      <c r="B339" s="275">
        <f>AVERAGE(B337:B338)</f>
        <v>0.8</v>
      </c>
      <c r="C339" s="275">
        <f>AVERAGE(C337:C338)</f>
        <v>0.8</v>
      </c>
      <c r="D339" s="275">
        <f>AVERAGE(D337:D338)</f>
        <v>0.8</v>
      </c>
      <c r="E339" s="302">
        <f t="shared" si="216"/>
        <v>0.80000000000000016</v>
      </c>
      <c r="F339" s="275">
        <f>AVERAGE(F337:F338)</f>
        <v>0.8</v>
      </c>
      <c r="G339" s="275">
        <f>AVERAGE(G337:G338)</f>
        <v>0.8</v>
      </c>
      <c r="H339" s="275">
        <f>AVERAGE(H337:H338)</f>
        <v>0.8</v>
      </c>
      <c r="I339" s="302">
        <f t="shared" si="217"/>
        <v>0.80000000000000016</v>
      </c>
      <c r="J339" s="275">
        <f>AVERAGE(J337:J338)</f>
        <v>0.8</v>
      </c>
      <c r="K339" s="275">
        <f>AVERAGE(K337:K338)</f>
        <v>0.8</v>
      </c>
      <c r="L339" s="275">
        <f>AVERAGE(L337:L338)</f>
        <v>0.8</v>
      </c>
      <c r="M339" s="302">
        <f t="shared" si="218"/>
        <v>0.80000000000000016</v>
      </c>
      <c r="N339" s="275">
        <f>AVERAGE(N337:N338)</f>
        <v>0.8</v>
      </c>
      <c r="O339" s="275">
        <f>AVERAGE(O337:O338)</f>
        <v>0.8</v>
      </c>
      <c r="P339" s="275">
        <f>AVERAGE(P337:P338)</f>
        <v>0.8</v>
      </c>
      <c r="Q339" s="302">
        <f t="shared" si="219"/>
        <v>0.80000000000000016</v>
      </c>
      <c r="R339" s="275">
        <f>AVERAGE(R337:R338)</f>
        <v>0.8</v>
      </c>
      <c r="S339" s="275">
        <f>AVERAGE(S337:S338)</f>
        <v>0.8</v>
      </c>
      <c r="T339" s="275">
        <f>AVERAGE(T337:T338)</f>
        <v>0.8</v>
      </c>
      <c r="U339" s="302">
        <f t="shared" si="220"/>
        <v>0.80000000000000016</v>
      </c>
      <c r="V339" s="275">
        <f>AVERAGE(V337:V338)</f>
        <v>0.8</v>
      </c>
      <c r="W339" s="275">
        <f>AVERAGE(W337:W338)</f>
        <v>0.8</v>
      </c>
      <c r="X339" s="275">
        <f>AVERAGE(X337:X338)</f>
        <v>0.8</v>
      </c>
      <c r="Y339" s="302">
        <f t="shared" si="221"/>
        <v>0.80000000000000016</v>
      </c>
    </row>
    <row r="340" spans="1:25" ht="12.75" hidden="1" customHeight="1" outlineLevel="1" x14ac:dyDescent="0.2">
      <c r="A340" s="191" t="str">
        <f>"   "&amp;Labels!C380</f>
        <v xml:space="preserve">   Total</v>
      </c>
      <c r="B340" s="300">
        <f>AVERAGE(B335,B339)</f>
        <v>0.8</v>
      </c>
      <c r="C340" s="300">
        <f>AVERAGE(C335,C339)</f>
        <v>0.8</v>
      </c>
      <c r="D340" s="300">
        <f>AVERAGE(D335,D339)</f>
        <v>0.8</v>
      </c>
      <c r="E340" s="301">
        <f t="shared" si="216"/>
        <v>0.80000000000000016</v>
      </c>
      <c r="F340" s="300">
        <f>AVERAGE(F335,F339)</f>
        <v>0.8</v>
      </c>
      <c r="G340" s="300">
        <f>AVERAGE(G335,G339)</f>
        <v>0.8</v>
      </c>
      <c r="H340" s="300">
        <f>AVERAGE(H335,H339)</f>
        <v>0.8</v>
      </c>
      <c r="I340" s="301">
        <f t="shared" si="217"/>
        <v>0.80000000000000016</v>
      </c>
      <c r="J340" s="300">
        <f>AVERAGE(J335,J339)</f>
        <v>0.8</v>
      </c>
      <c r="K340" s="300">
        <f>AVERAGE(K335,K339)</f>
        <v>0.8</v>
      </c>
      <c r="L340" s="300">
        <f>AVERAGE(L335,L339)</f>
        <v>0.8</v>
      </c>
      <c r="M340" s="301">
        <f t="shared" si="218"/>
        <v>0.80000000000000016</v>
      </c>
      <c r="N340" s="300">
        <f>AVERAGE(N335,N339)</f>
        <v>0.8</v>
      </c>
      <c r="O340" s="300">
        <f>AVERAGE(O335,O339)</f>
        <v>0.8</v>
      </c>
      <c r="P340" s="300">
        <f>AVERAGE(P335,P339)</f>
        <v>0.8</v>
      </c>
      <c r="Q340" s="301">
        <f t="shared" si="219"/>
        <v>0.80000000000000016</v>
      </c>
      <c r="R340" s="300">
        <f>AVERAGE(R335,R339)</f>
        <v>0.8</v>
      </c>
      <c r="S340" s="300">
        <f>AVERAGE(S335,S339)</f>
        <v>0.8</v>
      </c>
      <c r="T340" s="300">
        <f>AVERAGE(T335,T339)</f>
        <v>0.8</v>
      </c>
      <c r="U340" s="301">
        <f t="shared" si="220"/>
        <v>0.80000000000000016</v>
      </c>
      <c r="V340" s="300">
        <f>AVERAGE(V335,V339)</f>
        <v>0.8</v>
      </c>
      <c r="W340" s="300">
        <f>AVERAGE(W335,W339)</f>
        <v>0.8</v>
      </c>
      <c r="X340" s="300">
        <f>AVERAGE(X335,X339)</f>
        <v>0.8</v>
      </c>
      <c r="Y340" s="301">
        <f t="shared" si="221"/>
        <v>0.80000000000000016</v>
      </c>
    </row>
    <row r="341" spans="1:25" ht="12.75" hidden="1" customHeight="1" outlineLevel="1" x14ac:dyDescent="0.2">
      <c r="A341" s="198" t="str">
        <f>"      "&amp;Labels!B385</f>
        <v xml:space="preserve">      Prof Level 1</v>
      </c>
      <c r="B341" s="303">
        <f t="shared" ref="B341:D343" si="222">AVERAGE(B333,B337)</f>
        <v>0.8</v>
      </c>
      <c r="C341" s="303">
        <f t="shared" si="222"/>
        <v>0.8</v>
      </c>
      <c r="D341" s="303">
        <f t="shared" si="222"/>
        <v>0.8</v>
      </c>
      <c r="E341" s="304">
        <f t="shared" si="216"/>
        <v>0.80000000000000016</v>
      </c>
      <c r="F341" s="303">
        <f t="shared" ref="F341:H343" si="223">AVERAGE(F333,F337)</f>
        <v>0.8</v>
      </c>
      <c r="G341" s="303">
        <f t="shared" si="223"/>
        <v>0.8</v>
      </c>
      <c r="H341" s="303">
        <f t="shared" si="223"/>
        <v>0.8</v>
      </c>
      <c r="I341" s="304">
        <f t="shared" si="217"/>
        <v>0.80000000000000016</v>
      </c>
      <c r="J341" s="303">
        <f t="shared" ref="J341:L343" si="224">AVERAGE(J333,J337)</f>
        <v>0.8</v>
      </c>
      <c r="K341" s="303">
        <f t="shared" si="224"/>
        <v>0.8</v>
      </c>
      <c r="L341" s="303">
        <f t="shared" si="224"/>
        <v>0.8</v>
      </c>
      <c r="M341" s="304">
        <f t="shared" si="218"/>
        <v>0.80000000000000016</v>
      </c>
      <c r="N341" s="303">
        <f t="shared" ref="N341:P343" si="225">AVERAGE(N333,N337)</f>
        <v>0.8</v>
      </c>
      <c r="O341" s="303">
        <f t="shared" si="225"/>
        <v>0.8</v>
      </c>
      <c r="P341" s="303">
        <f t="shared" si="225"/>
        <v>0.8</v>
      </c>
      <c r="Q341" s="304">
        <f t="shared" si="219"/>
        <v>0.80000000000000016</v>
      </c>
      <c r="R341" s="303">
        <f t="shared" ref="R341:T343" si="226">AVERAGE(R333,R337)</f>
        <v>0.8</v>
      </c>
      <c r="S341" s="303">
        <f t="shared" si="226"/>
        <v>0.8</v>
      </c>
      <c r="T341" s="303">
        <f t="shared" si="226"/>
        <v>0.8</v>
      </c>
      <c r="U341" s="304">
        <f t="shared" si="220"/>
        <v>0.80000000000000016</v>
      </c>
      <c r="V341" s="303">
        <f t="shared" ref="V341:X343" si="227">AVERAGE(V333,V337)</f>
        <v>0.8</v>
      </c>
      <c r="W341" s="303">
        <f t="shared" si="227"/>
        <v>0.8</v>
      </c>
      <c r="X341" s="303">
        <f t="shared" si="227"/>
        <v>0.8</v>
      </c>
      <c r="Y341" s="304">
        <f t="shared" si="221"/>
        <v>0.80000000000000016</v>
      </c>
    </row>
    <row r="342" spans="1:25" ht="12.75" hidden="1" customHeight="1" outlineLevel="1" x14ac:dyDescent="0.2">
      <c r="A342" s="198" t="str">
        <f>"      "&amp;Labels!B386</f>
        <v xml:space="preserve">      Prof Level 2</v>
      </c>
      <c r="B342" s="303">
        <f t="shared" si="222"/>
        <v>0.8</v>
      </c>
      <c r="C342" s="303">
        <f t="shared" si="222"/>
        <v>0.8</v>
      </c>
      <c r="D342" s="303">
        <f t="shared" si="222"/>
        <v>0.8</v>
      </c>
      <c r="E342" s="304">
        <f t="shared" si="216"/>
        <v>0.80000000000000016</v>
      </c>
      <c r="F342" s="303">
        <f t="shared" si="223"/>
        <v>0.8</v>
      </c>
      <c r="G342" s="303">
        <f t="shared" si="223"/>
        <v>0.8</v>
      </c>
      <c r="H342" s="303">
        <f t="shared" si="223"/>
        <v>0.8</v>
      </c>
      <c r="I342" s="304">
        <f t="shared" si="217"/>
        <v>0.80000000000000016</v>
      </c>
      <c r="J342" s="303">
        <f t="shared" si="224"/>
        <v>0.8</v>
      </c>
      <c r="K342" s="303">
        <f t="shared" si="224"/>
        <v>0.8</v>
      </c>
      <c r="L342" s="303">
        <f t="shared" si="224"/>
        <v>0.8</v>
      </c>
      <c r="M342" s="304">
        <f t="shared" si="218"/>
        <v>0.80000000000000016</v>
      </c>
      <c r="N342" s="303">
        <f t="shared" si="225"/>
        <v>0.8</v>
      </c>
      <c r="O342" s="303">
        <f t="shared" si="225"/>
        <v>0.8</v>
      </c>
      <c r="P342" s="303">
        <f t="shared" si="225"/>
        <v>0.8</v>
      </c>
      <c r="Q342" s="304">
        <f t="shared" si="219"/>
        <v>0.80000000000000016</v>
      </c>
      <c r="R342" s="303">
        <f t="shared" si="226"/>
        <v>0.8</v>
      </c>
      <c r="S342" s="303">
        <f t="shared" si="226"/>
        <v>0.8</v>
      </c>
      <c r="T342" s="303">
        <f t="shared" si="226"/>
        <v>0.8</v>
      </c>
      <c r="U342" s="304">
        <f t="shared" si="220"/>
        <v>0.80000000000000016</v>
      </c>
      <c r="V342" s="303">
        <f t="shared" si="227"/>
        <v>0.8</v>
      </c>
      <c r="W342" s="303">
        <f t="shared" si="227"/>
        <v>0.8</v>
      </c>
      <c r="X342" s="303">
        <f t="shared" si="227"/>
        <v>0.8</v>
      </c>
      <c r="Y342" s="304">
        <f t="shared" si="221"/>
        <v>0.80000000000000016</v>
      </c>
    </row>
    <row r="343" spans="1:25" ht="12.75" hidden="1" customHeight="1" outlineLevel="1" x14ac:dyDescent="0.2">
      <c r="A343" s="220" t="str">
        <f>"      "&amp;Labels!C384</f>
        <v xml:space="preserve">      Total</v>
      </c>
      <c r="B343" s="277">
        <f t="shared" si="222"/>
        <v>0.8</v>
      </c>
      <c r="C343" s="277">
        <f t="shared" si="222"/>
        <v>0.8</v>
      </c>
      <c r="D343" s="277">
        <f t="shared" si="222"/>
        <v>0.8</v>
      </c>
      <c r="E343" s="305">
        <f>AVERAGE(B340:D340)</f>
        <v>0.80000000000000016</v>
      </c>
      <c r="F343" s="277">
        <f t="shared" si="223"/>
        <v>0.8</v>
      </c>
      <c r="G343" s="277">
        <f t="shared" si="223"/>
        <v>0.8</v>
      </c>
      <c r="H343" s="277">
        <f t="shared" si="223"/>
        <v>0.8</v>
      </c>
      <c r="I343" s="305">
        <f>AVERAGE(F340:H340)</f>
        <v>0.80000000000000016</v>
      </c>
      <c r="J343" s="277">
        <f t="shared" si="224"/>
        <v>0.8</v>
      </c>
      <c r="K343" s="277">
        <f t="shared" si="224"/>
        <v>0.8</v>
      </c>
      <c r="L343" s="277">
        <f t="shared" si="224"/>
        <v>0.8</v>
      </c>
      <c r="M343" s="305">
        <f>AVERAGE(J340:L340)</f>
        <v>0.80000000000000016</v>
      </c>
      <c r="N343" s="277">
        <f t="shared" si="225"/>
        <v>0.8</v>
      </c>
      <c r="O343" s="277">
        <f t="shared" si="225"/>
        <v>0.8</v>
      </c>
      <c r="P343" s="277">
        <f t="shared" si="225"/>
        <v>0.8</v>
      </c>
      <c r="Q343" s="305">
        <f>AVERAGE(N340:P340)</f>
        <v>0.80000000000000016</v>
      </c>
      <c r="R343" s="277">
        <f t="shared" si="226"/>
        <v>0.8</v>
      </c>
      <c r="S343" s="277">
        <f t="shared" si="226"/>
        <v>0.8</v>
      </c>
      <c r="T343" s="277">
        <f t="shared" si="226"/>
        <v>0.8</v>
      </c>
      <c r="U343" s="305">
        <f>AVERAGE(R340:T340)</f>
        <v>0.80000000000000016</v>
      </c>
      <c r="V343" s="277">
        <f t="shared" si="227"/>
        <v>0.8</v>
      </c>
      <c r="W343" s="277">
        <f t="shared" si="227"/>
        <v>0.8</v>
      </c>
      <c r="X343" s="277">
        <f t="shared" si="227"/>
        <v>0.8</v>
      </c>
      <c r="Y343" s="305">
        <f>AVERAGE(V340:X340)</f>
        <v>0.80000000000000016</v>
      </c>
    </row>
    <row r="344" spans="1:25" ht="12.75" hidden="1" customHeight="1" outlineLevel="1" x14ac:dyDescent="0.2"/>
    <row r="345" spans="1:25" ht="12.75" hidden="1" customHeight="1" outlineLevel="1" collapsed="1" x14ac:dyDescent="0.2"/>
    <row r="346" spans="1:25" ht="12.75" customHeight="1" collapsed="1" x14ac:dyDescent="0.2">
      <c r="A346" s="465" t="str">
        <f>"Professional Staff Applied"</f>
        <v>Professional Staff Applied</v>
      </c>
      <c r="B346" s="465"/>
      <c r="C346" s="465"/>
    </row>
    <row r="347" spans="1:25" ht="12.75" hidden="1" customHeight="1" outlineLevel="1" x14ac:dyDescent="0.2">
      <c r="A347" s="465" t="str">
        <f>" "</f>
        <v xml:space="preserve"> </v>
      </c>
      <c r="B347" s="465"/>
      <c r="C347" s="465"/>
    </row>
    <row r="348" spans="1:25" ht="12.75" hidden="1" customHeight="1" outlineLevel="1" x14ac:dyDescent="0.2">
      <c r="B348" s="9" t="str">
        <f>'(FnCalls 1)'!F41</f>
        <v>MMM 2010</v>
      </c>
      <c r="C348" s="10" t="str">
        <f>'(FnCalls 1)'!F42</f>
        <v>MMM 2010</v>
      </c>
      <c r="D348" s="10" t="str">
        <f>'(FnCalls 1)'!F43</f>
        <v>MMM 2010</v>
      </c>
      <c r="E348" s="181" t="str">
        <f>'(FnCalls 1)'!G41</f>
        <v>Q1 2010</v>
      </c>
      <c r="F348" s="10" t="str">
        <f>'(FnCalls 1)'!F44</f>
        <v>MMM 2010</v>
      </c>
      <c r="G348" s="10" t="str">
        <f>'(FnCalls 1)'!F45</f>
        <v>MMM 2010</v>
      </c>
      <c r="H348" s="10" t="str">
        <f>'(FnCalls 1)'!F46</f>
        <v>MMM 2010</v>
      </c>
      <c r="I348" s="181" t="str">
        <f>'(FnCalls 1)'!G44</f>
        <v>Q2 2010</v>
      </c>
      <c r="J348" s="10" t="str">
        <f>'(FnCalls 1)'!F47</f>
        <v>MMM 2010</v>
      </c>
      <c r="K348" s="10" t="str">
        <f>'(FnCalls 1)'!F48</f>
        <v>MMM 2010</v>
      </c>
      <c r="L348" s="10" t="str">
        <f>'(FnCalls 1)'!F49</f>
        <v>MMM 2010</v>
      </c>
      <c r="M348" s="181" t="str">
        <f>'(FnCalls 1)'!G47</f>
        <v>Q3 2010</v>
      </c>
      <c r="N348" s="10" t="str">
        <f>'(FnCalls 1)'!F50</f>
        <v>MMM 2010</v>
      </c>
      <c r="O348" s="10" t="str">
        <f>'(FnCalls 1)'!F51</f>
        <v>MMM 2010</v>
      </c>
      <c r="P348" s="10" t="str">
        <f>'(FnCalls 1)'!F52</f>
        <v>MMM 2010</v>
      </c>
      <c r="Q348" s="181" t="str">
        <f>'(FnCalls 1)'!G50</f>
        <v>Q4 2010</v>
      </c>
      <c r="R348" s="10" t="str">
        <f>'(FnCalls 1)'!F53</f>
        <v>MMM 2011</v>
      </c>
      <c r="S348" s="10" t="str">
        <f>'(FnCalls 1)'!F54</f>
        <v>MMM 2011</v>
      </c>
      <c r="T348" s="10" t="str">
        <f>'(FnCalls 1)'!F55</f>
        <v>MMM 2011</v>
      </c>
      <c r="U348" s="181" t="str">
        <f>'(FnCalls 1)'!G53</f>
        <v>Q1 2011</v>
      </c>
      <c r="V348" s="10" t="str">
        <f>'(FnCalls 1)'!F56</f>
        <v>MMM 2011</v>
      </c>
      <c r="W348" s="10" t="str">
        <f>'(FnCalls 1)'!F57</f>
        <v>MMM 2011</v>
      </c>
      <c r="X348" s="10" t="str">
        <f>'(FnCalls 1)'!F58</f>
        <v>MMM 2011</v>
      </c>
      <c r="Y348" s="181" t="str">
        <f>'(FnCalls 1)'!G56</f>
        <v>Q2 2011</v>
      </c>
    </row>
    <row r="349" spans="1:25" ht="12.75" hidden="1" customHeight="1" outlineLevel="1" x14ac:dyDescent="0.2">
      <c r="A349" s="182" t="str">
        <f>Labels!B180</f>
        <v>Prof Staff Hours Applied</v>
      </c>
      <c r="B349" s="254"/>
      <c r="C349" s="254"/>
      <c r="D349" s="254"/>
      <c r="E349" s="255"/>
      <c r="F349" s="254"/>
      <c r="G349" s="254"/>
      <c r="H349" s="254"/>
      <c r="I349" s="255"/>
      <c r="J349" s="254"/>
      <c r="K349" s="254"/>
      <c r="L349" s="254"/>
      <c r="M349" s="255"/>
      <c r="N349" s="254"/>
      <c r="O349" s="254"/>
      <c r="P349" s="254"/>
      <c r="Q349" s="255"/>
      <c r="R349" s="254"/>
      <c r="S349" s="254"/>
      <c r="T349" s="254"/>
      <c r="U349" s="255"/>
      <c r="V349" s="254"/>
      <c r="W349" s="254"/>
      <c r="X349" s="254"/>
      <c r="Y349" s="255"/>
    </row>
    <row r="350" spans="1:25" ht="12.75" hidden="1" customHeight="1" outlineLevel="1" x14ac:dyDescent="0.2">
      <c r="A350" s="188" t="str">
        <f>"   "&amp;Labels!B381</f>
        <v xml:space="preserve">   Practice 1</v>
      </c>
      <c r="B350" s="256"/>
      <c r="C350" s="256"/>
      <c r="D350" s="256"/>
      <c r="E350" s="257"/>
      <c r="F350" s="256"/>
      <c r="G350" s="256"/>
      <c r="H350" s="256"/>
      <c r="I350" s="257"/>
      <c r="J350" s="256"/>
      <c r="K350" s="256"/>
      <c r="L350" s="256"/>
      <c r="M350" s="257"/>
      <c r="N350" s="256"/>
      <c r="O350" s="256"/>
      <c r="P350" s="256"/>
      <c r="Q350" s="257"/>
      <c r="R350" s="256"/>
      <c r="S350" s="256"/>
      <c r="T350" s="256"/>
      <c r="U350" s="257"/>
      <c r="V350" s="256"/>
      <c r="W350" s="256"/>
      <c r="X350" s="256"/>
      <c r="Y350" s="257"/>
    </row>
    <row r="351" spans="1:25" ht="12.75" hidden="1" customHeight="1" outlineLevel="1" x14ac:dyDescent="0.2">
      <c r="A351" s="198" t="str">
        <f>"      "&amp;Labels!B385</f>
        <v xml:space="preserve">      Prof Level 1</v>
      </c>
      <c r="B351" s="258">
        <f>'(Tables)'!B1085+Practices!B397</f>
        <v>0</v>
      </c>
      <c r="C351" s="258">
        <f>'(Tables)'!C1085+Practices!C397</f>
        <v>0</v>
      </c>
      <c r="D351" s="258">
        <f>'(Tables)'!D1085+Practices!D397</f>
        <v>275</v>
      </c>
      <c r="E351" s="259">
        <f>SUM(B351:D351)</f>
        <v>275</v>
      </c>
      <c r="F351" s="258">
        <f>'(Tables)'!E1085+Practices!F397</f>
        <v>275</v>
      </c>
      <c r="G351" s="258">
        <f>'(Tables)'!F1085+Practices!G397</f>
        <v>0</v>
      </c>
      <c r="H351" s="258">
        <f>'(Tables)'!G1085+Practices!H397</f>
        <v>200</v>
      </c>
      <c r="I351" s="259">
        <f>SUM(F351:H351)</f>
        <v>475</v>
      </c>
      <c r="J351" s="258">
        <f>'(Tables)'!H1085+Practices!J397</f>
        <v>200</v>
      </c>
      <c r="K351" s="258">
        <f>'(Tables)'!I1085+Practices!K397</f>
        <v>200</v>
      </c>
      <c r="L351" s="258">
        <f>'(Tables)'!J1085+Practices!L397</f>
        <v>0</v>
      </c>
      <c r="M351" s="259">
        <f>SUM(J351:L351)</f>
        <v>400</v>
      </c>
      <c r="N351" s="258">
        <f>'(Tables)'!K1085+Practices!N397</f>
        <v>0</v>
      </c>
      <c r="O351" s="258">
        <f>'(Tables)'!L1085+Practices!O397</f>
        <v>0</v>
      </c>
      <c r="P351" s="258">
        <f>'(Tables)'!M1085+Practices!P397</f>
        <v>0</v>
      </c>
      <c r="Q351" s="259">
        <f>SUM(N351:P351)</f>
        <v>0</v>
      </c>
      <c r="R351" s="258">
        <f>'(Tables)'!N1085+Practices!R397</f>
        <v>0</v>
      </c>
      <c r="S351" s="258">
        <f>'(Tables)'!O1085+Practices!S397</f>
        <v>0</v>
      </c>
      <c r="T351" s="258">
        <f>'(Tables)'!P1085+Practices!T397</f>
        <v>0</v>
      </c>
      <c r="U351" s="259">
        <f>SUM(R351:T351)</f>
        <v>0</v>
      </c>
      <c r="V351" s="258">
        <f>'(Tables)'!Q1085+Practices!V397</f>
        <v>0</v>
      </c>
      <c r="W351" s="258">
        <f>'(Tables)'!R1085+Practices!W397</f>
        <v>0</v>
      </c>
      <c r="X351" s="258">
        <f>'(Tables)'!S1085+Practices!X397</f>
        <v>0</v>
      </c>
      <c r="Y351" s="259">
        <f>SUM(V351:X351)</f>
        <v>0</v>
      </c>
    </row>
    <row r="352" spans="1:25" ht="12.75" hidden="1" customHeight="1" outlineLevel="1" x14ac:dyDescent="0.2">
      <c r="A352" s="198" t="str">
        <f>"      "&amp;Labels!B386</f>
        <v xml:space="preserve">      Prof Level 2</v>
      </c>
      <c r="B352" s="258">
        <f>'(Tables)'!B1089+Practices!B398</f>
        <v>0</v>
      </c>
      <c r="C352" s="258">
        <f>'(Tables)'!C1089+Practices!C398</f>
        <v>0</v>
      </c>
      <c r="D352" s="258">
        <f>'(Tables)'!D1089+Practices!D398</f>
        <v>275</v>
      </c>
      <c r="E352" s="259">
        <f>SUM(B352:D352)</f>
        <v>275</v>
      </c>
      <c r="F352" s="258">
        <f>'(Tables)'!E1089+Practices!F398</f>
        <v>275</v>
      </c>
      <c r="G352" s="258">
        <f>'(Tables)'!F1089+Practices!G398</f>
        <v>0</v>
      </c>
      <c r="H352" s="258">
        <f>'(Tables)'!G1089+Practices!H398</f>
        <v>200</v>
      </c>
      <c r="I352" s="259">
        <f>SUM(F352:H352)</f>
        <v>475</v>
      </c>
      <c r="J352" s="258">
        <f>'(Tables)'!H1089+Practices!J398</f>
        <v>200</v>
      </c>
      <c r="K352" s="258">
        <f>'(Tables)'!I1089+Practices!K398</f>
        <v>200</v>
      </c>
      <c r="L352" s="258">
        <f>'(Tables)'!J1089+Practices!L398</f>
        <v>0</v>
      </c>
      <c r="M352" s="259">
        <f>SUM(J352:L352)</f>
        <v>400</v>
      </c>
      <c r="N352" s="258">
        <f>'(Tables)'!K1089+Practices!N398</f>
        <v>0</v>
      </c>
      <c r="O352" s="258">
        <f>'(Tables)'!L1089+Practices!O398</f>
        <v>0</v>
      </c>
      <c r="P352" s="258">
        <f>'(Tables)'!M1089+Practices!P398</f>
        <v>0</v>
      </c>
      <c r="Q352" s="259">
        <f>SUM(N352:P352)</f>
        <v>0</v>
      </c>
      <c r="R352" s="258">
        <f>'(Tables)'!N1089+Practices!R398</f>
        <v>0</v>
      </c>
      <c r="S352" s="258">
        <f>'(Tables)'!O1089+Practices!S398</f>
        <v>0</v>
      </c>
      <c r="T352" s="258">
        <f>'(Tables)'!P1089+Practices!T398</f>
        <v>0</v>
      </c>
      <c r="U352" s="259">
        <f>SUM(R352:T352)</f>
        <v>0</v>
      </c>
      <c r="V352" s="258">
        <f>'(Tables)'!Q1089+Practices!V398</f>
        <v>0</v>
      </c>
      <c r="W352" s="258">
        <f>'(Tables)'!R1089+Practices!W398</f>
        <v>0</v>
      </c>
      <c r="X352" s="258">
        <f>'(Tables)'!S1089+Practices!X398</f>
        <v>0</v>
      </c>
      <c r="Y352" s="259">
        <f>SUM(V352:X352)</f>
        <v>0</v>
      </c>
    </row>
    <row r="353" spans="1:25" ht="12.75" hidden="1" customHeight="1" outlineLevel="1" x14ac:dyDescent="0.2">
      <c r="A353" s="188" t="str">
        <f>"      "&amp;Labels!C384</f>
        <v xml:space="preserve">      Total</v>
      </c>
      <c r="B353" s="256">
        <f>SUM(B351:B352)</f>
        <v>0</v>
      </c>
      <c r="C353" s="256">
        <f>SUM(C351:C352)</f>
        <v>0</v>
      </c>
      <c r="D353" s="256">
        <f>SUM(D351:D352)</f>
        <v>550</v>
      </c>
      <c r="E353" s="257">
        <f>SUM(B353:D353)</f>
        <v>550</v>
      </c>
      <c r="F353" s="256">
        <f>SUM(F351:F352)</f>
        <v>550</v>
      </c>
      <c r="G353" s="256">
        <f>SUM(G351:G352)</f>
        <v>0</v>
      </c>
      <c r="H353" s="256">
        <f>SUM(H351:H352)</f>
        <v>400</v>
      </c>
      <c r="I353" s="257">
        <f>SUM(F353:H353)</f>
        <v>950</v>
      </c>
      <c r="J353" s="256">
        <f>SUM(J351:J352)</f>
        <v>400</v>
      </c>
      <c r="K353" s="256">
        <f>SUM(K351:K352)</f>
        <v>400</v>
      </c>
      <c r="L353" s="256">
        <f>SUM(L351:L352)</f>
        <v>0</v>
      </c>
      <c r="M353" s="257">
        <f>SUM(J353:L353)</f>
        <v>800</v>
      </c>
      <c r="N353" s="256">
        <f>SUM(N351:N352)</f>
        <v>0</v>
      </c>
      <c r="O353" s="256">
        <f>SUM(O351:O352)</f>
        <v>0</v>
      </c>
      <c r="P353" s="256">
        <f>SUM(P351:P352)</f>
        <v>0</v>
      </c>
      <c r="Q353" s="257">
        <f>SUM(N353:P353)</f>
        <v>0</v>
      </c>
      <c r="R353" s="256">
        <f>SUM(R351:R352)</f>
        <v>0</v>
      </c>
      <c r="S353" s="256">
        <f>SUM(S351:S352)</f>
        <v>0</v>
      </c>
      <c r="T353" s="256">
        <f>SUM(T351:T352)</f>
        <v>0</v>
      </c>
      <c r="U353" s="257">
        <f>SUM(R353:T353)</f>
        <v>0</v>
      </c>
      <c r="V353" s="256">
        <f>SUM(V351:V352)</f>
        <v>0</v>
      </c>
      <c r="W353" s="256">
        <f>SUM(W351:W352)</f>
        <v>0</v>
      </c>
      <c r="X353" s="256">
        <f>SUM(X351:X352)</f>
        <v>0</v>
      </c>
      <c r="Y353" s="257">
        <f>SUM(V353:X353)</f>
        <v>0</v>
      </c>
    </row>
    <row r="354" spans="1:25" ht="12.75" hidden="1" customHeight="1" outlineLevel="1" x14ac:dyDescent="0.2">
      <c r="A354" s="188" t="str">
        <f>"   "&amp;Labels!B382</f>
        <v xml:space="preserve">   Practice 2</v>
      </c>
      <c r="B354" s="256"/>
      <c r="C354" s="256"/>
      <c r="D354" s="256"/>
      <c r="E354" s="257"/>
      <c r="F354" s="256"/>
      <c r="G354" s="256"/>
      <c r="H354" s="256"/>
      <c r="I354" s="257"/>
      <c r="J354" s="256"/>
      <c r="K354" s="256"/>
      <c r="L354" s="256"/>
      <c r="M354" s="257"/>
      <c r="N354" s="256"/>
      <c r="O354" s="256"/>
      <c r="P354" s="256"/>
      <c r="Q354" s="257"/>
      <c r="R354" s="256"/>
      <c r="S354" s="256"/>
      <c r="T354" s="256"/>
      <c r="U354" s="257"/>
      <c r="V354" s="256"/>
      <c r="W354" s="256"/>
      <c r="X354" s="256"/>
      <c r="Y354" s="257"/>
    </row>
    <row r="355" spans="1:25" ht="12.75" hidden="1" customHeight="1" outlineLevel="1" x14ac:dyDescent="0.2">
      <c r="A355" s="198" t="str">
        <f>"      "&amp;Labels!B385</f>
        <v xml:space="preserve">      Prof Level 1</v>
      </c>
      <c r="B355" s="258">
        <f>'(Tables)'!B1098+Practices!B401</f>
        <v>0</v>
      </c>
      <c r="C355" s="258">
        <f>'(Tables)'!C1098+Practices!C401</f>
        <v>0</v>
      </c>
      <c r="D355" s="258">
        <f>'(Tables)'!D1098+Practices!D401</f>
        <v>0</v>
      </c>
      <c r="E355" s="259">
        <f t="shared" ref="E355:E360" si="228">SUM(B355:D355)</f>
        <v>0</v>
      </c>
      <c r="F355" s="258">
        <f>'(Tables)'!E1098+Practices!F401</f>
        <v>0</v>
      </c>
      <c r="G355" s="258">
        <f>'(Tables)'!F1098+Practices!G401</f>
        <v>0</v>
      </c>
      <c r="H355" s="258">
        <f>'(Tables)'!G1098+Practices!H401</f>
        <v>0</v>
      </c>
      <c r="I355" s="259">
        <f t="shared" ref="I355:I360" si="229">SUM(F355:H355)</f>
        <v>0</v>
      </c>
      <c r="J355" s="258">
        <f>'(Tables)'!H1098+Practices!J401</f>
        <v>0</v>
      </c>
      <c r="K355" s="258">
        <f>'(Tables)'!I1098+Practices!K401</f>
        <v>0</v>
      </c>
      <c r="L355" s="258">
        <f>'(Tables)'!J1098+Practices!L401</f>
        <v>0</v>
      </c>
      <c r="M355" s="259">
        <f t="shared" ref="M355:M360" si="230">SUM(J355:L355)</f>
        <v>0</v>
      </c>
      <c r="N355" s="258">
        <f>'(Tables)'!K1098+Practices!N401</f>
        <v>0</v>
      </c>
      <c r="O355" s="258">
        <f>'(Tables)'!L1098+Practices!O401</f>
        <v>0</v>
      </c>
      <c r="P355" s="258">
        <f>'(Tables)'!M1098+Practices!P401</f>
        <v>0</v>
      </c>
      <c r="Q355" s="259">
        <f t="shared" ref="Q355:Q360" si="231">SUM(N355:P355)</f>
        <v>0</v>
      </c>
      <c r="R355" s="258">
        <f>'(Tables)'!N1098+Practices!R401</f>
        <v>0</v>
      </c>
      <c r="S355" s="258">
        <f>'(Tables)'!O1098+Practices!S401</f>
        <v>0</v>
      </c>
      <c r="T355" s="258">
        <f>'(Tables)'!P1098+Practices!T401</f>
        <v>0</v>
      </c>
      <c r="U355" s="259">
        <f t="shared" ref="U355:U360" si="232">SUM(R355:T355)</f>
        <v>0</v>
      </c>
      <c r="V355" s="258">
        <f>'(Tables)'!Q1098+Practices!V401</f>
        <v>0</v>
      </c>
      <c r="W355" s="258">
        <f>'(Tables)'!R1098+Practices!W401</f>
        <v>0</v>
      </c>
      <c r="X355" s="258">
        <f>'(Tables)'!S1098+Practices!X401</f>
        <v>0</v>
      </c>
      <c r="Y355" s="259">
        <f t="shared" ref="Y355:Y360" si="233">SUM(V355:X355)</f>
        <v>0</v>
      </c>
    </row>
    <row r="356" spans="1:25" ht="12.75" hidden="1" customHeight="1" outlineLevel="1" x14ac:dyDescent="0.2">
      <c r="A356" s="198" t="str">
        <f>"      "&amp;Labels!B386</f>
        <v xml:space="preserve">      Prof Level 2</v>
      </c>
      <c r="B356" s="258">
        <f>'(Tables)'!B1102+Practices!B402</f>
        <v>0</v>
      </c>
      <c r="C356" s="258">
        <f>'(Tables)'!C1102+Practices!C402</f>
        <v>0</v>
      </c>
      <c r="D356" s="258">
        <f>'(Tables)'!D1102+Practices!D402</f>
        <v>0</v>
      </c>
      <c r="E356" s="259">
        <f t="shared" si="228"/>
        <v>0</v>
      </c>
      <c r="F356" s="258">
        <f>'(Tables)'!E1102+Practices!F402</f>
        <v>0</v>
      </c>
      <c r="G356" s="258">
        <f>'(Tables)'!F1102+Practices!G402</f>
        <v>0</v>
      </c>
      <c r="H356" s="258">
        <f>'(Tables)'!G1102+Practices!H402</f>
        <v>0</v>
      </c>
      <c r="I356" s="259">
        <f t="shared" si="229"/>
        <v>0</v>
      </c>
      <c r="J356" s="258">
        <f>'(Tables)'!H1102+Practices!J402</f>
        <v>0</v>
      </c>
      <c r="K356" s="258">
        <f>'(Tables)'!I1102+Practices!K402</f>
        <v>0</v>
      </c>
      <c r="L356" s="258">
        <f>'(Tables)'!J1102+Practices!L402</f>
        <v>0</v>
      </c>
      <c r="M356" s="259">
        <f t="shared" si="230"/>
        <v>0</v>
      </c>
      <c r="N356" s="258">
        <f>'(Tables)'!K1102+Practices!N402</f>
        <v>0</v>
      </c>
      <c r="O356" s="258">
        <f>'(Tables)'!L1102+Practices!O402</f>
        <v>0</v>
      </c>
      <c r="P356" s="258">
        <f>'(Tables)'!M1102+Practices!P402</f>
        <v>0</v>
      </c>
      <c r="Q356" s="259">
        <f t="shared" si="231"/>
        <v>0</v>
      </c>
      <c r="R356" s="258">
        <f>'(Tables)'!N1102+Practices!R402</f>
        <v>0</v>
      </c>
      <c r="S356" s="258">
        <f>'(Tables)'!O1102+Practices!S402</f>
        <v>0</v>
      </c>
      <c r="T356" s="258">
        <f>'(Tables)'!P1102+Practices!T402</f>
        <v>0</v>
      </c>
      <c r="U356" s="259">
        <f t="shared" si="232"/>
        <v>0</v>
      </c>
      <c r="V356" s="258">
        <f>'(Tables)'!Q1102+Practices!V402</f>
        <v>0</v>
      </c>
      <c r="W356" s="258">
        <f>'(Tables)'!R1102+Practices!W402</f>
        <v>0</v>
      </c>
      <c r="X356" s="258">
        <f>'(Tables)'!S1102+Practices!X402</f>
        <v>0</v>
      </c>
      <c r="Y356" s="259">
        <f t="shared" si="233"/>
        <v>0</v>
      </c>
    </row>
    <row r="357" spans="1:25" ht="12.75" hidden="1" customHeight="1" outlineLevel="1" x14ac:dyDescent="0.2">
      <c r="A357" s="188" t="str">
        <f>"      "&amp;Labels!C384</f>
        <v xml:space="preserve">      Total</v>
      </c>
      <c r="B357" s="256">
        <f>SUM(B355:B356)</f>
        <v>0</v>
      </c>
      <c r="C357" s="256">
        <f>SUM(C355:C356)</f>
        <v>0</v>
      </c>
      <c r="D357" s="256">
        <f>SUM(D355:D356)</f>
        <v>0</v>
      </c>
      <c r="E357" s="257">
        <f t="shared" si="228"/>
        <v>0</v>
      </c>
      <c r="F357" s="256">
        <f>SUM(F355:F356)</f>
        <v>0</v>
      </c>
      <c r="G357" s="256">
        <f>SUM(G355:G356)</f>
        <v>0</v>
      </c>
      <c r="H357" s="256">
        <f>SUM(H355:H356)</f>
        <v>0</v>
      </c>
      <c r="I357" s="257">
        <f t="shared" si="229"/>
        <v>0</v>
      </c>
      <c r="J357" s="256">
        <f>SUM(J355:J356)</f>
        <v>0</v>
      </c>
      <c r="K357" s="256">
        <f>SUM(K355:K356)</f>
        <v>0</v>
      </c>
      <c r="L357" s="256">
        <f>SUM(L355:L356)</f>
        <v>0</v>
      </c>
      <c r="M357" s="257">
        <f t="shared" si="230"/>
        <v>0</v>
      </c>
      <c r="N357" s="256">
        <f>SUM(N355:N356)</f>
        <v>0</v>
      </c>
      <c r="O357" s="256">
        <f>SUM(O355:O356)</f>
        <v>0</v>
      </c>
      <c r="P357" s="256">
        <f>SUM(P355:P356)</f>
        <v>0</v>
      </c>
      <c r="Q357" s="257">
        <f t="shared" si="231"/>
        <v>0</v>
      </c>
      <c r="R357" s="256">
        <f>SUM(R355:R356)</f>
        <v>0</v>
      </c>
      <c r="S357" s="256">
        <f>SUM(S355:S356)</f>
        <v>0</v>
      </c>
      <c r="T357" s="256">
        <f>SUM(T355:T356)</f>
        <v>0</v>
      </c>
      <c r="U357" s="257">
        <f t="shared" si="232"/>
        <v>0</v>
      </c>
      <c r="V357" s="256">
        <f>SUM(V355:V356)</f>
        <v>0</v>
      </c>
      <c r="W357" s="256">
        <f>SUM(W355:W356)</f>
        <v>0</v>
      </c>
      <c r="X357" s="256">
        <f>SUM(X355:X356)</f>
        <v>0</v>
      </c>
      <c r="Y357" s="257">
        <f t="shared" si="233"/>
        <v>0</v>
      </c>
    </row>
    <row r="358" spans="1:25" ht="12.75" hidden="1" customHeight="1" outlineLevel="1" x14ac:dyDescent="0.2">
      <c r="A358" s="191" t="str">
        <f>"   "&amp;Labels!C380</f>
        <v xml:space="preserve">   Total</v>
      </c>
      <c r="B358" s="260">
        <f>SUM(B353,B357)</f>
        <v>0</v>
      </c>
      <c r="C358" s="260">
        <f>SUM(C353,C357)</f>
        <v>0</v>
      </c>
      <c r="D358" s="260">
        <f>SUM(D353,D357)</f>
        <v>550</v>
      </c>
      <c r="E358" s="261">
        <f t="shared" si="228"/>
        <v>550</v>
      </c>
      <c r="F358" s="260">
        <f>SUM(F353,F357)</f>
        <v>550</v>
      </c>
      <c r="G358" s="260">
        <f>SUM(G353,G357)</f>
        <v>0</v>
      </c>
      <c r="H358" s="260">
        <f>SUM(H353,H357)</f>
        <v>400</v>
      </c>
      <c r="I358" s="261">
        <f t="shared" si="229"/>
        <v>950</v>
      </c>
      <c r="J358" s="260">
        <f>SUM(J353,J357)</f>
        <v>400</v>
      </c>
      <c r="K358" s="260">
        <f>SUM(K353,K357)</f>
        <v>400</v>
      </c>
      <c r="L358" s="260">
        <f>SUM(L353,L357)</f>
        <v>0</v>
      </c>
      <c r="M358" s="261">
        <f t="shared" si="230"/>
        <v>800</v>
      </c>
      <c r="N358" s="260">
        <f>SUM(N353,N357)</f>
        <v>0</v>
      </c>
      <c r="O358" s="260">
        <f>SUM(O353,O357)</f>
        <v>0</v>
      </c>
      <c r="P358" s="260">
        <f>SUM(P353,P357)</f>
        <v>0</v>
      </c>
      <c r="Q358" s="261">
        <f t="shared" si="231"/>
        <v>0</v>
      </c>
      <c r="R358" s="260">
        <f>SUM(R353,R357)</f>
        <v>0</v>
      </c>
      <c r="S358" s="260">
        <f>SUM(S353,S357)</f>
        <v>0</v>
      </c>
      <c r="T358" s="260">
        <f>SUM(T353,T357)</f>
        <v>0</v>
      </c>
      <c r="U358" s="261">
        <f t="shared" si="232"/>
        <v>0</v>
      </c>
      <c r="V358" s="260">
        <f>SUM(V353,V357)</f>
        <v>0</v>
      </c>
      <c r="W358" s="260">
        <f>SUM(W353,W357)</f>
        <v>0</v>
      </c>
      <c r="X358" s="260">
        <f>SUM(X353,X357)</f>
        <v>0</v>
      </c>
      <c r="Y358" s="261">
        <f t="shared" si="233"/>
        <v>0</v>
      </c>
    </row>
    <row r="359" spans="1:25" ht="12.75" hidden="1" customHeight="1" outlineLevel="1" x14ac:dyDescent="0.2">
      <c r="A359" s="198" t="str">
        <f>"      "&amp;Labels!B385</f>
        <v xml:space="preserve">      Prof Level 1</v>
      </c>
      <c r="B359" s="258">
        <f t="shared" ref="B359:D361" si="234">SUM(B351,B355)</f>
        <v>0</v>
      </c>
      <c r="C359" s="258">
        <f t="shared" si="234"/>
        <v>0</v>
      </c>
      <c r="D359" s="258">
        <f t="shared" si="234"/>
        <v>275</v>
      </c>
      <c r="E359" s="259">
        <f t="shared" si="228"/>
        <v>275</v>
      </c>
      <c r="F359" s="258">
        <f t="shared" ref="F359:H361" si="235">SUM(F351,F355)</f>
        <v>275</v>
      </c>
      <c r="G359" s="258">
        <f t="shared" si="235"/>
        <v>0</v>
      </c>
      <c r="H359" s="258">
        <f t="shared" si="235"/>
        <v>200</v>
      </c>
      <c r="I359" s="259">
        <f t="shared" si="229"/>
        <v>475</v>
      </c>
      <c r="J359" s="258">
        <f t="shared" ref="J359:L361" si="236">SUM(J351,J355)</f>
        <v>200</v>
      </c>
      <c r="K359" s="258">
        <f t="shared" si="236"/>
        <v>200</v>
      </c>
      <c r="L359" s="258">
        <f t="shared" si="236"/>
        <v>0</v>
      </c>
      <c r="M359" s="259">
        <f t="shared" si="230"/>
        <v>400</v>
      </c>
      <c r="N359" s="258">
        <f t="shared" ref="N359:P361" si="237">SUM(N351,N355)</f>
        <v>0</v>
      </c>
      <c r="O359" s="258">
        <f t="shared" si="237"/>
        <v>0</v>
      </c>
      <c r="P359" s="258">
        <f t="shared" si="237"/>
        <v>0</v>
      </c>
      <c r="Q359" s="259">
        <f t="shared" si="231"/>
        <v>0</v>
      </c>
      <c r="R359" s="258">
        <f t="shared" ref="R359:T361" si="238">SUM(R351,R355)</f>
        <v>0</v>
      </c>
      <c r="S359" s="258">
        <f t="shared" si="238"/>
        <v>0</v>
      </c>
      <c r="T359" s="258">
        <f t="shared" si="238"/>
        <v>0</v>
      </c>
      <c r="U359" s="259">
        <f t="shared" si="232"/>
        <v>0</v>
      </c>
      <c r="V359" s="258">
        <f t="shared" ref="V359:X361" si="239">SUM(V351,V355)</f>
        <v>0</v>
      </c>
      <c r="W359" s="258">
        <f t="shared" si="239"/>
        <v>0</v>
      </c>
      <c r="X359" s="258">
        <f t="shared" si="239"/>
        <v>0</v>
      </c>
      <c r="Y359" s="259">
        <f t="shared" si="233"/>
        <v>0</v>
      </c>
    </row>
    <row r="360" spans="1:25" ht="12.75" hidden="1" customHeight="1" outlineLevel="1" x14ac:dyDescent="0.2">
      <c r="A360" s="198" t="str">
        <f>"      "&amp;Labels!B386</f>
        <v xml:space="preserve">      Prof Level 2</v>
      </c>
      <c r="B360" s="258">
        <f t="shared" si="234"/>
        <v>0</v>
      </c>
      <c r="C360" s="258">
        <f t="shared" si="234"/>
        <v>0</v>
      </c>
      <c r="D360" s="258">
        <f t="shared" si="234"/>
        <v>275</v>
      </c>
      <c r="E360" s="259">
        <f t="shared" si="228"/>
        <v>275</v>
      </c>
      <c r="F360" s="258">
        <f t="shared" si="235"/>
        <v>275</v>
      </c>
      <c r="G360" s="258">
        <f t="shared" si="235"/>
        <v>0</v>
      </c>
      <c r="H360" s="258">
        <f t="shared" si="235"/>
        <v>200</v>
      </c>
      <c r="I360" s="259">
        <f t="shared" si="229"/>
        <v>475</v>
      </c>
      <c r="J360" s="258">
        <f t="shared" si="236"/>
        <v>200</v>
      </c>
      <c r="K360" s="258">
        <f t="shared" si="236"/>
        <v>200</v>
      </c>
      <c r="L360" s="258">
        <f t="shared" si="236"/>
        <v>0</v>
      </c>
      <c r="M360" s="259">
        <f t="shared" si="230"/>
        <v>400</v>
      </c>
      <c r="N360" s="258">
        <f t="shared" si="237"/>
        <v>0</v>
      </c>
      <c r="O360" s="258">
        <f t="shared" si="237"/>
        <v>0</v>
      </c>
      <c r="P360" s="258">
        <f t="shared" si="237"/>
        <v>0</v>
      </c>
      <c r="Q360" s="259">
        <f t="shared" si="231"/>
        <v>0</v>
      </c>
      <c r="R360" s="258">
        <f t="shared" si="238"/>
        <v>0</v>
      </c>
      <c r="S360" s="258">
        <f t="shared" si="238"/>
        <v>0</v>
      </c>
      <c r="T360" s="258">
        <f t="shared" si="238"/>
        <v>0</v>
      </c>
      <c r="U360" s="259">
        <f t="shared" si="232"/>
        <v>0</v>
      </c>
      <c r="V360" s="258">
        <f t="shared" si="239"/>
        <v>0</v>
      </c>
      <c r="W360" s="258">
        <f t="shared" si="239"/>
        <v>0</v>
      </c>
      <c r="X360" s="258">
        <f t="shared" si="239"/>
        <v>0</v>
      </c>
      <c r="Y360" s="259">
        <f t="shared" si="233"/>
        <v>0</v>
      </c>
    </row>
    <row r="361" spans="1:25" ht="12.75" hidden="1" customHeight="1" outlineLevel="1" x14ac:dyDescent="0.2">
      <c r="A361" s="188" t="str">
        <f>"      "&amp;Labels!C384</f>
        <v xml:space="preserve">      Total</v>
      </c>
      <c r="B361" s="256">
        <f t="shared" si="234"/>
        <v>0</v>
      </c>
      <c r="C361" s="256">
        <f t="shared" si="234"/>
        <v>0</v>
      </c>
      <c r="D361" s="256">
        <f t="shared" si="234"/>
        <v>550</v>
      </c>
      <c r="E361" s="257">
        <f>SUM(B358:D358)</f>
        <v>550</v>
      </c>
      <c r="F361" s="256">
        <f t="shared" si="235"/>
        <v>550</v>
      </c>
      <c r="G361" s="256">
        <f t="shared" si="235"/>
        <v>0</v>
      </c>
      <c r="H361" s="256">
        <f t="shared" si="235"/>
        <v>400</v>
      </c>
      <c r="I361" s="257">
        <f>SUM(F358:H358)</f>
        <v>950</v>
      </c>
      <c r="J361" s="256">
        <f t="shared" si="236"/>
        <v>400</v>
      </c>
      <c r="K361" s="256">
        <f t="shared" si="236"/>
        <v>400</v>
      </c>
      <c r="L361" s="256">
        <f t="shared" si="236"/>
        <v>0</v>
      </c>
      <c r="M361" s="257">
        <f>SUM(J358:L358)</f>
        <v>800</v>
      </c>
      <c r="N361" s="256">
        <f t="shared" si="237"/>
        <v>0</v>
      </c>
      <c r="O361" s="256">
        <f t="shared" si="237"/>
        <v>0</v>
      </c>
      <c r="P361" s="256">
        <f t="shared" si="237"/>
        <v>0</v>
      </c>
      <c r="Q361" s="257">
        <f>SUM(N358:P358)</f>
        <v>0</v>
      </c>
      <c r="R361" s="256">
        <f t="shared" si="238"/>
        <v>0</v>
      </c>
      <c r="S361" s="256">
        <f t="shared" si="238"/>
        <v>0</v>
      </c>
      <c r="T361" s="256">
        <f t="shared" si="238"/>
        <v>0</v>
      </c>
      <c r="U361" s="257">
        <f>SUM(R358:T358)</f>
        <v>0</v>
      </c>
      <c r="V361" s="256">
        <f t="shared" si="239"/>
        <v>0</v>
      </c>
      <c r="W361" s="256">
        <f t="shared" si="239"/>
        <v>0</v>
      </c>
      <c r="X361" s="256">
        <f t="shared" si="239"/>
        <v>0</v>
      </c>
      <c r="Y361" s="257">
        <f>SUM(V358:X358)</f>
        <v>0</v>
      </c>
    </row>
    <row r="362" spans="1:25" ht="12.75" hidden="1" customHeight="1" outlineLevel="1" x14ac:dyDescent="0.2">
      <c r="A362" s="191" t="str">
        <f>Labels!B193</f>
        <v>Prof Staff Hours Unapplied</v>
      </c>
      <c r="B362" s="260"/>
      <c r="C362" s="260"/>
      <c r="D362" s="260"/>
      <c r="E362" s="261"/>
      <c r="F362" s="260"/>
      <c r="G362" s="260"/>
      <c r="H362" s="260"/>
      <c r="I362" s="261"/>
      <c r="J362" s="260"/>
      <c r="K362" s="260"/>
      <c r="L362" s="260"/>
      <c r="M362" s="261"/>
      <c r="N362" s="260"/>
      <c r="O362" s="260"/>
      <c r="P362" s="260"/>
      <c r="Q362" s="261"/>
      <c r="R362" s="260"/>
      <c r="S362" s="260"/>
      <c r="T362" s="260"/>
      <c r="U362" s="261"/>
      <c r="V362" s="260"/>
      <c r="W362" s="260"/>
      <c r="X362" s="260"/>
      <c r="Y362" s="261"/>
    </row>
    <row r="363" spans="1:25" ht="12.75" hidden="1" customHeight="1" outlineLevel="1" x14ac:dyDescent="0.2">
      <c r="A363" s="188" t="str">
        <f>"   "&amp;Labels!B381</f>
        <v xml:space="preserve">   Practice 1</v>
      </c>
      <c r="B363" s="256"/>
      <c r="C363" s="256"/>
      <c r="D363" s="256"/>
      <c r="E363" s="257"/>
      <c r="F363" s="256"/>
      <c r="G363" s="256"/>
      <c r="H363" s="256"/>
      <c r="I363" s="257"/>
      <c r="J363" s="256"/>
      <c r="K363" s="256"/>
      <c r="L363" s="256"/>
      <c r="M363" s="257"/>
      <c r="N363" s="256"/>
      <c r="O363" s="256"/>
      <c r="P363" s="256"/>
      <c r="Q363" s="257"/>
      <c r="R363" s="256"/>
      <c r="S363" s="256"/>
      <c r="T363" s="256"/>
      <c r="U363" s="257"/>
      <c r="V363" s="256"/>
      <c r="W363" s="256"/>
      <c r="X363" s="256"/>
      <c r="Y363" s="257"/>
    </row>
    <row r="364" spans="1:25" ht="12.75" hidden="1" customHeight="1" outlineLevel="1" x14ac:dyDescent="0.2">
      <c r="A364" s="198" t="str">
        <f>"      "&amp;Labels!B385</f>
        <v xml:space="preserve">      Prof Level 1</v>
      </c>
      <c r="B364" s="258">
        <f t="shared" ref="B364:D365" si="240">MAX(0,B507-B351)</f>
        <v>0</v>
      </c>
      <c r="C364" s="258">
        <f t="shared" si="240"/>
        <v>0</v>
      </c>
      <c r="D364" s="258">
        <f t="shared" si="240"/>
        <v>0</v>
      </c>
      <c r="E364" s="259">
        <f>SUM(B364:D364)</f>
        <v>0</v>
      </c>
      <c r="F364" s="258">
        <f t="shared" ref="F364:H365" si="241">MAX(0,F507-F351)</f>
        <v>0</v>
      </c>
      <c r="G364" s="258">
        <f t="shared" si="241"/>
        <v>0</v>
      </c>
      <c r="H364" s="258">
        <f t="shared" si="241"/>
        <v>0</v>
      </c>
      <c r="I364" s="259">
        <f>SUM(F364:H364)</f>
        <v>0</v>
      </c>
      <c r="J364" s="258">
        <f t="shared" ref="J364:L365" si="242">MAX(0,J507-J351)</f>
        <v>0</v>
      </c>
      <c r="K364" s="258">
        <f t="shared" si="242"/>
        <v>100</v>
      </c>
      <c r="L364" s="258">
        <f t="shared" si="242"/>
        <v>0</v>
      </c>
      <c r="M364" s="259">
        <f>SUM(J364:L364)</f>
        <v>100</v>
      </c>
      <c r="N364" s="258">
        <f t="shared" ref="N364:P365" si="243">MAX(0,N507-N351)</f>
        <v>0</v>
      </c>
      <c r="O364" s="258">
        <f t="shared" si="243"/>
        <v>0</v>
      </c>
      <c r="P364" s="258">
        <f t="shared" si="243"/>
        <v>0</v>
      </c>
      <c r="Q364" s="259">
        <f>SUM(N364:P364)</f>
        <v>0</v>
      </c>
      <c r="R364" s="258">
        <f t="shared" ref="R364:T365" si="244">MAX(0,R507-R351)</f>
        <v>0</v>
      </c>
      <c r="S364" s="258">
        <f t="shared" si="244"/>
        <v>0</v>
      </c>
      <c r="T364" s="258">
        <f t="shared" si="244"/>
        <v>0</v>
      </c>
      <c r="U364" s="259">
        <f>SUM(R364:T364)</f>
        <v>0</v>
      </c>
      <c r="V364" s="258">
        <f t="shared" ref="V364:X365" si="245">MAX(0,V507-V351)</f>
        <v>0</v>
      </c>
      <c r="W364" s="258">
        <f t="shared" si="245"/>
        <v>0</v>
      </c>
      <c r="X364" s="258">
        <f t="shared" si="245"/>
        <v>0</v>
      </c>
      <c r="Y364" s="259">
        <f>SUM(V364:X364)</f>
        <v>0</v>
      </c>
    </row>
    <row r="365" spans="1:25" ht="12.75" hidden="1" customHeight="1" outlineLevel="1" x14ac:dyDescent="0.2">
      <c r="A365" s="198" t="str">
        <f>"      "&amp;Labels!B386</f>
        <v xml:space="preserve">      Prof Level 2</v>
      </c>
      <c r="B365" s="258">
        <f t="shared" si="240"/>
        <v>0</v>
      </c>
      <c r="C365" s="258">
        <f t="shared" si="240"/>
        <v>0</v>
      </c>
      <c r="D365" s="258">
        <f t="shared" si="240"/>
        <v>0</v>
      </c>
      <c r="E365" s="259">
        <f>SUM(B365:D365)</f>
        <v>0</v>
      </c>
      <c r="F365" s="258">
        <f t="shared" si="241"/>
        <v>0</v>
      </c>
      <c r="G365" s="258">
        <f t="shared" si="241"/>
        <v>0</v>
      </c>
      <c r="H365" s="258">
        <f t="shared" si="241"/>
        <v>0</v>
      </c>
      <c r="I365" s="259">
        <f>SUM(F365:H365)</f>
        <v>0</v>
      </c>
      <c r="J365" s="258">
        <f t="shared" si="242"/>
        <v>0</v>
      </c>
      <c r="K365" s="258">
        <f t="shared" si="242"/>
        <v>100</v>
      </c>
      <c r="L365" s="258">
        <f t="shared" si="242"/>
        <v>0</v>
      </c>
      <c r="M365" s="259">
        <f>SUM(J365:L365)</f>
        <v>100</v>
      </c>
      <c r="N365" s="258">
        <f t="shared" si="243"/>
        <v>0</v>
      </c>
      <c r="O365" s="258">
        <f t="shared" si="243"/>
        <v>0</v>
      </c>
      <c r="P365" s="258">
        <f t="shared" si="243"/>
        <v>0</v>
      </c>
      <c r="Q365" s="259">
        <f>SUM(N365:P365)</f>
        <v>0</v>
      </c>
      <c r="R365" s="258">
        <f t="shared" si="244"/>
        <v>0</v>
      </c>
      <c r="S365" s="258">
        <f t="shared" si="244"/>
        <v>0</v>
      </c>
      <c r="T365" s="258">
        <f t="shared" si="244"/>
        <v>0</v>
      </c>
      <c r="U365" s="259">
        <f>SUM(R365:T365)</f>
        <v>0</v>
      </c>
      <c r="V365" s="258">
        <f t="shared" si="245"/>
        <v>0</v>
      </c>
      <c r="W365" s="258">
        <f t="shared" si="245"/>
        <v>0</v>
      </c>
      <c r="X365" s="258">
        <f t="shared" si="245"/>
        <v>0</v>
      </c>
      <c r="Y365" s="259">
        <f>SUM(V365:X365)</f>
        <v>0</v>
      </c>
    </row>
    <row r="366" spans="1:25" ht="12.75" hidden="1" customHeight="1" outlineLevel="1" x14ac:dyDescent="0.2">
      <c r="A366" s="188" t="str">
        <f>"      "&amp;Labels!C384</f>
        <v xml:space="preserve">      Total</v>
      </c>
      <c r="B366" s="256">
        <f>SUM(B364:B365)</f>
        <v>0</v>
      </c>
      <c r="C366" s="256">
        <f>SUM(C364:C365)</f>
        <v>0</v>
      </c>
      <c r="D366" s="256">
        <f>SUM(D364:D365)</f>
        <v>0</v>
      </c>
      <c r="E366" s="257">
        <f>SUM(B366:D366)</f>
        <v>0</v>
      </c>
      <c r="F366" s="256">
        <f>SUM(F364:F365)</f>
        <v>0</v>
      </c>
      <c r="G366" s="256">
        <f>SUM(G364:G365)</f>
        <v>0</v>
      </c>
      <c r="H366" s="256">
        <f>SUM(H364:H365)</f>
        <v>0</v>
      </c>
      <c r="I366" s="257">
        <f>SUM(F366:H366)</f>
        <v>0</v>
      </c>
      <c r="J366" s="256">
        <f>SUM(J364:J365)</f>
        <v>0</v>
      </c>
      <c r="K366" s="256">
        <f>SUM(K364:K365)</f>
        <v>200</v>
      </c>
      <c r="L366" s="256">
        <f>SUM(L364:L365)</f>
        <v>0</v>
      </c>
      <c r="M366" s="257">
        <f>SUM(J366:L366)</f>
        <v>200</v>
      </c>
      <c r="N366" s="256">
        <f>SUM(N364:N365)</f>
        <v>0</v>
      </c>
      <c r="O366" s="256">
        <f>SUM(O364:O365)</f>
        <v>0</v>
      </c>
      <c r="P366" s="256">
        <f>SUM(P364:P365)</f>
        <v>0</v>
      </c>
      <c r="Q366" s="257">
        <f>SUM(N366:P366)</f>
        <v>0</v>
      </c>
      <c r="R366" s="256">
        <f>SUM(R364:R365)</f>
        <v>0</v>
      </c>
      <c r="S366" s="256">
        <f>SUM(S364:S365)</f>
        <v>0</v>
      </c>
      <c r="T366" s="256">
        <f>SUM(T364:T365)</f>
        <v>0</v>
      </c>
      <c r="U366" s="257">
        <f>SUM(R366:T366)</f>
        <v>0</v>
      </c>
      <c r="V366" s="256">
        <f>SUM(V364:V365)</f>
        <v>0</v>
      </c>
      <c r="W366" s="256">
        <f>SUM(W364:W365)</f>
        <v>0</v>
      </c>
      <c r="X366" s="256">
        <f>SUM(X364:X365)</f>
        <v>0</v>
      </c>
      <c r="Y366" s="257">
        <f>SUM(V366:X366)</f>
        <v>0</v>
      </c>
    </row>
    <row r="367" spans="1:25" ht="12.75" hidden="1" customHeight="1" outlineLevel="1" x14ac:dyDescent="0.2">
      <c r="A367" s="188" t="str">
        <f>"   "&amp;Labels!B382</f>
        <v xml:space="preserve">   Practice 2</v>
      </c>
      <c r="B367" s="256"/>
      <c r="C367" s="256"/>
      <c r="D367" s="256"/>
      <c r="E367" s="257"/>
      <c r="F367" s="256"/>
      <c r="G367" s="256"/>
      <c r="H367" s="256"/>
      <c r="I367" s="257"/>
      <c r="J367" s="256"/>
      <c r="K367" s="256"/>
      <c r="L367" s="256"/>
      <c r="M367" s="257"/>
      <c r="N367" s="256"/>
      <c r="O367" s="256"/>
      <c r="P367" s="256"/>
      <c r="Q367" s="257"/>
      <c r="R367" s="256"/>
      <c r="S367" s="256"/>
      <c r="T367" s="256"/>
      <c r="U367" s="257"/>
      <c r="V367" s="256"/>
      <c r="W367" s="256"/>
      <c r="X367" s="256"/>
      <c r="Y367" s="257"/>
    </row>
    <row r="368" spans="1:25" ht="12.75" hidden="1" customHeight="1" outlineLevel="1" x14ac:dyDescent="0.2">
      <c r="A368" s="198" t="str">
        <f>"      "&amp;Labels!B385</f>
        <v xml:space="preserve">      Prof Level 1</v>
      </c>
      <c r="B368" s="258">
        <f t="shared" ref="B368:D369" si="246">MAX(0,B511-B355)</f>
        <v>0</v>
      </c>
      <c r="C368" s="258">
        <f t="shared" si="246"/>
        <v>0</v>
      </c>
      <c r="D368" s="258">
        <f t="shared" si="246"/>
        <v>0</v>
      </c>
      <c r="E368" s="259">
        <f t="shared" ref="E368:E373" si="247">SUM(B368:D368)</f>
        <v>0</v>
      </c>
      <c r="F368" s="258">
        <f t="shared" ref="F368:H369" si="248">MAX(0,F511-F355)</f>
        <v>0</v>
      </c>
      <c r="G368" s="258">
        <f t="shared" si="248"/>
        <v>0</v>
      </c>
      <c r="H368" s="258">
        <f t="shared" si="248"/>
        <v>0</v>
      </c>
      <c r="I368" s="259">
        <f t="shared" ref="I368:I373" si="249">SUM(F368:H368)</f>
        <v>0</v>
      </c>
      <c r="J368" s="258">
        <f t="shared" ref="J368:L369" si="250">MAX(0,J511-J355)</f>
        <v>0</v>
      </c>
      <c r="K368" s="258">
        <f t="shared" si="250"/>
        <v>0</v>
      </c>
      <c r="L368" s="258">
        <f t="shared" si="250"/>
        <v>0</v>
      </c>
      <c r="M368" s="259">
        <f t="shared" ref="M368:M373" si="251">SUM(J368:L368)</f>
        <v>0</v>
      </c>
      <c r="N368" s="258">
        <f t="shared" ref="N368:P369" si="252">MAX(0,N511-N355)</f>
        <v>0</v>
      </c>
      <c r="O368" s="258">
        <f t="shared" si="252"/>
        <v>0</v>
      </c>
      <c r="P368" s="258">
        <f t="shared" si="252"/>
        <v>0</v>
      </c>
      <c r="Q368" s="259">
        <f t="shared" ref="Q368:Q373" si="253">SUM(N368:P368)</f>
        <v>0</v>
      </c>
      <c r="R368" s="258">
        <f t="shared" ref="R368:T369" si="254">MAX(0,R511-R355)</f>
        <v>0</v>
      </c>
      <c r="S368" s="258">
        <f t="shared" si="254"/>
        <v>0</v>
      </c>
      <c r="T368" s="258">
        <f t="shared" si="254"/>
        <v>0</v>
      </c>
      <c r="U368" s="259">
        <f t="shared" ref="U368:U373" si="255">SUM(R368:T368)</f>
        <v>0</v>
      </c>
      <c r="V368" s="258">
        <f t="shared" ref="V368:X369" si="256">MAX(0,V511-V355)</f>
        <v>0</v>
      </c>
      <c r="W368" s="258">
        <f t="shared" si="256"/>
        <v>0</v>
      </c>
      <c r="X368" s="258">
        <f t="shared" si="256"/>
        <v>0</v>
      </c>
      <c r="Y368" s="259">
        <f t="shared" ref="Y368:Y373" si="257">SUM(V368:X368)</f>
        <v>0</v>
      </c>
    </row>
    <row r="369" spans="1:25" ht="12.75" hidden="1" customHeight="1" outlineLevel="1" x14ac:dyDescent="0.2">
      <c r="A369" s="198" t="str">
        <f>"      "&amp;Labels!B386</f>
        <v xml:space="preserve">      Prof Level 2</v>
      </c>
      <c r="B369" s="258">
        <f t="shared" si="246"/>
        <v>0</v>
      </c>
      <c r="C369" s="258">
        <f t="shared" si="246"/>
        <v>0</v>
      </c>
      <c r="D369" s="258">
        <f t="shared" si="246"/>
        <v>0</v>
      </c>
      <c r="E369" s="259">
        <f t="shared" si="247"/>
        <v>0</v>
      </c>
      <c r="F369" s="258">
        <f t="shared" si="248"/>
        <v>0</v>
      </c>
      <c r="G369" s="258">
        <f t="shared" si="248"/>
        <v>0</v>
      </c>
      <c r="H369" s="258">
        <f t="shared" si="248"/>
        <v>0</v>
      </c>
      <c r="I369" s="259">
        <f t="shared" si="249"/>
        <v>0</v>
      </c>
      <c r="J369" s="258">
        <f t="shared" si="250"/>
        <v>0</v>
      </c>
      <c r="K369" s="258">
        <f t="shared" si="250"/>
        <v>0</v>
      </c>
      <c r="L369" s="258">
        <f t="shared" si="250"/>
        <v>0</v>
      </c>
      <c r="M369" s="259">
        <f t="shared" si="251"/>
        <v>0</v>
      </c>
      <c r="N369" s="258">
        <f t="shared" si="252"/>
        <v>0</v>
      </c>
      <c r="O369" s="258">
        <f t="shared" si="252"/>
        <v>0</v>
      </c>
      <c r="P369" s="258">
        <f t="shared" si="252"/>
        <v>0</v>
      </c>
      <c r="Q369" s="259">
        <f t="shared" si="253"/>
        <v>0</v>
      </c>
      <c r="R369" s="258">
        <f t="shared" si="254"/>
        <v>0</v>
      </c>
      <c r="S369" s="258">
        <f t="shared" si="254"/>
        <v>0</v>
      </c>
      <c r="T369" s="258">
        <f t="shared" si="254"/>
        <v>0</v>
      </c>
      <c r="U369" s="259">
        <f t="shared" si="255"/>
        <v>0</v>
      </c>
      <c r="V369" s="258">
        <f t="shared" si="256"/>
        <v>0</v>
      </c>
      <c r="W369" s="258">
        <f t="shared" si="256"/>
        <v>0</v>
      </c>
      <c r="X369" s="258">
        <f t="shared" si="256"/>
        <v>0</v>
      </c>
      <c r="Y369" s="259">
        <f t="shared" si="257"/>
        <v>0</v>
      </c>
    </row>
    <row r="370" spans="1:25" ht="12.75" hidden="1" customHeight="1" outlineLevel="1" x14ac:dyDescent="0.2">
      <c r="A370" s="188" t="str">
        <f>"      "&amp;Labels!C384</f>
        <v xml:space="preserve">      Total</v>
      </c>
      <c r="B370" s="256">
        <f>SUM(B368:B369)</f>
        <v>0</v>
      </c>
      <c r="C370" s="256">
        <f>SUM(C368:C369)</f>
        <v>0</v>
      </c>
      <c r="D370" s="256">
        <f>SUM(D368:D369)</f>
        <v>0</v>
      </c>
      <c r="E370" s="257">
        <f t="shared" si="247"/>
        <v>0</v>
      </c>
      <c r="F370" s="256">
        <f>SUM(F368:F369)</f>
        <v>0</v>
      </c>
      <c r="G370" s="256">
        <f>SUM(G368:G369)</f>
        <v>0</v>
      </c>
      <c r="H370" s="256">
        <f>SUM(H368:H369)</f>
        <v>0</v>
      </c>
      <c r="I370" s="257">
        <f t="shared" si="249"/>
        <v>0</v>
      </c>
      <c r="J370" s="256">
        <f>SUM(J368:J369)</f>
        <v>0</v>
      </c>
      <c r="K370" s="256">
        <f>SUM(K368:K369)</f>
        <v>0</v>
      </c>
      <c r="L370" s="256">
        <f>SUM(L368:L369)</f>
        <v>0</v>
      </c>
      <c r="M370" s="257">
        <f t="shared" si="251"/>
        <v>0</v>
      </c>
      <c r="N370" s="256">
        <f>SUM(N368:N369)</f>
        <v>0</v>
      </c>
      <c r="O370" s="256">
        <f>SUM(O368:O369)</f>
        <v>0</v>
      </c>
      <c r="P370" s="256">
        <f>SUM(P368:P369)</f>
        <v>0</v>
      </c>
      <c r="Q370" s="257">
        <f t="shared" si="253"/>
        <v>0</v>
      </c>
      <c r="R370" s="256">
        <f>SUM(R368:R369)</f>
        <v>0</v>
      </c>
      <c r="S370" s="256">
        <f>SUM(S368:S369)</f>
        <v>0</v>
      </c>
      <c r="T370" s="256">
        <f>SUM(T368:T369)</f>
        <v>0</v>
      </c>
      <c r="U370" s="257">
        <f t="shared" si="255"/>
        <v>0</v>
      </c>
      <c r="V370" s="256">
        <f>SUM(V368:V369)</f>
        <v>0</v>
      </c>
      <c r="W370" s="256">
        <f>SUM(W368:W369)</f>
        <v>0</v>
      </c>
      <c r="X370" s="256">
        <f>SUM(X368:X369)</f>
        <v>0</v>
      </c>
      <c r="Y370" s="257">
        <f t="shared" si="257"/>
        <v>0</v>
      </c>
    </row>
    <row r="371" spans="1:25" ht="12.75" hidden="1" customHeight="1" outlineLevel="1" x14ac:dyDescent="0.2">
      <c r="A371" s="191" t="str">
        <f>"   "&amp;Labels!C380</f>
        <v xml:space="preserve">   Total</v>
      </c>
      <c r="B371" s="260">
        <f>SUM(B366,B370)</f>
        <v>0</v>
      </c>
      <c r="C371" s="260">
        <f>SUM(C366,C370)</f>
        <v>0</v>
      </c>
      <c r="D371" s="260">
        <f>SUM(D366,D370)</f>
        <v>0</v>
      </c>
      <c r="E371" s="261">
        <f t="shared" si="247"/>
        <v>0</v>
      </c>
      <c r="F371" s="260">
        <f>SUM(F366,F370)</f>
        <v>0</v>
      </c>
      <c r="G371" s="260">
        <f>SUM(G366,G370)</f>
        <v>0</v>
      </c>
      <c r="H371" s="260">
        <f>SUM(H366,H370)</f>
        <v>0</v>
      </c>
      <c r="I371" s="261">
        <f t="shared" si="249"/>
        <v>0</v>
      </c>
      <c r="J371" s="260">
        <f>SUM(J366,J370)</f>
        <v>0</v>
      </c>
      <c r="K371" s="260">
        <f>SUM(K366,K370)</f>
        <v>200</v>
      </c>
      <c r="L371" s="260">
        <f>SUM(L366,L370)</f>
        <v>0</v>
      </c>
      <c r="M371" s="261">
        <f t="shared" si="251"/>
        <v>200</v>
      </c>
      <c r="N371" s="260">
        <f>SUM(N366,N370)</f>
        <v>0</v>
      </c>
      <c r="O371" s="260">
        <f>SUM(O366,O370)</f>
        <v>0</v>
      </c>
      <c r="P371" s="260">
        <f>SUM(P366,P370)</f>
        <v>0</v>
      </c>
      <c r="Q371" s="261">
        <f t="shared" si="253"/>
        <v>0</v>
      </c>
      <c r="R371" s="260">
        <f>SUM(R366,R370)</f>
        <v>0</v>
      </c>
      <c r="S371" s="260">
        <f>SUM(S366,S370)</f>
        <v>0</v>
      </c>
      <c r="T371" s="260">
        <f>SUM(T366,T370)</f>
        <v>0</v>
      </c>
      <c r="U371" s="261">
        <f t="shared" si="255"/>
        <v>0</v>
      </c>
      <c r="V371" s="260">
        <f>SUM(V366,V370)</f>
        <v>0</v>
      </c>
      <c r="W371" s="260">
        <f>SUM(W366,W370)</f>
        <v>0</v>
      </c>
      <c r="X371" s="260">
        <f>SUM(X366,X370)</f>
        <v>0</v>
      </c>
      <c r="Y371" s="261">
        <f t="shared" si="257"/>
        <v>0</v>
      </c>
    </row>
    <row r="372" spans="1:25" ht="12.75" hidden="1" customHeight="1" outlineLevel="1" x14ac:dyDescent="0.2">
      <c r="A372" s="198" t="str">
        <f>"      "&amp;Labels!B385</f>
        <v xml:space="preserve">      Prof Level 1</v>
      </c>
      <c r="B372" s="258">
        <f t="shared" ref="B372:D374" si="258">SUM(B364,B368)</f>
        <v>0</v>
      </c>
      <c r="C372" s="258">
        <f t="shared" si="258"/>
        <v>0</v>
      </c>
      <c r="D372" s="258">
        <f t="shared" si="258"/>
        <v>0</v>
      </c>
      <c r="E372" s="259">
        <f t="shared" si="247"/>
        <v>0</v>
      </c>
      <c r="F372" s="258">
        <f t="shared" ref="F372:H374" si="259">SUM(F364,F368)</f>
        <v>0</v>
      </c>
      <c r="G372" s="258">
        <f t="shared" si="259"/>
        <v>0</v>
      </c>
      <c r="H372" s="258">
        <f t="shared" si="259"/>
        <v>0</v>
      </c>
      <c r="I372" s="259">
        <f t="shared" si="249"/>
        <v>0</v>
      </c>
      <c r="J372" s="258">
        <f t="shared" ref="J372:L374" si="260">SUM(J364,J368)</f>
        <v>0</v>
      </c>
      <c r="K372" s="258">
        <f t="shared" si="260"/>
        <v>100</v>
      </c>
      <c r="L372" s="258">
        <f t="shared" si="260"/>
        <v>0</v>
      </c>
      <c r="M372" s="259">
        <f t="shared" si="251"/>
        <v>100</v>
      </c>
      <c r="N372" s="258">
        <f t="shared" ref="N372:P374" si="261">SUM(N364,N368)</f>
        <v>0</v>
      </c>
      <c r="O372" s="258">
        <f t="shared" si="261"/>
        <v>0</v>
      </c>
      <c r="P372" s="258">
        <f t="shared" si="261"/>
        <v>0</v>
      </c>
      <c r="Q372" s="259">
        <f t="shared" si="253"/>
        <v>0</v>
      </c>
      <c r="R372" s="258">
        <f t="shared" ref="R372:T374" si="262">SUM(R364,R368)</f>
        <v>0</v>
      </c>
      <c r="S372" s="258">
        <f t="shared" si="262"/>
        <v>0</v>
      </c>
      <c r="T372" s="258">
        <f t="shared" si="262"/>
        <v>0</v>
      </c>
      <c r="U372" s="259">
        <f t="shared" si="255"/>
        <v>0</v>
      </c>
      <c r="V372" s="258">
        <f t="shared" ref="V372:X374" si="263">SUM(V364,V368)</f>
        <v>0</v>
      </c>
      <c r="W372" s="258">
        <f t="shared" si="263"/>
        <v>0</v>
      </c>
      <c r="X372" s="258">
        <f t="shared" si="263"/>
        <v>0</v>
      </c>
      <c r="Y372" s="259">
        <f t="shared" si="257"/>
        <v>0</v>
      </c>
    </row>
    <row r="373" spans="1:25" ht="12.75" hidden="1" customHeight="1" outlineLevel="1" x14ac:dyDescent="0.2">
      <c r="A373" s="198" t="str">
        <f>"      "&amp;Labels!B386</f>
        <v xml:space="preserve">      Prof Level 2</v>
      </c>
      <c r="B373" s="258">
        <f t="shared" si="258"/>
        <v>0</v>
      </c>
      <c r="C373" s="258">
        <f t="shared" si="258"/>
        <v>0</v>
      </c>
      <c r="D373" s="258">
        <f t="shared" si="258"/>
        <v>0</v>
      </c>
      <c r="E373" s="259">
        <f t="shared" si="247"/>
        <v>0</v>
      </c>
      <c r="F373" s="258">
        <f t="shared" si="259"/>
        <v>0</v>
      </c>
      <c r="G373" s="258">
        <f t="shared" si="259"/>
        <v>0</v>
      </c>
      <c r="H373" s="258">
        <f t="shared" si="259"/>
        <v>0</v>
      </c>
      <c r="I373" s="259">
        <f t="shared" si="249"/>
        <v>0</v>
      </c>
      <c r="J373" s="258">
        <f t="shared" si="260"/>
        <v>0</v>
      </c>
      <c r="K373" s="258">
        <f t="shared" si="260"/>
        <v>100</v>
      </c>
      <c r="L373" s="258">
        <f t="shared" si="260"/>
        <v>0</v>
      </c>
      <c r="M373" s="259">
        <f t="shared" si="251"/>
        <v>100</v>
      </c>
      <c r="N373" s="258">
        <f t="shared" si="261"/>
        <v>0</v>
      </c>
      <c r="O373" s="258">
        <f t="shared" si="261"/>
        <v>0</v>
      </c>
      <c r="P373" s="258">
        <f t="shared" si="261"/>
        <v>0</v>
      </c>
      <c r="Q373" s="259">
        <f t="shared" si="253"/>
        <v>0</v>
      </c>
      <c r="R373" s="258">
        <f t="shared" si="262"/>
        <v>0</v>
      </c>
      <c r="S373" s="258">
        <f t="shared" si="262"/>
        <v>0</v>
      </c>
      <c r="T373" s="258">
        <f t="shared" si="262"/>
        <v>0</v>
      </c>
      <c r="U373" s="259">
        <f t="shared" si="255"/>
        <v>0</v>
      </c>
      <c r="V373" s="258">
        <f t="shared" si="263"/>
        <v>0</v>
      </c>
      <c r="W373" s="258">
        <f t="shared" si="263"/>
        <v>0</v>
      </c>
      <c r="X373" s="258">
        <f t="shared" si="263"/>
        <v>0</v>
      </c>
      <c r="Y373" s="259">
        <f t="shared" si="257"/>
        <v>0</v>
      </c>
    </row>
    <row r="374" spans="1:25" ht="12.75" hidden="1" customHeight="1" outlineLevel="1" x14ac:dyDescent="0.2">
      <c r="A374" s="188" t="str">
        <f>"      "&amp;Labels!C384</f>
        <v xml:space="preserve">      Total</v>
      </c>
      <c r="B374" s="256">
        <f t="shared" si="258"/>
        <v>0</v>
      </c>
      <c r="C374" s="256">
        <f t="shared" si="258"/>
        <v>0</v>
      </c>
      <c r="D374" s="256">
        <f t="shared" si="258"/>
        <v>0</v>
      </c>
      <c r="E374" s="257">
        <f>SUM(B371:D371)</f>
        <v>0</v>
      </c>
      <c r="F374" s="256">
        <f t="shared" si="259"/>
        <v>0</v>
      </c>
      <c r="G374" s="256">
        <f t="shared" si="259"/>
        <v>0</v>
      </c>
      <c r="H374" s="256">
        <f t="shared" si="259"/>
        <v>0</v>
      </c>
      <c r="I374" s="257">
        <f>SUM(F371:H371)</f>
        <v>0</v>
      </c>
      <c r="J374" s="256">
        <f t="shared" si="260"/>
        <v>0</v>
      </c>
      <c r="K374" s="256">
        <f t="shared" si="260"/>
        <v>200</v>
      </c>
      <c r="L374" s="256">
        <f t="shared" si="260"/>
        <v>0</v>
      </c>
      <c r="M374" s="257">
        <f>SUM(J371:L371)</f>
        <v>200</v>
      </c>
      <c r="N374" s="256">
        <f t="shared" si="261"/>
        <v>0</v>
      </c>
      <c r="O374" s="256">
        <f t="shared" si="261"/>
        <v>0</v>
      </c>
      <c r="P374" s="256">
        <f t="shared" si="261"/>
        <v>0</v>
      </c>
      <c r="Q374" s="257">
        <f>SUM(N371:P371)</f>
        <v>0</v>
      </c>
      <c r="R374" s="256">
        <f t="shared" si="262"/>
        <v>0</v>
      </c>
      <c r="S374" s="256">
        <f t="shared" si="262"/>
        <v>0</v>
      </c>
      <c r="T374" s="256">
        <f t="shared" si="262"/>
        <v>0</v>
      </c>
      <c r="U374" s="257">
        <f>SUM(R371:T371)</f>
        <v>0</v>
      </c>
      <c r="V374" s="256">
        <f t="shared" si="263"/>
        <v>0</v>
      </c>
      <c r="W374" s="256">
        <f t="shared" si="263"/>
        <v>0</v>
      </c>
      <c r="X374" s="256">
        <f t="shared" si="263"/>
        <v>0</v>
      </c>
      <c r="Y374" s="257">
        <f>SUM(V371:X371)</f>
        <v>0</v>
      </c>
    </row>
    <row r="375" spans="1:25" ht="12.75" hidden="1" customHeight="1" outlineLevel="1" x14ac:dyDescent="0.2">
      <c r="A375" s="191" t="str">
        <f>Labels!B170</f>
        <v>Prof Staff Cost Applied</v>
      </c>
      <c r="B375" s="192"/>
      <c r="C375" s="192"/>
      <c r="D375" s="192"/>
      <c r="E375" s="190"/>
      <c r="F375" s="192"/>
      <c r="G375" s="192"/>
      <c r="H375" s="192"/>
      <c r="I375" s="190"/>
      <c r="J375" s="192"/>
      <c r="K375" s="192"/>
      <c r="L375" s="192"/>
      <c r="M375" s="190"/>
      <c r="N375" s="192"/>
      <c r="O375" s="192"/>
      <c r="P375" s="192"/>
      <c r="Q375" s="190"/>
      <c r="R375" s="192"/>
      <c r="S375" s="192"/>
      <c r="T375" s="192"/>
      <c r="U375" s="190"/>
      <c r="V375" s="192"/>
      <c r="W375" s="192"/>
      <c r="X375" s="192"/>
      <c r="Y375" s="190"/>
    </row>
    <row r="376" spans="1:25" ht="12.75" hidden="1" customHeight="1" outlineLevel="1" x14ac:dyDescent="0.2">
      <c r="A376" s="188" t="str">
        <f>"   "&amp;Labels!B381</f>
        <v xml:space="preserve">   Practice 1</v>
      </c>
      <c r="B376" s="196"/>
      <c r="C376" s="196"/>
      <c r="D376" s="196"/>
      <c r="E376" s="197"/>
      <c r="F376" s="196"/>
      <c r="G376" s="196"/>
      <c r="H376" s="196"/>
      <c r="I376" s="197"/>
      <c r="J376" s="196"/>
      <c r="K376" s="196"/>
      <c r="L376" s="196"/>
      <c r="M376" s="197"/>
      <c r="N376" s="196"/>
      <c r="O376" s="196"/>
      <c r="P376" s="196"/>
      <c r="Q376" s="197"/>
      <c r="R376" s="196"/>
      <c r="S376" s="196"/>
      <c r="T376" s="196"/>
      <c r="U376" s="197"/>
      <c r="V376" s="196"/>
      <c r="W376" s="196"/>
      <c r="X376" s="196"/>
      <c r="Y376" s="197"/>
    </row>
    <row r="377" spans="1:25" ht="12.75" hidden="1" customHeight="1" outlineLevel="1" x14ac:dyDescent="0.2">
      <c r="A377" s="198" t="str">
        <f>"      "&amp;Labels!B385</f>
        <v xml:space="preserve">      Prof Level 1</v>
      </c>
      <c r="B377" s="226">
        <f t="shared" ref="B377:D378" si="264">B462*B364</f>
        <v>0</v>
      </c>
      <c r="C377" s="226">
        <f t="shared" si="264"/>
        <v>0</v>
      </c>
      <c r="D377" s="226">
        <f t="shared" si="264"/>
        <v>0</v>
      </c>
      <c r="E377" s="227">
        <f>SUM(B377:D377)</f>
        <v>0</v>
      </c>
      <c r="F377" s="226">
        <f t="shared" ref="F377:H378" si="265">F462*F364</f>
        <v>0</v>
      </c>
      <c r="G377" s="226">
        <f t="shared" si="265"/>
        <v>0</v>
      </c>
      <c r="H377" s="226">
        <f t="shared" si="265"/>
        <v>0</v>
      </c>
      <c r="I377" s="227">
        <f>SUM(F377:H377)</f>
        <v>0</v>
      </c>
      <c r="J377" s="226">
        <f t="shared" ref="J377:L378" si="266">J462*J364</f>
        <v>0</v>
      </c>
      <c r="K377" s="226">
        <f t="shared" si="266"/>
        <v>7082.6479892832094</v>
      </c>
      <c r="L377" s="226">
        <f t="shared" si="266"/>
        <v>0</v>
      </c>
      <c r="M377" s="227">
        <f>SUM(J377:L377)</f>
        <v>7082.6479892832094</v>
      </c>
      <c r="N377" s="226">
        <f t="shared" ref="N377:P378" si="267">N462*N364</f>
        <v>0</v>
      </c>
      <c r="O377" s="226">
        <f t="shared" si="267"/>
        <v>0</v>
      </c>
      <c r="P377" s="226">
        <f t="shared" si="267"/>
        <v>0</v>
      </c>
      <c r="Q377" s="227">
        <f>SUM(N377:P377)</f>
        <v>0</v>
      </c>
      <c r="R377" s="226">
        <f t="shared" ref="R377:T378" si="268">R462*R364</f>
        <v>0</v>
      </c>
      <c r="S377" s="226">
        <f t="shared" si="268"/>
        <v>0</v>
      </c>
      <c r="T377" s="226">
        <f t="shared" si="268"/>
        <v>0</v>
      </c>
      <c r="U377" s="227">
        <f>SUM(R377:T377)</f>
        <v>0</v>
      </c>
      <c r="V377" s="226">
        <f t="shared" ref="V377:X378" si="269">V462*V364</f>
        <v>0</v>
      </c>
      <c r="W377" s="226">
        <f t="shared" si="269"/>
        <v>0</v>
      </c>
      <c r="X377" s="226">
        <f t="shared" si="269"/>
        <v>0</v>
      </c>
      <c r="Y377" s="227">
        <f>SUM(V377:X377)</f>
        <v>0</v>
      </c>
    </row>
    <row r="378" spans="1:25" ht="12.75" hidden="1" customHeight="1" outlineLevel="1" x14ac:dyDescent="0.2">
      <c r="A378" s="198" t="str">
        <f>"      "&amp;Labels!B386</f>
        <v xml:space="preserve">      Prof Level 2</v>
      </c>
      <c r="B378" s="226">
        <f t="shared" si="264"/>
        <v>0</v>
      </c>
      <c r="C378" s="226">
        <f t="shared" si="264"/>
        <v>0</v>
      </c>
      <c r="D378" s="226">
        <f t="shared" si="264"/>
        <v>0</v>
      </c>
      <c r="E378" s="227">
        <f>SUM(B378:D378)</f>
        <v>0</v>
      </c>
      <c r="F378" s="226">
        <f t="shared" si="265"/>
        <v>0</v>
      </c>
      <c r="G378" s="226">
        <f t="shared" si="265"/>
        <v>0</v>
      </c>
      <c r="H378" s="226">
        <f t="shared" si="265"/>
        <v>0</v>
      </c>
      <c r="I378" s="227">
        <f>SUM(F378:H378)</f>
        <v>0</v>
      </c>
      <c r="J378" s="226">
        <f t="shared" si="266"/>
        <v>0</v>
      </c>
      <c r="K378" s="226">
        <f t="shared" si="266"/>
        <v>7082.6479892832094</v>
      </c>
      <c r="L378" s="226">
        <f t="shared" si="266"/>
        <v>0</v>
      </c>
      <c r="M378" s="227">
        <f>SUM(J378:L378)</f>
        <v>7082.6479892832094</v>
      </c>
      <c r="N378" s="226">
        <f t="shared" si="267"/>
        <v>0</v>
      </c>
      <c r="O378" s="226">
        <f t="shared" si="267"/>
        <v>0</v>
      </c>
      <c r="P378" s="226">
        <f t="shared" si="267"/>
        <v>0</v>
      </c>
      <c r="Q378" s="227">
        <f>SUM(N378:P378)</f>
        <v>0</v>
      </c>
      <c r="R378" s="226">
        <f t="shared" si="268"/>
        <v>0</v>
      </c>
      <c r="S378" s="226">
        <f t="shared" si="268"/>
        <v>0</v>
      </c>
      <c r="T378" s="226">
        <f t="shared" si="268"/>
        <v>0</v>
      </c>
      <c r="U378" s="227">
        <f>SUM(R378:T378)</f>
        <v>0</v>
      </c>
      <c r="V378" s="226">
        <f t="shared" si="269"/>
        <v>0</v>
      </c>
      <c r="W378" s="226">
        <f t="shared" si="269"/>
        <v>0</v>
      </c>
      <c r="X378" s="226">
        <f t="shared" si="269"/>
        <v>0</v>
      </c>
      <c r="Y378" s="227">
        <f>SUM(V378:X378)</f>
        <v>0</v>
      </c>
    </row>
    <row r="379" spans="1:25" ht="12.75" hidden="1" customHeight="1" outlineLevel="1" x14ac:dyDescent="0.2">
      <c r="A379" s="188" t="str">
        <f>"      "&amp;Labels!C384</f>
        <v xml:space="preserve">      Total</v>
      </c>
      <c r="B379" s="196">
        <f>SUM(B377:B378)</f>
        <v>0</v>
      </c>
      <c r="C379" s="196">
        <f>SUM(C377:C378)</f>
        <v>0</v>
      </c>
      <c r="D379" s="196">
        <f>SUM(D377:D378)</f>
        <v>0</v>
      </c>
      <c r="E379" s="197">
        <f>SUM(B379:D379)</f>
        <v>0</v>
      </c>
      <c r="F379" s="196">
        <f>SUM(F377:F378)</f>
        <v>0</v>
      </c>
      <c r="G379" s="196">
        <f>SUM(G377:G378)</f>
        <v>0</v>
      </c>
      <c r="H379" s="196">
        <f>SUM(H377:H378)</f>
        <v>0</v>
      </c>
      <c r="I379" s="197">
        <f>SUM(F379:H379)</f>
        <v>0</v>
      </c>
      <c r="J379" s="196">
        <f>SUM(J377:J378)</f>
        <v>0</v>
      </c>
      <c r="K379" s="196">
        <f>SUM(K377:K378)</f>
        <v>14165.295978566419</v>
      </c>
      <c r="L379" s="196">
        <f>SUM(L377:L378)</f>
        <v>0</v>
      </c>
      <c r="M379" s="197">
        <f>SUM(J379:L379)</f>
        <v>14165.295978566419</v>
      </c>
      <c r="N379" s="196">
        <f>SUM(N377:N378)</f>
        <v>0</v>
      </c>
      <c r="O379" s="196">
        <f>SUM(O377:O378)</f>
        <v>0</v>
      </c>
      <c r="P379" s="196">
        <f>SUM(P377:P378)</f>
        <v>0</v>
      </c>
      <c r="Q379" s="197">
        <f>SUM(N379:P379)</f>
        <v>0</v>
      </c>
      <c r="R379" s="196">
        <f>SUM(R377:R378)</f>
        <v>0</v>
      </c>
      <c r="S379" s="196">
        <f>SUM(S377:S378)</f>
        <v>0</v>
      </c>
      <c r="T379" s="196">
        <f>SUM(T377:T378)</f>
        <v>0</v>
      </c>
      <c r="U379" s="197">
        <f>SUM(R379:T379)</f>
        <v>0</v>
      </c>
      <c r="V379" s="196">
        <f>SUM(V377:V378)</f>
        <v>0</v>
      </c>
      <c r="W379" s="196">
        <f>SUM(W377:W378)</f>
        <v>0</v>
      </c>
      <c r="X379" s="196">
        <f>SUM(X377:X378)</f>
        <v>0</v>
      </c>
      <c r="Y379" s="197">
        <f>SUM(V379:X379)</f>
        <v>0</v>
      </c>
    </row>
    <row r="380" spans="1:25" ht="12.75" hidden="1" customHeight="1" outlineLevel="1" x14ac:dyDescent="0.2">
      <c r="A380" s="188" t="str">
        <f>"   "&amp;Labels!B382</f>
        <v xml:space="preserve">   Practice 2</v>
      </c>
      <c r="B380" s="196"/>
      <c r="C380" s="196"/>
      <c r="D380" s="196"/>
      <c r="E380" s="197"/>
      <c r="F380" s="196"/>
      <c r="G380" s="196"/>
      <c r="H380" s="196"/>
      <c r="I380" s="197"/>
      <c r="J380" s="196"/>
      <c r="K380" s="196"/>
      <c r="L380" s="196"/>
      <c r="M380" s="197"/>
      <c r="N380" s="196"/>
      <c r="O380" s="196"/>
      <c r="P380" s="196"/>
      <c r="Q380" s="197"/>
      <c r="R380" s="196"/>
      <c r="S380" s="196"/>
      <c r="T380" s="196"/>
      <c r="U380" s="197"/>
      <c r="V380" s="196"/>
      <c r="W380" s="196"/>
      <c r="X380" s="196"/>
      <c r="Y380" s="197"/>
    </row>
    <row r="381" spans="1:25" ht="12.75" hidden="1" customHeight="1" outlineLevel="1" x14ac:dyDescent="0.2">
      <c r="A381" s="198" t="str">
        <f>"      "&amp;Labels!B385</f>
        <v xml:space="preserve">      Prof Level 1</v>
      </c>
      <c r="B381" s="226">
        <f t="shared" ref="B381:D382" si="270">B466*B368</f>
        <v>0</v>
      </c>
      <c r="C381" s="226">
        <f t="shared" si="270"/>
        <v>0</v>
      </c>
      <c r="D381" s="226">
        <f t="shared" si="270"/>
        <v>0</v>
      </c>
      <c r="E381" s="227">
        <f t="shared" ref="E381:E386" si="271">SUM(B381:D381)</f>
        <v>0</v>
      </c>
      <c r="F381" s="226">
        <f t="shared" ref="F381:H382" si="272">F466*F368</f>
        <v>0</v>
      </c>
      <c r="G381" s="226">
        <f t="shared" si="272"/>
        <v>0</v>
      </c>
      <c r="H381" s="226">
        <f t="shared" si="272"/>
        <v>0</v>
      </c>
      <c r="I381" s="227">
        <f t="shared" ref="I381:I386" si="273">SUM(F381:H381)</f>
        <v>0</v>
      </c>
      <c r="J381" s="226">
        <f t="shared" ref="J381:L382" si="274">J466*J368</f>
        <v>0</v>
      </c>
      <c r="K381" s="226">
        <f t="shared" si="274"/>
        <v>0</v>
      </c>
      <c r="L381" s="226">
        <f t="shared" si="274"/>
        <v>0</v>
      </c>
      <c r="M381" s="227">
        <f t="shared" ref="M381:M386" si="275">SUM(J381:L381)</f>
        <v>0</v>
      </c>
      <c r="N381" s="226">
        <f t="shared" ref="N381:P382" si="276">N466*N368</f>
        <v>0</v>
      </c>
      <c r="O381" s="226">
        <f t="shared" si="276"/>
        <v>0</v>
      </c>
      <c r="P381" s="226">
        <f t="shared" si="276"/>
        <v>0</v>
      </c>
      <c r="Q381" s="227">
        <f t="shared" ref="Q381:Q386" si="277">SUM(N381:P381)</f>
        <v>0</v>
      </c>
      <c r="R381" s="226">
        <f t="shared" ref="R381:T382" si="278">R466*R368</f>
        <v>0</v>
      </c>
      <c r="S381" s="226">
        <f t="shared" si="278"/>
        <v>0</v>
      </c>
      <c r="T381" s="226">
        <f t="shared" si="278"/>
        <v>0</v>
      </c>
      <c r="U381" s="227">
        <f t="shared" ref="U381:U386" si="279">SUM(R381:T381)</f>
        <v>0</v>
      </c>
      <c r="V381" s="226">
        <f t="shared" ref="V381:X382" si="280">V466*V368</f>
        <v>0</v>
      </c>
      <c r="W381" s="226">
        <f t="shared" si="280"/>
        <v>0</v>
      </c>
      <c r="X381" s="226">
        <f t="shared" si="280"/>
        <v>0</v>
      </c>
      <c r="Y381" s="227">
        <f t="shared" ref="Y381:Y386" si="281">SUM(V381:X381)</f>
        <v>0</v>
      </c>
    </row>
    <row r="382" spans="1:25" ht="12.75" hidden="1" customHeight="1" outlineLevel="1" x14ac:dyDescent="0.2">
      <c r="A382" s="198" t="str">
        <f>"      "&amp;Labels!B386</f>
        <v xml:space="preserve">      Prof Level 2</v>
      </c>
      <c r="B382" s="226">
        <f t="shared" si="270"/>
        <v>0</v>
      </c>
      <c r="C382" s="226">
        <f t="shared" si="270"/>
        <v>0</v>
      </c>
      <c r="D382" s="226">
        <f t="shared" si="270"/>
        <v>0</v>
      </c>
      <c r="E382" s="227">
        <f t="shared" si="271"/>
        <v>0</v>
      </c>
      <c r="F382" s="226">
        <f t="shared" si="272"/>
        <v>0</v>
      </c>
      <c r="G382" s="226">
        <f t="shared" si="272"/>
        <v>0</v>
      </c>
      <c r="H382" s="226">
        <f t="shared" si="272"/>
        <v>0</v>
      </c>
      <c r="I382" s="227">
        <f t="shared" si="273"/>
        <v>0</v>
      </c>
      <c r="J382" s="226">
        <f t="shared" si="274"/>
        <v>0</v>
      </c>
      <c r="K382" s="226">
        <f t="shared" si="274"/>
        <v>0</v>
      </c>
      <c r="L382" s="226">
        <f t="shared" si="274"/>
        <v>0</v>
      </c>
      <c r="M382" s="227">
        <f t="shared" si="275"/>
        <v>0</v>
      </c>
      <c r="N382" s="226">
        <f t="shared" si="276"/>
        <v>0</v>
      </c>
      <c r="O382" s="226">
        <f t="shared" si="276"/>
        <v>0</v>
      </c>
      <c r="P382" s="226">
        <f t="shared" si="276"/>
        <v>0</v>
      </c>
      <c r="Q382" s="227">
        <f t="shared" si="277"/>
        <v>0</v>
      </c>
      <c r="R382" s="226">
        <f t="shared" si="278"/>
        <v>0</v>
      </c>
      <c r="S382" s="226">
        <f t="shared" si="278"/>
        <v>0</v>
      </c>
      <c r="T382" s="226">
        <f t="shared" si="278"/>
        <v>0</v>
      </c>
      <c r="U382" s="227">
        <f t="shared" si="279"/>
        <v>0</v>
      </c>
      <c r="V382" s="226">
        <f t="shared" si="280"/>
        <v>0</v>
      </c>
      <c r="W382" s="226">
        <f t="shared" si="280"/>
        <v>0</v>
      </c>
      <c r="X382" s="226">
        <f t="shared" si="280"/>
        <v>0</v>
      </c>
      <c r="Y382" s="227">
        <f t="shared" si="281"/>
        <v>0</v>
      </c>
    </row>
    <row r="383" spans="1:25" ht="12.75" hidden="1" customHeight="1" outlineLevel="1" x14ac:dyDescent="0.2">
      <c r="A383" s="188" t="str">
        <f>"      "&amp;Labels!C384</f>
        <v xml:space="preserve">      Total</v>
      </c>
      <c r="B383" s="196">
        <f>SUM(B381:B382)</f>
        <v>0</v>
      </c>
      <c r="C383" s="196">
        <f>SUM(C381:C382)</f>
        <v>0</v>
      </c>
      <c r="D383" s="196">
        <f>SUM(D381:D382)</f>
        <v>0</v>
      </c>
      <c r="E383" s="197">
        <f t="shared" si="271"/>
        <v>0</v>
      </c>
      <c r="F383" s="196">
        <f>SUM(F381:F382)</f>
        <v>0</v>
      </c>
      <c r="G383" s="196">
        <f>SUM(G381:G382)</f>
        <v>0</v>
      </c>
      <c r="H383" s="196">
        <f>SUM(H381:H382)</f>
        <v>0</v>
      </c>
      <c r="I383" s="197">
        <f t="shared" si="273"/>
        <v>0</v>
      </c>
      <c r="J383" s="196">
        <f>SUM(J381:J382)</f>
        <v>0</v>
      </c>
      <c r="K383" s="196">
        <f>SUM(K381:K382)</f>
        <v>0</v>
      </c>
      <c r="L383" s="196">
        <f>SUM(L381:L382)</f>
        <v>0</v>
      </c>
      <c r="M383" s="197">
        <f t="shared" si="275"/>
        <v>0</v>
      </c>
      <c r="N383" s="196">
        <f>SUM(N381:N382)</f>
        <v>0</v>
      </c>
      <c r="O383" s="196">
        <f>SUM(O381:O382)</f>
        <v>0</v>
      </c>
      <c r="P383" s="196">
        <f>SUM(P381:P382)</f>
        <v>0</v>
      </c>
      <c r="Q383" s="197">
        <f t="shared" si="277"/>
        <v>0</v>
      </c>
      <c r="R383" s="196">
        <f>SUM(R381:R382)</f>
        <v>0</v>
      </c>
      <c r="S383" s="196">
        <f>SUM(S381:S382)</f>
        <v>0</v>
      </c>
      <c r="T383" s="196">
        <f>SUM(T381:T382)</f>
        <v>0</v>
      </c>
      <c r="U383" s="197">
        <f t="shared" si="279"/>
        <v>0</v>
      </c>
      <c r="V383" s="196">
        <f>SUM(V381:V382)</f>
        <v>0</v>
      </c>
      <c r="W383" s="196">
        <f>SUM(W381:W382)</f>
        <v>0</v>
      </c>
      <c r="X383" s="196">
        <f>SUM(X381:X382)</f>
        <v>0</v>
      </c>
      <c r="Y383" s="197">
        <f t="shared" si="281"/>
        <v>0</v>
      </c>
    </row>
    <row r="384" spans="1:25" ht="12.75" hidden="1" customHeight="1" outlineLevel="1" x14ac:dyDescent="0.2">
      <c r="A384" s="191" t="str">
        <f>"   "&amp;Labels!C380</f>
        <v xml:space="preserve">   Total</v>
      </c>
      <c r="B384" s="192">
        <f>SUM(B379,B383)</f>
        <v>0</v>
      </c>
      <c r="C384" s="192">
        <f>SUM(C379,C383)</f>
        <v>0</v>
      </c>
      <c r="D384" s="192">
        <f>SUM(D379,D383)</f>
        <v>0</v>
      </c>
      <c r="E384" s="190">
        <f t="shared" si="271"/>
        <v>0</v>
      </c>
      <c r="F384" s="192">
        <f>SUM(F379,F383)</f>
        <v>0</v>
      </c>
      <c r="G384" s="192">
        <f>SUM(G379,G383)</f>
        <v>0</v>
      </c>
      <c r="H384" s="192">
        <f>SUM(H379,H383)</f>
        <v>0</v>
      </c>
      <c r="I384" s="190">
        <f t="shared" si="273"/>
        <v>0</v>
      </c>
      <c r="J384" s="192">
        <f>SUM(J379,J383)</f>
        <v>0</v>
      </c>
      <c r="K384" s="192">
        <f>SUM(K379,K383)</f>
        <v>14165.295978566419</v>
      </c>
      <c r="L384" s="192">
        <f>SUM(L379,L383)</f>
        <v>0</v>
      </c>
      <c r="M384" s="190">
        <f t="shared" si="275"/>
        <v>14165.295978566419</v>
      </c>
      <c r="N384" s="192">
        <f>SUM(N379,N383)</f>
        <v>0</v>
      </c>
      <c r="O384" s="192">
        <f>SUM(O379,O383)</f>
        <v>0</v>
      </c>
      <c r="P384" s="192">
        <f>SUM(P379,P383)</f>
        <v>0</v>
      </c>
      <c r="Q384" s="190">
        <f t="shared" si="277"/>
        <v>0</v>
      </c>
      <c r="R384" s="192">
        <f>SUM(R379,R383)</f>
        <v>0</v>
      </c>
      <c r="S384" s="192">
        <f>SUM(S379,S383)</f>
        <v>0</v>
      </c>
      <c r="T384" s="192">
        <f>SUM(T379,T383)</f>
        <v>0</v>
      </c>
      <c r="U384" s="190">
        <f t="shared" si="279"/>
        <v>0</v>
      </c>
      <c r="V384" s="192">
        <f>SUM(V379,V383)</f>
        <v>0</v>
      </c>
      <c r="W384" s="192">
        <f>SUM(W379,W383)</f>
        <v>0</v>
      </c>
      <c r="X384" s="192">
        <f>SUM(X379,X383)</f>
        <v>0</v>
      </c>
      <c r="Y384" s="190">
        <f t="shared" si="281"/>
        <v>0</v>
      </c>
    </row>
    <row r="385" spans="1:25" ht="12.75" hidden="1" customHeight="1" outlineLevel="1" x14ac:dyDescent="0.2">
      <c r="A385" s="198" t="str">
        <f>"      "&amp;Labels!B385</f>
        <v xml:space="preserve">      Prof Level 1</v>
      </c>
      <c r="B385" s="226">
        <f t="shared" ref="B385:D387" si="282">SUM(B377,B381)</f>
        <v>0</v>
      </c>
      <c r="C385" s="226">
        <f t="shared" si="282"/>
        <v>0</v>
      </c>
      <c r="D385" s="226">
        <f t="shared" si="282"/>
        <v>0</v>
      </c>
      <c r="E385" s="227">
        <f t="shared" si="271"/>
        <v>0</v>
      </c>
      <c r="F385" s="226">
        <f t="shared" ref="F385:H387" si="283">SUM(F377,F381)</f>
        <v>0</v>
      </c>
      <c r="G385" s="226">
        <f t="shared" si="283"/>
        <v>0</v>
      </c>
      <c r="H385" s="226">
        <f t="shared" si="283"/>
        <v>0</v>
      </c>
      <c r="I385" s="227">
        <f t="shared" si="273"/>
        <v>0</v>
      </c>
      <c r="J385" s="226">
        <f t="shared" ref="J385:L387" si="284">SUM(J377,J381)</f>
        <v>0</v>
      </c>
      <c r="K385" s="226">
        <f t="shared" si="284"/>
        <v>7082.6479892832094</v>
      </c>
      <c r="L385" s="226">
        <f t="shared" si="284"/>
        <v>0</v>
      </c>
      <c r="M385" s="227">
        <f t="shared" si="275"/>
        <v>7082.6479892832094</v>
      </c>
      <c r="N385" s="226">
        <f t="shared" ref="N385:P387" si="285">SUM(N377,N381)</f>
        <v>0</v>
      </c>
      <c r="O385" s="226">
        <f t="shared" si="285"/>
        <v>0</v>
      </c>
      <c r="P385" s="226">
        <f t="shared" si="285"/>
        <v>0</v>
      </c>
      <c r="Q385" s="227">
        <f t="shared" si="277"/>
        <v>0</v>
      </c>
      <c r="R385" s="226">
        <f t="shared" ref="R385:T387" si="286">SUM(R377,R381)</f>
        <v>0</v>
      </c>
      <c r="S385" s="226">
        <f t="shared" si="286"/>
        <v>0</v>
      </c>
      <c r="T385" s="226">
        <f t="shared" si="286"/>
        <v>0</v>
      </c>
      <c r="U385" s="227">
        <f t="shared" si="279"/>
        <v>0</v>
      </c>
      <c r="V385" s="226">
        <f t="shared" ref="V385:X387" si="287">SUM(V377,V381)</f>
        <v>0</v>
      </c>
      <c r="W385" s="226">
        <f t="shared" si="287"/>
        <v>0</v>
      </c>
      <c r="X385" s="226">
        <f t="shared" si="287"/>
        <v>0</v>
      </c>
      <c r="Y385" s="227">
        <f t="shared" si="281"/>
        <v>0</v>
      </c>
    </row>
    <row r="386" spans="1:25" ht="12.75" hidden="1" customHeight="1" outlineLevel="1" x14ac:dyDescent="0.2">
      <c r="A386" s="198" t="str">
        <f>"      "&amp;Labels!B386</f>
        <v xml:space="preserve">      Prof Level 2</v>
      </c>
      <c r="B386" s="226">
        <f t="shared" si="282"/>
        <v>0</v>
      </c>
      <c r="C386" s="226">
        <f t="shared" si="282"/>
        <v>0</v>
      </c>
      <c r="D386" s="226">
        <f t="shared" si="282"/>
        <v>0</v>
      </c>
      <c r="E386" s="227">
        <f t="shared" si="271"/>
        <v>0</v>
      </c>
      <c r="F386" s="226">
        <f t="shared" si="283"/>
        <v>0</v>
      </c>
      <c r="G386" s="226">
        <f t="shared" si="283"/>
        <v>0</v>
      </c>
      <c r="H386" s="226">
        <f t="shared" si="283"/>
        <v>0</v>
      </c>
      <c r="I386" s="227">
        <f t="shared" si="273"/>
        <v>0</v>
      </c>
      <c r="J386" s="226">
        <f t="shared" si="284"/>
        <v>0</v>
      </c>
      <c r="K386" s="226">
        <f t="shared" si="284"/>
        <v>7082.6479892832094</v>
      </c>
      <c r="L386" s="226">
        <f t="shared" si="284"/>
        <v>0</v>
      </c>
      <c r="M386" s="227">
        <f t="shared" si="275"/>
        <v>7082.6479892832094</v>
      </c>
      <c r="N386" s="226">
        <f t="shared" si="285"/>
        <v>0</v>
      </c>
      <c r="O386" s="226">
        <f t="shared" si="285"/>
        <v>0</v>
      </c>
      <c r="P386" s="226">
        <f t="shared" si="285"/>
        <v>0</v>
      </c>
      <c r="Q386" s="227">
        <f t="shared" si="277"/>
        <v>0</v>
      </c>
      <c r="R386" s="226">
        <f t="shared" si="286"/>
        <v>0</v>
      </c>
      <c r="S386" s="226">
        <f t="shared" si="286"/>
        <v>0</v>
      </c>
      <c r="T386" s="226">
        <f t="shared" si="286"/>
        <v>0</v>
      </c>
      <c r="U386" s="227">
        <f t="shared" si="279"/>
        <v>0</v>
      </c>
      <c r="V386" s="226">
        <f t="shared" si="287"/>
        <v>0</v>
      </c>
      <c r="W386" s="226">
        <f t="shared" si="287"/>
        <v>0</v>
      </c>
      <c r="X386" s="226">
        <f t="shared" si="287"/>
        <v>0</v>
      </c>
      <c r="Y386" s="227">
        <f t="shared" si="281"/>
        <v>0</v>
      </c>
    </row>
    <row r="387" spans="1:25" ht="12.75" hidden="1" customHeight="1" outlineLevel="1" x14ac:dyDescent="0.2">
      <c r="A387" s="188" t="str">
        <f>"      "&amp;Labels!C384</f>
        <v xml:space="preserve">      Total</v>
      </c>
      <c r="B387" s="196">
        <f t="shared" si="282"/>
        <v>0</v>
      </c>
      <c r="C387" s="196">
        <f t="shared" si="282"/>
        <v>0</v>
      </c>
      <c r="D387" s="196">
        <f t="shared" si="282"/>
        <v>0</v>
      </c>
      <c r="E387" s="197">
        <f>SUM(B384:D384)</f>
        <v>0</v>
      </c>
      <c r="F387" s="196">
        <f t="shared" si="283"/>
        <v>0</v>
      </c>
      <c r="G387" s="196">
        <f t="shared" si="283"/>
        <v>0</v>
      </c>
      <c r="H387" s="196">
        <f t="shared" si="283"/>
        <v>0</v>
      </c>
      <c r="I387" s="197">
        <f>SUM(F384:H384)</f>
        <v>0</v>
      </c>
      <c r="J387" s="196">
        <f t="shared" si="284"/>
        <v>0</v>
      </c>
      <c r="K387" s="196">
        <f t="shared" si="284"/>
        <v>14165.295978566419</v>
      </c>
      <c r="L387" s="196">
        <f t="shared" si="284"/>
        <v>0</v>
      </c>
      <c r="M387" s="197">
        <f>SUM(J384:L384)</f>
        <v>14165.295978566419</v>
      </c>
      <c r="N387" s="196">
        <f t="shared" si="285"/>
        <v>0</v>
      </c>
      <c r="O387" s="196">
        <f t="shared" si="285"/>
        <v>0</v>
      </c>
      <c r="P387" s="196">
        <f t="shared" si="285"/>
        <v>0</v>
      </c>
      <c r="Q387" s="197">
        <f>SUM(N384:P384)</f>
        <v>0</v>
      </c>
      <c r="R387" s="196">
        <f t="shared" si="286"/>
        <v>0</v>
      </c>
      <c r="S387" s="196">
        <f t="shared" si="286"/>
        <v>0</v>
      </c>
      <c r="T387" s="196">
        <f t="shared" si="286"/>
        <v>0</v>
      </c>
      <c r="U387" s="197">
        <f>SUM(R384:T384)</f>
        <v>0</v>
      </c>
      <c r="V387" s="196">
        <f t="shared" si="287"/>
        <v>0</v>
      </c>
      <c r="W387" s="196">
        <f t="shared" si="287"/>
        <v>0</v>
      </c>
      <c r="X387" s="196">
        <f t="shared" si="287"/>
        <v>0</v>
      </c>
      <c r="Y387" s="197">
        <f>SUM(V384:X384)</f>
        <v>0</v>
      </c>
    </row>
    <row r="388" spans="1:25" ht="12.75" hidden="1" customHeight="1" outlineLevel="1" x14ac:dyDescent="0.2">
      <c r="A388" s="191" t="str">
        <f>Labels!B173</f>
        <v>Prof Staff Cost Unapplied</v>
      </c>
      <c r="B388" s="192"/>
      <c r="C388" s="192"/>
      <c r="D388" s="192"/>
      <c r="E388" s="190"/>
      <c r="F388" s="192"/>
      <c r="G388" s="192"/>
      <c r="H388" s="192"/>
      <c r="I388" s="190"/>
      <c r="J388" s="192"/>
      <c r="K388" s="192"/>
      <c r="L388" s="192"/>
      <c r="M388" s="190"/>
      <c r="N388" s="192"/>
      <c r="O388" s="192"/>
      <c r="P388" s="192"/>
      <c r="Q388" s="190"/>
      <c r="R388" s="192"/>
      <c r="S388" s="192"/>
      <c r="T388" s="192"/>
      <c r="U388" s="190"/>
      <c r="V388" s="192"/>
      <c r="W388" s="192"/>
      <c r="X388" s="192"/>
      <c r="Y388" s="190"/>
    </row>
    <row r="389" spans="1:25" ht="12.75" hidden="1" customHeight="1" outlineLevel="1" x14ac:dyDescent="0.2">
      <c r="A389" s="188" t="str">
        <f>"   "&amp;Labels!B381</f>
        <v xml:space="preserve">   Practice 1</v>
      </c>
      <c r="B389" s="196"/>
      <c r="C389" s="196"/>
      <c r="D389" s="196"/>
      <c r="E389" s="197"/>
      <c r="F389" s="196"/>
      <c r="G389" s="196"/>
      <c r="H389" s="196"/>
      <c r="I389" s="197"/>
      <c r="J389" s="196"/>
      <c r="K389" s="196"/>
      <c r="L389" s="196"/>
      <c r="M389" s="197"/>
      <c r="N389" s="196"/>
      <c r="O389" s="196"/>
      <c r="P389" s="196"/>
      <c r="Q389" s="197"/>
      <c r="R389" s="196"/>
      <c r="S389" s="196"/>
      <c r="T389" s="196"/>
      <c r="U389" s="197"/>
      <c r="V389" s="196"/>
      <c r="W389" s="196"/>
      <c r="X389" s="196"/>
      <c r="Y389" s="197"/>
    </row>
    <row r="390" spans="1:25" ht="12.75" hidden="1" customHeight="1" outlineLevel="1" x14ac:dyDescent="0.2">
      <c r="A390" s="198" t="str">
        <f>"      "&amp;Labels!B385</f>
        <v xml:space="preserve">      Prof Level 1</v>
      </c>
      <c r="B390" s="226">
        <f t="shared" ref="B390:D391" si="288">B462*B364</f>
        <v>0</v>
      </c>
      <c r="C390" s="226">
        <f t="shared" si="288"/>
        <v>0</v>
      </c>
      <c r="D390" s="226">
        <f t="shared" si="288"/>
        <v>0</v>
      </c>
      <c r="E390" s="227">
        <f>SUM(B390:D390)</f>
        <v>0</v>
      </c>
      <c r="F390" s="226">
        <f t="shared" ref="F390:H391" si="289">F462*F364</f>
        <v>0</v>
      </c>
      <c r="G390" s="226">
        <f t="shared" si="289"/>
        <v>0</v>
      </c>
      <c r="H390" s="226">
        <f t="shared" si="289"/>
        <v>0</v>
      </c>
      <c r="I390" s="227">
        <f>SUM(F390:H390)</f>
        <v>0</v>
      </c>
      <c r="J390" s="226">
        <f t="shared" ref="J390:L391" si="290">J462*J364</f>
        <v>0</v>
      </c>
      <c r="K390" s="226">
        <f t="shared" si="290"/>
        <v>7082.6479892832094</v>
      </c>
      <c r="L390" s="226">
        <f t="shared" si="290"/>
        <v>0</v>
      </c>
      <c r="M390" s="227">
        <f>SUM(J390:L390)</f>
        <v>7082.6479892832094</v>
      </c>
      <c r="N390" s="226">
        <f t="shared" ref="N390:P391" si="291">N462*N364</f>
        <v>0</v>
      </c>
      <c r="O390" s="226">
        <f t="shared" si="291"/>
        <v>0</v>
      </c>
      <c r="P390" s="226">
        <f t="shared" si="291"/>
        <v>0</v>
      </c>
      <c r="Q390" s="227">
        <f>SUM(N390:P390)</f>
        <v>0</v>
      </c>
      <c r="R390" s="226">
        <f t="shared" ref="R390:T391" si="292">R462*R364</f>
        <v>0</v>
      </c>
      <c r="S390" s="226">
        <f t="shared" si="292"/>
        <v>0</v>
      </c>
      <c r="T390" s="226">
        <f t="shared" si="292"/>
        <v>0</v>
      </c>
      <c r="U390" s="227">
        <f>SUM(R390:T390)</f>
        <v>0</v>
      </c>
      <c r="V390" s="226">
        <f t="shared" ref="V390:X391" si="293">V462*V364</f>
        <v>0</v>
      </c>
      <c r="W390" s="226">
        <f t="shared" si="293"/>
        <v>0</v>
      </c>
      <c r="X390" s="226">
        <f t="shared" si="293"/>
        <v>0</v>
      </c>
      <c r="Y390" s="227">
        <f>SUM(V390:X390)</f>
        <v>0</v>
      </c>
    </row>
    <row r="391" spans="1:25" ht="12.75" hidden="1" customHeight="1" outlineLevel="1" x14ac:dyDescent="0.2">
      <c r="A391" s="198" t="str">
        <f>"      "&amp;Labels!B386</f>
        <v xml:space="preserve">      Prof Level 2</v>
      </c>
      <c r="B391" s="226">
        <f t="shared" si="288"/>
        <v>0</v>
      </c>
      <c r="C391" s="226">
        <f t="shared" si="288"/>
        <v>0</v>
      </c>
      <c r="D391" s="226">
        <f t="shared" si="288"/>
        <v>0</v>
      </c>
      <c r="E391" s="227">
        <f>SUM(B391:D391)</f>
        <v>0</v>
      </c>
      <c r="F391" s="226">
        <f t="shared" si="289"/>
        <v>0</v>
      </c>
      <c r="G391" s="226">
        <f t="shared" si="289"/>
        <v>0</v>
      </c>
      <c r="H391" s="226">
        <f t="shared" si="289"/>
        <v>0</v>
      </c>
      <c r="I391" s="227">
        <f>SUM(F391:H391)</f>
        <v>0</v>
      </c>
      <c r="J391" s="226">
        <f t="shared" si="290"/>
        <v>0</v>
      </c>
      <c r="K391" s="226">
        <f t="shared" si="290"/>
        <v>7082.6479892832094</v>
      </c>
      <c r="L391" s="226">
        <f t="shared" si="290"/>
        <v>0</v>
      </c>
      <c r="M391" s="227">
        <f>SUM(J391:L391)</f>
        <v>7082.6479892832094</v>
      </c>
      <c r="N391" s="226">
        <f t="shared" si="291"/>
        <v>0</v>
      </c>
      <c r="O391" s="226">
        <f t="shared" si="291"/>
        <v>0</v>
      </c>
      <c r="P391" s="226">
        <f t="shared" si="291"/>
        <v>0</v>
      </c>
      <c r="Q391" s="227">
        <f>SUM(N391:P391)</f>
        <v>0</v>
      </c>
      <c r="R391" s="226">
        <f t="shared" si="292"/>
        <v>0</v>
      </c>
      <c r="S391" s="226">
        <f t="shared" si="292"/>
        <v>0</v>
      </c>
      <c r="T391" s="226">
        <f t="shared" si="292"/>
        <v>0</v>
      </c>
      <c r="U391" s="227">
        <f>SUM(R391:T391)</f>
        <v>0</v>
      </c>
      <c r="V391" s="226">
        <f t="shared" si="293"/>
        <v>0</v>
      </c>
      <c r="W391" s="226">
        <f t="shared" si="293"/>
        <v>0</v>
      </c>
      <c r="X391" s="226">
        <f t="shared" si="293"/>
        <v>0</v>
      </c>
      <c r="Y391" s="227">
        <f>SUM(V391:X391)</f>
        <v>0</v>
      </c>
    </row>
    <row r="392" spans="1:25" ht="12.75" hidden="1" customHeight="1" outlineLevel="1" x14ac:dyDescent="0.2">
      <c r="A392" s="188" t="str">
        <f>"      "&amp;Labels!C384</f>
        <v xml:space="preserve">      Total</v>
      </c>
      <c r="B392" s="196">
        <f>SUM(B390:B391)</f>
        <v>0</v>
      </c>
      <c r="C392" s="196">
        <f>SUM(C390:C391)</f>
        <v>0</v>
      </c>
      <c r="D392" s="196">
        <f>SUM(D390:D391)</f>
        <v>0</v>
      </c>
      <c r="E392" s="197">
        <f>SUM(B392:D392)</f>
        <v>0</v>
      </c>
      <c r="F392" s="196">
        <f>SUM(F390:F391)</f>
        <v>0</v>
      </c>
      <c r="G392" s="196">
        <f>SUM(G390:G391)</f>
        <v>0</v>
      </c>
      <c r="H392" s="196">
        <f>SUM(H390:H391)</f>
        <v>0</v>
      </c>
      <c r="I392" s="197">
        <f>SUM(F392:H392)</f>
        <v>0</v>
      </c>
      <c r="J392" s="196">
        <f>SUM(J390:J391)</f>
        <v>0</v>
      </c>
      <c r="K392" s="196">
        <f>SUM(K390:K391)</f>
        <v>14165.295978566419</v>
      </c>
      <c r="L392" s="196">
        <f>SUM(L390:L391)</f>
        <v>0</v>
      </c>
      <c r="M392" s="197">
        <f>SUM(J392:L392)</f>
        <v>14165.295978566419</v>
      </c>
      <c r="N392" s="196">
        <f>SUM(N390:N391)</f>
        <v>0</v>
      </c>
      <c r="O392" s="196">
        <f>SUM(O390:O391)</f>
        <v>0</v>
      </c>
      <c r="P392" s="196">
        <f>SUM(P390:P391)</f>
        <v>0</v>
      </c>
      <c r="Q392" s="197">
        <f>SUM(N392:P392)</f>
        <v>0</v>
      </c>
      <c r="R392" s="196">
        <f>SUM(R390:R391)</f>
        <v>0</v>
      </c>
      <c r="S392" s="196">
        <f>SUM(S390:S391)</f>
        <v>0</v>
      </c>
      <c r="T392" s="196">
        <f>SUM(T390:T391)</f>
        <v>0</v>
      </c>
      <c r="U392" s="197">
        <f>SUM(R392:T392)</f>
        <v>0</v>
      </c>
      <c r="V392" s="196">
        <f>SUM(V390:V391)</f>
        <v>0</v>
      </c>
      <c r="W392" s="196">
        <f>SUM(W390:W391)</f>
        <v>0</v>
      </c>
      <c r="X392" s="196">
        <f>SUM(X390:X391)</f>
        <v>0</v>
      </c>
      <c r="Y392" s="197">
        <f>SUM(V392:X392)</f>
        <v>0</v>
      </c>
    </row>
    <row r="393" spans="1:25" ht="12.75" hidden="1" customHeight="1" outlineLevel="1" x14ac:dyDescent="0.2">
      <c r="A393" s="188" t="str">
        <f>"   "&amp;Labels!B382</f>
        <v xml:space="preserve">   Practice 2</v>
      </c>
      <c r="B393" s="196"/>
      <c r="C393" s="196"/>
      <c r="D393" s="196"/>
      <c r="E393" s="197"/>
      <c r="F393" s="196"/>
      <c r="G393" s="196"/>
      <c r="H393" s="196"/>
      <c r="I393" s="197"/>
      <c r="J393" s="196"/>
      <c r="K393" s="196"/>
      <c r="L393" s="196"/>
      <c r="M393" s="197"/>
      <c r="N393" s="196"/>
      <c r="O393" s="196"/>
      <c r="P393" s="196"/>
      <c r="Q393" s="197"/>
      <c r="R393" s="196"/>
      <c r="S393" s="196"/>
      <c r="T393" s="196"/>
      <c r="U393" s="197"/>
      <c r="V393" s="196"/>
      <c r="W393" s="196"/>
      <c r="X393" s="196"/>
      <c r="Y393" s="197"/>
    </row>
    <row r="394" spans="1:25" ht="12.75" hidden="1" customHeight="1" outlineLevel="1" x14ac:dyDescent="0.2">
      <c r="A394" s="198" t="str">
        <f>"      "&amp;Labels!B385</f>
        <v xml:space="preserve">      Prof Level 1</v>
      </c>
      <c r="B394" s="226">
        <f t="shared" ref="B394:D395" si="294">B466*B368</f>
        <v>0</v>
      </c>
      <c r="C394" s="226">
        <f t="shared" si="294"/>
        <v>0</v>
      </c>
      <c r="D394" s="226">
        <f t="shared" si="294"/>
        <v>0</v>
      </c>
      <c r="E394" s="227">
        <f t="shared" ref="E394:E399" si="295">SUM(B394:D394)</f>
        <v>0</v>
      </c>
      <c r="F394" s="226">
        <f t="shared" ref="F394:H395" si="296">F466*F368</f>
        <v>0</v>
      </c>
      <c r="G394" s="226">
        <f t="shared" si="296"/>
        <v>0</v>
      </c>
      <c r="H394" s="226">
        <f t="shared" si="296"/>
        <v>0</v>
      </c>
      <c r="I394" s="227">
        <f t="shared" ref="I394:I399" si="297">SUM(F394:H394)</f>
        <v>0</v>
      </c>
      <c r="J394" s="226">
        <f t="shared" ref="J394:L395" si="298">J466*J368</f>
        <v>0</v>
      </c>
      <c r="K394" s="226">
        <f t="shared" si="298"/>
        <v>0</v>
      </c>
      <c r="L394" s="226">
        <f t="shared" si="298"/>
        <v>0</v>
      </c>
      <c r="M394" s="227">
        <f t="shared" ref="M394:M399" si="299">SUM(J394:L394)</f>
        <v>0</v>
      </c>
      <c r="N394" s="226">
        <f t="shared" ref="N394:P395" si="300">N466*N368</f>
        <v>0</v>
      </c>
      <c r="O394" s="226">
        <f t="shared" si="300"/>
        <v>0</v>
      </c>
      <c r="P394" s="226">
        <f t="shared" si="300"/>
        <v>0</v>
      </c>
      <c r="Q394" s="227">
        <f t="shared" ref="Q394:Q399" si="301">SUM(N394:P394)</f>
        <v>0</v>
      </c>
      <c r="R394" s="226">
        <f t="shared" ref="R394:T395" si="302">R466*R368</f>
        <v>0</v>
      </c>
      <c r="S394" s="226">
        <f t="shared" si="302"/>
        <v>0</v>
      </c>
      <c r="T394" s="226">
        <f t="shared" si="302"/>
        <v>0</v>
      </c>
      <c r="U394" s="227">
        <f t="shared" ref="U394:U399" si="303">SUM(R394:T394)</f>
        <v>0</v>
      </c>
      <c r="V394" s="226">
        <f t="shared" ref="V394:X395" si="304">V466*V368</f>
        <v>0</v>
      </c>
      <c r="W394" s="226">
        <f t="shared" si="304"/>
        <v>0</v>
      </c>
      <c r="X394" s="226">
        <f t="shared" si="304"/>
        <v>0</v>
      </c>
      <c r="Y394" s="227">
        <f t="shared" ref="Y394:Y399" si="305">SUM(V394:X394)</f>
        <v>0</v>
      </c>
    </row>
    <row r="395" spans="1:25" ht="12.75" hidden="1" customHeight="1" outlineLevel="1" x14ac:dyDescent="0.2">
      <c r="A395" s="198" t="str">
        <f>"      "&amp;Labels!B386</f>
        <v xml:space="preserve">      Prof Level 2</v>
      </c>
      <c r="B395" s="226">
        <f t="shared" si="294"/>
        <v>0</v>
      </c>
      <c r="C395" s="226">
        <f t="shared" si="294"/>
        <v>0</v>
      </c>
      <c r="D395" s="226">
        <f t="shared" si="294"/>
        <v>0</v>
      </c>
      <c r="E395" s="227">
        <f t="shared" si="295"/>
        <v>0</v>
      </c>
      <c r="F395" s="226">
        <f t="shared" si="296"/>
        <v>0</v>
      </c>
      <c r="G395" s="226">
        <f t="shared" si="296"/>
        <v>0</v>
      </c>
      <c r="H395" s="226">
        <f t="shared" si="296"/>
        <v>0</v>
      </c>
      <c r="I395" s="227">
        <f t="shared" si="297"/>
        <v>0</v>
      </c>
      <c r="J395" s="226">
        <f t="shared" si="298"/>
        <v>0</v>
      </c>
      <c r="K395" s="226">
        <f t="shared" si="298"/>
        <v>0</v>
      </c>
      <c r="L395" s="226">
        <f t="shared" si="298"/>
        <v>0</v>
      </c>
      <c r="M395" s="227">
        <f t="shared" si="299"/>
        <v>0</v>
      </c>
      <c r="N395" s="226">
        <f t="shared" si="300"/>
        <v>0</v>
      </c>
      <c r="O395" s="226">
        <f t="shared" si="300"/>
        <v>0</v>
      </c>
      <c r="P395" s="226">
        <f t="shared" si="300"/>
        <v>0</v>
      </c>
      <c r="Q395" s="227">
        <f t="shared" si="301"/>
        <v>0</v>
      </c>
      <c r="R395" s="226">
        <f t="shared" si="302"/>
        <v>0</v>
      </c>
      <c r="S395" s="226">
        <f t="shared" si="302"/>
        <v>0</v>
      </c>
      <c r="T395" s="226">
        <f t="shared" si="302"/>
        <v>0</v>
      </c>
      <c r="U395" s="227">
        <f t="shared" si="303"/>
        <v>0</v>
      </c>
      <c r="V395" s="226">
        <f t="shared" si="304"/>
        <v>0</v>
      </c>
      <c r="W395" s="226">
        <f t="shared" si="304"/>
        <v>0</v>
      </c>
      <c r="X395" s="226">
        <f t="shared" si="304"/>
        <v>0</v>
      </c>
      <c r="Y395" s="227">
        <f t="shared" si="305"/>
        <v>0</v>
      </c>
    </row>
    <row r="396" spans="1:25" ht="12.75" hidden="1" customHeight="1" outlineLevel="1" x14ac:dyDescent="0.2">
      <c r="A396" s="188" t="str">
        <f>"      "&amp;Labels!C384</f>
        <v xml:space="preserve">      Total</v>
      </c>
      <c r="B396" s="196">
        <f>SUM(B394:B395)</f>
        <v>0</v>
      </c>
      <c r="C396" s="196">
        <f>SUM(C394:C395)</f>
        <v>0</v>
      </c>
      <c r="D396" s="196">
        <f>SUM(D394:D395)</f>
        <v>0</v>
      </c>
      <c r="E396" s="197">
        <f t="shared" si="295"/>
        <v>0</v>
      </c>
      <c r="F396" s="196">
        <f>SUM(F394:F395)</f>
        <v>0</v>
      </c>
      <c r="G396" s="196">
        <f>SUM(G394:G395)</f>
        <v>0</v>
      </c>
      <c r="H396" s="196">
        <f>SUM(H394:H395)</f>
        <v>0</v>
      </c>
      <c r="I396" s="197">
        <f t="shared" si="297"/>
        <v>0</v>
      </c>
      <c r="J396" s="196">
        <f>SUM(J394:J395)</f>
        <v>0</v>
      </c>
      <c r="K396" s="196">
        <f>SUM(K394:K395)</f>
        <v>0</v>
      </c>
      <c r="L396" s="196">
        <f>SUM(L394:L395)</f>
        <v>0</v>
      </c>
      <c r="M396" s="197">
        <f t="shared" si="299"/>
        <v>0</v>
      </c>
      <c r="N396" s="196">
        <f>SUM(N394:N395)</f>
        <v>0</v>
      </c>
      <c r="O396" s="196">
        <f>SUM(O394:O395)</f>
        <v>0</v>
      </c>
      <c r="P396" s="196">
        <f>SUM(P394:P395)</f>
        <v>0</v>
      </c>
      <c r="Q396" s="197">
        <f t="shared" si="301"/>
        <v>0</v>
      </c>
      <c r="R396" s="196">
        <f>SUM(R394:R395)</f>
        <v>0</v>
      </c>
      <c r="S396" s="196">
        <f>SUM(S394:S395)</f>
        <v>0</v>
      </c>
      <c r="T396" s="196">
        <f>SUM(T394:T395)</f>
        <v>0</v>
      </c>
      <c r="U396" s="197">
        <f t="shared" si="303"/>
        <v>0</v>
      </c>
      <c r="V396" s="196">
        <f>SUM(V394:V395)</f>
        <v>0</v>
      </c>
      <c r="W396" s="196">
        <f>SUM(W394:W395)</f>
        <v>0</v>
      </c>
      <c r="X396" s="196">
        <f>SUM(X394:X395)</f>
        <v>0</v>
      </c>
      <c r="Y396" s="197">
        <f t="shared" si="305"/>
        <v>0</v>
      </c>
    </row>
    <row r="397" spans="1:25" ht="12.75" hidden="1" customHeight="1" outlineLevel="1" x14ac:dyDescent="0.2">
      <c r="A397" s="191" t="str">
        <f>"   "&amp;Labels!C380</f>
        <v xml:space="preserve">   Total</v>
      </c>
      <c r="B397" s="192">
        <f>SUM(B392,B396)</f>
        <v>0</v>
      </c>
      <c r="C397" s="192">
        <f>SUM(C392,C396)</f>
        <v>0</v>
      </c>
      <c r="D397" s="192">
        <f>SUM(D392,D396)</f>
        <v>0</v>
      </c>
      <c r="E397" s="190">
        <f t="shared" si="295"/>
        <v>0</v>
      </c>
      <c r="F397" s="192">
        <f>SUM(F392,F396)</f>
        <v>0</v>
      </c>
      <c r="G397" s="192">
        <f>SUM(G392,G396)</f>
        <v>0</v>
      </c>
      <c r="H397" s="192">
        <f>SUM(H392,H396)</f>
        <v>0</v>
      </c>
      <c r="I397" s="190">
        <f t="shared" si="297"/>
        <v>0</v>
      </c>
      <c r="J397" s="192">
        <f>SUM(J392,J396)</f>
        <v>0</v>
      </c>
      <c r="K397" s="192">
        <f>SUM(K392,K396)</f>
        <v>14165.295978566419</v>
      </c>
      <c r="L397" s="192">
        <f>SUM(L392,L396)</f>
        <v>0</v>
      </c>
      <c r="M397" s="190">
        <f t="shared" si="299"/>
        <v>14165.295978566419</v>
      </c>
      <c r="N397" s="192">
        <f>SUM(N392,N396)</f>
        <v>0</v>
      </c>
      <c r="O397" s="192">
        <f>SUM(O392,O396)</f>
        <v>0</v>
      </c>
      <c r="P397" s="192">
        <f>SUM(P392,P396)</f>
        <v>0</v>
      </c>
      <c r="Q397" s="190">
        <f t="shared" si="301"/>
        <v>0</v>
      </c>
      <c r="R397" s="192">
        <f>SUM(R392,R396)</f>
        <v>0</v>
      </c>
      <c r="S397" s="192">
        <f>SUM(S392,S396)</f>
        <v>0</v>
      </c>
      <c r="T397" s="192">
        <f>SUM(T392,T396)</f>
        <v>0</v>
      </c>
      <c r="U397" s="190">
        <f t="shared" si="303"/>
        <v>0</v>
      </c>
      <c r="V397" s="192">
        <f>SUM(V392,V396)</f>
        <v>0</v>
      </c>
      <c r="W397" s="192">
        <f>SUM(W392,W396)</f>
        <v>0</v>
      </c>
      <c r="X397" s="192">
        <f>SUM(X392,X396)</f>
        <v>0</v>
      </c>
      <c r="Y397" s="190">
        <f t="shared" si="305"/>
        <v>0</v>
      </c>
    </row>
    <row r="398" spans="1:25" ht="12.75" hidden="1" customHeight="1" outlineLevel="1" x14ac:dyDescent="0.2">
      <c r="A398" s="198" t="str">
        <f>"      "&amp;Labels!B385</f>
        <v xml:space="preserve">      Prof Level 1</v>
      </c>
      <c r="B398" s="226">
        <f t="shared" ref="B398:D400" si="306">SUM(B390,B394)</f>
        <v>0</v>
      </c>
      <c r="C398" s="226">
        <f t="shared" si="306"/>
        <v>0</v>
      </c>
      <c r="D398" s="226">
        <f t="shared" si="306"/>
        <v>0</v>
      </c>
      <c r="E398" s="227">
        <f t="shared" si="295"/>
        <v>0</v>
      </c>
      <c r="F398" s="226">
        <f t="shared" ref="F398:H400" si="307">SUM(F390,F394)</f>
        <v>0</v>
      </c>
      <c r="G398" s="226">
        <f t="shared" si="307"/>
        <v>0</v>
      </c>
      <c r="H398" s="226">
        <f t="shared" si="307"/>
        <v>0</v>
      </c>
      <c r="I398" s="227">
        <f t="shared" si="297"/>
        <v>0</v>
      </c>
      <c r="J398" s="226">
        <f t="shared" ref="J398:L400" si="308">SUM(J390,J394)</f>
        <v>0</v>
      </c>
      <c r="K398" s="226">
        <f t="shared" si="308"/>
        <v>7082.6479892832094</v>
      </c>
      <c r="L398" s="226">
        <f t="shared" si="308"/>
        <v>0</v>
      </c>
      <c r="M398" s="227">
        <f t="shared" si="299"/>
        <v>7082.6479892832094</v>
      </c>
      <c r="N398" s="226">
        <f t="shared" ref="N398:P400" si="309">SUM(N390,N394)</f>
        <v>0</v>
      </c>
      <c r="O398" s="226">
        <f t="shared" si="309"/>
        <v>0</v>
      </c>
      <c r="P398" s="226">
        <f t="shared" si="309"/>
        <v>0</v>
      </c>
      <c r="Q398" s="227">
        <f t="shared" si="301"/>
        <v>0</v>
      </c>
      <c r="R398" s="226">
        <f t="shared" ref="R398:T400" si="310">SUM(R390,R394)</f>
        <v>0</v>
      </c>
      <c r="S398" s="226">
        <f t="shared" si="310"/>
        <v>0</v>
      </c>
      <c r="T398" s="226">
        <f t="shared" si="310"/>
        <v>0</v>
      </c>
      <c r="U398" s="227">
        <f t="shared" si="303"/>
        <v>0</v>
      </c>
      <c r="V398" s="226">
        <f t="shared" ref="V398:X400" si="311">SUM(V390,V394)</f>
        <v>0</v>
      </c>
      <c r="W398" s="226">
        <f t="shared" si="311"/>
        <v>0</v>
      </c>
      <c r="X398" s="226">
        <f t="shared" si="311"/>
        <v>0</v>
      </c>
      <c r="Y398" s="227">
        <f t="shared" si="305"/>
        <v>0</v>
      </c>
    </row>
    <row r="399" spans="1:25" ht="12.75" hidden="1" customHeight="1" outlineLevel="1" x14ac:dyDescent="0.2">
      <c r="A399" s="198" t="str">
        <f>"      "&amp;Labels!B386</f>
        <v xml:space="preserve">      Prof Level 2</v>
      </c>
      <c r="B399" s="226">
        <f t="shared" si="306"/>
        <v>0</v>
      </c>
      <c r="C399" s="226">
        <f t="shared" si="306"/>
        <v>0</v>
      </c>
      <c r="D399" s="226">
        <f t="shared" si="306"/>
        <v>0</v>
      </c>
      <c r="E399" s="227">
        <f t="shared" si="295"/>
        <v>0</v>
      </c>
      <c r="F399" s="226">
        <f t="shared" si="307"/>
        <v>0</v>
      </c>
      <c r="G399" s="226">
        <f t="shared" si="307"/>
        <v>0</v>
      </c>
      <c r="H399" s="226">
        <f t="shared" si="307"/>
        <v>0</v>
      </c>
      <c r="I399" s="227">
        <f t="shared" si="297"/>
        <v>0</v>
      </c>
      <c r="J399" s="226">
        <f t="shared" si="308"/>
        <v>0</v>
      </c>
      <c r="K399" s="226">
        <f t="shared" si="308"/>
        <v>7082.6479892832094</v>
      </c>
      <c r="L399" s="226">
        <f t="shared" si="308"/>
        <v>0</v>
      </c>
      <c r="M399" s="227">
        <f t="shared" si="299"/>
        <v>7082.6479892832094</v>
      </c>
      <c r="N399" s="226">
        <f t="shared" si="309"/>
        <v>0</v>
      </c>
      <c r="O399" s="226">
        <f t="shared" si="309"/>
        <v>0</v>
      </c>
      <c r="P399" s="226">
        <f t="shared" si="309"/>
        <v>0</v>
      </c>
      <c r="Q399" s="227">
        <f t="shared" si="301"/>
        <v>0</v>
      </c>
      <c r="R399" s="226">
        <f t="shared" si="310"/>
        <v>0</v>
      </c>
      <c r="S399" s="226">
        <f t="shared" si="310"/>
        <v>0</v>
      </c>
      <c r="T399" s="226">
        <f t="shared" si="310"/>
        <v>0</v>
      </c>
      <c r="U399" s="227">
        <f t="shared" si="303"/>
        <v>0</v>
      </c>
      <c r="V399" s="226">
        <f t="shared" si="311"/>
        <v>0</v>
      </c>
      <c r="W399" s="226">
        <f t="shared" si="311"/>
        <v>0</v>
      </c>
      <c r="X399" s="226">
        <f t="shared" si="311"/>
        <v>0</v>
      </c>
      <c r="Y399" s="227">
        <f t="shared" si="305"/>
        <v>0</v>
      </c>
    </row>
    <row r="400" spans="1:25" ht="12.75" hidden="1" customHeight="1" outlineLevel="1" x14ac:dyDescent="0.2">
      <c r="A400" s="220" t="str">
        <f>"      "&amp;Labels!C384</f>
        <v xml:space="preserve">      Total</v>
      </c>
      <c r="B400" s="228">
        <f t="shared" si="306"/>
        <v>0</v>
      </c>
      <c r="C400" s="228">
        <f t="shared" si="306"/>
        <v>0</v>
      </c>
      <c r="D400" s="228">
        <f t="shared" si="306"/>
        <v>0</v>
      </c>
      <c r="E400" s="229">
        <f>SUM(B397:D397)</f>
        <v>0</v>
      </c>
      <c r="F400" s="228">
        <f t="shared" si="307"/>
        <v>0</v>
      </c>
      <c r="G400" s="228">
        <f t="shared" si="307"/>
        <v>0</v>
      </c>
      <c r="H400" s="228">
        <f t="shared" si="307"/>
        <v>0</v>
      </c>
      <c r="I400" s="229">
        <f>SUM(F397:H397)</f>
        <v>0</v>
      </c>
      <c r="J400" s="228">
        <f t="shared" si="308"/>
        <v>0</v>
      </c>
      <c r="K400" s="228">
        <f t="shared" si="308"/>
        <v>14165.295978566419</v>
      </c>
      <c r="L400" s="228">
        <f t="shared" si="308"/>
        <v>0</v>
      </c>
      <c r="M400" s="229">
        <f>SUM(J397:L397)</f>
        <v>14165.295978566419</v>
      </c>
      <c r="N400" s="228">
        <f t="shared" si="309"/>
        <v>0</v>
      </c>
      <c r="O400" s="228">
        <f t="shared" si="309"/>
        <v>0</v>
      </c>
      <c r="P400" s="228">
        <f t="shared" si="309"/>
        <v>0</v>
      </c>
      <c r="Q400" s="229">
        <f>SUM(N397:P397)</f>
        <v>0</v>
      </c>
      <c r="R400" s="228">
        <f t="shared" si="310"/>
        <v>0</v>
      </c>
      <c r="S400" s="228">
        <f t="shared" si="310"/>
        <v>0</v>
      </c>
      <c r="T400" s="228">
        <f t="shared" si="310"/>
        <v>0</v>
      </c>
      <c r="U400" s="229">
        <f>SUM(R397:T397)</f>
        <v>0</v>
      </c>
      <c r="V400" s="228">
        <f t="shared" si="311"/>
        <v>0</v>
      </c>
      <c r="W400" s="228">
        <f t="shared" si="311"/>
        <v>0</v>
      </c>
      <c r="X400" s="228">
        <f t="shared" si="311"/>
        <v>0</v>
      </c>
      <c r="Y400" s="229">
        <f>SUM(V397:X397)</f>
        <v>0</v>
      </c>
    </row>
    <row r="401" spans="1:25" ht="12.75" hidden="1" customHeight="1" outlineLevel="1" collapsed="1" x14ac:dyDescent="0.2"/>
    <row r="402" spans="1:25" ht="12.75" customHeight="1" collapsed="1" x14ac:dyDescent="0.2">
      <c r="A402" s="465" t="str">
        <f>"Professional Staff Billed"</f>
        <v>Professional Staff Billed</v>
      </c>
      <c r="B402" s="465"/>
    </row>
    <row r="403" spans="1:25" ht="12.75" hidden="1" customHeight="1" outlineLevel="1" x14ac:dyDescent="0.2">
      <c r="A403" s="465" t="str">
        <f>""</f>
        <v/>
      </c>
      <c r="B403" s="465"/>
    </row>
    <row r="404" spans="1:25" ht="12.75" hidden="1" customHeight="1" outlineLevel="1" x14ac:dyDescent="0.2">
      <c r="B404" s="9" t="str">
        <f>'(FnCalls 1)'!F41</f>
        <v>MMM 2010</v>
      </c>
      <c r="C404" s="10" t="str">
        <f>'(FnCalls 1)'!F42</f>
        <v>MMM 2010</v>
      </c>
      <c r="D404" s="10" t="str">
        <f>'(FnCalls 1)'!F43</f>
        <v>MMM 2010</v>
      </c>
      <c r="E404" s="181" t="str">
        <f>'(FnCalls 1)'!G41</f>
        <v>Q1 2010</v>
      </c>
      <c r="F404" s="10" t="str">
        <f>'(FnCalls 1)'!F44</f>
        <v>MMM 2010</v>
      </c>
      <c r="G404" s="10" t="str">
        <f>'(FnCalls 1)'!F45</f>
        <v>MMM 2010</v>
      </c>
      <c r="H404" s="10" t="str">
        <f>'(FnCalls 1)'!F46</f>
        <v>MMM 2010</v>
      </c>
      <c r="I404" s="181" t="str">
        <f>'(FnCalls 1)'!G44</f>
        <v>Q2 2010</v>
      </c>
      <c r="J404" s="10" t="str">
        <f>'(FnCalls 1)'!F47</f>
        <v>MMM 2010</v>
      </c>
      <c r="K404" s="10" t="str">
        <f>'(FnCalls 1)'!F48</f>
        <v>MMM 2010</v>
      </c>
      <c r="L404" s="10" t="str">
        <f>'(FnCalls 1)'!F49</f>
        <v>MMM 2010</v>
      </c>
      <c r="M404" s="181" t="str">
        <f>'(FnCalls 1)'!G47</f>
        <v>Q3 2010</v>
      </c>
      <c r="N404" s="10" t="str">
        <f>'(FnCalls 1)'!F50</f>
        <v>MMM 2010</v>
      </c>
      <c r="O404" s="10" t="str">
        <f>'(FnCalls 1)'!F51</f>
        <v>MMM 2010</v>
      </c>
      <c r="P404" s="10" t="str">
        <f>'(FnCalls 1)'!F52</f>
        <v>MMM 2010</v>
      </c>
      <c r="Q404" s="181" t="str">
        <f>'(FnCalls 1)'!G50</f>
        <v>Q4 2010</v>
      </c>
      <c r="R404" s="10" t="str">
        <f>'(FnCalls 1)'!F53</f>
        <v>MMM 2011</v>
      </c>
      <c r="S404" s="10" t="str">
        <f>'(FnCalls 1)'!F54</f>
        <v>MMM 2011</v>
      </c>
      <c r="T404" s="10" t="str">
        <f>'(FnCalls 1)'!F55</f>
        <v>MMM 2011</v>
      </c>
      <c r="U404" s="181" t="str">
        <f>'(FnCalls 1)'!G53</f>
        <v>Q1 2011</v>
      </c>
      <c r="V404" s="10" t="str">
        <f>'(FnCalls 1)'!F56</f>
        <v>MMM 2011</v>
      </c>
      <c r="W404" s="10" t="str">
        <f>'(FnCalls 1)'!F57</f>
        <v>MMM 2011</v>
      </c>
      <c r="X404" s="10" t="str">
        <f>'(FnCalls 1)'!F58</f>
        <v>MMM 2011</v>
      </c>
      <c r="Y404" s="181" t="str">
        <f>'(FnCalls 1)'!G56</f>
        <v>Q2 2011</v>
      </c>
    </row>
    <row r="405" spans="1:25" ht="12.75" hidden="1" customHeight="1" outlineLevel="1" x14ac:dyDescent="0.2">
      <c r="A405" s="182" t="str">
        <f>Labels!B182</f>
        <v>Prof Staff Hours Billed</v>
      </c>
      <c r="B405" s="223"/>
      <c r="C405" s="223"/>
      <c r="D405" s="223"/>
      <c r="E405" s="224"/>
      <c r="F405" s="223"/>
      <c r="G405" s="223"/>
      <c r="H405" s="223"/>
      <c r="I405" s="224"/>
      <c r="J405" s="223"/>
      <c r="K405" s="223"/>
      <c r="L405" s="223"/>
      <c r="M405" s="224"/>
      <c r="N405" s="223"/>
      <c r="O405" s="223"/>
      <c r="P405" s="223"/>
      <c r="Q405" s="224"/>
      <c r="R405" s="223"/>
      <c r="S405" s="223"/>
      <c r="T405" s="223"/>
      <c r="U405" s="224"/>
      <c r="V405" s="223"/>
      <c r="W405" s="223"/>
      <c r="X405" s="223"/>
      <c r="Y405" s="224"/>
    </row>
    <row r="406" spans="1:25" ht="12.75" hidden="1" customHeight="1" outlineLevel="1" x14ac:dyDescent="0.2">
      <c r="A406" s="188" t="str">
        <f>"   "&amp;Labels!B381</f>
        <v xml:space="preserve">   Practice 1</v>
      </c>
      <c r="B406" s="166"/>
      <c r="C406" s="166"/>
      <c r="D406" s="166"/>
      <c r="E406" s="225"/>
      <c r="F406" s="166"/>
      <c r="G406" s="166"/>
      <c r="H406" s="166"/>
      <c r="I406" s="225"/>
      <c r="J406" s="166"/>
      <c r="K406" s="166"/>
      <c r="L406" s="166"/>
      <c r="M406" s="225"/>
      <c r="N406" s="166"/>
      <c r="O406" s="166"/>
      <c r="P406" s="166"/>
      <c r="Q406" s="225"/>
      <c r="R406" s="166"/>
      <c r="S406" s="166"/>
      <c r="T406" s="166"/>
      <c r="U406" s="225"/>
      <c r="V406" s="166"/>
      <c r="W406" s="166"/>
      <c r="X406" s="166"/>
      <c r="Y406" s="225"/>
    </row>
    <row r="407" spans="1:25" ht="12.75" hidden="1" customHeight="1" outlineLevel="1" x14ac:dyDescent="0.2">
      <c r="A407" s="198" t="str">
        <f>"      "&amp;Labels!B385</f>
        <v xml:space="preserve">      Prof Level 1</v>
      </c>
      <c r="B407" s="237"/>
      <c r="C407" s="237"/>
      <c r="D407" s="237"/>
      <c r="E407" s="238"/>
      <c r="F407" s="237"/>
      <c r="G407" s="237"/>
      <c r="H407" s="237"/>
      <c r="I407" s="238"/>
      <c r="J407" s="237"/>
      <c r="K407" s="237"/>
      <c r="L407" s="237"/>
      <c r="M407" s="238"/>
      <c r="N407" s="237"/>
      <c r="O407" s="237"/>
      <c r="P407" s="237"/>
      <c r="Q407" s="238"/>
      <c r="R407" s="237"/>
      <c r="S407" s="237"/>
      <c r="T407" s="237"/>
      <c r="U407" s="238"/>
      <c r="V407" s="237"/>
      <c r="W407" s="237"/>
      <c r="X407" s="237"/>
      <c r="Y407" s="238"/>
    </row>
    <row r="408" spans="1:25" ht="12.75" hidden="1" customHeight="1" outlineLevel="1" x14ac:dyDescent="0.2">
      <c r="A408" s="198" t="str">
        <f>"         "&amp;Labels!B317</f>
        <v xml:space="preserve">         Channels 1</v>
      </c>
      <c r="B408" s="237">
        <f>Sales!B184</f>
        <v>0</v>
      </c>
      <c r="C408" s="237">
        <f>Sales!C184</f>
        <v>0</v>
      </c>
      <c r="D408" s="237">
        <f>Sales!D184</f>
        <v>137.5</v>
      </c>
      <c r="E408" s="238">
        <f>SUM(B408:D408)</f>
        <v>137.5</v>
      </c>
      <c r="F408" s="237">
        <f>Sales!F184</f>
        <v>137.5</v>
      </c>
      <c r="G408" s="237">
        <f>Sales!G184</f>
        <v>0</v>
      </c>
      <c r="H408" s="237">
        <f>Sales!H184</f>
        <v>100</v>
      </c>
      <c r="I408" s="238">
        <f>SUM(F408:H408)</f>
        <v>237.5</v>
      </c>
      <c r="J408" s="237">
        <f>Sales!J184</f>
        <v>100</v>
      </c>
      <c r="K408" s="237">
        <f>Sales!K184</f>
        <v>100</v>
      </c>
      <c r="L408" s="237">
        <f>Sales!L184</f>
        <v>0</v>
      </c>
      <c r="M408" s="238">
        <f>SUM(J408:L408)</f>
        <v>200</v>
      </c>
      <c r="N408" s="237">
        <f>Sales!N184</f>
        <v>0</v>
      </c>
      <c r="O408" s="237">
        <f>Sales!O184</f>
        <v>0</v>
      </c>
      <c r="P408" s="237">
        <f>Sales!P184</f>
        <v>0</v>
      </c>
      <c r="Q408" s="238">
        <f>SUM(N408:P408)</f>
        <v>0</v>
      </c>
      <c r="R408" s="237">
        <f>Sales!R184</f>
        <v>0</v>
      </c>
      <c r="S408" s="237">
        <f>Sales!S184</f>
        <v>0</v>
      </c>
      <c r="T408" s="237">
        <f>Sales!T184</f>
        <v>0</v>
      </c>
      <c r="U408" s="238">
        <f>SUM(R408:T408)</f>
        <v>0</v>
      </c>
      <c r="V408" s="237">
        <f>Sales!V184</f>
        <v>0</v>
      </c>
      <c r="W408" s="237">
        <f>Sales!W184</f>
        <v>0</v>
      </c>
      <c r="X408" s="237">
        <f>Sales!X184</f>
        <v>0</v>
      </c>
      <c r="Y408" s="238">
        <f>SUM(V408:X408)</f>
        <v>0</v>
      </c>
    </row>
    <row r="409" spans="1:25" ht="12.75" hidden="1" customHeight="1" outlineLevel="1" x14ac:dyDescent="0.2">
      <c r="A409" s="198" t="str">
        <f>"         "&amp;Labels!B318</f>
        <v xml:space="preserve">         Channels 2</v>
      </c>
      <c r="B409" s="237">
        <f>Sales!B185</f>
        <v>0</v>
      </c>
      <c r="C409" s="237">
        <f>Sales!C185</f>
        <v>0</v>
      </c>
      <c r="D409" s="237">
        <f>Sales!D185</f>
        <v>137.5</v>
      </c>
      <c r="E409" s="238">
        <f>SUM(B409:D409)</f>
        <v>137.5</v>
      </c>
      <c r="F409" s="237">
        <f>Sales!F185</f>
        <v>137.5</v>
      </c>
      <c r="G409" s="237">
        <f>Sales!G185</f>
        <v>0</v>
      </c>
      <c r="H409" s="237">
        <f>Sales!H185</f>
        <v>100</v>
      </c>
      <c r="I409" s="238">
        <f>SUM(F409:H409)</f>
        <v>237.5</v>
      </c>
      <c r="J409" s="237">
        <f>Sales!J185</f>
        <v>100</v>
      </c>
      <c r="K409" s="237">
        <f>Sales!K185</f>
        <v>100</v>
      </c>
      <c r="L409" s="237">
        <f>Sales!L185</f>
        <v>0</v>
      </c>
      <c r="M409" s="238">
        <f>SUM(J409:L409)</f>
        <v>200</v>
      </c>
      <c r="N409" s="237">
        <f>Sales!N185</f>
        <v>0</v>
      </c>
      <c r="O409" s="237">
        <f>Sales!O185</f>
        <v>0</v>
      </c>
      <c r="P409" s="237">
        <f>Sales!P185</f>
        <v>0</v>
      </c>
      <c r="Q409" s="238">
        <f>SUM(N409:P409)</f>
        <v>0</v>
      </c>
      <c r="R409" s="237">
        <f>Sales!R185</f>
        <v>0</v>
      </c>
      <c r="S409" s="237">
        <f>Sales!S185</f>
        <v>0</v>
      </c>
      <c r="T409" s="237">
        <f>Sales!T185</f>
        <v>0</v>
      </c>
      <c r="U409" s="238">
        <f>SUM(R409:T409)</f>
        <v>0</v>
      </c>
      <c r="V409" s="237">
        <f>Sales!V185</f>
        <v>0</v>
      </c>
      <c r="W409" s="237">
        <f>Sales!W185</f>
        <v>0</v>
      </c>
      <c r="X409" s="237">
        <f>Sales!X185</f>
        <v>0</v>
      </c>
      <c r="Y409" s="238">
        <f>SUM(V409:X409)</f>
        <v>0</v>
      </c>
    </row>
    <row r="410" spans="1:25" ht="12.75" hidden="1" customHeight="1" outlineLevel="1" x14ac:dyDescent="0.2">
      <c r="A410" s="198" t="str">
        <f>"         "&amp;Labels!C316</f>
        <v xml:space="preserve">         Total</v>
      </c>
      <c r="B410" s="237">
        <f>SUM(B408:B409)</f>
        <v>0</v>
      </c>
      <c r="C410" s="237">
        <f>SUM(C408:C409)</f>
        <v>0</v>
      </c>
      <c r="D410" s="237">
        <f>SUM(D408:D409)</f>
        <v>275</v>
      </c>
      <c r="E410" s="238">
        <f>SUM(B410:D410)</f>
        <v>275</v>
      </c>
      <c r="F410" s="237">
        <f>SUM(F408:F409)</f>
        <v>275</v>
      </c>
      <c r="G410" s="237">
        <f>SUM(G408:G409)</f>
        <v>0</v>
      </c>
      <c r="H410" s="237">
        <f>SUM(H408:H409)</f>
        <v>200</v>
      </c>
      <c r="I410" s="238">
        <f>SUM(F410:H410)</f>
        <v>475</v>
      </c>
      <c r="J410" s="237">
        <f>SUM(J408:J409)</f>
        <v>200</v>
      </c>
      <c r="K410" s="237">
        <f>SUM(K408:K409)</f>
        <v>200</v>
      </c>
      <c r="L410" s="237">
        <f>SUM(L408:L409)</f>
        <v>0</v>
      </c>
      <c r="M410" s="238">
        <f>SUM(J410:L410)</f>
        <v>400</v>
      </c>
      <c r="N410" s="237">
        <f>SUM(N408:N409)</f>
        <v>0</v>
      </c>
      <c r="O410" s="237">
        <f>SUM(O408:O409)</f>
        <v>0</v>
      </c>
      <c r="P410" s="237">
        <f>SUM(P408:P409)</f>
        <v>0</v>
      </c>
      <c r="Q410" s="238">
        <f>SUM(N410:P410)</f>
        <v>0</v>
      </c>
      <c r="R410" s="237">
        <f>SUM(R408:R409)</f>
        <v>0</v>
      </c>
      <c r="S410" s="237">
        <f>SUM(S408:S409)</f>
        <v>0</v>
      </c>
      <c r="T410" s="237">
        <f>SUM(T408:T409)</f>
        <v>0</v>
      </c>
      <c r="U410" s="238">
        <f>SUM(R410:T410)</f>
        <v>0</v>
      </c>
      <c r="V410" s="237">
        <f>SUM(V408:V409)</f>
        <v>0</v>
      </c>
      <c r="W410" s="237">
        <f>SUM(W408:W409)</f>
        <v>0</v>
      </c>
      <c r="X410" s="237">
        <f>SUM(X408:X409)</f>
        <v>0</v>
      </c>
      <c r="Y410" s="238">
        <f>SUM(V410:X410)</f>
        <v>0</v>
      </c>
    </row>
    <row r="411" spans="1:25" ht="12.75" hidden="1" customHeight="1" outlineLevel="1" x14ac:dyDescent="0.2">
      <c r="A411" s="198" t="str">
        <f>"      "&amp;Labels!B386</f>
        <v xml:space="preserve">      Prof Level 2</v>
      </c>
      <c r="B411" s="237"/>
      <c r="C411" s="237"/>
      <c r="D411" s="237"/>
      <c r="E411" s="238"/>
      <c r="F411" s="237"/>
      <c r="G411" s="237"/>
      <c r="H411" s="237"/>
      <c r="I411" s="238"/>
      <c r="J411" s="237"/>
      <c r="K411" s="237"/>
      <c r="L411" s="237"/>
      <c r="M411" s="238"/>
      <c r="N411" s="237"/>
      <c r="O411" s="237"/>
      <c r="P411" s="237"/>
      <c r="Q411" s="238"/>
      <c r="R411" s="237"/>
      <c r="S411" s="237"/>
      <c r="T411" s="237"/>
      <c r="U411" s="238"/>
      <c r="V411" s="237"/>
      <c r="W411" s="237"/>
      <c r="X411" s="237"/>
      <c r="Y411" s="238"/>
    </row>
    <row r="412" spans="1:25" ht="12.75" hidden="1" customHeight="1" outlineLevel="1" x14ac:dyDescent="0.2">
      <c r="A412" s="198" t="str">
        <f>"         "&amp;Labels!B317</f>
        <v xml:space="preserve">         Channels 1</v>
      </c>
      <c r="B412" s="237">
        <f>Sales!B188</f>
        <v>0</v>
      </c>
      <c r="C412" s="237">
        <f>Sales!C188</f>
        <v>0</v>
      </c>
      <c r="D412" s="237">
        <f>Sales!D188</f>
        <v>137.5</v>
      </c>
      <c r="E412" s="238">
        <f t="shared" ref="E412:E417" si="312">SUM(B412:D412)</f>
        <v>137.5</v>
      </c>
      <c r="F412" s="237">
        <f>Sales!F188</f>
        <v>137.5</v>
      </c>
      <c r="G412" s="237">
        <f>Sales!G188</f>
        <v>0</v>
      </c>
      <c r="H412" s="237">
        <f>Sales!H188</f>
        <v>100</v>
      </c>
      <c r="I412" s="238">
        <f t="shared" ref="I412:I417" si="313">SUM(F412:H412)</f>
        <v>237.5</v>
      </c>
      <c r="J412" s="237">
        <f>Sales!J188</f>
        <v>100</v>
      </c>
      <c r="K412" s="237">
        <f>Sales!K188</f>
        <v>100</v>
      </c>
      <c r="L412" s="237">
        <f>Sales!L188</f>
        <v>0</v>
      </c>
      <c r="M412" s="238">
        <f t="shared" ref="M412:M417" si="314">SUM(J412:L412)</f>
        <v>200</v>
      </c>
      <c r="N412" s="237">
        <f>Sales!N188</f>
        <v>0</v>
      </c>
      <c r="O412" s="237">
        <f>Sales!O188</f>
        <v>0</v>
      </c>
      <c r="P412" s="237">
        <f>Sales!P188</f>
        <v>0</v>
      </c>
      <c r="Q412" s="238">
        <f t="shared" ref="Q412:Q417" si="315">SUM(N412:P412)</f>
        <v>0</v>
      </c>
      <c r="R412" s="237">
        <f>Sales!R188</f>
        <v>0</v>
      </c>
      <c r="S412" s="237">
        <f>Sales!S188</f>
        <v>0</v>
      </c>
      <c r="T412" s="237">
        <f>Sales!T188</f>
        <v>0</v>
      </c>
      <c r="U412" s="238">
        <f t="shared" ref="U412:U417" si="316">SUM(R412:T412)</f>
        <v>0</v>
      </c>
      <c r="V412" s="237">
        <f>Sales!V188</f>
        <v>0</v>
      </c>
      <c r="W412" s="237">
        <f>Sales!W188</f>
        <v>0</v>
      </c>
      <c r="X412" s="237">
        <f>Sales!X188</f>
        <v>0</v>
      </c>
      <c r="Y412" s="238">
        <f t="shared" ref="Y412:Y417" si="317">SUM(V412:X412)</f>
        <v>0</v>
      </c>
    </row>
    <row r="413" spans="1:25" ht="12.75" hidden="1" customHeight="1" outlineLevel="1" x14ac:dyDescent="0.2">
      <c r="A413" s="198" t="str">
        <f>"         "&amp;Labels!B318</f>
        <v xml:space="preserve">         Channels 2</v>
      </c>
      <c r="B413" s="237">
        <f>Sales!B189</f>
        <v>0</v>
      </c>
      <c r="C413" s="237">
        <f>Sales!C189</f>
        <v>0</v>
      </c>
      <c r="D413" s="237">
        <f>Sales!D189</f>
        <v>137.5</v>
      </c>
      <c r="E413" s="238">
        <f t="shared" si="312"/>
        <v>137.5</v>
      </c>
      <c r="F413" s="237">
        <f>Sales!F189</f>
        <v>137.5</v>
      </c>
      <c r="G413" s="237">
        <f>Sales!G189</f>
        <v>0</v>
      </c>
      <c r="H413" s="237">
        <f>Sales!H189</f>
        <v>100</v>
      </c>
      <c r="I413" s="238">
        <f t="shared" si="313"/>
        <v>237.5</v>
      </c>
      <c r="J413" s="237">
        <f>Sales!J189</f>
        <v>100</v>
      </c>
      <c r="K413" s="237">
        <f>Sales!K189</f>
        <v>100</v>
      </c>
      <c r="L413" s="237">
        <f>Sales!L189</f>
        <v>0</v>
      </c>
      <c r="M413" s="238">
        <f t="shared" si="314"/>
        <v>200</v>
      </c>
      <c r="N413" s="237">
        <f>Sales!N189</f>
        <v>0</v>
      </c>
      <c r="O413" s="237">
        <f>Sales!O189</f>
        <v>0</v>
      </c>
      <c r="P413" s="237">
        <f>Sales!P189</f>
        <v>0</v>
      </c>
      <c r="Q413" s="238">
        <f t="shared" si="315"/>
        <v>0</v>
      </c>
      <c r="R413" s="237">
        <f>Sales!R189</f>
        <v>0</v>
      </c>
      <c r="S413" s="237">
        <f>Sales!S189</f>
        <v>0</v>
      </c>
      <c r="T413" s="237">
        <f>Sales!T189</f>
        <v>0</v>
      </c>
      <c r="U413" s="238">
        <f t="shared" si="316"/>
        <v>0</v>
      </c>
      <c r="V413" s="237">
        <f>Sales!V189</f>
        <v>0</v>
      </c>
      <c r="W413" s="237">
        <f>Sales!W189</f>
        <v>0</v>
      </c>
      <c r="X413" s="237">
        <f>Sales!X189</f>
        <v>0</v>
      </c>
      <c r="Y413" s="238">
        <f t="shared" si="317"/>
        <v>0</v>
      </c>
    </row>
    <row r="414" spans="1:25" ht="12.75" hidden="1" customHeight="1" outlineLevel="1" x14ac:dyDescent="0.2">
      <c r="A414" s="198" t="str">
        <f>"         "&amp;Labels!C316</f>
        <v xml:space="preserve">         Total</v>
      </c>
      <c r="B414" s="237">
        <f>SUM(B412:B413)</f>
        <v>0</v>
      </c>
      <c r="C414" s="237">
        <f>SUM(C412:C413)</f>
        <v>0</v>
      </c>
      <c r="D414" s="237">
        <f>SUM(D412:D413)</f>
        <v>275</v>
      </c>
      <c r="E414" s="238">
        <f t="shared" si="312"/>
        <v>275</v>
      </c>
      <c r="F414" s="237">
        <f>SUM(F412:F413)</f>
        <v>275</v>
      </c>
      <c r="G414" s="237">
        <f>SUM(G412:G413)</f>
        <v>0</v>
      </c>
      <c r="H414" s="237">
        <f>SUM(H412:H413)</f>
        <v>200</v>
      </c>
      <c r="I414" s="238">
        <f t="shared" si="313"/>
        <v>475</v>
      </c>
      <c r="J414" s="237">
        <f>SUM(J412:J413)</f>
        <v>200</v>
      </c>
      <c r="K414" s="237">
        <f>SUM(K412:K413)</f>
        <v>200</v>
      </c>
      <c r="L414" s="237">
        <f>SUM(L412:L413)</f>
        <v>0</v>
      </c>
      <c r="M414" s="238">
        <f t="shared" si="314"/>
        <v>400</v>
      </c>
      <c r="N414" s="237">
        <f>SUM(N412:N413)</f>
        <v>0</v>
      </c>
      <c r="O414" s="237">
        <f>SUM(O412:O413)</f>
        <v>0</v>
      </c>
      <c r="P414" s="237">
        <f>SUM(P412:P413)</f>
        <v>0</v>
      </c>
      <c r="Q414" s="238">
        <f t="shared" si="315"/>
        <v>0</v>
      </c>
      <c r="R414" s="237">
        <f>SUM(R412:R413)</f>
        <v>0</v>
      </c>
      <c r="S414" s="237">
        <f>SUM(S412:S413)</f>
        <v>0</v>
      </c>
      <c r="T414" s="237">
        <f>SUM(T412:T413)</f>
        <v>0</v>
      </c>
      <c r="U414" s="238">
        <f t="shared" si="316"/>
        <v>0</v>
      </c>
      <c r="V414" s="237">
        <f>SUM(V412:V413)</f>
        <v>0</v>
      </c>
      <c r="W414" s="237">
        <f>SUM(W412:W413)</f>
        <v>0</v>
      </c>
      <c r="X414" s="237">
        <f>SUM(X412:X413)</f>
        <v>0</v>
      </c>
      <c r="Y414" s="238">
        <f t="shared" si="317"/>
        <v>0</v>
      </c>
    </row>
    <row r="415" spans="1:25" ht="12.75" hidden="1" customHeight="1" outlineLevel="1" x14ac:dyDescent="0.2">
      <c r="A415" s="188" t="str">
        <f>"      "&amp;Labels!C384</f>
        <v xml:space="preserve">      Total</v>
      </c>
      <c r="B415" s="166">
        <f>SUM(B410,B414)</f>
        <v>0</v>
      </c>
      <c r="C415" s="166">
        <f>SUM(C410,C414)</f>
        <v>0</v>
      </c>
      <c r="D415" s="166">
        <f>SUM(D410,D414)</f>
        <v>550</v>
      </c>
      <c r="E415" s="225">
        <f t="shared" si="312"/>
        <v>550</v>
      </c>
      <c r="F415" s="166">
        <f>SUM(F410,F414)</f>
        <v>550</v>
      </c>
      <c r="G415" s="166">
        <f>SUM(G410,G414)</f>
        <v>0</v>
      </c>
      <c r="H415" s="166">
        <f>SUM(H410,H414)</f>
        <v>400</v>
      </c>
      <c r="I415" s="225">
        <f t="shared" si="313"/>
        <v>950</v>
      </c>
      <c r="J415" s="166">
        <f>SUM(J410,J414)</f>
        <v>400</v>
      </c>
      <c r="K415" s="166">
        <f>SUM(K410,K414)</f>
        <v>400</v>
      </c>
      <c r="L415" s="166">
        <f>SUM(L410,L414)</f>
        <v>0</v>
      </c>
      <c r="M415" s="225">
        <f t="shared" si="314"/>
        <v>800</v>
      </c>
      <c r="N415" s="166">
        <f>SUM(N410,N414)</f>
        <v>0</v>
      </c>
      <c r="O415" s="166">
        <f>SUM(O410,O414)</f>
        <v>0</v>
      </c>
      <c r="P415" s="166">
        <f>SUM(P410,P414)</f>
        <v>0</v>
      </c>
      <c r="Q415" s="225">
        <f t="shared" si="315"/>
        <v>0</v>
      </c>
      <c r="R415" s="166">
        <f>SUM(R410,R414)</f>
        <v>0</v>
      </c>
      <c r="S415" s="166">
        <f>SUM(S410,S414)</f>
        <v>0</v>
      </c>
      <c r="T415" s="166">
        <f>SUM(T410,T414)</f>
        <v>0</v>
      </c>
      <c r="U415" s="225">
        <f t="shared" si="316"/>
        <v>0</v>
      </c>
      <c r="V415" s="166">
        <f>SUM(V410,V414)</f>
        <v>0</v>
      </c>
      <c r="W415" s="166">
        <f>SUM(W410,W414)</f>
        <v>0</v>
      </c>
      <c r="X415" s="166">
        <f>SUM(X410,X414)</f>
        <v>0</v>
      </c>
      <c r="Y415" s="225">
        <f t="shared" si="317"/>
        <v>0</v>
      </c>
    </row>
    <row r="416" spans="1:25" ht="12.75" hidden="1" customHeight="1" outlineLevel="1" x14ac:dyDescent="0.2">
      <c r="A416" s="198" t="str">
        <f>"         "&amp;Labels!B317</f>
        <v xml:space="preserve">         Channels 1</v>
      </c>
      <c r="B416" s="237">
        <f t="shared" ref="B416:D418" si="318">SUM(B408,B412)</f>
        <v>0</v>
      </c>
      <c r="C416" s="237">
        <f t="shared" si="318"/>
        <v>0</v>
      </c>
      <c r="D416" s="237">
        <f t="shared" si="318"/>
        <v>275</v>
      </c>
      <c r="E416" s="238">
        <f t="shared" si="312"/>
        <v>275</v>
      </c>
      <c r="F416" s="237">
        <f t="shared" ref="F416:H418" si="319">SUM(F408,F412)</f>
        <v>275</v>
      </c>
      <c r="G416" s="237">
        <f t="shared" si="319"/>
        <v>0</v>
      </c>
      <c r="H416" s="237">
        <f t="shared" si="319"/>
        <v>200</v>
      </c>
      <c r="I416" s="238">
        <f t="shared" si="313"/>
        <v>475</v>
      </c>
      <c r="J416" s="237">
        <f t="shared" ref="J416:L418" si="320">SUM(J408,J412)</f>
        <v>200</v>
      </c>
      <c r="K416" s="237">
        <f t="shared" si="320"/>
        <v>200</v>
      </c>
      <c r="L416" s="237">
        <f t="shared" si="320"/>
        <v>0</v>
      </c>
      <c r="M416" s="238">
        <f t="shared" si="314"/>
        <v>400</v>
      </c>
      <c r="N416" s="237">
        <f t="shared" ref="N416:P418" si="321">SUM(N408,N412)</f>
        <v>0</v>
      </c>
      <c r="O416" s="237">
        <f t="shared" si="321"/>
        <v>0</v>
      </c>
      <c r="P416" s="237">
        <f t="shared" si="321"/>
        <v>0</v>
      </c>
      <c r="Q416" s="238">
        <f t="shared" si="315"/>
        <v>0</v>
      </c>
      <c r="R416" s="237">
        <f t="shared" ref="R416:T418" si="322">SUM(R408,R412)</f>
        <v>0</v>
      </c>
      <c r="S416" s="237">
        <f t="shared" si="322"/>
        <v>0</v>
      </c>
      <c r="T416" s="237">
        <f t="shared" si="322"/>
        <v>0</v>
      </c>
      <c r="U416" s="238">
        <f t="shared" si="316"/>
        <v>0</v>
      </c>
      <c r="V416" s="237">
        <f t="shared" ref="V416:X418" si="323">SUM(V408,V412)</f>
        <v>0</v>
      </c>
      <c r="W416" s="237">
        <f t="shared" si="323"/>
        <v>0</v>
      </c>
      <c r="X416" s="237">
        <f t="shared" si="323"/>
        <v>0</v>
      </c>
      <c r="Y416" s="238">
        <f t="shared" si="317"/>
        <v>0</v>
      </c>
    </row>
    <row r="417" spans="1:25" ht="12.75" hidden="1" customHeight="1" outlineLevel="1" x14ac:dyDescent="0.2">
      <c r="A417" s="198" t="str">
        <f>"         "&amp;Labels!B318</f>
        <v xml:space="preserve">         Channels 2</v>
      </c>
      <c r="B417" s="237">
        <f t="shared" si="318"/>
        <v>0</v>
      </c>
      <c r="C417" s="237">
        <f t="shared" si="318"/>
        <v>0</v>
      </c>
      <c r="D417" s="237">
        <f t="shared" si="318"/>
        <v>275</v>
      </c>
      <c r="E417" s="238">
        <f t="shared" si="312"/>
        <v>275</v>
      </c>
      <c r="F417" s="237">
        <f t="shared" si="319"/>
        <v>275</v>
      </c>
      <c r="G417" s="237">
        <f t="shared" si="319"/>
        <v>0</v>
      </c>
      <c r="H417" s="237">
        <f t="shared" si="319"/>
        <v>200</v>
      </c>
      <c r="I417" s="238">
        <f t="shared" si="313"/>
        <v>475</v>
      </c>
      <c r="J417" s="237">
        <f t="shared" si="320"/>
        <v>200</v>
      </c>
      <c r="K417" s="237">
        <f t="shared" si="320"/>
        <v>200</v>
      </c>
      <c r="L417" s="237">
        <f t="shared" si="320"/>
        <v>0</v>
      </c>
      <c r="M417" s="238">
        <f t="shared" si="314"/>
        <v>400</v>
      </c>
      <c r="N417" s="237">
        <f t="shared" si="321"/>
        <v>0</v>
      </c>
      <c r="O417" s="237">
        <f t="shared" si="321"/>
        <v>0</v>
      </c>
      <c r="P417" s="237">
        <f t="shared" si="321"/>
        <v>0</v>
      </c>
      <c r="Q417" s="238">
        <f t="shared" si="315"/>
        <v>0</v>
      </c>
      <c r="R417" s="237">
        <f t="shared" si="322"/>
        <v>0</v>
      </c>
      <c r="S417" s="237">
        <f t="shared" si="322"/>
        <v>0</v>
      </c>
      <c r="T417" s="237">
        <f t="shared" si="322"/>
        <v>0</v>
      </c>
      <c r="U417" s="238">
        <f t="shared" si="316"/>
        <v>0</v>
      </c>
      <c r="V417" s="237">
        <f t="shared" si="323"/>
        <v>0</v>
      </c>
      <c r="W417" s="237">
        <f t="shared" si="323"/>
        <v>0</v>
      </c>
      <c r="X417" s="237">
        <f t="shared" si="323"/>
        <v>0</v>
      </c>
      <c r="Y417" s="238">
        <f t="shared" si="317"/>
        <v>0</v>
      </c>
    </row>
    <row r="418" spans="1:25" ht="12.75" hidden="1" customHeight="1" outlineLevel="1" x14ac:dyDescent="0.2">
      <c r="A418" s="198" t="str">
        <f>"         "&amp;Labels!C316</f>
        <v xml:space="preserve">         Total</v>
      </c>
      <c r="B418" s="237">
        <f t="shared" si="318"/>
        <v>0</v>
      </c>
      <c r="C418" s="237">
        <f t="shared" si="318"/>
        <v>0</v>
      </c>
      <c r="D418" s="237">
        <f t="shared" si="318"/>
        <v>550</v>
      </c>
      <c r="E418" s="238">
        <f>SUM(B415:D415)</f>
        <v>550</v>
      </c>
      <c r="F418" s="237">
        <f t="shared" si="319"/>
        <v>550</v>
      </c>
      <c r="G418" s="237">
        <f t="shared" si="319"/>
        <v>0</v>
      </c>
      <c r="H418" s="237">
        <f t="shared" si="319"/>
        <v>400</v>
      </c>
      <c r="I418" s="238">
        <f>SUM(F415:H415)</f>
        <v>950</v>
      </c>
      <c r="J418" s="237">
        <f t="shared" si="320"/>
        <v>400</v>
      </c>
      <c r="K418" s="237">
        <f t="shared" si="320"/>
        <v>400</v>
      </c>
      <c r="L418" s="237">
        <f t="shared" si="320"/>
        <v>0</v>
      </c>
      <c r="M418" s="238">
        <f>SUM(J415:L415)</f>
        <v>800</v>
      </c>
      <c r="N418" s="237">
        <f t="shared" si="321"/>
        <v>0</v>
      </c>
      <c r="O418" s="237">
        <f t="shared" si="321"/>
        <v>0</v>
      </c>
      <c r="P418" s="237">
        <f t="shared" si="321"/>
        <v>0</v>
      </c>
      <c r="Q418" s="238">
        <f>SUM(N415:P415)</f>
        <v>0</v>
      </c>
      <c r="R418" s="237">
        <f t="shared" si="322"/>
        <v>0</v>
      </c>
      <c r="S418" s="237">
        <f t="shared" si="322"/>
        <v>0</v>
      </c>
      <c r="T418" s="237">
        <f t="shared" si="322"/>
        <v>0</v>
      </c>
      <c r="U418" s="238">
        <f>SUM(R415:T415)</f>
        <v>0</v>
      </c>
      <c r="V418" s="237">
        <f t="shared" si="323"/>
        <v>0</v>
      </c>
      <c r="W418" s="237">
        <f t="shared" si="323"/>
        <v>0</v>
      </c>
      <c r="X418" s="237">
        <f t="shared" si="323"/>
        <v>0</v>
      </c>
      <c r="Y418" s="238">
        <f>SUM(V415:X415)</f>
        <v>0</v>
      </c>
    </row>
    <row r="419" spans="1:25" ht="12.75" hidden="1" customHeight="1" outlineLevel="1" x14ac:dyDescent="0.2">
      <c r="A419" s="188" t="str">
        <f>"   "&amp;Labels!B382</f>
        <v xml:space="preserve">   Practice 2</v>
      </c>
      <c r="B419" s="166"/>
      <c r="C419" s="166"/>
      <c r="D419" s="166"/>
      <c r="E419" s="225"/>
      <c r="F419" s="166"/>
      <c r="G419" s="166"/>
      <c r="H419" s="166"/>
      <c r="I419" s="225"/>
      <c r="J419" s="166"/>
      <c r="K419" s="166"/>
      <c r="L419" s="166"/>
      <c r="M419" s="225"/>
      <c r="N419" s="166"/>
      <c r="O419" s="166"/>
      <c r="P419" s="166"/>
      <c r="Q419" s="225"/>
      <c r="R419" s="166"/>
      <c r="S419" s="166"/>
      <c r="T419" s="166"/>
      <c r="U419" s="225"/>
      <c r="V419" s="166"/>
      <c r="W419" s="166"/>
      <c r="X419" s="166"/>
      <c r="Y419" s="225"/>
    </row>
    <row r="420" spans="1:25" ht="12.75" hidden="1" customHeight="1" outlineLevel="1" x14ac:dyDescent="0.2">
      <c r="A420" s="198" t="str">
        <f>"      "&amp;Labels!B385</f>
        <v xml:space="preserve">      Prof Level 1</v>
      </c>
      <c r="B420" s="237"/>
      <c r="C420" s="237"/>
      <c r="D420" s="237"/>
      <c r="E420" s="238"/>
      <c r="F420" s="237"/>
      <c r="G420" s="237"/>
      <c r="H420" s="237"/>
      <c r="I420" s="238"/>
      <c r="J420" s="237"/>
      <c r="K420" s="237"/>
      <c r="L420" s="237"/>
      <c r="M420" s="238"/>
      <c r="N420" s="237"/>
      <c r="O420" s="237"/>
      <c r="P420" s="237"/>
      <c r="Q420" s="238"/>
      <c r="R420" s="237"/>
      <c r="S420" s="237"/>
      <c r="T420" s="237"/>
      <c r="U420" s="238"/>
      <c r="V420" s="237"/>
      <c r="W420" s="237"/>
      <c r="X420" s="237"/>
      <c r="Y420" s="238"/>
    </row>
    <row r="421" spans="1:25" ht="12.75" hidden="1" customHeight="1" outlineLevel="1" x14ac:dyDescent="0.2">
      <c r="A421" s="198" t="str">
        <f>"         "&amp;Labels!B317</f>
        <v xml:space="preserve">         Channels 1</v>
      </c>
      <c r="B421" s="237">
        <f>Sales!B197</f>
        <v>0</v>
      </c>
      <c r="C421" s="237">
        <f>Sales!C197</f>
        <v>0</v>
      </c>
      <c r="D421" s="237">
        <f>Sales!D197</f>
        <v>0</v>
      </c>
      <c r="E421" s="238">
        <f>SUM(B421:D421)</f>
        <v>0</v>
      </c>
      <c r="F421" s="237">
        <f>Sales!F197</f>
        <v>0</v>
      </c>
      <c r="G421" s="237">
        <f>Sales!G197</f>
        <v>0</v>
      </c>
      <c r="H421" s="237">
        <f>Sales!H197</f>
        <v>0</v>
      </c>
      <c r="I421" s="238">
        <f>SUM(F421:H421)</f>
        <v>0</v>
      </c>
      <c r="J421" s="237">
        <f>Sales!J197</f>
        <v>0</v>
      </c>
      <c r="K421" s="237">
        <f>Sales!K197</f>
        <v>0</v>
      </c>
      <c r="L421" s="237">
        <f>Sales!L197</f>
        <v>0</v>
      </c>
      <c r="M421" s="238">
        <f>SUM(J421:L421)</f>
        <v>0</v>
      </c>
      <c r="N421" s="237">
        <f>Sales!N197</f>
        <v>0</v>
      </c>
      <c r="O421" s="237">
        <f>Sales!O197</f>
        <v>0</v>
      </c>
      <c r="P421" s="237">
        <f>Sales!P197</f>
        <v>0</v>
      </c>
      <c r="Q421" s="238">
        <f>SUM(N421:P421)</f>
        <v>0</v>
      </c>
      <c r="R421" s="237">
        <f>Sales!R197</f>
        <v>0</v>
      </c>
      <c r="S421" s="237">
        <f>Sales!S197</f>
        <v>0</v>
      </c>
      <c r="T421" s="237">
        <f>Sales!T197</f>
        <v>0</v>
      </c>
      <c r="U421" s="238">
        <f>SUM(R421:T421)</f>
        <v>0</v>
      </c>
      <c r="V421" s="237">
        <f>Sales!V197</f>
        <v>0</v>
      </c>
      <c r="W421" s="237">
        <f>Sales!W197</f>
        <v>0</v>
      </c>
      <c r="X421" s="237">
        <f>Sales!X197</f>
        <v>0</v>
      </c>
      <c r="Y421" s="238">
        <f>SUM(V421:X421)</f>
        <v>0</v>
      </c>
    </row>
    <row r="422" spans="1:25" ht="12.75" hidden="1" customHeight="1" outlineLevel="1" x14ac:dyDescent="0.2">
      <c r="A422" s="198" t="str">
        <f>"         "&amp;Labels!B318</f>
        <v xml:space="preserve">         Channels 2</v>
      </c>
      <c r="B422" s="237">
        <f>Sales!B198</f>
        <v>0</v>
      </c>
      <c r="C422" s="237">
        <f>Sales!C198</f>
        <v>0</v>
      </c>
      <c r="D422" s="237">
        <f>Sales!D198</f>
        <v>0</v>
      </c>
      <c r="E422" s="238">
        <f>SUM(B422:D422)</f>
        <v>0</v>
      </c>
      <c r="F422" s="237">
        <f>Sales!F198</f>
        <v>0</v>
      </c>
      <c r="G422" s="237">
        <f>Sales!G198</f>
        <v>0</v>
      </c>
      <c r="H422" s="237">
        <f>Sales!H198</f>
        <v>0</v>
      </c>
      <c r="I422" s="238">
        <f>SUM(F422:H422)</f>
        <v>0</v>
      </c>
      <c r="J422" s="237">
        <f>Sales!J198</f>
        <v>0</v>
      </c>
      <c r="K422" s="237">
        <f>Sales!K198</f>
        <v>0</v>
      </c>
      <c r="L422" s="237">
        <f>Sales!L198</f>
        <v>0</v>
      </c>
      <c r="M422" s="238">
        <f>SUM(J422:L422)</f>
        <v>0</v>
      </c>
      <c r="N422" s="237">
        <f>Sales!N198</f>
        <v>0</v>
      </c>
      <c r="O422" s="237">
        <f>Sales!O198</f>
        <v>0</v>
      </c>
      <c r="P422" s="237">
        <f>Sales!P198</f>
        <v>0</v>
      </c>
      <c r="Q422" s="238">
        <f>SUM(N422:P422)</f>
        <v>0</v>
      </c>
      <c r="R422" s="237">
        <f>Sales!R198</f>
        <v>0</v>
      </c>
      <c r="S422" s="237">
        <f>Sales!S198</f>
        <v>0</v>
      </c>
      <c r="T422" s="237">
        <f>Sales!T198</f>
        <v>0</v>
      </c>
      <c r="U422" s="238">
        <f>SUM(R422:T422)</f>
        <v>0</v>
      </c>
      <c r="V422" s="237">
        <f>Sales!V198</f>
        <v>0</v>
      </c>
      <c r="W422" s="237">
        <f>Sales!W198</f>
        <v>0</v>
      </c>
      <c r="X422" s="237">
        <f>Sales!X198</f>
        <v>0</v>
      </c>
      <c r="Y422" s="238">
        <f>SUM(V422:X422)</f>
        <v>0</v>
      </c>
    </row>
    <row r="423" spans="1:25" ht="12.75" hidden="1" customHeight="1" outlineLevel="1" x14ac:dyDescent="0.2">
      <c r="A423" s="198" t="str">
        <f>"         "&amp;Labels!C316</f>
        <v xml:space="preserve">         Total</v>
      </c>
      <c r="B423" s="237">
        <f>SUM(B421:B422)</f>
        <v>0</v>
      </c>
      <c r="C423" s="237">
        <f>SUM(C421:C422)</f>
        <v>0</v>
      </c>
      <c r="D423" s="237">
        <f>SUM(D421:D422)</f>
        <v>0</v>
      </c>
      <c r="E423" s="238">
        <f>SUM(B423:D423)</f>
        <v>0</v>
      </c>
      <c r="F423" s="237">
        <f>SUM(F421:F422)</f>
        <v>0</v>
      </c>
      <c r="G423" s="237">
        <f>SUM(G421:G422)</f>
        <v>0</v>
      </c>
      <c r="H423" s="237">
        <f>SUM(H421:H422)</f>
        <v>0</v>
      </c>
      <c r="I423" s="238">
        <f>SUM(F423:H423)</f>
        <v>0</v>
      </c>
      <c r="J423" s="237">
        <f>SUM(J421:J422)</f>
        <v>0</v>
      </c>
      <c r="K423" s="237">
        <f>SUM(K421:K422)</f>
        <v>0</v>
      </c>
      <c r="L423" s="237">
        <f>SUM(L421:L422)</f>
        <v>0</v>
      </c>
      <c r="M423" s="238">
        <f>SUM(J423:L423)</f>
        <v>0</v>
      </c>
      <c r="N423" s="237">
        <f>SUM(N421:N422)</f>
        <v>0</v>
      </c>
      <c r="O423" s="237">
        <f>SUM(O421:O422)</f>
        <v>0</v>
      </c>
      <c r="P423" s="237">
        <f>SUM(P421:P422)</f>
        <v>0</v>
      </c>
      <c r="Q423" s="238">
        <f>SUM(N423:P423)</f>
        <v>0</v>
      </c>
      <c r="R423" s="237">
        <f>SUM(R421:R422)</f>
        <v>0</v>
      </c>
      <c r="S423" s="237">
        <f>SUM(S421:S422)</f>
        <v>0</v>
      </c>
      <c r="T423" s="237">
        <f>SUM(T421:T422)</f>
        <v>0</v>
      </c>
      <c r="U423" s="238">
        <f>SUM(R423:T423)</f>
        <v>0</v>
      </c>
      <c r="V423" s="237">
        <f>SUM(V421:V422)</f>
        <v>0</v>
      </c>
      <c r="W423" s="237">
        <f>SUM(W421:W422)</f>
        <v>0</v>
      </c>
      <c r="X423" s="237">
        <f>SUM(X421:X422)</f>
        <v>0</v>
      </c>
      <c r="Y423" s="238">
        <f>SUM(V423:X423)</f>
        <v>0</v>
      </c>
    </row>
    <row r="424" spans="1:25" ht="12.75" hidden="1" customHeight="1" outlineLevel="1" x14ac:dyDescent="0.2">
      <c r="A424" s="198" t="str">
        <f>"      "&amp;Labels!B386</f>
        <v xml:space="preserve">      Prof Level 2</v>
      </c>
      <c r="B424" s="237"/>
      <c r="C424" s="237"/>
      <c r="D424" s="237"/>
      <c r="E424" s="238"/>
      <c r="F424" s="237"/>
      <c r="G424" s="237"/>
      <c r="H424" s="237"/>
      <c r="I424" s="238"/>
      <c r="J424" s="237"/>
      <c r="K424" s="237"/>
      <c r="L424" s="237"/>
      <c r="M424" s="238"/>
      <c r="N424" s="237"/>
      <c r="O424" s="237"/>
      <c r="P424" s="237"/>
      <c r="Q424" s="238"/>
      <c r="R424" s="237"/>
      <c r="S424" s="237"/>
      <c r="T424" s="237"/>
      <c r="U424" s="238"/>
      <c r="V424" s="237"/>
      <c r="W424" s="237"/>
      <c r="X424" s="237"/>
      <c r="Y424" s="238"/>
    </row>
    <row r="425" spans="1:25" ht="12.75" hidden="1" customHeight="1" outlineLevel="1" x14ac:dyDescent="0.2">
      <c r="A425" s="198" t="str">
        <f>"         "&amp;Labels!B317</f>
        <v xml:space="preserve">         Channels 1</v>
      </c>
      <c r="B425" s="237">
        <f>Sales!B201</f>
        <v>0</v>
      </c>
      <c r="C425" s="237">
        <f>Sales!C201</f>
        <v>0</v>
      </c>
      <c r="D425" s="237">
        <f>Sales!D201</f>
        <v>0</v>
      </c>
      <c r="E425" s="238">
        <f t="shared" ref="E425:E430" si="324">SUM(B425:D425)</f>
        <v>0</v>
      </c>
      <c r="F425" s="237">
        <f>Sales!F201</f>
        <v>0</v>
      </c>
      <c r="G425" s="237">
        <f>Sales!G201</f>
        <v>0</v>
      </c>
      <c r="H425" s="237">
        <f>Sales!H201</f>
        <v>0</v>
      </c>
      <c r="I425" s="238">
        <f t="shared" ref="I425:I430" si="325">SUM(F425:H425)</f>
        <v>0</v>
      </c>
      <c r="J425" s="237">
        <f>Sales!J201</f>
        <v>0</v>
      </c>
      <c r="K425" s="237">
        <f>Sales!K201</f>
        <v>0</v>
      </c>
      <c r="L425" s="237">
        <f>Sales!L201</f>
        <v>0</v>
      </c>
      <c r="M425" s="238">
        <f t="shared" ref="M425:M430" si="326">SUM(J425:L425)</f>
        <v>0</v>
      </c>
      <c r="N425" s="237">
        <f>Sales!N201</f>
        <v>0</v>
      </c>
      <c r="O425" s="237">
        <f>Sales!O201</f>
        <v>0</v>
      </c>
      <c r="P425" s="237">
        <f>Sales!P201</f>
        <v>0</v>
      </c>
      <c r="Q425" s="238">
        <f t="shared" ref="Q425:Q430" si="327">SUM(N425:P425)</f>
        <v>0</v>
      </c>
      <c r="R425" s="237">
        <f>Sales!R201</f>
        <v>0</v>
      </c>
      <c r="S425" s="237">
        <f>Sales!S201</f>
        <v>0</v>
      </c>
      <c r="T425" s="237">
        <f>Sales!T201</f>
        <v>0</v>
      </c>
      <c r="U425" s="238">
        <f t="shared" ref="U425:U430" si="328">SUM(R425:T425)</f>
        <v>0</v>
      </c>
      <c r="V425" s="237">
        <f>Sales!V201</f>
        <v>0</v>
      </c>
      <c r="W425" s="237">
        <f>Sales!W201</f>
        <v>0</v>
      </c>
      <c r="X425" s="237">
        <f>Sales!X201</f>
        <v>0</v>
      </c>
      <c r="Y425" s="238">
        <f t="shared" ref="Y425:Y430" si="329">SUM(V425:X425)</f>
        <v>0</v>
      </c>
    </row>
    <row r="426" spans="1:25" ht="12.75" hidden="1" customHeight="1" outlineLevel="1" x14ac:dyDescent="0.2">
      <c r="A426" s="198" t="str">
        <f>"         "&amp;Labels!B318</f>
        <v xml:space="preserve">         Channels 2</v>
      </c>
      <c r="B426" s="237">
        <f>Sales!B202</f>
        <v>0</v>
      </c>
      <c r="C426" s="237">
        <f>Sales!C202</f>
        <v>0</v>
      </c>
      <c r="D426" s="237">
        <f>Sales!D202</f>
        <v>0</v>
      </c>
      <c r="E426" s="238">
        <f t="shared" si="324"/>
        <v>0</v>
      </c>
      <c r="F426" s="237">
        <f>Sales!F202</f>
        <v>0</v>
      </c>
      <c r="G426" s="237">
        <f>Sales!G202</f>
        <v>0</v>
      </c>
      <c r="H426" s="237">
        <f>Sales!H202</f>
        <v>0</v>
      </c>
      <c r="I426" s="238">
        <f t="shared" si="325"/>
        <v>0</v>
      </c>
      <c r="J426" s="237">
        <f>Sales!J202</f>
        <v>0</v>
      </c>
      <c r="K426" s="237">
        <f>Sales!K202</f>
        <v>0</v>
      </c>
      <c r="L426" s="237">
        <f>Sales!L202</f>
        <v>0</v>
      </c>
      <c r="M426" s="238">
        <f t="shared" si="326"/>
        <v>0</v>
      </c>
      <c r="N426" s="237">
        <f>Sales!N202</f>
        <v>0</v>
      </c>
      <c r="O426" s="237">
        <f>Sales!O202</f>
        <v>0</v>
      </c>
      <c r="P426" s="237">
        <f>Sales!P202</f>
        <v>0</v>
      </c>
      <c r="Q426" s="238">
        <f t="shared" si="327"/>
        <v>0</v>
      </c>
      <c r="R426" s="237">
        <f>Sales!R202</f>
        <v>0</v>
      </c>
      <c r="S426" s="237">
        <f>Sales!S202</f>
        <v>0</v>
      </c>
      <c r="T426" s="237">
        <f>Sales!T202</f>
        <v>0</v>
      </c>
      <c r="U426" s="238">
        <f t="shared" si="328"/>
        <v>0</v>
      </c>
      <c r="V426" s="237">
        <f>Sales!V202</f>
        <v>0</v>
      </c>
      <c r="W426" s="237">
        <f>Sales!W202</f>
        <v>0</v>
      </c>
      <c r="X426" s="237">
        <f>Sales!X202</f>
        <v>0</v>
      </c>
      <c r="Y426" s="238">
        <f t="shared" si="329"/>
        <v>0</v>
      </c>
    </row>
    <row r="427" spans="1:25" ht="12.75" hidden="1" customHeight="1" outlineLevel="1" x14ac:dyDescent="0.2">
      <c r="A427" s="198" t="str">
        <f>"         "&amp;Labels!C316</f>
        <v xml:space="preserve">         Total</v>
      </c>
      <c r="B427" s="237">
        <f>SUM(B425:B426)</f>
        <v>0</v>
      </c>
      <c r="C427" s="237">
        <f>SUM(C425:C426)</f>
        <v>0</v>
      </c>
      <c r="D427" s="237">
        <f>SUM(D425:D426)</f>
        <v>0</v>
      </c>
      <c r="E427" s="238">
        <f t="shared" si="324"/>
        <v>0</v>
      </c>
      <c r="F427" s="237">
        <f>SUM(F425:F426)</f>
        <v>0</v>
      </c>
      <c r="G427" s="237">
        <f>SUM(G425:G426)</f>
        <v>0</v>
      </c>
      <c r="H427" s="237">
        <f>SUM(H425:H426)</f>
        <v>0</v>
      </c>
      <c r="I427" s="238">
        <f t="shared" si="325"/>
        <v>0</v>
      </c>
      <c r="J427" s="237">
        <f>SUM(J425:J426)</f>
        <v>0</v>
      </c>
      <c r="K427" s="237">
        <f>SUM(K425:K426)</f>
        <v>0</v>
      </c>
      <c r="L427" s="237">
        <f>SUM(L425:L426)</f>
        <v>0</v>
      </c>
      <c r="M427" s="238">
        <f t="shared" si="326"/>
        <v>0</v>
      </c>
      <c r="N427" s="237">
        <f>SUM(N425:N426)</f>
        <v>0</v>
      </c>
      <c r="O427" s="237">
        <f>SUM(O425:O426)</f>
        <v>0</v>
      </c>
      <c r="P427" s="237">
        <f>SUM(P425:P426)</f>
        <v>0</v>
      </c>
      <c r="Q427" s="238">
        <f t="shared" si="327"/>
        <v>0</v>
      </c>
      <c r="R427" s="237">
        <f>SUM(R425:R426)</f>
        <v>0</v>
      </c>
      <c r="S427" s="237">
        <f>SUM(S425:S426)</f>
        <v>0</v>
      </c>
      <c r="T427" s="237">
        <f>SUM(T425:T426)</f>
        <v>0</v>
      </c>
      <c r="U427" s="238">
        <f t="shared" si="328"/>
        <v>0</v>
      </c>
      <c r="V427" s="237">
        <f>SUM(V425:V426)</f>
        <v>0</v>
      </c>
      <c r="W427" s="237">
        <f>SUM(W425:W426)</f>
        <v>0</v>
      </c>
      <c r="X427" s="237">
        <f>SUM(X425:X426)</f>
        <v>0</v>
      </c>
      <c r="Y427" s="238">
        <f t="shared" si="329"/>
        <v>0</v>
      </c>
    </row>
    <row r="428" spans="1:25" ht="12.75" hidden="1" customHeight="1" outlineLevel="1" x14ac:dyDescent="0.2">
      <c r="A428" s="188" t="str">
        <f>"      "&amp;Labels!C384</f>
        <v xml:space="preserve">      Total</v>
      </c>
      <c r="B428" s="166">
        <f>SUM(B423,B427)</f>
        <v>0</v>
      </c>
      <c r="C428" s="166">
        <f>SUM(C423,C427)</f>
        <v>0</v>
      </c>
      <c r="D428" s="166">
        <f>SUM(D423,D427)</f>
        <v>0</v>
      </c>
      <c r="E428" s="225">
        <f t="shared" si="324"/>
        <v>0</v>
      </c>
      <c r="F428" s="166">
        <f>SUM(F423,F427)</f>
        <v>0</v>
      </c>
      <c r="G428" s="166">
        <f>SUM(G423,G427)</f>
        <v>0</v>
      </c>
      <c r="H428" s="166">
        <f>SUM(H423,H427)</f>
        <v>0</v>
      </c>
      <c r="I428" s="225">
        <f t="shared" si="325"/>
        <v>0</v>
      </c>
      <c r="J428" s="166">
        <f>SUM(J423,J427)</f>
        <v>0</v>
      </c>
      <c r="K428" s="166">
        <f>SUM(K423,K427)</f>
        <v>0</v>
      </c>
      <c r="L428" s="166">
        <f>SUM(L423,L427)</f>
        <v>0</v>
      </c>
      <c r="M428" s="225">
        <f t="shared" si="326"/>
        <v>0</v>
      </c>
      <c r="N428" s="166">
        <f>SUM(N423,N427)</f>
        <v>0</v>
      </c>
      <c r="O428" s="166">
        <f>SUM(O423,O427)</f>
        <v>0</v>
      </c>
      <c r="P428" s="166">
        <f>SUM(P423,P427)</f>
        <v>0</v>
      </c>
      <c r="Q428" s="225">
        <f t="shared" si="327"/>
        <v>0</v>
      </c>
      <c r="R428" s="166">
        <f>SUM(R423,R427)</f>
        <v>0</v>
      </c>
      <c r="S428" s="166">
        <f>SUM(S423,S427)</f>
        <v>0</v>
      </c>
      <c r="T428" s="166">
        <f>SUM(T423,T427)</f>
        <v>0</v>
      </c>
      <c r="U428" s="225">
        <f t="shared" si="328"/>
        <v>0</v>
      </c>
      <c r="V428" s="166">
        <f>SUM(V423,V427)</f>
        <v>0</v>
      </c>
      <c r="W428" s="166">
        <f>SUM(W423,W427)</f>
        <v>0</v>
      </c>
      <c r="X428" s="166">
        <f>SUM(X423,X427)</f>
        <v>0</v>
      </c>
      <c r="Y428" s="225">
        <f t="shared" si="329"/>
        <v>0</v>
      </c>
    </row>
    <row r="429" spans="1:25" ht="12.75" hidden="1" customHeight="1" outlineLevel="1" x14ac:dyDescent="0.2">
      <c r="A429" s="198" t="str">
        <f>"         "&amp;Labels!B317</f>
        <v xml:space="preserve">         Channels 1</v>
      </c>
      <c r="B429" s="237">
        <f t="shared" ref="B429:D431" si="330">SUM(B421,B425)</f>
        <v>0</v>
      </c>
      <c r="C429" s="237">
        <f t="shared" si="330"/>
        <v>0</v>
      </c>
      <c r="D429" s="237">
        <f t="shared" si="330"/>
        <v>0</v>
      </c>
      <c r="E429" s="238">
        <f t="shared" si="324"/>
        <v>0</v>
      </c>
      <c r="F429" s="237">
        <f t="shared" ref="F429:H431" si="331">SUM(F421,F425)</f>
        <v>0</v>
      </c>
      <c r="G429" s="237">
        <f t="shared" si="331"/>
        <v>0</v>
      </c>
      <c r="H429" s="237">
        <f t="shared" si="331"/>
        <v>0</v>
      </c>
      <c r="I429" s="238">
        <f t="shared" si="325"/>
        <v>0</v>
      </c>
      <c r="J429" s="237">
        <f t="shared" ref="J429:L431" si="332">SUM(J421,J425)</f>
        <v>0</v>
      </c>
      <c r="K429" s="237">
        <f t="shared" si="332"/>
        <v>0</v>
      </c>
      <c r="L429" s="237">
        <f t="shared" si="332"/>
        <v>0</v>
      </c>
      <c r="M429" s="238">
        <f t="shared" si="326"/>
        <v>0</v>
      </c>
      <c r="N429" s="237">
        <f t="shared" ref="N429:P431" si="333">SUM(N421,N425)</f>
        <v>0</v>
      </c>
      <c r="O429" s="237">
        <f t="shared" si="333"/>
        <v>0</v>
      </c>
      <c r="P429" s="237">
        <f t="shared" si="333"/>
        <v>0</v>
      </c>
      <c r="Q429" s="238">
        <f t="shared" si="327"/>
        <v>0</v>
      </c>
      <c r="R429" s="237">
        <f t="shared" ref="R429:T431" si="334">SUM(R421,R425)</f>
        <v>0</v>
      </c>
      <c r="S429" s="237">
        <f t="shared" si="334"/>
        <v>0</v>
      </c>
      <c r="T429" s="237">
        <f t="shared" si="334"/>
        <v>0</v>
      </c>
      <c r="U429" s="238">
        <f t="shared" si="328"/>
        <v>0</v>
      </c>
      <c r="V429" s="237">
        <f t="shared" ref="V429:X431" si="335">SUM(V421,V425)</f>
        <v>0</v>
      </c>
      <c r="W429" s="237">
        <f t="shared" si="335"/>
        <v>0</v>
      </c>
      <c r="X429" s="237">
        <f t="shared" si="335"/>
        <v>0</v>
      </c>
      <c r="Y429" s="238">
        <f t="shared" si="329"/>
        <v>0</v>
      </c>
    </row>
    <row r="430" spans="1:25" ht="12.75" hidden="1" customHeight="1" outlineLevel="1" x14ac:dyDescent="0.2">
      <c r="A430" s="198" t="str">
        <f>"         "&amp;Labels!B318</f>
        <v xml:space="preserve">         Channels 2</v>
      </c>
      <c r="B430" s="237">
        <f t="shared" si="330"/>
        <v>0</v>
      </c>
      <c r="C430" s="237">
        <f t="shared" si="330"/>
        <v>0</v>
      </c>
      <c r="D430" s="237">
        <f t="shared" si="330"/>
        <v>0</v>
      </c>
      <c r="E430" s="238">
        <f t="shared" si="324"/>
        <v>0</v>
      </c>
      <c r="F430" s="237">
        <f t="shared" si="331"/>
        <v>0</v>
      </c>
      <c r="G430" s="237">
        <f t="shared" si="331"/>
        <v>0</v>
      </c>
      <c r="H430" s="237">
        <f t="shared" si="331"/>
        <v>0</v>
      </c>
      <c r="I430" s="238">
        <f t="shared" si="325"/>
        <v>0</v>
      </c>
      <c r="J430" s="237">
        <f t="shared" si="332"/>
        <v>0</v>
      </c>
      <c r="K430" s="237">
        <f t="shared" si="332"/>
        <v>0</v>
      </c>
      <c r="L430" s="237">
        <f t="shared" si="332"/>
        <v>0</v>
      </c>
      <c r="M430" s="238">
        <f t="shared" si="326"/>
        <v>0</v>
      </c>
      <c r="N430" s="237">
        <f t="shared" si="333"/>
        <v>0</v>
      </c>
      <c r="O430" s="237">
        <f t="shared" si="333"/>
        <v>0</v>
      </c>
      <c r="P430" s="237">
        <f t="shared" si="333"/>
        <v>0</v>
      </c>
      <c r="Q430" s="238">
        <f t="shared" si="327"/>
        <v>0</v>
      </c>
      <c r="R430" s="237">
        <f t="shared" si="334"/>
        <v>0</v>
      </c>
      <c r="S430" s="237">
        <f t="shared" si="334"/>
        <v>0</v>
      </c>
      <c r="T430" s="237">
        <f t="shared" si="334"/>
        <v>0</v>
      </c>
      <c r="U430" s="238">
        <f t="shared" si="328"/>
        <v>0</v>
      </c>
      <c r="V430" s="237">
        <f t="shared" si="335"/>
        <v>0</v>
      </c>
      <c r="W430" s="237">
        <f t="shared" si="335"/>
        <v>0</v>
      </c>
      <c r="X430" s="237">
        <f t="shared" si="335"/>
        <v>0</v>
      </c>
      <c r="Y430" s="238">
        <f t="shared" si="329"/>
        <v>0</v>
      </c>
    </row>
    <row r="431" spans="1:25" ht="12.75" hidden="1" customHeight="1" outlineLevel="1" x14ac:dyDescent="0.2">
      <c r="A431" s="198" t="str">
        <f>"         "&amp;Labels!C316</f>
        <v xml:space="preserve">         Total</v>
      </c>
      <c r="B431" s="237">
        <f t="shared" si="330"/>
        <v>0</v>
      </c>
      <c r="C431" s="237">
        <f t="shared" si="330"/>
        <v>0</v>
      </c>
      <c r="D431" s="237">
        <f t="shared" si="330"/>
        <v>0</v>
      </c>
      <c r="E431" s="238">
        <f>SUM(B428:D428)</f>
        <v>0</v>
      </c>
      <c r="F431" s="237">
        <f t="shared" si="331"/>
        <v>0</v>
      </c>
      <c r="G431" s="237">
        <f t="shared" si="331"/>
        <v>0</v>
      </c>
      <c r="H431" s="237">
        <f t="shared" si="331"/>
        <v>0</v>
      </c>
      <c r="I431" s="238">
        <f>SUM(F428:H428)</f>
        <v>0</v>
      </c>
      <c r="J431" s="237">
        <f t="shared" si="332"/>
        <v>0</v>
      </c>
      <c r="K431" s="237">
        <f t="shared" si="332"/>
        <v>0</v>
      </c>
      <c r="L431" s="237">
        <f t="shared" si="332"/>
        <v>0</v>
      </c>
      <c r="M431" s="238">
        <f>SUM(J428:L428)</f>
        <v>0</v>
      </c>
      <c r="N431" s="237">
        <f t="shared" si="333"/>
        <v>0</v>
      </c>
      <c r="O431" s="237">
        <f t="shared" si="333"/>
        <v>0</v>
      </c>
      <c r="P431" s="237">
        <f t="shared" si="333"/>
        <v>0</v>
      </c>
      <c r="Q431" s="238">
        <f>SUM(N428:P428)</f>
        <v>0</v>
      </c>
      <c r="R431" s="237">
        <f t="shared" si="334"/>
        <v>0</v>
      </c>
      <c r="S431" s="237">
        <f t="shared" si="334"/>
        <v>0</v>
      </c>
      <c r="T431" s="237">
        <f t="shared" si="334"/>
        <v>0</v>
      </c>
      <c r="U431" s="238">
        <f>SUM(R428:T428)</f>
        <v>0</v>
      </c>
      <c r="V431" s="237">
        <f t="shared" si="335"/>
        <v>0</v>
      </c>
      <c r="W431" s="237">
        <f t="shared" si="335"/>
        <v>0</v>
      </c>
      <c r="X431" s="237">
        <f t="shared" si="335"/>
        <v>0</v>
      </c>
      <c r="Y431" s="238">
        <f>SUM(V428:X428)</f>
        <v>0</v>
      </c>
    </row>
    <row r="432" spans="1:25" ht="12.75" hidden="1" customHeight="1" outlineLevel="1" x14ac:dyDescent="0.2">
      <c r="A432" s="191" t="str">
        <f>"   "&amp;Labels!C380</f>
        <v xml:space="preserve">   Total</v>
      </c>
      <c r="B432" s="216">
        <f>SUM(B415,B428)</f>
        <v>0</v>
      </c>
      <c r="C432" s="216">
        <f>SUM(C415,C428)</f>
        <v>0</v>
      </c>
      <c r="D432" s="216">
        <f>SUM(D415,D428)</f>
        <v>550</v>
      </c>
      <c r="E432" s="217">
        <f>SUM(B432:D432)</f>
        <v>550</v>
      </c>
      <c r="F432" s="216">
        <f>SUM(F415,F428)</f>
        <v>550</v>
      </c>
      <c r="G432" s="216">
        <f>SUM(G415,G428)</f>
        <v>0</v>
      </c>
      <c r="H432" s="216">
        <f>SUM(H415,H428)</f>
        <v>400</v>
      </c>
      <c r="I432" s="217">
        <f>SUM(F432:H432)</f>
        <v>950</v>
      </c>
      <c r="J432" s="216">
        <f>SUM(J415,J428)</f>
        <v>400</v>
      </c>
      <c r="K432" s="216">
        <f>SUM(K415,K428)</f>
        <v>400</v>
      </c>
      <c r="L432" s="216">
        <f>SUM(L415,L428)</f>
        <v>0</v>
      </c>
      <c r="M432" s="217">
        <f>SUM(J432:L432)</f>
        <v>800</v>
      </c>
      <c r="N432" s="216">
        <f>SUM(N415,N428)</f>
        <v>0</v>
      </c>
      <c r="O432" s="216">
        <f>SUM(O415,O428)</f>
        <v>0</v>
      </c>
      <c r="P432" s="216">
        <f>SUM(P415,P428)</f>
        <v>0</v>
      </c>
      <c r="Q432" s="217">
        <f>SUM(N432:P432)</f>
        <v>0</v>
      </c>
      <c r="R432" s="216">
        <f>SUM(R415,R428)</f>
        <v>0</v>
      </c>
      <c r="S432" s="216">
        <f>SUM(S415,S428)</f>
        <v>0</v>
      </c>
      <c r="T432" s="216">
        <f>SUM(T415,T428)</f>
        <v>0</v>
      </c>
      <c r="U432" s="217">
        <f>SUM(R432:T432)</f>
        <v>0</v>
      </c>
      <c r="V432" s="216">
        <f>SUM(V415,V428)</f>
        <v>0</v>
      </c>
      <c r="W432" s="216">
        <f>SUM(W415,W428)</f>
        <v>0</v>
      </c>
      <c r="X432" s="216">
        <f>SUM(X415,X428)</f>
        <v>0</v>
      </c>
      <c r="Y432" s="217">
        <f>SUM(V432:X432)</f>
        <v>0</v>
      </c>
    </row>
    <row r="433" spans="1:25" ht="12.75" hidden="1" customHeight="1" outlineLevel="1" x14ac:dyDescent="0.2">
      <c r="A433" s="198" t="str">
        <f>"      "&amp;Labels!B385</f>
        <v xml:space="preserve">      Prof Level 1</v>
      </c>
      <c r="B433" s="237"/>
      <c r="C433" s="237"/>
      <c r="D433" s="237"/>
      <c r="E433" s="238"/>
      <c r="F433" s="237"/>
      <c r="G433" s="237"/>
      <c r="H433" s="237"/>
      <c r="I433" s="238"/>
      <c r="J433" s="237"/>
      <c r="K433" s="237"/>
      <c r="L433" s="237"/>
      <c r="M433" s="238"/>
      <c r="N433" s="237"/>
      <c r="O433" s="237"/>
      <c r="P433" s="237"/>
      <c r="Q433" s="238"/>
      <c r="R433" s="237"/>
      <c r="S433" s="237"/>
      <c r="T433" s="237"/>
      <c r="U433" s="238"/>
      <c r="V433" s="237"/>
      <c r="W433" s="237"/>
      <c r="X433" s="237"/>
      <c r="Y433" s="238"/>
    </row>
    <row r="434" spans="1:25" ht="12.75" hidden="1" customHeight="1" outlineLevel="1" x14ac:dyDescent="0.2">
      <c r="A434" s="198" t="str">
        <f>"         "&amp;Labels!B317</f>
        <v xml:space="preserve">         Channels 1</v>
      </c>
      <c r="B434" s="237">
        <f t="shared" ref="B434:D436" si="336">SUM(B408,B421)</f>
        <v>0</v>
      </c>
      <c r="C434" s="237">
        <f t="shared" si="336"/>
        <v>0</v>
      </c>
      <c r="D434" s="237">
        <f t="shared" si="336"/>
        <v>137.5</v>
      </c>
      <c r="E434" s="238">
        <f>SUM(B434:D434)</f>
        <v>137.5</v>
      </c>
      <c r="F434" s="237">
        <f t="shared" ref="F434:H436" si="337">SUM(F408,F421)</f>
        <v>137.5</v>
      </c>
      <c r="G434" s="237">
        <f t="shared" si="337"/>
        <v>0</v>
      </c>
      <c r="H434" s="237">
        <f t="shared" si="337"/>
        <v>100</v>
      </c>
      <c r="I434" s="238">
        <f>SUM(F434:H434)</f>
        <v>237.5</v>
      </c>
      <c r="J434" s="237">
        <f t="shared" ref="J434:L436" si="338">SUM(J408,J421)</f>
        <v>100</v>
      </c>
      <c r="K434" s="237">
        <f t="shared" si="338"/>
        <v>100</v>
      </c>
      <c r="L434" s="237">
        <f t="shared" si="338"/>
        <v>0</v>
      </c>
      <c r="M434" s="238">
        <f>SUM(J434:L434)</f>
        <v>200</v>
      </c>
      <c r="N434" s="237">
        <f t="shared" ref="N434:P436" si="339">SUM(N408,N421)</f>
        <v>0</v>
      </c>
      <c r="O434" s="237">
        <f t="shared" si="339"/>
        <v>0</v>
      </c>
      <c r="P434" s="237">
        <f t="shared" si="339"/>
        <v>0</v>
      </c>
      <c r="Q434" s="238">
        <f>SUM(N434:P434)</f>
        <v>0</v>
      </c>
      <c r="R434" s="237">
        <f t="shared" ref="R434:T436" si="340">SUM(R408,R421)</f>
        <v>0</v>
      </c>
      <c r="S434" s="237">
        <f t="shared" si="340"/>
        <v>0</v>
      </c>
      <c r="T434" s="237">
        <f t="shared" si="340"/>
        <v>0</v>
      </c>
      <c r="U434" s="238">
        <f>SUM(R434:T434)</f>
        <v>0</v>
      </c>
      <c r="V434" s="237">
        <f t="shared" ref="V434:X436" si="341">SUM(V408,V421)</f>
        <v>0</v>
      </c>
      <c r="W434" s="237">
        <f t="shared" si="341"/>
        <v>0</v>
      </c>
      <c r="X434" s="237">
        <f t="shared" si="341"/>
        <v>0</v>
      </c>
      <c r="Y434" s="238">
        <f>SUM(V434:X434)</f>
        <v>0</v>
      </c>
    </row>
    <row r="435" spans="1:25" ht="12.75" hidden="1" customHeight="1" outlineLevel="1" x14ac:dyDescent="0.2">
      <c r="A435" s="198" t="str">
        <f>"         "&amp;Labels!B318</f>
        <v xml:space="preserve">         Channels 2</v>
      </c>
      <c r="B435" s="237">
        <f t="shared" si="336"/>
        <v>0</v>
      </c>
      <c r="C435" s="237">
        <f t="shared" si="336"/>
        <v>0</v>
      </c>
      <c r="D435" s="237">
        <f t="shared" si="336"/>
        <v>137.5</v>
      </c>
      <c r="E435" s="238">
        <f>SUM(B435:D435)</f>
        <v>137.5</v>
      </c>
      <c r="F435" s="237">
        <f t="shared" si="337"/>
        <v>137.5</v>
      </c>
      <c r="G435" s="237">
        <f t="shared" si="337"/>
        <v>0</v>
      </c>
      <c r="H435" s="237">
        <f t="shared" si="337"/>
        <v>100</v>
      </c>
      <c r="I435" s="238">
        <f>SUM(F435:H435)</f>
        <v>237.5</v>
      </c>
      <c r="J435" s="237">
        <f t="shared" si="338"/>
        <v>100</v>
      </c>
      <c r="K435" s="237">
        <f t="shared" si="338"/>
        <v>100</v>
      </c>
      <c r="L435" s="237">
        <f t="shared" si="338"/>
        <v>0</v>
      </c>
      <c r="M435" s="238">
        <f>SUM(J435:L435)</f>
        <v>200</v>
      </c>
      <c r="N435" s="237">
        <f t="shared" si="339"/>
        <v>0</v>
      </c>
      <c r="O435" s="237">
        <f t="shared" si="339"/>
        <v>0</v>
      </c>
      <c r="P435" s="237">
        <f t="shared" si="339"/>
        <v>0</v>
      </c>
      <c r="Q435" s="238">
        <f>SUM(N435:P435)</f>
        <v>0</v>
      </c>
      <c r="R435" s="237">
        <f t="shared" si="340"/>
        <v>0</v>
      </c>
      <c r="S435" s="237">
        <f t="shared" si="340"/>
        <v>0</v>
      </c>
      <c r="T435" s="237">
        <f t="shared" si="340"/>
        <v>0</v>
      </c>
      <c r="U435" s="238">
        <f>SUM(R435:T435)</f>
        <v>0</v>
      </c>
      <c r="V435" s="237">
        <f t="shared" si="341"/>
        <v>0</v>
      </c>
      <c r="W435" s="237">
        <f t="shared" si="341"/>
        <v>0</v>
      </c>
      <c r="X435" s="237">
        <f t="shared" si="341"/>
        <v>0</v>
      </c>
      <c r="Y435" s="238">
        <f>SUM(V435:X435)</f>
        <v>0</v>
      </c>
    </row>
    <row r="436" spans="1:25" ht="12.75" hidden="1" customHeight="1" outlineLevel="1" x14ac:dyDescent="0.2">
      <c r="A436" s="198" t="str">
        <f>"         "&amp;Labels!C316</f>
        <v xml:space="preserve">         Total</v>
      </c>
      <c r="B436" s="237">
        <f t="shared" si="336"/>
        <v>0</v>
      </c>
      <c r="C436" s="237">
        <f t="shared" si="336"/>
        <v>0</v>
      </c>
      <c r="D436" s="237">
        <f t="shared" si="336"/>
        <v>275</v>
      </c>
      <c r="E436" s="238">
        <f>SUM(B436:D436)</f>
        <v>275</v>
      </c>
      <c r="F436" s="237">
        <f t="shared" si="337"/>
        <v>275</v>
      </c>
      <c r="G436" s="237">
        <f t="shared" si="337"/>
        <v>0</v>
      </c>
      <c r="H436" s="237">
        <f t="shared" si="337"/>
        <v>200</v>
      </c>
      <c r="I436" s="238">
        <f>SUM(F436:H436)</f>
        <v>475</v>
      </c>
      <c r="J436" s="237">
        <f t="shared" si="338"/>
        <v>200</v>
      </c>
      <c r="K436" s="237">
        <f t="shared" si="338"/>
        <v>200</v>
      </c>
      <c r="L436" s="237">
        <f t="shared" si="338"/>
        <v>0</v>
      </c>
      <c r="M436" s="238">
        <f>SUM(J436:L436)</f>
        <v>400</v>
      </c>
      <c r="N436" s="237">
        <f t="shared" si="339"/>
        <v>0</v>
      </c>
      <c r="O436" s="237">
        <f t="shared" si="339"/>
        <v>0</v>
      </c>
      <c r="P436" s="237">
        <f t="shared" si="339"/>
        <v>0</v>
      </c>
      <c r="Q436" s="238">
        <f>SUM(N436:P436)</f>
        <v>0</v>
      </c>
      <c r="R436" s="237">
        <f t="shared" si="340"/>
        <v>0</v>
      </c>
      <c r="S436" s="237">
        <f t="shared" si="340"/>
        <v>0</v>
      </c>
      <c r="T436" s="237">
        <f t="shared" si="340"/>
        <v>0</v>
      </c>
      <c r="U436" s="238">
        <f>SUM(R436:T436)</f>
        <v>0</v>
      </c>
      <c r="V436" s="237">
        <f t="shared" si="341"/>
        <v>0</v>
      </c>
      <c r="W436" s="237">
        <f t="shared" si="341"/>
        <v>0</v>
      </c>
      <c r="X436" s="237">
        <f t="shared" si="341"/>
        <v>0</v>
      </c>
      <c r="Y436" s="238">
        <f>SUM(V436:X436)</f>
        <v>0</v>
      </c>
    </row>
    <row r="437" spans="1:25" ht="12.75" hidden="1" customHeight="1" outlineLevel="1" x14ac:dyDescent="0.2">
      <c r="A437" s="198" t="str">
        <f>"      "&amp;Labels!B386</f>
        <v xml:space="preserve">      Prof Level 2</v>
      </c>
      <c r="B437" s="237"/>
      <c r="C437" s="237"/>
      <c r="D437" s="237"/>
      <c r="E437" s="238"/>
      <c r="F437" s="237"/>
      <c r="G437" s="237"/>
      <c r="H437" s="237"/>
      <c r="I437" s="238"/>
      <c r="J437" s="237"/>
      <c r="K437" s="237"/>
      <c r="L437" s="237"/>
      <c r="M437" s="238"/>
      <c r="N437" s="237"/>
      <c r="O437" s="237"/>
      <c r="P437" s="237"/>
      <c r="Q437" s="238"/>
      <c r="R437" s="237"/>
      <c r="S437" s="237"/>
      <c r="T437" s="237"/>
      <c r="U437" s="238"/>
      <c r="V437" s="237"/>
      <c r="W437" s="237"/>
      <c r="X437" s="237"/>
      <c r="Y437" s="238"/>
    </row>
    <row r="438" spans="1:25" ht="12.75" hidden="1" customHeight="1" outlineLevel="1" x14ac:dyDescent="0.2">
      <c r="A438" s="198" t="str">
        <f>"         "&amp;Labels!B317</f>
        <v xml:space="preserve">         Channels 1</v>
      </c>
      <c r="B438" s="237">
        <f t="shared" ref="B438:D443" si="342">SUM(B412,B425)</f>
        <v>0</v>
      </c>
      <c r="C438" s="237">
        <f t="shared" si="342"/>
        <v>0</v>
      </c>
      <c r="D438" s="237">
        <f t="shared" si="342"/>
        <v>137.5</v>
      </c>
      <c r="E438" s="238">
        <f>SUM(B438:D438)</f>
        <v>137.5</v>
      </c>
      <c r="F438" s="237">
        <f t="shared" ref="F438:H443" si="343">SUM(F412,F425)</f>
        <v>137.5</v>
      </c>
      <c r="G438" s="237">
        <f t="shared" si="343"/>
        <v>0</v>
      </c>
      <c r="H438" s="237">
        <f t="shared" si="343"/>
        <v>100</v>
      </c>
      <c r="I438" s="238">
        <f>SUM(F438:H438)</f>
        <v>237.5</v>
      </c>
      <c r="J438" s="237">
        <f t="shared" ref="J438:L443" si="344">SUM(J412,J425)</f>
        <v>100</v>
      </c>
      <c r="K438" s="237">
        <f t="shared" si="344"/>
        <v>100</v>
      </c>
      <c r="L438" s="237">
        <f t="shared" si="344"/>
        <v>0</v>
      </c>
      <c r="M438" s="238">
        <f>SUM(J438:L438)</f>
        <v>200</v>
      </c>
      <c r="N438" s="237">
        <f t="shared" ref="N438:P443" si="345">SUM(N412,N425)</f>
        <v>0</v>
      </c>
      <c r="O438" s="237">
        <f t="shared" si="345"/>
        <v>0</v>
      </c>
      <c r="P438" s="237">
        <f t="shared" si="345"/>
        <v>0</v>
      </c>
      <c r="Q438" s="238">
        <f>SUM(N438:P438)</f>
        <v>0</v>
      </c>
      <c r="R438" s="237">
        <f t="shared" ref="R438:T443" si="346">SUM(R412,R425)</f>
        <v>0</v>
      </c>
      <c r="S438" s="237">
        <f t="shared" si="346"/>
        <v>0</v>
      </c>
      <c r="T438" s="237">
        <f t="shared" si="346"/>
        <v>0</v>
      </c>
      <c r="U438" s="238">
        <f>SUM(R438:T438)</f>
        <v>0</v>
      </c>
      <c r="V438" s="237">
        <f t="shared" ref="V438:X443" si="347">SUM(V412,V425)</f>
        <v>0</v>
      </c>
      <c r="W438" s="237">
        <f t="shared" si="347"/>
        <v>0</v>
      </c>
      <c r="X438" s="237">
        <f t="shared" si="347"/>
        <v>0</v>
      </c>
      <c r="Y438" s="238">
        <f>SUM(V438:X438)</f>
        <v>0</v>
      </c>
    </row>
    <row r="439" spans="1:25" ht="12.75" hidden="1" customHeight="1" outlineLevel="1" x14ac:dyDescent="0.2">
      <c r="A439" s="198" t="str">
        <f>"         "&amp;Labels!B318</f>
        <v xml:space="preserve">         Channels 2</v>
      </c>
      <c r="B439" s="237">
        <f t="shared" si="342"/>
        <v>0</v>
      </c>
      <c r="C439" s="237">
        <f t="shared" si="342"/>
        <v>0</v>
      </c>
      <c r="D439" s="237">
        <f t="shared" si="342"/>
        <v>137.5</v>
      </c>
      <c r="E439" s="238">
        <f>SUM(B439:D439)</f>
        <v>137.5</v>
      </c>
      <c r="F439" s="237">
        <f t="shared" si="343"/>
        <v>137.5</v>
      </c>
      <c r="G439" s="237">
        <f t="shared" si="343"/>
        <v>0</v>
      </c>
      <c r="H439" s="237">
        <f t="shared" si="343"/>
        <v>100</v>
      </c>
      <c r="I439" s="238">
        <f>SUM(F439:H439)</f>
        <v>237.5</v>
      </c>
      <c r="J439" s="237">
        <f t="shared" si="344"/>
        <v>100</v>
      </c>
      <c r="K439" s="237">
        <f t="shared" si="344"/>
        <v>100</v>
      </c>
      <c r="L439" s="237">
        <f t="shared" si="344"/>
        <v>0</v>
      </c>
      <c r="M439" s="238">
        <f>SUM(J439:L439)</f>
        <v>200</v>
      </c>
      <c r="N439" s="237">
        <f t="shared" si="345"/>
        <v>0</v>
      </c>
      <c r="O439" s="237">
        <f t="shared" si="345"/>
        <v>0</v>
      </c>
      <c r="P439" s="237">
        <f t="shared" si="345"/>
        <v>0</v>
      </c>
      <c r="Q439" s="238">
        <f>SUM(N439:P439)</f>
        <v>0</v>
      </c>
      <c r="R439" s="237">
        <f t="shared" si="346"/>
        <v>0</v>
      </c>
      <c r="S439" s="237">
        <f t="shared" si="346"/>
        <v>0</v>
      </c>
      <c r="T439" s="237">
        <f t="shared" si="346"/>
        <v>0</v>
      </c>
      <c r="U439" s="238">
        <f>SUM(R439:T439)</f>
        <v>0</v>
      </c>
      <c r="V439" s="237">
        <f t="shared" si="347"/>
        <v>0</v>
      </c>
      <c r="W439" s="237">
        <f t="shared" si="347"/>
        <v>0</v>
      </c>
      <c r="X439" s="237">
        <f t="shared" si="347"/>
        <v>0</v>
      </c>
      <c r="Y439" s="238">
        <f>SUM(V439:X439)</f>
        <v>0</v>
      </c>
    </row>
    <row r="440" spans="1:25" ht="12.75" hidden="1" customHeight="1" outlineLevel="1" x14ac:dyDescent="0.2">
      <c r="A440" s="198" t="str">
        <f>"         "&amp;Labels!C316</f>
        <v xml:space="preserve">         Total</v>
      </c>
      <c r="B440" s="237">
        <f t="shared" si="342"/>
        <v>0</v>
      </c>
      <c r="C440" s="237">
        <f t="shared" si="342"/>
        <v>0</v>
      </c>
      <c r="D440" s="237">
        <f t="shared" si="342"/>
        <v>275</v>
      </c>
      <c r="E440" s="238">
        <f>SUM(B440:D440)</f>
        <v>275</v>
      </c>
      <c r="F440" s="237">
        <f t="shared" si="343"/>
        <v>275</v>
      </c>
      <c r="G440" s="237">
        <f t="shared" si="343"/>
        <v>0</v>
      </c>
      <c r="H440" s="237">
        <f t="shared" si="343"/>
        <v>200</v>
      </c>
      <c r="I440" s="238">
        <f>SUM(F440:H440)</f>
        <v>475</v>
      </c>
      <c r="J440" s="237">
        <f t="shared" si="344"/>
        <v>200</v>
      </c>
      <c r="K440" s="237">
        <f t="shared" si="344"/>
        <v>200</v>
      </c>
      <c r="L440" s="237">
        <f t="shared" si="344"/>
        <v>0</v>
      </c>
      <c r="M440" s="238">
        <f>SUM(J440:L440)</f>
        <v>400</v>
      </c>
      <c r="N440" s="237">
        <f t="shared" si="345"/>
        <v>0</v>
      </c>
      <c r="O440" s="237">
        <f t="shared" si="345"/>
        <v>0</v>
      </c>
      <c r="P440" s="237">
        <f t="shared" si="345"/>
        <v>0</v>
      </c>
      <c r="Q440" s="238">
        <f>SUM(N440:P440)</f>
        <v>0</v>
      </c>
      <c r="R440" s="237">
        <f t="shared" si="346"/>
        <v>0</v>
      </c>
      <c r="S440" s="237">
        <f t="shared" si="346"/>
        <v>0</v>
      </c>
      <c r="T440" s="237">
        <f t="shared" si="346"/>
        <v>0</v>
      </c>
      <c r="U440" s="238">
        <f>SUM(R440:T440)</f>
        <v>0</v>
      </c>
      <c r="V440" s="237">
        <f t="shared" si="347"/>
        <v>0</v>
      </c>
      <c r="W440" s="237">
        <f t="shared" si="347"/>
        <v>0</v>
      </c>
      <c r="X440" s="237">
        <f t="shared" si="347"/>
        <v>0</v>
      </c>
      <c r="Y440" s="238">
        <f>SUM(V440:X440)</f>
        <v>0</v>
      </c>
    </row>
    <row r="441" spans="1:25" ht="12.75" hidden="1" customHeight="1" outlineLevel="1" x14ac:dyDescent="0.2">
      <c r="A441" s="188" t="str">
        <f>"      "&amp;Labels!C384</f>
        <v xml:space="preserve">      Total</v>
      </c>
      <c r="B441" s="166">
        <f t="shared" si="342"/>
        <v>0</v>
      </c>
      <c r="C441" s="166">
        <f t="shared" si="342"/>
        <v>0</v>
      </c>
      <c r="D441" s="166">
        <f t="shared" si="342"/>
        <v>550</v>
      </c>
      <c r="E441" s="225">
        <f>SUM(B432:D432)</f>
        <v>550</v>
      </c>
      <c r="F441" s="166">
        <f t="shared" si="343"/>
        <v>550</v>
      </c>
      <c r="G441" s="166">
        <f t="shared" si="343"/>
        <v>0</v>
      </c>
      <c r="H441" s="166">
        <f t="shared" si="343"/>
        <v>400</v>
      </c>
      <c r="I441" s="225">
        <f>SUM(F432:H432)</f>
        <v>950</v>
      </c>
      <c r="J441" s="166">
        <f t="shared" si="344"/>
        <v>400</v>
      </c>
      <c r="K441" s="166">
        <f t="shared" si="344"/>
        <v>400</v>
      </c>
      <c r="L441" s="166">
        <f t="shared" si="344"/>
        <v>0</v>
      </c>
      <c r="M441" s="225">
        <f>SUM(J432:L432)</f>
        <v>800</v>
      </c>
      <c r="N441" s="166">
        <f t="shared" si="345"/>
        <v>0</v>
      </c>
      <c r="O441" s="166">
        <f t="shared" si="345"/>
        <v>0</v>
      </c>
      <c r="P441" s="166">
        <f t="shared" si="345"/>
        <v>0</v>
      </c>
      <c r="Q441" s="225">
        <f>SUM(N432:P432)</f>
        <v>0</v>
      </c>
      <c r="R441" s="166">
        <f t="shared" si="346"/>
        <v>0</v>
      </c>
      <c r="S441" s="166">
        <f t="shared" si="346"/>
        <v>0</v>
      </c>
      <c r="T441" s="166">
        <f t="shared" si="346"/>
        <v>0</v>
      </c>
      <c r="U441" s="225">
        <f>SUM(R432:T432)</f>
        <v>0</v>
      </c>
      <c r="V441" s="166">
        <f t="shared" si="347"/>
        <v>0</v>
      </c>
      <c r="W441" s="166">
        <f t="shared" si="347"/>
        <v>0</v>
      </c>
      <c r="X441" s="166">
        <f t="shared" si="347"/>
        <v>0</v>
      </c>
      <c r="Y441" s="225">
        <f>SUM(V432:X432)</f>
        <v>0</v>
      </c>
    </row>
    <row r="442" spans="1:25" ht="12.75" hidden="1" customHeight="1" outlineLevel="1" x14ac:dyDescent="0.2">
      <c r="A442" s="198" t="str">
        <f>"         "&amp;Labels!B317</f>
        <v xml:space="preserve">         Channels 1</v>
      </c>
      <c r="B442" s="237">
        <f t="shared" si="342"/>
        <v>0</v>
      </c>
      <c r="C442" s="237">
        <f t="shared" si="342"/>
        <v>0</v>
      </c>
      <c r="D442" s="237">
        <f t="shared" si="342"/>
        <v>275</v>
      </c>
      <c r="E442" s="238">
        <f>SUM(B442:D442)</f>
        <v>275</v>
      </c>
      <c r="F442" s="237">
        <f t="shared" si="343"/>
        <v>275</v>
      </c>
      <c r="G442" s="237">
        <f t="shared" si="343"/>
        <v>0</v>
      </c>
      <c r="H442" s="237">
        <f t="shared" si="343"/>
        <v>200</v>
      </c>
      <c r="I442" s="238">
        <f>SUM(F442:H442)</f>
        <v>475</v>
      </c>
      <c r="J442" s="237">
        <f t="shared" si="344"/>
        <v>200</v>
      </c>
      <c r="K442" s="237">
        <f t="shared" si="344"/>
        <v>200</v>
      </c>
      <c r="L442" s="237">
        <f t="shared" si="344"/>
        <v>0</v>
      </c>
      <c r="M442" s="238">
        <f>SUM(J442:L442)</f>
        <v>400</v>
      </c>
      <c r="N442" s="237">
        <f t="shared" si="345"/>
        <v>0</v>
      </c>
      <c r="O442" s="237">
        <f t="shared" si="345"/>
        <v>0</v>
      </c>
      <c r="P442" s="237">
        <f t="shared" si="345"/>
        <v>0</v>
      </c>
      <c r="Q442" s="238">
        <f>SUM(N442:P442)</f>
        <v>0</v>
      </c>
      <c r="R442" s="237">
        <f t="shared" si="346"/>
        <v>0</v>
      </c>
      <c r="S442" s="237">
        <f t="shared" si="346"/>
        <v>0</v>
      </c>
      <c r="T442" s="237">
        <f t="shared" si="346"/>
        <v>0</v>
      </c>
      <c r="U442" s="238">
        <f>SUM(R442:T442)</f>
        <v>0</v>
      </c>
      <c r="V442" s="237">
        <f t="shared" si="347"/>
        <v>0</v>
      </c>
      <c r="W442" s="237">
        <f t="shared" si="347"/>
        <v>0</v>
      </c>
      <c r="X442" s="237">
        <f t="shared" si="347"/>
        <v>0</v>
      </c>
      <c r="Y442" s="238">
        <f>SUM(V442:X442)</f>
        <v>0</v>
      </c>
    </row>
    <row r="443" spans="1:25" ht="12.75" hidden="1" customHeight="1" outlineLevel="1" x14ac:dyDescent="0.2">
      <c r="A443" s="198" t="str">
        <f>"         "&amp;Labels!B318</f>
        <v xml:space="preserve">         Channels 2</v>
      </c>
      <c r="B443" s="237">
        <f t="shared" si="342"/>
        <v>0</v>
      </c>
      <c r="C443" s="237">
        <f t="shared" si="342"/>
        <v>0</v>
      </c>
      <c r="D443" s="237">
        <f t="shared" si="342"/>
        <v>275</v>
      </c>
      <c r="E443" s="238">
        <f>SUM(B443:D443)</f>
        <v>275</v>
      </c>
      <c r="F443" s="237">
        <f t="shared" si="343"/>
        <v>275</v>
      </c>
      <c r="G443" s="237">
        <f t="shared" si="343"/>
        <v>0</v>
      </c>
      <c r="H443" s="237">
        <f t="shared" si="343"/>
        <v>200</v>
      </c>
      <c r="I443" s="238">
        <f>SUM(F443:H443)</f>
        <v>475</v>
      </c>
      <c r="J443" s="237">
        <f t="shared" si="344"/>
        <v>200</v>
      </c>
      <c r="K443" s="237">
        <f t="shared" si="344"/>
        <v>200</v>
      </c>
      <c r="L443" s="237">
        <f t="shared" si="344"/>
        <v>0</v>
      </c>
      <c r="M443" s="238">
        <f>SUM(J443:L443)</f>
        <v>400</v>
      </c>
      <c r="N443" s="237">
        <f t="shared" si="345"/>
        <v>0</v>
      </c>
      <c r="O443" s="237">
        <f t="shared" si="345"/>
        <v>0</v>
      </c>
      <c r="P443" s="237">
        <f t="shared" si="345"/>
        <v>0</v>
      </c>
      <c r="Q443" s="238">
        <f>SUM(N443:P443)</f>
        <v>0</v>
      </c>
      <c r="R443" s="237">
        <f t="shared" si="346"/>
        <v>0</v>
      </c>
      <c r="S443" s="237">
        <f t="shared" si="346"/>
        <v>0</v>
      </c>
      <c r="T443" s="237">
        <f t="shared" si="346"/>
        <v>0</v>
      </c>
      <c r="U443" s="238">
        <f>SUM(R443:T443)</f>
        <v>0</v>
      </c>
      <c r="V443" s="237">
        <f t="shared" si="347"/>
        <v>0</v>
      </c>
      <c r="W443" s="237">
        <f t="shared" si="347"/>
        <v>0</v>
      </c>
      <c r="X443" s="237">
        <f t="shared" si="347"/>
        <v>0</v>
      </c>
      <c r="Y443" s="238">
        <f>SUM(V443:X443)</f>
        <v>0</v>
      </c>
    </row>
    <row r="444" spans="1:25" ht="12.75" hidden="1" customHeight="1" outlineLevel="1" x14ac:dyDescent="0.2">
      <c r="A444" s="198" t="str">
        <f>"         "&amp;Labels!C316</f>
        <v xml:space="preserve">         Total</v>
      </c>
      <c r="B444" s="237">
        <f>SUM(B415,B428)</f>
        <v>0</v>
      </c>
      <c r="C444" s="237">
        <f>SUM(C415,C428)</f>
        <v>0</v>
      </c>
      <c r="D444" s="237">
        <f>SUM(D415,D428)</f>
        <v>550</v>
      </c>
      <c r="E444" s="238">
        <f>SUM(B432:D432)</f>
        <v>550</v>
      </c>
      <c r="F444" s="237">
        <f>SUM(F415,F428)</f>
        <v>550</v>
      </c>
      <c r="G444" s="237">
        <f>SUM(G415,G428)</f>
        <v>0</v>
      </c>
      <c r="H444" s="237">
        <f>SUM(H415,H428)</f>
        <v>400</v>
      </c>
      <c r="I444" s="238">
        <f>SUM(F432:H432)</f>
        <v>950</v>
      </c>
      <c r="J444" s="237">
        <f>SUM(J415,J428)</f>
        <v>400</v>
      </c>
      <c r="K444" s="237">
        <f>SUM(K415,K428)</f>
        <v>400</v>
      </c>
      <c r="L444" s="237">
        <f>SUM(L415,L428)</f>
        <v>0</v>
      </c>
      <c r="M444" s="238">
        <f>SUM(J432:L432)</f>
        <v>800</v>
      </c>
      <c r="N444" s="237">
        <f>SUM(N415,N428)</f>
        <v>0</v>
      </c>
      <c r="O444" s="237">
        <f>SUM(O415,O428)</f>
        <v>0</v>
      </c>
      <c r="P444" s="237">
        <f>SUM(P415,P428)</f>
        <v>0</v>
      </c>
      <c r="Q444" s="238">
        <f>SUM(N432:P432)</f>
        <v>0</v>
      </c>
      <c r="R444" s="237">
        <f>SUM(R415,R428)</f>
        <v>0</v>
      </c>
      <c r="S444" s="237">
        <f>SUM(S415,S428)</f>
        <v>0</v>
      </c>
      <c r="T444" s="237">
        <f>SUM(T415,T428)</f>
        <v>0</v>
      </c>
      <c r="U444" s="238">
        <f>SUM(R432:T432)</f>
        <v>0</v>
      </c>
      <c r="V444" s="237">
        <f>SUM(V415,V428)</f>
        <v>0</v>
      </c>
      <c r="W444" s="237">
        <f>SUM(W415,W428)</f>
        <v>0</v>
      </c>
      <c r="X444" s="237">
        <f>SUM(X415,X428)</f>
        <v>0</v>
      </c>
      <c r="Y444" s="238">
        <f>SUM(V432:X432)</f>
        <v>0</v>
      </c>
    </row>
    <row r="445" spans="1:25" ht="12.75" hidden="1" customHeight="1" outlineLevel="1" x14ac:dyDescent="0.2">
      <c r="A445" s="97"/>
      <c r="B445" s="6"/>
      <c r="C445" s="6"/>
      <c r="D445" s="6"/>
      <c r="E445" s="97"/>
      <c r="F445" s="6"/>
      <c r="G445" s="6"/>
      <c r="H445" s="6"/>
      <c r="I445" s="97"/>
      <c r="J445" s="6"/>
      <c r="K445" s="6"/>
      <c r="L445" s="6"/>
      <c r="M445" s="97"/>
      <c r="N445" s="6"/>
      <c r="O445" s="6"/>
      <c r="P445" s="6"/>
      <c r="Q445" s="97"/>
      <c r="R445" s="6"/>
      <c r="S445" s="6"/>
      <c r="T445" s="6"/>
      <c r="U445" s="97"/>
      <c r="V445" s="6"/>
      <c r="W445" s="6"/>
      <c r="X445" s="6"/>
      <c r="Y445" s="97"/>
    </row>
    <row r="446" spans="1:25" ht="12.75" hidden="1" customHeight="1" outlineLevel="1" x14ac:dyDescent="0.2">
      <c r="A446" s="191" t="str">
        <f>Labels!B194</f>
        <v>Prof Staff Hours Unbilled</v>
      </c>
      <c r="B446" s="260"/>
      <c r="C446" s="260"/>
      <c r="D446" s="260"/>
      <c r="E446" s="261"/>
      <c r="F446" s="260"/>
      <c r="G446" s="260"/>
      <c r="H446" s="260"/>
      <c r="I446" s="261"/>
      <c r="J446" s="260"/>
      <c r="K446" s="260"/>
      <c r="L446" s="260"/>
      <c r="M446" s="261"/>
      <c r="N446" s="260"/>
      <c r="O446" s="260"/>
      <c r="P446" s="260"/>
      <c r="Q446" s="261"/>
      <c r="R446" s="260"/>
      <c r="S446" s="260"/>
      <c r="T446" s="260"/>
      <c r="U446" s="261"/>
      <c r="V446" s="260"/>
      <c r="W446" s="260"/>
      <c r="X446" s="260"/>
      <c r="Y446" s="261"/>
    </row>
    <row r="447" spans="1:25" ht="12.75" hidden="1" customHeight="1" outlineLevel="1" x14ac:dyDescent="0.2">
      <c r="A447" s="188" t="str">
        <f>"   "&amp;Labels!B381</f>
        <v xml:space="preserve">   Practice 1</v>
      </c>
      <c r="B447" s="256"/>
      <c r="C447" s="256"/>
      <c r="D447" s="256"/>
      <c r="E447" s="257"/>
      <c r="F447" s="256"/>
      <c r="G447" s="256"/>
      <c r="H447" s="256"/>
      <c r="I447" s="257"/>
      <c r="J447" s="256"/>
      <c r="K447" s="256"/>
      <c r="L447" s="256"/>
      <c r="M447" s="257"/>
      <c r="N447" s="256"/>
      <c r="O447" s="256"/>
      <c r="P447" s="256"/>
      <c r="Q447" s="257"/>
      <c r="R447" s="256"/>
      <c r="S447" s="256"/>
      <c r="T447" s="256"/>
      <c r="U447" s="257"/>
      <c r="V447" s="256"/>
      <c r="W447" s="256"/>
      <c r="X447" s="256"/>
      <c r="Y447" s="257"/>
    </row>
    <row r="448" spans="1:25" ht="12.75" hidden="1" customHeight="1" outlineLevel="1" x14ac:dyDescent="0.2">
      <c r="A448" s="198" t="str">
        <f>"      "&amp;Labels!B385</f>
        <v xml:space="preserve">      Prof Level 1</v>
      </c>
      <c r="B448" s="258">
        <f>MAX(0,B351-Practices!B397-B410)</f>
        <v>0</v>
      </c>
      <c r="C448" s="258">
        <f>MAX(0,C351-Practices!C397-C410)</f>
        <v>0</v>
      </c>
      <c r="D448" s="258">
        <f>MAX(0,D351-Practices!D397-D410)</f>
        <v>0</v>
      </c>
      <c r="E448" s="259">
        <f>SUM(B448:D448)</f>
        <v>0</v>
      </c>
      <c r="F448" s="258">
        <f>MAX(0,F351-Practices!F397-F410)</f>
        <v>0</v>
      </c>
      <c r="G448" s="258">
        <f>MAX(0,G351-Practices!G397-G410)</f>
        <v>0</v>
      </c>
      <c r="H448" s="258">
        <f>MAX(0,H351-Practices!H397-H410)</f>
        <v>0</v>
      </c>
      <c r="I448" s="259">
        <f>SUM(F448:H448)</f>
        <v>0</v>
      </c>
      <c r="J448" s="258">
        <f>MAX(0,J351-Practices!J397-J410)</f>
        <v>0</v>
      </c>
      <c r="K448" s="258">
        <f>MAX(0,K351-Practices!K397-K410)</f>
        <v>0</v>
      </c>
      <c r="L448" s="258">
        <f>MAX(0,L351-Practices!L397-L410)</f>
        <v>0</v>
      </c>
      <c r="M448" s="259">
        <f>SUM(J448:L448)</f>
        <v>0</v>
      </c>
      <c r="N448" s="258">
        <f>MAX(0,N351-Practices!N397-N410)</f>
        <v>0</v>
      </c>
      <c r="O448" s="258">
        <f>MAX(0,O351-Practices!O397-O410)</f>
        <v>0</v>
      </c>
      <c r="P448" s="258">
        <f>MAX(0,P351-Practices!P397-P410)</f>
        <v>0</v>
      </c>
      <c r="Q448" s="259">
        <f>SUM(N448:P448)</f>
        <v>0</v>
      </c>
      <c r="R448" s="258">
        <f>MAX(0,R351-Practices!R397-R410)</f>
        <v>0</v>
      </c>
      <c r="S448" s="258">
        <f>MAX(0,S351-Practices!S397-S410)</f>
        <v>0</v>
      </c>
      <c r="T448" s="258">
        <f>MAX(0,T351-Practices!T397-T410)</f>
        <v>0</v>
      </c>
      <c r="U448" s="259">
        <f>SUM(R448:T448)</f>
        <v>0</v>
      </c>
      <c r="V448" s="258">
        <f>MAX(0,V351-Practices!V397-V410)</f>
        <v>0</v>
      </c>
      <c r="W448" s="258">
        <f>MAX(0,W351-Practices!W397-W410)</f>
        <v>0</v>
      </c>
      <c r="X448" s="258">
        <f>MAX(0,X351-Practices!X397-X410)</f>
        <v>0</v>
      </c>
      <c r="Y448" s="259">
        <f>SUM(V448:X448)</f>
        <v>0</v>
      </c>
    </row>
    <row r="449" spans="1:25" ht="12.75" hidden="1" customHeight="1" outlineLevel="1" x14ac:dyDescent="0.2">
      <c r="A449" s="198" t="str">
        <f>"      "&amp;Labels!B386</f>
        <v xml:space="preserve">      Prof Level 2</v>
      </c>
      <c r="B449" s="258">
        <f>MAX(0,B352-Practices!B398-B414)</f>
        <v>0</v>
      </c>
      <c r="C449" s="258">
        <f>MAX(0,C352-Practices!C398-C414)</f>
        <v>0</v>
      </c>
      <c r="D449" s="258">
        <f>MAX(0,D352-Practices!D398-D414)</f>
        <v>0</v>
      </c>
      <c r="E449" s="259">
        <f>SUM(B449:D449)</f>
        <v>0</v>
      </c>
      <c r="F449" s="258">
        <f>MAX(0,F352-Practices!F398-F414)</f>
        <v>0</v>
      </c>
      <c r="G449" s="258">
        <f>MAX(0,G352-Practices!G398-G414)</f>
        <v>0</v>
      </c>
      <c r="H449" s="258">
        <f>MAX(0,H352-Practices!H398-H414)</f>
        <v>0</v>
      </c>
      <c r="I449" s="259">
        <f>SUM(F449:H449)</f>
        <v>0</v>
      </c>
      <c r="J449" s="258">
        <f>MAX(0,J352-Practices!J398-J414)</f>
        <v>0</v>
      </c>
      <c r="K449" s="258">
        <f>MAX(0,K352-Practices!K398-K414)</f>
        <v>0</v>
      </c>
      <c r="L449" s="258">
        <f>MAX(0,L352-Practices!L398-L414)</f>
        <v>0</v>
      </c>
      <c r="M449" s="259">
        <f>SUM(J449:L449)</f>
        <v>0</v>
      </c>
      <c r="N449" s="258">
        <f>MAX(0,N352-Practices!N398-N414)</f>
        <v>0</v>
      </c>
      <c r="O449" s="258">
        <f>MAX(0,O352-Practices!O398-O414)</f>
        <v>0</v>
      </c>
      <c r="P449" s="258">
        <f>MAX(0,P352-Practices!P398-P414)</f>
        <v>0</v>
      </c>
      <c r="Q449" s="259">
        <f>SUM(N449:P449)</f>
        <v>0</v>
      </c>
      <c r="R449" s="258">
        <f>MAX(0,R352-Practices!R398-R414)</f>
        <v>0</v>
      </c>
      <c r="S449" s="258">
        <f>MAX(0,S352-Practices!S398-S414)</f>
        <v>0</v>
      </c>
      <c r="T449" s="258">
        <f>MAX(0,T352-Practices!T398-T414)</f>
        <v>0</v>
      </c>
      <c r="U449" s="259">
        <f>SUM(R449:T449)</f>
        <v>0</v>
      </c>
      <c r="V449" s="258">
        <f>MAX(0,V352-Practices!V398-V414)</f>
        <v>0</v>
      </c>
      <c r="W449" s="258">
        <f>MAX(0,W352-Practices!W398-W414)</f>
        <v>0</v>
      </c>
      <c r="X449" s="258">
        <f>MAX(0,X352-Practices!X398-X414)</f>
        <v>0</v>
      </c>
      <c r="Y449" s="259">
        <f>SUM(V449:X449)</f>
        <v>0</v>
      </c>
    </row>
    <row r="450" spans="1:25" ht="12.75" hidden="1" customHeight="1" outlineLevel="1" x14ac:dyDescent="0.2">
      <c r="A450" s="188" t="str">
        <f>"      "&amp;Labels!C384</f>
        <v xml:space="preserve">      Total</v>
      </c>
      <c r="B450" s="256">
        <f>SUM(B448:B449)</f>
        <v>0</v>
      </c>
      <c r="C450" s="256">
        <f>SUM(C448:C449)</f>
        <v>0</v>
      </c>
      <c r="D450" s="256">
        <f>SUM(D448:D449)</f>
        <v>0</v>
      </c>
      <c r="E450" s="257">
        <f>SUM(B450:D450)</f>
        <v>0</v>
      </c>
      <c r="F450" s="256">
        <f>SUM(F448:F449)</f>
        <v>0</v>
      </c>
      <c r="G450" s="256">
        <f>SUM(G448:G449)</f>
        <v>0</v>
      </c>
      <c r="H450" s="256">
        <f>SUM(H448:H449)</f>
        <v>0</v>
      </c>
      <c r="I450" s="257">
        <f>SUM(F450:H450)</f>
        <v>0</v>
      </c>
      <c r="J450" s="256">
        <f>SUM(J448:J449)</f>
        <v>0</v>
      </c>
      <c r="K450" s="256">
        <f>SUM(K448:K449)</f>
        <v>0</v>
      </c>
      <c r="L450" s="256">
        <f>SUM(L448:L449)</f>
        <v>0</v>
      </c>
      <c r="M450" s="257">
        <f>SUM(J450:L450)</f>
        <v>0</v>
      </c>
      <c r="N450" s="256">
        <f>SUM(N448:N449)</f>
        <v>0</v>
      </c>
      <c r="O450" s="256">
        <f>SUM(O448:O449)</f>
        <v>0</v>
      </c>
      <c r="P450" s="256">
        <f>SUM(P448:P449)</f>
        <v>0</v>
      </c>
      <c r="Q450" s="257">
        <f>SUM(N450:P450)</f>
        <v>0</v>
      </c>
      <c r="R450" s="256">
        <f>SUM(R448:R449)</f>
        <v>0</v>
      </c>
      <c r="S450" s="256">
        <f>SUM(S448:S449)</f>
        <v>0</v>
      </c>
      <c r="T450" s="256">
        <f>SUM(T448:T449)</f>
        <v>0</v>
      </c>
      <c r="U450" s="257">
        <f>SUM(R450:T450)</f>
        <v>0</v>
      </c>
      <c r="V450" s="256">
        <f>SUM(V448:V449)</f>
        <v>0</v>
      </c>
      <c r="W450" s="256">
        <f>SUM(W448:W449)</f>
        <v>0</v>
      </c>
      <c r="X450" s="256">
        <f>SUM(X448:X449)</f>
        <v>0</v>
      </c>
      <c r="Y450" s="257">
        <f>SUM(V450:X450)</f>
        <v>0</v>
      </c>
    </row>
    <row r="451" spans="1:25" ht="12.75" hidden="1" customHeight="1" outlineLevel="1" x14ac:dyDescent="0.2">
      <c r="A451" s="188" t="str">
        <f>"   "&amp;Labels!B382</f>
        <v xml:space="preserve">   Practice 2</v>
      </c>
      <c r="B451" s="256"/>
      <c r="C451" s="256"/>
      <c r="D451" s="256"/>
      <c r="E451" s="257"/>
      <c r="F451" s="256"/>
      <c r="G451" s="256"/>
      <c r="H451" s="256"/>
      <c r="I451" s="257"/>
      <c r="J451" s="256"/>
      <c r="K451" s="256"/>
      <c r="L451" s="256"/>
      <c r="M451" s="257"/>
      <c r="N451" s="256"/>
      <c r="O451" s="256"/>
      <c r="P451" s="256"/>
      <c r="Q451" s="257"/>
      <c r="R451" s="256"/>
      <c r="S451" s="256"/>
      <c r="T451" s="256"/>
      <c r="U451" s="257"/>
      <c r="V451" s="256"/>
      <c r="W451" s="256"/>
      <c r="X451" s="256"/>
      <c r="Y451" s="257"/>
    </row>
    <row r="452" spans="1:25" ht="12.75" hidden="1" customHeight="1" outlineLevel="1" x14ac:dyDescent="0.2">
      <c r="A452" s="198" t="str">
        <f>"      "&amp;Labels!B385</f>
        <v xml:space="preserve">      Prof Level 1</v>
      </c>
      <c r="B452" s="258">
        <f>MAX(0,B355-Practices!B401-B423)</f>
        <v>0</v>
      </c>
      <c r="C452" s="258">
        <f>MAX(0,C355-Practices!C401-C423)</f>
        <v>0</v>
      </c>
      <c r="D452" s="258">
        <f>MAX(0,D355-Practices!D401-D423)</f>
        <v>0</v>
      </c>
      <c r="E452" s="259">
        <f t="shared" ref="E452:E457" si="348">SUM(B452:D452)</f>
        <v>0</v>
      </c>
      <c r="F452" s="258">
        <f>MAX(0,F355-Practices!F401-F423)</f>
        <v>0</v>
      </c>
      <c r="G452" s="258">
        <f>MAX(0,G355-Practices!G401-G423)</f>
        <v>0</v>
      </c>
      <c r="H452" s="258">
        <f>MAX(0,H355-Practices!H401-H423)</f>
        <v>0</v>
      </c>
      <c r="I452" s="259">
        <f t="shared" ref="I452:I457" si="349">SUM(F452:H452)</f>
        <v>0</v>
      </c>
      <c r="J452" s="258">
        <f>MAX(0,J355-Practices!J401-J423)</f>
        <v>0</v>
      </c>
      <c r="K452" s="258">
        <f>MAX(0,K355-Practices!K401-K423)</f>
        <v>0</v>
      </c>
      <c r="L452" s="258">
        <f>MAX(0,L355-Practices!L401-L423)</f>
        <v>0</v>
      </c>
      <c r="M452" s="259">
        <f t="shared" ref="M452:M457" si="350">SUM(J452:L452)</f>
        <v>0</v>
      </c>
      <c r="N452" s="258">
        <f>MAX(0,N355-Practices!N401-N423)</f>
        <v>0</v>
      </c>
      <c r="O452" s="258">
        <f>MAX(0,O355-Practices!O401-O423)</f>
        <v>0</v>
      </c>
      <c r="P452" s="258">
        <f>MAX(0,P355-Practices!P401-P423)</f>
        <v>0</v>
      </c>
      <c r="Q452" s="259">
        <f t="shared" ref="Q452:Q457" si="351">SUM(N452:P452)</f>
        <v>0</v>
      </c>
      <c r="R452" s="258">
        <f>MAX(0,R355-Practices!R401-R423)</f>
        <v>0</v>
      </c>
      <c r="S452" s="258">
        <f>MAX(0,S355-Practices!S401-S423)</f>
        <v>0</v>
      </c>
      <c r="T452" s="258">
        <f>MAX(0,T355-Practices!T401-T423)</f>
        <v>0</v>
      </c>
      <c r="U452" s="259">
        <f t="shared" ref="U452:U457" si="352">SUM(R452:T452)</f>
        <v>0</v>
      </c>
      <c r="V452" s="258">
        <f>MAX(0,V355-Practices!V401-V423)</f>
        <v>0</v>
      </c>
      <c r="W452" s="258">
        <f>MAX(0,W355-Practices!W401-W423)</f>
        <v>0</v>
      </c>
      <c r="X452" s="258">
        <f>MAX(0,X355-Practices!X401-X423)</f>
        <v>0</v>
      </c>
      <c r="Y452" s="259">
        <f t="shared" ref="Y452:Y457" si="353">SUM(V452:X452)</f>
        <v>0</v>
      </c>
    </row>
    <row r="453" spans="1:25" ht="12.75" hidden="1" customHeight="1" outlineLevel="1" x14ac:dyDescent="0.2">
      <c r="A453" s="198" t="str">
        <f>"      "&amp;Labels!B386</f>
        <v xml:space="preserve">      Prof Level 2</v>
      </c>
      <c r="B453" s="258">
        <f>MAX(0,B356-Practices!B402-B427)</f>
        <v>0</v>
      </c>
      <c r="C453" s="258">
        <f>MAX(0,C356-Practices!C402-C427)</f>
        <v>0</v>
      </c>
      <c r="D453" s="258">
        <f>MAX(0,D356-Practices!D402-D427)</f>
        <v>0</v>
      </c>
      <c r="E453" s="259">
        <f t="shared" si="348"/>
        <v>0</v>
      </c>
      <c r="F453" s="258">
        <f>MAX(0,F356-Practices!F402-F427)</f>
        <v>0</v>
      </c>
      <c r="G453" s="258">
        <f>MAX(0,G356-Practices!G402-G427)</f>
        <v>0</v>
      </c>
      <c r="H453" s="258">
        <f>MAX(0,H356-Practices!H402-H427)</f>
        <v>0</v>
      </c>
      <c r="I453" s="259">
        <f t="shared" si="349"/>
        <v>0</v>
      </c>
      <c r="J453" s="258">
        <f>MAX(0,J356-Practices!J402-J427)</f>
        <v>0</v>
      </c>
      <c r="K453" s="258">
        <f>MAX(0,K356-Practices!K402-K427)</f>
        <v>0</v>
      </c>
      <c r="L453" s="258">
        <f>MAX(0,L356-Practices!L402-L427)</f>
        <v>0</v>
      </c>
      <c r="M453" s="259">
        <f t="shared" si="350"/>
        <v>0</v>
      </c>
      <c r="N453" s="258">
        <f>MAX(0,N356-Practices!N402-N427)</f>
        <v>0</v>
      </c>
      <c r="O453" s="258">
        <f>MAX(0,O356-Practices!O402-O427)</f>
        <v>0</v>
      </c>
      <c r="P453" s="258">
        <f>MAX(0,P356-Practices!P402-P427)</f>
        <v>0</v>
      </c>
      <c r="Q453" s="259">
        <f t="shared" si="351"/>
        <v>0</v>
      </c>
      <c r="R453" s="258">
        <f>MAX(0,R356-Practices!R402-R427)</f>
        <v>0</v>
      </c>
      <c r="S453" s="258">
        <f>MAX(0,S356-Practices!S402-S427)</f>
        <v>0</v>
      </c>
      <c r="T453" s="258">
        <f>MAX(0,T356-Practices!T402-T427)</f>
        <v>0</v>
      </c>
      <c r="U453" s="259">
        <f t="shared" si="352"/>
        <v>0</v>
      </c>
      <c r="V453" s="258">
        <f>MAX(0,V356-Practices!V402-V427)</f>
        <v>0</v>
      </c>
      <c r="W453" s="258">
        <f>MAX(0,W356-Practices!W402-W427)</f>
        <v>0</v>
      </c>
      <c r="X453" s="258">
        <f>MAX(0,X356-Practices!X402-X427)</f>
        <v>0</v>
      </c>
      <c r="Y453" s="259">
        <f t="shared" si="353"/>
        <v>0</v>
      </c>
    </row>
    <row r="454" spans="1:25" ht="12.75" hidden="1" customHeight="1" outlineLevel="1" x14ac:dyDescent="0.2">
      <c r="A454" s="188" t="str">
        <f>"      "&amp;Labels!C384</f>
        <v xml:space="preserve">      Total</v>
      </c>
      <c r="B454" s="256">
        <f>SUM(B452:B453)</f>
        <v>0</v>
      </c>
      <c r="C454" s="256">
        <f>SUM(C452:C453)</f>
        <v>0</v>
      </c>
      <c r="D454" s="256">
        <f>SUM(D452:D453)</f>
        <v>0</v>
      </c>
      <c r="E454" s="257">
        <f t="shared" si="348"/>
        <v>0</v>
      </c>
      <c r="F454" s="256">
        <f>SUM(F452:F453)</f>
        <v>0</v>
      </c>
      <c r="G454" s="256">
        <f>SUM(G452:G453)</f>
        <v>0</v>
      </c>
      <c r="H454" s="256">
        <f>SUM(H452:H453)</f>
        <v>0</v>
      </c>
      <c r="I454" s="257">
        <f t="shared" si="349"/>
        <v>0</v>
      </c>
      <c r="J454" s="256">
        <f>SUM(J452:J453)</f>
        <v>0</v>
      </c>
      <c r="K454" s="256">
        <f>SUM(K452:K453)</f>
        <v>0</v>
      </c>
      <c r="L454" s="256">
        <f>SUM(L452:L453)</f>
        <v>0</v>
      </c>
      <c r="M454" s="257">
        <f t="shared" si="350"/>
        <v>0</v>
      </c>
      <c r="N454" s="256">
        <f>SUM(N452:N453)</f>
        <v>0</v>
      </c>
      <c r="O454" s="256">
        <f>SUM(O452:O453)</f>
        <v>0</v>
      </c>
      <c r="P454" s="256">
        <f>SUM(P452:P453)</f>
        <v>0</v>
      </c>
      <c r="Q454" s="257">
        <f t="shared" si="351"/>
        <v>0</v>
      </c>
      <c r="R454" s="256">
        <f>SUM(R452:R453)</f>
        <v>0</v>
      </c>
      <c r="S454" s="256">
        <f>SUM(S452:S453)</f>
        <v>0</v>
      </c>
      <c r="T454" s="256">
        <f>SUM(T452:T453)</f>
        <v>0</v>
      </c>
      <c r="U454" s="257">
        <f t="shared" si="352"/>
        <v>0</v>
      </c>
      <c r="V454" s="256">
        <f>SUM(V452:V453)</f>
        <v>0</v>
      </c>
      <c r="W454" s="256">
        <f>SUM(W452:W453)</f>
        <v>0</v>
      </c>
      <c r="X454" s="256">
        <f>SUM(X452:X453)</f>
        <v>0</v>
      </c>
      <c r="Y454" s="257">
        <f t="shared" si="353"/>
        <v>0</v>
      </c>
    </row>
    <row r="455" spans="1:25" ht="12.75" hidden="1" customHeight="1" outlineLevel="1" x14ac:dyDescent="0.2">
      <c r="A455" s="191" t="str">
        <f>"   "&amp;Labels!C380</f>
        <v xml:space="preserve">   Total</v>
      </c>
      <c r="B455" s="260">
        <f>SUM(B450,B454)</f>
        <v>0</v>
      </c>
      <c r="C455" s="260">
        <f>SUM(C450,C454)</f>
        <v>0</v>
      </c>
      <c r="D455" s="260">
        <f>SUM(D450,D454)</f>
        <v>0</v>
      </c>
      <c r="E455" s="261">
        <f t="shared" si="348"/>
        <v>0</v>
      </c>
      <c r="F455" s="260">
        <f>SUM(F450,F454)</f>
        <v>0</v>
      </c>
      <c r="G455" s="260">
        <f>SUM(G450,G454)</f>
        <v>0</v>
      </c>
      <c r="H455" s="260">
        <f>SUM(H450,H454)</f>
        <v>0</v>
      </c>
      <c r="I455" s="261">
        <f t="shared" si="349"/>
        <v>0</v>
      </c>
      <c r="J455" s="260">
        <f>SUM(J450,J454)</f>
        <v>0</v>
      </c>
      <c r="K455" s="260">
        <f>SUM(K450,K454)</f>
        <v>0</v>
      </c>
      <c r="L455" s="260">
        <f>SUM(L450,L454)</f>
        <v>0</v>
      </c>
      <c r="M455" s="261">
        <f t="shared" si="350"/>
        <v>0</v>
      </c>
      <c r="N455" s="260">
        <f>SUM(N450,N454)</f>
        <v>0</v>
      </c>
      <c r="O455" s="260">
        <f>SUM(O450,O454)</f>
        <v>0</v>
      </c>
      <c r="P455" s="260">
        <f>SUM(P450,P454)</f>
        <v>0</v>
      </c>
      <c r="Q455" s="261">
        <f t="shared" si="351"/>
        <v>0</v>
      </c>
      <c r="R455" s="260">
        <f>SUM(R450,R454)</f>
        <v>0</v>
      </c>
      <c r="S455" s="260">
        <f>SUM(S450,S454)</f>
        <v>0</v>
      </c>
      <c r="T455" s="260">
        <f>SUM(T450,T454)</f>
        <v>0</v>
      </c>
      <c r="U455" s="261">
        <f t="shared" si="352"/>
        <v>0</v>
      </c>
      <c r="V455" s="260">
        <f>SUM(V450,V454)</f>
        <v>0</v>
      </c>
      <c r="W455" s="260">
        <f>SUM(W450,W454)</f>
        <v>0</v>
      </c>
      <c r="X455" s="260">
        <f>SUM(X450,X454)</f>
        <v>0</v>
      </c>
      <c r="Y455" s="261">
        <f t="shared" si="353"/>
        <v>0</v>
      </c>
    </row>
    <row r="456" spans="1:25" ht="12.75" hidden="1" customHeight="1" outlineLevel="1" x14ac:dyDescent="0.2">
      <c r="A456" s="198" t="str">
        <f>"      "&amp;Labels!B385</f>
        <v xml:space="preserve">      Prof Level 1</v>
      </c>
      <c r="B456" s="258">
        <f t="shared" ref="B456:D458" si="354">SUM(B448,B452)</f>
        <v>0</v>
      </c>
      <c r="C456" s="258">
        <f t="shared" si="354"/>
        <v>0</v>
      </c>
      <c r="D456" s="258">
        <f t="shared" si="354"/>
        <v>0</v>
      </c>
      <c r="E456" s="259">
        <f t="shared" si="348"/>
        <v>0</v>
      </c>
      <c r="F456" s="258">
        <f t="shared" ref="F456:H458" si="355">SUM(F448,F452)</f>
        <v>0</v>
      </c>
      <c r="G456" s="258">
        <f t="shared" si="355"/>
        <v>0</v>
      </c>
      <c r="H456" s="258">
        <f t="shared" si="355"/>
        <v>0</v>
      </c>
      <c r="I456" s="259">
        <f t="shared" si="349"/>
        <v>0</v>
      </c>
      <c r="J456" s="258">
        <f t="shared" ref="J456:L458" si="356">SUM(J448,J452)</f>
        <v>0</v>
      </c>
      <c r="K456" s="258">
        <f t="shared" si="356"/>
        <v>0</v>
      </c>
      <c r="L456" s="258">
        <f t="shared" si="356"/>
        <v>0</v>
      </c>
      <c r="M456" s="259">
        <f t="shared" si="350"/>
        <v>0</v>
      </c>
      <c r="N456" s="258">
        <f t="shared" ref="N456:P458" si="357">SUM(N448,N452)</f>
        <v>0</v>
      </c>
      <c r="O456" s="258">
        <f t="shared" si="357"/>
        <v>0</v>
      </c>
      <c r="P456" s="258">
        <f t="shared" si="357"/>
        <v>0</v>
      </c>
      <c r="Q456" s="259">
        <f t="shared" si="351"/>
        <v>0</v>
      </c>
      <c r="R456" s="258">
        <f t="shared" ref="R456:T458" si="358">SUM(R448,R452)</f>
        <v>0</v>
      </c>
      <c r="S456" s="258">
        <f t="shared" si="358"/>
        <v>0</v>
      </c>
      <c r="T456" s="258">
        <f t="shared" si="358"/>
        <v>0</v>
      </c>
      <c r="U456" s="259">
        <f t="shared" si="352"/>
        <v>0</v>
      </c>
      <c r="V456" s="258">
        <f t="shared" ref="V456:X458" si="359">SUM(V448,V452)</f>
        <v>0</v>
      </c>
      <c r="W456" s="258">
        <f t="shared" si="359"/>
        <v>0</v>
      </c>
      <c r="X456" s="258">
        <f t="shared" si="359"/>
        <v>0</v>
      </c>
      <c r="Y456" s="259">
        <f t="shared" si="353"/>
        <v>0</v>
      </c>
    </row>
    <row r="457" spans="1:25" ht="12.75" hidden="1" customHeight="1" outlineLevel="1" x14ac:dyDescent="0.2">
      <c r="A457" s="198" t="str">
        <f>"      "&amp;Labels!B386</f>
        <v xml:space="preserve">      Prof Level 2</v>
      </c>
      <c r="B457" s="258">
        <f t="shared" si="354"/>
        <v>0</v>
      </c>
      <c r="C457" s="258">
        <f t="shared" si="354"/>
        <v>0</v>
      </c>
      <c r="D457" s="258">
        <f t="shared" si="354"/>
        <v>0</v>
      </c>
      <c r="E457" s="259">
        <f t="shared" si="348"/>
        <v>0</v>
      </c>
      <c r="F457" s="258">
        <f t="shared" si="355"/>
        <v>0</v>
      </c>
      <c r="G457" s="258">
        <f t="shared" si="355"/>
        <v>0</v>
      </c>
      <c r="H457" s="258">
        <f t="shared" si="355"/>
        <v>0</v>
      </c>
      <c r="I457" s="259">
        <f t="shared" si="349"/>
        <v>0</v>
      </c>
      <c r="J457" s="258">
        <f t="shared" si="356"/>
        <v>0</v>
      </c>
      <c r="K457" s="258">
        <f t="shared" si="356"/>
        <v>0</v>
      </c>
      <c r="L457" s="258">
        <f t="shared" si="356"/>
        <v>0</v>
      </c>
      <c r="M457" s="259">
        <f t="shared" si="350"/>
        <v>0</v>
      </c>
      <c r="N457" s="258">
        <f t="shared" si="357"/>
        <v>0</v>
      </c>
      <c r="O457" s="258">
        <f t="shared" si="357"/>
        <v>0</v>
      </c>
      <c r="P457" s="258">
        <f t="shared" si="357"/>
        <v>0</v>
      </c>
      <c r="Q457" s="259">
        <f t="shared" si="351"/>
        <v>0</v>
      </c>
      <c r="R457" s="258">
        <f t="shared" si="358"/>
        <v>0</v>
      </c>
      <c r="S457" s="258">
        <f t="shared" si="358"/>
        <v>0</v>
      </c>
      <c r="T457" s="258">
        <f t="shared" si="358"/>
        <v>0</v>
      </c>
      <c r="U457" s="259">
        <f t="shared" si="352"/>
        <v>0</v>
      </c>
      <c r="V457" s="258">
        <f t="shared" si="359"/>
        <v>0</v>
      </c>
      <c r="W457" s="258">
        <f t="shared" si="359"/>
        <v>0</v>
      </c>
      <c r="X457" s="258">
        <f t="shared" si="359"/>
        <v>0</v>
      </c>
      <c r="Y457" s="259">
        <f t="shared" si="353"/>
        <v>0</v>
      </c>
    </row>
    <row r="458" spans="1:25" ht="12.75" hidden="1" customHeight="1" outlineLevel="1" x14ac:dyDescent="0.2">
      <c r="A458" s="188" t="str">
        <f>"      "&amp;Labels!C384</f>
        <v xml:space="preserve">      Total</v>
      </c>
      <c r="B458" s="256">
        <f t="shared" si="354"/>
        <v>0</v>
      </c>
      <c r="C458" s="256">
        <f t="shared" si="354"/>
        <v>0</v>
      </c>
      <c r="D458" s="256">
        <f t="shared" si="354"/>
        <v>0</v>
      </c>
      <c r="E458" s="257">
        <f>SUM(B455:D455)</f>
        <v>0</v>
      </c>
      <c r="F458" s="256">
        <f t="shared" si="355"/>
        <v>0</v>
      </c>
      <c r="G458" s="256">
        <f t="shared" si="355"/>
        <v>0</v>
      </c>
      <c r="H458" s="256">
        <f t="shared" si="355"/>
        <v>0</v>
      </c>
      <c r="I458" s="257">
        <f>SUM(F455:H455)</f>
        <v>0</v>
      </c>
      <c r="J458" s="256">
        <f t="shared" si="356"/>
        <v>0</v>
      </c>
      <c r="K458" s="256">
        <f t="shared" si="356"/>
        <v>0</v>
      </c>
      <c r="L458" s="256">
        <f t="shared" si="356"/>
        <v>0</v>
      </c>
      <c r="M458" s="257">
        <f>SUM(J455:L455)</f>
        <v>0</v>
      </c>
      <c r="N458" s="256">
        <f t="shared" si="357"/>
        <v>0</v>
      </c>
      <c r="O458" s="256">
        <f t="shared" si="357"/>
        <v>0</v>
      </c>
      <c r="P458" s="256">
        <f t="shared" si="357"/>
        <v>0</v>
      </c>
      <c r="Q458" s="257">
        <f>SUM(N455:P455)</f>
        <v>0</v>
      </c>
      <c r="R458" s="256">
        <f t="shared" si="358"/>
        <v>0</v>
      </c>
      <c r="S458" s="256">
        <f t="shared" si="358"/>
        <v>0</v>
      </c>
      <c r="T458" s="256">
        <f t="shared" si="358"/>
        <v>0</v>
      </c>
      <c r="U458" s="257">
        <f>SUM(R455:T455)</f>
        <v>0</v>
      </c>
      <c r="V458" s="256">
        <f t="shared" si="359"/>
        <v>0</v>
      </c>
      <c r="W458" s="256">
        <f t="shared" si="359"/>
        <v>0</v>
      </c>
      <c r="X458" s="256">
        <f t="shared" si="359"/>
        <v>0</v>
      </c>
      <c r="Y458" s="257">
        <f>SUM(V455:X455)</f>
        <v>0</v>
      </c>
    </row>
    <row r="459" spans="1:25" ht="12.75" hidden="1" customHeight="1" outlineLevel="1" x14ac:dyDescent="0.2">
      <c r="A459" s="97"/>
      <c r="B459" s="6"/>
      <c r="C459" s="6"/>
      <c r="D459" s="6"/>
      <c r="E459" s="97"/>
      <c r="F459" s="6"/>
      <c r="G459" s="6"/>
      <c r="H459" s="6"/>
      <c r="I459" s="97"/>
      <c r="J459" s="6"/>
      <c r="K459" s="6"/>
      <c r="L459" s="6"/>
      <c r="M459" s="97"/>
      <c r="N459" s="6"/>
      <c r="O459" s="6"/>
      <c r="P459" s="6"/>
      <c r="Q459" s="97"/>
      <c r="R459" s="6"/>
      <c r="S459" s="6"/>
      <c r="T459" s="6"/>
      <c r="U459" s="97"/>
      <c r="V459" s="6"/>
      <c r="W459" s="6"/>
      <c r="X459" s="6"/>
      <c r="Y459" s="97"/>
    </row>
    <row r="460" spans="1:25" ht="12.75" hidden="1" customHeight="1" outlineLevel="1" x14ac:dyDescent="0.2">
      <c r="A460" s="191" t="str">
        <f>Labels!B172</f>
        <v>Professional Staf Cost/Hr</v>
      </c>
      <c r="B460" s="306"/>
      <c r="C460" s="306"/>
      <c r="D460" s="306"/>
      <c r="E460" s="307"/>
      <c r="F460" s="306"/>
      <c r="G460" s="306"/>
      <c r="H460" s="306"/>
      <c r="I460" s="307"/>
      <c r="J460" s="306"/>
      <c r="K460" s="306"/>
      <c r="L460" s="306"/>
      <c r="M460" s="307"/>
      <c r="N460" s="306"/>
      <c r="O460" s="306"/>
      <c r="P460" s="306"/>
      <c r="Q460" s="307"/>
      <c r="R460" s="306"/>
      <c r="S460" s="306"/>
      <c r="T460" s="306"/>
      <c r="U460" s="307"/>
      <c r="V460" s="306"/>
      <c r="W460" s="306"/>
      <c r="X460" s="306"/>
      <c r="Y460" s="307"/>
    </row>
    <row r="461" spans="1:25" ht="12.75" hidden="1" customHeight="1" outlineLevel="1" x14ac:dyDescent="0.2">
      <c r="A461" s="188" t="str">
        <f>"   "&amp;Labels!B381</f>
        <v xml:space="preserve">   Practice 1</v>
      </c>
      <c r="B461" s="308"/>
      <c r="C461" s="308"/>
      <c r="D461" s="308"/>
      <c r="E461" s="309"/>
      <c r="F461" s="308"/>
      <c r="G461" s="308"/>
      <c r="H461" s="308"/>
      <c r="I461" s="309"/>
      <c r="J461" s="308"/>
      <c r="K461" s="308"/>
      <c r="L461" s="308"/>
      <c r="M461" s="309"/>
      <c r="N461" s="308"/>
      <c r="O461" s="308"/>
      <c r="P461" s="308"/>
      <c r="Q461" s="309"/>
      <c r="R461" s="308"/>
      <c r="S461" s="308"/>
      <c r="T461" s="308"/>
      <c r="U461" s="309"/>
      <c r="V461" s="308"/>
      <c r="W461" s="308"/>
      <c r="X461" s="308"/>
      <c r="Y461" s="309"/>
    </row>
    <row r="462" spans="1:25" ht="12.75" hidden="1" customHeight="1" outlineLevel="1" x14ac:dyDescent="0.2">
      <c r="A462" s="198" t="str">
        <f>"      "&amp;Labels!B385</f>
        <v xml:space="preserve">      Prof Level 1</v>
      </c>
      <c r="B462" s="310">
        <f t="shared" ref="B462:D464" si="360">IF(B507=0,0,B521/B507)</f>
        <v>0</v>
      </c>
      <c r="C462" s="310">
        <f t="shared" si="360"/>
        <v>0</v>
      </c>
      <c r="D462" s="310">
        <f t="shared" si="360"/>
        <v>0</v>
      </c>
      <c r="E462" s="311">
        <f>AVERAGE(B462:D462)</f>
        <v>0</v>
      </c>
      <c r="F462" s="310">
        <f t="shared" ref="F462:H464" si="361">IF(F507=0,0,F521/F507)</f>
        <v>0</v>
      </c>
      <c r="G462" s="310">
        <f t="shared" si="361"/>
        <v>0</v>
      </c>
      <c r="H462" s="310">
        <f t="shared" si="361"/>
        <v>0</v>
      </c>
      <c r="I462" s="311">
        <f>AVERAGE(F462:H462)</f>
        <v>0</v>
      </c>
      <c r="J462" s="310">
        <f t="shared" ref="J462:L464" si="362">IF(J507=0,0,J521/J507)</f>
        <v>70.65223242765002</v>
      </c>
      <c r="K462" s="310">
        <f t="shared" si="362"/>
        <v>70.826479892832097</v>
      </c>
      <c r="L462" s="310">
        <f t="shared" si="362"/>
        <v>0</v>
      </c>
      <c r="M462" s="311">
        <f>AVERAGE(J462:L462)</f>
        <v>47.159570773494039</v>
      </c>
      <c r="N462" s="310">
        <f t="shared" ref="N462:P464" si="363">IF(N507=0,0,N521/N507)</f>
        <v>0</v>
      </c>
      <c r="O462" s="310">
        <f t="shared" si="363"/>
        <v>0</v>
      </c>
      <c r="P462" s="310">
        <f t="shared" si="363"/>
        <v>0</v>
      </c>
      <c r="Q462" s="311">
        <f>AVERAGE(N462:P462)</f>
        <v>0</v>
      </c>
      <c r="R462" s="310">
        <f t="shared" ref="R462:T464" si="364">IF(R507=0,0,R521/R507)</f>
        <v>0</v>
      </c>
      <c r="S462" s="310">
        <f t="shared" si="364"/>
        <v>0</v>
      </c>
      <c r="T462" s="310">
        <f t="shared" si="364"/>
        <v>0</v>
      </c>
      <c r="U462" s="311">
        <f>AVERAGE(R462:T462)</f>
        <v>0</v>
      </c>
      <c r="V462" s="310">
        <f t="shared" ref="V462:X464" si="365">IF(V507=0,0,V521/V507)</f>
        <v>0</v>
      </c>
      <c r="W462" s="310">
        <f t="shared" si="365"/>
        <v>0</v>
      </c>
      <c r="X462" s="310">
        <f t="shared" si="365"/>
        <v>0</v>
      </c>
      <c r="Y462" s="311">
        <f>AVERAGE(V462:X462)</f>
        <v>0</v>
      </c>
    </row>
    <row r="463" spans="1:25" ht="12.75" hidden="1" customHeight="1" outlineLevel="1" x14ac:dyDescent="0.2">
      <c r="A463" s="198" t="str">
        <f>"      "&amp;Labels!B386</f>
        <v xml:space="preserve">      Prof Level 2</v>
      </c>
      <c r="B463" s="310">
        <f t="shared" si="360"/>
        <v>0</v>
      </c>
      <c r="C463" s="310">
        <f t="shared" si="360"/>
        <v>0</v>
      </c>
      <c r="D463" s="310">
        <f t="shared" si="360"/>
        <v>0</v>
      </c>
      <c r="E463" s="311">
        <f>AVERAGE(B463:D463)</f>
        <v>0</v>
      </c>
      <c r="F463" s="310">
        <f t="shared" si="361"/>
        <v>0</v>
      </c>
      <c r="G463" s="310">
        <f t="shared" si="361"/>
        <v>0</v>
      </c>
      <c r="H463" s="310">
        <f t="shared" si="361"/>
        <v>0</v>
      </c>
      <c r="I463" s="311">
        <f>AVERAGE(F463:H463)</f>
        <v>0</v>
      </c>
      <c r="J463" s="310">
        <f t="shared" si="362"/>
        <v>70.65223242765002</v>
      </c>
      <c r="K463" s="310">
        <f t="shared" si="362"/>
        <v>70.826479892832097</v>
      </c>
      <c r="L463" s="310">
        <f t="shared" si="362"/>
        <v>0</v>
      </c>
      <c r="M463" s="311">
        <f>AVERAGE(J463:L463)</f>
        <v>47.159570773494039</v>
      </c>
      <c r="N463" s="310">
        <f t="shared" si="363"/>
        <v>0</v>
      </c>
      <c r="O463" s="310">
        <f t="shared" si="363"/>
        <v>0</v>
      </c>
      <c r="P463" s="310">
        <f t="shared" si="363"/>
        <v>0</v>
      </c>
      <c r="Q463" s="311">
        <f>AVERAGE(N463:P463)</f>
        <v>0</v>
      </c>
      <c r="R463" s="310">
        <f t="shared" si="364"/>
        <v>0</v>
      </c>
      <c r="S463" s="310">
        <f t="shared" si="364"/>
        <v>0</v>
      </c>
      <c r="T463" s="310">
        <f t="shared" si="364"/>
        <v>0</v>
      </c>
      <c r="U463" s="311">
        <f>AVERAGE(R463:T463)</f>
        <v>0</v>
      </c>
      <c r="V463" s="310">
        <f t="shared" si="365"/>
        <v>0</v>
      </c>
      <c r="W463" s="310">
        <f t="shared" si="365"/>
        <v>0</v>
      </c>
      <c r="X463" s="310">
        <f t="shared" si="365"/>
        <v>0</v>
      </c>
      <c r="Y463" s="311">
        <f>AVERAGE(V463:X463)</f>
        <v>0</v>
      </c>
    </row>
    <row r="464" spans="1:25" ht="12.75" hidden="1" customHeight="1" outlineLevel="1" x14ac:dyDescent="0.2">
      <c r="A464" s="188" t="str">
        <f>"      "&amp;Labels!C384</f>
        <v xml:space="preserve">      Total</v>
      </c>
      <c r="B464" s="308">
        <f t="shared" si="360"/>
        <v>0</v>
      </c>
      <c r="C464" s="308">
        <f t="shared" si="360"/>
        <v>0</v>
      </c>
      <c r="D464" s="308">
        <f t="shared" si="360"/>
        <v>0</v>
      </c>
      <c r="E464" s="309">
        <f>AVERAGE(B464:D464)</f>
        <v>0</v>
      </c>
      <c r="F464" s="308">
        <f t="shared" si="361"/>
        <v>0</v>
      </c>
      <c r="G464" s="308">
        <f t="shared" si="361"/>
        <v>0</v>
      </c>
      <c r="H464" s="308">
        <f t="shared" si="361"/>
        <v>0</v>
      </c>
      <c r="I464" s="309">
        <f>AVERAGE(F464:H464)</f>
        <v>0</v>
      </c>
      <c r="J464" s="308">
        <f t="shared" si="362"/>
        <v>70.65223242765002</v>
      </c>
      <c r="K464" s="308">
        <f t="shared" si="362"/>
        <v>70.826479892832097</v>
      </c>
      <c r="L464" s="308">
        <f t="shared" si="362"/>
        <v>0</v>
      </c>
      <c r="M464" s="309">
        <f>AVERAGE(J464:L464)</f>
        <v>47.159570773494039</v>
      </c>
      <c r="N464" s="308">
        <f t="shared" si="363"/>
        <v>0</v>
      </c>
      <c r="O464" s="308">
        <f t="shared" si="363"/>
        <v>0</v>
      </c>
      <c r="P464" s="308">
        <f t="shared" si="363"/>
        <v>0</v>
      </c>
      <c r="Q464" s="309">
        <f>AVERAGE(N464:P464)</f>
        <v>0</v>
      </c>
      <c r="R464" s="308">
        <f t="shared" si="364"/>
        <v>0</v>
      </c>
      <c r="S464" s="308">
        <f t="shared" si="364"/>
        <v>0</v>
      </c>
      <c r="T464" s="308">
        <f t="shared" si="364"/>
        <v>0</v>
      </c>
      <c r="U464" s="309">
        <f>AVERAGE(R464:T464)</f>
        <v>0</v>
      </c>
      <c r="V464" s="308">
        <f t="shared" si="365"/>
        <v>0</v>
      </c>
      <c r="W464" s="308">
        <f t="shared" si="365"/>
        <v>0</v>
      </c>
      <c r="X464" s="308">
        <f t="shared" si="365"/>
        <v>0</v>
      </c>
      <c r="Y464" s="309">
        <f>AVERAGE(V464:X464)</f>
        <v>0</v>
      </c>
    </row>
    <row r="465" spans="1:25" ht="12.75" hidden="1" customHeight="1" outlineLevel="1" x14ac:dyDescent="0.2">
      <c r="A465" s="188" t="str">
        <f>"   "&amp;Labels!B382</f>
        <v xml:space="preserve">   Practice 2</v>
      </c>
      <c r="B465" s="308"/>
      <c r="C465" s="308"/>
      <c r="D465" s="308"/>
      <c r="E465" s="309"/>
      <c r="F465" s="308"/>
      <c r="G465" s="308"/>
      <c r="H465" s="308"/>
      <c r="I465" s="309"/>
      <c r="J465" s="308"/>
      <c r="K465" s="308"/>
      <c r="L465" s="308"/>
      <c r="M465" s="309"/>
      <c r="N465" s="308"/>
      <c r="O465" s="308"/>
      <c r="P465" s="308"/>
      <c r="Q465" s="309"/>
      <c r="R465" s="308"/>
      <c r="S465" s="308"/>
      <c r="T465" s="308"/>
      <c r="U465" s="309"/>
      <c r="V465" s="308"/>
      <c r="W465" s="308"/>
      <c r="X465" s="308"/>
      <c r="Y465" s="309"/>
    </row>
    <row r="466" spans="1:25" ht="12.75" hidden="1" customHeight="1" outlineLevel="1" x14ac:dyDescent="0.2">
      <c r="A466" s="198" t="str">
        <f>"      "&amp;Labels!B385</f>
        <v xml:space="preserve">      Prof Level 1</v>
      </c>
      <c r="B466" s="310">
        <f t="shared" ref="B466:D471" si="366">IF(B511=0,0,B525/B511)</f>
        <v>0</v>
      </c>
      <c r="C466" s="310">
        <f t="shared" si="366"/>
        <v>0</v>
      </c>
      <c r="D466" s="310">
        <f t="shared" si="366"/>
        <v>0</v>
      </c>
      <c r="E466" s="311">
        <f t="shared" ref="E466:E471" si="367">AVERAGE(B466:D466)</f>
        <v>0</v>
      </c>
      <c r="F466" s="310">
        <f t="shared" ref="F466:H471" si="368">IF(F511=0,0,F525/F511)</f>
        <v>0</v>
      </c>
      <c r="G466" s="310">
        <f t="shared" si="368"/>
        <v>0</v>
      </c>
      <c r="H466" s="310">
        <f t="shared" si="368"/>
        <v>0</v>
      </c>
      <c r="I466" s="311">
        <f t="shared" ref="I466:I471" si="369">AVERAGE(F466:H466)</f>
        <v>0</v>
      </c>
      <c r="J466" s="310">
        <f t="shared" ref="J466:L471" si="370">IF(J511=0,0,J525/J511)</f>
        <v>0</v>
      </c>
      <c r="K466" s="310">
        <f t="shared" si="370"/>
        <v>0</v>
      </c>
      <c r="L466" s="310">
        <f t="shared" si="370"/>
        <v>0</v>
      </c>
      <c r="M466" s="311">
        <f t="shared" ref="M466:M471" si="371">AVERAGE(J466:L466)</f>
        <v>0</v>
      </c>
      <c r="N466" s="310">
        <f t="shared" ref="N466:P471" si="372">IF(N511=0,0,N525/N511)</f>
        <v>0</v>
      </c>
      <c r="O466" s="310">
        <f t="shared" si="372"/>
        <v>0</v>
      </c>
      <c r="P466" s="310">
        <f t="shared" si="372"/>
        <v>0</v>
      </c>
      <c r="Q466" s="311">
        <f t="shared" ref="Q466:Q471" si="373">AVERAGE(N466:P466)</f>
        <v>0</v>
      </c>
      <c r="R466" s="310">
        <f t="shared" ref="R466:T471" si="374">IF(R511=0,0,R525/R511)</f>
        <v>0</v>
      </c>
      <c r="S466" s="310">
        <f t="shared" si="374"/>
        <v>0</v>
      </c>
      <c r="T466" s="310">
        <f t="shared" si="374"/>
        <v>0</v>
      </c>
      <c r="U466" s="311">
        <f t="shared" ref="U466:U471" si="375">AVERAGE(R466:T466)</f>
        <v>0</v>
      </c>
      <c r="V466" s="310">
        <f t="shared" ref="V466:X471" si="376">IF(V511=0,0,V525/V511)</f>
        <v>0</v>
      </c>
      <c r="W466" s="310">
        <f t="shared" si="376"/>
        <v>0</v>
      </c>
      <c r="X466" s="310">
        <f t="shared" si="376"/>
        <v>0</v>
      </c>
      <c r="Y466" s="311">
        <f t="shared" ref="Y466:Y471" si="377">AVERAGE(V466:X466)</f>
        <v>0</v>
      </c>
    </row>
    <row r="467" spans="1:25" ht="12.75" hidden="1" customHeight="1" outlineLevel="1" x14ac:dyDescent="0.2">
      <c r="A467" s="198" t="str">
        <f>"      "&amp;Labels!B386</f>
        <v xml:space="preserve">      Prof Level 2</v>
      </c>
      <c r="B467" s="310">
        <f t="shared" si="366"/>
        <v>0</v>
      </c>
      <c r="C467" s="310">
        <f t="shared" si="366"/>
        <v>0</v>
      </c>
      <c r="D467" s="310">
        <f t="shared" si="366"/>
        <v>0</v>
      </c>
      <c r="E467" s="311">
        <f t="shared" si="367"/>
        <v>0</v>
      </c>
      <c r="F467" s="310">
        <f t="shared" si="368"/>
        <v>0</v>
      </c>
      <c r="G467" s="310">
        <f t="shared" si="368"/>
        <v>0</v>
      </c>
      <c r="H467" s="310">
        <f t="shared" si="368"/>
        <v>0</v>
      </c>
      <c r="I467" s="311">
        <f t="shared" si="369"/>
        <v>0</v>
      </c>
      <c r="J467" s="310">
        <f t="shared" si="370"/>
        <v>0</v>
      </c>
      <c r="K467" s="310">
        <f t="shared" si="370"/>
        <v>0</v>
      </c>
      <c r="L467" s="310">
        <f t="shared" si="370"/>
        <v>0</v>
      </c>
      <c r="M467" s="311">
        <f t="shared" si="371"/>
        <v>0</v>
      </c>
      <c r="N467" s="310">
        <f t="shared" si="372"/>
        <v>0</v>
      </c>
      <c r="O467" s="310">
        <f t="shared" si="372"/>
        <v>0</v>
      </c>
      <c r="P467" s="310">
        <f t="shared" si="372"/>
        <v>0</v>
      </c>
      <c r="Q467" s="311">
        <f t="shared" si="373"/>
        <v>0</v>
      </c>
      <c r="R467" s="310">
        <f t="shared" si="374"/>
        <v>0</v>
      </c>
      <c r="S467" s="310">
        <f t="shared" si="374"/>
        <v>0</v>
      </c>
      <c r="T467" s="310">
        <f t="shared" si="374"/>
        <v>0</v>
      </c>
      <c r="U467" s="311">
        <f t="shared" si="375"/>
        <v>0</v>
      </c>
      <c r="V467" s="310">
        <f t="shared" si="376"/>
        <v>0</v>
      </c>
      <c r="W467" s="310">
        <f t="shared" si="376"/>
        <v>0</v>
      </c>
      <c r="X467" s="310">
        <f t="shared" si="376"/>
        <v>0</v>
      </c>
      <c r="Y467" s="311">
        <f t="shared" si="377"/>
        <v>0</v>
      </c>
    </row>
    <row r="468" spans="1:25" ht="12.75" hidden="1" customHeight="1" outlineLevel="1" x14ac:dyDescent="0.2">
      <c r="A468" s="188" t="str">
        <f>"      "&amp;Labels!C384</f>
        <v xml:space="preserve">      Total</v>
      </c>
      <c r="B468" s="308">
        <f t="shared" si="366"/>
        <v>0</v>
      </c>
      <c r="C468" s="308">
        <f t="shared" si="366"/>
        <v>0</v>
      </c>
      <c r="D468" s="308">
        <f t="shared" si="366"/>
        <v>0</v>
      </c>
      <c r="E468" s="309">
        <f t="shared" si="367"/>
        <v>0</v>
      </c>
      <c r="F468" s="308">
        <f t="shared" si="368"/>
        <v>0</v>
      </c>
      <c r="G468" s="308">
        <f t="shared" si="368"/>
        <v>0</v>
      </c>
      <c r="H468" s="308">
        <f t="shared" si="368"/>
        <v>0</v>
      </c>
      <c r="I468" s="309">
        <f t="shared" si="369"/>
        <v>0</v>
      </c>
      <c r="J468" s="308">
        <f t="shared" si="370"/>
        <v>0</v>
      </c>
      <c r="K468" s="308">
        <f t="shared" si="370"/>
        <v>0</v>
      </c>
      <c r="L468" s="308">
        <f t="shared" si="370"/>
        <v>0</v>
      </c>
      <c r="M468" s="309">
        <f t="shared" si="371"/>
        <v>0</v>
      </c>
      <c r="N468" s="308">
        <f t="shared" si="372"/>
        <v>0</v>
      </c>
      <c r="O468" s="308">
        <f t="shared" si="372"/>
        <v>0</v>
      </c>
      <c r="P468" s="308">
        <f t="shared" si="372"/>
        <v>0</v>
      </c>
      <c r="Q468" s="309">
        <f t="shared" si="373"/>
        <v>0</v>
      </c>
      <c r="R468" s="308">
        <f t="shared" si="374"/>
        <v>0</v>
      </c>
      <c r="S468" s="308">
        <f t="shared" si="374"/>
        <v>0</v>
      </c>
      <c r="T468" s="308">
        <f t="shared" si="374"/>
        <v>0</v>
      </c>
      <c r="U468" s="309">
        <f t="shared" si="375"/>
        <v>0</v>
      </c>
      <c r="V468" s="308">
        <f t="shared" si="376"/>
        <v>0</v>
      </c>
      <c r="W468" s="308">
        <f t="shared" si="376"/>
        <v>0</v>
      </c>
      <c r="X468" s="308">
        <f t="shared" si="376"/>
        <v>0</v>
      </c>
      <c r="Y468" s="309">
        <f t="shared" si="377"/>
        <v>0</v>
      </c>
    </row>
    <row r="469" spans="1:25" ht="12.75" hidden="1" customHeight="1" outlineLevel="1" x14ac:dyDescent="0.2">
      <c r="A469" s="191" t="str">
        <f>"   "&amp;Labels!C380</f>
        <v xml:space="preserve">   Total</v>
      </c>
      <c r="B469" s="306">
        <f t="shared" si="366"/>
        <v>0</v>
      </c>
      <c r="C469" s="306">
        <f t="shared" si="366"/>
        <v>0</v>
      </c>
      <c r="D469" s="306">
        <f t="shared" si="366"/>
        <v>0</v>
      </c>
      <c r="E469" s="307">
        <f t="shared" si="367"/>
        <v>0</v>
      </c>
      <c r="F469" s="306">
        <f t="shared" si="368"/>
        <v>0</v>
      </c>
      <c r="G469" s="306">
        <f t="shared" si="368"/>
        <v>0</v>
      </c>
      <c r="H469" s="306">
        <f t="shared" si="368"/>
        <v>0</v>
      </c>
      <c r="I469" s="307">
        <f t="shared" si="369"/>
        <v>0</v>
      </c>
      <c r="J469" s="306">
        <f t="shared" si="370"/>
        <v>70.65223242765002</v>
      </c>
      <c r="K469" s="306">
        <f t="shared" si="370"/>
        <v>70.826479892832097</v>
      </c>
      <c r="L469" s="306">
        <f t="shared" si="370"/>
        <v>0</v>
      </c>
      <c r="M469" s="307">
        <f t="shared" si="371"/>
        <v>47.159570773494039</v>
      </c>
      <c r="N469" s="306">
        <f t="shared" si="372"/>
        <v>0</v>
      </c>
      <c r="O469" s="306">
        <f t="shared" si="372"/>
        <v>0</v>
      </c>
      <c r="P469" s="306">
        <f t="shared" si="372"/>
        <v>0</v>
      </c>
      <c r="Q469" s="307">
        <f t="shared" si="373"/>
        <v>0</v>
      </c>
      <c r="R469" s="306">
        <f t="shared" si="374"/>
        <v>0</v>
      </c>
      <c r="S469" s="306">
        <f t="shared" si="374"/>
        <v>0</v>
      </c>
      <c r="T469" s="306">
        <f t="shared" si="374"/>
        <v>0</v>
      </c>
      <c r="U469" s="307">
        <f t="shared" si="375"/>
        <v>0</v>
      </c>
      <c r="V469" s="306">
        <f t="shared" si="376"/>
        <v>0</v>
      </c>
      <c r="W469" s="306">
        <f t="shared" si="376"/>
        <v>0</v>
      </c>
      <c r="X469" s="306">
        <f t="shared" si="376"/>
        <v>0</v>
      </c>
      <c r="Y469" s="307">
        <f t="shared" si="377"/>
        <v>0</v>
      </c>
    </row>
    <row r="470" spans="1:25" ht="12.75" hidden="1" customHeight="1" outlineLevel="1" x14ac:dyDescent="0.2">
      <c r="A470" s="198" t="str">
        <f>"      "&amp;Labels!B385</f>
        <v xml:space="preserve">      Prof Level 1</v>
      </c>
      <c r="B470" s="310">
        <f t="shared" si="366"/>
        <v>0</v>
      </c>
      <c r="C470" s="310">
        <f t="shared" si="366"/>
        <v>0</v>
      </c>
      <c r="D470" s="310">
        <f t="shared" si="366"/>
        <v>0</v>
      </c>
      <c r="E470" s="311">
        <f t="shared" si="367"/>
        <v>0</v>
      </c>
      <c r="F470" s="310">
        <f t="shared" si="368"/>
        <v>0</v>
      </c>
      <c r="G470" s="310">
        <f t="shared" si="368"/>
        <v>0</v>
      </c>
      <c r="H470" s="310">
        <f t="shared" si="368"/>
        <v>0</v>
      </c>
      <c r="I470" s="311">
        <f t="shared" si="369"/>
        <v>0</v>
      </c>
      <c r="J470" s="310">
        <f t="shared" si="370"/>
        <v>70.65223242765002</v>
      </c>
      <c r="K470" s="310">
        <f t="shared" si="370"/>
        <v>70.826479892832097</v>
      </c>
      <c r="L470" s="310">
        <f t="shared" si="370"/>
        <v>0</v>
      </c>
      <c r="M470" s="311">
        <f t="shared" si="371"/>
        <v>47.159570773494039</v>
      </c>
      <c r="N470" s="310">
        <f t="shared" si="372"/>
        <v>0</v>
      </c>
      <c r="O470" s="310">
        <f t="shared" si="372"/>
        <v>0</v>
      </c>
      <c r="P470" s="310">
        <f t="shared" si="372"/>
        <v>0</v>
      </c>
      <c r="Q470" s="311">
        <f t="shared" si="373"/>
        <v>0</v>
      </c>
      <c r="R470" s="310">
        <f t="shared" si="374"/>
        <v>0</v>
      </c>
      <c r="S470" s="310">
        <f t="shared" si="374"/>
        <v>0</v>
      </c>
      <c r="T470" s="310">
        <f t="shared" si="374"/>
        <v>0</v>
      </c>
      <c r="U470" s="311">
        <f t="shared" si="375"/>
        <v>0</v>
      </c>
      <c r="V470" s="310">
        <f t="shared" si="376"/>
        <v>0</v>
      </c>
      <c r="W470" s="310">
        <f t="shared" si="376"/>
        <v>0</v>
      </c>
      <c r="X470" s="310">
        <f t="shared" si="376"/>
        <v>0</v>
      </c>
      <c r="Y470" s="311">
        <f t="shared" si="377"/>
        <v>0</v>
      </c>
    </row>
    <row r="471" spans="1:25" ht="12.75" hidden="1" customHeight="1" outlineLevel="1" x14ac:dyDescent="0.2">
      <c r="A471" s="198" t="str">
        <f>"      "&amp;Labels!B386</f>
        <v xml:space="preserve">      Prof Level 2</v>
      </c>
      <c r="B471" s="310">
        <f t="shared" si="366"/>
        <v>0</v>
      </c>
      <c r="C471" s="310">
        <f t="shared" si="366"/>
        <v>0</v>
      </c>
      <c r="D471" s="310">
        <f t="shared" si="366"/>
        <v>0</v>
      </c>
      <c r="E471" s="311">
        <f t="shared" si="367"/>
        <v>0</v>
      </c>
      <c r="F471" s="310">
        <f t="shared" si="368"/>
        <v>0</v>
      </c>
      <c r="G471" s="310">
        <f t="shared" si="368"/>
        <v>0</v>
      </c>
      <c r="H471" s="310">
        <f t="shared" si="368"/>
        <v>0</v>
      </c>
      <c r="I471" s="311">
        <f t="shared" si="369"/>
        <v>0</v>
      </c>
      <c r="J471" s="310">
        <f t="shared" si="370"/>
        <v>70.65223242765002</v>
      </c>
      <c r="K471" s="310">
        <f t="shared" si="370"/>
        <v>70.826479892832097</v>
      </c>
      <c r="L471" s="310">
        <f t="shared" si="370"/>
        <v>0</v>
      </c>
      <c r="M471" s="311">
        <f t="shared" si="371"/>
        <v>47.159570773494039</v>
      </c>
      <c r="N471" s="310">
        <f t="shared" si="372"/>
        <v>0</v>
      </c>
      <c r="O471" s="310">
        <f t="shared" si="372"/>
        <v>0</v>
      </c>
      <c r="P471" s="310">
        <f t="shared" si="372"/>
        <v>0</v>
      </c>
      <c r="Q471" s="311">
        <f t="shared" si="373"/>
        <v>0</v>
      </c>
      <c r="R471" s="310">
        <f t="shared" si="374"/>
        <v>0</v>
      </c>
      <c r="S471" s="310">
        <f t="shared" si="374"/>
        <v>0</v>
      </c>
      <c r="T471" s="310">
        <f t="shared" si="374"/>
        <v>0</v>
      </c>
      <c r="U471" s="311">
        <f t="shared" si="375"/>
        <v>0</v>
      </c>
      <c r="V471" s="310">
        <f t="shared" si="376"/>
        <v>0</v>
      </c>
      <c r="W471" s="310">
        <f t="shared" si="376"/>
        <v>0</v>
      </c>
      <c r="X471" s="310">
        <f t="shared" si="376"/>
        <v>0</v>
      </c>
      <c r="Y471" s="311">
        <f t="shared" si="377"/>
        <v>0</v>
      </c>
    </row>
    <row r="472" spans="1:25" ht="12.75" hidden="1" customHeight="1" outlineLevel="1" x14ac:dyDescent="0.2">
      <c r="A472" s="220" t="str">
        <f>"      "&amp;Labels!C384</f>
        <v xml:space="preserve">      Total</v>
      </c>
      <c r="B472" s="312">
        <f>IF(B514=0,0,B528/B514)</f>
        <v>0</v>
      </c>
      <c r="C472" s="312">
        <f>IF(C514=0,0,C528/C514)</f>
        <v>0</v>
      </c>
      <c r="D472" s="312">
        <f>IF(D514=0,0,D528/D514)</f>
        <v>0</v>
      </c>
      <c r="E472" s="313">
        <f>AVERAGE(B469:D469)</f>
        <v>0</v>
      </c>
      <c r="F472" s="312">
        <f>IF(F514=0,0,F528/F514)</f>
        <v>0</v>
      </c>
      <c r="G472" s="312">
        <f>IF(G514=0,0,G528/G514)</f>
        <v>0</v>
      </c>
      <c r="H472" s="312">
        <f>IF(H514=0,0,H528/H514)</f>
        <v>0</v>
      </c>
      <c r="I472" s="313">
        <f>AVERAGE(F469:H469)</f>
        <v>0</v>
      </c>
      <c r="J472" s="312">
        <f>IF(J514=0,0,J528/J514)</f>
        <v>70.65223242765002</v>
      </c>
      <c r="K472" s="312">
        <f>IF(K514=0,0,K528/K514)</f>
        <v>70.826479892832097</v>
      </c>
      <c r="L472" s="312">
        <f>IF(L514=0,0,L528/L514)</f>
        <v>0</v>
      </c>
      <c r="M472" s="313">
        <f>AVERAGE(J469:L469)</f>
        <v>47.159570773494039</v>
      </c>
      <c r="N472" s="312">
        <f>IF(N514=0,0,N528/N514)</f>
        <v>0</v>
      </c>
      <c r="O472" s="312">
        <f>IF(O514=0,0,O528/O514)</f>
        <v>0</v>
      </c>
      <c r="P472" s="312">
        <f>IF(P514=0,0,P528/P514)</f>
        <v>0</v>
      </c>
      <c r="Q472" s="313">
        <f>AVERAGE(N469:P469)</f>
        <v>0</v>
      </c>
      <c r="R472" s="312">
        <f>IF(R514=0,0,R528/R514)</f>
        <v>0</v>
      </c>
      <c r="S472" s="312">
        <f>IF(S514=0,0,S528/S514)</f>
        <v>0</v>
      </c>
      <c r="T472" s="312">
        <f>IF(T514=0,0,T528/T514)</f>
        <v>0</v>
      </c>
      <c r="U472" s="313">
        <f>AVERAGE(R469:T469)</f>
        <v>0</v>
      </c>
      <c r="V472" s="312">
        <f>IF(V514=0,0,V528/V514)</f>
        <v>0</v>
      </c>
      <c r="W472" s="312">
        <f>IF(W514=0,0,W528/W514)</f>
        <v>0</v>
      </c>
      <c r="X472" s="312">
        <f>IF(X514=0,0,X528/X514)</f>
        <v>0</v>
      </c>
      <c r="Y472" s="313">
        <f>AVERAGE(V469:X469)</f>
        <v>0</v>
      </c>
    </row>
    <row r="473" spans="1:25" ht="12.75" hidden="1" customHeight="1" outlineLevel="1" collapsed="1" x14ac:dyDescent="0.2"/>
    <row r="474" spans="1:25" ht="12.75" customHeight="1" collapsed="1" x14ac:dyDescent="0.2">
      <c r="A474" s="465" t="str">
        <f>"Professional Staff Totals"</f>
        <v>Professional Staff Totals</v>
      </c>
      <c r="B474" s="465"/>
      <c r="C474" s="465"/>
    </row>
    <row r="475" spans="1:25" ht="12.75" hidden="1" customHeight="1" outlineLevel="1" x14ac:dyDescent="0.2">
      <c r="A475" s="465" t="str">
        <f>" "</f>
        <v xml:space="preserve"> </v>
      </c>
      <c r="B475" s="465"/>
      <c r="C475" s="465"/>
    </row>
    <row r="476" spans="1:25" ht="12.75" hidden="1" customHeight="1" outlineLevel="1" x14ac:dyDescent="0.2">
      <c r="B476" s="9" t="str">
        <f>'(FnCalls 1)'!F41</f>
        <v>MMM 2010</v>
      </c>
      <c r="C476" s="10" t="str">
        <f>'(FnCalls 1)'!F42</f>
        <v>MMM 2010</v>
      </c>
      <c r="D476" s="10" t="str">
        <f>'(FnCalls 1)'!F43</f>
        <v>MMM 2010</v>
      </c>
      <c r="E476" s="181" t="str">
        <f>'(FnCalls 1)'!G41</f>
        <v>Q1 2010</v>
      </c>
      <c r="F476" s="10" t="str">
        <f>'(FnCalls 1)'!F44</f>
        <v>MMM 2010</v>
      </c>
      <c r="G476" s="10" t="str">
        <f>'(FnCalls 1)'!F45</f>
        <v>MMM 2010</v>
      </c>
      <c r="H476" s="10" t="str">
        <f>'(FnCalls 1)'!F46</f>
        <v>MMM 2010</v>
      </c>
      <c r="I476" s="181" t="str">
        <f>'(FnCalls 1)'!G44</f>
        <v>Q2 2010</v>
      </c>
      <c r="J476" s="10" t="str">
        <f>'(FnCalls 1)'!F47</f>
        <v>MMM 2010</v>
      </c>
      <c r="K476" s="10" t="str">
        <f>'(FnCalls 1)'!F48</f>
        <v>MMM 2010</v>
      </c>
      <c r="L476" s="10" t="str">
        <f>'(FnCalls 1)'!F49</f>
        <v>MMM 2010</v>
      </c>
      <c r="M476" s="181" t="str">
        <f>'(FnCalls 1)'!G47</f>
        <v>Q3 2010</v>
      </c>
      <c r="N476" s="10" t="str">
        <f>'(FnCalls 1)'!F50</f>
        <v>MMM 2010</v>
      </c>
      <c r="O476" s="10" t="str">
        <f>'(FnCalls 1)'!F51</f>
        <v>MMM 2010</v>
      </c>
      <c r="P476" s="10" t="str">
        <f>'(FnCalls 1)'!F52</f>
        <v>MMM 2010</v>
      </c>
      <c r="Q476" s="181" t="str">
        <f>'(FnCalls 1)'!G50</f>
        <v>Q4 2010</v>
      </c>
      <c r="R476" s="10" t="str">
        <f>'(FnCalls 1)'!F53</f>
        <v>MMM 2011</v>
      </c>
      <c r="S476" s="10" t="str">
        <f>'(FnCalls 1)'!F54</f>
        <v>MMM 2011</v>
      </c>
      <c r="T476" s="10" t="str">
        <f>'(FnCalls 1)'!F55</f>
        <v>MMM 2011</v>
      </c>
      <c r="U476" s="181" t="str">
        <f>'(FnCalls 1)'!G53</f>
        <v>Q1 2011</v>
      </c>
      <c r="V476" s="10" t="str">
        <f>'(FnCalls 1)'!F56</f>
        <v>MMM 2011</v>
      </c>
      <c r="W476" s="10" t="str">
        <f>'(FnCalls 1)'!F57</f>
        <v>MMM 2011</v>
      </c>
      <c r="X476" s="10" t="str">
        <f>'(FnCalls 1)'!F58</f>
        <v>MMM 2011</v>
      </c>
      <c r="Y476" s="181" t="str">
        <f>'(FnCalls 1)'!G56</f>
        <v>Q2 2011</v>
      </c>
    </row>
    <row r="477" spans="1:25" ht="12.75" hidden="1" customHeight="1" outlineLevel="1" x14ac:dyDescent="0.2">
      <c r="A477" s="182" t="str">
        <f>Labels!B175</f>
        <v>Professional Staff Count</v>
      </c>
      <c r="B477" s="223"/>
      <c r="C477" s="223"/>
      <c r="D477" s="223"/>
      <c r="E477" s="224"/>
      <c r="F477" s="223"/>
      <c r="G477" s="223"/>
      <c r="H477" s="223"/>
      <c r="I477" s="224"/>
      <c r="J477" s="223"/>
      <c r="K477" s="223"/>
      <c r="L477" s="223"/>
      <c r="M477" s="224"/>
      <c r="N477" s="223"/>
      <c r="O477" s="223"/>
      <c r="P477" s="223"/>
      <c r="Q477" s="224"/>
      <c r="R477" s="223"/>
      <c r="S477" s="223"/>
      <c r="T477" s="223"/>
      <c r="U477" s="224"/>
      <c r="V477" s="223"/>
      <c r="W477" s="223"/>
      <c r="X477" s="223"/>
      <c r="Y477" s="224"/>
    </row>
    <row r="478" spans="1:25" ht="12.75" hidden="1" customHeight="1" outlineLevel="1" x14ac:dyDescent="0.2">
      <c r="A478" s="188" t="str">
        <f>"   "&amp;Labels!B381</f>
        <v xml:space="preserve">   Practice 1</v>
      </c>
      <c r="B478" s="166"/>
      <c r="C478" s="166"/>
      <c r="D478" s="166"/>
      <c r="E478" s="225"/>
      <c r="F478" s="166"/>
      <c r="G478" s="166"/>
      <c r="H478" s="166"/>
      <c r="I478" s="225"/>
      <c r="J478" s="166"/>
      <c r="K478" s="166"/>
      <c r="L478" s="166"/>
      <c r="M478" s="225"/>
      <c r="N478" s="166"/>
      <c r="O478" s="166"/>
      <c r="P478" s="166"/>
      <c r="Q478" s="225"/>
      <c r="R478" s="166"/>
      <c r="S478" s="166"/>
      <c r="T478" s="166"/>
      <c r="U478" s="225"/>
      <c r="V478" s="166"/>
      <c r="W478" s="166"/>
      <c r="X478" s="166"/>
      <c r="Y478" s="225"/>
    </row>
    <row r="479" spans="1:25" ht="12.75" hidden="1" customHeight="1" outlineLevel="1" x14ac:dyDescent="0.2">
      <c r="A479" s="198" t="str">
        <f>"      "&amp;Labels!B385</f>
        <v xml:space="preserve">      Prof Level 1</v>
      </c>
      <c r="B479" s="237">
        <f>ROUND('(Tables)'!B1068,0.5)</f>
        <v>0</v>
      </c>
      <c r="C479" s="237">
        <f>ROUND('(Tables)'!C1068,0.5)</f>
        <v>0</v>
      </c>
      <c r="D479" s="237">
        <f>ROUND('(Tables)'!D1068,0.5)</f>
        <v>0</v>
      </c>
      <c r="E479" s="238">
        <f>D479</f>
        <v>0</v>
      </c>
      <c r="F479" s="237">
        <f>ROUND('(Tables)'!E1068,0.5)</f>
        <v>0</v>
      </c>
      <c r="G479" s="237">
        <f>ROUND('(Tables)'!F1068,0.5)</f>
        <v>0</v>
      </c>
      <c r="H479" s="237">
        <f>ROUND('(Tables)'!G1068,0.5)</f>
        <v>0</v>
      </c>
      <c r="I479" s="238">
        <f>H479</f>
        <v>0</v>
      </c>
      <c r="J479" s="237">
        <f>ROUND('(Tables)'!H1068,0.5)</f>
        <v>1</v>
      </c>
      <c r="K479" s="237">
        <f>ROUND('(Tables)'!I1068,0.5)</f>
        <v>2</v>
      </c>
      <c r="L479" s="237">
        <f>ROUND('(Tables)'!J1068,0.5)</f>
        <v>0</v>
      </c>
      <c r="M479" s="238">
        <f>L479</f>
        <v>0</v>
      </c>
      <c r="N479" s="237">
        <f>ROUND('(Tables)'!K1068,0.5)</f>
        <v>0</v>
      </c>
      <c r="O479" s="237">
        <f>ROUND('(Tables)'!L1068,0.5)</f>
        <v>0</v>
      </c>
      <c r="P479" s="237">
        <f>ROUND('(Tables)'!M1068,0.5)</f>
        <v>0</v>
      </c>
      <c r="Q479" s="238">
        <f>P479</f>
        <v>0</v>
      </c>
      <c r="R479" s="237">
        <f>ROUND('(Tables)'!N1068,0.5)</f>
        <v>0</v>
      </c>
      <c r="S479" s="237">
        <f>ROUND('(Tables)'!O1068,0.5)</f>
        <v>0</v>
      </c>
      <c r="T479" s="237">
        <f>ROUND('(Tables)'!P1068,0.5)</f>
        <v>0</v>
      </c>
      <c r="U479" s="238">
        <f>T479</f>
        <v>0</v>
      </c>
      <c r="V479" s="237">
        <f>ROUND('(Tables)'!Q1068,0.5)</f>
        <v>0</v>
      </c>
      <c r="W479" s="237">
        <f>ROUND('(Tables)'!R1068,0.5)</f>
        <v>0</v>
      </c>
      <c r="X479" s="237">
        <f>ROUND('(Tables)'!S1068,0.5)</f>
        <v>0</v>
      </c>
      <c r="Y479" s="238">
        <f>X479</f>
        <v>0</v>
      </c>
    </row>
    <row r="480" spans="1:25" ht="12.75" hidden="1" customHeight="1" outlineLevel="1" x14ac:dyDescent="0.2">
      <c r="A480" s="198" t="str">
        <f>"      "&amp;Labels!B386</f>
        <v xml:space="preserve">      Prof Level 2</v>
      </c>
      <c r="B480" s="237">
        <f>ROUND('(Tables)'!B1069,0.5)</f>
        <v>0</v>
      </c>
      <c r="C480" s="237">
        <f>ROUND('(Tables)'!C1069,0.5)</f>
        <v>0</v>
      </c>
      <c r="D480" s="237">
        <f>ROUND('(Tables)'!D1069,0.5)</f>
        <v>0</v>
      </c>
      <c r="E480" s="238">
        <f>D480</f>
        <v>0</v>
      </c>
      <c r="F480" s="237">
        <f>ROUND('(Tables)'!E1069,0.5)</f>
        <v>0</v>
      </c>
      <c r="G480" s="237">
        <f>ROUND('(Tables)'!F1069,0.5)</f>
        <v>0</v>
      </c>
      <c r="H480" s="237">
        <f>ROUND('(Tables)'!G1069,0.5)</f>
        <v>0</v>
      </c>
      <c r="I480" s="238">
        <f>H480</f>
        <v>0</v>
      </c>
      <c r="J480" s="237">
        <f>ROUND('(Tables)'!H1069,0.5)</f>
        <v>1</v>
      </c>
      <c r="K480" s="237">
        <f>ROUND('(Tables)'!I1069,0.5)</f>
        <v>2</v>
      </c>
      <c r="L480" s="237">
        <f>ROUND('(Tables)'!J1069,0.5)</f>
        <v>0</v>
      </c>
      <c r="M480" s="238">
        <f>L480</f>
        <v>0</v>
      </c>
      <c r="N480" s="237">
        <f>ROUND('(Tables)'!K1069,0.5)</f>
        <v>0</v>
      </c>
      <c r="O480" s="237">
        <f>ROUND('(Tables)'!L1069,0.5)</f>
        <v>0</v>
      </c>
      <c r="P480" s="237">
        <f>ROUND('(Tables)'!M1069,0.5)</f>
        <v>0</v>
      </c>
      <c r="Q480" s="238">
        <f>P480</f>
        <v>0</v>
      </c>
      <c r="R480" s="237">
        <f>ROUND('(Tables)'!N1069,0.5)</f>
        <v>0</v>
      </c>
      <c r="S480" s="237">
        <f>ROUND('(Tables)'!O1069,0.5)</f>
        <v>0</v>
      </c>
      <c r="T480" s="237">
        <f>ROUND('(Tables)'!P1069,0.5)</f>
        <v>0</v>
      </c>
      <c r="U480" s="238">
        <f>T480</f>
        <v>0</v>
      </c>
      <c r="V480" s="237">
        <f>ROUND('(Tables)'!Q1069,0.5)</f>
        <v>0</v>
      </c>
      <c r="W480" s="237">
        <f>ROUND('(Tables)'!R1069,0.5)</f>
        <v>0</v>
      </c>
      <c r="X480" s="237">
        <f>ROUND('(Tables)'!S1069,0.5)</f>
        <v>0</v>
      </c>
      <c r="Y480" s="238">
        <f>X480</f>
        <v>0</v>
      </c>
    </row>
    <row r="481" spans="1:25" ht="12.75" hidden="1" customHeight="1" outlineLevel="1" x14ac:dyDescent="0.2">
      <c r="A481" s="188" t="str">
        <f>"      "&amp;Labels!C384</f>
        <v xml:space="preserve">      Total</v>
      </c>
      <c r="B481" s="166">
        <f>SUM(B479:B480)</f>
        <v>0</v>
      </c>
      <c r="C481" s="166">
        <f>SUM(C479:C480)</f>
        <v>0</v>
      </c>
      <c r="D481" s="166">
        <f>SUM(D479:D480)</f>
        <v>0</v>
      </c>
      <c r="E481" s="225">
        <f>SUM(D479:D480)</f>
        <v>0</v>
      </c>
      <c r="F481" s="166">
        <f>SUM(F479:F480)</f>
        <v>0</v>
      </c>
      <c r="G481" s="166">
        <f>SUM(G479:G480)</f>
        <v>0</v>
      </c>
      <c r="H481" s="166">
        <f>SUM(H479:H480)</f>
        <v>0</v>
      </c>
      <c r="I481" s="225">
        <f>SUM(H479:H480)</f>
        <v>0</v>
      </c>
      <c r="J481" s="166">
        <f>SUM(J479:J480)</f>
        <v>2</v>
      </c>
      <c r="K481" s="166">
        <f>SUM(K479:K480)</f>
        <v>4</v>
      </c>
      <c r="L481" s="166">
        <f>SUM(L479:L480)</f>
        <v>0</v>
      </c>
      <c r="M481" s="225">
        <f>SUM(L479:L480)</f>
        <v>0</v>
      </c>
      <c r="N481" s="166">
        <f>SUM(N479:N480)</f>
        <v>0</v>
      </c>
      <c r="O481" s="166">
        <f>SUM(O479:O480)</f>
        <v>0</v>
      </c>
      <c r="P481" s="166">
        <f>SUM(P479:P480)</f>
        <v>0</v>
      </c>
      <c r="Q481" s="225">
        <f>SUM(P479:P480)</f>
        <v>0</v>
      </c>
      <c r="R481" s="166">
        <f>SUM(R479:R480)</f>
        <v>0</v>
      </c>
      <c r="S481" s="166">
        <f>SUM(S479:S480)</f>
        <v>0</v>
      </c>
      <c r="T481" s="166">
        <f>SUM(T479:T480)</f>
        <v>0</v>
      </c>
      <c r="U481" s="225">
        <f>SUM(T479:T480)</f>
        <v>0</v>
      </c>
      <c r="V481" s="166">
        <f>SUM(V479:V480)</f>
        <v>0</v>
      </c>
      <c r="W481" s="166">
        <f>SUM(W479:W480)</f>
        <v>0</v>
      </c>
      <c r="X481" s="166">
        <f>SUM(X479:X480)</f>
        <v>0</v>
      </c>
      <c r="Y481" s="225">
        <f>SUM(X479:X480)</f>
        <v>0</v>
      </c>
    </row>
    <row r="482" spans="1:25" ht="12.75" hidden="1" customHeight="1" outlineLevel="1" x14ac:dyDescent="0.2">
      <c r="A482" s="188" t="str">
        <f>"   "&amp;Labels!B382</f>
        <v xml:space="preserve">   Practice 2</v>
      </c>
      <c r="B482" s="166"/>
      <c r="C482" s="166"/>
      <c r="D482" s="166"/>
      <c r="E482" s="225"/>
      <c r="F482" s="166"/>
      <c r="G482" s="166"/>
      <c r="H482" s="166"/>
      <c r="I482" s="225"/>
      <c r="J482" s="166"/>
      <c r="K482" s="166"/>
      <c r="L482" s="166"/>
      <c r="M482" s="225"/>
      <c r="N482" s="166"/>
      <c r="O482" s="166"/>
      <c r="P482" s="166"/>
      <c r="Q482" s="225"/>
      <c r="R482" s="166"/>
      <c r="S482" s="166"/>
      <c r="T482" s="166"/>
      <c r="U482" s="225"/>
      <c r="V482" s="166"/>
      <c r="W482" s="166"/>
      <c r="X482" s="166"/>
      <c r="Y482" s="225"/>
    </row>
    <row r="483" spans="1:25" ht="12.75" hidden="1" customHeight="1" outlineLevel="1" x14ac:dyDescent="0.2">
      <c r="A483" s="198" t="str">
        <f>"      "&amp;Labels!B385</f>
        <v xml:space="preserve">      Prof Level 1</v>
      </c>
      <c r="B483" s="237">
        <f>ROUND('(Tables)'!B1072,0.5)</f>
        <v>0</v>
      </c>
      <c r="C483" s="237">
        <f>ROUND('(Tables)'!C1072,0.5)</f>
        <v>0</v>
      </c>
      <c r="D483" s="237">
        <f>ROUND('(Tables)'!D1072,0.5)</f>
        <v>0</v>
      </c>
      <c r="E483" s="238">
        <f>D483</f>
        <v>0</v>
      </c>
      <c r="F483" s="237">
        <f>ROUND('(Tables)'!E1072,0.5)</f>
        <v>0</v>
      </c>
      <c r="G483" s="237">
        <f>ROUND('(Tables)'!F1072,0.5)</f>
        <v>0</v>
      </c>
      <c r="H483" s="237">
        <f>ROUND('(Tables)'!G1072,0.5)</f>
        <v>0</v>
      </c>
      <c r="I483" s="238">
        <f>H483</f>
        <v>0</v>
      </c>
      <c r="J483" s="237">
        <f>ROUND('(Tables)'!H1072,0.5)</f>
        <v>0</v>
      </c>
      <c r="K483" s="237">
        <f>ROUND('(Tables)'!I1072,0.5)</f>
        <v>0</v>
      </c>
      <c r="L483" s="237">
        <f>ROUND('(Tables)'!J1072,0.5)</f>
        <v>0</v>
      </c>
      <c r="M483" s="238">
        <f>L483</f>
        <v>0</v>
      </c>
      <c r="N483" s="237">
        <f>ROUND('(Tables)'!K1072,0.5)</f>
        <v>0</v>
      </c>
      <c r="O483" s="237">
        <f>ROUND('(Tables)'!L1072,0.5)</f>
        <v>0</v>
      </c>
      <c r="P483" s="237">
        <f>ROUND('(Tables)'!M1072,0.5)</f>
        <v>0</v>
      </c>
      <c r="Q483" s="238">
        <f>P483</f>
        <v>0</v>
      </c>
      <c r="R483" s="237">
        <f>ROUND('(Tables)'!N1072,0.5)</f>
        <v>0</v>
      </c>
      <c r="S483" s="237">
        <f>ROUND('(Tables)'!O1072,0.5)</f>
        <v>0</v>
      </c>
      <c r="T483" s="237">
        <f>ROUND('(Tables)'!P1072,0.5)</f>
        <v>0</v>
      </c>
      <c r="U483" s="238">
        <f>T483</f>
        <v>0</v>
      </c>
      <c r="V483" s="237">
        <f>ROUND('(Tables)'!Q1072,0.5)</f>
        <v>0</v>
      </c>
      <c r="W483" s="237">
        <f>ROUND('(Tables)'!R1072,0.5)</f>
        <v>0</v>
      </c>
      <c r="X483" s="237">
        <f>ROUND('(Tables)'!S1072,0.5)</f>
        <v>0</v>
      </c>
      <c r="Y483" s="238">
        <f>X483</f>
        <v>0</v>
      </c>
    </row>
    <row r="484" spans="1:25" ht="12.75" hidden="1" customHeight="1" outlineLevel="1" x14ac:dyDescent="0.2">
      <c r="A484" s="198" t="str">
        <f>"      "&amp;Labels!B386</f>
        <v xml:space="preserve">      Prof Level 2</v>
      </c>
      <c r="B484" s="237">
        <f>ROUND('(Tables)'!B1073,0.5)</f>
        <v>0</v>
      </c>
      <c r="C484" s="237">
        <f>ROUND('(Tables)'!C1073,0.5)</f>
        <v>0</v>
      </c>
      <c r="D484" s="237">
        <f>ROUND('(Tables)'!D1073,0.5)</f>
        <v>0</v>
      </c>
      <c r="E484" s="238">
        <f>D484</f>
        <v>0</v>
      </c>
      <c r="F484" s="237">
        <f>ROUND('(Tables)'!E1073,0.5)</f>
        <v>0</v>
      </c>
      <c r="G484" s="237">
        <f>ROUND('(Tables)'!F1073,0.5)</f>
        <v>0</v>
      </c>
      <c r="H484" s="237">
        <f>ROUND('(Tables)'!G1073,0.5)</f>
        <v>0</v>
      </c>
      <c r="I484" s="238">
        <f>H484</f>
        <v>0</v>
      </c>
      <c r="J484" s="237">
        <f>ROUND('(Tables)'!H1073,0.5)</f>
        <v>0</v>
      </c>
      <c r="K484" s="237">
        <f>ROUND('(Tables)'!I1073,0.5)</f>
        <v>0</v>
      </c>
      <c r="L484" s="237">
        <f>ROUND('(Tables)'!J1073,0.5)</f>
        <v>0</v>
      </c>
      <c r="M484" s="238">
        <f>L484</f>
        <v>0</v>
      </c>
      <c r="N484" s="237">
        <f>ROUND('(Tables)'!K1073,0.5)</f>
        <v>0</v>
      </c>
      <c r="O484" s="237">
        <f>ROUND('(Tables)'!L1073,0.5)</f>
        <v>0</v>
      </c>
      <c r="P484" s="237">
        <f>ROUND('(Tables)'!M1073,0.5)</f>
        <v>0</v>
      </c>
      <c r="Q484" s="238">
        <f>P484</f>
        <v>0</v>
      </c>
      <c r="R484" s="237">
        <f>ROUND('(Tables)'!N1073,0.5)</f>
        <v>0</v>
      </c>
      <c r="S484" s="237">
        <f>ROUND('(Tables)'!O1073,0.5)</f>
        <v>0</v>
      </c>
      <c r="T484" s="237">
        <f>ROUND('(Tables)'!P1073,0.5)</f>
        <v>0</v>
      </c>
      <c r="U484" s="238">
        <f>T484</f>
        <v>0</v>
      </c>
      <c r="V484" s="237">
        <f>ROUND('(Tables)'!Q1073,0.5)</f>
        <v>0</v>
      </c>
      <c r="W484" s="237">
        <f>ROUND('(Tables)'!R1073,0.5)</f>
        <v>0</v>
      </c>
      <c r="X484" s="237">
        <f>ROUND('(Tables)'!S1073,0.5)</f>
        <v>0</v>
      </c>
      <c r="Y484" s="238">
        <f>X484</f>
        <v>0</v>
      </c>
    </row>
    <row r="485" spans="1:25" ht="12.75" hidden="1" customHeight="1" outlineLevel="1" x14ac:dyDescent="0.2">
      <c r="A485" s="188" t="str">
        <f>"      "&amp;Labels!C384</f>
        <v xml:space="preserve">      Total</v>
      </c>
      <c r="B485" s="166">
        <f>SUM(B483:B484)</f>
        <v>0</v>
      </c>
      <c r="C485" s="166">
        <f>SUM(C483:C484)</f>
        <v>0</v>
      </c>
      <c r="D485" s="166">
        <f>SUM(D483:D484)</f>
        <v>0</v>
      </c>
      <c r="E485" s="225">
        <f>SUM(D483:D484)</f>
        <v>0</v>
      </c>
      <c r="F485" s="166">
        <f>SUM(F483:F484)</f>
        <v>0</v>
      </c>
      <c r="G485" s="166">
        <f>SUM(G483:G484)</f>
        <v>0</v>
      </c>
      <c r="H485" s="166">
        <f>SUM(H483:H484)</f>
        <v>0</v>
      </c>
      <c r="I485" s="225">
        <f>SUM(H483:H484)</f>
        <v>0</v>
      </c>
      <c r="J485" s="166">
        <f>SUM(J483:J484)</f>
        <v>0</v>
      </c>
      <c r="K485" s="166">
        <f>SUM(K483:K484)</f>
        <v>0</v>
      </c>
      <c r="L485" s="166">
        <f>SUM(L483:L484)</f>
        <v>0</v>
      </c>
      <c r="M485" s="225">
        <f>SUM(L483:L484)</f>
        <v>0</v>
      </c>
      <c r="N485" s="166">
        <f>SUM(N483:N484)</f>
        <v>0</v>
      </c>
      <c r="O485" s="166">
        <f>SUM(O483:O484)</f>
        <v>0</v>
      </c>
      <c r="P485" s="166">
        <f>SUM(P483:P484)</f>
        <v>0</v>
      </c>
      <c r="Q485" s="225">
        <f>SUM(P483:P484)</f>
        <v>0</v>
      </c>
      <c r="R485" s="166">
        <f>SUM(R483:R484)</f>
        <v>0</v>
      </c>
      <c r="S485" s="166">
        <f>SUM(S483:S484)</f>
        <v>0</v>
      </c>
      <c r="T485" s="166">
        <f>SUM(T483:T484)</f>
        <v>0</v>
      </c>
      <c r="U485" s="225">
        <f>SUM(T483:T484)</f>
        <v>0</v>
      </c>
      <c r="V485" s="166">
        <f>SUM(V483:V484)</f>
        <v>0</v>
      </c>
      <c r="W485" s="166">
        <f>SUM(W483:W484)</f>
        <v>0</v>
      </c>
      <c r="X485" s="166">
        <f>SUM(X483:X484)</f>
        <v>0</v>
      </c>
      <c r="Y485" s="225">
        <f>SUM(X483:X484)</f>
        <v>0</v>
      </c>
    </row>
    <row r="486" spans="1:25" ht="12.75" hidden="1" customHeight="1" outlineLevel="1" x14ac:dyDescent="0.2">
      <c r="A486" s="191" t="str">
        <f>"   "&amp;Labels!C380</f>
        <v xml:space="preserve">   Total</v>
      </c>
      <c r="B486" s="216">
        <f>SUM(B481,B485)</f>
        <v>0</v>
      </c>
      <c r="C486" s="216">
        <f>SUM(C481,C485)</f>
        <v>0</v>
      </c>
      <c r="D486" s="216">
        <f>SUM(D481,D485)</f>
        <v>0</v>
      </c>
      <c r="E486" s="217">
        <f>SUM(D481,D485)</f>
        <v>0</v>
      </c>
      <c r="F486" s="216">
        <f>SUM(F481,F485)</f>
        <v>0</v>
      </c>
      <c r="G486" s="216">
        <f>SUM(G481,G485)</f>
        <v>0</v>
      </c>
      <c r="H486" s="216">
        <f>SUM(H481,H485)</f>
        <v>0</v>
      </c>
      <c r="I486" s="217">
        <f>SUM(H481,H485)</f>
        <v>0</v>
      </c>
      <c r="J486" s="216">
        <f>SUM(J481,J485)</f>
        <v>2</v>
      </c>
      <c r="K486" s="216">
        <f>SUM(K481,K485)</f>
        <v>4</v>
      </c>
      <c r="L486" s="216">
        <f>SUM(L481,L485)</f>
        <v>0</v>
      </c>
      <c r="M486" s="217">
        <f>SUM(L481,L485)</f>
        <v>0</v>
      </c>
      <c r="N486" s="216">
        <f>SUM(N481,N485)</f>
        <v>0</v>
      </c>
      <c r="O486" s="216">
        <f>SUM(O481,O485)</f>
        <v>0</v>
      </c>
      <c r="P486" s="216">
        <f>SUM(P481,P485)</f>
        <v>0</v>
      </c>
      <c r="Q486" s="217">
        <f>SUM(P481,P485)</f>
        <v>0</v>
      </c>
      <c r="R486" s="216">
        <f>SUM(R481,R485)</f>
        <v>0</v>
      </c>
      <c r="S486" s="216">
        <f>SUM(S481,S485)</f>
        <v>0</v>
      </c>
      <c r="T486" s="216">
        <f>SUM(T481,T485)</f>
        <v>0</v>
      </c>
      <c r="U486" s="217">
        <f>SUM(T481,T485)</f>
        <v>0</v>
      </c>
      <c r="V486" s="216">
        <f>SUM(V481,V485)</f>
        <v>0</v>
      </c>
      <c r="W486" s="216">
        <f>SUM(W481,W485)</f>
        <v>0</v>
      </c>
      <c r="X486" s="216">
        <f>SUM(X481,X485)</f>
        <v>0</v>
      </c>
      <c r="Y486" s="217">
        <f>SUM(X481,X485)</f>
        <v>0</v>
      </c>
    </row>
    <row r="487" spans="1:25" ht="12.75" hidden="1" customHeight="1" outlineLevel="1" x14ac:dyDescent="0.2">
      <c r="A487" s="198" t="str">
        <f>"      "&amp;Labels!B385</f>
        <v xml:space="preserve">      Prof Level 1</v>
      </c>
      <c r="B487" s="237">
        <f t="shared" ref="B487:D489" si="378">SUM(B479,B483)</f>
        <v>0</v>
      </c>
      <c r="C487" s="237">
        <f t="shared" si="378"/>
        <v>0</v>
      </c>
      <c r="D487" s="237">
        <f t="shared" si="378"/>
        <v>0</v>
      </c>
      <c r="E487" s="238">
        <f>SUM(D479,D483)</f>
        <v>0</v>
      </c>
      <c r="F487" s="237">
        <f t="shared" ref="F487:H489" si="379">SUM(F479,F483)</f>
        <v>0</v>
      </c>
      <c r="G487" s="237">
        <f t="shared" si="379"/>
        <v>0</v>
      </c>
      <c r="H487" s="237">
        <f t="shared" si="379"/>
        <v>0</v>
      </c>
      <c r="I487" s="238">
        <f>SUM(H479,H483)</f>
        <v>0</v>
      </c>
      <c r="J487" s="237">
        <f t="shared" ref="J487:L489" si="380">SUM(J479,J483)</f>
        <v>1</v>
      </c>
      <c r="K487" s="237">
        <f t="shared" si="380"/>
        <v>2</v>
      </c>
      <c r="L487" s="237">
        <f t="shared" si="380"/>
        <v>0</v>
      </c>
      <c r="M487" s="238">
        <f>SUM(L479,L483)</f>
        <v>0</v>
      </c>
      <c r="N487" s="237">
        <f t="shared" ref="N487:P489" si="381">SUM(N479,N483)</f>
        <v>0</v>
      </c>
      <c r="O487" s="237">
        <f t="shared" si="381"/>
        <v>0</v>
      </c>
      <c r="P487" s="237">
        <f t="shared" si="381"/>
        <v>0</v>
      </c>
      <c r="Q487" s="238">
        <f>SUM(P479,P483)</f>
        <v>0</v>
      </c>
      <c r="R487" s="237">
        <f t="shared" ref="R487:T489" si="382">SUM(R479,R483)</f>
        <v>0</v>
      </c>
      <c r="S487" s="237">
        <f t="shared" si="382"/>
        <v>0</v>
      </c>
      <c r="T487" s="237">
        <f t="shared" si="382"/>
        <v>0</v>
      </c>
      <c r="U487" s="238">
        <f>SUM(T479,T483)</f>
        <v>0</v>
      </c>
      <c r="V487" s="237">
        <f t="shared" ref="V487:X489" si="383">SUM(V479,V483)</f>
        <v>0</v>
      </c>
      <c r="W487" s="237">
        <f t="shared" si="383"/>
        <v>0</v>
      </c>
      <c r="X487" s="237">
        <f t="shared" si="383"/>
        <v>0</v>
      </c>
      <c r="Y487" s="238">
        <f>SUM(X479,X483)</f>
        <v>0</v>
      </c>
    </row>
    <row r="488" spans="1:25" ht="12.75" hidden="1" customHeight="1" outlineLevel="1" x14ac:dyDescent="0.2">
      <c r="A488" s="198" t="str">
        <f>"      "&amp;Labels!B386</f>
        <v xml:space="preserve">      Prof Level 2</v>
      </c>
      <c r="B488" s="237">
        <f t="shared" si="378"/>
        <v>0</v>
      </c>
      <c r="C488" s="237">
        <f t="shared" si="378"/>
        <v>0</v>
      </c>
      <c r="D488" s="237">
        <f t="shared" si="378"/>
        <v>0</v>
      </c>
      <c r="E488" s="238">
        <f>SUM(D480,D484)</f>
        <v>0</v>
      </c>
      <c r="F488" s="237">
        <f t="shared" si="379"/>
        <v>0</v>
      </c>
      <c r="G488" s="237">
        <f t="shared" si="379"/>
        <v>0</v>
      </c>
      <c r="H488" s="237">
        <f t="shared" si="379"/>
        <v>0</v>
      </c>
      <c r="I488" s="238">
        <f>SUM(H480,H484)</f>
        <v>0</v>
      </c>
      <c r="J488" s="237">
        <f t="shared" si="380"/>
        <v>1</v>
      </c>
      <c r="K488" s="237">
        <f t="shared" si="380"/>
        <v>2</v>
      </c>
      <c r="L488" s="237">
        <f t="shared" si="380"/>
        <v>0</v>
      </c>
      <c r="M488" s="238">
        <f>SUM(L480,L484)</f>
        <v>0</v>
      </c>
      <c r="N488" s="237">
        <f t="shared" si="381"/>
        <v>0</v>
      </c>
      <c r="O488" s="237">
        <f t="shared" si="381"/>
        <v>0</v>
      </c>
      <c r="P488" s="237">
        <f t="shared" si="381"/>
        <v>0</v>
      </c>
      <c r="Q488" s="238">
        <f>SUM(P480,P484)</f>
        <v>0</v>
      </c>
      <c r="R488" s="237">
        <f t="shared" si="382"/>
        <v>0</v>
      </c>
      <c r="S488" s="237">
        <f t="shared" si="382"/>
        <v>0</v>
      </c>
      <c r="T488" s="237">
        <f t="shared" si="382"/>
        <v>0</v>
      </c>
      <c r="U488" s="238">
        <f>SUM(T480,T484)</f>
        <v>0</v>
      </c>
      <c r="V488" s="237">
        <f t="shared" si="383"/>
        <v>0</v>
      </c>
      <c r="W488" s="237">
        <f t="shared" si="383"/>
        <v>0</v>
      </c>
      <c r="X488" s="237">
        <f t="shared" si="383"/>
        <v>0</v>
      </c>
      <c r="Y488" s="238">
        <f>SUM(X480,X484)</f>
        <v>0</v>
      </c>
    </row>
    <row r="489" spans="1:25" ht="12.75" hidden="1" customHeight="1" outlineLevel="1" x14ac:dyDescent="0.2">
      <c r="A489" s="188" t="str">
        <f>"      "&amp;Labels!C384</f>
        <v xml:space="preserve">      Total</v>
      </c>
      <c r="B489" s="166">
        <f t="shared" si="378"/>
        <v>0</v>
      </c>
      <c r="C489" s="166">
        <f t="shared" si="378"/>
        <v>0</v>
      </c>
      <c r="D489" s="166">
        <f t="shared" si="378"/>
        <v>0</v>
      </c>
      <c r="E489" s="225">
        <f>SUM(D481,D485)</f>
        <v>0</v>
      </c>
      <c r="F489" s="166">
        <f t="shared" si="379"/>
        <v>0</v>
      </c>
      <c r="G489" s="166">
        <f t="shared" si="379"/>
        <v>0</v>
      </c>
      <c r="H489" s="166">
        <f t="shared" si="379"/>
        <v>0</v>
      </c>
      <c r="I489" s="225">
        <f>SUM(H481,H485)</f>
        <v>0</v>
      </c>
      <c r="J489" s="166">
        <f t="shared" si="380"/>
        <v>2</v>
      </c>
      <c r="K489" s="166">
        <f t="shared" si="380"/>
        <v>4</v>
      </c>
      <c r="L489" s="166">
        <f t="shared" si="380"/>
        <v>0</v>
      </c>
      <c r="M489" s="225">
        <f>SUM(L481,L485)</f>
        <v>0</v>
      </c>
      <c r="N489" s="166">
        <f t="shared" si="381"/>
        <v>0</v>
      </c>
      <c r="O489" s="166">
        <f t="shared" si="381"/>
        <v>0</v>
      </c>
      <c r="P489" s="166">
        <f t="shared" si="381"/>
        <v>0</v>
      </c>
      <c r="Q489" s="225">
        <f>SUM(P481,P485)</f>
        <v>0</v>
      </c>
      <c r="R489" s="166">
        <f t="shared" si="382"/>
        <v>0</v>
      </c>
      <c r="S489" s="166">
        <f t="shared" si="382"/>
        <v>0</v>
      </c>
      <c r="T489" s="166">
        <f t="shared" si="382"/>
        <v>0</v>
      </c>
      <c r="U489" s="225">
        <f>SUM(T481,T485)</f>
        <v>0</v>
      </c>
      <c r="V489" s="166">
        <f t="shared" si="383"/>
        <v>0</v>
      </c>
      <c r="W489" s="166">
        <f t="shared" si="383"/>
        <v>0</v>
      </c>
      <c r="X489" s="166">
        <f t="shared" si="383"/>
        <v>0</v>
      </c>
      <c r="Y489" s="225">
        <f>SUM(X481,X485)</f>
        <v>0</v>
      </c>
    </row>
    <row r="490" spans="1:25" ht="12.75" hidden="1" customHeight="1" outlineLevel="1" x14ac:dyDescent="0.2">
      <c r="A490" s="97"/>
      <c r="B490" s="6"/>
      <c r="C490" s="6"/>
      <c r="D490" s="6"/>
      <c r="E490" s="97"/>
      <c r="F490" s="6"/>
      <c r="G490" s="6"/>
      <c r="H490" s="6"/>
      <c r="I490" s="97"/>
      <c r="J490" s="6"/>
      <c r="K490" s="6"/>
      <c r="L490" s="6"/>
      <c r="M490" s="97"/>
      <c r="N490" s="6"/>
      <c r="O490" s="6"/>
      <c r="P490" s="6"/>
      <c r="Q490" s="97"/>
      <c r="R490" s="6"/>
      <c r="S490" s="6"/>
      <c r="T490" s="6"/>
      <c r="U490" s="97"/>
      <c r="V490" s="6"/>
      <c r="W490" s="6"/>
      <c r="X490" s="6"/>
      <c r="Y490" s="97"/>
    </row>
    <row r="491" spans="1:25" ht="12.75" hidden="1" customHeight="1" outlineLevel="1" x14ac:dyDescent="0.2">
      <c r="A491" s="191" t="str">
        <f>Labels!B207</f>
        <v>Prof Staff Turnover</v>
      </c>
      <c r="B491" s="314"/>
      <c r="C491" s="314"/>
      <c r="D491" s="314"/>
      <c r="E491" s="315"/>
      <c r="F491" s="314"/>
      <c r="G491" s="314"/>
      <c r="H491" s="314"/>
      <c r="I491" s="315"/>
      <c r="J491" s="314"/>
      <c r="K491" s="314"/>
      <c r="L491" s="314"/>
      <c r="M491" s="315"/>
      <c r="N491" s="314"/>
      <c r="O491" s="314"/>
      <c r="P491" s="314"/>
      <c r="Q491" s="315"/>
      <c r="R491" s="314"/>
      <c r="S491" s="314"/>
      <c r="T491" s="314"/>
      <c r="U491" s="315"/>
      <c r="V491" s="314"/>
      <c r="W491" s="314"/>
      <c r="X491" s="314"/>
      <c r="Y491" s="315"/>
    </row>
    <row r="492" spans="1:25" ht="12.75" hidden="1" customHeight="1" outlineLevel="1" x14ac:dyDescent="0.2">
      <c r="A492" s="188" t="str">
        <f>"   "&amp;Labels!B381</f>
        <v xml:space="preserve">   Practice 1</v>
      </c>
      <c r="B492" s="316"/>
      <c r="C492" s="316"/>
      <c r="D492" s="316"/>
      <c r="E492" s="317"/>
      <c r="F492" s="316"/>
      <c r="G492" s="316"/>
      <c r="H492" s="316"/>
      <c r="I492" s="317"/>
      <c r="J492" s="316"/>
      <c r="K492" s="316"/>
      <c r="L492" s="316"/>
      <c r="M492" s="317"/>
      <c r="N492" s="316"/>
      <c r="O492" s="316"/>
      <c r="P492" s="316"/>
      <c r="Q492" s="317"/>
      <c r="R492" s="316"/>
      <c r="S492" s="316"/>
      <c r="T492" s="316"/>
      <c r="U492" s="317"/>
      <c r="V492" s="316"/>
      <c r="W492" s="316"/>
      <c r="X492" s="316"/>
      <c r="Y492" s="317"/>
    </row>
    <row r="493" spans="1:25" ht="12.75" hidden="1" customHeight="1" outlineLevel="1" x14ac:dyDescent="0.2">
      <c r="A493" s="198" t="str">
        <f>"      "&amp;Labels!B385</f>
        <v xml:space="preserve">      Prof Level 1</v>
      </c>
      <c r="B493" s="318">
        <f>Inputs!F257/12*B479</f>
        <v>0</v>
      </c>
      <c r="C493" s="318">
        <f>Inputs!F257/12*C479</f>
        <v>0</v>
      </c>
      <c r="D493" s="318">
        <f>Inputs!F257/12*D479</f>
        <v>0</v>
      </c>
      <c r="E493" s="319">
        <f>SUM(B493:D493)</f>
        <v>0</v>
      </c>
      <c r="F493" s="318">
        <f>Inputs!F257/12*F479</f>
        <v>0</v>
      </c>
      <c r="G493" s="318">
        <f>Inputs!F257/12*G479</f>
        <v>0</v>
      </c>
      <c r="H493" s="318">
        <f>Inputs!F257/12*H479</f>
        <v>0</v>
      </c>
      <c r="I493" s="319">
        <f>SUM(F493:H493)</f>
        <v>0</v>
      </c>
      <c r="J493" s="318">
        <f>Inputs!F257/12*J479</f>
        <v>8.3333333333333332E-3</v>
      </c>
      <c r="K493" s="318">
        <f>Inputs!F257/12*K479</f>
        <v>1.6666666666666666E-2</v>
      </c>
      <c r="L493" s="318">
        <f>Inputs!F257/12*L479</f>
        <v>0</v>
      </c>
      <c r="M493" s="319">
        <f>SUM(J493:L493)</f>
        <v>2.5000000000000001E-2</v>
      </c>
      <c r="N493" s="318">
        <f>Inputs!F257/12*N479</f>
        <v>0</v>
      </c>
      <c r="O493" s="318">
        <f>Inputs!F257/12*O479</f>
        <v>0</v>
      </c>
      <c r="P493" s="318">
        <f>Inputs!F257/12*P479</f>
        <v>0</v>
      </c>
      <c r="Q493" s="319">
        <f>SUM(N493:P493)</f>
        <v>0</v>
      </c>
      <c r="R493" s="318">
        <f>Inputs!F257/12*R479</f>
        <v>0</v>
      </c>
      <c r="S493" s="318">
        <f>Inputs!F257/12*S479</f>
        <v>0</v>
      </c>
      <c r="T493" s="318">
        <f>Inputs!F257/12*T479</f>
        <v>0</v>
      </c>
      <c r="U493" s="319">
        <f>SUM(R493:T493)</f>
        <v>0</v>
      </c>
      <c r="V493" s="318">
        <f>Inputs!F257/12*V479</f>
        <v>0</v>
      </c>
      <c r="W493" s="318">
        <f>Inputs!F257/12*W479</f>
        <v>0</v>
      </c>
      <c r="X493" s="318">
        <f>Inputs!F257/12*X479</f>
        <v>0</v>
      </c>
      <c r="Y493" s="319">
        <f>SUM(V493:X493)</f>
        <v>0</v>
      </c>
    </row>
    <row r="494" spans="1:25" ht="12.75" hidden="1" customHeight="1" outlineLevel="1" x14ac:dyDescent="0.2">
      <c r="A494" s="198" t="str">
        <f>"      "&amp;Labels!B386</f>
        <v xml:space="preserve">      Prof Level 2</v>
      </c>
      <c r="B494" s="318">
        <f>Inputs!F258/12*B480</f>
        <v>0</v>
      </c>
      <c r="C494" s="318">
        <f>Inputs!F258/12*C480</f>
        <v>0</v>
      </c>
      <c r="D494" s="318">
        <f>Inputs!F258/12*D480</f>
        <v>0</v>
      </c>
      <c r="E494" s="319">
        <f>SUM(B494:D494)</f>
        <v>0</v>
      </c>
      <c r="F494" s="318">
        <f>Inputs!F258/12*F480</f>
        <v>0</v>
      </c>
      <c r="G494" s="318">
        <f>Inputs!F258/12*G480</f>
        <v>0</v>
      </c>
      <c r="H494" s="318">
        <f>Inputs!F258/12*H480</f>
        <v>0</v>
      </c>
      <c r="I494" s="319">
        <f>SUM(F494:H494)</f>
        <v>0</v>
      </c>
      <c r="J494" s="318">
        <f>Inputs!F258/12*J480</f>
        <v>8.3333333333333332E-3</v>
      </c>
      <c r="K494" s="318">
        <f>Inputs!F258/12*K480</f>
        <v>1.6666666666666666E-2</v>
      </c>
      <c r="L494" s="318">
        <f>Inputs!F258/12*L480</f>
        <v>0</v>
      </c>
      <c r="M494" s="319">
        <f>SUM(J494:L494)</f>
        <v>2.5000000000000001E-2</v>
      </c>
      <c r="N494" s="318">
        <f>Inputs!F258/12*N480</f>
        <v>0</v>
      </c>
      <c r="O494" s="318">
        <f>Inputs!F258/12*O480</f>
        <v>0</v>
      </c>
      <c r="P494" s="318">
        <f>Inputs!F258/12*P480</f>
        <v>0</v>
      </c>
      <c r="Q494" s="319">
        <f>SUM(N494:P494)</f>
        <v>0</v>
      </c>
      <c r="R494" s="318">
        <f>Inputs!F258/12*R480</f>
        <v>0</v>
      </c>
      <c r="S494" s="318">
        <f>Inputs!F258/12*S480</f>
        <v>0</v>
      </c>
      <c r="T494" s="318">
        <f>Inputs!F258/12*T480</f>
        <v>0</v>
      </c>
      <c r="U494" s="319">
        <f>SUM(R494:T494)</f>
        <v>0</v>
      </c>
      <c r="V494" s="318">
        <f>Inputs!F258/12*V480</f>
        <v>0</v>
      </c>
      <c r="W494" s="318">
        <f>Inputs!F258/12*W480</f>
        <v>0</v>
      </c>
      <c r="X494" s="318">
        <f>Inputs!F258/12*X480</f>
        <v>0</v>
      </c>
      <c r="Y494" s="319">
        <f>SUM(V494:X494)</f>
        <v>0</v>
      </c>
    </row>
    <row r="495" spans="1:25" ht="12.75" hidden="1" customHeight="1" outlineLevel="1" x14ac:dyDescent="0.2">
      <c r="A495" s="188" t="str">
        <f>"      "&amp;Labels!C384</f>
        <v xml:space="preserve">      Total</v>
      </c>
      <c r="B495" s="316">
        <f>SUM(B493:B494)</f>
        <v>0</v>
      </c>
      <c r="C495" s="316">
        <f>SUM(C493:C494)</f>
        <v>0</v>
      </c>
      <c r="D495" s="316">
        <f>SUM(D493:D494)</f>
        <v>0</v>
      </c>
      <c r="E495" s="317">
        <f>SUM(B495:D495)</f>
        <v>0</v>
      </c>
      <c r="F495" s="316">
        <f>SUM(F493:F494)</f>
        <v>0</v>
      </c>
      <c r="G495" s="316">
        <f>SUM(G493:G494)</f>
        <v>0</v>
      </c>
      <c r="H495" s="316">
        <f>SUM(H493:H494)</f>
        <v>0</v>
      </c>
      <c r="I495" s="317">
        <f>SUM(F495:H495)</f>
        <v>0</v>
      </c>
      <c r="J495" s="316">
        <f>SUM(J493:J494)</f>
        <v>1.6666666666666666E-2</v>
      </c>
      <c r="K495" s="316">
        <f>SUM(K493:K494)</f>
        <v>3.3333333333333333E-2</v>
      </c>
      <c r="L495" s="316">
        <f>SUM(L493:L494)</f>
        <v>0</v>
      </c>
      <c r="M495" s="317">
        <f>SUM(J495:L495)</f>
        <v>0.05</v>
      </c>
      <c r="N495" s="316">
        <f>SUM(N493:N494)</f>
        <v>0</v>
      </c>
      <c r="O495" s="316">
        <f>SUM(O493:O494)</f>
        <v>0</v>
      </c>
      <c r="P495" s="316">
        <f>SUM(P493:P494)</f>
        <v>0</v>
      </c>
      <c r="Q495" s="317">
        <f>SUM(N495:P495)</f>
        <v>0</v>
      </c>
      <c r="R495" s="316">
        <f>SUM(R493:R494)</f>
        <v>0</v>
      </c>
      <c r="S495" s="316">
        <f>SUM(S493:S494)</f>
        <v>0</v>
      </c>
      <c r="T495" s="316">
        <f>SUM(T493:T494)</f>
        <v>0</v>
      </c>
      <c r="U495" s="317">
        <f>SUM(R495:T495)</f>
        <v>0</v>
      </c>
      <c r="V495" s="316">
        <f>SUM(V493:V494)</f>
        <v>0</v>
      </c>
      <c r="W495" s="316">
        <f>SUM(W493:W494)</f>
        <v>0</v>
      </c>
      <c r="X495" s="316">
        <f>SUM(X493:X494)</f>
        <v>0</v>
      </c>
      <c r="Y495" s="317">
        <f>SUM(V495:X495)</f>
        <v>0</v>
      </c>
    </row>
    <row r="496" spans="1:25" ht="12.75" hidden="1" customHeight="1" outlineLevel="1" x14ac:dyDescent="0.2">
      <c r="A496" s="188" t="str">
        <f>"   "&amp;Labels!B382</f>
        <v xml:space="preserve">   Practice 2</v>
      </c>
      <c r="B496" s="316"/>
      <c r="C496" s="316"/>
      <c r="D496" s="316"/>
      <c r="E496" s="317"/>
      <c r="F496" s="316"/>
      <c r="G496" s="316"/>
      <c r="H496" s="316"/>
      <c r="I496" s="317"/>
      <c r="J496" s="316"/>
      <c r="K496" s="316"/>
      <c r="L496" s="316"/>
      <c r="M496" s="317"/>
      <c r="N496" s="316"/>
      <c r="O496" s="316"/>
      <c r="P496" s="316"/>
      <c r="Q496" s="317"/>
      <c r="R496" s="316"/>
      <c r="S496" s="316"/>
      <c r="T496" s="316"/>
      <c r="U496" s="317"/>
      <c r="V496" s="316"/>
      <c r="W496" s="316"/>
      <c r="X496" s="316"/>
      <c r="Y496" s="317"/>
    </row>
    <row r="497" spans="1:25" ht="12.75" hidden="1" customHeight="1" outlineLevel="1" x14ac:dyDescent="0.2">
      <c r="A497" s="198" t="str">
        <f>"      "&amp;Labels!B385</f>
        <v xml:space="preserve">      Prof Level 1</v>
      </c>
      <c r="B497" s="318">
        <f>Inputs!F259/12*B483</f>
        <v>0</v>
      </c>
      <c r="C497" s="318">
        <f>Inputs!F259/12*C483</f>
        <v>0</v>
      </c>
      <c r="D497" s="318">
        <f>Inputs!F259/12*D483</f>
        <v>0</v>
      </c>
      <c r="E497" s="319">
        <f t="shared" ref="E497:E502" si="384">SUM(B497:D497)</f>
        <v>0</v>
      </c>
      <c r="F497" s="318">
        <f>Inputs!F259/12*F483</f>
        <v>0</v>
      </c>
      <c r="G497" s="318">
        <f>Inputs!F259/12*G483</f>
        <v>0</v>
      </c>
      <c r="H497" s="318">
        <f>Inputs!F259/12*H483</f>
        <v>0</v>
      </c>
      <c r="I497" s="319">
        <f t="shared" ref="I497:I502" si="385">SUM(F497:H497)</f>
        <v>0</v>
      </c>
      <c r="J497" s="318">
        <f>Inputs!F259/12*J483</f>
        <v>0</v>
      </c>
      <c r="K497" s="318">
        <f>Inputs!F259/12*K483</f>
        <v>0</v>
      </c>
      <c r="L497" s="318">
        <f>Inputs!F259/12*L483</f>
        <v>0</v>
      </c>
      <c r="M497" s="319">
        <f t="shared" ref="M497:M502" si="386">SUM(J497:L497)</f>
        <v>0</v>
      </c>
      <c r="N497" s="318">
        <f>Inputs!F259/12*N483</f>
        <v>0</v>
      </c>
      <c r="O497" s="318">
        <f>Inputs!F259/12*O483</f>
        <v>0</v>
      </c>
      <c r="P497" s="318">
        <f>Inputs!F259/12*P483</f>
        <v>0</v>
      </c>
      <c r="Q497" s="319">
        <f t="shared" ref="Q497:Q502" si="387">SUM(N497:P497)</f>
        <v>0</v>
      </c>
      <c r="R497" s="318">
        <f>Inputs!F259/12*R483</f>
        <v>0</v>
      </c>
      <c r="S497" s="318">
        <f>Inputs!F259/12*S483</f>
        <v>0</v>
      </c>
      <c r="T497" s="318">
        <f>Inputs!F259/12*T483</f>
        <v>0</v>
      </c>
      <c r="U497" s="319">
        <f t="shared" ref="U497:U502" si="388">SUM(R497:T497)</f>
        <v>0</v>
      </c>
      <c r="V497" s="318">
        <f>Inputs!F259/12*V483</f>
        <v>0</v>
      </c>
      <c r="W497" s="318">
        <f>Inputs!F259/12*W483</f>
        <v>0</v>
      </c>
      <c r="X497" s="318">
        <f>Inputs!F259/12*X483</f>
        <v>0</v>
      </c>
      <c r="Y497" s="319">
        <f t="shared" ref="Y497:Y502" si="389">SUM(V497:X497)</f>
        <v>0</v>
      </c>
    </row>
    <row r="498" spans="1:25" ht="12.75" hidden="1" customHeight="1" outlineLevel="1" x14ac:dyDescent="0.2">
      <c r="A498" s="198" t="str">
        <f>"      "&amp;Labels!B386</f>
        <v xml:space="preserve">      Prof Level 2</v>
      </c>
      <c r="B498" s="318">
        <f>Inputs!F260/12*B484</f>
        <v>0</v>
      </c>
      <c r="C498" s="318">
        <f>Inputs!F260/12*C484</f>
        <v>0</v>
      </c>
      <c r="D498" s="318">
        <f>Inputs!F260/12*D484</f>
        <v>0</v>
      </c>
      <c r="E498" s="319">
        <f t="shared" si="384"/>
        <v>0</v>
      </c>
      <c r="F498" s="318">
        <f>Inputs!F260/12*F484</f>
        <v>0</v>
      </c>
      <c r="G498" s="318">
        <f>Inputs!F260/12*G484</f>
        <v>0</v>
      </c>
      <c r="H498" s="318">
        <f>Inputs!F260/12*H484</f>
        <v>0</v>
      </c>
      <c r="I498" s="319">
        <f t="shared" si="385"/>
        <v>0</v>
      </c>
      <c r="J498" s="318">
        <f>Inputs!F260/12*J484</f>
        <v>0</v>
      </c>
      <c r="K498" s="318">
        <f>Inputs!F260/12*K484</f>
        <v>0</v>
      </c>
      <c r="L498" s="318">
        <f>Inputs!F260/12*L484</f>
        <v>0</v>
      </c>
      <c r="M498" s="319">
        <f t="shared" si="386"/>
        <v>0</v>
      </c>
      <c r="N498" s="318">
        <f>Inputs!F260/12*N484</f>
        <v>0</v>
      </c>
      <c r="O498" s="318">
        <f>Inputs!F260/12*O484</f>
        <v>0</v>
      </c>
      <c r="P498" s="318">
        <f>Inputs!F260/12*P484</f>
        <v>0</v>
      </c>
      <c r="Q498" s="319">
        <f t="shared" si="387"/>
        <v>0</v>
      </c>
      <c r="R498" s="318">
        <f>Inputs!F260/12*R484</f>
        <v>0</v>
      </c>
      <c r="S498" s="318">
        <f>Inputs!F260/12*S484</f>
        <v>0</v>
      </c>
      <c r="T498" s="318">
        <f>Inputs!F260/12*T484</f>
        <v>0</v>
      </c>
      <c r="U498" s="319">
        <f t="shared" si="388"/>
        <v>0</v>
      </c>
      <c r="V498" s="318">
        <f>Inputs!F260/12*V484</f>
        <v>0</v>
      </c>
      <c r="W498" s="318">
        <f>Inputs!F260/12*W484</f>
        <v>0</v>
      </c>
      <c r="X498" s="318">
        <f>Inputs!F260/12*X484</f>
        <v>0</v>
      </c>
      <c r="Y498" s="319">
        <f t="shared" si="389"/>
        <v>0</v>
      </c>
    </row>
    <row r="499" spans="1:25" ht="12.75" hidden="1" customHeight="1" outlineLevel="1" x14ac:dyDescent="0.2">
      <c r="A499" s="188" t="str">
        <f>"      "&amp;Labels!C384</f>
        <v xml:space="preserve">      Total</v>
      </c>
      <c r="B499" s="316">
        <f>SUM(B497:B498)</f>
        <v>0</v>
      </c>
      <c r="C499" s="316">
        <f>SUM(C497:C498)</f>
        <v>0</v>
      </c>
      <c r="D499" s="316">
        <f>SUM(D497:D498)</f>
        <v>0</v>
      </c>
      <c r="E499" s="317">
        <f t="shared" si="384"/>
        <v>0</v>
      </c>
      <c r="F499" s="316">
        <f>SUM(F497:F498)</f>
        <v>0</v>
      </c>
      <c r="G499" s="316">
        <f>SUM(G497:G498)</f>
        <v>0</v>
      </c>
      <c r="H499" s="316">
        <f>SUM(H497:H498)</f>
        <v>0</v>
      </c>
      <c r="I499" s="317">
        <f t="shared" si="385"/>
        <v>0</v>
      </c>
      <c r="J499" s="316">
        <f>SUM(J497:J498)</f>
        <v>0</v>
      </c>
      <c r="K499" s="316">
        <f>SUM(K497:K498)</f>
        <v>0</v>
      </c>
      <c r="L499" s="316">
        <f>SUM(L497:L498)</f>
        <v>0</v>
      </c>
      <c r="M499" s="317">
        <f t="shared" si="386"/>
        <v>0</v>
      </c>
      <c r="N499" s="316">
        <f>SUM(N497:N498)</f>
        <v>0</v>
      </c>
      <c r="O499" s="316">
        <f>SUM(O497:O498)</f>
        <v>0</v>
      </c>
      <c r="P499" s="316">
        <f>SUM(P497:P498)</f>
        <v>0</v>
      </c>
      <c r="Q499" s="317">
        <f t="shared" si="387"/>
        <v>0</v>
      </c>
      <c r="R499" s="316">
        <f>SUM(R497:R498)</f>
        <v>0</v>
      </c>
      <c r="S499" s="316">
        <f>SUM(S497:S498)</f>
        <v>0</v>
      </c>
      <c r="T499" s="316">
        <f>SUM(T497:T498)</f>
        <v>0</v>
      </c>
      <c r="U499" s="317">
        <f t="shared" si="388"/>
        <v>0</v>
      </c>
      <c r="V499" s="316">
        <f>SUM(V497:V498)</f>
        <v>0</v>
      </c>
      <c r="W499" s="316">
        <f>SUM(W497:W498)</f>
        <v>0</v>
      </c>
      <c r="X499" s="316">
        <f>SUM(X497:X498)</f>
        <v>0</v>
      </c>
      <c r="Y499" s="317">
        <f t="shared" si="389"/>
        <v>0</v>
      </c>
    </row>
    <row r="500" spans="1:25" ht="12.75" hidden="1" customHeight="1" outlineLevel="1" x14ac:dyDescent="0.2">
      <c r="A500" s="191" t="str">
        <f>"   "&amp;Labels!C380</f>
        <v xml:space="preserve">   Total</v>
      </c>
      <c r="B500" s="314">
        <f>SUM(B495,B499)</f>
        <v>0</v>
      </c>
      <c r="C500" s="314">
        <f>SUM(C495,C499)</f>
        <v>0</v>
      </c>
      <c r="D500" s="314">
        <f>SUM(D495,D499)</f>
        <v>0</v>
      </c>
      <c r="E500" s="315">
        <f t="shared" si="384"/>
        <v>0</v>
      </c>
      <c r="F500" s="314">
        <f>SUM(F495,F499)</f>
        <v>0</v>
      </c>
      <c r="G500" s="314">
        <f>SUM(G495,G499)</f>
        <v>0</v>
      </c>
      <c r="H500" s="314">
        <f>SUM(H495,H499)</f>
        <v>0</v>
      </c>
      <c r="I500" s="315">
        <f t="shared" si="385"/>
        <v>0</v>
      </c>
      <c r="J500" s="314">
        <f>SUM(J495,J499)</f>
        <v>1.6666666666666666E-2</v>
      </c>
      <c r="K500" s="314">
        <f>SUM(K495,K499)</f>
        <v>3.3333333333333333E-2</v>
      </c>
      <c r="L500" s="314">
        <f>SUM(L495,L499)</f>
        <v>0</v>
      </c>
      <c r="M500" s="315">
        <f t="shared" si="386"/>
        <v>0.05</v>
      </c>
      <c r="N500" s="314">
        <f>SUM(N495,N499)</f>
        <v>0</v>
      </c>
      <c r="O500" s="314">
        <f>SUM(O495,O499)</f>
        <v>0</v>
      </c>
      <c r="P500" s="314">
        <f>SUM(P495,P499)</f>
        <v>0</v>
      </c>
      <c r="Q500" s="315">
        <f t="shared" si="387"/>
        <v>0</v>
      </c>
      <c r="R500" s="314">
        <f>SUM(R495,R499)</f>
        <v>0</v>
      </c>
      <c r="S500" s="314">
        <f>SUM(S495,S499)</f>
        <v>0</v>
      </c>
      <c r="T500" s="314">
        <f>SUM(T495,T499)</f>
        <v>0</v>
      </c>
      <c r="U500" s="315">
        <f t="shared" si="388"/>
        <v>0</v>
      </c>
      <c r="V500" s="314">
        <f>SUM(V495,V499)</f>
        <v>0</v>
      </c>
      <c r="W500" s="314">
        <f>SUM(W495,W499)</f>
        <v>0</v>
      </c>
      <c r="X500" s="314">
        <f>SUM(X495,X499)</f>
        <v>0</v>
      </c>
      <c r="Y500" s="315">
        <f t="shared" si="389"/>
        <v>0</v>
      </c>
    </row>
    <row r="501" spans="1:25" ht="12.75" hidden="1" customHeight="1" outlineLevel="1" x14ac:dyDescent="0.2">
      <c r="A501" s="198" t="str">
        <f>"      "&amp;Labels!B385</f>
        <v xml:space="preserve">      Prof Level 1</v>
      </c>
      <c r="B501" s="318">
        <f t="shared" ref="B501:D503" si="390">SUM(B493,B497)</f>
        <v>0</v>
      </c>
      <c r="C501" s="318">
        <f t="shared" si="390"/>
        <v>0</v>
      </c>
      <c r="D501" s="318">
        <f t="shared" si="390"/>
        <v>0</v>
      </c>
      <c r="E501" s="319">
        <f t="shared" si="384"/>
        <v>0</v>
      </c>
      <c r="F501" s="318">
        <f t="shared" ref="F501:H503" si="391">SUM(F493,F497)</f>
        <v>0</v>
      </c>
      <c r="G501" s="318">
        <f t="shared" si="391"/>
        <v>0</v>
      </c>
      <c r="H501" s="318">
        <f t="shared" si="391"/>
        <v>0</v>
      </c>
      <c r="I501" s="319">
        <f t="shared" si="385"/>
        <v>0</v>
      </c>
      <c r="J501" s="318">
        <f t="shared" ref="J501:L503" si="392">SUM(J493,J497)</f>
        <v>8.3333333333333332E-3</v>
      </c>
      <c r="K501" s="318">
        <f t="shared" si="392"/>
        <v>1.6666666666666666E-2</v>
      </c>
      <c r="L501" s="318">
        <f t="shared" si="392"/>
        <v>0</v>
      </c>
      <c r="M501" s="319">
        <f t="shared" si="386"/>
        <v>2.5000000000000001E-2</v>
      </c>
      <c r="N501" s="318">
        <f t="shared" ref="N501:P503" si="393">SUM(N493,N497)</f>
        <v>0</v>
      </c>
      <c r="O501" s="318">
        <f t="shared" si="393"/>
        <v>0</v>
      </c>
      <c r="P501" s="318">
        <f t="shared" si="393"/>
        <v>0</v>
      </c>
      <c r="Q501" s="319">
        <f t="shared" si="387"/>
        <v>0</v>
      </c>
      <c r="R501" s="318">
        <f t="shared" ref="R501:T503" si="394">SUM(R493,R497)</f>
        <v>0</v>
      </c>
      <c r="S501" s="318">
        <f t="shared" si="394"/>
        <v>0</v>
      </c>
      <c r="T501" s="318">
        <f t="shared" si="394"/>
        <v>0</v>
      </c>
      <c r="U501" s="319">
        <f t="shared" si="388"/>
        <v>0</v>
      </c>
      <c r="V501" s="318">
        <f t="shared" ref="V501:X503" si="395">SUM(V493,V497)</f>
        <v>0</v>
      </c>
      <c r="W501" s="318">
        <f t="shared" si="395"/>
        <v>0</v>
      </c>
      <c r="X501" s="318">
        <f t="shared" si="395"/>
        <v>0</v>
      </c>
      <c r="Y501" s="319">
        <f t="shared" si="389"/>
        <v>0</v>
      </c>
    </row>
    <row r="502" spans="1:25" ht="12.75" hidden="1" customHeight="1" outlineLevel="1" x14ac:dyDescent="0.2">
      <c r="A502" s="198" t="str">
        <f>"      "&amp;Labels!B386</f>
        <v xml:space="preserve">      Prof Level 2</v>
      </c>
      <c r="B502" s="318">
        <f t="shared" si="390"/>
        <v>0</v>
      </c>
      <c r="C502" s="318">
        <f t="shared" si="390"/>
        <v>0</v>
      </c>
      <c r="D502" s="318">
        <f t="shared" si="390"/>
        <v>0</v>
      </c>
      <c r="E502" s="319">
        <f t="shared" si="384"/>
        <v>0</v>
      </c>
      <c r="F502" s="318">
        <f t="shared" si="391"/>
        <v>0</v>
      </c>
      <c r="G502" s="318">
        <f t="shared" si="391"/>
        <v>0</v>
      </c>
      <c r="H502" s="318">
        <f t="shared" si="391"/>
        <v>0</v>
      </c>
      <c r="I502" s="319">
        <f t="shared" si="385"/>
        <v>0</v>
      </c>
      <c r="J502" s="318">
        <f t="shared" si="392"/>
        <v>8.3333333333333332E-3</v>
      </c>
      <c r="K502" s="318">
        <f t="shared" si="392"/>
        <v>1.6666666666666666E-2</v>
      </c>
      <c r="L502" s="318">
        <f t="shared" si="392"/>
        <v>0</v>
      </c>
      <c r="M502" s="319">
        <f t="shared" si="386"/>
        <v>2.5000000000000001E-2</v>
      </c>
      <c r="N502" s="318">
        <f t="shared" si="393"/>
        <v>0</v>
      </c>
      <c r="O502" s="318">
        <f t="shared" si="393"/>
        <v>0</v>
      </c>
      <c r="P502" s="318">
        <f t="shared" si="393"/>
        <v>0</v>
      </c>
      <c r="Q502" s="319">
        <f t="shared" si="387"/>
        <v>0</v>
      </c>
      <c r="R502" s="318">
        <f t="shared" si="394"/>
        <v>0</v>
      </c>
      <c r="S502" s="318">
        <f t="shared" si="394"/>
        <v>0</v>
      </c>
      <c r="T502" s="318">
        <f t="shared" si="394"/>
        <v>0</v>
      </c>
      <c r="U502" s="319">
        <f t="shared" si="388"/>
        <v>0</v>
      </c>
      <c r="V502" s="318">
        <f t="shared" si="395"/>
        <v>0</v>
      </c>
      <c r="W502" s="318">
        <f t="shared" si="395"/>
        <v>0</v>
      </c>
      <c r="X502" s="318">
        <f t="shared" si="395"/>
        <v>0</v>
      </c>
      <c r="Y502" s="319">
        <f t="shared" si="389"/>
        <v>0</v>
      </c>
    </row>
    <row r="503" spans="1:25" ht="12.75" hidden="1" customHeight="1" outlineLevel="1" x14ac:dyDescent="0.2">
      <c r="A503" s="188" t="str">
        <f>"      "&amp;Labels!C384</f>
        <v xml:space="preserve">      Total</v>
      </c>
      <c r="B503" s="316">
        <f t="shared" si="390"/>
        <v>0</v>
      </c>
      <c r="C503" s="316">
        <f t="shared" si="390"/>
        <v>0</v>
      </c>
      <c r="D503" s="316">
        <f t="shared" si="390"/>
        <v>0</v>
      </c>
      <c r="E503" s="317">
        <f>SUM(B500:D500)</f>
        <v>0</v>
      </c>
      <c r="F503" s="316">
        <f t="shared" si="391"/>
        <v>0</v>
      </c>
      <c r="G503" s="316">
        <f t="shared" si="391"/>
        <v>0</v>
      </c>
      <c r="H503" s="316">
        <f t="shared" si="391"/>
        <v>0</v>
      </c>
      <c r="I503" s="317">
        <f>SUM(F500:H500)</f>
        <v>0</v>
      </c>
      <c r="J503" s="316">
        <f t="shared" si="392"/>
        <v>1.6666666666666666E-2</v>
      </c>
      <c r="K503" s="316">
        <f t="shared" si="392"/>
        <v>3.3333333333333333E-2</v>
      </c>
      <c r="L503" s="316">
        <f t="shared" si="392"/>
        <v>0</v>
      </c>
      <c r="M503" s="317">
        <f>SUM(J500:L500)</f>
        <v>0.05</v>
      </c>
      <c r="N503" s="316">
        <f t="shared" si="393"/>
        <v>0</v>
      </c>
      <c r="O503" s="316">
        <f t="shared" si="393"/>
        <v>0</v>
      </c>
      <c r="P503" s="316">
        <f t="shared" si="393"/>
        <v>0</v>
      </c>
      <c r="Q503" s="317">
        <f>SUM(N500:P500)</f>
        <v>0</v>
      </c>
      <c r="R503" s="316">
        <f t="shared" si="394"/>
        <v>0</v>
      </c>
      <c r="S503" s="316">
        <f t="shared" si="394"/>
        <v>0</v>
      </c>
      <c r="T503" s="316">
        <f t="shared" si="394"/>
        <v>0</v>
      </c>
      <c r="U503" s="317">
        <f>SUM(R500:T500)</f>
        <v>0</v>
      </c>
      <c r="V503" s="316">
        <f t="shared" si="395"/>
        <v>0</v>
      </c>
      <c r="W503" s="316">
        <f t="shared" si="395"/>
        <v>0</v>
      </c>
      <c r="X503" s="316">
        <f t="shared" si="395"/>
        <v>0</v>
      </c>
      <c r="Y503" s="317">
        <f>SUM(V500:X500)</f>
        <v>0</v>
      </c>
    </row>
    <row r="504" spans="1:25" ht="12.75" hidden="1" customHeight="1" outlineLevel="1" x14ac:dyDescent="0.2">
      <c r="A504" s="97"/>
      <c r="B504" s="6"/>
      <c r="C504" s="6"/>
      <c r="D504" s="6"/>
      <c r="E504" s="97"/>
      <c r="F504" s="6"/>
      <c r="G504" s="6"/>
      <c r="H504" s="6"/>
      <c r="I504" s="97"/>
      <c r="J504" s="6"/>
      <c r="K504" s="6"/>
      <c r="L504" s="6"/>
      <c r="M504" s="97"/>
      <c r="N504" s="6"/>
      <c r="O504" s="6"/>
      <c r="P504" s="6"/>
      <c r="Q504" s="97"/>
      <c r="R504" s="6"/>
      <c r="S504" s="6"/>
      <c r="T504" s="6"/>
      <c r="U504" s="97"/>
      <c r="V504" s="6"/>
      <c r="W504" s="6"/>
      <c r="X504" s="6"/>
      <c r="Y504" s="97"/>
    </row>
    <row r="505" spans="1:25" ht="12.75" hidden="1" customHeight="1" outlineLevel="1" x14ac:dyDescent="0.2">
      <c r="A505" s="191" t="str">
        <f>Labels!B190</f>
        <v>Prof Staff Capacity (Hrs)</v>
      </c>
      <c r="B505" s="260"/>
      <c r="C505" s="260"/>
      <c r="D505" s="260"/>
      <c r="E505" s="261"/>
      <c r="F505" s="260"/>
      <c r="G505" s="260"/>
      <c r="H505" s="260"/>
      <c r="I505" s="261"/>
      <c r="J505" s="260"/>
      <c r="K505" s="260"/>
      <c r="L505" s="260"/>
      <c r="M505" s="261"/>
      <c r="N505" s="260"/>
      <c r="O505" s="260"/>
      <c r="P505" s="260"/>
      <c r="Q505" s="261"/>
      <c r="R505" s="260"/>
      <c r="S505" s="260"/>
      <c r="T505" s="260"/>
      <c r="U505" s="261"/>
      <c r="V505" s="260"/>
      <c r="W505" s="260"/>
      <c r="X505" s="260"/>
      <c r="Y505" s="261"/>
    </row>
    <row r="506" spans="1:25" ht="12.75" hidden="1" customHeight="1" outlineLevel="1" x14ac:dyDescent="0.2">
      <c r="A506" s="188" t="str">
        <f>"   "&amp;Labels!B381</f>
        <v xml:space="preserve">   Practice 1</v>
      </c>
      <c r="B506" s="256"/>
      <c r="C506" s="256"/>
      <c r="D506" s="256"/>
      <c r="E506" s="257"/>
      <c r="F506" s="256"/>
      <c r="G506" s="256"/>
      <c r="H506" s="256"/>
      <c r="I506" s="257"/>
      <c r="J506" s="256"/>
      <c r="K506" s="256"/>
      <c r="L506" s="256"/>
      <c r="M506" s="257"/>
      <c r="N506" s="256"/>
      <c r="O506" s="256"/>
      <c r="P506" s="256"/>
      <c r="Q506" s="257"/>
      <c r="R506" s="256"/>
      <c r="S506" s="256"/>
      <c r="T506" s="256"/>
      <c r="U506" s="257"/>
      <c r="V506" s="256"/>
      <c r="W506" s="256"/>
      <c r="X506" s="256"/>
      <c r="Y506" s="257"/>
    </row>
    <row r="507" spans="1:25" ht="12.75" hidden="1" customHeight="1" outlineLevel="1" x14ac:dyDescent="0.2">
      <c r="A507" s="198" t="str">
        <f>"      "&amp;Labels!B385</f>
        <v xml:space="preserve">      Prof Level 1</v>
      </c>
      <c r="B507" s="258">
        <f>B479*'(Tables)'!B1126/12</f>
        <v>0</v>
      </c>
      <c r="C507" s="258">
        <f>C479*'(Tables)'!B1126/12</f>
        <v>0</v>
      </c>
      <c r="D507" s="258">
        <f>D479*'(Tables)'!B1126/12</f>
        <v>0</v>
      </c>
      <c r="E507" s="259">
        <f>SUM(B507:D507)</f>
        <v>0</v>
      </c>
      <c r="F507" s="258">
        <f>F479*'(Tables)'!B1126/12</f>
        <v>0</v>
      </c>
      <c r="G507" s="258">
        <f>G479*'(Tables)'!B1126/12</f>
        <v>0</v>
      </c>
      <c r="H507" s="258">
        <f>H479*'(Tables)'!B1126/12</f>
        <v>0</v>
      </c>
      <c r="I507" s="259">
        <f>SUM(F507:H507)</f>
        <v>0</v>
      </c>
      <c r="J507" s="258">
        <f>J479*'(Tables)'!B1126/12</f>
        <v>150</v>
      </c>
      <c r="K507" s="258">
        <f>K479*'(Tables)'!B1126/12</f>
        <v>300</v>
      </c>
      <c r="L507" s="258">
        <f>L479*'(Tables)'!B1126/12</f>
        <v>0</v>
      </c>
      <c r="M507" s="259">
        <f>SUM(J507:L507)</f>
        <v>450</v>
      </c>
      <c r="N507" s="258">
        <f>N479*'(Tables)'!B1126/12</f>
        <v>0</v>
      </c>
      <c r="O507" s="258">
        <f>O479*'(Tables)'!B1126/12</f>
        <v>0</v>
      </c>
      <c r="P507" s="258">
        <f>P479*'(Tables)'!B1126/12</f>
        <v>0</v>
      </c>
      <c r="Q507" s="259">
        <f>SUM(N507:P507)</f>
        <v>0</v>
      </c>
      <c r="R507" s="258">
        <f>R479*'(Tables)'!B1126/12</f>
        <v>0</v>
      </c>
      <c r="S507" s="258">
        <f>S479*'(Tables)'!B1126/12</f>
        <v>0</v>
      </c>
      <c r="T507" s="258">
        <f>T479*'(Tables)'!B1126/12</f>
        <v>0</v>
      </c>
      <c r="U507" s="259">
        <f>SUM(R507:T507)</f>
        <v>0</v>
      </c>
      <c r="V507" s="258">
        <f>V479*'(Tables)'!B1126/12</f>
        <v>0</v>
      </c>
      <c r="W507" s="258">
        <f>W479*'(Tables)'!B1126/12</f>
        <v>0</v>
      </c>
      <c r="X507" s="258">
        <f>X479*'(Tables)'!B1126/12</f>
        <v>0</v>
      </c>
      <c r="Y507" s="259">
        <f>SUM(V507:X507)</f>
        <v>0</v>
      </c>
    </row>
    <row r="508" spans="1:25" ht="12.75" hidden="1" customHeight="1" outlineLevel="1" x14ac:dyDescent="0.2">
      <c r="A508" s="198" t="str">
        <f>"      "&amp;Labels!B386</f>
        <v xml:space="preserve">      Prof Level 2</v>
      </c>
      <c r="B508" s="258">
        <f>B480*'(Tables)'!B1127/12</f>
        <v>0</v>
      </c>
      <c r="C508" s="258">
        <f>C480*'(Tables)'!B1127/12</f>
        <v>0</v>
      </c>
      <c r="D508" s="258">
        <f>D480*'(Tables)'!B1127/12</f>
        <v>0</v>
      </c>
      <c r="E508" s="259">
        <f>SUM(B508:D508)</f>
        <v>0</v>
      </c>
      <c r="F508" s="258">
        <f>F480*'(Tables)'!B1127/12</f>
        <v>0</v>
      </c>
      <c r="G508" s="258">
        <f>G480*'(Tables)'!B1127/12</f>
        <v>0</v>
      </c>
      <c r="H508" s="258">
        <f>H480*'(Tables)'!B1127/12</f>
        <v>0</v>
      </c>
      <c r="I508" s="259">
        <f>SUM(F508:H508)</f>
        <v>0</v>
      </c>
      <c r="J508" s="258">
        <f>J480*'(Tables)'!B1127/12</f>
        <v>150</v>
      </c>
      <c r="K508" s="258">
        <f>K480*'(Tables)'!B1127/12</f>
        <v>300</v>
      </c>
      <c r="L508" s="258">
        <f>L480*'(Tables)'!B1127/12</f>
        <v>0</v>
      </c>
      <c r="M508" s="259">
        <f>SUM(J508:L508)</f>
        <v>450</v>
      </c>
      <c r="N508" s="258">
        <f>N480*'(Tables)'!B1127/12</f>
        <v>0</v>
      </c>
      <c r="O508" s="258">
        <f>O480*'(Tables)'!B1127/12</f>
        <v>0</v>
      </c>
      <c r="P508" s="258">
        <f>P480*'(Tables)'!B1127/12</f>
        <v>0</v>
      </c>
      <c r="Q508" s="259">
        <f>SUM(N508:P508)</f>
        <v>0</v>
      </c>
      <c r="R508" s="258">
        <f>R480*'(Tables)'!B1127/12</f>
        <v>0</v>
      </c>
      <c r="S508" s="258">
        <f>S480*'(Tables)'!B1127/12</f>
        <v>0</v>
      </c>
      <c r="T508" s="258">
        <f>T480*'(Tables)'!B1127/12</f>
        <v>0</v>
      </c>
      <c r="U508" s="259">
        <f>SUM(R508:T508)</f>
        <v>0</v>
      </c>
      <c r="V508" s="258">
        <f>V480*'(Tables)'!B1127/12</f>
        <v>0</v>
      </c>
      <c r="W508" s="258">
        <f>W480*'(Tables)'!B1127/12</f>
        <v>0</v>
      </c>
      <c r="X508" s="258">
        <f>X480*'(Tables)'!B1127/12</f>
        <v>0</v>
      </c>
      <c r="Y508" s="259">
        <f>SUM(V508:X508)</f>
        <v>0</v>
      </c>
    </row>
    <row r="509" spans="1:25" ht="12.75" hidden="1" customHeight="1" outlineLevel="1" x14ac:dyDescent="0.2">
      <c r="A509" s="188" t="str">
        <f>"      "&amp;Labels!C384</f>
        <v xml:space="preserve">      Total</v>
      </c>
      <c r="B509" s="256">
        <f>SUM(B507:B508)</f>
        <v>0</v>
      </c>
      <c r="C509" s="256">
        <f>SUM(C507:C508)</f>
        <v>0</v>
      </c>
      <c r="D509" s="256">
        <f>SUM(D507:D508)</f>
        <v>0</v>
      </c>
      <c r="E509" s="257">
        <f>SUM(B509:D509)</f>
        <v>0</v>
      </c>
      <c r="F509" s="256">
        <f>SUM(F507:F508)</f>
        <v>0</v>
      </c>
      <c r="G509" s="256">
        <f>SUM(G507:G508)</f>
        <v>0</v>
      </c>
      <c r="H509" s="256">
        <f>SUM(H507:H508)</f>
        <v>0</v>
      </c>
      <c r="I509" s="257">
        <f>SUM(F509:H509)</f>
        <v>0</v>
      </c>
      <c r="J509" s="256">
        <f>SUM(J507:J508)</f>
        <v>300</v>
      </c>
      <c r="K509" s="256">
        <f>SUM(K507:K508)</f>
        <v>600</v>
      </c>
      <c r="L509" s="256">
        <f>SUM(L507:L508)</f>
        <v>0</v>
      </c>
      <c r="M509" s="257">
        <f>SUM(J509:L509)</f>
        <v>900</v>
      </c>
      <c r="N509" s="256">
        <f>SUM(N507:N508)</f>
        <v>0</v>
      </c>
      <c r="O509" s="256">
        <f>SUM(O507:O508)</f>
        <v>0</v>
      </c>
      <c r="P509" s="256">
        <f>SUM(P507:P508)</f>
        <v>0</v>
      </c>
      <c r="Q509" s="257">
        <f>SUM(N509:P509)</f>
        <v>0</v>
      </c>
      <c r="R509" s="256">
        <f>SUM(R507:R508)</f>
        <v>0</v>
      </c>
      <c r="S509" s="256">
        <f>SUM(S507:S508)</f>
        <v>0</v>
      </c>
      <c r="T509" s="256">
        <f>SUM(T507:T508)</f>
        <v>0</v>
      </c>
      <c r="U509" s="257">
        <f>SUM(R509:T509)</f>
        <v>0</v>
      </c>
      <c r="V509" s="256">
        <f>SUM(V507:V508)</f>
        <v>0</v>
      </c>
      <c r="W509" s="256">
        <f>SUM(W507:W508)</f>
        <v>0</v>
      </c>
      <c r="X509" s="256">
        <f>SUM(X507:X508)</f>
        <v>0</v>
      </c>
      <c r="Y509" s="257">
        <f>SUM(V509:X509)</f>
        <v>0</v>
      </c>
    </row>
    <row r="510" spans="1:25" ht="12.75" hidden="1" customHeight="1" outlineLevel="1" x14ac:dyDescent="0.2">
      <c r="A510" s="188" t="str">
        <f>"   "&amp;Labels!B382</f>
        <v xml:space="preserve">   Practice 2</v>
      </c>
      <c r="B510" s="256"/>
      <c r="C510" s="256"/>
      <c r="D510" s="256"/>
      <c r="E510" s="257"/>
      <c r="F510" s="256"/>
      <c r="G510" s="256"/>
      <c r="H510" s="256"/>
      <c r="I510" s="257"/>
      <c r="J510" s="256"/>
      <c r="K510" s="256"/>
      <c r="L510" s="256"/>
      <c r="M510" s="257"/>
      <c r="N510" s="256"/>
      <c r="O510" s="256"/>
      <c r="P510" s="256"/>
      <c r="Q510" s="257"/>
      <c r="R510" s="256"/>
      <c r="S510" s="256"/>
      <c r="T510" s="256"/>
      <c r="U510" s="257"/>
      <c r="V510" s="256"/>
      <c r="W510" s="256"/>
      <c r="X510" s="256"/>
      <c r="Y510" s="257"/>
    </row>
    <row r="511" spans="1:25" ht="12.75" hidden="1" customHeight="1" outlineLevel="1" x14ac:dyDescent="0.2">
      <c r="A511" s="198" t="str">
        <f>"      "&amp;Labels!B385</f>
        <v xml:space="preserve">      Prof Level 1</v>
      </c>
      <c r="B511" s="258">
        <f>B483*'(Tables)'!C1126/12</f>
        <v>0</v>
      </c>
      <c r="C511" s="258">
        <f>C483*'(Tables)'!C1126/12</f>
        <v>0</v>
      </c>
      <c r="D511" s="258">
        <f>D483*'(Tables)'!C1126/12</f>
        <v>0</v>
      </c>
      <c r="E511" s="259">
        <f t="shared" ref="E511:E516" si="396">SUM(B511:D511)</f>
        <v>0</v>
      </c>
      <c r="F511" s="258">
        <f>F483*'(Tables)'!C1126/12</f>
        <v>0</v>
      </c>
      <c r="G511" s="258">
        <f>G483*'(Tables)'!C1126/12</f>
        <v>0</v>
      </c>
      <c r="H511" s="258">
        <f>H483*'(Tables)'!C1126/12</f>
        <v>0</v>
      </c>
      <c r="I511" s="259">
        <f t="shared" ref="I511:I516" si="397">SUM(F511:H511)</f>
        <v>0</v>
      </c>
      <c r="J511" s="258">
        <f>J483*'(Tables)'!C1126/12</f>
        <v>0</v>
      </c>
      <c r="K511" s="258">
        <f>K483*'(Tables)'!C1126/12</f>
        <v>0</v>
      </c>
      <c r="L511" s="258">
        <f>L483*'(Tables)'!C1126/12</f>
        <v>0</v>
      </c>
      <c r="M511" s="259">
        <f t="shared" ref="M511:M516" si="398">SUM(J511:L511)</f>
        <v>0</v>
      </c>
      <c r="N511" s="258">
        <f>N483*'(Tables)'!C1126/12</f>
        <v>0</v>
      </c>
      <c r="O511" s="258">
        <f>O483*'(Tables)'!C1126/12</f>
        <v>0</v>
      </c>
      <c r="P511" s="258">
        <f>P483*'(Tables)'!C1126/12</f>
        <v>0</v>
      </c>
      <c r="Q511" s="259">
        <f t="shared" ref="Q511:Q516" si="399">SUM(N511:P511)</f>
        <v>0</v>
      </c>
      <c r="R511" s="258">
        <f>R483*'(Tables)'!C1126/12</f>
        <v>0</v>
      </c>
      <c r="S511" s="258">
        <f>S483*'(Tables)'!C1126/12</f>
        <v>0</v>
      </c>
      <c r="T511" s="258">
        <f>T483*'(Tables)'!C1126/12</f>
        <v>0</v>
      </c>
      <c r="U511" s="259">
        <f t="shared" ref="U511:U516" si="400">SUM(R511:T511)</f>
        <v>0</v>
      </c>
      <c r="V511" s="258">
        <f>V483*'(Tables)'!C1126/12</f>
        <v>0</v>
      </c>
      <c r="W511" s="258">
        <f>W483*'(Tables)'!C1126/12</f>
        <v>0</v>
      </c>
      <c r="X511" s="258">
        <f>X483*'(Tables)'!C1126/12</f>
        <v>0</v>
      </c>
      <c r="Y511" s="259">
        <f t="shared" ref="Y511:Y516" si="401">SUM(V511:X511)</f>
        <v>0</v>
      </c>
    </row>
    <row r="512" spans="1:25" ht="12.75" hidden="1" customHeight="1" outlineLevel="1" x14ac:dyDescent="0.2">
      <c r="A512" s="198" t="str">
        <f>"      "&amp;Labels!B386</f>
        <v xml:space="preserve">      Prof Level 2</v>
      </c>
      <c r="B512" s="258">
        <f>B484*'(Tables)'!C1127/12</f>
        <v>0</v>
      </c>
      <c r="C512" s="258">
        <f>C484*'(Tables)'!C1127/12</f>
        <v>0</v>
      </c>
      <c r="D512" s="258">
        <f>D484*'(Tables)'!C1127/12</f>
        <v>0</v>
      </c>
      <c r="E512" s="259">
        <f t="shared" si="396"/>
        <v>0</v>
      </c>
      <c r="F512" s="258">
        <f>F484*'(Tables)'!C1127/12</f>
        <v>0</v>
      </c>
      <c r="G512" s="258">
        <f>G484*'(Tables)'!C1127/12</f>
        <v>0</v>
      </c>
      <c r="H512" s="258">
        <f>H484*'(Tables)'!C1127/12</f>
        <v>0</v>
      </c>
      <c r="I512" s="259">
        <f t="shared" si="397"/>
        <v>0</v>
      </c>
      <c r="J512" s="258">
        <f>J484*'(Tables)'!C1127/12</f>
        <v>0</v>
      </c>
      <c r="K512" s="258">
        <f>K484*'(Tables)'!C1127/12</f>
        <v>0</v>
      </c>
      <c r="L512" s="258">
        <f>L484*'(Tables)'!C1127/12</f>
        <v>0</v>
      </c>
      <c r="M512" s="259">
        <f t="shared" si="398"/>
        <v>0</v>
      </c>
      <c r="N512" s="258">
        <f>N484*'(Tables)'!C1127/12</f>
        <v>0</v>
      </c>
      <c r="O512" s="258">
        <f>O484*'(Tables)'!C1127/12</f>
        <v>0</v>
      </c>
      <c r="P512" s="258">
        <f>P484*'(Tables)'!C1127/12</f>
        <v>0</v>
      </c>
      <c r="Q512" s="259">
        <f t="shared" si="399"/>
        <v>0</v>
      </c>
      <c r="R512" s="258">
        <f>R484*'(Tables)'!C1127/12</f>
        <v>0</v>
      </c>
      <c r="S512" s="258">
        <f>S484*'(Tables)'!C1127/12</f>
        <v>0</v>
      </c>
      <c r="T512" s="258">
        <f>T484*'(Tables)'!C1127/12</f>
        <v>0</v>
      </c>
      <c r="U512" s="259">
        <f t="shared" si="400"/>
        <v>0</v>
      </c>
      <c r="V512" s="258">
        <f>V484*'(Tables)'!C1127/12</f>
        <v>0</v>
      </c>
      <c r="W512" s="258">
        <f>W484*'(Tables)'!C1127/12</f>
        <v>0</v>
      </c>
      <c r="X512" s="258">
        <f>X484*'(Tables)'!C1127/12</f>
        <v>0</v>
      </c>
      <c r="Y512" s="259">
        <f t="shared" si="401"/>
        <v>0</v>
      </c>
    </row>
    <row r="513" spans="1:25" ht="12.75" hidden="1" customHeight="1" outlineLevel="1" x14ac:dyDescent="0.2">
      <c r="A513" s="188" t="str">
        <f>"      "&amp;Labels!C384</f>
        <v xml:space="preserve">      Total</v>
      </c>
      <c r="B513" s="256">
        <f>SUM(B511:B512)</f>
        <v>0</v>
      </c>
      <c r="C513" s="256">
        <f>SUM(C511:C512)</f>
        <v>0</v>
      </c>
      <c r="D513" s="256">
        <f>SUM(D511:D512)</f>
        <v>0</v>
      </c>
      <c r="E513" s="257">
        <f t="shared" si="396"/>
        <v>0</v>
      </c>
      <c r="F513" s="256">
        <f>SUM(F511:F512)</f>
        <v>0</v>
      </c>
      <c r="G513" s="256">
        <f>SUM(G511:G512)</f>
        <v>0</v>
      </c>
      <c r="H513" s="256">
        <f>SUM(H511:H512)</f>
        <v>0</v>
      </c>
      <c r="I513" s="257">
        <f t="shared" si="397"/>
        <v>0</v>
      </c>
      <c r="J513" s="256">
        <f>SUM(J511:J512)</f>
        <v>0</v>
      </c>
      <c r="K513" s="256">
        <f>SUM(K511:K512)</f>
        <v>0</v>
      </c>
      <c r="L513" s="256">
        <f>SUM(L511:L512)</f>
        <v>0</v>
      </c>
      <c r="M513" s="257">
        <f t="shared" si="398"/>
        <v>0</v>
      </c>
      <c r="N513" s="256">
        <f>SUM(N511:N512)</f>
        <v>0</v>
      </c>
      <c r="O513" s="256">
        <f>SUM(O511:O512)</f>
        <v>0</v>
      </c>
      <c r="P513" s="256">
        <f>SUM(P511:P512)</f>
        <v>0</v>
      </c>
      <c r="Q513" s="257">
        <f t="shared" si="399"/>
        <v>0</v>
      </c>
      <c r="R513" s="256">
        <f>SUM(R511:R512)</f>
        <v>0</v>
      </c>
      <c r="S513" s="256">
        <f>SUM(S511:S512)</f>
        <v>0</v>
      </c>
      <c r="T513" s="256">
        <f>SUM(T511:T512)</f>
        <v>0</v>
      </c>
      <c r="U513" s="257">
        <f t="shared" si="400"/>
        <v>0</v>
      </c>
      <c r="V513" s="256">
        <f>SUM(V511:V512)</f>
        <v>0</v>
      </c>
      <c r="W513" s="256">
        <f>SUM(W511:W512)</f>
        <v>0</v>
      </c>
      <c r="X513" s="256">
        <f>SUM(X511:X512)</f>
        <v>0</v>
      </c>
      <c r="Y513" s="257">
        <f t="shared" si="401"/>
        <v>0</v>
      </c>
    </row>
    <row r="514" spans="1:25" ht="12.75" hidden="1" customHeight="1" outlineLevel="1" x14ac:dyDescent="0.2">
      <c r="A514" s="191" t="str">
        <f>"   "&amp;Labels!C380</f>
        <v xml:space="preserve">   Total</v>
      </c>
      <c r="B514" s="260">
        <f>SUM(B509,B513)</f>
        <v>0</v>
      </c>
      <c r="C514" s="260">
        <f>SUM(C509,C513)</f>
        <v>0</v>
      </c>
      <c r="D514" s="260">
        <f>SUM(D509,D513)</f>
        <v>0</v>
      </c>
      <c r="E514" s="261">
        <f t="shared" si="396"/>
        <v>0</v>
      </c>
      <c r="F514" s="260">
        <f>SUM(F509,F513)</f>
        <v>0</v>
      </c>
      <c r="G514" s="260">
        <f>SUM(G509,G513)</f>
        <v>0</v>
      </c>
      <c r="H514" s="260">
        <f>SUM(H509,H513)</f>
        <v>0</v>
      </c>
      <c r="I514" s="261">
        <f t="shared" si="397"/>
        <v>0</v>
      </c>
      <c r="J514" s="260">
        <f>SUM(J509,J513)</f>
        <v>300</v>
      </c>
      <c r="K514" s="260">
        <f>SUM(K509,K513)</f>
        <v>600</v>
      </c>
      <c r="L514" s="260">
        <f>SUM(L509,L513)</f>
        <v>0</v>
      </c>
      <c r="M514" s="261">
        <f t="shared" si="398"/>
        <v>900</v>
      </c>
      <c r="N514" s="260">
        <f>SUM(N509,N513)</f>
        <v>0</v>
      </c>
      <c r="O514" s="260">
        <f>SUM(O509,O513)</f>
        <v>0</v>
      </c>
      <c r="P514" s="260">
        <f>SUM(P509,P513)</f>
        <v>0</v>
      </c>
      <c r="Q514" s="261">
        <f t="shared" si="399"/>
        <v>0</v>
      </c>
      <c r="R514" s="260">
        <f>SUM(R509,R513)</f>
        <v>0</v>
      </c>
      <c r="S514" s="260">
        <f>SUM(S509,S513)</f>
        <v>0</v>
      </c>
      <c r="T514" s="260">
        <f>SUM(T509,T513)</f>
        <v>0</v>
      </c>
      <c r="U514" s="261">
        <f t="shared" si="400"/>
        <v>0</v>
      </c>
      <c r="V514" s="260">
        <f>SUM(V509,V513)</f>
        <v>0</v>
      </c>
      <c r="W514" s="260">
        <f>SUM(W509,W513)</f>
        <v>0</v>
      </c>
      <c r="X514" s="260">
        <f>SUM(X509,X513)</f>
        <v>0</v>
      </c>
      <c r="Y514" s="261">
        <f t="shared" si="401"/>
        <v>0</v>
      </c>
    </row>
    <row r="515" spans="1:25" ht="12.75" hidden="1" customHeight="1" outlineLevel="1" x14ac:dyDescent="0.2">
      <c r="A515" s="198" t="str">
        <f>"      "&amp;Labels!B385</f>
        <v xml:space="preserve">      Prof Level 1</v>
      </c>
      <c r="B515" s="258">
        <f t="shared" ref="B515:D517" si="402">SUM(B507,B511)</f>
        <v>0</v>
      </c>
      <c r="C515" s="258">
        <f t="shared" si="402"/>
        <v>0</v>
      </c>
      <c r="D515" s="258">
        <f t="shared" si="402"/>
        <v>0</v>
      </c>
      <c r="E515" s="259">
        <f t="shared" si="396"/>
        <v>0</v>
      </c>
      <c r="F515" s="258">
        <f t="shared" ref="F515:H517" si="403">SUM(F507,F511)</f>
        <v>0</v>
      </c>
      <c r="G515" s="258">
        <f t="shared" si="403"/>
        <v>0</v>
      </c>
      <c r="H515" s="258">
        <f t="shared" si="403"/>
        <v>0</v>
      </c>
      <c r="I515" s="259">
        <f t="shared" si="397"/>
        <v>0</v>
      </c>
      <c r="J515" s="258">
        <f t="shared" ref="J515:L517" si="404">SUM(J507,J511)</f>
        <v>150</v>
      </c>
      <c r="K515" s="258">
        <f t="shared" si="404"/>
        <v>300</v>
      </c>
      <c r="L515" s="258">
        <f t="shared" si="404"/>
        <v>0</v>
      </c>
      <c r="M515" s="259">
        <f t="shared" si="398"/>
        <v>450</v>
      </c>
      <c r="N515" s="258">
        <f t="shared" ref="N515:P517" si="405">SUM(N507,N511)</f>
        <v>0</v>
      </c>
      <c r="O515" s="258">
        <f t="shared" si="405"/>
        <v>0</v>
      </c>
      <c r="P515" s="258">
        <f t="shared" si="405"/>
        <v>0</v>
      </c>
      <c r="Q515" s="259">
        <f t="shared" si="399"/>
        <v>0</v>
      </c>
      <c r="R515" s="258">
        <f t="shared" ref="R515:T517" si="406">SUM(R507,R511)</f>
        <v>0</v>
      </c>
      <c r="S515" s="258">
        <f t="shared" si="406"/>
        <v>0</v>
      </c>
      <c r="T515" s="258">
        <f t="shared" si="406"/>
        <v>0</v>
      </c>
      <c r="U515" s="259">
        <f t="shared" si="400"/>
        <v>0</v>
      </c>
      <c r="V515" s="258">
        <f t="shared" ref="V515:X517" si="407">SUM(V507,V511)</f>
        <v>0</v>
      </c>
      <c r="W515" s="258">
        <f t="shared" si="407"/>
        <v>0</v>
      </c>
      <c r="X515" s="258">
        <f t="shared" si="407"/>
        <v>0</v>
      </c>
      <c r="Y515" s="259">
        <f t="shared" si="401"/>
        <v>0</v>
      </c>
    </row>
    <row r="516" spans="1:25" ht="12.75" hidden="1" customHeight="1" outlineLevel="1" x14ac:dyDescent="0.2">
      <c r="A516" s="198" t="str">
        <f>"      "&amp;Labels!B386</f>
        <v xml:space="preserve">      Prof Level 2</v>
      </c>
      <c r="B516" s="258">
        <f t="shared" si="402"/>
        <v>0</v>
      </c>
      <c r="C516" s="258">
        <f t="shared" si="402"/>
        <v>0</v>
      </c>
      <c r="D516" s="258">
        <f t="shared" si="402"/>
        <v>0</v>
      </c>
      <c r="E516" s="259">
        <f t="shared" si="396"/>
        <v>0</v>
      </c>
      <c r="F516" s="258">
        <f t="shared" si="403"/>
        <v>0</v>
      </c>
      <c r="G516" s="258">
        <f t="shared" si="403"/>
        <v>0</v>
      </c>
      <c r="H516" s="258">
        <f t="shared" si="403"/>
        <v>0</v>
      </c>
      <c r="I516" s="259">
        <f t="shared" si="397"/>
        <v>0</v>
      </c>
      <c r="J516" s="258">
        <f t="shared" si="404"/>
        <v>150</v>
      </c>
      <c r="K516" s="258">
        <f t="shared" si="404"/>
        <v>300</v>
      </c>
      <c r="L516" s="258">
        <f t="shared" si="404"/>
        <v>0</v>
      </c>
      <c r="M516" s="259">
        <f t="shared" si="398"/>
        <v>450</v>
      </c>
      <c r="N516" s="258">
        <f t="shared" si="405"/>
        <v>0</v>
      </c>
      <c r="O516" s="258">
        <f t="shared" si="405"/>
        <v>0</v>
      </c>
      <c r="P516" s="258">
        <f t="shared" si="405"/>
        <v>0</v>
      </c>
      <c r="Q516" s="259">
        <f t="shared" si="399"/>
        <v>0</v>
      </c>
      <c r="R516" s="258">
        <f t="shared" si="406"/>
        <v>0</v>
      </c>
      <c r="S516" s="258">
        <f t="shared" si="406"/>
        <v>0</v>
      </c>
      <c r="T516" s="258">
        <f t="shared" si="406"/>
        <v>0</v>
      </c>
      <c r="U516" s="259">
        <f t="shared" si="400"/>
        <v>0</v>
      </c>
      <c r="V516" s="258">
        <f t="shared" si="407"/>
        <v>0</v>
      </c>
      <c r="W516" s="258">
        <f t="shared" si="407"/>
        <v>0</v>
      </c>
      <c r="X516" s="258">
        <f t="shared" si="407"/>
        <v>0</v>
      </c>
      <c r="Y516" s="259">
        <f t="shared" si="401"/>
        <v>0</v>
      </c>
    </row>
    <row r="517" spans="1:25" ht="12.75" hidden="1" customHeight="1" outlineLevel="1" x14ac:dyDescent="0.2">
      <c r="A517" s="188" t="str">
        <f>"      "&amp;Labels!C384</f>
        <v xml:space="preserve">      Total</v>
      </c>
      <c r="B517" s="256">
        <f t="shared" si="402"/>
        <v>0</v>
      </c>
      <c r="C517" s="256">
        <f t="shared" si="402"/>
        <v>0</v>
      </c>
      <c r="D517" s="256">
        <f t="shared" si="402"/>
        <v>0</v>
      </c>
      <c r="E517" s="257">
        <f>SUM(B514:D514)</f>
        <v>0</v>
      </c>
      <c r="F517" s="256">
        <f t="shared" si="403"/>
        <v>0</v>
      </c>
      <c r="G517" s="256">
        <f t="shared" si="403"/>
        <v>0</v>
      </c>
      <c r="H517" s="256">
        <f t="shared" si="403"/>
        <v>0</v>
      </c>
      <c r="I517" s="257">
        <f>SUM(F514:H514)</f>
        <v>0</v>
      </c>
      <c r="J517" s="256">
        <f t="shared" si="404"/>
        <v>300</v>
      </c>
      <c r="K517" s="256">
        <f t="shared" si="404"/>
        <v>600</v>
      </c>
      <c r="L517" s="256">
        <f t="shared" si="404"/>
        <v>0</v>
      </c>
      <c r="M517" s="257">
        <f>SUM(J514:L514)</f>
        <v>900</v>
      </c>
      <c r="N517" s="256">
        <f t="shared" si="405"/>
        <v>0</v>
      </c>
      <c r="O517" s="256">
        <f t="shared" si="405"/>
        <v>0</v>
      </c>
      <c r="P517" s="256">
        <f t="shared" si="405"/>
        <v>0</v>
      </c>
      <c r="Q517" s="257">
        <f>SUM(N514:P514)</f>
        <v>0</v>
      </c>
      <c r="R517" s="256">
        <f t="shared" si="406"/>
        <v>0</v>
      </c>
      <c r="S517" s="256">
        <f t="shared" si="406"/>
        <v>0</v>
      </c>
      <c r="T517" s="256">
        <f t="shared" si="406"/>
        <v>0</v>
      </c>
      <c r="U517" s="257">
        <f>SUM(R514:T514)</f>
        <v>0</v>
      </c>
      <c r="V517" s="256">
        <f t="shared" si="407"/>
        <v>0</v>
      </c>
      <c r="W517" s="256">
        <f t="shared" si="407"/>
        <v>0</v>
      </c>
      <c r="X517" s="256">
        <f t="shared" si="407"/>
        <v>0</v>
      </c>
      <c r="Y517" s="257">
        <f>SUM(V514:X514)</f>
        <v>0</v>
      </c>
    </row>
    <row r="518" spans="1:25" ht="12.75" hidden="1" customHeight="1" outlineLevel="1" x14ac:dyDescent="0.2">
      <c r="A518" s="97"/>
      <c r="B518" s="6"/>
      <c r="C518" s="6"/>
      <c r="D518" s="6"/>
      <c r="E518" s="97"/>
      <c r="F518" s="6"/>
      <c r="G518" s="6"/>
      <c r="H518" s="6"/>
      <c r="I518" s="97"/>
      <c r="J518" s="6"/>
      <c r="K518" s="6"/>
      <c r="L518" s="6"/>
      <c r="M518" s="97"/>
      <c r="N518" s="6"/>
      <c r="O518" s="6"/>
      <c r="P518" s="6"/>
      <c r="Q518" s="97"/>
      <c r="R518" s="6"/>
      <c r="S518" s="6"/>
      <c r="T518" s="6"/>
      <c r="U518" s="97"/>
      <c r="V518" s="6"/>
      <c r="W518" s="6"/>
      <c r="X518" s="6"/>
      <c r="Y518" s="97"/>
    </row>
    <row r="519" spans="1:25" ht="12.75" hidden="1" customHeight="1" outlineLevel="1" x14ac:dyDescent="0.2">
      <c r="A519" s="191" t="str">
        <f>Labels!B169</f>
        <v>Prof Staff Cost</v>
      </c>
      <c r="B519" s="245"/>
      <c r="C519" s="245"/>
      <c r="D519" s="245"/>
      <c r="E519" s="246"/>
      <c r="F519" s="245"/>
      <c r="G519" s="245"/>
      <c r="H519" s="245"/>
      <c r="I519" s="246"/>
      <c r="J519" s="245"/>
      <c r="K519" s="245"/>
      <c r="L519" s="245"/>
      <c r="M519" s="246"/>
      <c r="N519" s="245"/>
      <c r="O519" s="245"/>
      <c r="P519" s="245"/>
      <c r="Q519" s="246"/>
      <c r="R519" s="245"/>
      <c r="S519" s="245"/>
      <c r="T519" s="245"/>
      <c r="U519" s="246"/>
      <c r="V519" s="245"/>
      <c r="W519" s="245"/>
      <c r="X519" s="245"/>
      <c r="Y519" s="246"/>
    </row>
    <row r="520" spans="1:25" ht="12.75" hidden="1" customHeight="1" outlineLevel="1" x14ac:dyDescent="0.2">
      <c r="A520" s="188" t="str">
        <f>"   "&amp;Labels!B381</f>
        <v xml:space="preserve">   Practice 1</v>
      </c>
      <c r="B520" s="241"/>
      <c r="C520" s="241"/>
      <c r="D520" s="241"/>
      <c r="E520" s="242"/>
      <c r="F520" s="241"/>
      <c r="G520" s="241"/>
      <c r="H520" s="241"/>
      <c r="I520" s="242"/>
      <c r="J520" s="241"/>
      <c r="K520" s="241"/>
      <c r="L520" s="241"/>
      <c r="M520" s="242"/>
      <c r="N520" s="241"/>
      <c r="O520" s="241"/>
      <c r="P520" s="241"/>
      <c r="Q520" s="242"/>
      <c r="R520" s="241"/>
      <c r="S520" s="241"/>
      <c r="T520" s="241"/>
      <c r="U520" s="242"/>
      <c r="V520" s="241"/>
      <c r="W520" s="241"/>
      <c r="X520" s="241"/>
      <c r="Y520" s="242"/>
    </row>
    <row r="521" spans="1:25" ht="12.75" hidden="1" customHeight="1" outlineLevel="1" x14ac:dyDescent="0.2">
      <c r="A521" s="198" t="str">
        <f>"      "&amp;Labels!B385</f>
        <v xml:space="preserve">      Prof Level 1</v>
      </c>
      <c r="B521" s="243">
        <f>('(Tables)'!B1194+'(Tables)'!B1371)*(1+Inputs!F244)+'(Tables)'!B1194*Inputs!F220</f>
        <v>0</v>
      </c>
      <c r="C521" s="243">
        <f>('(Tables)'!C1194+'(Tables)'!C1371)*(1+Inputs!G244)+'(Tables)'!C1194*Inputs!G220</f>
        <v>0</v>
      </c>
      <c r="D521" s="243">
        <f>('(Tables)'!D1194+'(Tables)'!D1371)*(1+Inputs!H244)+'(Tables)'!D1194*Inputs!H220</f>
        <v>0</v>
      </c>
      <c r="E521" s="244">
        <f>SUM(B521:D521)</f>
        <v>0</v>
      </c>
      <c r="F521" s="243">
        <f>('(Tables)'!E1194+'(Tables)'!E1371)*(1+Inputs!I244)+'(Tables)'!E1194*Inputs!I220</f>
        <v>0</v>
      </c>
      <c r="G521" s="243">
        <f>('(Tables)'!F1194+'(Tables)'!F1371)*(1+Inputs!J244)+'(Tables)'!F1194*Inputs!J220</f>
        <v>0</v>
      </c>
      <c r="H521" s="243">
        <f>('(Tables)'!G1194+'(Tables)'!G1371)*(1+Inputs!K244)+'(Tables)'!G1194*Inputs!K220</f>
        <v>0</v>
      </c>
      <c r="I521" s="244">
        <f>SUM(F521:H521)</f>
        <v>0</v>
      </c>
      <c r="J521" s="243">
        <f>('(Tables)'!H1194+'(Tables)'!H1371)*(1+Inputs!L244)+'(Tables)'!H1194*Inputs!L220</f>
        <v>10597.834864147502</v>
      </c>
      <c r="K521" s="243">
        <f>('(Tables)'!I1194+'(Tables)'!I1371)*(1+Inputs!M244)+'(Tables)'!I1194*Inputs!M220</f>
        <v>21247.943967849627</v>
      </c>
      <c r="L521" s="243">
        <f>('(Tables)'!J1194+'(Tables)'!J1371)*(1+Inputs!N244)+'(Tables)'!J1194*Inputs!N220</f>
        <v>0</v>
      </c>
      <c r="M521" s="244">
        <f>SUM(J521:L521)</f>
        <v>31845.77883199713</v>
      </c>
      <c r="N521" s="243">
        <f>('(Tables)'!K1194+'(Tables)'!K1371)*(1+Inputs!O244)+'(Tables)'!K1194*Inputs!O220</f>
        <v>0</v>
      </c>
      <c r="O521" s="243">
        <f>('(Tables)'!L1194+'(Tables)'!L1371)*(1+Inputs!P244)+'(Tables)'!L1194*Inputs!P220</f>
        <v>0</v>
      </c>
      <c r="P521" s="243">
        <f>('(Tables)'!M1194+'(Tables)'!M1371)*(1+Inputs!Q244)+'(Tables)'!M1194*Inputs!Q220</f>
        <v>0</v>
      </c>
      <c r="Q521" s="244">
        <f>SUM(N521:P521)</f>
        <v>0</v>
      </c>
      <c r="R521" s="243">
        <f>('(Tables)'!N1194+'(Tables)'!N1371)*(1+Inputs!R244)+'(Tables)'!N1194*Inputs!R220</f>
        <v>0</v>
      </c>
      <c r="S521" s="243">
        <f>('(Tables)'!O1194+'(Tables)'!O1371)*(1+Inputs!S244)+'(Tables)'!O1194*Inputs!S220</f>
        <v>0</v>
      </c>
      <c r="T521" s="243">
        <f>('(Tables)'!P1194+'(Tables)'!P1371)*(1+Inputs!T244)+'(Tables)'!P1194*Inputs!T220</f>
        <v>0</v>
      </c>
      <c r="U521" s="244">
        <f>SUM(R521:T521)</f>
        <v>0</v>
      </c>
      <c r="V521" s="243">
        <f>('(Tables)'!Q1194+'(Tables)'!Q1371)*(1+Inputs!U244)+'(Tables)'!Q1194*Inputs!U220</f>
        <v>0</v>
      </c>
      <c r="W521" s="243">
        <f>('(Tables)'!R1194+'(Tables)'!R1371)*(1+Inputs!V244)+'(Tables)'!R1194*Inputs!V220</f>
        <v>0</v>
      </c>
      <c r="X521" s="243">
        <f>('(Tables)'!S1194+'(Tables)'!S1371)*(1+Inputs!W244)+'(Tables)'!S1194*Inputs!W220</f>
        <v>0</v>
      </c>
      <c r="Y521" s="244">
        <f>SUM(V521:X521)</f>
        <v>0</v>
      </c>
    </row>
    <row r="522" spans="1:25" ht="12.75" hidden="1" customHeight="1" outlineLevel="1" x14ac:dyDescent="0.2">
      <c r="A522" s="198" t="str">
        <f>"      "&amp;Labels!B386</f>
        <v xml:space="preserve">      Prof Level 2</v>
      </c>
      <c r="B522" s="243">
        <f>('(Tables)'!B1195+'(Tables)'!B1372)*(1+Inputs!F244)+'(Tables)'!B1195*Inputs!F221</f>
        <v>0</v>
      </c>
      <c r="C522" s="243">
        <f>('(Tables)'!C1195+'(Tables)'!C1372)*(1+Inputs!G244)+'(Tables)'!C1195*Inputs!G221</f>
        <v>0</v>
      </c>
      <c r="D522" s="243">
        <f>('(Tables)'!D1195+'(Tables)'!D1372)*(1+Inputs!H244)+'(Tables)'!D1195*Inputs!H221</f>
        <v>0</v>
      </c>
      <c r="E522" s="244">
        <f>SUM(B522:D522)</f>
        <v>0</v>
      </c>
      <c r="F522" s="243">
        <f>('(Tables)'!E1195+'(Tables)'!E1372)*(1+Inputs!I244)+'(Tables)'!E1195*Inputs!I221</f>
        <v>0</v>
      </c>
      <c r="G522" s="243">
        <f>('(Tables)'!F1195+'(Tables)'!F1372)*(1+Inputs!J244)+'(Tables)'!F1195*Inputs!J221</f>
        <v>0</v>
      </c>
      <c r="H522" s="243">
        <f>('(Tables)'!G1195+'(Tables)'!G1372)*(1+Inputs!K244)+'(Tables)'!G1195*Inputs!K221</f>
        <v>0</v>
      </c>
      <c r="I522" s="244">
        <f>SUM(F522:H522)</f>
        <v>0</v>
      </c>
      <c r="J522" s="243">
        <f>('(Tables)'!H1195+'(Tables)'!H1372)*(1+Inputs!L244)+'(Tables)'!H1195*Inputs!L221</f>
        <v>10597.834864147502</v>
      </c>
      <c r="K522" s="243">
        <f>('(Tables)'!I1195+'(Tables)'!I1372)*(1+Inputs!M244)+'(Tables)'!I1195*Inputs!M221</f>
        <v>21247.943967849627</v>
      </c>
      <c r="L522" s="243">
        <f>('(Tables)'!J1195+'(Tables)'!J1372)*(1+Inputs!N244)+'(Tables)'!J1195*Inputs!N221</f>
        <v>0</v>
      </c>
      <c r="M522" s="244">
        <f>SUM(J522:L522)</f>
        <v>31845.77883199713</v>
      </c>
      <c r="N522" s="243">
        <f>('(Tables)'!K1195+'(Tables)'!K1372)*(1+Inputs!O244)+'(Tables)'!K1195*Inputs!O221</f>
        <v>0</v>
      </c>
      <c r="O522" s="243">
        <f>('(Tables)'!L1195+'(Tables)'!L1372)*(1+Inputs!P244)+'(Tables)'!L1195*Inputs!P221</f>
        <v>0</v>
      </c>
      <c r="P522" s="243">
        <f>('(Tables)'!M1195+'(Tables)'!M1372)*(1+Inputs!Q244)+'(Tables)'!M1195*Inputs!Q221</f>
        <v>0</v>
      </c>
      <c r="Q522" s="244">
        <f>SUM(N522:P522)</f>
        <v>0</v>
      </c>
      <c r="R522" s="243">
        <f>('(Tables)'!N1195+'(Tables)'!N1372)*(1+Inputs!R244)+'(Tables)'!N1195*Inputs!R221</f>
        <v>0</v>
      </c>
      <c r="S522" s="243">
        <f>('(Tables)'!O1195+'(Tables)'!O1372)*(1+Inputs!S244)+'(Tables)'!O1195*Inputs!S221</f>
        <v>0</v>
      </c>
      <c r="T522" s="243">
        <f>('(Tables)'!P1195+'(Tables)'!P1372)*(1+Inputs!T244)+'(Tables)'!P1195*Inputs!T221</f>
        <v>0</v>
      </c>
      <c r="U522" s="244">
        <f>SUM(R522:T522)</f>
        <v>0</v>
      </c>
      <c r="V522" s="243">
        <f>('(Tables)'!Q1195+'(Tables)'!Q1372)*(1+Inputs!U244)+'(Tables)'!Q1195*Inputs!U221</f>
        <v>0</v>
      </c>
      <c r="W522" s="243">
        <f>('(Tables)'!R1195+'(Tables)'!R1372)*(1+Inputs!V244)+'(Tables)'!R1195*Inputs!V221</f>
        <v>0</v>
      </c>
      <c r="X522" s="243">
        <f>('(Tables)'!S1195+'(Tables)'!S1372)*(1+Inputs!W244)+'(Tables)'!S1195*Inputs!W221</f>
        <v>0</v>
      </c>
      <c r="Y522" s="244">
        <f>SUM(V522:X522)</f>
        <v>0</v>
      </c>
    </row>
    <row r="523" spans="1:25" ht="12.75" hidden="1" customHeight="1" outlineLevel="1" x14ac:dyDescent="0.2">
      <c r="A523" s="188" t="str">
        <f>"      "&amp;Labels!C384</f>
        <v xml:space="preserve">      Total</v>
      </c>
      <c r="B523" s="241">
        <f>SUM(B521:B522)</f>
        <v>0</v>
      </c>
      <c r="C523" s="241">
        <f>SUM(C521:C522)</f>
        <v>0</v>
      </c>
      <c r="D523" s="241">
        <f>SUM(D521:D522)</f>
        <v>0</v>
      </c>
      <c r="E523" s="242">
        <f>SUM(B523:D523)</f>
        <v>0</v>
      </c>
      <c r="F523" s="241">
        <f>SUM(F521:F522)</f>
        <v>0</v>
      </c>
      <c r="G523" s="241">
        <f>SUM(G521:G522)</f>
        <v>0</v>
      </c>
      <c r="H523" s="241">
        <f>SUM(H521:H522)</f>
        <v>0</v>
      </c>
      <c r="I523" s="242">
        <f>SUM(F523:H523)</f>
        <v>0</v>
      </c>
      <c r="J523" s="241">
        <f>SUM(J521:J522)</f>
        <v>21195.669728295004</v>
      </c>
      <c r="K523" s="241">
        <f>SUM(K521:K522)</f>
        <v>42495.887935699255</v>
      </c>
      <c r="L523" s="241">
        <f>SUM(L521:L522)</f>
        <v>0</v>
      </c>
      <c r="M523" s="242">
        <f>SUM(J523:L523)</f>
        <v>63691.557663994259</v>
      </c>
      <c r="N523" s="241">
        <f>SUM(N521:N522)</f>
        <v>0</v>
      </c>
      <c r="O523" s="241">
        <f>SUM(O521:O522)</f>
        <v>0</v>
      </c>
      <c r="P523" s="241">
        <f>SUM(P521:P522)</f>
        <v>0</v>
      </c>
      <c r="Q523" s="242">
        <f>SUM(N523:P523)</f>
        <v>0</v>
      </c>
      <c r="R523" s="241">
        <f>SUM(R521:R522)</f>
        <v>0</v>
      </c>
      <c r="S523" s="241">
        <f>SUM(S521:S522)</f>
        <v>0</v>
      </c>
      <c r="T523" s="241">
        <f>SUM(T521:T522)</f>
        <v>0</v>
      </c>
      <c r="U523" s="242">
        <f>SUM(R523:T523)</f>
        <v>0</v>
      </c>
      <c r="V523" s="241">
        <f>SUM(V521:V522)</f>
        <v>0</v>
      </c>
      <c r="W523" s="241">
        <f>SUM(W521:W522)</f>
        <v>0</v>
      </c>
      <c r="X523" s="241">
        <f>SUM(X521:X522)</f>
        <v>0</v>
      </c>
      <c r="Y523" s="242">
        <f>SUM(V523:X523)</f>
        <v>0</v>
      </c>
    </row>
    <row r="524" spans="1:25" ht="12.75" hidden="1" customHeight="1" outlineLevel="1" x14ac:dyDescent="0.2">
      <c r="A524" s="188" t="str">
        <f>"   "&amp;Labels!B382</f>
        <v xml:space="preserve">   Practice 2</v>
      </c>
      <c r="B524" s="241"/>
      <c r="C524" s="241"/>
      <c r="D524" s="241"/>
      <c r="E524" s="242"/>
      <c r="F524" s="241"/>
      <c r="G524" s="241"/>
      <c r="H524" s="241"/>
      <c r="I524" s="242"/>
      <c r="J524" s="241"/>
      <c r="K524" s="241"/>
      <c r="L524" s="241"/>
      <c r="M524" s="242"/>
      <c r="N524" s="241"/>
      <c r="O524" s="241"/>
      <c r="P524" s="241"/>
      <c r="Q524" s="242"/>
      <c r="R524" s="241"/>
      <c r="S524" s="241"/>
      <c r="T524" s="241"/>
      <c r="U524" s="242"/>
      <c r="V524" s="241"/>
      <c r="W524" s="241"/>
      <c r="X524" s="241"/>
      <c r="Y524" s="242"/>
    </row>
    <row r="525" spans="1:25" ht="12.75" hidden="1" customHeight="1" outlineLevel="1" x14ac:dyDescent="0.2">
      <c r="A525" s="198" t="str">
        <f>"      "&amp;Labels!B385</f>
        <v xml:space="preserve">      Prof Level 1</v>
      </c>
      <c r="B525" s="243">
        <f>('(Tables)'!B1198+'(Tables)'!B1375)*(1+Inputs!F244)+'(Tables)'!B1198*Inputs!F220</f>
        <v>0</v>
      </c>
      <c r="C525" s="243">
        <f>('(Tables)'!C1198+'(Tables)'!C1375)*(1+Inputs!G244)+'(Tables)'!C1198*Inputs!G220</f>
        <v>0</v>
      </c>
      <c r="D525" s="243">
        <f>('(Tables)'!D1198+'(Tables)'!D1375)*(1+Inputs!H244)+'(Tables)'!D1198*Inputs!H220</f>
        <v>0</v>
      </c>
      <c r="E525" s="244">
        <f t="shared" ref="E525:E530" si="408">SUM(B525:D525)</f>
        <v>0</v>
      </c>
      <c r="F525" s="243">
        <f>('(Tables)'!E1198+'(Tables)'!E1375)*(1+Inputs!I244)+'(Tables)'!E1198*Inputs!I220</f>
        <v>0</v>
      </c>
      <c r="G525" s="243">
        <f>('(Tables)'!F1198+'(Tables)'!F1375)*(1+Inputs!J244)+'(Tables)'!F1198*Inputs!J220</f>
        <v>0</v>
      </c>
      <c r="H525" s="243">
        <f>('(Tables)'!G1198+'(Tables)'!G1375)*(1+Inputs!K244)+'(Tables)'!G1198*Inputs!K220</f>
        <v>0</v>
      </c>
      <c r="I525" s="244">
        <f t="shared" ref="I525:I530" si="409">SUM(F525:H525)</f>
        <v>0</v>
      </c>
      <c r="J525" s="243">
        <f>('(Tables)'!H1198+'(Tables)'!H1375)*(1+Inputs!L244)+'(Tables)'!H1198*Inputs!L220</f>
        <v>0</v>
      </c>
      <c r="K525" s="243">
        <f>('(Tables)'!I1198+'(Tables)'!I1375)*(1+Inputs!M244)+'(Tables)'!I1198*Inputs!M220</f>
        <v>0</v>
      </c>
      <c r="L525" s="243">
        <f>('(Tables)'!J1198+'(Tables)'!J1375)*(1+Inputs!N244)+'(Tables)'!J1198*Inputs!N220</f>
        <v>0</v>
      </c>
      <c r="M525" s="244">
        <f t="shared" ref="M525:M530" si="410">SUM(J525:L525)</f>
        <v>0</v>
      </c>
      <c r="N525" s="243">
        <f>('(Tables)'!K1198+'(Tables)'!K1375)*(1+Inputs!O244)+'(Tables)'!K1198*Inputs!O220</f>
        <v>0</v>
      </c>
      <c r="O525" s="243">
        <f>('(Tables)'!L1198+'(Tables)'!L1375)*(1+Inputs!P244)+'(Tables)'!L1198*Inputs!P220</f>
        <v>0</v>
      </c>
      <c r="P525" s="243">
        <f>('(Tables)'!M1198+'(Tables)'!M1375)*(1+Inputs!Q244)+'(Tables)'!M1198*Inputs!Q220</f>
        <v>0</v>
      </c>
      <c r="Q525" s="244">
        <f t="shared" ref="Q525:Q530" si="411">SUM(N525:P525)</f>
        <v>0</v>
      </c>
      <c r="R525" s="243">
        <f>('(Tables)'!N1198+'(Tables)'!N1375)*(1+Inputs!R244)+'(Tables)'!N1198*Inputs!R220</f>
        <v>0</v>
      </c>
      <c r="S525" s="243">
        <f>('(Tables)'!O1198+'(Tables)'!O1375)*(1+Inputs!S244)+'(Tables)'!O1198*Inputs!S220</f>
        <v>0</v>
      </c>
      <c r="T525" s="243">
        <f>('(Tables)'!P1198+'(Tables)'!P1375)*(1+Inputs!T244)+'(Tables)'!P1198*Inputs!T220</f>
        <v>0</v>
      </c>
      <c r="U525" s="244">
        <f t="shared" ref="U525:U530" si="412">SUM(R525:T525)</f>
        <v>0</v>
      </c>
      <c r="V525" s="243">
        <f>('(Tables)'!Q1198+'(Tables)'!Q1375)*(1+Inputs!U244)+'(Tables)'!Q1198*Inputs!U220</f>
        <v>0</v>
      </c>
      <c r="W525" s="243">
        <f>('(Tables)'!R1198+'(Tables)'!R1375)*(1+Inputs!V244)+'(Tables)'!R1198*Inputs!V220</f>
        <v>0</v>
      </c>
      <c r="X525" s="243">
        <f>('(Tables)'!S1198+'(Tables)'!S1375)*(1+Inputs!W244)+'(Tables)'!S1198*Inputs!W220</f>
        <v>0</v>
      </c>
      <c r="Y525" s="244">
        <f t="shared" ref="Y525:Y530" si="413">SUM(V525:X525)</f>
        <v>0</v>
      </c>
    </row>
    <row r="526" spans="1:25" ht="12.75" hidden="1" customHeight="1" outlineLevel="1" x14ac:dyDescent="0.2">
      <c r="A526" s="198" t="str">
        <f>"      "&amp;Labels!B386</f>
        <v xml:space="preserve">      Prof Level 2</v>
      </c>
      <c r="B526" s="243">
        <f>('(Tables)'!B1199+'(Tables)'!B1376)*(1+Inputs!F244)+'(Tables)'!B1199*Inputs!F221</f>
        <v>0</v>
      </c>
      <c r="C526" s="243">
        <f>('(Tables)'!C1199+'(Tables)'!C1376)*(1+Inputs!G244)+'(Tables)'!C1199*Inputs!G221</f>
        <v>0</v>
      </c>
      <c r="D526" s="243">
        <f>('(Tables)'!D1199+'(Tables)'!D1376)*(1+Inputs!H244)+'(Tables)'!D1199*Inputs!H221</f>
        <v>0</v>
      </c>
      <c r="E526" s="244">
        <f t="shared" si="408"/>
        <v>0</v>
      </c>
      <c r="F526" s="243">
        <f>('(Tables)'!E1199+'(Tables)'!E1376)*(1+Inputs!I244)+'(Tables)'!E1199*Inputs!I221</f>
        <v>0</v>
      </c>
      <c r="G526" s="243">
        <f>('(Tables)'!F1199+'(Tables)'!F1376)*(1+Inputs!J244)+'(Tables)'!F1199*Inputs!J221</f>
        <v>0</v>
      </c>
      <c r="H526" s="243">
        <f>('(Tables)'!G1199+'(Tables)'!G1376)*(1+Inputs!K244)+'(Tables)'!G1199*Inputs!K221</f>
        <v>0</v>
      </c>
      <c r="I526" s="244">
        <f t="shared" si="409"/>
        <v>0</v>
      </c>
      <c r="J526" s="243">
        <f>('(Tables)'!H1199+'(Tables)'!H1376)*(1+Inputs!L244)+'(Tables)'!H1199*Inputs!L221</f>
        <v>0</v>
      </c>
      <c r="K526" s="243">
        <f>('(Tables)'!I1199+'(Tables)'!I1376)*(1+Inputs!M244)+'(Tables)'!I1199*Inputs!M221</f>
        <v>0</v>
      </c>
      <c r="L526" s="243">
        <f>('(Tables)'!J1199+'(Tables)'!J1376)*(1+Inputs!N244)+'(Tables)'!J1199*Inputs!N221</f>
        <v>0</v>
      </c>
      <c r="M526" s="244">
        <f t="shared" si="410"/>
        <v>0</v>
      </c>
      <c r="N526" s="243">
        <f>('(Tables)'!K1199+'(Tables)'!K1376)*(1+Inputs!O244)+'(Tables)'!K1199*Inputs!O221</f>
        <v>0</v>
      </c>
      <c r="O526" s="243">
        <f>('(Tables)'!L1199+'(Tables)'!L1376)*(1+Inputs!P244)+'(Tables)'!L1199*Inputs!P221</f>
        <v>0</v>
      </c>
      <c r="P526" s="243">
        <f>('(Tables)'!M1199+'(Tables)'!M1376)*(1+Inputs!Q244)+'(Tables)'!M1199*Inputs!Q221</f>
        <v>0</v>
      </c>
      <c r="Q526" s="244">
        <f t="shared" si="411"/>
        <v>0</v>
      </c>
      <c r="R526" s="243">
        <f>('(Tables)'!N1199+'(Tables)'!N1376)*(1+Inputs!R244)+'(Tables)'!N1199*Inputs!R221</f>
        <v>0</v>
      </c>
      <c r="S526" s="243">
        <f>('(Tables)'!O1199+'(Tables)'!O1376)*(1+Inputs!S244)+'(Tables)'!O1199*Inputs!S221</f>
        <v>0</v>
      </c>
      <c r="T526" s="243">
        <f>('(Tables)'!P1199+'(Tables)'!P1376)*(1+Inputs!T244)+'(Tables)'!P1199*Inputs!T221</f>
        <v>0</v>
      </c>
      <c r="U526" s="244">
        <f t="shared" si="412"/>
        <v>0</v>
      </c>
      <c r="V526" s="243">
        <f>('(Tables)'!Q1199+'(Tables)'!Q1376)*(1+Inputs!U244)+'(Tables)'!Q1199*Inputs!U221</f>
        <v>0</v>
      </c>
      <c r="W526" s="243">
        <f>('(Tables)'!R1199+'(Tables)'!R1376)*(1+Inputs!V244)+'(Tables)'!R1199*Inputs!V221</f>
        <v>0</v>
      </c>
      <c r="X526" s="243">
        <f>('(Tables)'!S1199+'(Tables)'!S1376)*(1+Inputs!W244)+'(Tables)'!S1199*Inputs!W221</f>
        <v>0</v>
      </c>
      <c r="Y526" s="244">
        <f t="shared" si="413"/>
        <v>0</v>
      </c>
    </row>
    <row r="527" spans="1:25" ht="12.75" hidden="1" customHeight="1" outlineLevel="1" x14ac:dyDescent="0.2">
      <c r="A527" s="188" t="str">
        <f>"      "&amp;Labels!C384</f>
        <v xml:space="preserve">      Total</v>
      </c>
      <c r="B527" s="241">
        <f>SUM(B525:B526)</f>
        <v>0</v>
      </c>
      <c r="C527" s="241">
        <f>SUM(C525:C526)</f>
        <v>0</v>
      </c>
      <c r="D527" s="241">
        <f>SUM(D525:D526)</f>
        <v>0</v>
      </c>
      <c r="E527" s="242">
        <f t="shared" si="408"/>
        <v>0</v>
      </c>
      <c r="F527" s="241">
        <f>SUM(F525:F526)</f>
        <v>0</v>
      </c>
      <c r="G527" s="241">
        <f>SUM(G525:G526)</f>
        <v>0</v>
      </c>
      <c r="H527" s="241">
        <f>SUM(H525:H526)</f>
        <v>0</v>
      </c>
      <c r="I527" s="242">
        <f t="shared" si="409"/>
        <v>0</v>
      </c>
      <c r="J527" s="241">
        <f>SUM(J525:J526)</f>
        <v>0</v>
      </c>
      <c r="K527" s="241">
        <f>SUM(K525:K526)</f>
        <v>0</v>
      </c>
      <c r="L527" s="241">
        <f>SUM(L525:L526)</f>
        <v>0</v>
      </c>
      <c r="M527" s="242">
        <f t="shared" si="410"/>
        <v>0</v>
      </c>
      <c r="N527" s="241">
        <f>SUM(N525:N526)</f>
        <v>0</v>
      </c>
      <c r="O527" s="241">
        <f>SUM(O525:O526)</f>
        <v>0</v>
      </c>
      <c r="P527" s="241">
        <f>SUM(P525:P526)</f>
        <v>0</v>
      </c>
      <c r="Q527" s="242">
        <f t="shared" si="411"/>
        <v>0</v>
      </c>
      <c r="R527" s="241">
        <f>SUM(R525:R526)</f>
        <v>0</v>
      </c>
      <c r="S527" s="241">
        <f>SUM(S525:S526)</f>
        <v>0</v>
      </c>
      <c r="T527" s="241">
        <f>SUM(T525:T526)</f>
        <v>0</v>
      </c>
      <c r="U527" s="242">
        <f t="shared" si="412"/>
        <v>0</v>
      </c>
      <c r="V527" s="241">
        <f>SUM(V525:V526)</f>
        <v>0</v>
      </c>
      <c r="W527" s="241">
        <f>SUM(W525:W526)</f>
        <v>0</v>
      </c>
      <c r="X527" s="241">
        <f>SUM(X525:X526)</f>
        <v>0</v>
      </c>
      <c r="Y527" s="242">
        <f t="shared" si="413"/>
        <v>0</v>
      </c>
    </row>
    <row r="528" spans="1:25" ht="12.75" hidden="1" customHeight="1" outlineLevel="1" x14ac:dyDescent="0.2">
      <c r="A528" s="191" t="str">
        <f>"   "&amp;Labels!C380</f>
        <v xml:space="preserve">   Total</v>
      </c>
      <c r="B528" s="245">
        <f>SUM(B523,B527)</f>
        <v>0</v>
      </c>
      <c r="C528" s="245">
        <f>SUM(C523,C527)</f>
        <v>0</v>
      </c>
      <c r="D528" s="245">
        <f>SUM(D523,D527)</f>
        <v>0</v>
      </c>
      <c r="E528" s="246">
        <f t="shared" si="408"/>
        <v>0</v>
      </c>
      <c r="F528" s="245">
        <f>SUM(F523,F527)</f>
        <v>0</v>
      </c>
      <c r="G528" s="245">
        <f>SUM(G523,G527)</f>
        <v>0</v>
      </c>
      <c r="H528" s="245">
        <f>SUM(H523,H527)</f>
        <v>0</v>
      </c>
      <c r="I528" s="246">
        <f t="shared" si="409"/>
        <v>0</v>
      </c>
      <c r="J528" s="245">
        <f>SUM(J523,J527)</f>
        <v>21195.669728295004</v>
      </c>
      <c r="K528" s="245">
        <f>SUM(K523,K527)</f>
        <v>42495.887935699255</v>
      </c>
      <c r="L528" s="245">
        <f>SUM(L523,L527)</f>
        <v>0</v>
      </c>
      <c r="M528" s="246">
        <f t="shared" si="410"/>
        <v>63691.557663994259</v>
      </c>
      <c r="N528" s="245">
        <f>SUM(N523,N527)</f>
        <v>0</v>
      </c>
      <c r="O528" s="245">
        <f>SUM(O523,O527)</f>
        <v>0</v>
      </c>
      <c r="P528" s="245">
        <f>SUM(P523,P527)</f>
        <v>0</v>
      </c>
      <c r="Q528" s="246">
        <f t="shared" si="411"/>
        <v>0</v>
      </c>
      <c r="R528" s="245">
        <f>SUM(R523,R527)</f>
        <v>0</v>
      </c>
      <c r="S528" s="245">
        <f>SUM(S523,S527)</f>
        <v>0</v>
      </c>
      <c r="T528" s="245">
        <f>SUM(T523,T527)</f>
        <v>0</v>
      </c>
      <c r="U528" s="246">
        <f t="shared" si="412"/>
        <v>0</v>
      </c>
      <c r="V528" s="245">
        <f>SUM(V523,V527)</f>
        <v>0</v>
      </c>
      <c r="W528" s="245">
        <f>SUM(W523,W527)</f>
        <v>0</v>
      </c>
      <c r="X528" s="245">
        <f>SUM(X523,X527)</f>
        <v>0</v>
      </c>
      <c r="Y528" s="246">
        <f t="shared" si="413"/>
        <v>0</v>
      </c>
    </row>
    <row r="529" spans="1:25" ht="12.75" hidden="1" customHeight="1" outlineLevel="1" x14ac:dyDescent="0.2">
      <c r="A529" s="198" t="str">
        <f>"      "&amp;Labels!B385</f>
        <v xml:space="preserve">      Prof Level 1</v>
      </c>
      <c r="B529" s="243">
        <f t="shared" ref="B529:D531" si="414">SUM(B521,B525)</f>
        <v>0</v>
      </c>
      <c r="C529" s="243">
        <f t="shared" si="414"/>
        <v>0</v>
      </c>
      <c r="D529" s="243">
        <f t="shared" si="414"/>
        <v>0</v>
      </c>
      <c r="E529" s="244">
        <f t="shared" si="408"/>
        <v>0</v>
      </c>
      <c r="F529" s="243">
        <f t="shared" ref="F529:H531" si="415">SUM(F521,F525)</f>
        <v>0</v>
      </c>
      <c r="G529" s="243">
        <f t="shared" si="415"/>
        <v>0</v>
      </c>
      <c r="H529" s="243">
        <f t="shared" si="415"/>
        <v>0</v>
      </c>
      <c r="I529" s="244">
        <f t="shared" si="409"/>
        <v>0</v>
      </c>
      <c r="J529" s="243">
        <f t="shared" ref="J529:L531" si="416">SUM(J521,J525)</f>
        <v>10597.834864147502</v>
      </c>
      <c r="K529" s="243">
        <f t="shared" si="416"/>
        <v>21247.943967849627</v>
      </c>
      <c r="L529" s="243">
        <f t="shared" si="416"/>
        <v>0</v>
      </c>
      <c r="M529" s="244">
        <f t="shared" si="410"/>
        <v>31845.77883199713</v>
      </c>
      <c r="N529" s="243">
        <f t="shared" ref="N529:P531" si="417">SUM(N521,N525)</f>
        <v>0</v>
      </c>
      <c r="O529" s="243">
        <f t="shared" si="417"/>
        <v>0</v>
      </c>
      <c r="P529" s="243">
        <f t="shared" si="417"/>
        <v>0</v>
      </c>
      <c r="Q529" s="244">
        <f t="shared" si="411"/>
        <v>0</v>
      </c>
      <c r="R529" s="243">
        <f t="shared" ref="R529:T531" si="418">SUM(R521,R525)</f>
        <v>0</v>
      </c>
      <c r="S529" s="243">
        <f t="shared" si="418"/>
        <v>0</v>
      </c>
      <c r="T529" s="243">
        <f t="shared" si="418"/>
        <v>0</v>
      </c>
      <c r="U529" s="244">
        <f t="shared" si="412"/>
        <v>0</v>
      </c>
      <c r="V529" s="243">
        <f t="shared" ref="V529:X531" si="419">SUM(V521,V525)</f>
        <v>0</v>
      </c>
      <c r="W529" s="243">
        <f t="shared" si="419"/>
        <v>0</v>
      </c>
      <c r="X529" s="243">
        <f t="shared" si="419"/>
        <v>0</v>
      </c>
      <c r="Y529" s="244">
        <f t="shared" si="413"/>
        <v>0</v>
      </c>
    </row>
    <row r="530" spans="1:25" ht="12.75" hidden="1" customHeight="1" outlineLevel="1" x14ac:dyDescent="0.2">
      <c r="A530" s="198" t="str">
        <f>"      "&amp;Labels!B386</f>
        <v xml:space="preserve">      Prof Level 2</v>
      </c>
      <c r="B530" s="243">
        <f t="shared" si="414"/>
        <v>0</v>
      </c>
      <c r="C530" s="243">
        <f t="shared" si="414"/>
        <v>0</v>
      </c>
      <c r="D530" s="243">
        <f t="shared" si="414"/>
        <v>0</v>
      </c>
      <c r="E530" s="244">
        <f t="shared" si="408"/>
        <v>0</v>
      </c>
      <c r="F530" s="243">
        <f t="shared" si="415"/>
        <v>0</v>
      </c>
      <c r="G530" s="243">
        <f t="shared" si="415"/>
        <v>0</v>
      </c>
      <c r="H530" s="243">
        <f t="shared" si="415"/>
        <v>0</v>
      </c>
      <c r="I530" s="244">
        <f t="shared" si="409"/>
        <v>0</v>
      </c>
      <c r="J530" s="243">
        <f t="shared" si="416"/>
        <v>10597.834864147502</v>
      </c>
      <c r="K530" s="243">
        <f t="shared" si="416"/>
        <v>21247.943967849627</v>
      </c>
      <c r="L530" s="243">
        <f t="shared" si="416"/>
        <v>0</v>
      </c>
      <c r="M530" s="244">
        <f t="shared" si="410"/>
        <v>31845.77883199713</v>
      </c>
      <c r="N530" s="243">
        <f t="shared" si="417"/>
        <v>0</v>
      </c>
      <c r="O530" s="243">
        <f t="shared" si="417"/>
        <v>0</v>
      </c>
      <c r="P530" s="243">
        <f t="shared" si="417"/>
        <v>0</v>
      </c>
      <c r="Q530" s="244">
        <f t="shared" si="411"/>
        <v>0</v>
      </c>
      <c r="R530" s="243">
        <f t="shared" si="418"/>
        <v>0</v>
      </c>
      <c r="S530" s="243">
        <f t="shared" si="418"/>
        <v>0</v>
      </c>
      <c r="T530" s="243">
        <f t="shared" si="418"/>
        <v>0</v>
      </c>
      <c r="U530" s="244">
        <f t="shared" si="412"/>
        <v>0</v>
      </c>
      <c r="V530" s="243">
        <f t="shared" si="419"/>
        <v>0</v>
      </c>
      <c r="W530" s="243">
        <f t="shared" si="419"/>
        <v>0</v>
      </c>
      <c r="X530" s="243">
        <f t="shared" si="419"/>
        <v>0</v>
      </c>
      <c r="Y530" s="244">
        <f t="shared" si="413"/>
        <v>0</v>
      </c>
    </row>
    <row r="531" spans="1:25" ht="12.75" hidden="1" customHeight="1" outlineLevel="1" x14ac:dyDescent="0.2">
      <c r="A531" s="220" t="str">
        <f>"      "&amp;Labels!C384</f>
        <v xml:space="preserve">      Total</v>
      </c>
      <c r="B531" s="320">
        <f t="shared" si="414"/>
        <v>0</v>
      </c>
      <c r="C531" s="320">
        <f t="shared" si="414"/>
        <v>0</v>
      </c>
      <c r="D531" s="320">
        <f t="shared" si="414"/>
        <v>0</v>
      </c>
      <c r="E531" s="321">
        <f>SUM(B528:D528)</f>
        <v>0</v>
      </c>
      <c r="F531" s="320">
        <f t="shared" si="415"/>
        <v>0</v>
      </c>
      <c r="G531" s="320">
        <f t="shared" si="415"/>
        <v>0</v>
      </c>
      <c r="H531" s="320">
        <f t="shared" si="415"/>
        <v>0</v>
      </c>
      <c r="I531" s="321">
        <f>SUM(F528:H528)</f>
        <v>0</v>
      </c>
      <c r="J531" s="320">
        <f t="shared" si="416"/>
        <v>21195.669728295004</v>
      </c>
      <c r="K531" s="320">
        <f t="shared" si="416"/>
        <v>42495.887935699255</v>
      </c>
      <c r="L531" s="320">
        <f t="shared" si="416"/>
        <v>0</v>
      </c>
      <c r="M531" s="321">
        <f>SUM(J528:L528)</f>
        <v>63691.557663994259</v>
      </c>
      <c r="N531" s="320">
        <f t="shared" si="417"/>
        <v>0</v>
      </c>
      <c r="O531" s="320">
        <f t="shared" si="417"/>
        <v>0</v>
      </c>
      <c r="P531" s="320">
        <f t="shared" si="417"/>
        <v>0</v>
      </c>
      <c r="Q531" s="321">
        <f>SUM(N528:P528)</f>
        <v>0</v>
      </c>
      <c r="R531" s="320">
        <f t="shared" si="418"/>
        <v>0</v>
      </c>
      <c r="S531" s="320">
        <f t="shared" si="418"/>
        <v>0</v>
      </c>
      <c r="T531" s="320">
        <f t="shared" si="418"/>
        <v>0</v>
      </c>
      <c r="U531" s="321">
        <f>SUM(R528:T528)</f>
        <v>0</v>
      </c>
      <c r="V531" s="320">
        <f t="shared" si="419"/>
        <v>0</v>
      </c>
      <c r="W531" s="320">
        <f t="shared" si="419"/>
        <v>0</v>
      </c>
      <c r="X531" s="320">
        <f t="shared" si="419"/>
        <v>0</v>
      </c>
      <c r="Y531" s="321">
        <f>SUM(V528:X528)</f>
        <v>0</v>
      </c>
    </row>
    <row r="532" spans="1:25" ht="12.75" hidden="1" customHeight="1" outlineLevel="1" collapsed="1" x14ac:dyDescent="0.2"/>
    <row r="533" spans="1:25" ht="12.75" customHeight="1" collapsed="1" x14ac:dyDescent="0.2">
      <c r="A533" t="s">
        <v>3402</v>
      </c>
      <c r="B533" t="s">
        <v>3402</v>
      </c>
      <c r="C533" t="s">
        <v>3402</v>
      </c>
      <c r="D533" t="s">
        <v>3402</v>
      </c>
      <c r="E533" t="s">
        <v>3402</v>
      </c>
      <c r="F533" t="s">
        <v>3402</v>
      </c>
      <c r="G533" t="s">
        <v>3402</v>
      </c>
      <c r="H533" t="s">
        <v>3402</v>
      </c>
      <c r="I533" t="s">
        <v>3402</v>
      </c>
      <c r="J533" t="s">
        <v>3402</v>
      </c>
      <c r="K533" t="s">
        <v>3402</v>
      </c>
      <c r="L533" t="s">
        <v>3402</v>
      </c>
      <c r="M533" t="s">
        <v>3402</v>
      </c>
      <c r="N533" t="s">
        <v>3402</v>
      </c>
      <c r="O533" t="s">
        <v>3402</v>
      </c>
      <c r="P533" t="s">
        <v>3402</v>
      </c>
      <c r="Q533" t="s">
        <v>3402</v>
      </c>
      <c r="R533" t="s">
        <v>3402</v>
      </c>
      <c r="S533" t="s">
        <v>3402</v>
      </c>
      <c r="T533" t="s">
        <v>3402</v>
      </c>
      <c r="U533" t="s">
        <v>3402</v>
      </c>
      <c r="V533" t="s">
        <v>3402</v>
      </c>
      <c r="W533" t="s">
        <v>3402</v>
      </c>
      <c r="X533" t="s">
        <v>3402</v>
      </c>
      <c r="Y533" t="s">
        <v>3402</v>
      </c>
    </row>
  </sheetData>
  <mergeCells count="17">
    <mergeCell ref="A347:C347"/>
    <mergeCell ref="A402:B402"/>
    <mergeCell ref="A403:B403"/>
    <mergeCell ref="A474:C474"/>
    <mergeCell ref="A475:C475"/>
    <mergeCell ref="A346:C346"/>
    <mergeCell ref="A1:C1"/>
    <mergeCell ref="A2:C2"/>
    <mergeCell ref="A3:C3"/>
    <mergeCell ref="A4:C4"/>
    <mergeCell ref="A5:C5"/>
    <mergeCell ref="A7:C7"/>
    <mergeCell ref="A8:C8"/>
    <mergeCell ref="A214:B214"/>
    <mergeCell ref="A312:C312"/>
    <mergeCell ref="A314:C314"/>
    <mergeCell ref="A315:C315"/>
  </mergeCells>
  <pageMargins left="0.25" right="0.25" top="0.5" bottom="0.5" header="0.5" footer="0.5"/>
  <pageSetup paperSize="9" fitToHeight="32767" orientation="landscape" horizontalDpi="300" verticalDpi="300"/>
  <headerFooter alignWithMargins="0"/>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pageSetUpPr fitToPage="1"/>
  </sheetPr>
  <dimension ref="A1:Y226"/>
  <sheetViews>
    <sheetView zoomScaleNormal="100" workbookViewId="0">
      <selection sqref="A1:C1"/>
    </sheetView>
  </sheetViews>
  <sheetFormatPr defaultRowHeight="12.75" customHeight="1" outlineLevelRow="1" x14ac:dyDescent="0.2"/>
  <cols>
    <col min="1" max="1" width="25.5703125" customWidth="1"/>
    <col min="2" max="25" width="12.42578125" customWidth="1"/>
  </cols>
  <sheetData>
    <row r="1" spans="1:25" ht="12.75" customHeight="1" x14ac:dyDescent="0.2">
      <c r="A1" s="463" t="str">
        <f>Inputs!F7</f>
        <v xml:space="preserve"> </v>
      </c>
      <c r="B1" s="463"/>
      <c r="C1" s="463"/>
    </row>
    <row r="2" spans="1:25" ht="12.75" customHeight="1" x14ac:dyDescent="0.2">
      <c r="A2" s="463" t="e">
        <f>TEXT('(FnCalls 1)'!A41,"m/d/yyyy")&amp;" to "&amp;TEXT('(FnCalls 1)'!A59-1,"m/d/yyyy")</f>
        <v>#VALUE!</v>
      </c>
      <c r="B2" s="463"/>
      <c r="C2" s="463"/>
    </row>
    <row r="3" spans="1:25" ht="12.75" customHeight="1" x14ac:dyDescent="0.2">
      <c r="A3" s="463" t="str">
        <f>"Professional Staff"</f>
        <v>Professional Staff</v>
      </c>
      <c r="B3" s="463"/>
      <c r="C3" s="463"/>
    </row>
    <row r="4" spans="1:25" ht="12.75" customHeight="1" x14ac:dyDescent="0.2">
      <c r="A4" s="463" t="str">
        <f>""</f>
        <v/>
      </c>
      <c r="B4" s="463"/>
      <c r="C4" s="463"/>
    </row>
    <row r="5" spans="1:25" ht="12.75" customHeight="1" collapsed="1" x14ac:dyDescent="0.2">
      <c r="A5" s="464" t="str">
        <f>"Professional Staff Totals"</f>
        <v>Professional Staff Totals</v>
      </c>
      <c r="B5" s="464"/>
    </row>
    <row r="6" spans="1:25" ht="12.75" hidden="1" customHeight="1" outlineLevel="1" x14ac:dyDescent="0.2">
      <c r="A6" s="464" t="str">
        <f>""</f>
        <v/>
      </c>
      <c r="B6" s="464"/>
    </row>
    <row r="7" spans="1:25" ht="12.75" hidden="1" customHeight="1" outlineLevel="1" x14ac:dyDescent="0.2">
      <c r="B7" s="9" t="str">
        <f>'(FnCalls 1)'!F41</f>
        <v>MMM 2010</v>
      </c>
      <c r="C7" s="10" t="str">
        <f>'(FnCalls 1)'!F42</f>
        <v>MMM 2010</v>
      </c>
      <c r="D7" s="10" t="str">
        <f>'(FnCalls 1)'!F43</f>
        <v>MMM 2010</v>
      </c>
      <c r="E7" s="181" t="str">
        <f>'(FnCalls 1)'!G41</f>
        <v>Q1 2010</v>
      </c>
      <c r="F7" s="10" t="str">
        <f>'(FnCalls 1)'!F44</f>
        <v>MMM 2010</v>
      </c>
      <c r="G7" s="10" t="str">
        <f>'(FnCalls 1)'!F45</f>
        <v>MMM 2010</v>
      </c>
      <c r="H7" s="10" t="str">
        <f>'(FnCalls 1)'!F46</f>
        <v>MMM 2010</v>
      </c>
      <c r="I7" s="181" t="str">
        <f>'(FnCalls 1)'!G44</f>
        <v>Q2 2010</v>
      </c>
      <c r="J7" s="10" t="str">
        <f>'(FnCalls 1)'!F47</f>
        <v>MMM 2010</v>
      </c>
      <c r="K7" s="10" t="str">
        <f>'(FnCalls 1)'!F48</f>
        <v>MMM 2010</v>
      </c>
      <c r="L7" s="10" t="str">
        <f>'(FnCalls 1)'!F49</f>
        <v>MMM 2010</v>
      </c>
      <c r="M7" s="181" t="str">
        <f>'(FnCalls 1)'!G47</f>
        <v>Q3 2010</v>
      </c>
      <c r="N7" s="10" t="str">
        <f>'(FnCalls 1)'!F50</f>
        <v>MMM 2010</v>
      </c>
      <c r="O7" s="10" t="str">
        <f>'(FnCalls 1)'!F51</f>
        <v>MMM 2010</v>
      </c>
      <c r="P7" s="10" t="str">
        <f>'(FnCalls 1)'!F52</f>
        <v>MMM 2010</v>
      </c>
      <c r="Q7" s="181" t="str">
        <f>'(FnCalls 1)'!G50</f>
        <v>Q4 2010</v>
      </c>
      <c r="R7" s="10" t="str">
        <f>'(FnCalls 1)'!F53</f>
        <v>MMM 2011</v>
      </c>
      <c r="S7" s="10" t="str">
        <f>'(FnCalls 1)'!F54</f>
        <v>MMM 2011</v>
      </c>
      <c r="T7" s="10" t="str">
        <f>'(FnCalls 1)'!F55</f>
        <v>MMM 2011</v>
      </c>
      <c r="U7" s="181" t="str">
        <f>'(FnCalls 1)'!G53</f>
        <v>Q1 2011</v>
      </c>
      <c r="V7" s="10" t="str">
        <f>'(FnCalls 1)'!F56</f>
        <v>MMM 2011</v>
      </c>
      <c r="W7" s="10" t="str">
        <f>'(FnCalls 1)'!F57</f>
        <v>MMM 2011</v>
      </c>
      <c r="X7" s="10" t="str">
        <f>'(FnCalls 1)'!F58</f>
        <v>MMM 2011</v>
      </c>
      <c r="Y7" s="181" t="str">
        <f>'(FnCalls 1)'!G56</f>
        <v>Q2 2011</v>
      </c>
    </row>
    <row r="8" spans="1:25" ht="12.75" hidden="1" customHeight="1" outlineLevel="1" x14ac:dyDescent="0.2">
      <c r="A8" s="182" t="str">
        <f>Labels!B175</f>
        <v>Professional Staff Count</v>
      </c>
      <c r="B8" s="223"/>
      <c r="C8" s="223"/>
      <c r="D8" s="223"/>
      <c r="E8" s="224"/>
      <c r="F8" s="223"/>
      <c r="G8" s="223"/>
      <c r="H8" s="223"/>
      <c r="I8" s="224"/>
      <c r="J8" s="223"/>
      <c r="K8" s="223"/>
      <c r="L8" s="223"/>
      <c r="M8" s="224"/>
      <c r="N8" s="223"/>
      <c r="O8" s="223"/>
      <c r="P8" s="223"/>
      <c r="Q8" s="224"/>
      <c r="R8" s="223"/>
      <c r="S8" s="223"/>
      <c r="T8" s="223"/>
      <c r="U8" s="224"/>
      <c r="V8" s="223"/>
      <c r="W8" s="223"/>
      <c r="X8" s="223"/>
      <c r="Y8" s="224"/>
    </row>
    <row r="9" spans="1:25" ht="12.75" hidden="1" customHeight="1" outlineLevel="1" x14ac:dyDescent="0.2">
      <c r="A9" s="188" t="str">
        <f>"   "&amp;Labels!B381</f>
        <v xml:space="preserve">   Practice 1</v>
      </c>
      <c r="B9" s="166"/>
      <c r="C9" s="166"/>
      <c r="D9" s="166"/>
      <c r="E9" s="225"/>
      <c r="F9" s="166"/>
      <c r="G9" s="166"/>
      <c r="H9" s="166"/>
      <c r="I9" s="225"/>
      <c r="J9" s="166"/>
      <c r="K9" s="166"/>
      <c r="L9" s="166"/>
      <c r="M9" s="225"/>
      <c r="N9" s="166"/>
      <c r="O9" s="166"/>
      <c r="P9" s="166"/>
      <c r="Q9" s="225"/>
      <c r="R9" s="166"/>
      <c r="S9" s="166"/>
      <c r="T9" s="166"/>
      <c r="U9" s="225"/>
      <c r="V9" s="166"/>
      <c r="W9" s="166"/>
      <c r="X9" s="166"/>
      <c r="Y9" s="225"/>
    </row>
    <row r="10" spans="1:25" ht="12.75" hidden="1" customHeight="1" outlineLevel="1" x14ac:dyDescent="0.2">
      <c r="A10" s="198" t="str">
        <f>"      "&amp;Labels!B385</f>
        <v xml:space="preserve">      Prof Level 1</v>
      </c>
      <c r="B10" s="237">
        <f>'GM CostSvcs'!B479</f>
        <v>0</v>
      </c>
      <c r="C10" s="237">
        <f>'GM CostSvcs'!C479</f>
        <v>0</v>
      </c>
      <c r="D10" s="237">
        <f>'GM CostSvcs'!D479</f>
        <v>0</v>
      </c>
      <c r="E10" s="238">
        <f>'GM CostSvcs'!D479</f>
        <v>0</v>
      </c>
      <c r="F10" s="237">
        <f>'GM CostSvcs'!F479</f>
        <v>0</v>
      </c>
      <c r="G10" s="237">
        <f>'GM CostSvcs'!G479</f>
        <v>0</v>
      </c>
      <c r="H10" s="237">
        <f>'GM CostSvcs'!H479</f>
        <v>0</v>
      </c>
      <c r="I10" s="238">
        <f>'GM CostSvcs'!H479</f>
        <v>0</v>
      </c>
      <c r="J10" s="237">
        <f>'GM CostSvcs'!J479</f>
        <v>1</v>
      </c>
      <c r="K10" s="237">
        <f>'GM CostSvcs'!K479</f>
        <v>2</v>
      </c>
      <c r="L10" s="237">
        <f>'GM CostSvcs'!L479</f>
        <v>0</v>
      </c>
      <c r="M10" s="238">
        <f>'GM CostSvcs'!L479</f>
        <v>0</v>
      </c>
      <c r="N10" s="237">
        <f>'GM CostSvcs'!N479</f>
        <v>0</v>
      </c>
      <c r="O10" s="237">
        <f>'GM CostSvcs'!O479</f>
        <v>0</v>
      </c>
      <c r="P10" s="237">
        <f>'GM CostSvcs'!P479</f>
        <v>0</v>
      </c>
      <c r="Q10" s="238">
        <f>'GM CostSvcs'!P479</f>
        <v>0</v>
      </c>
      <c r="R10" s="237">
        <f>'GM CostSvcs'!R479</f>
        <v>0</v>
      </c>
      <c r="S10" s="237">
        <f>'GM CostSvcs'!S479</f>
        <v>0</v>
      </c>
      <c r="T10" s="237">
        <f>'GM CostSvcs'!T479</f>
        <v>0</v>
      </c>
      <c r="U10" s="238">
        <f>'GM CostSvcs'!T479</f>
        <v>0</v>
      </c>
      <c r="V10" s="237">
        <f>'GM CostSvcs'!V479</f>
        <v>0</v>
      </c>
      <c r="W10" s="237">
        <f>'GM CostSvcs'!W479</f>
        <v>0</v>
      </c>
      <c r="X10" s="237">
        <f>'GM CostSvcs'!X479</f>
        <v>0</v>
      </c>
      <c r="Y10" s="238">
        <f>'GM CostSvcs'!X479</f>
        <v>0</v>
      </c>
    </row>
    <row r="11" spans="1:25" ht="12.75" hidden="1" customHeight="1" outlineLevel="1" x14ac:dyDescent="0.2">
      <c r="A11" s="198" t="str">
        <f>"      "&amp;Labels!B386</f>
        <v xml:space="preserve">      Prof Level 2</v>
      </c>
      <c r="B11" s="237">
        <f>'GM CostSvcs'!B480</f>
        <v>0</v>
      </c>
      <c r="C11" s="237">
        <f>'GM CostSvcs'!C480</f>
        <v>0</v>
      </c>
      <c r="D11" s="237">
        <f>'GM CostSvcs'!D480</f>
        <v>0</v>
      </c>
      <c r="E11" s="238">
        <f>'GM CostSvcs'!D480</f>
        <v>0</v>
      </c>
      <c r="F11" s="237">
        <f>'GM CostSvcs'!F480</f>
        <v>0</v>
      </c>
      <c r="G11" s="237">
        <f>'GM CostSvcs'!G480</f>
        <v>0</v>
      </c>
      <c r="H11" s="237">
        <f>'GM CostSvcs'!H480</f>
        <v>0</v>
      </c>
      <c r="I11" s="238">
        <f>'GM CostSvcs'!H480</f>
        <v>0</v>
      </c>
      <c r="J11" s="237">
        <f>'GM CostSvcs'!J480</f>
        <v>1</v>
      </c>
      <c r="K11" s="237">
        <f>'GM CostSvcs'!K480</f>
        <v>2</v>
      </c>
      <c r="L11" s="237">
        <f>'GM CostSvcs'!L480</f>
        <v>0</v>
      </c>
      <c r="M11" s="238">
        <f>'GM CostSvcs'!L480</f>
        <v>0</v>
      </c>
      <c r="N11" s="237">
        <f>'GM CostSvcs'!N480</f>
        <v>0</v>
      </c>
      <c r="O11" s="237">
        <f>'GM CostSvcs'!O480</f>
        <v>0</v>
      </c>
      <c r="P11" s="237">
        <f>'GM CostSvcs'!P480</f>
        <v>0</v>
      </c>
      <c r="Q11" s="238">
        <f>'GM CostSvcs'!P480</f>
        <v>0</v>
      </c>
      <c r="R11" s="237">
        <f>'GM CostSvcs'!R480</f>
        <v>0</v>
      </c>
      <c r="S11" s="237">
        <f>'GM CostSvcs'!S480</f>
        <v>0</v>
      </c>
      <c r="T11" s="237">
        <f>'GM CostSvcs'!T480</f>
        <v>0</v>
      </c>
      <c r="U11" s="238">
        <f>'GM CostSvcs'!T480</f>
        <v>0</v>
      </c>
      <c r="V11" s="237">
        <f>'GM CostSvcs'!V480</f>
        <v>0</v>
      </c>
      <c r="W11" s="237">
        <f>'GM CostSvcs'!W480</f>
        <v>0</v>
      </c>
      <c r="X11" s="237">
        <f>'GM CostSvcs'!X480</f>
        <v>0</v>
      </c>
      <c r="Y11" s="238">
        <f>'GM CostSvcs'!X480</f>
        <v>0</v>
      </c>
    </row>
    <row r="12" spans="1:25" ht="12.75" hidden="1" customHeight="1" outlineLevel="1" x14ac:dyDescent="0.2">
      <c r="A12" s="188" t="str">
        <f>"      "&amp;Labels!C384</f>
        <v xml:space="preserve">      Total</v>
      </c>
      <c r="B12" s="166">
        <f>SUM(B10:B11)</f>
        <v>0</v>
      </c>
      <c r="C12" s="166">
        <f>SUM(C10:C11)</f>
        <v>0</v>
      </c>
      <c r="D12" s="166">
        <f>SUM(D10:D11)</f>
        <v>0</v>
      </c>
      <c r="E12" s="225">
        <f>SUM(D10:D11)</f>
        <v>0</v>
      </c>
      <c r="F12" s="166">
        <f>SUM(F10:F11)</f>
        <v>0</v>
      </c>
      <c r="G12" s="166">
        <f>SUM(G10:G11)</f>
        <v>0</v>
      </c>
      <c r="H12" s="166">
        <f>SUM(H10:H11)</f>
        <v>0</v>
      </c>
      <c r="I12" s="225">
        <f>SUM(H10:H11)</f>
        <v>0</v>
      </c>
      <c r="J12" s="166">
        <f>SUM(J10:J11)</f>
        <v>2</v>
      </c>
      <c r="K12" s="166">
        <f>SUM(K10:K11)</f>
        <v>4</v>
      </c>
      <c r="L12" s="166">
        <f>SUM(L10:L11)</f>
        <v>0</v>
      </c>
      <c r="M12" s="225">
        <f>SUM(L10:L11)</f>
        <v>0</v>
      </c>
      <c r="N12" s="166">
        <f>SUM(N10:N11)</f>
        <v>0</v>
      </c>
      <c r="O12" s="166">
        <f>SUM(O10:O11)</f>
        <v>0</v>
      </c>
      <c r="P12" s="166">
        <f>SUM(P10:P11)</f>
        <v>0</v>
      </c>
      <c r="Q12" s="225">
        <f>SUM(P10:P11)</f>
        <v>0</v>
      </c>
      <c r="R12" s="166">
        <f>SUM(R10:R11)</f>
        <v>0</v>
      </c>
      <c r="S12" s="166">
        <f>SUM(S10:S11)</f>
        <v>0</v>
      </c>
      <c r="T12" s="166">
        <f>SUM(T10:T11)</f>
        <v>0</v>
      </c>
      <c r="U12" s="225">
        <f>SUM(T10:T11)</f>
        <v>0</v>
      </c>
      <c r="V12" s="166">
        <f>SUM(V10:V11)</f>
        <v>0</v>
      </c>
      <c r="W12" s="166">
        <f>SUM(W10:W11)</f>
        <v>0</v>
      </c>
      <c r="X12" s="166">
        <f>SUM(X10:X11)</f>
        <v>0</v>
      </c>
      <c r="Y12" s="225">
        <f>SUM(X10:X11)</f>
        <v>0</v>
      </c>
    </row>
    <row r="13" spans="1:25" ht="12.75" hidden="1" customHeight="1" outlineLevel="1" x14ac:dyDescent="0.2">
      <c r="A13" s="188" t="str">
        <f>"   "&amp;Labels!B382</f>
        <v xml:space="preserve">   Practice 2</v>
      </c>
      <c r="B13" s="166"/>
      <c r="C13" s="166"/>
      <c r="D13" s="166"/>
      <c r="E13" s="225"/>
      <c r="F13" s="166"/>
      <c r="G13" s="166"/>
      <c r="H13" s="166"/>
      <c r="I13" s="225"/>
      <c r="J13" s="166"/>
      <c r="K13" s="166"/>
      <c r="L13" s="166"/>
      <c r="M13" s="225"/>
      <c r="N13" s="166"/>
      <c r="O13" s="166"/>
      <c r="P13" s="166"/>
      <c r="Q13" s="225"/>
      <c r="R13" s="166"/>
      <c r="S13" s="166"/>
      <c r="T13" s="166"/>
      <c r="U13" s="225"/>
      <c r="V13" s="166"/>
      <c r="W13" s="166"/>
      <c r="X13" s="166"/>
      <c r="Y13" s="225"/>
    </row>
    <row r="14" spans="1:25" ht="12.75" hidden="1" customHeight="1" outlineLevel="1" x14ac:dyDescent="0.2">
      <c r="A14" s="198" t="str">
        <f>"      "&amp;Labels!B385</f>
        <v xml:space="preserve">      Prof Level 1</v>
      </c>
      <c r="B14" s="237">
        <f>'GM CostSvcs'!B483</f>
        <v>0</v>
      </c>
      <c r="C14" s="237">
        <f>'GM CostSvcs'!C483</f>
        <v>0</v>
      </c>
      <c r="D14" s="237">
        <f>'GM CostSvcs'!D483</f>
        <v>0</v>
      </c>
      <c r="E14" s="238">
        <f>'GM CostSvcs'!D483</f>
        <v>0</v>
      </c>
      <c r="F14" s="237">
        <f>'GM CostSvcs'!F483</f>
        <v>0</v>
      </c>
      <c r="G14" s="237">
        <f>'GM CostSvcs'!G483</f>
        <v>0</v>
      </c>
      <c r="H14" s="237">
        <f>'GM CostSvcs'!H483</f>
        <v>0</v>
      </c>
      <c r="I14" s="238">
        <f>'GM CostSvcs'!H483</f>
        <v>0</v>
      </c>
      <c r="J14" s="237">
        <f>'GM CostSvcs'!J483</f>
        <v>0</v>
      </c>
      <c r="K14" s="237">
        <f>'GM CostSvcs'!K483</f>
        <v>0</v>
      </c>
      <c r="L14" s="237">
        <f>'GM CostSvcs'!L483</f>
        <v>0</v>
      </c>
      <c r="M14" s="238">
        <f>'GM CostSvcs'!L483</f>
        <v>0</v>
      </c>
      <c r="N14" s="237">
        <f>'GM CostSvcs'!N483</f>
        <v>0</v>
      </c>
      <c r="O14" s="237">
        <f>'GM CostSvcs'!O483</f>
        <v>0</v>
      </c>
      <c r="P14" s="237">
        <f>'GM CostSvcs'!P483</f>
        <v>0</v>
      </c>
      <c r="Q14" s="238">
        <f>'GM CostSvcs'!P483</f>
        <v>0</v>
      </c>
      <c r="R14" s="237">
        <f>'GM CostSvcs'!R483</f>
        <v>0</v>
      </c>
      <c r="S14" s="237">
        <f>'GM CostSvcs'!S483</f>
        <v>0</v>
      </c>
      <c r="T14" s="237">
        <f>'GM CostSvcs'!T483</f>
        <v>0</v>
      </c>
      <c r="U14" s="238">
        <f>'GM CostSvcs'!T483</f>
        <v>0</v>
      </c>
      <c r="V14" s="237">
        <f>'GM CostSvcs'!V483</f>
        <v>0</v>
      </c>
      <c r="W14" s="237">
        <f>'GM CostSvcs'!W483</f>
        <v>0</v>
      </c>
      <c r="X14" s="237">
        <f>'GM CostSvcs'!X483</f>
        <v>0</v>
      </c>
      <c r="Y14" s="238">
        <f>'GM CostSvcs'!X483</f>
        <v>0</v>
      </c>
    </row>
    <row r="15" spans="1:25" ht="12.75" hidden="1" customHeight="1" outlineLevel="1" x14ac:dyDescent="0.2">
      <c r="A15" s="198" t="str">
        <f>"      "&amp;Labels!B386</f>
        <v xml:space="preserve">      Prof Level 2</v>
      </c>
      <c r="B15" s="237">
        <f>'GM CostSvcs'!B484</f>
        <v>0</v>
      </c>
      <c r="C15" s="237">
        <f>'GM CostSvcs'!C484</f>
        <v>0</v>
      </c>
      <c r="D15" s="237">
        <f>'GM CostSvcs'!D484</f>
        <v>0</v>
      </c>
      <c r="E15" s="238">
        <f>'GM CostSvcs'!D484</f>
        <v>0</v>
      </c>
      <c r="F15" s="237">
        <f>'GM CostSvcs'!F484</f>
        <v>0</v>
      </c>
      <c r="G15" s="237">
        <f>'GM CostSvcs'!G484</f>
        <v>0</v>
      </c>
      <c r="H15" s="237">
        <f>'GM CostSvcs'!H484</f>
        <v>0</v>
      </c>
      <c r="I15" s="238">
        <f>'GM CostSvcs'!H484</f>
        <v>0</v>
      </c>
      <c r="J15" s="237">
        <f>'GM CostSvcs'!J484</f>
        <v>0</v>
      </c>
      <c r="K15" s="237">
        <f>'GM CostSvcs'!K484</f>
        <v>0</v>
      </c>
      <c r="L15" s="237">
        <f>'GM CostSvcs'!L484</f>
        <v>0</v>
      </c>
      <c r="M15" s="238">
        <f>'GM CostSvcs'!L484</f>
        <v>0</v>
      </c>
      <c r="N15" s="237">
        <f>'GM CostSvcs'!N484</f>
        <v>0</v>
      </c>
      <c r="O15" s="237">
        <f>'GM CostSvcs'!O484</f>
        <v>0</v>
      </c>
      <c r="P15" s="237">
        <f>'GM CostSvcs'!P484</f>
        <v>0</v>
      </c>
      <c r="Q15" s="238">
        <f>'GM CostSvcs'!P484</f>
        <v>0</v>
      </c>
      <c r="R15" s="237">
        <f>'GM CostSvcs'!R484</f>
        <v>0</v>
      </c>
      <c r="S15" s="237">
        <f>'GM CostSvcs'!S484</f>
        <v>0</v>
      </c>
      <c r="T15" s="237">
        <f>'GM CostSvcs'!T484</f>
        <v>0</v>
      </c>
      <c r="U15" s="238">
        <f>'GM CostSvcs'!T484</f>
        <v>0</v>
      </c>
      <c r="V15" s="237">
        <f>'GM CostSvcs'!V484</f>
        <v>0</v>
      </c>
      <c r="W15" s="237">
        <f>'GM CostSvcs'!W484</f>
        <v>0</v>
      </c>
      <c r="X15" s="237">
        <f>'GM CostSvcs'!X484</f>
        <v>0</v>
      </c>
      <c r="Y15" s="238">
        <f>'GM CostSvcs'!X484</f>
        <v>0</v>
      </c>
    </row>
    <row r="16" spans="1:25" ht="12.75" hidden="1" customHeight="1" outlineLevel="1" x14ac:dyDescent="0.2">
      <c r="A16" s="188" t="str">
        <f>"      "&amp;Labels!C384</f>
        <v xml:space="preserve">      Total</v>
      </c>
      <c r="B16" s="166">
        <f>SUM(B14:B15)</f>
        <v>0</v>
      </c>
      <c r="C16" s="166">
        <f>SUM(C14:C15)</f>
        <v>0</v>
      </c>
      <c r="D16" s="166">
        <f>SUM(D14:D15)</f>
        <v>0</v>
      </c>
      <c r="E16" s="225">
        <f>SUM(D14:D15)</f>
        <v>0</v>
      </c>
      <c r="F16" s="166">
        <f>SUM(F14:F15)</f>
        <v>0</v>
      </c>
      <c r="G16" s="166">
        <f>SUM(G14:G15)</f>
        <v>0</v>
      </c>
      <c r="H16" s="166">
        <f>SUM(H14:H15)</f>
        <v>0</v>
      </c>
      <c r="I16" s="225">
        <f>SUM(H14:H15)</f>
        <v>0</v>
      </c>
      <c r="J16" s="166">
        <f>SUM(J14:J15)</f>
        <v>0</v>
      </c>
      <c r="K16" s="166">
        <f>SUM(K14:K15)</f>
        <v>0</v>
      </c>
      <c r="L16" s="166">
        <f>SUM(L14:L15)</f>
        <v>0</v>
      </c>
      <c r="M16" s="225">
        <f>SUM(L14:L15)</f>
        <v>0</v>
      </c>
      <c r="N16" s="166">
        <f>SUM(N14:N15)</f>
        <v>0</v>
      </c>
      <c r="O16" s="166">
        <f>SUM(O14:O15)</f>
        <v>0</v>
      </c>
      <c r="P16" s="166">
        <f>SUM(P14:P15)</f>
        <v>0</v>
      </c>
      <c r="Q16" s="225">
        <f>SUM(P14:P15)</f>
        <v>0</v>
      </c>
      <c r="R16" s="166">
        <f>SUM(R14:R15)</f>
        <v>0</v>
      </c>
      <c r="S16" s="166">
        <f>SUM(S14:S15)</f>
        <v>0</v>
      </c>
      <c r="T16" s="166">
        <f>SUM(T14:T15)</f>
        <v>0</v>
      </c>
      <c r="U16" s="225">
        <f>SUM(T14:T15)</f>
        <v>0</v>
      </c>
      <c r="V16" s="166">
        <f>SUM(V14:V15)</f>
        <v>0</v>
      </c>
      <c r="W16" s="166">
        <f>SUM(W14:W15)</f>
        <v>0</v>
      </c>
      <c r="X16" s="166">
        <f>SUM(X14:X15)</f>
        <v>0</v>
      </c>
      <c r="Y16" s="225">
        <f>SUM(X14:X15)</f>
        <v>0</v>
      </c>
    </row>
    <row r="17" spans="1:25" ht="12.75" hidden="1" customHeight="1" outlineLevel="1" x14ac:dyDescent="0.2">
      <c r="A17" s="191" t="str">
        <f>"   "&amp;Labels!C380</f>
        <v xml:space="preserve">   Total</v>
      </c>
      <c r="B17" s="216">
        <f>SUM(B12,B16)</f>
        <v>0</v>
      </c>
      <c r="C17" s="216">
        <f>SUM(C12,C16)</f>
        <v>0</v>
      </c>
      <c r="D17" s="216">
        <f>SUM(D12,D16)</f>
        <v>0</v>
      </c>
      <c r="E17" s="217">
        <f>SUM(D12,D16)</f>
        <v>0</v>
      </c>
      <c r="F17" s="216">
        <f>SUM(F12,F16)</f>
        <v>0</v>
      </c>
      <c r="G17" s="216">
        <f>SUM(G12,G16)</f>
        <v>0</v>
      </c>
      <c r="H17" s="216">
        <f>SUM(H12,H16)</f>
        <v>0</v>
      </c>
      <c r="I17" s="217">
        <f>SUM(H12,H16)</f>
        <v>0</v>
      </c>
      <c r="J17" s="216">
        <f>SUM(J12,J16)</f>
        <v>2</v>
      </c>
      <c r="K17" s="216">
        <f>SUM(K12,K16)</f>
        <v>4</v>
      </c>
      <c r="L17" s="216">
        <f>SUM(L12,L16)</f>
        <v>0</v>
      </c>
      <c r="M17" s="217">
        <f>SUM(L12,L16)</f>
        <v>0</v>
      </c>
      <c r="N17" s="216">
        <f>SUM(N12,N16)</f>
        <v>0</v>
      </c>
      <c r="O17" s="216">
        <f>SUM(O12,O16)</f>
        <v>0</v>
      </c>
      <c r="P17" s="216">
        <f>SUM(P12,P16)</f>
        <v>0</v>
      </c>
      <c r="Q17" s="217">
        <f>SUM(P12,P16)</f>
        <v>0</v>
      </c>
      <c r="R17" s="216">
        <f>SUM(R12,R16)</f>
        <v>0</v>
      </c>
      <c r="S17" s="216">
        <f>SUM(S12,S16)</f>
        <v>0</v>
      </c>
      <c r="T17" s="216">
        <f>SUM(T12,T16)</f>
        <v>0</v>
      </c>
      <c r="U17" s="217">
        <f>SUM(T12,T16)</f>
        <v>0</v>
      </c>
      <c r="V17" s="216">
        <f>SUM(V12,V16)</f>
        <v>0</v>
      </c>
      <c r="W17" s="216">
        <f>SUM(W12,W16)</f>
        <v>0</v>
      </c>
      <c r="X17" s="216">
        <f>SUM(X12,X16)</f>
        <v>0</v>
      </c>
      <c r="Y17" s="217">
        <f>SUM(X12,X16)</f>
        <v>0</v>
      </c>
    </row>
    <row r="18" spans="1:25" ht="12.75" hidden="1" customHeight="1" outlineLevel="1" x14ac:dyDescent="0.2">
      <c r="A18" s="198" t="str">
        <f>"      "&amp;Labels!B385</f>
        <v xml:space="preserve">      Prof Level 1</v>
      </c>
      <c r="B18" s="237">
        <f t="shared" ref="B18:D20" si="0">SUM(B10,B14)</f>
        <v>0</v>
      </c>
      <c r="C18" s="237">
        <f t="shared" si="0"/>
        <v>0</v>
      </c>
      <c r="D18" s="237">
        <f t="shared" si="0"/>
        <v>0</v>
      </c>
      <c r="E18" s="238">
        <f>SUM(D10,D14)</f>
        <v>0</v>
      </c>
      <c r="F18" s="237">
        <f t="shared" ref="F18:H20" si="1">SUM(F10,F14)</f>
        <v>0</v>
      </c>
      <c r="G18" s="237">
        <f t="shared" si="1"/>
        <v>0</v>
      </c>
      <c r="H18" s="237">
        <f t="shared" si="1"/>
        <v>0</v>
      </c>
      <c r="I18" s="238">
        <f>SUM(H10,H14)</f>
        <v>0</v>
      </c>
      <c r="J18" s="237">
        <f t="shared" ref="J18:L20" si="2">SUM(J10,J14)</f>
        <v>1</v>
      </c>
      <c r="K18" s="237">
        <f t="shared" si="2"/>
        <v>2</v>
      </c>
      <c r="L18" s="237">
        <f t="shared" si="2"/>
        <v>0</v>
      </c>
      <c r="M18" s="238">
        <f>SUM(L10,L14)</f>
        <v>0</v>
      </c>
      <c r="N18" s="237">
        <f t="shared" ref="N18:P20" si="3">SUM(N10,N14)</f>
        <v>0</v>
      </c>
      <c r="O18" s="237">
        <f t="shared" si="3"/>
        <v>0</v>
      </c>
      <c r="P18" s="237">
        <f t="shared" si="3"/>
        <v>0</v>
      </c>
      <c r="Q18" s="238">
        <f>SUM(P10,P14)</f>
        <v>0</v>
      </c>
      <c r="R18" s="237">
        <f t="shared" ref="R18:T20" si="4">SUM(R10,R14)</f>
        <v>0</v>
      </c>
      <c r="S18" s="237">
        <f t="shared" si="4"/>
        <v>0</v>
      </c>
      <c r="T18" s="237">
        <f t="shared" si="4"/>
        <v>0</v>
      </c>
      <c r="U18" s="238">
        <f>SUM(T10,T14)</f>
        <v>0</v>
      </c>
      <c r="V18" s="237">
        <f t="shared" ref="V18:X20" si="5">SUM(V10,V14)</f>
        <v>0</v>
      </c>
      <c r="W18" s="237">
        <f t="shared" si="5"/>
        <v>0</v>
      </c>
      <c r="X18" s="237">
        <f t="shared" si="5"/>
        <v>0</v>
      </c>
      <c r="Y18" s="238">
        <f>SUM(X10,X14)</f>
        <v>0</v>
      </c>
    </row>
    <row r="19" spans="1:25" ht="12.75" hidden="1" customHeight="1" outlineLevel="1" x14ac:dyDescent="0.2">
      <c r="A19" s="198" t="str">
        <f>"      "&amp;Labels!B386</f>
        <v xml:space="preserve">      Prof Level 2</v>
      </c>
      <c r="B19" s="237">
        <f t="shared" si="0"/>
        <v>0</v>
      </c>
      <c r="C19" s="237">
        <f t="shared" si="0"/>
        <v>0</v>
      </c>
      <c r="D19" s="237">
        <f t="shared" si="0"/>
        <v>0</v>
      </c>
      <c r="E19" s="238">
        <f>SUM(D11,D15)</f>
        <v>0</v>
      </c>
      <c r="F19" s="237">
        <f t="shared" si="1"/>
        <v>0</v>
      </c>
      <c r="G19" s="237">
        <f t="shared" si="1"/>
        <v>0</v>
      </c>
      <c r="H19" s="237">
        <f t="shared" si="1"/>
        <v>0</v>
      </c>
      <c r="I19" s="238">
        <f>SUM(H11,H15)</f>
        <v>0</v>
      </c>
      <c r="J19" s="237">
        <f t="shared" si="2"/>
        <v>1</v>
      </c>
      <c r="K19" s="237">
        <f t="shared" si="2"/>
        <v>2</v>
      </c>
      <c r="L19" s="237">
        <f t="shared" si="2"/>
        <v>0</v>
      </c>
      <c r="M19" s="238">
        <f>SUM(L11,L15)</f>
        <v>0</v>
      </c>
      <c r="N19" s="237">
        <f t="shared" si="3"/>
        <v>0</v>
      </c>
      <c r="O19" s="237">
        <f t="shared" si="3"/>
        <v>0</v>
      </c>
      <c r="P19" s="237">
        <f t="shared" si="3"/>
        <v>0</v>
      </c>
      <c r="Q19" s="238">
        <f>SUM(P11,P15)</f>
        <v>0</v>
      </c>
      <c r="R19" s="237">
        <f t="shared" si="4"/>
        <v>0</v>
      </c>
      <c r="S19" s="237">
        <f t="shared" si="4"/>
        <v>0</v>
      </c>
      <c r="T19" s="237">
        <f t="shared" si="4"/>
        <v>0</v>
      </c>
      <c r="U19" s="238">
        <f>SUM(T11,T15)</f>
        <v>0</v>
      </c>
      <c r="V19" s="237">
        <f t="shared" si="5"/>
        <v>0</v>
      </c>
      <c r="W19" s="237">
        <f t="shared" si="5"/>
        <v>0</v>
      </c>
      <c r="X19" s="237">
        <f t="shared" si="5"/>
        <v>0</v>
      </c>
      <c r="Y19" s="238">
        <f>SUM(X11,X15)</f>
        <v>0</v>
      </c>
    </row>
    <row r="20" spans="1:25" ht="12.75" hidden="1" customHeight="1" outlineLevel="1" x14ac:dyDescent="0.2">
      <c r="A20" s="188" t="str">
        <f>"      "&amp;Labels!C384</f>
        <v xml:space="preserve">      Total</v>
      </c>
      <c r="B20" s="166">
        <f t="shared" si="0"/>
        <v>0</v>
      </c>
      <c r="C20" s="166">
        <f t="shared" si="0"/>
        <v>0</v>
      </c>
      <c r="D20" s="166">
        <f t="shared" si="0"/>
        <v>0</v>
      </c>
      <c r="E20" s="225">
        <f>SUM(D12,D16)</f>
        <v>0</v>
      </c>
      <c r="F20" s="166">
        <f t="shared" si="1"/>
        <v>0</v>
      </c>
      <c r="G20" s="166">
        <f t="shared" si="1"/>
        <v>0</v>
      </c>
      <c r="H20" s="166">
        <f t="shared" si="1"/>
        <v>0</v>
      </c>
      <c r="I20" s="225">
        <f>SUM(H12,H16)</f>
        <v>0</v>
      </c>
      <c r="J20" s="166">
        <f t="shared" si="2"/>
        <v>2</v>
      </c>
      <c r="K20" s="166">
        <f t="shared" si="2"/>
        <v>4</v>
      </c>
      <c r="L20" s="166">
        <f t="shared" si="2"/>
        <v>0</v>
      </c>
      <c r="M20" s="225">
        <f>SUM(L12,L16)</f>
        <v>0</v>
      </c>
      <c r="N20" s="166">
        <f t="shared" si="3"/>
        <v>0</v>
      </c>
      <c r="O20" s="166">
        <f t="shared" si="3"/>
        <v>0</v>
      </c>
      <c r="P20" s="166">
        <f t="shared" si="3"/>
        <v>0</v>
      </c>
      <c r="Q20" s="225">
        <f>SUM(P12,P16)</f>
        <v>0</v>
      </c>
      <c r="R20" s="166">
        <f t="shared" si="4"/>
        <v>0</v>
      </c>
      <c r="S20" s="166">
        <f t="shared" si="4"/>
        <v>0</v>
      </c>
      <c r="T20" s="166">
        <f t="shared" si="4"/>
        <v>0</v>
      </c>
      <c r="U20" s="225">
        <f>SUM(T12,T16)</f>
        <v>0</v>
      </c>
      <c r="V20" s="166">
        <f t="shared" si="5"/>
        <v>0</v>
      </c>
      <c r="W20" s="166">
        <f t="shared" si="5"/>
        <v>0</v>
      </c>
      <c r="X20" s="166">
        <f t="shared" si="5"/>
        <v>0</v>
      </c>
      <c r="Y20" s="225">
        <f>SUM(X12,X16)</f>
        <v>0</v>
      </c>
    </row>
    <row r="21" spans="1:25" ht="12.75" hidden="1" customHeight="1" outlineLevel="1" x14ac:dyDescent="0.2">
      <c r="A21" s="97"/>
      <c r="B21" s="6"/>
      <c r="C21" s="6"/>
      <c r="D21" s="6"/>
      <c r="E21" s="97"/>
      <c r="F21" s="6"/>
      <c r="G21" s="6"/>
      <c r="H21" s="6"/>
      <c r="I21" s="97"/>
      <c r="J21" s="6"/>
      <c r="K21" s="6"/>
      <c r="L21" s="6"/>
      <c r="M21" s="97"/>
      <c r="N21" s="6"/>
      <c r="O21" s="6"/>
      <c r="P21" s="6"/>
      <c r="Q21" s="97"/>
      <c r="R21" s="6"/>
      <c r="S21" s="6"/>
      <c r="T21" s="6"/>
      <c r="U21" s="97"/>
      <c r="V21" s="6"/>
      <c r="W21" s="6"/>
      <c r="X21" s="6"/>
      <c r="Y21" s="97"/>
    </row>
    <row r="22" spans="1:25" ht="12.75" hidden="1" customHeight="1" outlineLevel="1" x14ac:dyDescent="0.2">
      <c r="A22" s="191" t="str">
        <f>Labels!B207</f>
        <v>Prof Staff Turnover</v>
      </c>
      <c r="B22" s="314"/>
      <c r="C22" s="314"/>
      <c r="D22" s="314"/>
      <c r="E22" s="315"/>
      <c r="F22" s="314"/>
      <c r="G22" s="314"/>
      <c r="H22" s="314"/>
      <c r="I22" s="315"/>
      <c r="J22" s="314"/>
      <c r="K22" s="314"/>
      <c r="L22" s="314"/>
      <c r="M22" s="315"/>
      <c r="N22" s="314"/>
      <c r="O22" s="314"/>
      <c r="P22" s="314"/>
      <c r="Q22" s="315"/>
      <c r="R22" s="314"/>
      <c r="S22" s="314"/>
      <c r="T22" s="314"/>
      <c r="U22" s="315"/>
      <c r="V22" s="314"/>
      <c r="W22" s="314"/>
      <c r="X22" s="314"/>
      <c r="Y22" s="315"/>
    </row>
    <row r="23" spans="1:25" ht="12.75" hidden="1" customHeight="1" outlineLevel="1" x14ac:dyDescent="0.2">
      <c r="A23" s="188" t="str">
        <f>"   "&amp;Labels!B381</f>
        <v xml:space="preserve">   Practice 1</v>
      </c>
      <c r="B23" s="316"/>
      <c r="C23" s="316"/>
      <c r="D23" s="316"/>
      <c r="E23" s="317"/>
      <c r="F23" s="316"/>
      <c r="G23" s="316"/>
      <c r="H23" s="316"/>
      <c r="I23" s="317"/>
      <c r="J23" s="316"/>
      <c r="K23" s="316"/>
      <c r="L23" s="316"/>
      <c r="M23" s="317"/>
      <c r="N23" s="316"/>
      <c r="O23" s="316"/>
      <c r="P23" s="316"/>
      <c r="Q23" s="317"/>
      <c r="R23" s="316"/>
      <c r="S23" s="316"/>
      <c r="T23" s="316"/>
      <c r="U23" s="317"/>
      <c r="V23" s="316"/>
      <c r="W23" s="316"/>
      <c r="X23" s="316"/>
      <c r="Y23" s="317"/>
    </row>
    <row r="24" spans="1:25" ht="12.75" hidden="1" customHeight="1" outlineLevel="1" x14ac:dyDescent="0.2">
      <c r="A24" s="198" t="str">
        <f>"      "&amp;Labels!B385</f>
        <v xml:space="preserve">      Prof Level 1</v>
      </c>
      <c r="B24" s="318">
        <f>'GM CostSvcs'!B493</f>
        <v>0</v>
      </c>
      <c r="C24" s="318">
        <f>'GM CostSvcs'!C493</f>
        <v>0</v>
      </c>
      <c r="D24" s="318">
        <f>'GM CostSvcs'!D493</f>
        <v>0</v>
      </c>
      <c r="E24" s="319">
        <f>SUM(B24:D24)</f>
        <v>0</v>
      </c>
      <c r="F24" s="318">
        <f>'GM CostSvcs'!F493</f>
        <v>0</v>
      </c>
      <c r="G24" s="318">
        <f>'GM CostSvcs'!G493</f>
        <v>0</v>
      </c>
      <c r="H24" s="318">
        <f>'GM CostSvcs'!H493</f>
        <v>0</v>
      </c>
      <c r="I24" s="319">
        <f>SUM(F24:H24)</f>
        <v>0</v>
      </c>
      <c r="J24" s="318">
        <f>'GM CostSvcs'!J493</f>
        <v>8.3333333333333332E-3</v>
      </c>
      <c r="K24" s="318">
        <f>'GM CostSvcs'!K493</f>
        <v>1.6666666666666666E-2</v>
      </c>
      <c r="L24" s="318">
        <f>'GM CostSvcs'!L493</f>
        <v>0</v>
      </c>
      <c r="M24" s="319">
        <f>SUM(J24:L24)</f>
        <v>2.5000000000000001E-2</v>
      </c>
      <c r="N24" s="318">
        <f>'GM CostSvcs'!N493</f>
        <v>0</v>
      </c>
      <c r="O24" s="318">
        <f>'GM CostSvcs'!O493</f>
        <v>0</v>
      </c>
      <c r="P24" s="318">
        <f>'GM CostSvcs'!P493</f>
        <v>0</v>
      </c>
      <c r="Q24" s="319">
        <f>SUM(N24:P24)</f>
        <v>0</v>
      </c>
      <c r="R24" s="318">
        <f>'GM CostSvcs'!R493</f>
        <v>0</v>
      </c>
      <c r="S24" s="318">
        <f>'GM CostSvcs'!S493</f>
        <v>0</v>
      </c>
      <c r="T24" s="318">
        <f>'GM CostSvcs'!T493</f>
        <v>0</v>
      </c>
      <c r="U24" s="319">
        <f>SUM(R24:T24)</f>
        <v>0</v>
      </c>
      <c r="V24" s="318">
        <f>'GM CostSvcs'!V493</f>
        <v>0</v>
      </c>
      <c r="W24" s="318">
        <f>'GM CostSvcs'!W493</f>
        <v>0</v>
      </c>
      <c r="X24" s="318">
        <f>'GM CostSvcs'!X493</f>
        <v>0</v>
      </c>
      <c r="Y24" s="319">
        <f>SUM(V24:X24)</f>
        <v>0</v>
      </c>
    </row>
    <row r="25" spans="1:25" ht="12.75" hidden="1" customHeight="1" outlineLevel="1" x14ac:dyDescent="0.2">
      <c r="A25" s="198" t="str">
        <f>"      "&amp;Labels!B386</f>
        <v xml:space="preserve">      Prof Level 2</v>
      </c>
      <c r="B25" s="318">
        <f>'GM CostSvcs'!B494</f>
        <v>0</v>
      </c>
      <c r="C25" s="318">
        <f>'GM CostSvcs'!C494</f>
        <v>0</v>
      </c>
      <c r="D25" s="318">
        <f>'GM CostSvcs'!D494</f>
        <v>0</v>
      </c>
      <c r="E25" s="319">
        <f>SUM(B25:D25)</f>
        <v>0</v>
      </c>
      <c r="F25" s="318">
        <f>'GM CostSvcs'!F494</f>
        <v>0</v>
      </c>
      <c r="G25" s="318">
        <f>'GM CostSvcs'!G494</f>
        <v>0</v>
      </c>
      <c r="H25" s="318">
        <f>'GM CostSvcs'!H494</f>
        <v>0</v>
      </c>
      <c r="I25" s="319">
        <f>SUM(F25:H25)</f>
        <v>0</v>
      </c>
      <c r="J25" s="318">
        <f>'GM CostSvcs'!J494</f>
        <v>8.3333333333333332E-3</v>
      </c>
      <c r="K25" s="318">
        <f>'GM CostSvcs'!K494</f>
        <v>1.6666666666666666E-2</v>
      </c>
      <c r="L25" s="318">
        <f>'GM CostSvcs'!L494</f>
        <v>0</v>
      </c>
      <c r="M25" s="319">
        <f>SUM(J25:L25)</f>
        <v>2.5000000000000001E-2</v>
      </c>
      <c r="N25" s="318">
        <f>'GM CostSvcs'!N494</f>
        <v>0</v>
      </c>
      <c r="O25" s="318">
        <f>'GM CostSvcs'!O494</f>
        <v>0</v>
      </c>
      <c r="P25" s="318">
        <f>'GM CostSvcs'!P494</f>
        <v>0</v>
      </c>
      <c r="Q25" s="319">
        <f>SUM(N25:P25)</f>
        <v>0</v>
      </c>
      <c r="R25" s="318">
        <f>'GM CostSvcs'!R494</f>
        <v>0</v>
      </c>
      <c r="S25" s="318">
        <f>'GM CostSvcs'!S494</f>
        <v>0</v>
      </c>
      <c r="T25" s="318">
        <f>'GM CostSvcs'!T494</f>
        <v>0</v>
      </c>
      <c r="U25" s="319">
        <f>SUM(R25:T25)</f>
        <v>0</v>
      </c>
      <c r="V25" s="318">
        <f>'GM CostSvcs'!V494</f>
        <v>0</v>
      </c>
      <c r="W25" s="318">
        <f>'GM CostSvcs'!W494</f>
        <v>0</v>
      </c>
      <c r="X25" s="318">
        <f>'GM CostSvcs'!X494</f>
        <v>0</v>
      </c>
      <c r="Y25" s="319">
        <f>SUM(V25:X25)</f>
        <v>0</v>
      </c>
    </row>
    <row r="26" spans="1:25" ht="12.75" hidden="1" customHeight="1" outlineLevel="1" x14ac:dyDescent="0.2">
      <c r="A26" s="188" t="str">
        <f>"      "&amp;Labels!C384</f>
        <v xml:space="preserve">      Total</v>
      </c>
      <c r="B26" s="316">
        <f>SUM(B24:B25)</f>
        <v>0</v>
      </c>
      <c r="C26" s="316">
        <f>SUM(C24:C25)</f>
        <v>0</v>
      </c>
      <c r="D26" s="316">
        <f>SUM(D24:D25)</f>
        <v>0</v>
      </c>
      <c r="E26" s="317">
        <f>SUM(B26:D26)</f>
        <v>0</v>
      </c>
      <c r="F26" s="316">
        <f>SUM(F24:F25)</f>
        <v>0</v>
      </c>
      <c r="G26" s="316">
        <f>SUM(G24:G25)</f>
        <v>0</v>
      </c>
      <c r="H26" s="316">
        <f>SUM(H24:H25)</f>
        <v>0</v>
      </c>
      <c r="I26" s="317">
        <f>SUM(F26:H26)</f>
        <v>0</v>
      </c>
      <c r="J26" s="316">
        <f>SUM(J24:J25)</f>
        <v>1.6666666666666666E-2</v>
      </c>
      <c r="K26" s="316">
        <f>SUM(K24:K25)</f>
        <v>3.3333333333333333E-2</v>
      </c>
      <c r="L26" s="316">
        <f>SUM(L24:L25)</f>
        <v>0</v>
      </c>
      <c r="M26" s="317">
        <f>SUM(J26:L26)</f>
        <v>0.05</v>
      </c>
      <c r="N26" s="316">
        <f>SUM(N24:N25)</f>
        <v>0</v>
      </c>
      <c r="O26" s="316">
        <f>SUM(O24:O25)</f>
        <v>0</v>
      </c>
      <c r="P26" s="316">
        <f>SUM(P24:P25)</f>
        <v>0</v>
      </c>
      <c r="Q26" s="317">
        <f>SUM(N26:P26)</f>
        <v>0</v>
      </c>
      <c r="R26" s="316">
        <f>SUM(R24:R25)</f>
        <v>0</v>
      </c>
      <c r="S26" s="316">
        <f>SUM(S24:S25)</f>
        <v>0</v>
      </c>
      <c r="T26" s="316">
        <f>SUM(T24:T25)</f>
        <v>0</v>
      </c>
      <c r="U26" s="317">
        <f>SUM(R26:T26)</f>
        <v>0</v>
      </c>
      <c r="V26" s="316">
        <f>SUM(V24:V25)</f>
        <v>0</v>
      </c>
      <c r="W26" s="316">
        <f>SUM(W24:W25)</f>
        <v>0</v>
      </c>
      <c r="X26" s="316">
        <f>SUM(X24:X25)</f>
        <v>0</v>
      </c>
      <c r="Y26" s="317">
        <f>SUM(V26:X26)</f>
        <v>0</v>
      </c>
    </row>
    <row r="27" spans="1:25" ht="12.75" hidden="1" customHeight="1" outlineLevel="1" x14ac:dyDescent="0.2">
      <c r="A27" s="188" t="str">
        <f>"   "&amp;Labels!B382</f>
        <v xml:space="preserve">   Practice 2</v>
      </c>
      <c r="B27" s="316"/>
      <c r="C27" s="316"/>
      <c r="D27" s="316"/>
      <c r="E27" s="317"/>
      <c r="F27" s="316"/>
      <c r="G27" s="316"/>
      <c r="H27" s="316"/>
      <c r="I27" s="317"/>
      <c r="J27" s="316"/>
      <c r="K27" s="316"/>
      <c r="L27" s="316"/>
      <c r="M27" s="317"/>
      <c r="N27" s="316"/>
      <c r="O27" s="316"/>
      <c r="P27" s="316"/>
      <c r="Q27" s="317"/>
      <c r="R27" s="316"/>
      <c r="S27" s="316"/>
      <c r="T27" s="316"/>
      <c r="U27" s="317"/>
      <c r="V27" s="316"/>
      <c r="W27" s="316"/>
      <c r="X27" s="316"/>
      <c r="Y27" s="317"/>
    </row>
    <row r="28" spans="1:25" ht="12.75" hidden="1" customHeight="1" outlineLevel="1" x14ac:dyDescent="0.2">
      <c r="A28" s="198" t="str">
        <f>"      "&amp;Labels!B385</f>
        <v xml:space="preserve">      Prof Level 1</v>
      </c>
      <c r="B28" s="318">
        <f>'GM CostSvcs'!B497</f>
        <v>0</v>
      </c>
      <c r="C28" s="318">
        <f>'GM CostSvcs'!C497</f>
        <v>0</v>
      </c>
      <c r="D28" s="318">
        <f>'GM CostSvcs'!D497</f>
        <v>0</v>
      </c>
      <c r="E28" s="319">
        <f t="shared" ref="E28:E33" si="6">SUM(B28:D28)</f>
        <v>0</v>
      </c>
      <c r="F28" s="318">
        <f>'GM CostSvcs'!F497</f>
        <v>0</v>
      </c>
      <c r="G28" s="318">
        <f>'GM CostSvcs'!G497</f>
        <v>0</v>
      </c>
      <c r="H28" s="318">
        <f>'GM CostSvcs'!H497</f>
        <v>0</v>
      </c>
      <c r="I28" s="319">
        <f t="shared" ref="I28:I33" si="7">SUM(F28:H28)</f>
        <v>0</v>
      </c>
      <c r="J28" s="318">
        <f>'GM CostSvcs'!J497</f>
        <v>0</v>
      </c>
      <c r="K28" s="318">
        <f>'GM CostSvcs'!K497</f>
        <v>0</v>
      </c>
      <c r="L28" s="318">
        <f>'GM CostSvcs'!L497</f>
        <v>0</v>
      </c>
      <c r="M28" s="319">
        <f t="shared" ref="M28:M33" si="8">SUM(J28:L28)</f>
        <v>0</v>
      </c>
      <c r="N28" s="318">
        <f>'GM CostSvcs'!N497</f>
        <v>0</v>
      </c>
      <c r="O28" s="318">
        <f>'GM CostSvcs'!O497</f>
        <v>0</v>
      </c>
      <c r="P28" s="318">
        <f>'GM CostSvcs'!P497</f>
        <v>0</v>
      </c>
      <c r="Q28" s="319">
        <f t="shared" ref="Q28:Q33" si="9">SUM(N28:P28)</f>
        <v>0</v>
      </c>
      <c r="R28" s="318">
        <f>'GM CostSvcs'!R497</f>
        <v>0</v>
      </c>
      <c r="S28" s="318">
        <f>'GM CostSvcs'!S497</f>
        <v>0</v>
      </c>
      <c r="T28" s="318">
        <f>'GM CostSvcs'!T497</f>
        <v>0</v>
      </c>
      <c r="U28" s="319">
        <f t="shared" ref="U28:U33" si="10">SUM(R28:T28)</f>
        <v>0</v>
      </c>
      <c r="V28" s="318">
        <f>'GM CostSvcs'!V497</f>
        <v>0</v>
      </c>
      <c r="W28" s="318">
        <f>'GM CostSvcs'!W497</f>
        <v>0</v>
      </c>
      <c r="X28" s="318">
        <f>'GM CostSvcs'!X497</f>
        <v>0</v>
      </c>
      <c r="Y28" s="319">
        <f t="shared" ref="Y28:Y33" si="11">SUM(V28:X28)</f>
        <v>0</v>
      </c>
    </row>
    <row r="29" spans="1:25" ht="12.75" hidden="1" customHeight="1" outlineLevel="1" x14ac:dyDescent="0.2">
      <c r="A29" s="198" t="str">
        <f>"      "&amp;Labels!B386</f>
        <v xml:space="preserve">      Prof Level 2</v>
      </c>
      <c r="B29" s="318">
        <f>'GM CostSvcs'!B498</f>
        <v>0</v>
      </c>
      <c r="C29" s="318">
        <f>'GM CostSvcs'!C498</f>
        <v>0</v>
      </c>
      <c r="D29" s="318">
        <f>'GM CostSvcs'!D498</f>
        <v>0</v>
      </c>
      <c r="E29" s="319">
        <f t="shared" si="6"/>
        <v>0</v>
      </c>
      <c r="F29" s="318">
        <f>'GM CostSvcs'!F498</f>
        <v>0</v>
      </c>
      <c r="G29" s="318">
        <f>'GM CostSvcs'!G498</f>
        <v>0</v>
      </c>
      <c r="H29" s="318">
        <f>'GM CostSvcs'!H498</f>
        <v>0</v>
      </c>
      <c r="I29" s="319">
        <f t="shared" si="7"/>
        <v>0</v>
      </c>
      <c r="J29" s="318">
        <f>'GM CostSvcs'!J498</f>
        <v>0</v>
      </c>
      <c r="K29" s="318">
        <f>'GM CostSvcs'!K498</f>
        <v>0</v>
      </c>
      <c r="L29" s="318">
        <f>'GM CostSvcs'!L498</f>
        <v>0</v>
      </c>
      <c r="M29" s="319">
        <f t="shared" si="8"/>
        <v>0</v>
      </c>
      <c r="N29" s="318">
        <f>'GM CostSvcs'!N498</f>
        <v>0</v>
      </c>
      <c r="O29" s="318">
        <f>'GM CostSvcs'!O498</f>
        <v>0</v>
      </c>
      <c r="P29" s="318">
        <f>'GM CostSvcs'!P498</f>
        <v>0</v>
      </c>
      <c r="Q29" s="319">
        <f t="shared" si="9"/>
        <v>0</v>
      </c>
      <c r="R29" s="318">
        <f>'GM CostSvcs'!R498</f>
        <v>0</v>
      </c>
      <c r="S29" s="318">
        <f>'GM CostSvcs'!S498</f>
        <v>0</v>
      </c>
      <c r="T29" s="318">
        <f>'GM CostSvcs'!T498</f>
        <v>0</v>
      </c>
      <c r="U29" s="319">
        <f t="shared" si="10"/>
        <v>0</v>
      </c>
      <c r="V29" s="318">
        <f>'GM CostSvcs'!V498</f>
        <v>0</v>
      </c>
      <c r="W29" s="318">
        <f>'GM CostSvcs'!W498</f>
        <v>0</v>
      </c>
      <c r="X29" s="318">
        <f>'GM CostSvcs'!X498</f>
        <v>0</v>
      </c>
      <c r="Y29" s="319">
        <f t="shared" si="11"/>
        <v>0</v>
      </c>
    </row>
    <row r="30" spans="1:25" ht="12.75" hidden="1" customHeight="1" outlineLevel="1" x14ac:dyDescent="0.2">
      <c r="A30" s="188" t="str">
        <f>"      "&amp;Labels!C384</f>
        <v xml:space="preserve">      Total</v>
      </c>
      <c r="B30" s="316">
        <f>SUM(B28:B29)</f>
        <v>0</v>
      </c>
      <c r="C30" s="316">
        <f>SUM(C28:C29)</f>
        <v>0</v>
      </c>
      <c r="D30" s="316">
        <f>SUM(D28:D29)</f>
        <v>0</v>
      </c>
      <c r="E30" s="317">
        <f t="shared" si="6"/>
        <v>0</v>
      </c>
      <c r="F30" s="316">
        <f>SUM(F28:F29)</f>
        <v>0</v>
      </c>
      <c r="G30" s="316">
        <f>SUM(G28:G29)</f>
        <v>0</v>
      </c>
      <c r="H30" s="316">
        <f>SUM(H28:H29)</f>
        <v>0</v>
      </c>
      <c r="I30" s="317">
        <f t="shared" si="7"/>
        <v>0</v>
      </c>
      <c r="J30" s="316">
        <f>SUM(J28:J29)</f>
        <v>0</v>
      </c>
      <c r="K30" s="316">
        <f>SUM(K28:K29)</f>
        <v>0</v>
      </c>
      <c r="L30" s="316">
        <f>SUM(L28:L29)</f>
        <v>0</v>
      </c>
      <c r="M30" s="317">
        <f t="shared" si="8"/>
        <v>0</v>
      </c>
      <c r="N30" s="316">
        <f>SUM(N28:N29)</f>
        <v>0</v>
      </c>
      <c r="O30" s="316">
        <f>SUM(O28:O29)</f>
        <v>0</v>
      </c>
      <c r="P30" s="316">
        <f>SUM(P28:P29)</f>
        <v>0</v>
      </c>
      <c r="Q30" s="317">
        <f t="shared" si="9"/>
        <v>0</v>
      </c>
      <c r="R30" s="316">
        <f>SUM(R28:R29)</f>
        <v>0</v>
      </c>
      <c r="S30" s="316">
        <f>SUM(S28:S29)</f>
        <v>0</v>
      </c>
      <c r="T30" s="316">
        <f>SUM(T28:T29)</f>
        <v>0</v>
      </c>
      <c r="U30" s="317">
        <f t="shared" si="10"/>
        <v>0</v>
      </c>
      <c r="V30" s="316">
        <f>SUM(V28:V29)</f>
        <v>0</v>
      </c>
      <c r="W30" s="316">
        <f>SUM(W28:W29)</f>
        <v>0</v>
      </c>
      <c r="X30" s="316">
        <f>SUM(X28:X29)</f>
        <v>0</v>
      </c>
      <c r="Y30" s="317">
        <f t="shared" si="11"/>
        <v>0</v>
      </c>
    </row>
    <row r="31" spans="1:25" ht="12.75" hidden="1" customHeight="1" outlineLevel="1" x14ac:dyDescent="0.2">
      <c r="A31" s="191" t="str">
        <f>"   "&amp;Labels!C380</f>
        <v xml:space="preserve">   Total</v>
      </c>
      <c r="B31" s="314">
        <f>SUM(B26,B30)</f>
        <v>0</v>
      </c>
      <c r="C31" s="314">
        <f>SUM(C26,C30)</f>
        <v>0</v>
      </c>
      <c r="D31" s="314">
        <f>SUM(D26,D30)</f>
        <v>0</v>
      </c>
      <c r="E31" s="315">
        <f t="shared" si="6"/>
        <v>0</v>
      </c>
      <c r="F31" s="314">
        <f>SUM(F26,F30)</f>
        <v>0</v>
      </c>
      <c r="G31" s="314">
        <f>SUM(G26,G30)</f>
        <v>0</v>
      </c>
      <c r="H31" s="314">
        <f>SUM(H26,H30)</f>
        <v>0</v>
      </c>
      <c r="I31" s="315">
        <f t="shared" si="7"/>
        <v>0</v>
      </c>
      <c r="J31" s="314">
        <f>SUM(J26,J30)</f>
        <v>1.6666666666666666E-2</v>
      </c>
      <c r="K31" s="314">
        <f>SUM(K26,K30)</f>
        <v>3.3333333333333333E-2</v>
      </c>
      <c r="L31" s="314">
        <f>SUM(L26,L30)</f>
        <v>0</v>
      </c>
      <c r="M31" s="315">
        <f t="shared" si="8"/>
        <v>0.05</v>
      </c>
      <c r="N31" s="314">
        <f>SUM(N26,N30)</f>
        <v>0</v>
      </c>
      <c r="O31" s="314">
        <f>SUM(O26,O30)</f>
        <v>0</v>
      </c>
      <c r="P31" s="314">
        <f>SUM(P26,P30)</f>
        <v>0</v>
      </c>
      <c r="Q31" s="315">
        <f t="shared" si="9"/>
        <v>0</v>
      </c>
      <c r="R31" s="314">
        <f>SUM(R26,R30)</f>
        <v>0</v>
      </c>
      <c r="S31" s="314">
        <f>SUM(S26,S30)</f>
        <v>0</v>
      </c>
      <c r="T31" s="314">
        <f>SUM(T26,T30)</f>
        <v>0</v>
      </c>
      <c r="U31" s="315">
        <f t="shared" si="10"/>
        <v>0</v>
      </c>
      <c r="V31" s="314">
        <f>SUM(V26,V30)</f>
        <v>0</v>
      </c>
      <c r="W31" s="314">
        <f>SUM(W26,W30)</f>
        <v>0</v>
      </c>
      <c r="X31" s="314">
        <f>SUM(X26,X30)</f>
        <v>0</v>
      </c>
      <c r="Y31" s="315">
        <f t="shared" si="11"/>
        <v>0</v>
      </c>
    </row>
    <row r="32" spans="1:25" ht="12.75" hidden="1" customHeight="1" outlineLevel="1" x14ac:dyDescent="0.2">
      <c r="A32" s="198" t="str">
        <f>"      "&amp;Labels!B385</f>
        <v xml:space="preserve">      Prof Level 1</v>
      </c>
      <c r="B32" s="318">
        <f t="shared" ref="B32:D34" si="12">SUM(B24,B28)</f>
        <v>0</v>
      </c>
      <c r="C32" s="318">
        <f t="shared" si="12"/>
        <v>0</v>
      </c>
      <c r="D32" s="318">
        <f t="shared" si="12"/>
        <v>0</v>
      </c>
      <c r="E32" s="319">
        <f t="shared" si="6"/>
        <v>0</v>
      </c>
      <c r="F32" s="318">
        <f t="shared" ref="F32:H34" si="13">SUM(F24,F28)</f>
        <v>0</v>
      </c>
      <c r="G32" s="318">
        <f t="shared" si="13"/>
        <v>0</v>
      </c>
      <c r="H32" s="318">
        <f t="shared" si="13"/>
        <v>0</v>
      </c>
      <c r="I32" s="319">
        <f t="shared" si="7"/>
        <v>0</v>
      </c>
      <c r="J32" s="318">
        <f t="shared" ref="J32:L34" si="14">SUM(J24,J28)</f>
        <v>8.3333333333333332E-3</v>
      </c>
      <c r="K32" s="318">
        <f t="shared" si="14"/>
        <v>1.6666666666666666E-2</v>
      </c>
      <c r="L32" s="318">
        <f t="shared" si="14"/>
        <v>0</v>
      </c>
      <c r="M32" s="319">
        <f t="shared" si="8"/>
        <v>2.5000000000000001E-2</v>
      </c>
      <c r="N32" s="318">
        <f t="shared" ref="N32:P34" si="15">SUM(N24,N28)</f>
        <v>0</v>
      </c>
      <c r="O32" s="318">
        <f t="shared" si="15"/>
        <v>0</v>
      </c>
      <c r="P32" s="318">
        <f t="shared" si="15"/>
        <v>0</v>
      </c>
      <c r="Q32" s="319">
        <f t="shared" si="9"/>
        <v>0</v>
      </c>
      <c r="R32" s="318">
        <f t="shared" ref="R32:T34" si="16">SUM(R24,R28)</f>
        <v>0</v>
      </c>
      <c r="S32" s="318">
        <f t="shared" si="16"/>
        <v>0</v>
      </c>
      <c r="T32" s="318">
        <f t="shared" si="16"/>
        <v>0</v>
      </c>
      <c r="U32" s="319">
        <f t="shared" si="10"/>
        <v>0</v>
      </c>
      <c r="V32" s="318">
        <f t="shared" ref="V32:X34" si="17">SUM(V24,V28)</f>
        <v>0</v>
      </c>
      <c r="W32" s="318">
        <f t="shared" si="17"/>
        <v>0</v>
      </c>
      <c r="X32" s="318">
        <f t="shared" si="17"/>
        <v>0</v>
      </c>
      <c r="Y32" s="319">
        <f t="shared" si="11"/>
        <v>0</v>
      </c>
    </row>
    <row r="33" spans="1:25" ht="12.75" hidden="1" customHeight="1" outlineLevel="1" x14ac:dyDescent="0.2">
      <c r="A33" s="198" t="str">
        <f>"      "&amp;Labels!B386</f>
        <v xml:space="preserve">      Prof Level 2</v>
      </c>
      <c r="B33" s="318">
        <f t="shared" si="12"/>
        <v>0</v>
      </c>
      <c r="C33" s="318">
        <f t="shared" si="12"/>
        <v>0</v>
      </c>
      <c r="D33" s="318">
        <f t="shared" si="12"/>
        <v>0</v>
      </c>
      <c r="E33" s="319">
        <f t="shared" si="6"/>
        <v>0</v>
      </c>
      <c r="F33" s="318">
        <f t="shared" si="13"/>
        <v>0</v>
      </c>
      <c r="G33" s="318">
        <f t="shared" si="13"/>
        <v>0</v>
      </c>
      <c r="H33" s="318">
        <f t="shared" si="13"/>
        <v>0</v>
      </c>
      <c r="I33" s="319">
        <f t="shared" si="7"/>
        <v>0</v>
      </c>
      <c r="J33" s="318">
        <f t="shared" si="14"/>
        <v>8.3333333333333332E-3</v>
      </c>
      <c r="K33" s="318">
        <f t="shared" si="14"/>
        <v>1.6666666666666666E-2</v>
      </c>
      <c r="L33" s="318">
        <f t="shared" si="14"/>
        <v>0</v>
      </c>
      <c r="M33" s="319">
        <f t="shared" si="8"/>
        <v>2.5000000000000001E-2</v>
      </c>
      <c r="N33" s="318">
        <f t="shared" si="15"/>
        <v>0</v>
      </c>
      <c r="O33" s="318">
        <f t="shared" si="15"/>
        <v>0</v>
      </c>
      <c r="P33" s="318">
        <f t="shared" si="15"/>
        <v>0</v>
      </c>
      <c r="Q33" s="319">
        <f t="shared" si="9"/>
        <v>0</v>
      </c>
      <c r="R33" s="318">
        <f t="shared" si="16"/>
        <v>0</v>
      </c>
      <c r="S33" s="318">
        <f t="shared" si="16"/>
        <v>0</v>
      </c>
      <c r="T33" s="318">
        <f t="shared" si="16"/>
        <v>0</v>
      </c>
      <c r="U33" s="319">
        <f t="shared" si="10"/>
        <v>0</v>
      </c>
      <c r="V33" s="318">
        <f t="shared" si="17"/>
        <v>0</v>
      </c>
      <c r="W33" s="318">
        <f t="shared" si="17"/>
        <v>0</v>
      </c>
      <c r="X33" s="318">
        <f t="shared" si="17"/>
        <v>0</v>
      </c>
      <c r="Y33" s="319">
        <f t="shared" si="11"/>
        <v>0</v>
      </c>
    </row>
    <row r="34" spans="1:25" ht="12.75" hidden="1" customHeight="1" outlineLevel="1" x14ac:dyDescent="0.2">
      <c r="A34" s="188" t="str">
        <f>"      "&amp;Labels!C384</f>
        <v xml:space="preserve">      Total</v>
      </c>
      <c r="B34" s="316">
        <f t="shared" si="12"/>
        <v>0</v>
      </c>
      <c r="C34" s="316">
        <f t="shared" si="12"/>
        <v>0</v>
      </c>
      <c r="D34" s="316">
        <f t="shared" si="12"/>
        <v>0</v>
      </c>
      <c r="E34" s="317">
        <f>SUM(B31:D31)</f>
        <v>0</v>
      </c>
      <c r="F34" s="316">
        <f t="shared" si="13"/>
        <v>0</v>
      </c>
      <c r="G34" s="316">
        <f t="shared" si="13"/>
        <v>0</v>
      </c>
      <c r="H34" s="316">
        <f t="shared" si="13"/>
        <v>0</v>
      </c>
      <c r="I34" s="317">
        <f>SUM(F31:H31)</f>
        <v>0</v>
      </c>
      <c r="J34" s="316">
        <f t="shared" si="14"/>
        <v>1.6666666666666666E-2</v>
      </c>
      <c r="K34" s="316">
        <f t="shared" si="14"/>
        <v>3.3333333333333333E-2</v>
      </c>
      <c r="L34" s="316">
        <f t="shared" si="14"/>
        <v>0</v>
      </c>
      <c r="M34" s="317">
        <f>SUM(J31:L31)</f>
        <v>0.05</v>
      </c>
      <c r="N34" s="316">
        <f t="shared" si="15"/>
        <v>0</v>
      </c>
      <c r="O34" s="316">
        <f t="shared" si="15"/>
        <v>0</v>
      </c>
      <c r="P34" s="316">
        <f t="shared" si="15"/>
        <v>0</v>
      </c>
      <c r="Q34" s="317">
        <f>SUM(N31:P31)</f>
        <v>0</v>
      </c>
      <c r="R34" s="316">
        <f t="shared" si="16"/>
        <v>0</v>
      </c>
      <c r="S34" s="316">
        <f t="shared" si="16"/>
        <v>0</v>
      </c>
      <c r="T34" s="316">
        <f t="shared" si="16"/>
        <v>0</v>
      </c>
      <c r="U34" s="317">
        <f>SUM(R31:T31)</f>
        <v>0</v>
      </c>
      <c r="V34" s="316">
        <f t="shared" si="17"/>
        <v>0</v>
      </c>
      <c r="W34" s="316">
        <f t="shared" si="17"/>
        <v>0</v>
      </c>
      <c r="X34" s="316">
        <f t="shared" si="17"/>
        <v>0</v>
      </c>
      <c r="Y34" s="317">
        <f>SUM(V31:X31)</f>
        <v>0</v>
      </c>
    </row>
    <row r="35" spans="1:25" ht="12.75" hidden="1" customHeight="1" outlineLevel="1" x14ac:dyDescent="0.2">
      <c r="A35" s="97"/>
      <c r="B35" s="6"/>
      <c r="C35" s="6"/>
      <c r="D35" s="6"/>
      <c r="E35" s="97"/>
      <c r="F35" s="6"/>
      <c r="G35" s="6"/>
      <c r="H35" s="6"/>
      <c r="I35" s="97"/>
      <c r="J35" s="6"/>
      <c r="K35" s="6"/>
      <c r="L35" s="6"/>
      <c r="M35" s="97"/>
      <c r="N35" s="6"/>
      <c r="O35" s="6"/>
      <c r="P35" s="6"/>
      <c r="Q35" s="97"/>
      <c r="R35" s="6"/>
      <c r="S35" s="6"/>
      <c r="T35" s="6"/>
      <c r="U35" s="97"/>
      <c r="V35" s="6"/>
      <c r="W35" s="6"/>
      <c r="X35" s="6"/>
      <c r="Y35" s="97"/>
    </row>
    <row r="36" spans="1:25" ht="12.75" hidden="1" customHeight="1" outlineLevel="1" x14ac:dyDescent="0.2">
      <c r="A36" s="191" t="str">
        <f>Labels!B190</f>
        <v>Prof Staff Capacity (Hrs)</v>
      </c>
      <c r="B36" s="260"/>
      <c r="C36" s="260"/>
      <c r="D36" s="260"/>
      <c r="E36" s="261"/>
      <c r="F36" s="260"/>
      <c r="G36" s="260"/>
      <c r="H36" s="260"/>
      <c r="I36" s="261"/>
      <c r="J36" s="260"/>
      <c r="K36" s="260"/>
      <c r="L36" s="260"/>
      <c r="M36" s="261"/>
      <c r="N36" s="260"/>
      <c r="O36" s="260"/>
      <c r="P36" s="260"/>
      <c r="Q36" s="261"/>
      <c r="R36" s="260"/>
      <c r="S36" s="260"/>
      <c r="T36" s="260"/>
      <c r="U36" s="261"/>
      <c r="V36" s="260"/>
      <c r="W36" s="260"/>
      <c r="X36" s="260"/>
      <c r="Y36" s="261"/>
    </row>
    <row r="37" spans="1:25" ht="12.75" hidden="1" customHeight="1" outlineLevel="1" x14ac:dyDescent="0.2">
      <c r="A37" s="188" t="str">
        <f>"   "&amp;Labels!B381</f>
        <v xml:space="preserve">   Practice 1</v>
      </c>
      <c r="B37" s="256"/>
      <c r="C37" s="256"/>
      <c r="D37" s="256"/>
      <c r="E37" s="257"/>
      <c r="F37" s="256"/>
      <c r="G37" s="256"/>
      <c r="H37" s="256"/>
      <c r="I37" s="257"/>
      <c r="J37" s="256"/>
      <c r="K37" s="256"/>
      <c r="L37" s="256"/>
      <c r="M37" s="257"/>
      <c r="N37" s="256"/>
      <c r="O37" s="256"/>
      <c r="P37" s="256"/>
      <c r="Q37" s="257"/>
      <c r="R37" s="256"/>
      <c r="S37" s="256"/>
      <c r="T37" s="256"/>
      <c r="U37" s="257"/>
      <c r="V37" s="256"/>
      <c r="W37" s="256"/>
      <c r="X37" s="256"/>
      <c r="Y37" s="257"/>
    </row>
    <row r="38" spans="1:25" ht="12.75" hidden="1" customHeight="1" outlineLevel="1" x14ac:dyDescent="0.2">
      <c r="A38" s="198" t="str">
        <f>"      "&amp;Labels!B385</f>
        <v xml:space="preserve">      Prof Level 1</v>
      </c>
      <c r="B38" s="258">
        <f>'GM CostSvcs'!B507</f>
        <v>0</v>
      </c>
      <c r="C38" s="258">
        <f>'GM CostSvcs'!C507</f>
        <v>0</v>
      </c>
      <c r="D38" s="258">
        <f>'GM CostSvcs'!D507</f>
        <v>0</v>
      </c>
      <c r="E38" s="259">
        <f>SUM(B38:D38)</f>
        <v>0</v>
      </c>
      <c r="F38" s="258">
        <f>'GM CostSvcs'!F507</f>
        <v>0</v>
      </c>
      <c r="G38" s="258">
        <f>'GM CostSvcs'!G507</f>
        <v>0</v>
      </c>
      <c r="H38" s="258">
        <f>'GM CostSvcs'!H507</f>
        <v>0</v>
      </c>
      <c r="I38" s="259">
        <f>SUM(F38:H38)</f>
        <v>0</v>
      </c>
      <c r="J38" s="258">
        <f>'GM CostSvcs'!J507</f>
        <v>150</v>
      </c>
      <c r="K38" s="258">
        <f>'GM CostSvcs'!K507</f>
        <v>300</v>
      </c>
      <c r="L38" s="258">
        <f>'GM CostSvcs'!L507</f>
        <v>0</v>
      </c>
      <c r="M38" s="259">
        <f>SUM(J38:L38)</f>
        <v>450</v>
      </c>
      <c r="N38" s="258">
        <f>'GM CostSvcs'!N507</f>
        <v>0</v>
      </c>
      <c r="O38" s="258">
        <f>'GM CostSvcs'!O507</f>
        <v>0</v>
      </c>
      <c r="P38" s="258">
        <f>'GM CostSvcs'!P507</f>
        <v>0</v>
      </c>
      <c r="Q38" s="259">
        <f>SUM(N38:P38)</f>
        <v>0</v>
      </c>
      <c r="R38" s="258">
        <f>'GM CostSvcs'!R507</f>
        <v>0</v>
      </c>
      <c r="S38" s="258">
        <f>'GM CostSvcs'!S507</f>
        <v>0</v>
      </c>
      <c r="T38" s="258">
        <f>'GM CostSvcs'!T507</f>
        <v>0</v>
      </c>
      <c r="U38" s="259">
        <f>SUM(R38:T38)</f>
        <v>0</v>
      </c>
      <c r="V38" s="258">
        <f>'GM CostSvcs'!V507</f>
        <v>0</v>
      </c>
      <c r="W38" s="258">
        <f>'GM CostSvcs'!W507</f>
        <v>0</v>
      </c>
      <c r="X38" s="258">
        <f>'GM CostSvcs'!X507</f>
        <v>0</v>
      </c>
      <c r="Y38" s="259">
        <f>SUM(V38:X38)</f>
        <v>0</v>
      </c>
    </row>
    <row r="39" spans="1:25" ht="12.75" hidden="1" customHeight="1" outlineLevel="1" x14ac:dyDescent="0.2">
      <c r="A39" s="198" t="str">
        <f>"      "&amp;Labels!B386</f>
        <v xml:space="preserve">      Prof Level 2</v>
      </c>
      <c r="B39" s="258">
        <f>'GM CostSvcs'!B508</f>
        <v>0</v>
      </c>
      <c r="C39" s="258">
        <f>'GM CostSvcs'!C508</f>
        <v>0</v>
      </c>
      <c r="D39" s="258">
        <f>'GM CostSvcs'!D508</f>
        <v>0</v>
      </c>
      <c r="E39" s="259">
        <f>SUM(B39:D39)</f>
        <v>0</v>
      </c>
      <c r="F39" s="258">
        <f>'GM CostSvcs'!F508</f>
        <v>0</v>
      </c>
      <c r="G39" s="258">
        <f>'GM CostSvcs'!G508</f>
        <v>0</v>
      </c>
      <c r="H39" s="258">
        <f>'GM CostSvcs'!H508</f>
        <v>0</v>
      </c>
      <c r="I39" s="259">
        <f>SUM(F39:H39)</f>
        <v>0</v>
      </c>
      <c r="J39" s="258">
        <f>'GM CostSvcs'!J508</f>
        <v>150</v>
      </c>
      <c r="K39" s="258">
        <f>'GM CostSvcs'!K508</f>
        <v>300</v>
      </c>
      <c r="L39" s="258">
        <f>'GM CostSvcs'!L508</f>
        <v>0</v>
      </c>
      <c r="M39" s="259">
        <f>SUM(J39:L39)</f>
        <v>450</v>
      </c>
      <c r="N39" s="258">
        <f>'GM CostSvcs'!N508</f>
        <v>0</v>
      </c>
      <c r="O39" s="258">
        <f>'GM CostSvcs'!O508</f>
        <v>0</v>
      </c>
      <c r="P39" s="258">
        <f>'GM CostSvcs'!P508</f>
        <v>0</v>
      </c>
      <c r="Q39" s="259">
        <f>SUM(N39:P39)</f>
        <v>0</v>
      </c>
      <c r="R39" s="258">
        <f>'GM CostSvcs'!R508</f>
        <v>0</v>
      </c>
      <c r="S39" s="258">
        <f>'GM CostSvcs'!S508</f>
        <v>0</v>
      </c>
      <c r="T39" s="258">
        <f>'GM CostSvcs'!T508</f>
        <v>0</v>
      </c>
      <c r="U39" s="259">
        <f>SUM(R39:T39)</f>
        <v>0</v>
      </c>
      <c r="V39" s="258">
        <f>'GM CostSvcs'!V508</f>
        <v>0</v>
      </c>
      <c r="W39" s="258">
        <f>'GM CostSvcs'!W508</f>
        <v>0</v>
      </c>
      <c r="X39" s="258">
        <f>'GM CostSvcs'!X508</f>
        <v>0</v>
      </c>
      <c r="Y39" s="259">
        <f>SUM(V39:X39)</f>
        <v>0</v>
      </c>
    </row>
    <row r="40" spans="1:25" ht="12.75" hidden="1" customHeight="1" outlineLevel="1" x14ac:dyDescent="0.2">
      <c r="A40" s="188" t="str">
        <f>"      "&amp;Labels!C384</f>
        <v xml:space="preserve">      Total</v>
      </c>
      <c r="B40" s="256">
        <f>SUM(B38:B39)</f>
        <v>0</v>
      </c>
      <c r="C40" s="256">
        <f>SUM(C38:C39)</f>
        <v>0</v>
      </c>
      <c r="D40" s="256">
        <f>SUM(D38:D39)</f>
        <v>0</v>
      </c>
      <c r="E40" s="257">
        <f>SUM(B40:D40)</f>
        <v>0</v>
      </c>
      <c r="F40" s="256">
        <f>SUM(F38:F39)</f>
        <v>0</v>
      </c>
      <c r="G40" s="256">
        <f>SUM(G38:G39)</f>
        <v>0</v>
      </c>
      <c r="H40" s="256">
        <f>SUM(H38:H39)</f>
        <v>0</v>
      </c>
      <c r="I40" s="257">
        <f>SUM(F40:H40)</f>
        <v>0</v>
      </c>
      <c r="J40" s="256">
        <f>SUM(J38:J39)</f>
        <v>300</v>
      </c>
      <c r="K40" s="256">
        <f>SUM(K38:K39)</f>
        <v>600</v>
      </c>
      <c r="L40" s="256">
        <f>SUM(L38:L39)</f>
        <v>0</v>
      </c>
      <c r="M40" s="257">
        <f>SUM(J40:L40)</f>
        <v>900</v>
      </c>
      <c r="N40" s="256">
        <f>SUM(N38:N39)</f>
        <v>0</v>
      </c>
      <c r="O40" s="256">
        <f>SUM(O38:O39)</f>
        <v>0</v>
      </c>
      <c r="P40" s="256">
        <f>SUM(P38:P39)</f>
        <v>0</v>
      </c>
      <c r="Q40" s="257">
        <f>SUM(N40:P40)</f>
        <v>0</v>
      </c>
      <c r="R40" s="256">
        <f>SUM(R38:R39)</f>
        <v>0</v>
      </c>
      <c r="S40" s="256">
        <f>SUM(S38:S39)</f>
        <v>0</v>
      </c>
      <c r="T40" s="256">
        <f>SUM(T38:T39)</f>
        <v>0</v>
      </c>
      <c r="U40" s="257">
        <f>SUM(R40:T40)</f>
        <v>0</v>
      </c>
      <c r="V40" s="256">
        <f>SUM(V38:V39)</f>
        <v>0</v>
      </c>
      <c r="W40" s="256">
        <f>SUM(W38:W39)</f>
        <v>0</v>
      </c>
      <c r="X40" s="256">
        <f>SUM(X38:X39)</f>
        <v>0</v>
      </c>
      <c r="Y40" s="257">
        <f>SUM(V40:X40)</f>
        <v>0</v>
      </c>
    </row>
    <row r="41" spans="1:25" ht="12.75" hidden="1" customHeight="1" outlineLevel="1" x14ac:dyDescent="0.2">
      <c r="A41" s="188" t="str">
        <f>"   "&amp;Labels!B382</f>
        <v xml:space="preserve">   Practice 2</v>
      </c>
      <c r="B41" s="256"/>
      <c r="C41" s="256"/>
      <c r="D41" s="256"/>
      <c r="E41" s="257"/>
      <c r="F41" s="256"/>
      <c r="G41" s="256"/>
      <c r="H41" s="256"/>
      <c r="I41" s="257"/>
      <c r="J41" s="256"/>
      <c r="K41" s="256"/>
      <c r="L41" s="256"/>
      <c r="M41" s="257"/>
      <c r="N41" s="256"/>
      <c r="O41" s="256"/>
      <c r="P41" s="256"/>
      <c r="Q41" s="257"/>
      <c r="R41" s="256"/>
      <c r="S41" s="256"/>
      <c r="T41" s="256"/>
      <c r="U41" s="257"/>
      <c r="V41" s="256"/>
      <c r="W41" s="256"/>
      <c r="X41" s="256"/>
      <c r="Y41" s="257"/>
    </row>
    <row r="42" spans="1:25" ht="12.75" hidden="1" customHeight="1" outlineLevel="1" x14ac:dyDescent="0.2">
      <c r="A42" s="198" t="str">
        <f>"      "&amp;Labels!B385</f>
        <v xml:space="preserve">      Prof Level 1</v>
      </c>
      <c r="B42" s="258">
        <f>'GM CostSvcs'!B511</f>
        <v>0</v>
      </c>
      <c r="C42" s="258">
        <f>'GM CostSvcs'!C511</f>
        <v>0</v>
      </c>
      <c r="D42" s="258">
        <f>'GM CostSvcs'!D511</f>
        <v>0</v>
      </c>
      <c r="E42" s="259">
        <f t="shared" ref="E42:E47" si="18">SUM(B42:D42)</f>
        <v>0</v>
      </c>
      <c r="F42" s="258">
        <f>'GM CostSvcs'!F511</f>
        <v>0</v>
      </c>
      <c r="G42" s="258">
        <f>'GM CostSvcs'!G511</f>
        <v>0</v>
      </c>
      <c r="H42" s="258">
        <f>'GM CostSvcs'!H511</f>
        <v>0</v>
      </c>
      <c r="I42" s="259">
        <f t="shared" ref="I42:I47" si="19">SUM(F42:H42)</f>
        <v>0</v>
      </c>
      <c r="J42" s="258">
        <f>'GM CostSvcs'!J511</f>
        <v>0</v>
      </c>
      <c r="K42" s="258">
        <f>'GM CostSvcs'!K511</f>
        <v>0</v>
      </c>
      <c r="L42" s="258">
        <f>'GM CostSvcs'!L511</f>
        <v>0</v>
      </c>
      <c r="M42" s="259">
        <f t="shared" ref="M42:M47" si="20">SUM(J42:L42)</f>
        <v>0</v>
      </c>
      <c r="N42" s="258">
        <f>'GM CostSvcs'!N511</f>
        <v>0</v>
      </c>
      <c r="O42" s="258">
        <f>'GM CostSvcs'!O511</f>
        <v>0</v>
      </c>
      <c r="P42" s="258">
        <f>'GM CostSvcs'!P511</f>
        <v>0</v>
      </c>
      <c r="Q42" s="259">
        <f t="shared" ref="Q42:Q47" si="21">SUM(N42:P42)</f>
        <v>0</v>
      </c>
      <c r="R42" s="258">
        <f>'GM CostSvcs'!R511</f>
        <v>0</v>
      </c>
      <c r="S42" s="258">
        <f>'GM CostSvcs'!S511</f>
        <v>0</v>
      </c>
      <c r="T42" s="258">
        <f>'GM CostSvcs'!T511</f>
        <v>0</v>
      </c>
      <c r="U42" s="259">
        <f t="shared" ref="U42:U47" si="22">SUM(R42:T42)</f>
        <v>0</v>
      </c>
      <c r="V42" s="258">
        <f>'GM CostSvcs'!V511</f>
        <v>0</v>
      </c>
      <c r="W42" s="258">
        <f>'GM CostSvcs'!W511</f>
        <v>0</v>
      </c>
      <c r="X42" s="258">
        <f>'GM CostSvcs'!X511</f>
        <v>0</v>
      </c>
      <c r="Y42" s="259">
        <f t="shared" ref="Y42:Y47" si="23">SUM(V42:X42)</f>
        <v>0</v>
      </c>
    </row>
    <row r="43" spans="1:25" ht="12.75" hidden="1" customHeight="1" outlineLevel="1" x14ac:dyDescent="0.2">
      <c r="A43" s="198" t="str">
        <f>"      "&amp;Labels!B386</f>
        <v xml:space="preserve">      Prof Level 2</v>
      </c>
      <c r="B43" s="258">
        <f>'GM CostSvcs'!B512</f>
        <v>0</v>
      </c>
      <c r="C43" s="258">
        <f>'GM CostSvcs'!C512</f>
        <v>0</v>
      </c>
      <c r="D43" s="258">
        <f>'GM CostSvcs'!D512</f>
        <v>0</v>
      </c>
      <c r="E43" s="259">
        <f t="shared" si="18"/>
        <v>0</v>
      </c>
      <c r="F43" s="258">
        <f>'GM CostSvcs'!F512</f>
        <v>0</v>
      </c>
      <c r="G43" s="258">
        <f>'GM CostSvcs'!G512</f>
        <v>0</v>
      </c>
      <c r="H43" s="258">
        <f>'GM CostSvcs'!H512</f>
        <v>0</v>
      </c>
      <c r="I43" s="259">
        <f t="shared" si="19"/>
        <v>0</v>
      </c>
      <c r="J43" s="258">
        <f>'GM CostSvcs'!J512</f>
        <v>0</v>
      </c>
      <c r="K43" s="258">
        <f>'GM CostSvcs'!K512</f>
        <v>0</v>
      </c>
      <c r="L43" s="258">
        <f>'GM CostSvcs'!L512</f>
        <v>0</v>
      </c>
      <c r="M43" s="259">
        <f t="shared" si="20"/>
        <v>0</v>
      </c>
      <c r="N43" s="258">
        <f>'GM CostSvcs'!N512</f>
        <v>0</v>
      </c>
      <c r="O43" s="258">
        <f>'GM CostSvcs'!O512</f>
        <v>0</v>
      </c>
      <c r="P43" s="258">
        <f>'GM CostSvcs'!P512</f>
        <v>0</v>
      </c>
      <c r="Q43" s="259">
        <f t="shared" si="21"/>
        <v>0</v>
      </c>
      <c r="R43" s="258">
        <f>'GM CostSvcs'!R512</f>
        <v>0</v>
      </c>
      <c r="S43" s="258">
        <f>'GM CostSvcs'!S512</f>
        <v>0</v>
      </c>
      <c r="T43" s="258">
        <f>'GM CostSvcs'!T512</f>
        <v>0</v>
      </c>
      <c r="U43" s="259">
        <f t="shared" si="22"/>
        <v>0</v>
      </c>
      <c r="V43" s="258">
        <f>'GM CostSvcs'!V512</f>
        <v>0</v>
      </c>
      <c r="W43" s="258">
        <f>'GM CostSvcs'!W512</f>
        <v>0</v>
      </c>
      <c r="X43" s="258">
        <f>'GM CostSvcs'!X512</f>
        <v>0</v>
      </c>
      <c r="Y43" s="259">
        <f t="shared" si="23"/>
        <v>0</v>
      </c>
    </row>
    <row r="44" spans="1:25" ht="12.75" hidden="1" customHeight="1" outlineLevel="1" x14ac:dyDescent="0.2">
      <c r="A44" s="188" t="str">
        <f>"      "&amp;Labels!C384</f>
        <v xml:space="preserve">      Total</v>
      </c>
      <c r="B44" s="256">
        <f>SUM(B42:B43)</f>
        <v>0</v>
      </c>
      <c r="C44" s="256">
        <f>SUM(C42:C43)</f>
        <v>0</v>
      </c>
      <c r="D44" s="256">
        <f>SUM(D42:D43)</f>
        <v>0</v>
      </c>
      <c r="E44" s="257">
        <f t="shared" si="18"/>
        <v>0</v>
      </c>
      <c r="F44" s="256">
        <f>SUM(F42:F43)</f>
        <v>0</v>
      </c>
      <c r="G44" s="256">
        <f>SUM(G42:G43)</f>
        <v>0</v>
      </c>
      <c r="H44" s="256">
        <f>SUM(H42:H43)</f>
        <v>0</v>
      </c>
      <c r="I44" s="257">
        <f t="shared" si="19"/>
        <v>0</v>
      </c>
      <c r="J44" s="256">
        <f>SUM(J42:J43)</f>
        <v>0</v>
      </c>
      <c r="K44" s="256">
        <f>SUM(K42:K43)</f>
        <v>0</v>
      </c>
      <c r="L44" s="256">
        <f>SUM(L42:L43)</f>
        <v>0</v>
      </c>
      <c r="M44" s="257">
        <f t="shared" si="20"/>
        <v>0</v>
      </c>
      <c r="N44" s="256">
        <f>SUM(N42:N43)</f>
        <v>0</v>
      </c>
      <c r="O44" s="256">
        <f>SUM(O42:O43)</f>
        <v>0</v>
      </c>
      <c r="P44" s="256">
        <f>SUM(P42:P43)</f>
        <v>0</v>
      </c>
      <c r="Q44" s="257">
        <f t="shared" si="21"/>
        <v>0</v>
      </c>
      <c r="R44" s="256">
        <f>SUM(R42:R43)</f>
        <v>0</v>
      </c>
      <c r="S44" s="256">
        <f>SUM(S42:S43)</f>
        <v>0</v>
      </c>
      <c r="T44" s="256">
        <f>SUM(T42:T43)</f>
        <v>0</v>
      </c>
      <c r="U44" s="257">
        <f t="shared" si="22"/>
        <v>0</v>
      </c>
      <c r="V44" s="256">
        <f>SUM(V42:V43)</f>
        <v>0</v>
      </c>
      <c r="W44" s="256">
        <f>SUM(W42:W43)</f>
        <v>0</v>
      </c>
      <c r="X44" s="256">
        <f>SUM(X42:X43)</f>
        <v>0</v>
      </c>
      <c r="Y44" s="257">
        <f t="shared" si="23"/>
        <v>0</v>
      </c>
    </row>
    <row r="45" spans="1:25" ht="12.75" hidden="1" customHeight="1" outlineLevel="1" x14ac:dyDescent="0.2">
      <c r="A45" s="191" t="str">
        <f>"   "&amp;Labels!C380</f>
        <v xml:space="preserve">   Total</v>
      </c>
      <c r="B45" s="260">
        <f>SUM(B40,B44)</f>
        <v>0</v>
      </c>
      <c r="C45" s="260">
        <f>SUM(C40,C44)</f>
        <v>0</v>
      </c>
      <c r="D45" s="260">
        <f>SUM(D40,D44)</f>
        <v>0</v>
      </c>
      <c r="E45" s="261">
        <f t="shared" si="18"/>
        <v>0</v>
      </c>
      <c r="F45" s="260">
        <f>SUM(F40,F44)</f>
        <v>0</v>
      </c>
      <c r="G45" s="260">
        <f>SUM(G40,G44)</f>
        <v>0</v>
      </c>
      <c r="H45" s="260">
        <f>SUM(H40,H44)</f>
        <v>0</v>
      </c>
      <c r="I45" s="261">
        <f t="shared" si="19"/>
        <v>0</v>
      </c>
      <c r="J45" s="260">
        <f>SUM(J40,J44)</f>
        <v>300</v>
      </c>
      <c r="K45" s="260">
        <f>SUM(K40,K44)</f>
        <v>600</v>
      </c>
      <c r="L45" s="260">
        <f>SUM(L40,L44)</f>
        <v>0</v>
      </c>
      <c r="M45" s="261">
        <f t="shared" si="20"/>
        <v>900</v>
      </c>
      <c r="N45" s="260">
        <f>SUM(N40,N44)</f>
        <v>0</v>
      </c>
      <c r="O45" s="260">
        <f>SUM(O40,O44)</f>
        <v>0</v>
      </c>
      <c r="P45" s="260">
        <f>SUM(P40,P44)</f>
        <v>0</v>
      </c>
      <c r="Q45" s="261">
        <f t="shared" si="21"/>
        <v>0</v>
      </c>
      <c r="R45" s="260">
        <f>SUM(R40,R44)</f>
        <v>0</v>
      </c>
      <c r="S45" s="260">
        <f>SUM(S40,S44)</f>
        <v>0</v>
      </c>
      <c r="T45" s="260">
        <f>SUM(T40,T44)</f>
        <v>0</v>
      </c>
      <c r="U45" s="261">
        <f t="shared" si="22"/>
        <v>0</v>
      </c>
      <c r="V45" s="260">
        <f>SUM(V40,V44)</f>
        <v>0</v>
      </c>
      <c r="W45" s="260">
        <f>SUM(W40,W44)</f>
        <v>0</v>
      </c>
      <c r="X45" s="260">
        <f>SUM(X40,X44)</f>
        <v>0</v>
      </c>
      <c r="Y45" s="261">
        <f t="shared" si="23"/>
        <v>0</v>
      </c>
    </row>
    <row r="46" spans="1:25" ht="12.75" hidden="1" customHeight="1" outlineLevel="1" x14ac:dyDescent="0.2">
      <c r="A46" s="198" t="str">
        <f>"      "&amp;Labels!B385</f>
        <v xml:space="preserve">      Prof Level 1</v>
      </c>
      <c r="B46" s="258">
        <f t="shared" ref="B46:D48" si="24">SUM(B38,B42)</f>
        <v>0</v>
      </c>
      <c r="C46" s="258">
        <f t="shared" si="24"/>
        <v>0</v>
      </c>
      <c r="D46" s="258">
        <f t="shared" si="24"/>
        <v>0</v>
      </c>
      <c r="E46" s="259">
        <f t="shared" si="18"/>
        <v>0</v>
      </c>
      <c r="F46" s="258">
        <f t="shared" ref="F46:H48" si="25">SUM(F38,F42)</f>
        <v>0</v>
      </c>
      <c r="G46" s="258">
        <f t="shared" si="25"/>
        <v>0</v>
      </c>
      <c r="H46" s="258">
        <f t="shared" si="25"/>
        <v>0</v>
      </c>
      <c r="I46" s="259">
        <f t="shared" si="19"/>
        <v>0</v>
      </c>
      <c r="J46" s="258">
        <f t="shared" ref="J46:L48" si="26">SUM(J38,J42)</f>
        <v>150</v>
      </c>
      <c r="K46" s="258">
        <f t="shared" si="26"/>
        <v>300</v>
      </c>
      <c r="L46" s="258">
        <f t="shared" si="26"/>
        <v>0</v>
      </c>
      <c r="M46" s="259">
        <f t="shared" si="20"/>
        <v>450</v>
      </c>
      <c r="N46" s="258">
        <f t="shared" ref="N46:P48" si="27">SUM(N38,N42)</f>
        <v>0</v>
      </c>
      <c r="O46" s="258">
        <f t="shared" si="27"/>
        <v>0</v>
      </c>
      <c r="P46" s="258">
        <f t="shared" si="27"/>
        <v>0</v>
      </c>
      <c r="Q46" s="259">
        <f t="shared" si="21"/>
        <v>0</v>
      </c>
      <c r="R46" s="258">
        <f t="shared" ref="R46:T48" si="28">SUM(R38,R42)</f>
        <v>0</v>
      </c>
      <c r="S46" s="258">
        <f t="shared" si="28"/>
        <v>0</v>
      </c>
      <c r="T46" s="258">
        <f t="shared" si="28"/>
        <v>0</v>
      </c>
      <c r="U46" s="259">
        <f t="shared" si="22"/>
        <v>0</v>
      </c>
      <c r="V46" s="258">
        <f t="shared" ref="V46:X48" si="29">SUM(V38,V42)</f>
        <v>0</v>
      </c>
      <c r="W46" s="258">
        <f t="shared" si="29"/>
        <v>0</v>
      </c>
      <c r="X46" s="258">
        <f t="shared" si="29"/>
        <v>0</v>
      </c>
      <c r="Y46" s="259">
        <f t="shared" si="23"/>
        <v>0</v>
      </c>
    </row>
    <row r="47" spans="1:25" ht="12.75" hidden="1" customHeight="1" outlineLevel="1" x14ac:dyDescent="0.2">
      <c r="A47" s="198" t="str">
        <f>"      "&amp;Labels!B386</f>
        <v xml:space="preserve">      Prof Level 2</v>
      </c>
      <c r="B47" s="258">
        <f t="shared" si="24"/>
        <v>0</v>
      </c>
      <c r="C47" s="258">
        <f t="shared" si="24"/>
        <v>0</v>
      </c>
      <c r="D47" s="258">
        <f t="shared" si="24"/>
        <v>0</v>
      </c>
      <c r="E47" s="259">
        <f t="shared" si="18"/>
        <v>0</v>
      </c>
      <c r="F47" s="258">
        <f t="shared" si="25"/>
        <v>0</v>
      </c>
      <c r="G47" s="258">
        <f t="shared" si="25"/>
        <v>0</v>
      </c>
      <c r="H47" s="258">
        <f t="shared" si="25"/>
        <v>0</v>
      </c>
      <c r="I47" s="259">
        <f t="shared" si="19"/>
        <v>0</v>
      </c>
      <c r="J47" s="258">
        <f t="shared" si="26"/>
        <v>150</v>
      </c>
      <c r="K47" s="258">
        <f t="shared" si="26"/>
        <v>300</v>
      </c>
      <c r="L47" s="258">
        <f t="shared" si="26"/>
        <v>0</v>
      </c>
      <c r="M47" s="259">
        <f t="shared" si="20"/>
        <v>450</v>
      </c>
      <c r="N47" s="258">
        <f t="shared" si="27"/>
        <v>0</v>
      </c>
      <c r="O47" s="258">
        <f t="shared" si="27"/>
        <v>0</v>
      </c>
      <c r="P47" s="258">
        <f t="shared" si="27"/>
        <v>0</v>
      </c>
      <c r="Q47" s="259">
        <f t="shared" si="21"/>
        <v>0</v>
      </c>
      <c r="R47" s="258">
        <f t="shared" si="28"/>
        <v>0</v>
      </c>
      <c r="S47" s="258">
        <f t="shared" si="28"/>
        <v>0</v>
      </c>
      <c r="T47" s="258">
        <f t="shared" si="28"/>
        <v>0</v>
      </c>
      <c r="U47" s="259">
        <f t="shared" si="22"/>
        <v>0</v>
      </c>
      <c r="V47" s="258">
        <f t="shared" si="29"/>
        <v>0</v>
      </c>
      <c r="W47" s="258">
        <f t="shared" si="29"/>
        <v>0</v>
      </c>
      <c r="X47" s="258">
        <f t="shared" si="29"/>
        <v>0</v>
      </c>
      <c r="Y47" s="259">
        <f t="shared" si="23"/>
        <v>0</v>
      </c>
    </row>
    <row r="48" spans="1:25" ht="12.75" hidden="1" customHeight="1" outlineLevel="1" x14ac:dyDescent="0.2">
      <c r="A48" s="188" t="str">
        <f>"      "&amp;Labels!C384</f>
        <v xml:space="preserve">      Total</v>
      </c>
      <c r="B48" s="256">
        <f t="shared" si="24"/>
        <v>0</v>
      </c>
      <c r="C48" s="256">
        <f t="shared" si="24"/>
        <v>0</v>
      </c>
      <c r="D48" s="256">
        <f t="shared" si="24"/>
        <v>0</v>
      </c>
      <c r="E48" s="257">
        <f>SUM(B45:D45)</f>
        <v>0</v>
      </c>
      <c r="F48" s="256">
        <f t="shared" si="25"/>
        <v>0</v>
      </c>
      <c r="G48" s="256">
        <f t="shared" si="25"/>
        <v>0</v>
      </c>
      <c r="H48" s="256">
        <f t="shared" si="25"/>
        <v>0</v>
      </c>
      <c r="I48" s="257">
        <f>SUM(F45:H45)</f>
        <v>0</v>
      </c>
      <c r="J48" s="256">
        <f t="shared" si="26"/>
        <v>300</v>
      </c>
      <c r="K48" s="256">
        <f t="shared" si="26"/>
        <v>600</v>
      </c>
      <c r="L48" s="256">
        <f t="shared" si="26"/>
        <v>0</v>
      </c>
      <c r="M48" s="257">
        <f>SUM(J45:L45)</f>
        <v>900</v>
      </c>
      <c r="N48" s="256">
        <f t="shared" si="27"/>
        <v>0</v>
      </c>
      <c r="O48" s="256">
        <f t="shared" si="27"/>
        <v>0</v>
      </c>
      <c r="P48" s="256">
        <f t="shared" si="27"/>
        <v>0</v>
      </c>
      <c r="Q48" s="257">
        <f>SUM(N45:P45)</f>
        <v>0</v>
      </c>
      <c r="R48" s="256">
        <f t="shared" si="28"/>
        <v>0</v>
      </c>
      <c r="S48" s="256">
        <f t="shared" si="28"/>
        <v>0</v>
      </c>
      <c r="T48" s="256">
        <f t="shared" si="28"/>
        <v>0</v>
      </c>
      <c r="U48" s="257">
        <f>SUM(R45:T45)</f>
        <v>0</v>
      </c>
      <c r="V48" s="256">
        <f t="shared" si="29"/>
        <v>0</v>
      </c>
      <c r="W48" s="256">
        <f t="shared" si="29"/>
        <v>0</v>
      </c>
      <c r="X48" s="256">
        <f t="shared" si="29"/>
        <v>0</v>
      </c>
      <c r="Y48" s="257">
        <f>SUM(V45:X45)</f>
        <v>0</v>
      </c>
    </row>
    <row r="49" spans="1:25" ht="12.75" hidden="1" customHeight="1" outlineLevel="1" x14ac:dyDescent="0.2">
      <c r="A49" s="97"/>
      <c r="B49" s="6"/>
      <c r="C49" s="6"/>
      <c r="D49" s="6"/>
      <c r="E49" s="97"/>
      <c r="F49" s="6"/>
      <c r="G49" s="6"/>
      <c r="H49" s="6"/>
      <c r="I49" s="97"/>
      <c r="J49" s="6"/>
      <c r="K49" s="6"/>
      <c r="L49" s="6"/>
      <c r="M49" s="97"/>
      <c r="N49" s="6"/>
      <c r="O49" s="6"/>
      <c r="P49" s="6"/>
      <c r="Q49" s="97"/>
      <c r="R49" s="6"/>
      <c r="S49" s="6"/>
      <c r="T49" s="6"/>
      <c r="U49" s="97"/>
      <c r="V49" s="6"/>
      <c r="W49" s="6"/>
      <c r="X49" s="6"/>
      <c r="Y49" s="97"/>
    </row>
    <row r="50" spans="1:25" ht="12.75" hidden="1" customHeight="1" outlineLevel="1" x14ac:dyDescent="0.2">
      <c r="A50" s="191" t="str">
        <f>Labels!B169</f>
        <v>Prof Staff Cost</v>
      </c>
      <c r="B50" s="245"/>
      <c r="C50" s="245"/>
      <c r="D50" s="245"/>
      <c r="E50" s="246"/>
      <c r="F50" s="245"/>
      <c r="G50" s="245"/>
      <c r="H50" s="245"/>
      <c r="I50" s="246"/>
      <c r="J50" s="245"/>
      <c r="K50" s="245"/>
      <c r="L50" s="245"/>
      <c r="M50" s="246"/>
      <c r="N50" s="245"/>
      <c r="O50" s="245"/>
      <c r="P50" s="245"/>
      <c r="Q50" s="246"/>
      <c r="R50" s="245"/>
      <c r="S50" s="245"/>
      <c r="T50" s="245"/>
      <c r="U50" s="246"/>
      <c r="V50" s="245"/>
      <c r="W50" s="245"/>
      <c r="X50" s="245"/>
      <c r="Y50" s="246"/>
    </row>
    <row r="51" spans="1:25" ht="12.75" hidden="1" customHeight="1" outlineLevel="1" x14ac:dyDescent="0.2">
      <c r="A51" s="188" t="str">
        <f>"   "&amp;Labels!B381</f>
        <v xml:space="preserve">   Practice 1</v>
      </c>
      <c r="B51" s="241"/>
      <c r="C51" s="241"/>
      <c r="D51" s="241"/>
      <c r="E51" s="242"/>
      <c r="F51" s="241"/>
      <c r="G51" s="241"/>
      <c r="H51" s="241"/>
      <c r="I51" s="242"/>
      <c r="J51" s="241"/>
      <c r="K51" s="241"/>
      <c r="L51" s="241"/>
      <c r="M51" s="242"/>
      <c r="N51" s="241"/>
      <c r="O51" s="241"/>
      <c r="P51" s="241"/>
      <c r="Q51" s="242"/>
      <c r="R51" s="241"/>
      <c r="S51" s="241"/>
      <c r="T51" s="241"/>
      <c r="U51" s="242"/>
      <c r="V51" s="241"/>
      <c r="W51" s="241"/>
      <c r="X51" s="241"/>
      <c r="Y51" s="242"/>
    </row>
    <row r="52" spans="1:25" ht="12.75" hidden="1" customHeight="1" outlineLevel="1" x14ac:dyDescent="0.2">
      <c r="A52" s="198" t="str">
        <f>"      "&amp;Labels!B385</f>
        <v xml:space="preserve">      Prof Level 1</v>
      </c>
      <c r="B52" s="243">
        <f>'GM CostSvcs'!B521</f>
        <v>0</v>
      </c>
      <c r="C52" s="243">
        <f>'GM CostSvcs'!C521</f>
        <v>0</v>
      </c>
      <c r="D52" s="243">
        <f>'GM CostSvcs'!D521</f>
        <v>0</v>
      </c>
      <c r="E52" s="244">
        <f>SUM(B52:D52)</f>
        <v>0</v>
      </c>
      <c r="F52" s="243">
        <f>'GM CostSvcs'!F521</f>
        <v>0</v>
      </c>
      <c r="G52" s="243">
        <f>'GM CostSvcs'!G521</f>
        <v>0</v>
      </c>
      <c r="H52" s="243">
        <f>'GM CostSvcs'!H521</f>
        <v>0</v>
      </c>
      <c r="I52" s="244">
        <f>SUM(F52:H52)</f>
        <v>0</v>
      </c>
      <c r="J52" s="243">
        <f>'GM CostSvcs'!J521</f>
        <v>10597.834864147502</v>
      </c>
      <c r="K52" s="243">
        <f>'GM CostSvcs'!K521</f>
        <v>21247.943967849627</v>
      </c>
      <c r="L52" s="243">
        <f>'GM CostSvcs'!L521</f>
        <v>0</v>
      </c>
      <c r="M52" s="244">
        <f>SUM(J52:L52)</f>
        <v>31845.77883199713</v>
      </c>
      <c r="N52" s="243">
        <f>'GM CostSvcs'!N521</f>
        <v>0</v>
      </c>
      <c r="O52" s="243">
        <f>'GM CostSvcs'!O521</f>
        <v>0</v>
      </c>
      <c r="P52" s="243">
        <f>'GM CostSvcs'!P521</f>
        <v>0</v>
      </c>
      <c r="Q52" s="244">
        <f>SUM(N52:P52)</f>
        <v>0</v>
      </c>
      <c r="R52" s="243">
        <f>'GM CostSvcs'!R521</f>
        <v>0</v>
      </c>
      <c r="S52" s="243">
        <f>'GM CostSvcs'!S521</f>
        <v>0</v>
      </c>
      <c r="T52" s="243">
        <f>'GM CostSvcs'!T521</f>
        <v>0</v>
      </c>
      <c r="U52" s="244">
        <f>SUM(R52:T52)</f>
        <v>0</v>
      </c>
      <c r="V52" s="243">
        <f>'GM CostSvcs'!V521</f>
        <v>0</v>
      </c>
      <c r="W52" s="243">
        <f>'GM CostSvcs'!W521</f>
        <v>0</v>
      </c>
      <c r="X52" s="243">
        <f>'GM CostSvcs'!X521</f>
        <v>0</v>
      </c>
      <c r="Y52" s="244">
        <f>SUM(V52:X52)</f>
        <v>0</v>
      </c>
    </row>
    <row r="53" spans="1:25" ht="12.75" hidden="1" customHeight="1" outlineLevel="1" x14ac:dyDescent="0.2">
      <c r="A53" s="198" t="str">
        <f>"      "&amp;Labels!B386</f>
        <v xml:space="preserve">      Prof Level 2</v>
      </c>
      <c r="B53" s="243">
        <f>'GM CostSvcs'!B522</f>
        <v>0</v>
      </c>
      <c r="C53" s="243">
        <f>'GM CostSvcs'!C522</f>
        <v>0</v>
      </c>
      <c r="D53" s="243">
        <f>'GM CostSvcs'!D522</f>
        <v>0</v>
      </c>
      <c r="E53" s="244">
        <f>SUM(B53:D53)</f>
        <v>0</v>
      </c>
      <c r="F53" s="243">
        <f>'GM CostSvcs'!F522</f>
        <v>0</v>
      </c>
      <c r="G53" s="243">
        <f>'GM CostSvcs'!G522</f>
        <v>0</v>
      </c>
      <c r="H53" s="243">
        <f>'GM CostSvcs'!H522</f>
        <v>0</v>
      </c>
      <c r="I53" s="244">
        <f>SUM(F53:H53)</f>
        <v>0</v>
      </c>
      <c r="J53" s="243">
        <f>'GM CostSvcs'!J522</f>
        <v>10597.834864147502</v>
      </c>
      <c r="K53" s="243">
        <f>'GM CostSvcs'!K522</f>
        <v>21247.943967849627</v>
      </c>
      <c r="L53" s="243">
        <f>'GM CostSvcs'!L522</f>
        <v>0</v>
      </c>
      <c r="M53" s="244">
        <f>SUM(J53:L53)</f>
        <v>31845.77883199713</v>
      </c>
      <c r="N53" s="243">
        <f>'GM CostSvcs'!N522</f>
        <v>0</v>
      </c>
      <c r="O53" s="243">
        <f>'GM CostSvcs'!O522</f>
        <v>0</v>
      </c>
      <c r="P53" s="243">
        <f>'GM CostSvcs'!P522</f>
        <v>0</v>
      </c>
      <c r="Q53" s="244">
        <f>SUM(N53:P53)</f>
        <v>0</v>
      </c>
      <c r="R53" s="243">
        <f>'GM CostSvcs'!R522</f>
        <v>0</v>
      </c>
      <c r="S53" s="243">
        <f>'GM CostSvcs'!S522</f>
        <v>0</v>
      </c>
      <c r="T53" s="243">
        <f>'GM CostSvcs'!T522</f>
        <v>0</v>
      </c>
      <c r="U53" s="244">
        <f>SUM(R53:T53)</f>
        <v>0</v>
      </c>
      <c r="V53" s="243">
        <f>'GM CostSvcs'!V522</f>
        <v>0</v>
      </c>
      <c r="W53" s="243">
        <f>'GM CostSvcs'!W522</f>
        <v>0</v>
      </c>
      <c r="X53" s="243">
        <f>'GM CostSvcs'!X522</f>
        <v>0</v>
      </c>
      <c r="Y53" s="244">
        <f>SUM(V53:X53)</f>
        <v>0</v>
      </c>
    </row>
    <row r="54" spans="1:25" ht="12.75" hidden="1" customHeight="1" outlineLevel="1" x14ac:dyDescent="0.2">
      <c r="A54" s="188" t="str">
        <f>"      "&amp;Labels!C384</f>
        <v xml:space="preserve">      Total</v>
      </c>
      <c r="B54" s="241">
        <f>SUM(B52:B53)</f>
        <v>0</v>
      </c>
      <c r="C54" s="241">
        <f>SUM(C52:C53)</f>
        <v>0</v>
      </c>
      <c r="D54" s="241">
        <f>SUM(D52:D53)</f>
        <v>0</v>
      </c>
      <c r="E54" s="242">
        <f>SUM(B54:D54)</f>
        <v>0</v>
      </c>
      <c r="F54" s="241">
        <f>SUM(F52:F53)</f>
        <v>0</v>
      </c>
      <c r="G54" s="241">
        <f>SUM(G52:G53)</f>
        <v>0</v>
      </c>
      <c r="H54" s="241">
        <f>SUM(H52:H53)</f>
        <v>0</v>
      </c>
      <c r="I54" s="242">
        <f>SUM(F54:H54)</f>
        <v>0</v>
      </c>
      <c r="J54" s="241">
        <f>SUM(J52:J53)</f>
        <v>21195.669728295004</v>
      </c>
      <c r="K54" s="241">
        <f>SUM(K52:K53)</f>
        <v>42495.887935699255</v>
      </c>
      <c r="L54" s="241">
        <f>SUM(L52:L53)</f>
        <v>0</v>
      </c>
      <c r="M54" s="242">
        <f>SUM(J54:L54)</f>
        <v>63691.557663994259</v>
      </c>
      <c r="N54" s="241">
        <f>SUM(N52:N53)</f>
        <v>0</v>
      </c>
      <c r="O54" s="241">
        <f>SUM(O52:O53)</f>
        <v>0</v>
      </c>
      <c r="P54" s="241">
        <f>SUM(P52:P53)</f>
        <v>0</v>
      </c>
      <c r="Q54" s="242">
        <f>SUM(N54:P54)</f>
        <v>0</v>
      </c>
      <c r="R54" s="241">
        <f>SUM(R52:R53)</f>
        <v>0</v>
      </c>
      <c r="S54" s="241">
        <f>SUM(S52:S53)</f>
        <v>0</v>
      </c>
      <c r="T54" s="241">
        <f>SUM(T52:T53)</f>
        <v>0</v>
      </c>
      <c r="U54" s="242">
        <f>SUM(R54:T54)</f>
        <v>0</v>
      </c>
      <c r="V54" s="241">
        <f>SUM(V52:V53)</f>
        <v>0</v>
      </c>
      <c r="W54" s="241">
        <f>SUM(W52:W53)</f>
        <v>0</v>
      </c>
      <c r="X54" s="241">
        <f>SUM(X52:X53)</f>
        <v>0</v>
      </c>
      <c r="Y54" s="242">
        <f>SUM(V54:X54)</f>
        <v>0</v>
      </c>
    </row>
    <row r="55" spans="1:25" ht="12.75" hidden="1" customHeight="1" outlineLevel="1" x14ac:dyDescent="0.2">
      <c r="A55" s="188" t="str">
        <f>"   "&amp;Labels!B382</f>
        <v xml:space="preserve">   Practice 2</v>
      </c>
      <c r="B55" s="241"/>
      <c r="C55" s="241"/>
      <c r="D55" s="241"/>
      <c r="E55" s="242"/>
      <c r="F55" s="241"/>
      <c r="G55" s="241"/>
      <c r="H55" s="241"/>
      <c r="I55" s="242"/>
      <c r="J55" s="241"/>
      <c r="K55" s="241"/>
      <c r="L55" s="241"/>
      <c r="M55" s="242"/>
      <c r="N55" s="241"/>
      <c r="O55" s="241"/>
      <c r="P55" s="241"/>
      <c r="Q55" s="242"/>
      <c r="R55" s="241"/>
      <c r="S55" s="241"/>
      <c r="T55" s="241"/>
      <c r="U55" s="242"/>
      <c r="V55" s="241"/>
      <c r="W55" s="241"/>
      <c r="X55" s="241"/>
      <c r="Y55" s="242"/>
    </row>
    <row r="56" spans="1:25" ht="12.75" hidden="1" customHeight="1" outlineLevel="1" x14ac:dyDescent="0.2">
      <c r="A56" s="198" t="str">
        <f>"      "&amp;Labels!B385</f>
        <v xml:space="preserve">      Prof Level 1</v>
      </c>
      <c r="B56" s="243">
        <f>'GM CostSvcs'!B525</f>
        <v>0</v>
      </c>
      <c r="C56" s="243">
        <f>'GM CostSvcs'!C525</f>
        <v>0</v>
      </c>
      <c r="D56" s="243">
        <f>'GM CostSvcs'!D525</f>
        <v>0</v>
      </c>
      <c r="E56" s="244">
        <f t="shared" ref="E56:E61" si="30">SUM(B56:D56)</f>
        <v>0</v>
      </c>
      <c r="F56" s="243">
        <f>'GM CostSvcs'!F525</f>
        <v>0</v>
      </c>
      <c r="G56" s="243">
        <f>'GM CostSvcs'!G525</f>
        <v>0</v>
      </c>
      <c r="H56" s="243">
        <f>'GM CostSvcs'!H525</f>
        <v>0</v>
      </c>
      <c r="I56" s="244">
        <f t="shared" ref="I56:I61" si="31">SUM(F56:H56)</f>
        <v>0</v>
      </c>
      <c r="J56" s="243">
        <f>'GM CostSvcs'!J525</f>
        <v>0</v>
      </c>
      <c r="K56" s="243">
        <f>'GM CostSvcs'!K525</f>
        <v>0</v>
      </c>
      <c r="L56" s="243">
        <f>'GM CostSvcs'!L525</f>
        <v>0</v>
      </c>
      <c r="M56" s="244">
        <f t="shared" ref="M56:M61" si="32">SUM(J56:L56)</f>
        <v>0</v>
      </c>
      <c r="N56" s="243">
        <f>'GM CostSvcs'!N525</f>
        <v>0</v>
      </c>
      <c r="O56" s="243">
        <f>'GM CostSvcs'!O525</f>
        <v>0</v>
      </c>
      <c r="P56" s="243">
        <f>'GM CostSvcs'!P525</f>
        <v>0</v>
      </c>
      <c r="Q56" s="244">
        <f t="shared" ref="Q56:Q61" si="33">SUM(N56:P56)</f>
        <v>0</v>
      </c>
      <c r="R56" s="243">
        <f>'GM CostSvcs'!R525</f>
        <v>0</v>
      </c>
      <c r="S56" s="243">
        <f>'GM CostSvcs'!S525</f>
        <v>0</v>
      </c>
      <c r="T56" s="243">
        <f>'GM CostSvcs'!T525</f>
        <v>0</v>
      </c>
      <c r="U56" s="244">
        <f t="shared" ref="U56:U61" si="34">SUM(R56:T56)</f>
        <v>0</v>
      </c>
      <c r="V56" s="243">
        <f>'GM CostSvcs'!V525</f>
        <v>0</v>
      </c>
      <c r="W56" s="243">
        <f>'GM CostSvcs'!W525</f>
        <v>0</v>
      </c>
      <c r="X56" s="243">
        <f>'GM CostSvcs'!X525</f>
        <v>0</v>
      </c>
      <c r="Y56" s="244">
        <f t="shared" ref="Y56:Y61" si="35">SUM(V56:X56)</f>
        <v>0</v>
      </c>
    </row>
    <row r="57" spans="1:25" ht="12.75" hidden="1" customHeight="1" outlineLevel="1" x14ac:dyDescent="0.2">
      <c r="A57" s="198" t="str">
        <f>"      "&amp;Labels!B386</f>
        <v xml:space="preserve">      Prof Level 2</v>
      </c>
      <c r="B57" s="243">
        <f>'GM CostSvcs'!B526</f>
        <v>0</v>
      </c>
      <c r="C57" s="243">
        <f>'GM CostSvcs'!C526</f>
        <v>0</v>
      </c>
      <c r="D57" s="243">
        <f>'GM CostSvcs'!D526</f>
        <v>0</v>
      </c>
      <c r="E57" s="244">
        <f t="shared" si="30"/>
        <v>0</v>
      </c>
      <c r="F57" s="243">
        <f>'GM CostSvcs'!F526</f>
        <v>0</v>
      </c>
      <c r="G57" s="243">
        <f>'GM CostSvcs'!G526</f>
        <v>0</v>
      </c>
      <c r="H57" s="243">
        <f>'GM CostSvcs'!H526</f>
        <v>0</v>
      </c>
      <c r="I57" s="244">
        <f t="shared" si="31"/>
        <v>0</v>
      </c>
      <c r="J57" s="243">
        <f>'GM CostSvcs'!J526</f>
        <v>0</v>
      </c>
      <c r="K57" s="243">
        <f>'GM CostSvcs'!K526</f>
        <v>0</v>
      </c>
      <c r="L57" s="243">
        <f>'GM CostSvcs'!L526</f>
        <v>0</v>
      </c>
      <c r="M57" s="244">
        <f t="shared" si="32"/>
        <v>0</v>
      </c>
      <c r="N57" s="243">
        <f>'GM CostSvcs'!N526</f>
        <v>0</v>
      </c>
      <c r="O57" s="243">
        <f>'GM CostSvcs'!O526</f>
        <v>0</v>
      </c>
      <c r="P57" s="243">
        <f>'GM CostSvcs'!P526</f>
        <v>0</v>
      </c>
      <c r="Q57" s="244">
        <f t="shared" si="33"/>
        <v>0</v>
      </c>
      <c r="R57" s="243">
        <f>'GM CostSvcs'!R526</f>
        <v>0</v>
      </c>
      <c r="S57" s="243">
        <f>'GM CostSvcs'!S526</f>
        <v>0</v>
      </c>
      <c r="T57" s="243">
        <f>'GM CostSvcs'!T526</f>
        <v>0</v>
      </c>
      <c r="U57" s="244">
        <f t="shared" si="34"/>
        <v>0</v>
      </c>
      <c r="V57" s="243">
        <f>'GM CostSvcs'!V526</f>
        <v>0</v>
      </c>
      <c r="W57" s="243">
        <f>'GM CostSvcs'!W526</f>
        <v>0</v>
      </c>
      <c r="X57" s="243">
        <f>'GM CostSvcs'!X526</f>
        <v>0</v>
      </c>
      <c r="Y57" s="244">
        <f t="shared" si="35"/>
        <v>0</v>
      </c>
    </row>
    <row r="58" spans="1:25" ht="12.75" hidden="1" customHeight="1" outlineLevel="1" x14ac:dyDescent="0.2">
      <c r="A58" s="188" t="str">
        <f>"      "&amp;Labels!C384</f>
        <v xml:space="preserve">      Total</v>
      </c>
      <c r="B58" s="241">
        <f>SUM(B56:B57)</f>
        <v>0</v>
      </c>
      <c r="C58" s="241">
        <f>SUM(C56:C57)</f>
        <v>0</v>
      </c>
      <c r="D58" s="241">
        <f>SUM(D56:D57)</f>
        <v>0</v>
      </c>
      <c r="E58" s="242">
        <f t="shared" si="30"/>
        <v>0</v>
      </c>
      <c r="F58" s="241">
        <f>SUM(F56:F57)</f>
        <v>0</v>
      </c>
      <c r="G58" s="241">
        <f>SUM(G56:G57)</f>
        <v>0</v>
      </c>
      <c r="H58" s="241">
        <f>SUM(H56:H57)</f>
        <v>0</v>
      </c>
      <c r="I58" s="242">
        <f t="shared" si="31"/>
        <v>0</v>
      </c>
      <c r="J58" s="241">
        <f>SUM(J56:J57)</f>
        <v>0</v>
      </c>
      <c r="K58" s="241">
        <f>SUM(K56:K57)</f>
        <v>0</v>
      </c>
      <c r="L58" s="241">
        <f>SUM(L56:L57)</f>
        <v>0</v>
      </c>
      <c r="M58" s="242">
        <f t="shared" si="32"/>
        <v>0</v>
      </c>
      <c r="N58" s="241">
        <f>SUM(N56:N57)</f>
        <v>0</v>
      </c>
      <c r="O58" s="241">
        <f>SUM(O56:O57)</f>
        <v>0</v>
      </c>
      <c r="P58" s="241">
        <f>SUM(P56:P57)</f>
        <v>0</v>
      </c>
      <c r="Q58" s="242">
        <f t="shared" si="33"/>
        <v>0</v>
      </c>
      <c r="R58" s="241">
        <f>SUM(R56:R57)</f>
        <v>0</v>
      </c>
      <c r="S58" s="241">
        <f>SUM(S56:S57)</f>
        <v>0</v>
      </c>
      <c r="T58" s="241">
        <f>SUM(T56:T57)</f>
        <v>0</v>
      </c>
      <c r="U58" s="242">
        <f t="shared" si="34"/>
        <v>0</v>
      </c>
      <c r="V58" s="241">
        <f>SUM(V56:V57)</f>
        <v>0</v>
      </c>
      <c r="W58" s="241">
        <f>SUM(W56:W57)</f>
        <v>0</v>
      </c>
      <c r="X58" s="241">
        <f>SUM(X56:X57)</f>
        <v>0</v>
      </c>
      <c r="Y58" s="242">
        <f t="shared" si="35"/>
        <v>0</v>
      </c>
    </row>
    <row r="59" spans="1:25" ht="12.75" hidden="1" customHeight="1" outlineLevel="1" x14ac:dyDescent="0.2">
      <c r="A59" s="191" t="str">
        <f>"   "&amp;Labels!C380</f>
        <v xml:space="preserve">   Total</v>
      </c>
      <c r="B59" s="245">
        <f>SUM(B54,B58)</f>
        <v>0</v>
      </c>
      <c r="C59" s="245">
        <f>SUM(C54,C58)</f>
        <v>0</v>
      </c>
      <c r="D59" s="245">
        <f>SUM(D54,D58)</f>
        <v>0</v>
      </c>
      <c r="E59" s="246">
        <f t="shared" si="30"/>
        <v>0</v>
      </c>
      <c r="F59" s="245">
        <f>SUM(F54,F58)</f>
        <v>0</v>
      </c>
      <c r="G59" s="245">
        <f>SUM(G54,G58)</f>
        <v>0</v>
      </c>
      <c r="H59" s="245">
        <f>SUM(H54,H58)</f>
        <v>0</v>
      </c>
      <c r="I59" s="246">
        <f t="shared" si="31"/>
        <v>0</v>
      </c>
      <c r="J59" s="245">
        <f>SUM(J54,J58)</f>
        <v>21195.669728295004</v>
      </c>
      <c r="K59" s="245">
        <f>SUM(K54,K58)</f>
        <v>42495.887935699255</v>
      </c>
      <c r="L59" s="245">
        <f>SUM(L54,L58)</f>
        <v>0</v>
      </c>
      <c r="M59" s="246">
        <f t="shared" si="32"/>
        <v>63691.557663994259</v>
      </c>
      <c r="N59" s="245">
        <f>SUM(N54,N58)</f>
        <v>0</v>
      </c>
      <c r="O59" s="245">
        <f>SUM(O54,O58)</f>
        <v>0</v>
      </c>
      <c r="P59" s="245">
        <f>SUM(P54,P58)</f>
        <v>0</v>
      </c>
      <c r="Q59" s="246">
        <f t="shared" si="33"/>
        <v>0</v>
      </c>
      <c r="R59" s="245">
        <f>SUM(R54,R58)</f>
        <v>0</v>
      </c>
      <c r="S59" s="245">
        <f>SUM(S54,S58)</f>
        <v>0</v>
      </c>
      <c r="T59" s="245">
        <f>SUM(T54,T58)</f>
        <v>0</v>
      </c>
      <c r="U59" s="246">
        <f t="shared" si="34"/>
        <v>0</v>
      </c>
      <c r="V59" s="245">
        <f>SUM(V54,V58)</f>
        <v>0</v>
      </c>
      <c r="W59" s="245">
        <f>SUM(W54,W58)</f>
        <v>0</v>
      </c>
      <c r="X59" s="245">
        <f>SUM(X54,X58)</f>
        <v>0</v>
      </c>
      <c r="Y59" s="246">
        <f t="shared" si="35"/>
        <v>0</v>
      </c>
    </row>
    <row r="60" spans="1:25" ht="12.75" hidden="1" customHeight="1" outlineLevel="1" x14ac:dyDescent="0.2">
      <c r="A60" s="198" t="str">
        <f>"      "&amp;Labels!B385</f>
        <v xml:space="preserve">      Prof Level 1</v>
      </c>
      <c r="B60" s="243">
        <f t="shared" ref="B60:D62" si="36">SUM(B52,B56)</f>
        <v>0</v>
      </c>
      <c r="C60" s="243">
        <f t="shared" si="36"/>
        <v>0</v>
      </c>
      <c r="D60" s="243">
        <f t="shared" si="36"/>
        <v>0</v>
      </c>
      <c r="E60" s="244">
        <f t="shared" si="30"/>
        <v>0</v>
      </c>
      <c r="F60" s="243">
        <f t="shared" ref="F60:H62" si="37">SUM(F52,F56)</f>
        <v>0</v>
      </c>
      <c r="G60" s="243">
        <f t="shared" si="37"/>
        <v>0</v>
      </c>
      <c r="H60" s="243">
        <f t="shared" si="37"/>
        <v>0</v>
      </c>
      <c r="I60" s="244">
        <f t="shared" si="31"/>
        <v>0</v>
      </c>
      <c r="J60" s="243">
        <f t="shared" ref="J60:L62" si="38">SUM(J52,J56)</f>
        <v>10597.834864147502</v>
      </c>
      <c r="K60" s="243">
        <f t="shared" si="38"/>
        <v>21247.943967849627</v>
      </c>
      <c r="L60" s="243">
        <f t="shared" si="38"/>
        <v>0</v>
      </c>
      <c r="M60" s="244">
        <f t="shared" si="32"/>
        <v>31845.77883199713</v>
      </c>
      <c r="N60" s="243">
        <f t="shared" ref="N60:P62" si="39">SUM(N52,N56)</f>
        <v>0</v>
      </c>
      <c r="O60" s="243">
        <f t="shared" si="39"/>
        <v>0</v>
      </c>
      <c r="P60" s="243">
        <f t="shared" si="39"/>
        <v>0</v>
      </c>
      <c r="Q60" s="244">
        <f t="shared" si="33"/>
        <v>0</v>
      </c>
      <c r="R60" s="243">
        <f t="shared" ref="R60:T62" si="40">SUM(R52,R56)</f>
        <v>0</v>
      </c>
      <c r="S60" s="243">
        <f t="shared" si="40"/>
        <v>0</v>
      </c>
      <c r="T60" s="243">
        <f t="shared" si="40"/>
        <v>0</v>
      </c>
      <c r="U60" s="244">
        <f t="shared" si="34"/>
        <v>0</v>
      </c>
      <c r="V60" s="243">
        <f t="shared" ref="V60:X62" si="41">SUM(V52,V56)</f>
        <v>0</v>
      </c>
      <c r="W60" s="243">
        <f t="shared" si="41"/>
        <v>0</v>
      </c>
      <c r="X60" s="243">
        <f t="shared" si="41"/>
        <v>0</v>
      </c>
      <c r="Y60" s="244">
        <f t="shared" si="35"/>
        <v>0</v>
      </c>
    </row>
    <row r="61" spans="1:25" ht="12.75" hidden="1" customHeight="1" outlineLevel="1" x14ac:dyDescent="0.2">
      <c r="A61" s="198" t="str">
        <f>"      "&amp;Labels!B386</f>
        <v xml:space="preserve">      Prof Level 2</v>
      </c>
      <c r="B61" s="243">
        <f t="shared" si="36"/>
        <v>0</v>
      </c>
      <c r="C61" s="243">
        <f t="shared" si="36"/>
        <v>0</v>
      </c>
      <c r="D61" s="243">
        <f t="shared" si="36"/>
        <v>0</v>
      </c>
      <c r="E61" s="244">
        <f t="shared" si="30"/>
        <v>0</v>
      </c>
      <c r="F61" s="243">
        <f t="shared" si="37"/>
        <v>0</v>
      </c>
      <c r="G61" s="243">
        <f t="shared" si="37"/>
        <v>0</v>
      </c>
      <c r="H61" s="243">
        <f t="shared" si="37"/>
        <v>0</v>
      </c>
      <c r="I61" s="244">
        <f t="shared" si="31"/>
        <v>0</v>
      </c>
      <c r="J61" s="243">
        <f t="shared" si="38"/>
        <v>10597.834864147502</v>
      </c>
      <c r="K61" s="243">
        <f t="shared" si="38"/>
        <v>21247.943967849627</v>
      </c>
      <c r="L61" s="243">
        <f t="shared" si="38"/>
        <v>0</v>
      </c>
      <c r="M61" s="244">
        <f t="shared" si="32"/>
        <v>31845.77883199713</v>
      </c>
      <c r="N61" s="243">
        <f t="shared" si="39"/>
        <v>0</v>
      </c>
      <c r="O61" s="243">
        <f t="shared" si="39"/>
        <v>0</v>
      </c>
      <c r="P61" s="243">
        <f t="shared" si="39"/>
        <v>0</v>
      </c>
      <c r="Q61" s="244">
        <f t="shared" si="33"/>
        <v>0</v>
      </c>
      <c r="R61" s="243">
        <f t="shared" si="40"/>
        <v>0</v>
      </c>
      <c r="S61" s="243">
        <f t="shared" si="40"/>
        <v>0</v>
      </c>
      <c r="T61" s="243">
        <f t="shared" si="40"/>
        <v>0</v>
      </c>
      <c r="U61" s="244">
        <f t="shared" si="34"/>
        <v>0</v>
      </c>
      <c r="V61" s="243">
        <f t="shared" si="41"/>
        <v>0</v>
      </c>
      <c r="W61" s="243">
        <f t="shared" si="41"/>
        <v>0</v>
      </c>
      <c r="X61" s="243">
        <f t="shared" si="41"/>
        <v>0</v>
      </c>
      <c r="Y61" s="244">
        <f t="shared" si="35"/>
        <v>0</v>
      </c>
    </row>
    <row r="62" spans="1:25" ht="12.75" hidden="1" customHeight="1" outlineLevel="1" x14ac:dyDescent="0.2">
      <c r="A62" s="220" t="str">
        <f>"      "&amp;Labels!C384</f>
        <v xml:space="preserve">      Total</v>
      </c>
      <c r="B62" s="320">
        <f t="shared" si="36"/>
        <v>0</v>
      </c>
      <c r="C62" s="320">
        <f t="shared" si="36"/>
        <v>0</v>
      </c>
      <c r="D62" s="320">
        <f t="shared" si="36"/>
        <v>0</v>
      </c>
      <c r="E62" s="321">
        <f>SUM(B59:D59)</f>
        <v>0</v>
      </c>
      <c r="F62" s="320">
        <f t="shared" si="37"/>
        <v>0</v>
      </c>
      <c r="G62" s="320">
        <f t="shared" si="37"/>
        <v>0</v>
      </c>
      <c r="H62" s="320">
        <f t="shared" si="37"/>
        <v>0</v>
      </c>
      <c r="I62" s="321">
        <f>SUM(F59:H59)</f>
        <v>0</v>
      </c>
      <c r="J62" s="320">
        <f t="shared" si="38"/>
        <v>21195.669728295004</v>
      </c>
      <c r="K62" s="320">
        <f t="shared" si="38"/>
        <v>42495.887935699255</v>
      </c>
      <c r="L62" s="320">
        <f t="shared" si="38"/>
        <v>0</v>
      </c>
      <c r="M62" s="321">
        <f>SUM(J59:L59)</f>
        <v>63691.557663994259</v>
      </c>
      <c r="N62" s="320">
        <f t="shared" si="39"/>
        <v>0</v>
      </c>
      <c r="O62" s="320">
        <f t="shared" si="39"/>
        <v>0</v>
      </c>
      <c r="P62" s="320">
        <f t="shared" si="39"/>
        <v>0</v>
      </c>
      <c r="Q62" s="321">
        <f>SUM(N59:P59)</f>
        <v>0</v>
      </c>
      <c r="R62" s="320">
        <f t="shared" si="40"/>
        <v>0</v>
      </c>
      <c r="S62" s="320">
        <f t="shared" si="40"/>
        <v>0</v>
      </c>
      <c r="T62" s="320">
        <f t="shared" si="40"/>
        <v>0</v>
      </c>
      <c r="U62" s="321">
        <f>SUM(R59:T59)</f>
        <v>0</v>
      </c>
      <c r="V62" s="320">
        <f t="shared" si="41"/>
        <v>0</v>
      </c>
      <c r="W62" s="320">
        <f t="shared" si="41"/>
        <v>0</v>
      </c>
      <c r="X62" s="320">
        <f t="shared" si="41"/>
        <v>0</v>
      </c>
      <c r="Y62" s="321">
        <f>SUM(V59:X59)</f>
        <v>0</v>
      </c>
    </row>
    <row r="63" spans="1:25" ht="12.75" hidden="1" customHeight="1" outlineLevel="1" collapsed="1" x14ac:dyDescent="0.2"/>
    <row r="64" spans="1:25" ht="12.75" customHeight="1" collapsed="1" x14ac:dyDescent="0.2"/>
    <row r="65" spans="1:25" ht="12.75" customHeight="1" collapsed="1" x14ac:dyDescent="0.2">
      <c r="A65" s="464" t="str">
        <f>"Professional Staff Utilization"</f>
        <v>Professional Staff Utilization</v>
      </c>
      <c r="B65" s="464"/>
    </row>
    <row r="66" spans="1:25" ht="12.75" hidden="1" customHeight="1" outlineLevel="1" x14ac:dyDescent="0.2">
      <c r="A66" s="464" t="str">
        <f>""</f>
        <v/>
      </c>
      <c r="B66" s="464"/>
    </row>
    <row r="67" spans="1:25" ht="12.75" hidden="1" customHeight="1" outlineLevel="1" x14ac:dyDescent="0.2">
      <c r="B67" s="9" t="str">
        <f>'(FnCalls 1)'!F41</f>
        <v>MMM 2010</v>
      </c>
      <c r="C67" s="10" t="str">
        <f>'(FnCalls 1)'!F42</f>
        <v>MMM 2010</v>
      </c>
      <c r="D67" s="10" t="str">
        <f>'(FnCalls 1)'!F43</f>
        <v>MMM 2010</v>
      </c>
      <c r="E67" s="181" t="str">
        <f>'(FnCalls 1)'!G41</f>
        <v>Q1 2010</v>
      </c>
      <c r="F67" s="10" t="str">
        <f>'(FnCalls 1)'!F44</f>
        <v>MMM 2010</v>
      </c>
      <c r="G67" s="10" t="str">
        <f>'(FnCalls 1)'!F45</f>
        <v>MMM 2010</v>
      </c>
      <c r="H67" s="10" t="str">
        <f>'(FnCalls 1)'!F46</f>
        <v>MMM 2010</v>
      </c>
      <c r="I67" s="181" t="str">
        <f>'(FnCalls 1)'!G44</f>
        <v>Q2 2010</v>
      </c>
      <c r="J67" s="10" t="str">
        <f>'(FnCalls 1)'!F47</f>
        <v>MMM 2010</v>
      </c>
      <c r="K67" s="10" t="str">
        <f>'(FnCalls 1)'!F48</f>
        <v>MMM 2010</v>
      </c>
      <c r="L67" s="10" t="str">
        <f>'(FnCalls 1)'!F49</f>
        <v>MMM 2010</v>
      </c>
      <c r="M67" s="181" t="str">
        <f>'(FnCalls 1)'!G47</f>
        <v>Q3 2010</v>
      </c>
      <c r="N67" s="10" t="str">
        <f>'(FnCalls 1)'!F50</f>
        <v>MMM 2010</v>
      </c>
      <c r="O67" s="10" t="str">
        <f>'(FnCalls 1)'!F51</f>
        <v>MMM 2010</v>
      </c>
      <c r="P67" s="10" t="str">
        <f>'(FnCalls 1)'!F52</f>
        <v>MMM 2010</v>
      </c>
      <c r="Q67" s="181" t="str">
        <f>'(FnCalls 1)'!G50</f>
        <v>Q4 2010</v>
      </c>
      <c r="R67" s="10" t="str">
        <f>'(FnCalls 1)'!F53</f>
        <v>MMM 2011</v>
      </c>
      <c r="S67" s="10" t="str">
        <f>'(FnCalls 1)'!F54</f>
        <v>MMM 2011</v>
      </c>
      <c r="T67" s="10" t="str">
        <f>'(FnCalls 1)'!F55</f>
        <v>MMM 2011</v>
      </c>
      <c r="U67" s="181" t="str">
        <f>'(FnCalls 1)'!G53</f>
        <v>Q1 2011</v>
      </c>
      <c r="V67" s="10" t="str">
        <f>'(FnCalls 1)'!F56</f>
        <v>MMM 2011</v>
      </c>
      <c r="W67" s="10" t="str">
        <f>'(FnCalls 1)'!F57</f>
        <v>MMM 2011</v>
      </c>
      <c r="X67" s="10" t="str">
        <f>'(FnCalls 1)'!F58</f>
        <v>MMM 2011</v>
      </c>
      <c r="Y67" s="181" t="str">
        <f>'(FnCalls 1)'!G56</f>
        <v>Q2 2011</v>
      </c>
    </row>
    <row r="68" spans="1:25" ht="12.75" hidden="1" customHeight="1" outlineLevel="1" x14ac:dyDescent="0.2">
      <c r="A68" s="182" t="str">
        <f>Labels!B209</f>
        <v>Professional Staff Utilization %</v>
      </c>
      <c r="B68" s="207"/>
      <c r="C68" s="207"/>
      <c r="D68" s="207"/>
      <c r="E68" s="208"/>
      <c r="F68" s="207"/>
      <c r="G68" s="207"/>
      <c r="H68" s="207"/>
      <c r="I68" s="208"/>
      <c r="J68" s="207"/>
      <c r="K68" s="207"/>
      <c r="L68" s="207"/>
      <c r="M68" s="208"/>
      <c r="N68" s="207"/>
      <c r="O68" s="207"/>
      <c r="P68" s="207"/>
      <c r="Q68" s="208"/>
      <c r="R68" s="207"/>
      <c r="S68" s="207"/>
      <c r="T68" s="207"/>
      <c r="U68" s="208"/>
      <c r="V68" s="207"/>
      <c r="W68" s="207"/>
      <c r="X68" s="207"/>
      <c r="Y68" s="208"/>
    </row>
    <row r="69" spans="1:25" ht="12.75" hidden="1" customHeight="1" outlineLevel="1" x14ac:dyDescent="0.2">
      <c r="A69" s="188" t="str">
        <f>"   "&amp;Labels!B381</f>
        <v xml:space="preserve">   Practice 1</v>
      </c>
      <c r="B69" s="218"/>
      <c r="C69" s="218"/>
      <c r="D69" s="218"/>
      <c r="E69" s="219"/>
      <c r="F69" s="218"/>
      <c r="G69" s="218"/>
      <c r="H69" s="218"/>
      <c r="I69" s="219"/>
      <c r="J69" s="218"/>
      <c r="K69" s="218"/>
      <c r="L69" s="218"/>
      <c r="M69" s="219"/>
      <c r="N69" s="218"/>
      <c r="O69" s="218"/>
      <c r="P69" s="218"/>
      <c r="Q69" s="219"/>
      <c r="R69" s="218"/>
      <c r="S69" s="218"/>
      <c r="T69" s="218"/>
      <c r="U69" s="219"/>
      <c r="V69" s="218"/>
      <c r="W69" s="218"/>
      <c r="X69" s="218"/>
      <c r="Y69" s="219"/>
    </row>
    <row r="70" spans="1:25" ht="12.75" hidden="1" customHeight="1" outlineLevel="1" x14ac:dyDescent="0.2">
      <c r="A70" s="198" t="str">
        <f>"      "&amp;Labels!B385</f>
        <v xml:space="preserve">      Prof Level 1</v>
      </c>
      <c r="B70" s="233" t="str">
        <f>'GM CostSvcs'!B319</f>
        <v xml:space="preserve"> </v>
      </c>
      <c r="C70" s="233" t="str">
        <f>'GM CostSvcs'!C319</f>
        <v xml:space="preserve"> </v>
      </c>
      <c r="D70" s="233" t="str">
        <f>'GM CostSvcs'!D319</f>
        <v xml:space="preserve"> </v>
      </c>
      <c r="E70" s="234" t="str">
        <f>IF(SUM(B38:D38)=0," ",SUM(B175:D175)/SUM(B38:D38))</f>
        <v xml:space="preserve"> </v>
      </c>
      <c r="F70" s="233" t="str">
        <f>'GM CostSvcs'!F319</f>
        <v xml:space="preserve"> </v>
      </c>
      <c r="G70" s="233" t="str">
        <f>'GM CostSvcs'!G319</f>
        <v xml:space="preserve"> </v>
      </c>
      <c r="H70" s="233" t="str">
        <f>'GM CostSvcs'!H319</f>
        <v xml:space="preserve"> </v>
      </c>
      <c r="I70" s="234" t="str">
        <f>IF(SUM(F38:H38)=0," ",SUM(F175:H175)/SUM(F38:H38))</f>
        <v xml:space="preserve"> </v>
      </c>
      <c r="J70" s="233">
        <f>'GM CostSvcs'!J319</f>
        <v>1.3333333333333333</v>
      </c>
      <c r="K70" s="233">
        <f>'GM CostSvcs'!K319</f>
        <v>0.66666666666666663</v>
      </c>
      <c r="L70" s="233" t="str">
        <f>'GM CostSvcs'!L319</f>
        <v xml:space="preserve"> </v>
      </c>
      <c r="M70" s="234">
        <f>IF(SUM(J38:L38)=0," ",SUM(J175:L175)/SUM(J38:L38))</f>
        <v>0.88888888888888884</v>
      </c>
      <c r="N70" s="233" t="str">
        <f>'GM CostSvcs'!N319</f>
        <v xml:space="preserve"> </v>
      </c>
      <c r="O70" s="233" t="str">
        <f>'GM CostSvcs'!O319</f>
        <v xml:space="preserve"> </v>
      </c>
      <c r="P70" s="233" t="str">
        <f>'GM CostSvcs'!P319</f>
        <v xml:space="preserve"> </v>
      </c>
      <c r="Q70" s="234" t="str">
        <f>IF(SUM(N38:P38)=0," ",SUM(N175:P175)/SUM(N38:P38))</f>
        <v xml:space="preserve"> </v>
      </c>
      <c r="R70" s="233" t="str">
        <f>'GM CostSvcs'!R319</f>
        <v xml:space="preserve"> </v>
      </c>
      <c r="S70" s="233" t="str">
        <f>'GM CostSvcs'!S319</f>
        <v xml:space="preserve"> </v>
      </c>
      <c r="T70" s="233" t="str">
        <f>'GM CostSvcs'!T319</f>
        <v xml:space="preserve"> </v>
      </c>
      <c r="U70" s="234" t="str">
        <f>IF(SUM(R38:T38)=0," ",SUM(R175:T175)/SUM(R38:T38))</f>
        <v xml:space="preserve"> </v>
      </c>
      <c r="V70" s="233" t="str">
        <f>'GM CostSvcs'!V319</f>
        <v xml:space="preserve"> </v>
      </c>
      <c r="W70" s="233" t="str">
        <f>'GM CostSvcs'!W319</f>
        <v xml:space="preserve"> </v>
      </c>
      <c r="X70" s="233" t="str">
        <f>'GM CostSvcs'!X319</f>
        <v xml:space="preserve"> </v>
      </c>
      <c r="Y70" s="234" t="str">
        <f>IF(SUM(V38:X38)=0," ",SUM(V175:X175)/SUM(V38:X38))</f>
        <v xml:space="preserve"> </v>
      </c>
    </row>
    <row r="71" spans="1:25" ht="12.75" hidden="1" customHeight="1" outlineLevel="1" x14ac:dyDescent="0.2">
      <c r="A71" s="198" t="str">
        <f>"      "&amp;Labels!B386</f>
        <v xml:space="preserve">      Prof Level 2</v>
      </c>
      <c r="B71" s="233" t="str">
        <f>'GM CostSvcs'!B320</f>
        <v xml:space="preserve"> </v>
      </c>
      <c r="C71" s="233" t="str">
        <f>'GM CostSvcs'!C320</f>
        <v xml:space="preserve"> </v>
      </c>
      <c r="D71" s="233" t="str">
        <f>'GM CostSvcs'!D320</f>
        <v xml:space="preserve"> </v>
      </c>
      <c r="E71" s="234" t="str">
        <f>IF(SUM(B39:D39)=0," ",SUM(B176:D176)/SUM(B39:D39))</f>
        <v xml:space="preserve"> </v>
      </c>
      <c r="F71" s="233" t="str">
        <f>'GM CostSvcs'!F320</f>
        <v xml:space="preserve"> </v>
      </c>
      <c r="G71" s="233" t="str">
        <f>'GM CostSvcs'!G320</f>
        <v xml:space="preserve"> </v>
      </c>
      <c r="H71" s="233" t="str">
        <f>'GM CostSvcs'!H320</f>
        <v xml:space="preserve"> </v>
      </c>
      <c r="I71" s="234" t="str">
        <f>IF(SUM(F39:H39)=0," ",SUM(F176:H176)/SUM(F39:H39))</f>
        <v xml:space="preserve"> </v>
      </c>
      <c r="J71" s="233">
        <f>'GM CostSvcs'!J320</f>
        <v>1.3333333333333333</v>
      </c>
      <c r="K71" s="233">
        <f>'GM CostSvcs'!K320</f>
        <v>0.66666666666666663</v>
      </c>
      <c r="L71" s="233" t="str">
        <f>'GM CostSvcs'!L320</f>
        <v xml:space="preserve"> </v>
      </c>
      <c r="M71" s="234">
        <f>IF(SUM(J39:L39)=0," ",SUM(J176:L176)/SUM(J39:L39))</f>
        <v>0.88888888888888884</v>
      </c>
      <c r="N71" s="233" t="str">
        <f>'GM CostSvcs'!N320</f>
        <v xml:space="preserve"> </v>
      </c>
      <c r="O71" s="233" t="str">
        <f>'GM CostSvcs'!O320</f>
        <v xml:space="preserve"> </v>
      </c>
      <c r="P71" s="233" t="str">
        <f>'GM CostSvcs'!P320</f>
        <v xml:space="preserve"> </v>
      </c>
      <c r="Q71" s="234" t="str">
        <f>IF(SUM(N39:P39)=0," ",SUM(N176:P176)/SUM(N39:P39))</f>
        <v xml:space="preserve"> </v>
      </c>
      <c r="R71" s="233" t="str">
        <f>'GM CostSvcs'!R320</f>
        <v xml:space="preserve"> </v>
      </c>
      <c r="S71" s="233" t="str">
        <f>'GM CostSvcs'!S320</f>
        <v xml:space="preserve"> </v>
      </c>
      <c r="T71" s="233" t="str">
        <f>'GM CostSvcs'!T320</f>
        <v xml:space="preserve"> </v>
      </c>
      <c r="U71" s="234" t="str">
        <f>IF(SUM(R39:T39)=0," ",SUM(R176:T176)/SUM(R39:T39))</f>
        <v xml:space="preserve"> </v>
      </c>
      <c r="V71" s="233" t="str">
        <f>'GM CostSvcs'!V320</f>
        <v xml:space="preserve"> </v>
      </c>
      <c r="W71" s="233" t="str">
        <f>'GM CostSvcs'!W320</f>
        <v xml:space="preserve"> </v>
      </c>
      <c r="X71" s="233" t="str">
        <f>'GM CostSvcs'!X320</f>
        <v xml:space="preserve"> </v>
      </c>
      <c r="Y71" s="234" t="str">
        <f>IF(SUM(V39:X39)=0," ",SUM(V176:X176)/SUM(V39:X39))</f>
        <v xml:space="preserve"> </v>
      </c>
    </row>
    <row r="72" spans="1:25" ht="12.75" hidden="1" customHeight="1" outlineLevel="1" x14ac:dyDescent="0.2">
      <c r="A72" s="188" t="str">
        <f>"      "&amp;Labels!C384</f>
        <v xml:space="preserve">      Total</v>
      </c>
      <c r="B72" s="218" t="str">
        <f>IF(B40=0," ",B177/B40)</f>
        <v xml:space="preserve"> </v>
      </c>
      <c r="C72" s="218" t="str">
        <f>IF(C40=0," ",C177/C40)</f>
        <v xml:space="preserve"> </v>
      </c>
      <c r="D72" s="218" t="str">
        <f>IF(D40=0," ",D177/D40)</f>
        <v xml:space="preserve"> </v>
      </c>
      <c r="E72" s="219" t="str">
        <f>IF(SUM(B40:D40)=0," ",SUM(B177:D177)/SUM(B40:D40))</f>
        <v xml:space="preserve"> </v>
      </c>
      <c r="F72" s="218" t="str">
        <f>IF(F40=0," ",F177/F40)</f>
        <v xml:space="preserve"> </v>
      </c>
      <c r="G72" s="218" t="str">
        <f>IF(G40=0," ",G177/G40)</f>
        <v xml:space="preserve"> </v>
      </c>
      <c r="H72" s="218" t="str">
        <f>IF(H40=0," ",H177/H40)</f>
        <v xml:space="preserve"> </v>
      </c>
      <c r="I72" s="219" t="str">
        <f>IF(SUM(F40:H40)=0," ",SUM(F177:H177)/SUM(F40:H40))</f>
        <v xml:space="preserve"> </v>
      </c>
      <c r="J72" s="218">
        <f>IF(J40=0," ",J177/J40)</f>
        <v>1.3333333333333333</v>
      </c>
      <c r="K72" s="218">
        <f>IF(K40=0," ",K177/K40)</f>
        <v>0.66666666666666663</v>
      </c>
      <c r="L72" s="218" t="str">
        <f>IF(L40=0," ",L177/L40)</f>
        <v xml:space="preserve"> </v>
      </c>
      <c r="M72" s="219">
        <f>IF(SUM(J40:L40)=0," ",SUM(J177:L177)/SUM(J40:L40))</f>
        <v>0.88888888888888884</v>
      </c>
      <c r="N72" s="218" t="str">
        <f>IF(N40=0," ",N177/N40)</f>
        <v xml:space="preserve"> </v>
      </c>
      <c r="O72" s="218" t="str">
        <f>IF(O40=0," ",O177/O40)</f>
        <v xml:space="preserve"> </v>
      </c>
      <c r="P72" s="218" t="str">
        <f>IF(P40=0," ",P177/P40)</f>
        <v xml:space="preserve"> </v>
      </c>
      <c r="Q72" s="219" t="str">
        <f>IF(SUM(N40:P40)=0," ",SUM(N177:P177)/SUM(N40:P40))</f>
        <v xml:space="preserve"> </v>
      </c>
      <c r="R72" s="218" t="str">
        <f>IF(R40=0," ",R177/R40)</f>
        <v xml:space="preserve"> </v>
      </c>
      <c r="S72" s="218" t="str">
        <f>IF(S40=0," ",S177/S40)</f>
        <v xml:space="preserve"> </v>
      </c>
      <c r="T72" s="218" t="str">
        <f>IF(T40=0," ",T177/T40)</f>
        <v xml:space="preserve"> </v>
      </c>
      <c r="U72" s="219" t="str">
        <f>IF(SUM(R40:T40)=0," ",SUM(R177:T177)/SUM(R40:T40))</f>
        <v xml:space="preserve"> </v>
      </c>
      <c r="V72" s="218" t="str">
        <f>IF(V40=0," ",V177/V40)</f>
        <v xml:space="preserve"> </v>
      </c>
      <c r="W72" s="218" t="str">
        <f>IF(W40=0," ",W177/W40)</f>
        <v xml:space="preserve"> </v>
      </c>
      <c r="X72" s="218" t="str">
        <f>IF(X40=0," ",X177/X40)</f>
        <v xml:space="preserve"> </v>
      </c>
      <c r="Y72" s="219" t="str">
        <f>IF(SUM(V40:X40)=0," ",SUM(V177:X177)/SUM(V40:X40))</f>
        <v xml:space="preserve"> </v>
      </c>
    </row>
    <row r="73" spans="1:25" ht="12.75" hidden="1" customHeight="1" outlineLevel="1" x14ac:dyDescent="0.2">
      <c r="A73" s="188" t="str">
        <f>"   "&amp;Labels!B382</f>
        <v xml:space="preserve">   Practice 2</v>
      </c>
      <c r="B73" s="218"/>
      <c r="C73" s="218"/>
      <c r="D73" s="218"/>
      <c r="E73" s="219"/>
      <c r="F73" s="218"/>
      <c r="G73" s="218"/>
      <c r="H73" s="218"/>
      <c r="I73" s="219"/>
      <c r="J73" s="218"/>
      <c r="K73" s="218"/>
      <c r="L73" s="218"/>
      <c r="M73" s="219"/>
      <c r="N73" s="218"/>
      <c r="O73" s="218"/>
      <c r="P73" s="218"/>
      <c r="Q73" s="219"/>
      <c r="R73" s="218"/>
      <c r="S73" s="218"/>
      <c r="T73" s="218"/>
      <c r="U73" s="219"/>
      <c r="V73" s="218"/>
      <c r="W73" s="218"/>
      <c r="X73" s="218"/>
      <c r="Y73" s="219"/>
    </row>
    <row r="74" spans="1:25" ht="12.75" hidden="1" customHeight="1" outlineLevel="1" x14ac:dyDescent="0.2">
      <c r="A74" s="198" t="str">
        <f>"      "&amp;Labels!B385</f>
        <v xml:space="preserve">      Prof Level 1</v>
      </c>
      <c r="B74" s="233" t="str">
        <f>'GM CostSvcs'!B323</f>
        <v xml:space="preserve"> </v>
      </c>
      <c r="C74" s="233" t="str">
        <f>'GM CostSvcs'!C323</f>
        <v xml:space="preserve"> </v>
      </c>
      <c r="D74" s="233" t="str">
        <f>'GM CostSvcs'!D323</f>
        <v xml:space="preserve"> </v>
      </c>
      <c r="E74" s="234" t="str">
        <f t="shared" ref="E74:E79" si="42">IF(SUM(B42:D42)=0," ",SUM(B179:D179)/SUM(B42:D42))</f>
        <v xml:space="preserve"> </v>
      </c>
      <c r="F74" s="233" t="str">
        <f>'GM CostSvcs'!F323</f>
        <v xml:space="preserve"> </v>
      </c>
      <c r="G74" s="233" t="str">
        <f>'GM CostSvcs'!G323</f>
        <v xml:space="preserve"> </v>
      </c>
      <c r="H74" s="233" t="str">
        <f>'GM CostSvcs'!H323</f>
        <v xml:space="preserve"> </v>
      </c>
      <c r="I74" s="234" t="str">
        <f t="shared" ref="I74:I79" si="43">IF(SUM(F42:H42)=0," ",SUM(F179:H179)/SUM(F42:H42))</f>
        <v xml:space="preserve"> </v>
      </c>
      <c r="J74" s="233" t="str">
        <f>'GM CostSvcs'!J323</f>
        <v xml:space="preserve"> </v>
      </c>
      <c r="K74" s="233" t="str">
        <f>'GM CostSvcs'!K323</f>
        <v xml:space="preserve"> </v>
      </c>
      <c r="L74" s="233" t="str">
        <f>'GM CostSvcs'!L323</f>
        <v xml:space="preserve"> </v>
      </c>
      <c r="M74" s="234" t="str">
        <f t="shared" ref="M74:M79" si="44">IF(SUM(J42:L42)=0," ",SUM(J179:L179)/SUM(J42:L42))</f>
        <v xml:space="preserve"> </v>
      </c>
      <c r="N74" s="233" t="str">
        <f>'GM CostSvcs'!N323</f>
        <v xml:space="preserve"> </v>
      </c>
      <c r="O74" s="233" t="str">
        <f>'GM CostSvcs'!O323</f>
        <v xml:space="preserve"> </v>
      </c>
      <c r="P74" s="233" t="str">
        <f>'GM CostSvcs'!P323</f>
        <v xml:space="preserve"> </v>
      </c>
      <c r="Q74" s="234" t="str">
        <f t="shared" ref="Q74:Q79" si="45">IF(SUM(N42:P42)=0," ",SUM(N179:P179)/SUM(N42:P42))</f>
        <v xml:space="preserve"> </v>
      </c>
      <c r="R74" s="233" t="str">
        <f>'GM CostSvcs'!R323</f>
        <v xml:space="preserve"> </v>
      </c>
      <c r="S74" s="233" t="str">
        <f>'GM CostSvcs'!S323</f>
        <v xml:space="preserve"> </v>
      </c>
      <c r="T74" s="233" t="str">
        <f>'GM CostSvcs'!T323</f>
        <v xml:space="preserve"> </v>
      </c>
      <c r="U74" s="234" t="str">
        <f t="shared" ref="U74:U79" si="46">IF(SUM(R42:T42)=0," ",SUM(R179:T179)/SUM(R42:T42))</f>
        <v xml:space="preserve"> </v>
      </c>
      <c r="V74" s="233" t="str">
        <f>'GM CostSvcs'!V323</f>
        <v xml:space="preserve"> </v>
      </c>
      <c r="W74" s="233" t="str">
        <f>'GM CostSvcs'!W323</f>
        <v xml:space="preserve"> </v>
      </c>
      <c r="X74" s="233" t="str">
        <f>'GM CostSvcs'!X323</f>
        <v xml:space="preserve"> </v>
      </c>
      <c r="Y74" s="234" t="str">
        <f t="shared" ref="Y74:Y79" si="47">IF(SUM(V42:X42)=0," ",SUM(V179:X179)/SUM(V42:X42))</f>
        <v xml:space="preserve"> </v>
      </c>
    </row>
    <row r="75" spans="1:25" ht="12.75" hidden="1" customHeight="1" outlineLevel="1" x14ac:dyDescent="0.2">
      <c r="A75" s="198" t="str">
        <f>"      "&amp;Labels!B386</f>
        <v xml:space="preserve">      Prof Level 2</v>
      </c>
      <c r="B75" s="233" t="str">
        <f>'GM CostSvcs'!B324</f>
        <v xml:space="preserve"> </v>
      </c>
      <c r="C75" s="233" t="str">
        <f>'GM CostSvcs'!C324</f>
        <v xml:space="preserve"> </v>
      </c>
      <c r="D75" s="233" t="str">
        <f>'GM CostSvcs'!D324</f>
        <v xml:space="preserve"> </v>
      </c>
      <c r="E75" s="234" t="str">
        <f t="shared" si="42"/>
        <v xml:space="preserve"> </v>
      </c>
      <c r="F75" s="233" t="str">
        <f>'GM CostSvcs'!F324</f>
        <v xml:space="preserve"> </v>
      </c>
      <c r="G75" s="233" t="str">
        <f>'GM CostSvcs'!G324</f>
        <v xml:space="preserve"> </v>
      </c>
      <c r="H75" s="233" t="str">
        <f>'GM CostSvcs'!H324</f>
        <v xml:space="preserve"> </v>
      </c>
      <c r="I75" s="234" t="str">
        <f t="shared" si="43"/>
        <v xml:space="preserve"> </v>
      </c>
      <c r="J75" s="233" t="str">
        <f>'GM CostSvcs'!J324</f>
        <v xml:space="preserve"> </v>
      </c>
      <c r="K75" s="233" t="str">
        <f>'GM CostSvcs'!K324</f>
        <v xml:space="preserve"> </v>
      </c>
      <c r="L75" s="233" t="str">
        <f>'GM CostSvcs'!L324</f>
        <v xml:space="preserve"> </v>
      </c>
      <c r="M75" s="234" t="str">
        <f t="shared" si="44"/>
        <v xml:space="preserve"> </v>
      </c>
      <c r="N75" s="233" t="str">
        <f>'GM CostSvcs'!N324</f>
        <v xml:space="preserve"> </v>
      </c>
      <c r="O75" s="233" t="str">
        <f>'GM CostSvcs'!O324</f>
        <v xml:space="preserve"> </v>
      </c>
      <c r="P75" s="233" t="str">
        <f>'GM CostSvcs'!P324</f>
        <v xml:space="preserve"> </v>
      </c>
      <c r="Q75" s="234" t="str">
        <f t="shared" si="45"/>
        <v xml:space="preserve"> </v>
      </c>
      <c r="R75" s="233" t="str">
        <f>'GM CostSvcs'!R324</f>
        <v xml:space="preserve"> </v>
      </c>
      <c r="S75" s="233" t="str">
        <f>'GM CostSvcs'!S324</f>
        <v xml:space="preserve"> </v>
      </c>
      <c r="T75" s="233" t="str">
        <f>'GM CostSvcs'!T324</f>
        <v xml:space="preserve"> </v>
      </c>
      <c r="U75" s="234" t="str">
        <f t="shared" si="46"/>
        <v xml:space="preserve"> </v>
      </c>
      <c r="V75" s="233" t="str">
        <f>'GM CostSvcs'!V324</f>
        <v xml:space="preserve"> </v>
      </c>
      <c r="W75" s="233" t="str">
        <f>'GM CostSvcs'!W324</f>
        <v xml:space="preserve"> </v>
      </c>
      <c r="X75" s="233" t="str">
        <f>'GM CostSvcs'!X324</f>
        <v xml:space="preserve"> </v>
      </c>
      <c r="Y75" s="234" t="str">
        <f t="shared" si="47"/>
        <v xml:space="preserve"> </v>
      </c>
    </row>
    <row r="76" spans="1:25" ht="12.75" hidden="1" customHeight="1" outlineLevel="1" x14ac:dyDescent="0.2">
      <c r="A76" s="188" t="str">
        <f>"      "&amp;Labels!C384</f>
        <v xml:space="preserve">      Total</v>
      </c>
      <c r="B76" s="218" t="str">
        <f t="shared" ref="B76:D79" si="48">IF(B44=0," ",B181/B44)</f>
        <v xml:space="preserve"> </v>
      </c>
      <c r="C76" s="218" t="str">
        <f t="shared" si="48"/>
        <v xml:space="preserve"> </v>
      </c>
      <c r="D76" s="218" t="str">
        <f t="shared" si="48"/>
        <v xml:space="preserve"> </v>
      </c>
      <c r="E76" s="219" t="str">
        <f t="shared" si="42"/>
        <v xml:space="preserve"> </v>
      </c>
      <c r="F76" s="218" t="str">
        <f t="shared" ref="F76:H79" si="49">IF(F44=0," ",F181/F44)</f>
        <v xml:space="preserve"> </v>
      </c>
      <c r="G76" s="218" t="str">
        <f t="shared" si="49"/>
        <v xml:space="preserve"> </v>
      </c>
      <c r="H76" s="218" t="str">
        <f t="shared" si="49"/>
        <v xml:space="preserve"> </v>
      </c>
      <c r="I76" s="219" t="str">
        <f t="shared" si="43"/>
        <v xml:space="preserve"> </v>
      </c>
      <c r="J76" s="218" t="str">
        <f t="shared" ref="J76:L79" si="50">IF(J44=0," ",J181/J44)</f>
        <v xml:space="preserve"> </v>
      </c>
      <c r="K76" s="218" t="str">
        <f t="shared" si="50"/>
        <v xml:space="preserve"> </v>
      </c>
      <c r="L76" s="218" t="str">
        <f t="shared" si="50"/>
        <v xml:space="preserve"> </v>
      </c>
      <c r="M76" s="219" t="str">
        <f t="shared" si="44"/>
        <v xml:space="preserve"> </v>
      </c>
      <c r="N76" s="218" t="str">
        <f t="shared" ref="N76:P79" si="51">IF(N44=0," ",N181/N44)</f>
        <v xml:space="preserve"> </v>
      </c>
      <c r="O76" s="218" t="str">
        <f t="shared" si="51"/>
        <v xml:space="preserve"> </v>
      </c>
      <c r="P76" s="218" t="str">
        <f t="shared" si="51"/>
        <v xml:space="preserve"> </v>
      </c>
      <c r="Q76" s="219" t="str">
        <f t="shared" si="45"/>
        <v xml:space="preserve"> </v>
      </c>
      <c r="R76" s="218" t="str">
        <f t="shared" ref="R76:T79" si="52">IF(R44=0," ",R181/R44)</f>
        <v xml:space="preserve"> </v>
      </c>
      <c r="S76" s="218" t="str">
        <f t="shared" si="52"/>
        <v xml:space="preserve"> </v>
      </c>
      <c r="T76" s="218" t="str">
        <f t="shared" si="52"/>
        <v xml:space="preserve"> </v>
      </c>
      <c r="U76" s="219" t="str">
        <f t="shared" si="46"/>
        <v xml:space="preserve"> </v>
      </c>
      <c r="V76" s="218" t="str">
        <f t="shared" ref="V76:X79" si="53">IF(V44=0," ",V181/V44)</f>
        <v xml:space="preserve"> </v>
      </c>
      <c r="W76" s="218" t="str">
        <f t="shared" si="53"/>
        <v xml:space="preserve"> </v>
      </c>
      <c r="X76" s="218" t="str">
        <f t="shared" si="53"/>
        <v xml:space="preserve"> </v>
      </c>
      <c r="Y76" s="219" t="str">
        <f t="shared" si="47"/>
        <v xml:space="preserve"> </v>
      </c>
    </row>
    <row r="77" spans="1:25" ht="12.75" hidden="1" customHeight="1" outlineLevel="1" x14ac:dyDescent="0.2">
      <c r="A77" s="191" t="str">
        <f>"   "&amp;Labels!C380</f>
        <v xml:space="preserve">   Total</v>
      </c>
      <c r="B77" s="211" t="str">
        <f t="shared" si="48"/>
        <v xml:space="preserve"> </v>
      </c>
      <c r="C77" s="211" t="str">
        <f t="shared" si="48"/>
        <v xml:space="preserve"> </v>
      </c>
      <c r="D77" s="211" t="str">
        <f t="shared" si="48"/>
        <v xml:space="preserve"> </v>
      </c>
      <c r="E77" s="210" t="str">
        <f t="shared" si="42"/>
        <v xml:space="preserve"> </v>
      </c>
      <c r="F77" s="211" t="str">
        <f t="shared" si="49"/>
        <v xml:space="preserve"> </v>
      </c>
      <c r="G77" s="211" t="str">
        <f t="shared" si="49"/>
        <v xml:space="preserve"> </v>
      </c>
      <c r="H77" s="211" t="str">
        <f t="shared" si="49"/>
        <v xml:space="preserve"> </v>
      </c>
      <c r="I77" s="210" t="str">
        <f t="shared" si="43"/>
        <v xml:space="preserve"> </v>
      </c>
      <c r="J77" s="211">
        <f t="shared" si="50"/>
        <v>1.3333333333333333</v>
      </c>
      <c r="K77" s="211">
        <f t="shared" si="50"/>
        <v>0.66666666666666663</v>
      </c>
      <c r="L77" s="211" t="str">
        <f t="shared" si="50"/>
        <v xml:space="preserve"> </v>
      </c>
      <c r="M77" s="210">
        <f t="shared" si="44"/>
        <v>0.88888888888888884</v>
      </c>
      <c r="N77" s="211" t="str">
        <f t="shared" si="51"/>
        <v xml:space="preserve"> </v>
      </c>
      <c r="O77" s="211" t="str">
        <f t="shared" si="51"/>
        <v xml:space="preserve"> </v>
      </c>
      <c r="P77" s="211" t="str">
        <f t="shared" si="51"/>
        <v xml:space="preserve"> </v>
      </c>
      <c r="Q77" s="210" t="str">
        <f t="shared" si="45"/>
        <v xml:space="preserve"> </v>
      </c>
      <c r="R77" s="211" t="str">
        <f t="shared" si="52"/>
        <v xml:space="preserve"> </v>
      </c>
      <c r="S77" s="211" t="str">
        <f t="shared" si="52"/>
        <v xml:space="preserve"> </v>
      </c>
      <c r="T77" s="211" t="str">
        <f t="shared" si="52"/>
        <v xml:space="preserve"> </v>
      </c>
      <c r="U77" s="210" t="str">
        <f t="shared" si="46"/>
        <v xml:space="preserve"> </v>
      </c>
      <c r="V77" s="211" t="str">
        <f t="shared" si="53"/>
        <v xml:space="preserve"> </v>
      </c>
      <c r="W77" s="211" t="str">
        <f t="shared" si="53"/>
        <v xml:space="preserve"> </v>
      </c>
      <c r="X77" s="211" t="str">
        <f t="shared" si="53"/>
        <v xml:space="preserve"> </v>
      </c>
      <c r="Y77" s="210" t="str">
        <f t="shared" si="47"/>
        <v xml:space="preserve"> </v>
      </c>
    </row>
    <row r="78" spans="1:25" ht="12.75" hidden="1" customHeight="1" outlineLevel="1" x14ac:dyDescent="0.2">
      <c r="A78" s="198" t="str">
        <f>"      "&amp;Labels!B385</f>
        <v xml:space="preserve">      Prof Level 1</v>
      </c>
      <c r="B78" s="233" t="str">
        <f t="shared" si="48"/>
        <v xml:space="preserve"> </v>
      </c>
      <c r="C78" s="233" t="str">
        <f t="shared" si="48"/>
        <v xml:space="preserve"> </v>
      </c>
      <c r="D78" s="233" t="str">
        <f t="shared" si="48"/>
        <v xml:space="preserve"> </v>
      </c>
      <c r="E78" s="234" t="str">
        <f t="shared" si="42"/>
        <v xml:space="preserve"> </v>
      </c>
      <c r="F78" s="233" t="str">
        <f t="shared" si="49"/>
        <v xml:space="preserve"> </v>
      </c>
      <c r="G78" s="233" t="str">
        <f t="shared" si="49"/>
        <v xml:space="preserve"> </v>
      </c>
      <c r="H78" s="233" t="str">
        <f t="shared" si="49"/>
        <v xml:space="preserve"> </v>
      </c>
      <c r="I78" s="234" t="str">
        <f t="shared" si="43"/>
        <v xml:space="preserve"> </v>
      </c>
      <c r="J78" s="233">
        <f t="shared" si="50"/>
        <v>1.3333333333333333</v>
      </c>
      <c r="K78" s="233">
        <f t="shared" si="50"/>
        <v>0.66666666666666663</v>
      </c>
      <c r="L78" s="233" t="str">
        <f t="shared" si="50"/>
        <v xml:space="preserve"> </v>
      </c>
      <c r="M78" s="234">
        <f t="shared" si="44"/>
        <v>0.88888888888888884</v>
      </c>
      <c r="N78" s="233" t="str">
        <f t="shared" si="51"/>
        <v xml:space="preserve"> </v>
      </c>
      <c r="O78" s="233" t="str">
        <f t="shared" si="51"/>
        <v xml:space="preserve"> </v>
      </c>
      <c r="P78" s="233" t="str">
        <f t="shared" si="51"/>
        <v xml:space="preserve"> </v>
      </c>
      <c r="Q78" s="234" t="str">
        <f t="shared" si="45"/>
        <v xml:space="preserve"> </v>
      </c>
      <c r="R78" s="233" t="str">
        <f t="shared" si="52"/>
        <v xml:space="preserve"> </v>
      </c>
      <c r="S78" s="233" t="str">
        <f t="shared" si="52"/>
        <v xml:space="preserve"> </v>
      </c>
      <c r="T78" s="233" t="str">
        <f t="shared" si="52"/>
        <v xml:space="preserve"> </v>
      </c>
      <c r="U78" s="234" t="str">
        <f t="shared" si="46"/>
        <v xml:space="preserve"> </v>
      </c>
      <c r="V78" s="233" t="str">
        <f t="shared" si="53"/>
        <v xml:space="preserve"> </v>
      </c>
      <c r="W78" s="233" t="str">
        <f t="shared" si="53"/>
        <v xml:space="preserve"> </v>
      </c>
      <c r="X78" s="233" t="str">
        <f t="shared" si="53"/>
        <v xml:space="preserve"> </v>
      </c>
      <c r="Y78" s="234" t="str">
        <f t="shared" si="47"/>
        <v xml:space="preserve"> </v>
      </c>
    </row>
    <row r="79" spans="1:25" ht="12.75" hidden="1" customHeight="1" outlineLevel="1" x14ac:dyDescent="0.2">
      <c r="A79" s="198" t="str">
        <f>"      "&amp;Labels!B386</f>
        <v xml:space="preserve">      Prof Level 2</v>
      </c>
      <c r="B79" s="233" t="str">
        <f t="shared" si="48"/>
        <v xml:space="preserve"> </v>
      </c>
      <c r="C79" s="233" t="str">
        <f t="shared" si="48"/>
        <v xml:space="preserve"> </v>
      </c>
      <c r="D79" s="233" t="str">
        <f t="shared" si="48"/>
        <v xml:space="preserve"> </v>
      </c>
      <c r="E79" s="234" t="str">
        <f t="shared" si="42"/>
        <v xml:space="preserve"> </v>
      </c>
      <c r="F79" s="233" t="str">
        <f t="shared" si="49"/>
        <v xml:space="preserve"> </v>
      </c>
      <c r="G79" s="233" t="str">
        <f t="shared" si="49"/>
        <v xml:space="preserve"> </v>
      </c>
      <c r="H79" s="233" t="str">
        <f t="shared" si="49"/>
        <v xml:space="preserve"> </v>
      </c>
      <c r="I79" s="234" t="str">
        <f t="shared" si="43"/>
        <v xml:space="preserve"> </v>
      </c>
      <c r="J79" s="233">
        <f t="shared" si="50"/>
        <v>1.3333333333333333</v>
      </c>
      <c r="K79" s="233">
        <f t="shared" si="50"/>
        <v>0.66666666666666663</v>
      </c>
      <c r="L79" s="233" t="str">
        <f t="shared" si="50"/>
        <v xml:space="preserve"> </v>
      </c>
      <c r="M79" s="234">
        <f t="shared" si="44"/>
        <v>0.88888888888888884</v>
      </c>
      <c r="N79" s="233" t="str">
        <f t="shared" si="51"/>
        <v xml:space="preserve"> </v>
      </c>
      <c r="O79" s="233" t="str">
        <f t="shared" si="51"/>
        <v xml:space="preserve"> </v>
      </c>
      <c r="P79" s="233" t="str">
        <f t="shared" si="51"/>
        <v xml:space="preserve"> </v>
      </c>
      <c r="Q79" s="234" t="str">
        <f t="shared" si="45"/>
        <v xml:space="preserve"> </v>
      </c>
      <c r="R79" s="233" t="str">
        <f t="shared" si="52"/>
        <v xml:space="preserve"> </v>
      </c>
      <c r="S79" s="233" t="str">
        <f t="shared" si="52"/>
        <v xml:space="preserve"> </v>
      </c>
      <c r="T79" s="233" t="str">
        <f t="shared" si="52"/>
        <v xml:space="preserve"> </v>
      </c>
      <c r="U79" s="234" t="str">
        <f t="shared" si="46"/>
        <v xml:space="preserve"> </v>
      </c>
      <c r="V79" s="233" t="str">
        <f t="shared" si="53"/>
        <v xml:space="preserve"> </v>
      </c>
      <c r="W79" s="233" t="str">
        <f t="shared" si="53"/>
        <v xml:space="preserve"> </v>
      </c>
      <c r="X79" s="233" t="str">
        <f t="shared" si="53"/>
        <v xml:space="preserve"> </v>
      </c>
      <c r="Y79" s="234" t="str">
        <f t="shared" si="47"/>
        <v xml:space="preserve"> </v>
      </c>
    </row>
    <row r="80" spans="1:25" ht="12.75" hidden="1" customHeight="1" outlineLevel="1" x14ac:dyDescent="0.2">
      <c r="A80" s="188" t="str">
        <f>"      "&amp;Labels!C384</f>
        <v xml:space="preserve">      Total</v>
      </c>
      <c r="B80" s="218" t="str">
        <f>IF(B45=0," ",B182/B45)</f>
        <v xml:space="preserve"> </v>
      </c>
      <c r="C80" s="218" t="str">
        <f>IF(C45=0," ",C182/C45)</f>
        <v xml:space="preserve"> </v>
      </c>
      <c r="D80" s="218" t="str">
        <f>IF(D45=0," ",D182/D45)</f>
        <v xml:space="preserve"> </v>
      </c>
      <c r="E80" s="219" t="str">
        <f>IF(SUM(B45:D45)=0," ",SUM(B182:D182)/SUM(B45:D45))</f>
        <v xml:space="preserve"> </v>
      </c>
      <c r="F80" s="218" t="str">
        <f>IF(F45=0," ",F182/F45)</f>
        <v xml:space="preserve"> </v>
      </c>
      <c r="G80" s="218" t="str">
        <f>IF(G45=0," ",G182/G45)</f>
        <v xml:space="preserve"> </v>
      </c>
      <c r="H80" s="218" t="str">
        <f>IF(H45=0," ",H182/H45)</f>
        <v xml:space="preserve"> </v>
      </c>
      <c r="I80" s="219" t="str">
        <f>IF(SUM(F45:H45)=0," ",SUM(F182:H182)/SUM(F45:H45))</f>
        <v xml:space="preserve"> </v>
      </c>
      <c r="J80" s="218">
        <f>IF(J45=0," ",J182/J45)</f>
        <v>1.3333333333333333</v>
      </c>
      <c r="K80" s="218">
        <f>IF(K45=0," ",K182/K45)</f>
        <v>0.66666666666666663</v>
      </c>
      <c r="L80" s="218" t="str">
        <f>IF(L45=0," ",L182/L45)</f>
        <v xml:space="preserve"> </v>
      </c>
      <c r="M80" s="219">
        <f>IF(SUM(J45:L45)=0," ",SUM(J182:L182)/SUM(J45:L45))</f>
        <v>0.88888888888888884</v>
      </c>
      <c r="N80" s="218" t="str">
        <f>IF(N45=0," ",N182/N45)</f>
        <v xml:space="preserve"> </v>
      </c>
      <c r="O80" s="218" t="str">
        <f>IF(O45=0," ",O182/O45)</f>
        <v xml:space="preserve"> </v>
      </c>
      <c r="P80" s="218" t="str">
        <f>IF(P45=0," ",P182/P45)</f>
        <v xml:space="preserve"> </v>
      </c>
      <c r="Q80" s="219" t="str">
        <f>IF(SUM(N45:P45)=0," ",SUM(N182:P182)/SUM(N45:P45))</f>
        <v xml:space="preserve"> </v>
      </c>
      <c r="R80" s="218" t="str">
        <f>IF(R45=0," ",R182/R45)</f>
        <v xml:space="preserve"> </v>
      </c>
      <c r="S80" s="218" t="str">
        <f>IF(S45=0," ",S182/S45)</f>
        <v xml:space="preserve"> </v>
      </c>
      <c r="T80" s="218" t="str">
        <f>IF(T45=0," ",T182/T45)</f>
        <v xml:space="preserve"> </v>
      </c>
      <c r="U80" s="219" t="str">
        <f>IF(SUM(R45:T45)=0," ",SUM(R182:T182)/SUM(R45:T45))</f>
        <v xml:space="preserve"> </v>
      </c>
      <c r="V80" s="218" t="str">
        <f>IF(V45=0," ",V182/V45)</f>
        <v xml:space="preserve"> </v>
      </c>
      <c r="W80" s="218" t="str">
        <f>IF(W45=0," ",W182/W45)</f>
        <v xml:space="preserve"> </v>
      </c>
      <c r="X80" s="218" t="str">
        <f>IF(X45=0," ",X182/X45)</f>
        <v xml:space="preserve"> </v>
      </c>
      <c r="Y80" s="219" t="str">
        <f>IF(SUM(V45:X45)=0," ",SUM(V182:X182)/SUM(V45:X45))</f>
        <v xml:space="preserve"> </v>
      </c>
    </row>
    <row r="81" spans="1:25" ht="12.75" hidden="1" customHeight="1" outlineLevel="1" x14ac:dyDescent="0.2">
      <c r="A81" s="97"/>
      <c r="B81" s="6"/>
      <c r="C81" s="6"/>
      <c r="D81" s="6"/>
      <c r="E81" s="97"/>
      <c r="F81" s="6"/>
      <c r="G81" s="6"/>
      <c r="H81" s="6"/>
      <c r="I81" s="97"/>
      <c r="J81" s="6"/>
      <c r="K81" s="6"/>
      <c r="L81" s="6"/>
      <c r="M81" s="97"/>
      <c r="N81" s="6"/>
      <c r="O81" s="6"/>
      <c r="P81" s="6"/>
      <c r="Q81" s="97"/>
      <c r="R81" s="6"/>
      <c r="S81" s="6"/>
      <c r="T81" s="6"/>
      <c r="U81" s="97"/>
      <c r="V81" s="6"/>
      <c r="W81" s="6"/>
      <c r="X81" s="6"/>
      <c r="Y81" s="97"/>
    </row>
    <row r="82" spans="1:25" ht="12.75" hidden="1" customHeight="1" outlineLevel="1" x14ac:dyDescent="0.2">
      <c r="A82" s="191" t="str">
        <f>Labels!B206</f>
        <v>Prof Staff Target Util %</v>
      </c>
      <c r="B82" s="300"/>
      <c r="C82" s="300"/>
      <c r="D82" s="300"/>
      <c r="E82" s="301"/>
      <c r="F82" s="300"/>
      <c r="G82" s="300"/>
      <c r="H82" s="300"/>
      <c r="I82" s="301"/>
      <c r="J82" s="300"/>
      <c r="K82" s="300"/>
      <c r="L82" s="300"/>
      <c r="M82" s="301"/>
      <c r="N82" s="300"/>
      <c r="O82" s="300"/>
      <c r="P82" s="300"/>
      <c r="Q82" s="301"/>
      <c r="R82" s="300"/>
      <c r="S82" s="300"/>
      <c r="T82" s="300"/>
      <c r="U82" s="301"/>
      <c r="V82" s="300"/>
      <c r="W82" s="300"/>
      <c r="X82" s="300"/>
      <c r="Y82" s="301"/>
    </row>
    <row r="83" spans="1:25" ht="12.75" hidden="1" customHeight="1" outlineLevel="1" x14ac:dyDescent="0.2">
      <c r="A83" s="188" t="str">
        <f>"   "&amp;Labels!B381</f>
        <v xml:space="preserve">   Practice 1</v>
      </c>
      <c r="B83" s="275"/>
      <c r="C83" s="275"/>
      <c r="D83" s="275"/>
      <c r="E83" s="302"/>
      <c r="F83" s="275"/>
      <c r="G83" s="275"/>
      <c r="H83" s="275"/>
      <c r="I83" s="302"/>
      <c r="J83" s="275"/>
      <c r="K83" s="275"/>
      <c r="L83" s="275"/>
      <c r="M83" s="302"/>
      <c r="N83" s="275"/>
      <c r="O83" s="275"/>
      <c r="P83" s="275"/>
      <c r="Q83" s="302"/>
      <c r="R83" s="275"/>
      <c r="S83" s="275"/>
      <c r="T83" s="275"/>
      <c r="U83" s="302"/>
      <c r="V83" s="275"/>
      <c r="W83" s="275"/>
      <c r="X83" s="275"/>
      <c r="Y83" s="302"/>
    </row>
    <row r="84" spans="1:25" ht="12.75" hidden="1" customHeight="1" outlineLevel="1" x14ac:dyDescent="0.2">
      <c r="A84" s="198" t="str">
        <f>"      "&amp;Labels!B385</f>
        <v xml:space="preserve">      Prof Level 1</v>
      </c>
      <c r="B84" s="303">
        <f>Inputs!F189</f>
        <v>0.8</v>
      </c>
      <c r="C84" s="303">
        <f>Inputs!G189</f>
        <v>0.8</v>
      </c>
      <c r="D84" s="303">
        <f>Inputs!H189</f>
        <v>0.8</v>
      </c>
      <c r="E84" s="304">
        <f>AVERAGE(B84:D84)</f>
        <v>0.80000000000000016</v>
      </c>
      <c r="F84" s="303">
        <f>Inputs!I189</f>
        <v>0.8</v>
      </c>
      <c r="G84" s="303">
        <f>Inputs!J189</f>
        <v>0.8</v>
      </c>
      <c r="H84" s="303">
        <f>Inputs!K189</f>
        <v>0.8</v>
      </c>
      <c r="I84" s="304">
        <f>AVERAGE(F84:H84)</f>
        <v>0.80000000000000016</v>
      </c>
      <c r="J84" s="303">
        <f>Inputs!L189</f>
        <v>0.8</v>
      </c>
      <c r="K84" s="303">
        <f>Inputs!M189</f>
        <v>0.8</v>
      </c>
      <c r="L84" s="303">
        <f>Inputs!N189</f>
        <v>0.8</v>
      </c>
      <c r="M84" s="304">
        <f>AVERAGE(J84:L84)</f>
        <v>0.80000000000000016</v>
      </c>
      <c r="N84" s="303">
        <f>Inputs!O189</f>
        <v>0.8</v>
      </c>
      <c r="O84" s="303">
        <f>Inputs!P189</f>
        <v>0.8</v>
      </c>
      <c r="P84" s="303">
        <f>Inputs!Q189</f>
        <v>0.8</v>
      </c>
      <c r="Q84" s="304">
        <f>AVERAGE(N84:P84)</f>
        <v>0.80000000000000016</v>
      </c>
      <c r="R84" s="303">
        <f>Inputs!R189</f>
        <v>0.8</v>
      </c>
      <c r="S84" s="303">
        <f>Inputs!S189</f>
        <v>0.8</v>
      </c>
      <c r="T84" s="303">
        <f>Inputs!T189</f>
        <v>0.8</v>
      </c>
      <c r="U84" s="304">
        <f>AVERAGE(R84:T84)</f>
        <v>0.80000000000000016</v>
      </c>
      <c r="V84" s="303">
        <f>Inputs!U189</f>
        <v>0.8</v>
      </c>
      <c r="W84" s="303">
        <f>Inputs!V189</f>
        <v>0.8</v>
      </c>
      <c r="X84" s="303">
        <f>Inputs!W189</f>
        <v>0.8</v>
      </c>
      <c r="Y84" s="304">
        <f>AVERAGE(V84:X84)</f>
        <v>0.80000000000000016</v>
      </c>
    </row>
    <row r="85" spans="1:25" ht="12.75" hidden="1" customHeight="1" outlineLevel="1" x14ac:dyDescent="0.2">
      <c r="A85" s="198" t="str">
        <f>"      "&amp;Labels!B386</f>
        <v xml:space="preserve">      Prof Level 2</v>
      </c>
      <c r="B85" s="303">
        <f>Inputs!F190</f>
        <v>0.8</v>
      </c>
      <c r="C85" s="303">
        <f>Inputs!G190</f>
        <v>0.8</v>
      </c>
      <c r="D85" s="303">
        <f>Inputs!H190</f>
        <v>0.8</v>
      </c>
      <c r="E85" s="304">
        <f>AVERAGE(B85:D85)</f>
        <v>0.80000000000000016</v>
      </c>
      <c r="F85" s="303">
        <f>Inputs!I190</f>
        <v>0.8</v>
      </c>
      <c r="G85" s="303">
        <f>Inputs!J190</f>
        <v>0.8</v>
      </c>
      <c r="H85" s="303">
        <f>Inputs!K190</f>
        <v>0.8</v>
      </c>
      <c r="I85" s="304">
        <f>AVERAGE(F85:H85)</f>
        <v>0.80000000000000016</v>
      </c>
      <c r="J85" s="303">
        <f>Inputs!L190</f>
        <v>0.8</v>
      </c>
      <c r="K85" s="303">
        <f>Inputs!M190</f>
        <v>0.8</v>
      </c>
      <c r="L85" s="303">
        <f>Inputs!N190</f>
        <v>0.8</v>
      </c>
      <c r="M85" s="304">
        <f>AVERAGE(J85:L85)</f>
        <v>0.80000000000000016</v>
      </c>
      <c r="N85" s="303">
        <f>Inputs!O190</f>
        <v>0.8</v>
      </c>
      <c r="O85" s="303">
        <f>Inputs!P190</f>
        <v>0.8</v>
      </c>
      <c r="P85" s="303">
        <f>Inputs!Q190</f>
        <v>0.8</v>
      </c>
      <c r="Q85" s="304">
        <f>AVERAGE(N85:P85)</f>
        <v>0.80000000000000016</v>
      </c>
      <c r="R85" s="303">
        <f>Inputs!R190</f>
        <v>0.8</v>
      </c>
      <c r="S85" s="303">
        <f>Inputs!S190</f>
        <v>0.8</v>
      </c>
      <c r="T85" s="303">
        <f>Inputs!T190</f>
        <v>0.8</v>
      </c>
      <c r="U85" s="304">
        <f>AVERAGE(R85:T85)</f>
        <v>0.80000000000000016</v>
      </c>
      <c r="V85" s="303">
        <f>Inputs!U190</f>
        <v>0.8</v>
      </c>
      <c r="W85" s="303">
        <f>Inputs!V190</f>
        <v>0.8</v>
      </c>
      <c r="X85" s="303">
        <f>Inputs!W190</f>
        <v>0.8</v>
      </c>
      <c r="Y85" s="304">
        <f>AVERAGE(V85:X85)</f>
        <v>0.80000000000000016</v>
      </c>
    </row>
    <row r="86" spans="1:25" ht="12.75" hidden="1" customHeight="1" outlineLevel="1" x14ac:dyDescent="0.2">
      <c r="A86" s="188" t="str">
        <f>"      "&amp;Labels!C384</f>
        <v xml:space="preserve">      Total</v>
      </c>
      <c r="B86" s="275">
        <f>AVERAGE(B84:B85)</f>
        <v>0.8</v>
      </c>
      <c r="C86" s="275">
        <f>AVERAGE(C84:C85)</f>
        <v>0.8</v>
      </c>
      <c r="D86" s="275">
        <f>AVERAGE(D84:D85)</f>
        <v>0.8</v>
      </c>
      <c r="E86" s="302">
        <f>AVERAGE(B86:D86)</f>
        <v>0.80000000000000016</v>
      </c>
      <c r="F86" s="275">
        <f>AVERAGE(F84:F85)</f>
        <v>0.8</v>
      </c>
      <c r="G86" s="275">
        <f>AVERAGE(G84:G85)</f>
        <v>0.8</v>
      </c>
      <c r="H86" s="275">
        <f>AVERAGE(H84:H85)</f>
        <v>0.8</v>
      </c>
      <c r="I86" s="302">
        <f>AVERAGE(F86:H86)</f>
        <v>0.80000000000000016</v>
      </c>
      <c r="J86" s="275">
        <f>AVERAGE(J84:J85)</f>
        <v>0.8</v>
      </c>
      <c r="K86" s="275">
        <f>AVERAGE(K84:K85)</f>
        <v>0.8</v>
      </c>
      <c r="L86" s="275">
        <f>AVERAGE(L84:L85)</f>
        <v>0.8</v>
      </c>
      <c r="M86" s="302">
        <f>AVERAGE(J86:L86)</f>
        <v>0.80000000000000016</v>
      </c>
      <c r="N86" s="275">
        <f>AVERAGE(N84:N85)</f>
        <v>0.8</v>
      </c>
      <c r="O86" s="275">
        <f>AVERAGE(O84:O85)</f>
        <v>0.8</v>
      </c>
      <c r="P86" s="275">
        <f>AVERAGE(P84:P85)</f>
        <v>0.8</v>
      </c>
      <c r="Q86" s="302">
        <f>AVERAGE(N86:P86)</f>
        <v>0.80000000000000016</v>
      </c>
      <c r="R86" s="275">
        <f>AVERAGE(R84:R85)</f>
        <v>0.8</v>
      </c>
      <c r="S86" s="275">
        <f>AVERAGE(S84:S85)</f>
        <v>0.8</v>
      </c>
      <c r="T86" s="275">
        <f>AVERAGE(T84:T85)</f>
        <v>0.8</v>
      </c>
      <c r="U86" s="302">
        <f>AVERAGE(R86:T86)</f>
        <v>0.80000000000000016</v>
      </c>
      <c r="V86" s="275">
        <f>AVERAGE(V84:V85)</f>
        <v>0.8</v>
      </c>
      <c r="W86" s="275">
        <f>AVERAGE(W84:W85)</f>
        <v>0.8</v>
      </c>
      <c r="X86" s="275">
        <f>AVERAGE(X84:X85)</f>
        <v>0.8</v>
      </c>
      <c r="Y86" s="302">
        <f>AVERAGE(V86:X86)</f>
        <v>0.80000000000000016</v>
      </c>
    </row>
    <row r="87" spans="1:25" ht="12.75" hidden="1" customHeight="1" outlineLevel="1" x14ac:dyDescent="0.2">
      <c r="A87" s="188" t="str">
        <f>"   "&amp;Labels!B382</f>
        <v xml:space="preserve">   Practice 2</v>
      </c>
      <c r="B87" s="275"/>
      <c r="C87" s="275"/>
      <c r="D87" s="275"/>
      <c r="E87" s="302"/>
      <c r="F87" s="275"/>
      <c r="G87" s="275"/>
      <c r="H87" s="275"/>
      <c r="I87" s="302"/>
      <c r="J87" s="275"/>
      <c r="K87" s="275"/>
      <c r="L87" s="275"/>
      <c r="M87" s="302"/>
      <c r="N87" s="275"/>
      <c r="O87" s="275"/>
      <c r="P87" s="275"/>
      <c r="Q87" s="302"/>
      <c r="R87" s="275"/>
      <c r="S87" s="275"/>
      <c r="T87" s="275"/>
      <c r="U87" s="302"/>
      <c r="V87" s="275"/>
      <c r="W87" s="275"/>
      <c r="X87" s="275"/>
      <c r="Y87" s="302"/>
    </row>
    <row r="88" spans="1:25" ht="12.75" hidden="1" customHeight="1" outlineLevel="1" x14ac:dyDescent="0.2">
      <c r="A88" s="198" t="str">
        <f>"      "&amp;Labels!B385</f>
        <v xml:space="preserve">      Prof Level 1</v>
      </c>
      <c r="B88" s="303">
        <f>Inputs!F191</f>
        <v>0.8</v>
      </c>
      <c r="C88" s="303">
        <f>Inputs!G191</f>
        <v>0.8</v>
      </c>
      <c r="D88" s="303">
        <f>Inputs!H191</f>
        <v>0.8</v>
      </c>
      <c r="E88" s="304">
        <f t="shared" ref="E88:E93" si="54">AVERAGE(B88:D88)</f>
        <v>0.80000000000000016</v>
      </c>
      <c r="F88" s="303">
        <f>Inputs!I191</f>
        <v>0.8</v>
      </c>
      <c r="G88" s="303">
        <f>Inputs!J191</f>
        <v>0.8</v>
      </c>
      <c r="H88" s="303">
        <f>Inputs!K191</f>
        <v>0.8</v>
      </c>
      <c r="I88" s="304">
        <f t="shared" ref="I88:I93" si="55">AVERAGE(F88:H88)</f>
        <v>0.80000000000000016</v>
      </c>
      <c r="J88" s="303">
        <f>Inputs!L191</f>
        <v>0.8</v>
      </c>
      <c r="K88" s="303">
        <f>Inputs!M191</f>
        <v>0.8</v>
      </c>
      <c r="L88" s="303">
        <f>Inputs!N191</f>
        <v>0.8</v>
      </c>
      <c r="M88" s="304">
        <f t="shared" ref="M88:M93" si="56">AVERAGE(J88:L88)</f>
        <v>0.80000000000000016</v>
      </c>
      <c r="N88" s="303">
        <f>Inputs!O191</f>
        <v>0.8</v>
      </c>
      <c r="O88" s="303">
        <f>Inputs!P191</f>
        <v>0.8</v>
      </c>
      <c r="P88" s="303">
        <f>Inputs!Q191</f>
        <v>0.8</v>
      </c>
      <c r="Q88" s="304">
        <f t="shared" ref="Q88:Q93" si="57">AVERAGE(N88:P88)</f>
        <v>0.80000000000000016</v>
      </c>
      <c r="R88" s="303">
        <f>Inputs!R191</f>
        <v>0.8</v>
      </c>
      <c r="S88" s="303">
        <f>Inputs!S191</f>
        <v>0.8</v>
      </c>
      <c r="T88" s="303">
        <f>Inputs!T191</f>
        <v>0.8</v>
      </c>
      <c r="U88" s="304">
        <f t="shared" ref="U88:U93" si="58">AVERAGE(R88:T88)</f>
        <v>0.80000000000000016</v>
      </c>
      <c r="V88" s="303">
        <f>Inputs!U191</f>
        <v>0.8</v>
      </c>
      <c r="W88" s="303">
        <f>Inputs!V191</f>
        <v>0.8</v>
      </c>
      <c r="X88" s="303">
        <f>Inputs!W191</f>
        <v>0.8</v>
      </c>
      <c r="Y88" s="304">
        <f t="shared" ref="Y88:Y93" si="59">AVERAGE(V88:X88)</f>
        <v>0.80000000000000016</v>
      </c>
    </row>
    <row r="89" spans="1:25" ht="12.75" hidden="1" customHeight="1" outlineLevel="1" x14ac:dyDescent="0.2">
      <c r="A89" s="198" t="str">
        <f>"      "&amp;Labels!B386</f>
        <v xml:space="preserve">      Prof Level 2</v>
      </c>
      <c r="B89" s="303">
        <f>Inputs!F192</f>
        <v>0.8</v>
      </c>
      <c r="C89" s="303">
        <f>Inputs!G192</f>
        <v>0.8</v>
      </c>
      <c r="D89" s="303">
        <f>Inputs!H192</f>
        <v>0.8</v>
      </c>
      <c r="E89" s="304">
        <f t="shared" si="54"/>
        <v>0.80000000000000016</v>
      </c>
      <c r="F89" s="303">
        <f>Inputs!I192</f>
        <v>0.8</v>
      </c>
      <c r="G89" s="303">
        <f>Inputs!J192</f>
        <v>0.8</v>
      </c>
      <c r="H89" s="303">
        <f>Inputs!K192</f>
        <v>0.8</v>
      </c>
      <c r="I89" s="304">
        <f t="shared" si="55"/>
        <v>0.80000000000000016</v>
      </c>
      <c r="J89" s="303">
        <f>Inputs!L192</f>
        <v>0.8</v>
      </c>
      <c r="K89" s="303">
        <f>Inputs!M192</f>
        <v>0.8</v>
      </c>
      <c r="L89" s="303">
        <f>Inputs!N192</f>
        <v>0.8</v>
      </c>
      <c r="M89" s="304">
        <f t="shared" si="56"/>
        <v>0.80000000000000016</v>
      </c>
      <c r="N89" s="303">
        <f>Inputs!O192</f>
        <v>0.8</v>
      </c>
      <c r="O89" s="303">
        <f>Inputs!P192</f>
        <v>0.8</v>
      </c>
      <c r="P89" s="303">
        <f>Inputs!Q192</f>
        <v>0.8</v>
      </c>
      <c r="Q89" s="304">
        <f t="shared" si="57"/>
        <v>0.80000000000000016</v>
      </c>
      <c r="R89" s="303">
        <f>Inputs!R192</f>
        <v>0.8</v>
      </c>
      <c r="S89" s="303">
        <f>Inputs!S192</f>
        <v>0.8</v>
      </c>
      <c r="T89" s="303">
        <f>Inputs!T192</f>
        <v>0.8</v>
      </c>
      <c r="U89" s="304">
        <f t="shared" si="58"/>
        <v>0.80000000000000016</v>
      </c>
      <c r="V89" s="303">
        <f>Inputs!U192</f>
        <v>0.8</v>
      </c>
      <c r="W89" s="303">
        <f>Inputs!V192</f>
        <v>0.8</v>
      </c>
      <c r="X89" s="303">
        <f>Inputs!W192</f>
        <v>0.8</v>
      </c>
      <c r="Y89" s="304">
        <f t="shared" si="59"/>
        <v>0.80000000000000016</v>
      </c>
    </row>
    <row r="90" spans="1:25" ht="12.75" hidden="1" customHeight="1" outlineLevel="1" x14ac:dyDescent="0.2">
      <c r="A90" s="188" t="str">
        <f>"      "&amp;Labels!C384</f>
        <v xml:space="preserve">      Total</v>
      </c>
      <c r="B90" s="275">
        <f>AVERAGE(B88:B89)</f>
        <v>0.8</v>
      </c>
      <c r="C90" s="275">
        <f>AVERAGE(C88:C89)</f>
        <v>0.8</v>
      </c>
      <c r="D90" s="275">
        <f>AVERAGE(D88:D89)</f>
        <v>0.8</v>
      </c>
      <c r="E90" s="302">
        <f t="shared" si="54"/>
        <v>0.80000000000000016</v>
      </c>
      <c r="F90" s="275">
        <f>AVERAGE(F88:F89)</f>
        <v>0.8</v>
      </c>
      <c r="G90" s="275">
        <f>AVERAGE(G88:G89)</f>
        <v>0.8</v>
      </c>
      <c r="H90" s="275">
        <f>AVERAGE(H88:H89)</f>
        <v>0.8</v>
      </c>
      <c r="I90" s="302">
        <f t="shared" si="55"/>
        <v>0.80000000000000016</v>
      </c>
      <c r="J90" s="275">
        <f>AVERAGE(J88:J89)</f>
        <v>0.8</v>
      </c>
      <c r="K90" s="275">
        <f>AVERAGE(K88:K89)</f>
        <v>0.8</v>
      </c>
      <c r="L90" s="275">
        <f>AVERAGE(L88:L89)</f>
        <v>0.8</v>
      </c>
      <c r="M90" s="302">
        <f t="shared" si="56"/>
        <v>0.80000000000000016</v>
      </c>
      <c r="N90" s="275">
        <f>AVERAGE(N88:N89)</f>
        <v>0.8</v>
      </c>
      <c r="O90" s="275">
        <f>AVERAGE(O88:O89)</f>
        <v>0.8</v>
      </c>
      <c r="P90" s="275">
        <f>AVERAGE(P88:P89)</f>
        <v>0.8</v>
      </c>
      <c r="Q90" s="302">
        <f t="shared" si="57"/>
        <v>0.80000000000000016</v>
      </c>
      <c r="R90" s="275">
        <f>AVERAGE(R88:R89)</f>
        <v>0.8</v>
      </c>
      <c r="S90" s="275">
        <f>AVERAGE(S88:S89)</f>
        <v>0.8</v>
      </c>
      <c r="T90" s="275">
        <f>AVERAGE(T88:T89)</f>
        <v>0.8</v>
      </c>
      <c r="U90" s="302">
        <f t="shared" si="58"/>
        <v>0.80000000000000016</v>
      </c>
      <c r="V90" s="275">
        <f>AVERAGE(V88:V89)</f>
        <v>0.8</v>
      </c>
      <c r="W90" s="275">
        <f>AVERAGE(W88:W89)</f>
        <v>0.8</v>
      </c>
      <c r="X90" s="275">
        <f>AVERAGE(X88:X89)</f>
        <v>0.8</v>
      </c>
      <c r="Y90" s="302">
        <f t="shared" si="59"/>
        <v>0.80000000000000016</v>
      </c>
    </row>
    <row r="91" spans="1:25" ht="12.75" hidden="1" customHeight="1" outlineLevel="1" x14ac:dyDescent="0.2">
      <c r="A91" s="191" t="str">
        <f>"   "&amp;Labels!C380</f>
        <v xml:space="preserve">   Total</v>
      </c>
      <c r="B91" s="300">
        <f>AVERAGE(B86,B90)</f>
        <v>0.8</v>
      </c>
      <c r="C91" s="300">
        <f>AVERAGE(C86,C90)</f>
        <v>0.8</v>
      </c>
      <c r="D91" s="300">
        <f>AVERAGE(D86,D90)</f>
        <v>0.8</v>
      </c>
      <c r="E91" s="301">
        <f t="shared" si="54"/>
        <v>0.80000000000000016</v>
      </c>
      <c r="F91" s="300">
        <f>AVERAGE(F86,F90)</f>
        <v>0.8</v>
      </c>
      <c r="G91" s="300">
        <f>AVERAGE(G86,G90)</f>
        <v>0.8</v>
      </c>
      <c r="H91" s="300">
        <f>AVERAGE(H86,H90)</f>
        <v>0.8</v>
      </c>
      <c r="I91" s="301">
        <f t="shared" si="55"/>
        <v>0.80000000000000016</v>
      </c>
      <c r="J91" s="300">
        <f>AVERAGE(J86,J90)</f>
        <v>0.8</v>
      </c>
      <c r="K91" s="300">
        <f>AVERAGE(K86,K90)</f>
        <v>0.8</v>
      </c>
      <c r="L91" s="300">
        <f>AVERAGE(L86,L90)</f>
        <v>0.8</v>
      </c>
      <c r="M91" s="301">
        <f t="shared" si="56"/>
        <v>0.80000000000000016</v>
      </c>
      <c r="N91" s="300">
        <f>AVERAGE(N86,N90)</f>
        <v>0.8</v>
      </c>
      <c r="O91" s="300">
        <f>AVERAGE(O86,O90)</f>
        <v>0.8</v>
      </c>
      <c r="P91" s="300">
        <f>AVERAGE(P86,P90)</f>
        <v>0.8</v>
      </c>
      <c r="Q91" s="301">
        <f t="shared" si="57"/>
        <v>0.80000000000000016</v>
      </c>
      <c r="R91" s="300">
        <f>AVERAGE(R86,R90)</f>
        <v>0.8</v>
      </c>
      <c r="S91" s="300">
        <f>AVERAGE(S86,S90)</f>
        <v>0.8</v>
      </c>
      <c r="T91" s="300">
        <f>AVERAGE(T86,T90)</f>
        <v>0.8</v>
      </c>
      <c r="U91" s="301">
        <f t="shared" si="58"/>
        <v>0.80000000000000016</v>
      </c>
      <c r="V91" s="300">
        <f>AVERAGE(V86,V90)</f>
        <v>0.8</v>
      </c>
      <c r="W91" s="300">
        <f>AVERAGE(W86,W90)</f>
        <v>0.8</v>
      </c>
      <c r="X91" s="300">
        <f>AVERAGE(X86,X90)</f>
        <v>0.8</v>
      </c>
      <c r="Y91" s="301">
        <f t="shared" si="59"/>
        <v>0.80000000000000016</v>
      </c>
    </row>
    <row r="92" spans="1:25" ht="12.75" hidden="1" customHeight="1" outlineLevel="1" x14ac:dyDescent="0.2">
      <c r="A92" s="198" t="str">
        <f>"      "&amp;Labels!B385</f>
        <v xml:space="preserve">      Prof Level 1</v>
      </c>
      <c r="B92" s="303">
        <f t="shared" ref="B92:D94" si="60">AVERAGE(B84,B88)</f>
        <v>0.8</v>
      </c>
      <c r="C92" s="303">
        <f t="shared" si="60"/>
        <v>0.8</v>
      </c>
      <c r="D92" s="303">
        <f t="shared" si="60"/>
        <v>0.8</v>
      </c>
      <c r="E92" s="304">
        <f t="shared" si="54"/>
        <v>0.80000000000000016</v>
      </c>
      <c r="F92" s="303">
        <f t="shared" ref="F92:H94" si="61">AVERAGE(F84,F88)</f>
        <v>0.8</v>
      </c>
      <c r="G92" s="303">
        <f t="shared" si="61"/>
        <v>0.8</v>
      </c>
      <c r="H92" s="303">
        <f t="shared" si="61"/>
        <v>0.8</v>
      </c>
      <c r="I92" s="304">
        <f t="shared" si="55"/>
        <v>0.80000000000000016</v>
      </c>
      <c r="J92" s="303">
        <f t="shared" ref="J92:L94" si="62">AVERAGE(J84,J88)</f>
        <v>0.8</v>
      </c>
      <c r="K92" s="303">
        <f t="shared" si="62"/>
        <v>0.8</v>
      </c>
      <c r="L92" s="303">
        <f t="shared" si="62"/>
        <v>0.8</v>
      </c>
      <c r="M92" s="304">
        <f t="shared" si="56"/>
        <v>0.80000000000000016</v>
      </c>
      <c r="N92" s="303">
        <f t="shared" ref="N92:P94" si="63">AVERAGE(N84,N88)</f>
        <v>0.8</v>
      </c>
      <c r="O92" s="303">
        <f t="shared" si="63"/>
        <v>0.8</v>
      </c>
      <c r="P92" s="303">
        <f t="shared" si="63"/>
        <v>0.8</v>
      </c>
      <c r="Q92" s="304">
        <f t="shared" si="57"/>
        <v>0.80000000000000016</v>
      </c>
      <c r="R92" s="303">
        <f t="shared" ref="R92:T94" si="64">AVERAGE(R84,R88)</f>
        <v>0.8</v>
      </c>
      <c r="S92" s="303">
        <f t="shared" si="64"/>
        <v>0.8</v>
      </c>
      <c r="T92" s="303">
        <f t="shared" si="64"/>
        <v>0.8</v>
      </c>
      <c r="U92" s="304">
        <f t="shared" si="58"/>
        <v>0.80000000000000016</v>
      </c>
      <c r="V92" s="303">
        <f t="shared" ref="V92:X94" si="65">AVERAGE(V84,V88)</f>
        <v>0.8</v>
      </c>
      <c r="W92" s="303">
        <f t="shared" si="65"/>
        <v>0.8</v>
      </c>
      <c r="X92" s="303">
        <f t="shared" si="65"/>
        <v>0.8</v>
      </c>
      <c r="Y92" s="304">
        <f t="shared" si="59"/>
        <v>0.80000000000000016</v>
      </c>
    </row>
    <row r="93" spans="1:25" ht="12.75" hidden="1" customHeight="1" outlineLevel="1" x14ac:dyDescent="0.2">
      <c r="A93" s="198" t="str">
        <f>"      "&amp;Labels!B386</f>
        <v xml:space="preserve">      Prof Level 2</v>
      </c>
      <c r="B93" s="303">
        <f t="shared" si="60"/>
        <v>0.8</v>
      </c>
      <c r="C93" s="303">
        <f t="shared" si="60"/>
        <v>0.8</v>
      </c>
      <c r="D93" s="303">
        <f t="shared" si="60"/>
        <v>0.8</v>
      </c>
      <c r="E93" s="304">
        <f t="shared" si="54"/>
        <v>0.80000000000000016</v>
      </c>
      <c r="F93" s="303">
        <f t="shared" si="61"/>
        <v>0.8</v>
      </c>
      <c r="G93" s="303">
        <f t="shared" si="61"/>
        <v>0.8</v>
      </c>
      <c r="H93" s="303">
        <f t="shared" si="61"/>
        <v>0.8</v>
      </c>
      <c r="I93" s="304">
        <f t="shared" si="55"/>
        <v>0.80000000000000016</v>
      </c>
      <c r="J93" s="303">
        <f t="shared" si="62"/>
        <v>0.8</v>
      </c>
      <c r="K93" s="303">
        <f t="shared" si="62"/>
        <v>0.8</v>
      </c>
      <c r="L93" s="303">
        <f t="shared" si="62"/>
        <v>0.8</v>
      </c>
      <c r="M93" s="304">
        <f t="shared" si="56"/>
        <v>0.80000000000000016</v>
      </c>
      <c r="N93" s="303">
        <f t="shared" si="63"/>
        <v>0.8</v>
      </c>
      <c r="O93" s="303">
        <f t="shared" si="63"/>
        <v>0.8</v>
      </c>
      <c r="P93" s="303">
        <f t="shared" si="63"/>
        <v>0.8</v>
      </c>
      <c r="Q93" s="304">
        <f t="shared" si="57"/>
        <v>0.80000000000000016</v>
      </c>
      <c r="R93" s="303">
        <f t="shared" si="64"/>
        <v>0.8</v>
      </c>
      <c r="S93" s="303">
        <f t="shared" si="64"/>
        <v>0.8</v>
      </c>
      <c r="T93" s="303">
        <f t="shared" si="64"/>
        <v>0.8</v>
      </c>
      <c r="U93" s="304">
        <f t="shared" si="58"/>
        <v>0.80000000000000016</v>
      </c>
      <c r="V93" s="303">
        <f t="shared" si="65"/>
        <v>0.8</v>
      </c>
      <c r="W93" s="303">
        <f t="shared" si="65"/>
        <v>0.8</v>
      </c>
      <c r="X93" s="303">
        <f t="shared" si="65"/>
        <v>0.8</v>
      </c>
      <c r="Y93" s="304">
        <f t="shared" si="59"/>
        <v>0.80000000000000016</v>
      </c>
    </row>
    <row r="94" spans="1:25" ht="12.75" hidden="1" customHeight="1" outlineLevel="1" x14ac:dyDescent="0.2">
      <c r="A94" s="220" t="str">
        <f>"      "&amp;Labels!C384</f>
        <v xml:space="preserve">      Total</v>
      </c>
      <c r="B94" s="277">
        <f t="shared" si="60"/>
        <v>0.8</v>
      </c>
      <c r="C94" s="277">
        <f t="shared" si="60"/>
        <v>0.8</v>
      </c>
      <c r="D94" s="277">
        <f t="shared" si="60"/>
        <v>0.8</v>
      </c>
      <c r="E94" s="305">
        <f>AVERAGE(B91:D91)</f>
        <v>0.80000000000000016</v>
      </c>
      <c r="F94" s="277">
        <f t="shared" si="61"/>
        <v>0.8</v>
      </c>
      <c r="G94" s="277">
        <f t="shared" si="61"/>
        <v>0.8</v>
      </c>
      <c r="H94" s="277">
        <f t="shared" si="61"/>
        <v>0.8</v>
      </c>
      <c r="I94" s="305">
        <f>AVERAGE(F91:H91)</f>
        <v>0.80000000000000016</v>
      </c>
      <c r="J94" s="277">
        <f t="shared" si="62"/>
        <v>0.8</v>
      </c>
      <c r="K94" s="277">
        <f t="shared" si="62"/>
        <v>0.8</v>
      </c>
      <c r="L94" s="277">
        <f t="shared" si="62"/>
        <v>0.8</v>
      </c>
      <c r="M94" s="305">
        <f>AVERAGE(J91:L91)</f>
        <v>0.80000000000000016</v>
      </c>
      <c r="N94" s="277">
        <f t="shared" si="63"/>
        <v>0.8</v>
      </c>
      <c r="O94" s="277">
        <f t="shared" si="63"/>
        <v>0.8</v>
      </c>
      <c r="P94" s="277">
        <f t="shared" si="63"/>
        <v>0.8</v>
      </c>
      <c r="Q94" s="305">
        <f>AVERAGE(N91:P91)</f>
        <v>0.80000000000000016</v>
      </c>
      <c r="R94" s="277">
        <f t="shared" si="64"/>
        <v>0.8</v>
      </c>
      <c r="S94" s="277">
        <f t="shared" si="64"/>
        <v>0.8</v>
      </c>
      <c r="T94" s="277">
        <f t="shared" si="64"/>
        <v>0.8</v>
      </c>
      <c r="U94" s="305">
        <f>AVERAGE(R91:T91)</f>
        <v>0.80000000000000016</v>
      </c>
      <c r="V94" s="277">
        <f t="shared" si="65"/>
        <v>0.8</v>
      </c>
      <c r="W94" s="277">
        <f t="shared" si="65"/>
        <v>0.8</v>
      </c>
      <c r="X94" s="277">
        <f t="shared" si="65"/>
        <v>0.8</v>
      </c>
      <c r="Y94" s="305">
        <f>AVERAGE(V91:X91)</f>
        <v>0.80000000000000016</v>
      </c>
    </row>
    <row r="95" spans="1:25" ht="12.75" hidden="1" customHeight="1" outlineLevel="1" collapsed="1" x14ac:dyDescent="0.2"/>
    <row r="96" spans="1:25" ht="12.75" customHeight="1" collapsed="1" x14ac:dyDescent="0.2"/>
    <row r="97" spans="1:25" ht="12.75" customHeight="1" collapsed="1" x14ac:dyDescent="0.2">
      <c r="A97" s="466" t="str">
        <f>"Professional Staff Billed"</f>
        <v>Professional Staff Billed</v>
      </c>
      <c r="B97" s="466"/>
    </row>
    <row r="98" spans="1:25" ht="12.75" hidden="1" customHeight="1" outlineLevel="1" x14ac:dyDescent="0.2">
      <c r="A98" s="466" t="str">
        <f>""</f>
        <v/>
      </c>
      <c r="B98" s="466"/>
    </row>
    <row r="99" spans="1:25" ht="12.75" hidden="1" customHeight="1" outlineLevel="1" x14ac:dyDescent="0.2">
      <c r="B99" s="9" t="str">
        <f>'(FnCalls 1)'!F41</f>
        <v>MMM 2010</v>
      </c>
      <c r="C99" s="10" t="str">
        <f>'(FnCalls 1)'!F42</f>
        <v>MMM 2010</v>
      </c>
      <c r="D99" s="10" t="str">
        <f>'(FnCalls 1)'!F43</f>
        <v>MMM 2010</v>
      </c>
      <c r="E99" s="181" t="str">
        <f>'(FnCalls 1)'!G41</f>
        <v>Q1 2010</v>
      </c>
      <c r="F99" s="10" t="str">
        <f>'(FnCalls 1)'!F44</f>
        <v>MMM 2010</v>
      </c>
      <c r="G99" s="10" t="str">
        <f>'(FnCalls 1)'!F45</f>
        <v>MMM 2010</v>
      </c>
      <c r="H99" s="10" t="str">
        <f>'(FnCalls 1)'!F46</f>
        <v>MMM 2010</v>
      </c>
      <c r="I99" s="181" t="str">
        <f>'(FnCalls 1)'!G44</f>
        <v>Q2 2010</v>
      </c>
      <c r="J99" s="10" t="str">
        <f>'(FnCalls 1)'!F47</f>
        <v>MMM 2010</v>
      </c>
      <c r="K99" s="10" t="str">
        <f>'(FnCalls 1)'!F48</f>
        <v>MMM 2010</v>
      </c>
      <c r="L99" s="10" t="str">
        <f>'(FnCalls 1)'!F49</f>
        <v>MMM 2010</v>
      </c>
      <c r="M99" s="181" t="str">
        <f>'(FnCalls 1)'!G47</f>
        <v>Q3 2010</v>
      </c>
      <c r="N99" s="10" t="str">
        <f>'(FnCalls 1)'!F50</f>
        <v>MMM 2010</v>
      </c>
      <c r="O99" s="10" t="str">
        <f>'(FnCalls 1)'!F51</f>
        <v>MMM 2010</v>
      </c>
      <c r="P99" s="10" t="str">
        <f>'(FnCalls 1)'!F52</f>
        <v>MMM 2010</v>
      </c>
      <c r="Q99" s="181" t="str">
        <f>'(FnCalls 1)'!G50</f>
        <v>Q4 2010</v>
      </c>
      <c r="R99" s="10" t="str">
        <f>'(FnCalls 1)'!F53</f>
        <v>MMM 2011</v>
      </c>
      <c r="S99" s="10" t="str">
        <f>'(FnCalls 1)'!F54</f>
        <v>MMM 2011</v>
      </c>
      <c r="T99" s="10" t="str">
        <f>'(FnCalls 1)'!F55</f>
        <v>MMM 2011</v>
      </c>
      <c r="U99" s="181" t="str">
        <f>'(FnCalls 1)'!G53</f>
        <v>Q1 2011</v>
      </c>
      <c r="V99" s="10" t="str">
        <f>'(FnCalls 1)'!F56</f>
        <v>MMM 2011</v>
      </c>
      <c r="W99" s="10" t="str">
        <f>'(FnCalls 1)'!F57</f>
        <v>MMM 2011</v>
      </c>
      <c r="X99" s="10" t="str">
        <f>'(FnCalls 1)'!F58</f>
        <v>MMM 2011</v>
      </c>
      <c r="Y99" s="181" t="str">
        <f>'(FnCalls 1)'!G56</f>
        <v>Q2 2011</v>
      </c>
    </row>
    <row r="100" spans="1:25" ht="12.75" hidden="1" customHeight="1" outlineLevel="1" x14ac:dyDescent="0.2">
      <c r="A100" s="182" t="str">
        <f>Labels!B182</f>
        <v>Prof Staff Hours Billed</v>
      </c>
      <c r="B100" s="223"/>
      <c r="C100" s="223"/>
      <c r="D100" s="223"/>
      <c r="E100" s="224"/>
      <c r="F100" s="223"/>
      <c r="G100" s="223"/>
      <c r="H100" s="223"/>
      <c r="I100" s="224"/>
      <c r="J100" s="223"/>
      <c r="K100" s="223"/>
      <c r="L100" s="223"/>
      <c r="M100" s="224"/>
      <c r="N100" s="223"/>
      <c r="O100" s="223"/>
      <c r="P100" s="223"/>
      <c r="Q100" s="224"/>
      <c r="R100" s="223"/>
      <c r="S100" s="223"/>
      <c r="T100" s="223"/>
      <c r="U100" s="224"/>
      <c r="V100" s="223"/>
      <c r="W100" s="223"/>
      <c r="X100" s="223"/>
      <c r="Y100" s="224"/>
    </row>
    <row r="101" spans="1:25" ht="12.75" hidden="1" customHeight="1" outlineLevel="1" x14ac:dyDescent="0.2">
      <c r="A101" s="188" t="str">
        <f>"   "&amp;Labels!B381</f>
        <v xml:space="preserve">   Practice 1</v>
      </c>
      <c r="B101" s="166"/>
      <c r="C101" s="166"/>
      <c r="D101" s="166"/>
      <c r="E101" s="225"/>
      <c r="F101" s="166"/>
      <c r="G101" s="166"/>
      <c r="H101" s="166"/>
      <c r="I101" s="225"/>
      <c r="J101" s="166"/>
      <c r="K101" s="166"/>
      <c r="L101" s="166"/>
      <c r="M101" s="225"/>
      <c r="N101" s="166"/>
      <c r="O101" s="166"/>
      <c r="P101" s="166"/>
      <c r="Q101" s="225"/>
      <c r="R101" s="166"/>
      <c r="S101" s="166"/>
      <c r="T101" s="166"/>
      <c r="U101" s="225"/>
      <c r="V101" s="166"/>
      <c r="W101" s="166"/>
      <c r="X101" s="166"/>
      <c r="Y101" s="225"/>
    </row>
    <row r="102" spans="1:25" ht="12.75" hidden="1" customHeight="1" outlineLevel="1" x14ac:dyDescent="0.2">
      <c r="A102" s="198" t="str">
        <f>"      "&amp;Labels!B385</f>
        <v xml:space="preserve">      Prof Level 1</v>
      </c>
      <c r="B102" s="237"/>
      <c r="C102" s="237"/>
      <c r="D102" s="237"/>
      <c r="E102" s="238"/>
      <c r="F102" s="237"/>
      <c r="G102" s="237"/>
      <c r="H102" s="237"/>
      <c r="I102" s="238"/>
      <c r="J102" s="237"/>
      <c r="K102" s="237"/>
      <c r="L102" s="237"/>
      <c r="M102" s="238"/>
      <c r="N102" s="237"/>
      <c r="O102" s="237"/>
      <c r="P102" s="237"/>
      <c r="Q102" s="238"/>
      <c r="R102" s="237"/>
      <c r="S102" s="237"/>
      <c r="T102" s="237"/>
      <c r="U102" s="238"/>
      <c r="V102" s="237"/>
      <c r="W102" s="237"/>
      <c r="X102" s="237"/>
      <c r="Y102" s="238"/>
    </row>
    <row r="103" spans="1:25" ht="12.75" hidden="1" customHeight="1" outlineLevel="1" x14ac:dyDescent="0.2">
      <c r="A103" s="198" t="str">
        <f>"         "&amp;Labels!B317</f>
        <v xml:space="preserve">         Channels 1</v>
      </c>
      <c r="B103" s="262">
        <f>Sales!B184</f>
        <v>0</v>
      </c>
      <c r="C103" s="262">
        <f>Sales!C184</f>
        <v>0</v>
      </c>
      <c r="D103" s="262">
        <f>Sales!D184</f>
        <v>137.5</v>
      </c>
      <c r="E103" s="217">
        <f>SUM(B103:D103)</f>
        <v>137.5</v>
      </c>
      <c r="F103" s="262">
        <f>Sales!F184</f>
        <v>137.5</v>
      </c>
      <c r="G103" s="262">
        <f>Sales!G184</f>
        <v>0</v>
      </c>
      <c r="H103" s="262">
        <f>Sales!H184</f>
        <v>100</v>
      </c>
      <c r="I103" s="217">
        <f>SUM(F103:H103)</f>
        <v>237.5</v>
      </c>
      <c r="J103" s="262">
        <f>Sales!J184</f>
        <v>100</v>
      </c>
      <c r="K103" s="262">
        <f>Sales!K184</f>
        <v>100</v>
      </c>
      <c r="L103" s="262">
        <f>Sales!L184</f>
        <v>0</v>
      </c>
      <c r="M103" s="217">
        <f>SUM(J103:L103)</f>
        <v>200</v>
      </c>
      <c r="N103" s="262">
        <f>Sales!N184</f>
        <v>0</v>
      </c>
      <c r="O103" s="262">
        <f>Sales!O184</f>
        <v>0</v>
      </c>
      <c r="P103" s="262">
        <f>Sales!P184</f>
        <v>0</v>
      </c>
      <c r="Q103" s="217">
        <f>SUM(N103:P103)</f>
        <v>0</v>
      </c>
      <c r="R103" s="262">
        <f>Sales!R184</f>
        <v>0</v>
      </c>
      <c r="S103" s="262">
        <f>Sales!S184</f>
        <v>0</v>
      </c>
      <c r="T103" s="262">
        <f>Sales!T184</f>
        <v>0</v>
      </c>
      <c r="U103" s="217">
        <f>SUM(R103:T103)</f>
        <v>0</v>
      </c>
      <c r="V103" s="262">
        <f>Sales!V184</f>
        <v>0</v>
      </c>
      <c r="W103" s="262">
        <f>Sales!W184</f>
        <v>0</v>
      </c>
      <c r="X103" s="262">
        <f>Sales!X184</f>
        <v>0</v>
      </c>
      <c r="Y103" s="217">
        <f>SUM(V103:X103)</f>
        <v>0</v>
      </c>
    </row>
    <row r="104" spans="1:25" ht="12.75" hidden="1" customHeight="1" outlineLevel="1" x14ac:dyDescent="0.2">
      <c r="A104" s="198" t="str">
        <f>"         "&amp;Labels!B318</f>
        <v xml:space="preserve">         Channels 2</v>
      </c>
      <c r="B104" s="262">
        <f>Sales!B185</f>
        <v>0</v>
      </c>
      <c r="C104" s="262">
        <f>Sales!C185</f>
        <v>0</v>
      </c>
      <c r="D104" s="262">
        <f>Sales!D185</f>
        <v>137.5</v>
      </c>
      <c r="E104" s="217">
        <f>SUM(B104:D104)</f>
        <v>137.5</v>
      </c>
      <c r="F104" s="262">
        <f>Sales!F185</f>
        <v>137.5</v>
      </c>
      <c r="G104" s="262">
        <f>Sales!G185</f>
        <v>0</v>
      </c>
      <c r="H104" s="262">
        <f>Sales!H185</f>
        <v>100</v>
      </c>
      <c r="I104" s="217">
        <f>SUM(F104:H104)</f>
        <v>237.5</v>
      </c>
      <c r="J104" s="262">
        <f>Sales!J185</f>
        <v>100</v>
      </c>
      <c r="K104" s="262">
        <f>Sales!K185</f>
        <v>100</v>
      </c>
      <c r="L104" s="262">
        <f>Sales!L185</f>
        <v>0</v>
      </c>
      <c r="M104" s="217">
        <f>SUM(J104:L104)</f>
        <v>200</v>
      </c>
      <c r="N104" s="262">
        <f>Sales!N185</f>
        <v>0</v>
      </c>
      <c r="O104" s="262">
        <f>Sales!O185</f>
        <v>0</v>
      </c>
      <c r="P104" s="262">
        <f>Sales!P185</f>
        <v>0</v>
      </c>
      <c r="Q104" s="217">
        <f>SUM(N104:P104)</f>
        <v>0</v>
      </c>
      <c r="R104" s="262">
        <f>Sales!R185</f>
        <v>0</v>
      </c>
      <c r="S104" s="262">
        <f>Sales!S185</f>
        <v>0</v>
      </c>
      <c r="T104" s="262">
        <f>Sales!T185</f>
        <v>0</v>
      </c>
      <c r="U104" s="217">
        <f>SUM(R104:T104)</f>
        <v>0</v>
      </c>
      <c r="V104" s="262">
        <f>Sales!V185</f>
        <v>0</v>
      </c>
      <c r="W104" s="262">
        <f>Sales!W185</f>
        <v>0</v>
      </c>
      <c r="X104" s="262">
        <f>Sales!X185</f>
        <v>0</v>
      </c>
      <c r="Y104" s="217">
        <f>SUM(V104:X104)</f>
        <v>0</v>
      </c>
    </row>
    <row r="105" spans="1:25" ht="12.75" hidden="1" customHeight="1" outlineLevel="1" x14ac:dyDescent="0.2">
      <c r="A105" s="198" t="str">
        <f>"         "&amp;Labels!C316</f>
        <v xml:space="preserve">         Total</v>
      </c>
      <c r="B105" s="237">
        <f>SUM(B103:B104)</f>
        <v>0</v>
      </c>
      <c r="C105" s="237">
        <f>SUM(C103:C104)</f>
        <v>0</v>
      </c>
      <c r="D105" s="237">
        <f>SUM(D103:D104)</f>
        <v>275</v>
      </c>
      <c r="E105" s="238">
        <f>SUM(B105:D105)</f>
        <v>275</v>
      </c>
      <c r="F105" s="237">
        <f>SUM(F103:F104)</f>
        <v>275</v>
      </c>
      <c r="G105" s="237">
        <f>SUM(G103:G104)</f>
        <v>0</v>
      </c>
      <c r="H105" s="237">
        <f>SUM(H103:H104)</f>
        <v>200</v>
      </c>
      <c r="I105" s="238">
        <f>SUM(F105:H105)</f>
        <v>475</v>
      </c>
      <c r="J105" s="237">
        <f>SUM(J103:J104)</f>
        <v>200</v>
      </c>
      <c r="K105" s="237">
        <f>SUM(K103:K104)</f>
        <v>200</v>
      </c>
      <c r="L105" s="237">
        <f>SUM(L103:L104)</f>
        <v>0</v>
      </c>
      <c r="M105" s="238">
        <f>SUM(J105:L105)</f>
        <v>400</v>
      </c>
      <c r="N105" s="237">
        <f>SUM(N103:N104)</f>
        <v>0</v>
      </c>
      <c r="O105" s="237">
        <f>SUM(O103:O104)</f>
        <v>0</v>
      </c>
      <c r="P105" s="237">
        <f>SUM(P103:P104)</f>
        <v>0</v>
      </c>
      <c r="Q105" s="238">
        <f>SUM(N105:P105)</f>
        <v>0</v>
      </c>
      <c r="R105" s="237">
        <f>SUM(R103:R104)</f>
        <v>0</v>
      </c>
      <c r="S105" s="237">
        <f>SUM(S103:S104)</f>
        <v>0</v>
      </c>
      <c r="T105" s="237">
        <f>SUM(T103:T104)</f>
        <v>0</v>
      </c>
      <c r="U105" s="238">
        <f>SUM(R105:T105)</f>
        <v>0</v>
      </c>
      <c r="V105" s="237">
        <f>SUM(V103:V104)</f>
        <v>0</v>
      </c>
      <c r="W105" s="237">
        <f>SUM(W103:W104)</f>
        <v>0</v>
      </c>
      <c r="X105" s="237">
        <f>SUM(X103:X104)</f>
        <v>0</v>
      </c>
      <c r="Y105" s="238">
        <f>SUM(V105:X105)</f>
        <v>0</v>
      </c>
    </row>
    <row r="106" spans="1:25" ht="12.75" hidden="1" customHeight="1" outlineLevel="1" x14ac:dyDescent="0.2">
      <c r="A106" s="198" t="str">
        <f>"      "&amp;Labels!B386</f>
        <v xml:space="preserve">      Prof Level 2</v>
      </c>
      <c r="B106" s="237"/>
      <c r="C106" s="237"/>
      <c r="D106" s="237"/>
      <c r="E106" s="238"/>
      <c r="F106" s="237"/>
      <c r="G106" s="237"/>
      <c r="H106" s="237"/>
      <c r="I106" s="238"/>
      <c r="J106" s="237"/>
      <c r="K106" s="237"/>
      <c r="L106" s="237"/>
      <c r="M106" s="238"/>
      <c r="N106" s="237"/>
      <c r="O106" s="237"/>
      <c r="P106" s="237"/>
      <c r="Q106" s="238"/>
      <c r="R106" s="237"/>
      <c r="S106" s="237"/>
      <c r="T106" s="237"/>
      <c r="U106" s="238"/>
      <c r="V106" s="237"/>
      <c r="W106" s="237"/>
      <c r="X106" s="237"/>
      <c r="Y106" s="238"/>
    </row>
    <row r="107" spans="1:25" ht="12.75" hidden="1" customHeight="1" outlineLevel="1" x14ac:dyDescent="0.2">
      <c r="A107" s="198" t="str">
        <f>"         "&amp;Labels!B317</f>
        <v xml:space="preserve">         Channels 1</v>
      </c>
      <c r="B107" s="262">
        <f>Sales!B188</f>
        <v>0</v>
      </c>
      <c r="C107" s="262">
        <f>Sales!C188</f>
        <v>0</v>
      </c>
      <c r="D107" s="262">
        <f>Sales!D188</f>
        <v>137.5</v>
      </c>
      <c r="E107" s="217">
        <f t="shared" ref="E107:E112" si="66">SUM(B107:D107)</f>
        <v>137.5</v>
      </c>
      <c r="F107" s="262">
        <f>Sales!F188</f>
        <v>137.5</v>
      </c>
      <c r="G107" s="262">
        <f>Sales!G188</f>
        <v>0</v>
      </c>
      <c r="H107" s="262">
        <f>Sales!H188</f>
        <v>100</v>
      </c>
      <c r="I107" s="217">
        <f t="shared" ref="I107:I112" si="67">SUM(F107:H107)</f>
        <v>237.5</v>
      </c>
      <c r="J107" s="262">
        <f>Sales!J188</f>
        <v>100</v>
      </c>
      <c r="K107" s="262">
        <f>Sales!K188</f>
        <v>100</v>
      </c>
      <c r="L107" s="262">
        <f>Sales!L188</f>
        <v>0</v>
      </c>
      <c r="M107" s="217">
        <f t="shared" ref="M107:M112" si="68">SUM(J107:L107)</f>
        <v>200</v>
      </c>
      <c r="N107" s="262">
        <f>Sales!N188</f>
        <v>0</v>
      </c>
      <c r="O107" s="262">
        <f>Sales!O188</f>
        <v>0</v>
      </c>
      <c r="P107" s="262">
        <f>Sales!P188</f>
        <v>0</v>
      </c>
      <c r="Q107" s="217">
        <f t="shared" ref="Q107:Q112" si="69">SUM(N107:P107)</f>
        <v>0</v>
      </c>
      <c r="R107" s="262">
        <f>Sales!R188</f>
        <v>0</v>
      </c>
      <c r="S107" s="262">
        <f>Sales!S188</f>
        <v>0</v>
      </c>
      <c r="T107" s="262">
        <f>Sales!T188</f>
        <v>0</v>
      </c>
      <c r="U107" s="217">
        <f t="shared" ref="U107:U112" si="70">SUM(R107:T107)</f>
        <v>0</v>
      </c>
      <c r="V107" s="262">
        <f>Sales!V188</f>
        <v>0</v>
      </c>
      <c r="W107" s="262">
        <f>Sales!W188</f>
        <v>0</v>
      </c>
      <c r="X107" s="262">
        <f>Sales!X188</f>
        <v>0</v>
      </c>
      <c r="Y107" s="217">
        <f t="shared" ref="Y107:Y112" si="71">SUM(V107:X107)</f>
        <v>0</v>
      </c>
    </row>
    <row r="108" spans="1:25" ht="12.75" hidden="1" customHeight="1" outlineLevel="1" x14ac:dyDescent="0.2">
      <c r="A108" s="198" t="str">
        <f>"         "&amp;Labels!B318</f>
        <v xml:space="preserve">         Channels 2</v>
      </c>
      <c r="B108" s="262">
        <f>Sales!B189</f>
        <v>0</v>
      </c>
      <c r="C108" s="262">
        <f>Sales!C189</f>
        <v>0</v>
      </c>
      <c r="D108" s="262">
        <f>Sales!D189</f>
        <v>137.5</v>
      </c>
      <c r="E108" s="217">
        <f t="shared" si="66"/>
        <v>137.5</v>
      </c>
      <c r="F108" s="262">
        <f>Sales!F189</f>
        <v>137.5</v>
      </c>
      <c r="G108" s="262">
        <f>Sales!G189</f>
        <v>0</v>
      </c>
      <c r="H108" s="262">
        <f>Sales!H189</f>
        <v>100</v>
      </c>
      <c r="I108" s="217">
        <f t="shared" si="67"/>
        <v>237.5</v>
      </c>
      <c r="J108" s="262">
        <f>Sales!J189</f>
        <v>100</v>
      </c>
      <c r="K108" s="262">
        <f>Sales!K189</f>
        <v>100</v>
      </c>
      <c r="L108" s="262">
        <f>Sales!L189</f>
        <v>0</v>
      </c>
      <c r="M108" s="217">
        <f t="shared" si="68"/>
        <v>200</v>
      </c>
      <c r="N108" s="262">
        <f>Sales!N189</f>
        <v>0</v>
      </c>
      <c r="O108" s="262">
        <f>Sales!O189</f>
        <v>0</v>
      </c>
      <c r="P108" s="262">
        <f>Sales!P189</f>
        <v>0</v>
      </c>
      <c r="Q108" s="217">
        <f t="shared" si="69"/>
        <v>0</v>
      </c>
      <c r="R108" s="262">
        <f>Sales!R189</f>
        <v>0</v>
      </c>
      <c r="S108" s="262">
        <f>Sales!S189</f>
        <v>0</v>
      </c>
      <c r="T108" s="262">
        <f>Sales!T189</f>
        <v>0</v>
      </c>
      <c r="U108" s="217">
        <f t="shared" si="70"/>
        <v>0</v>
      </c>
      <c r="V108" s="262">
        <f>Sales!V189</f>
        <v>0</v>
      </c>
      <c r="W108" s="262">
        <f>Sales!W189</f>
        <v>0</v>
      </c>
      <c r="X108" s="262">
        <f>Sales!X189</f>
        <v>0</v>
      </c>
      <c r="Y108" s="217">
        <f t="shared" si="71"/>
        <v>0</v>
      </c>
    </row>
    <row r="109" spans="1:25" ht="12.75" hidden="1" customHeight="1" outlineLevel="1" x14ac:dyDescent="0.2">
      <c r="A109" s="198" t="str">
        <f>"         "&amp;Labels!C316</f>
        <v xml:space="preserve">         Total</v>
      </c>
      <c r="B109" s="237">
        <f>SUM(B107:B108)</f>
        <v>0</v>
      </c>
      <c r="C109" s="237">
        <f>SUM(C107:C108)</f>
        <v>0</v>
      </c>
      <c r="D109" s="237">
        <f>SUM(D107:D108)</f>
        <v>275</v>
      </c>
      <c r="E109" s="238">
        <f t="shared" si="66"/>
        <v>275</v>
      </c>
      <c r="F109" s="237">
        <f>SUM(F107:F108)</f>
        <v>275</v>
      </c>
      <c r="G109" s="237">
        <f>SUM(G107:G108)</f>
        <v>0</v>
      </c>
      <c r="H109" s="237">
        <f>SUM(H107:H108)</f>
        <v>200</v>
      </c>
      <c r="I109" s="238">
        <f t="shared" si="67"/>
        <v>475</v>
      </c>
      <c r="J109" s="237">
        <f>SUM(J107:J108)</f>
        <v>200</v>
      </c>
      <c r="K109" s="237">
        <f>SUM(K107:K108)</f>
        <v>200</v>
      </c>
      <c r="L109" s="237">
        <f>SUM(L107:L108)</f>
        <v>0</v>
      </c>
      <c r="M109" s="238">
        <f t="shared" si="68"/>
        <v>400</v>
      </c>
      <c r="N109" s="237">
        <f>SUM(N107:N108)</f>
        <v>0</v>
      </c>
      <c r="O109" s="237">
        <f>SUM(O107:O108)</f>
        <v>0</v>
      </c>
      <c r="P109" s="237">
        <f>SUM(P107:P108)</f>
        <v>0</v>
      </c>
      <c r="Q109" s="238">
        <f t="shared" si="69"/>
        <v>0</v>
      </c>
      <c r="R109" s="237">
        <f>SUM(R107:R108)</f>
        <v>0</v>
      </c>
      <c r="S109" s="237">
        <f>SUM(S107:S108)</f>
        <v>0</v>
      </c>
      <c r="T109" s="237">
        <f>SUM(T107:T108)</f>
        <v>0</v>
      </c>
      <c r="U109" s="238">
        <f t="shared" si="70"/>
        <v>0</v>
      </c>
      <c r="V109" s="237">
        <f>SUM(V107:V108)</f>
        <v>0</v>
      </c>
      <c r="W109" s="237">
        <f>SUM(W107:W108)</f>
        <v>0</v>
      </c>
      <c r="X109" s="237">
        <f>SUM(X107:X108)</f>
        <v>0</v>
      </c>
      <c r="Y109" s="238">
        <f t="shared" si="71"/>
        <v>0</v>
      </c>
    </row>
    <row r="110" spans="1:25" ht="12.75" hidden="1" customHeight="1" outlineLevel="1" x14ac:dyDescent="0.2">
      <c r="A110" s="188" t="str">
        <f>"      "&amp;Labels!C384</f>
        <v xml:space="preserve">      Total</v>
      </c>
      <c r="B110" s="166">
        <f>SUM(B105,B109)</f>
        <v>0</v>
      </c>
      <c r="C110" s="166">
        <f>SUM(C105,C109)</f>
        <v>0</v>
      </c>
      <c r="D110" s="166">
        <f>SUM(D105,D109)</f>
        <v>550</v>
      </c>
      <c r="E110" s="225">
        <f t="shared" si="66"/>
        <v>550</v>
      </c>
      <c r="F110" s="166">
        <f>SUM(F105,F109)</f>
        <v>550</v>
      </c>
      <c r="G110" s="166">
        <f>SUM(G105,G109)</f>
        <v>0</v>
      </c>
      <c r="H110" s="166">
        <f>SUM(H105,H109)</f>
        <v>400</v>
      </c>
      <c r="I110" s="225">
        <f t="shared" si="67"/>
        <v>950</v>
      </c>
      <c r="J110" s="166">
        <f>SUM(J105,J109)</f>
        <v>400</v>
      </c>
      <c r="K110" s="166">
        <f>SUM(K105,K109)</f>
        <v>400</v>
      </c>
      <c r="L110" s="166">
        <f>SUM(L105,L109)</f>
        <v>0</v>
      </c>
      <c r="M110" s="225">
        <f t="shared" si="68"/>
        <v>800</v>
      </c>
      <c r="N110" s="166">
        <f>SUM(N105,N109)</f>
        <v>0</v>
      </c>
      <c r="O110" s="166">
        <f>SUM(O105,O109)</f>
        <v>0</v>
      </c>
      <c r="P110" s="166">
        <f>SUM(P105,P109)</f>
        <v>0</v>
      </c>
      <c r="Q110" s="225">
        <f t="shared" si="69"/>
        <v>0</v>
      </c>
      <c r="R110" s="166">
        <f>SUM(R105,R109)</f>
        <v>0</v>
      </c>
      <c r="S110" s="166">
        <f>SUM(S105,S109)</f>
        <v>0</v>
      </c>
      <c r="T110" s="166">
        <f>SUM(T105,T109)</f>
        <v>0</v>
      </c>
      <c r="U110" s="225">
        <f t="shared" si="70"/>
        <v>0</v>
      </c>
      <c r="V110" s="166">
        <f>SUM(V105,V109)</f>
        <v>0</v>
      </c>
      <c r="W110" s="166">
        <f>SUM(W105,W109)</f>
        <v>0</v>
      </c>
      <c r="X110" s="166">
        <f>SUM(X105,X109)</f>
        <v>0</v>
      </c>
      <c r="Y110" s="225">
        <f t="shared" si="71"/>
        <v>0</v>
      </c>
    </row>
    <row r="111" spans="1:25" ht="12.75" hidden="1" customHeight="1" outlineLevel="1" x14ac:dyDescent="0.2">
      <c r="A111" s="198" t="str">
        <f>"         "&amp;Labels!B317</f>
        <v xml:space="preserve">         Channels 1</v>
      </c>
      <c r="B111" s="262">
        <f t="shared" ref="B111:D113" si="72">SUM(B103,B107)</f>
        <v>0</v>
      </c>
      <c r="C111" s="262">
        <f t="shared" si="72"/>
        <v>0</v>
      </c>
      <c r="D111" s="262">
        <f t="shared" si="72"/>
        <v>275</v>
      </c>
      <c r="E111" s="217">
        <f t="shared" si="66"/>
        <v>275</v>
      </c>
      <c r="F111" s="262">
        <f t="shared" ref="F111:H113" si="73">SUM(F103,F107)</f>
        <v>275</v>
      </c>
      <c r="G111" s="262">
        <f t="shared" si="73"/>
        <v>0</v>
      </c>
      <c r="H111" s="262">
        <f t="shared" si="73"/>
        <v>200</v>
      </c>
      <c r="I111" s="217">
        <f t="shared" si="67"/>
        <v>475</v>
      </c>
      <c r="J111" s="262">
        <f t="shared" ref="J111:L113" si="74">SUM(J103,J107)</f>
        <v>200</v>
      </c>
      <c r="K111" s="262">
        <f t="shared" si="74"/>
        <v>200</v>
      </c>
      <c r="L111" s="262">
        <f t="shared" si="74"/>
        <v>0</v>
      </c>
      <c r="M111" s="217">
        <f t="shared" si="68"/>
        <v>400</v>
      </c>
      <c r="N111" s="262">
        <f t="shared" ref="N111:P113" si="75">SUM(N103,N107)</f>
        <v>0</v>
      </c>
      <c r="O111" s="262">
        <f t="shared" si="75"/>
        <v>0</v>
      </c>
      <c r="P111" s="262">
        <f t="shared" si="75"/>
        <v>0</v>
      </c>
      <c r="Q111" s="217">
        <f t="shared" si="69"/>
        <v>0</v>
      </c>
      <c r="R111" s="262">
        <f t="shared" ref="R111:T113" si="76">SUM(R103,R107)</f>
        <v>0</v>
      </c>
      <c r="S111" s="262">
        <f t="shared" si="76"/>
        <v>0</v>
      </c>
      <c r="T111" s="262">
        <f t="shared" si="76"/>
        <v>0</v>
      </c>
      <c r="U111" s="217">
        <f t="shared" si="70"/>
        <v>0</v>
      </c>
      <c r="V111" s="262">
        <f t="shared" ref="V111:X113" si="77">SUM(V103,V107)</f>
        <v>0</v>
      </c>
      <c r="W111" s="262">
        <f t="shared" si="77"/>
        <v>0</v>
      </c>
      <c r="X111" s="262">
        <f t="shared" si="77"/>
        <v>0</v>
      </c>
      <c r="Y111" s="217">
        <f t="shared" si="71"/>
        <v>0</v>
      </c>
    </row>
    <row r="112" spans="1:25" ht="12.75" hidden="1" customHeight="1" outlineLevel="1" x14ac:dyDescent="0.2">
      <c r="A112" s="198" t="str">
        <f>"         "&amp;Labels!B318</f>
        <v xml:space="preserve">         Channels 2</v>
      </c>
      <c r="B112" s="262">
        <f t="shared" si="72"/>
        <v>0</v>
      </c>
      <c r="C112" s="262">
        <f t="shared" si="72"/>
        <v>0</v>
      </c>
      <c r="D112" s="262">
        <f t="shared" si="72"/>
        <v>275</v>
      </c>
      <c r="E112" s="217">
        <f t="shared" si="66"/>
        <v>275</v>
      </c>
      <c r="F112" s="262">
        <f t="shared" si="73"/>
        <v>275</v>
      </c>
      <c r="G112" s="262">
        <f t="shared" si="73"/>
        <v>0</v>
      </c>
      <c r="H112" s="262">
        <f t="shared" si="73"/>
        <v>200</v>
      </c>
      <c r="I112" s="217">
        <f t="shared" si="67"/>
        <v>475</v>
      </c>
      <c r="J112" s="262">
        <f t="shared" si="74"/>
        <v>200</v>
      </c>
      <c r="K112" s="262">
        <f t="shared" si="74"/>
        <v>200</v>
      </c>
      <c r="L112" s="262">
        <f t="shared" si="74"/>
        <v>0</v>
      </c>
      <c r="M112" s="217">
        <f t="shared" si="68"/>
        <v>400</v>
      </c>
      <c r="N112" s="262">
        <f t="shared" si="75"/>
        <v>0</v>
      </c>
      <c r="O112" s="262">
        <f t="shared" si="75"/>
        <v>0</v>
      </c>
      <c r="P112" s="262">
        <f t="shared" si="75"/>
        <v>0</v>
      </c>
      <c r="Q112" s="217">
        <f t="shared" si="69"/>
        <v>0</v>
      </c>
      <c r="R112" s="262">
        <f t="shared" si="76"/>
        <v>0</v>
      </c>
      <c r="S112" s="262">
        <f t="shared" si="76"/>
        <v>0</v>
      </c>
      <c r="T112" s="262">
        <f t="shared" si="76"/>
        <v>0</v>
      </c>
      <c r="U112" s="217">
        <f t="shared" si="70"/>
        <v>0</v>
      </c>
      <c r="V112" s="262">
        <f t="shared" si="77"/>
        <v>0</v>
      </c>
      <c r="W112" s="262">
        <f t="shared" si="77"/>
        <v>0</v>
      </c>
      <c r="X112" s="262">
        <f t="shared" si="77"/>
        <v>0</v>
      </c>
      <c r="Y112" s="217">
        <f t="shared" si="71"/>
        <v>0</v>
      </c>
    </row>
    <row r="113" spans="1:25" ht="12.75" hidden="1" customHeight="1" outlineLevel="1" x14ac:dyDescent="0.2">
      <c r="A113" s="198" t="str">
        <f>"         "&amp;Labels!C316</f>
        <v xml:space="preserve">         Total</v>
      </c>
      <c r="B113" s="237">
        <f t="shared" si="72"/>
        <v>0</v>
      </c>
      <c r="C113" s="237">
        <f t="shared" si="72"/>
        <v>0</v>
      </c>
      <c r="D113" s="237">
        <f t="shared" si="72"/>
        <v>550</v>
      </c>
      <c r="E113" s="238">
        <f>SUM(B110:D110)</f>
        <v>550</v>
      </c>
      <c r="F113" s="237">
        <f t="shared" si="73"/>
        <v>550</v>
      </c>
      <c r="G113" s="237">
        <f t="shared" si="73"/>
        <v>0</v>
      </c>
      <c r="H113" s="237">
        <f t="shared" si="73"/>
        <v>400</v>
      </c>
      <c r="I113" s="238">
        <f>SUM(F110:H110)</f>
        <v>950</v>
      </c>
      <c r="J113" s="237">
        <f t="shared" si="74"/>
        <v>400</v>
      </c>
      <c r="K113" s="237">
        <f t="shared" si="74"/>
        <v>400</v>
      </c>
      <c r="L113" s="237">
        <f t="shared" si="74"/>
        <v>0</v>
      </c>
      <c r="M113" s="238">
        <f>SUM(J110:L110)</f>
        <v>800</v>
      </c>
      <c r="N113" s="237">
        <f t="shared" si="75"/>
        <v>0</v>
      </c>
      <c r="O113" s="237">
        <f t="shared" si="75"/>
        <v>0</v>
      </c>
      <c r="P113" s="237">
        <f t="shared" si="75"/>
        <v>0</v>
      </c>
      <c r="Q113" s="238">
        <f>SUM(N110:P110)</f>
        <v>0</v>
      </c>
      <c r="R113" s="237">
        <f t="shared" si="76"/>
        <v>0</v>
      </c>
      <c r="S113" s="237">
        <f t="shared" si="76"/>
        <v>0</v>
      </c>
      <c r="T113" s="237">
        <f t="shared" si="76"/>
        <v>0</v>
      </c>
      <c r="U113" s="238">
        <f>SUM(R110:T110)</f>
        <v>0</v>
      </c>
      <c r="V113" s="237">
        <f t="shared" si="77"/>
        <v>0</v>
      </c>
      <c r="W113" s="237">
        <f t="shared" si="77"/>
        <v>0</v>
      </c>
      <c r="X113" s="237">
        <f t="shared" si="77"/>
        <v>0</v>
      </c>
      <c r="Y113" s="238">
        <f>SUM(V110:X110)</f>
        <v>0</v>
      </c>
    </row>
    <row r="114" spans="1:25" ht="12.75" hidden="1" customHeight="1" outlineLevel="1" x14ac:dyDescent="0.2">
      <c r="A114" s="188" t="str">
        <f>"   "&amp;Labels!B382</f>
        <v xml:space="preserve">   Practice 2</v>
      </c>
      <c r="B114" s="166"/>
      <c r="C114" s="166"/>
      <c r="D114" s="166"/>
      <c r="E114" s="225"/>
      <c r="F114" s="166"/>
      <c r="G114" s="166"/>
      <c r="H114" s="166"/>
      <c r="I114" s="225"/>
      <c r="J114" s="166"/>
      <c r="K114" s="166"/>
      <c r="L114" s="166"/>
      <c r="M114" s="225"/>
      <c r="N114" s="166"/>
      <c r="O114" s="166"/>
      <c r="P114" s="166"/>
      <c r="Q114" s="225"/>
      <c r="R114" s="166"/>
      <c r="S114" s="166"/>
      <c r="T114" s="166"/>
      <c r="U114" s="225"/>
      <c r="V114" s="166"/>
      <c r="W114" s="166"/>
      <c r="X114" s="166"/>
      <c r="Y114" s="225"/>
    </row>
    <row r="115" spans="1:25" ht="12.75" hidden="1" customHeight="1" outlineLevel="1" x14ac:dyDescent="0.2">
      <c r="A115" s="198" t="str">
        <f>"      "&amp;Labels!B385</f>
        <v xml:space="preserve">      Prof Level 1</v>
      </c>
      <c r="B115" s="237"/>
      <c r="C115" s="237"/>
      <c r="D115" s="237"/>
      <c r="E115" s="238"/>
      <c r="F115" s="237"/>
      <c r="G115" s="237"/>
      <c r="H115" s="237"/>
      <c r="I115" s="238"/>
      <c r="J115" s="237"/>
      <c r="K115" s="237"/>
      <c r="L115" s="237"/>
      <c r="M115" s="238"/>
      <c r="N115" s="237"/>
      <c r="O115" s="237"/>
      <c r="P115" s="237"/>
      <c r="Q115" s="238"/>
      <c r="R115" s="237"/>
      <c r="S115" s="237"/>
      <c r="T115" s="237"/>
      <c r="U115" s="238"/>
      <c r="V115" s="237"/>
      <c r="W115" s="237"/>
      <c r="X115" s="237"/>
      <c r="Y115" s="238"/>
    </row>
    <row r="116" spans="1:25" ht="12.75" hidden="1" customHeight="1" outlineLevel="1" x14ac:dyDescent="0.2">
      <c r="A116" s="198" t="str">
        <f>"         "&amp;Labels!B317</f>
        <v xml:space="preserve">         Channels 1</v>
      </c>
      <c r="B116" s="262">
        <f>Sales!B197</f>
        <v>0</v>
      </c>
      <c r="C116" s="262">
        <f>Sales!C197</f>
        <v>0</v>
      </c>
      <c r="D116" s="262">
        <f>Sales!D197</f>
        <v>0</v>
      </c>
      <c r="E116" s="217">
        <f>SUM(B116:D116)</f>
        <v>0</v>
      </c>
      <c r="F116" s="262">
        <f>Sales!F197</f>
        <v>0</v>
      </c>
      <c r="G116" s="262">
        <f>Sales!G197</f>
        <v>0</v>
      </c>
      <c r="H116" s="262">
        <f>Sales!H197</f>
        <v>0</v>
      </c>
      <c r="I116" s="217">
        <f>SUM(F116:H116)</f>
        <v>0</v>
      </c>
      <c r="J116" s="262">
        <f>Sales!J197</f>
        <v>0</v>
      </c>
      <c r="K116" s="262">
        <f>Sales!K197</f>
        <v>0</v>
      </c>
      <c r="L116" s="262">
        <f>Sales!L197</f>
        <v>0</v>
      </c>
      <c r="M116" s="217">
        <f>SUM(J116:L116)</f>
        <v>0</v>
      </c>
      <c r="N116" s="262">
        <f>Sales!N197</f>
        <v>0</v>
      </c>
      <c r="O116" s="262">
        <f>Sales!O197</f>
        <v>0</v>
      </c>
      <c r="P116" s="262">
        <f>Sales!P197</f>
        <v>0</v>
      </c>
      <c r="Q116" s="217">
        <f>SUM(N116:P116)</f>
        <v>0</v>
      </c>
      <c r="R116" s="262">
        <f>Sales!R197</f>
        <v>0</v>
      </c>
      <c r="S116" s="262">
        <f>Sales!S197</f>
        <v>0</v>
      </c>
      <c r="T116" s="262">
        <f>Sales!T197</f>
        <v>0</v>
      </c>
      <c r="U116" s="217">
        <f>SUM(R116:T116)</f>
        <v>0</v>
      </c>
      <c r="V116" s="262">
        <f>Sales!V197</f>
        <v>0</v>
      </c>
      <c r="W116" s="262">
        <f>Sales!W197</f>
        <v>0</v>
      </c>
      <c r="X116" s="262">
        <f>Sales!X197</f>
        <v>0</v>
      </c>
      <c r="Y116" s="217">
        <f>SUM(V116:X116)</f>
        <v>0</v>
      </c>
    </row>
    <row r="117" spans="1:25" ht="12.75" hidden="1" customHeight="1" outlineLevel="1" x14ac:dyDescent="0.2">
      <c r="A117" s="198" t="str">
        <f>"         "&amp;Labels!B318</f>
        <v xml:space="preserve">         Channels 2</v>
      </c>
      <c r="B117" s="262">
        <f>Sales!B198</f>
        <v>0</v>
      </c>
      <c r="C117" s="262">
        <f>Sales!C198</f>
        <v>0</v>
      </c>
      <c r="D117" s="262">
        <f>Sales!D198</f>
        <v>0</v>
      </c>
      <c r="E117" s="217">
        <f>SUM(B117:D117)</f>
        <v>0</v>
      </c>
      <c r="F117" s="262">
        <f>Sales!F198</f>
        <v>0</v>
      </c>
      <c r="G117" s="262">
        <f>Sales!G198</f>
        <v>0</v>
      </c>
      <c r="H117" s="262">
        <f>Sales!H198</f>
        <v>0</v>
      </c>
      <c r="I117" s="217">
        <f>SUM(F117:H117)</f>
        <v>0</v>
      </c>
      <c r="J117" s="262">
        <f>Sales!J198</f>
        <v>0</v>
      </c>
      <c r="K117" s="262">
        <f>Sales!K198</f>
        <v>0</v>
      </c>
      <c r="L117" s="262">
        <f>Sales!L198</f>
        <v>0</v>
      </c>
      <c r="M117" s="217">
        <f>SUM(J117:L117)</f>
        <v>0</v>
      </c>
      <c r="N117" s="262">
        <f>Sales!N198</f>
        <v>0</v>
      </c>
      <c r="O117" s="262">
        <f>Sales!O198</f>
        <v>0</v>
      </c>
      <c r="P117" s="262">
        <f>Sales!P198</f>
        <v>0</v>
      </c>
      <c r="Q117" s="217">
        <f>SUM(N117:P117)</f>
        <v>0</v>
      </c>
      <c r="R117" s="262">
        <f>Sales!R198</f>
        <v>0</v>
      </c>
      <c r="S117" s="262">
        <f>Sales!S198</f>
        <v>0</v>
      </c>
      <c r="T117" s="262">
        <f>Sales!T198</f>
        <v>0</v>
      </c>
      <c r="U117" s="217">
        <f>SUM(R117:T117)</f>
        <v>0</v>
      </c>
      <c r="V117" s="262">
        <f>Sales!V198</f>
        <v>0</v>
      </c>
      <c r="W117" s="262">
        <f>Sales!W198</f>
        <v>0</v>
      </c>
      <c r="X117" s="262">
        <f>Sales!X198</f>
        <v>0</v>
      </c>
      <c r="Y117" s="217">
        <f>SUM(V117:X117)</f>
        <v>0</v>
      </c>
    </row>
    <row r="118" spans="1:25" ht="12.75" hidden="1" customHeight="1" outlineLevel="1" x14ac:dyDescent="0.2">
      <c r="A118" s="198" t="str">
        <f>"         "&amp;Labels!C316</f>
        <v xml:space="preserve">         Total</v>
      </c>
      <c r="B118" s="237">
        <f>SUM(B116:B117)</f>
        <v>0</v>
      </c>
      <c r="C118" s="237">
        <f>SUM(C116:C117)</f>
        <v>0</v>
      </c>
      <c r="D118" s="237">
        <f>SUM(D116:D117)</f>
        <v>0</v>
      </c>
      <c r="E118" s="238">
        <f>SUM(B118:D118)</f>
        <v>0</v>
      </c>
      <c r="F118" s="237">
        <f>SUM(F116:F117)</f>
        <v>0</v>
      </c>
      <c r="G118" s="237">
        <f>SUM(G116:G117)</f>
        <v>0</v>
      </c>
      <c r="H118" s="237">
        <f>SUM(H116:H117)</f>
        <v>0</v>
      </c>
      <c r="I118" s="238">
        <f>SUM(F118:H118)</f>
        <v>0</v>
      </c>
      <c r="J118" s="237">
        <f>SUM(J116:J117)</f>
        <v>0</v>
      </c>
      <c r="K118" s="237">
        <f>SUM(K116:K117)</f>
        <v>0</v>
      </c>
      <c r="L118" s="237">
        <f>SUM(L116:L117)</f>
        <v>0</v>
      </c>
      <c r="M118" s="238">
        <f>SUM(J118:L118)</f>
        <v>0</v>
      </c>
      <c r="N118" s="237">
        <f>SUM(N116:N117)</f>
        <v>0</v>
      </c>
      <c r="O118" s="237">
        <f>SUM(O116:O117)</f>
        <v>0</v>
      </c>
      <c r="P118" s="237">
        <f>SUM(P116:P117)</f>
        <v>0</v>
      </c>
      <c r="Q118" s="238">
        <f>SUM(N118:P118)</f>
        <v>0</v>
      </c>
      <c r="R118" s="237">
        <f>SUM(R116:R117)</f>
        <v>0</v>
      </c>
      <c r="S118" s="237">
        <f>SUM(S116:S117)</f>
        <v>0</v>
      </c>
      <c r="T118" s="237">
        <f>SUM(T116:T117)</f>
        <v>0</v>
      </c>
      <c r="U118" s="238">
        <f>SUM(R118:T118)</f>
        <v>0</v>
      </c>
      <c r="V118" s="237">
        <f>SUM(V116:V117)</f>
        <v>0</v>
      </c>
      <c r="W118" s="237">
        <f>SUM(W116:W117)</f>
        <v>0</v>
      </c>
      <c r="X118" s="237">
        <f>SUM(X116:X117)</f>
        <v>0</v>
      </c>
      <c r="Y118" s="238">
        <f>SUM(V118:X118)</f>
        <v>0</v>
      </c>
    </row>
    <row r="119" spans="1:25" ht="12.75" hidden="1" customHeight="1" outlineLevel="1" x14ac:dyDescent="0.2">
      <c r="A119" s="198" t="str">
        <f>"      "&amp;Labels!B386</f>
        <v xml:space="preserve">      Prof Level 2</v>
      </c>
      <c r="B119" s="237"/>
      <c r="C119" s="237"/>
      <c r="D119" s="237"/>
      <c r="E119" s="238"/>
      <c r="F119" s="237"/>
      <c r="G119" s="237"/>
      <c r="H119" s="237"/>
      <c r="I119" s="238"/>
      <c r="J119" s="237"/>
      <c r="K119" s="237"/>
      <c r="L119" s="237"/>
      <c r="M119" s="238"/>
      <c r="N119" s="237"/>
      <c r="O119" s="237"/>
      <c r="P119" s="237"/>
      <c r="Q119" s="238"/>
      <c r="R119" s="237"/>
      <c r="S119" s="237"/>
      <c r="T119" s="237"/>
      <c r="U119" s="238"/>
      <c r="V119" s="237"/>
      <c r="W119" s="237"/>
      <c r="X119" s="237"/>
      <c r="Y119" s="238"/>
    </row>
    <row r="120" spans="1:25" ht="12.75" hidden="1" customHeight="1" outlineLevel="1" x14ac:dyDescent="0.2">
      <c r="A120" s="198" t="str">
        <f>"         "&amp;Labels!B317</f>
        <v xml:space="preserve">         Channels 1</v>
      </c>
      <c r="B120" s="262">
        <f>Sales!B201</f>
        <v>0</v>
      </c>
      <c r="C120" s="262">
        <f>Sales!C201</f>
        <v>0</v>
      </c>
      <c r="D120" s="262">
        <f>Sales!D201</f>
        <v>0</v>
      </c>
      <c r="E120" s="217">
        <f t="shared" ref="E120:E125" si="78">SUM(B120:D120)</f>
        <v>0</v>
      </c>
      <c r="F120" s="262">
        <f>Sales!F201</f>
        <v>0</v>
      </c>
      <c r="G120" s="262">
        <f>Sales!G201</f>
        <v>0</v>
      </c>
      <c r="H120" s="262">
        <f>Sales!H201</f>
        <v>0</v>
      </c>
      <c r="I120" s="217">
        <f t="shared" ref="I120:I125" si="79">SUM(F120:H120)</f>
        <v>0</v>
      </c>
      <c r="J120" s="262">
        <f>Sales!J201</f>
        <v>0</v>
      </c>
      <c r="K120" s="262">
        <f>Sales!K201</f>
        <v>0</v>
      </c>
      <c r="L120" s="262">
        <f>Sales!L201</f>
        <v>0</v>
      </c>
      <c r="M120" s="217">
        <f t="shared" ref="M120:M125" si="80">SUM(J120:L120)</f>
        <v>0</v>
      </c>
      <c r="N120" s="262">
        <f>Sales!N201</f>
        <v>0</v>
      </c>
      <c r="O120" s="262">
        <f>Sales!O201</f>
        <v>0</v>
      </c>
      <c r="P120" s="262">
        <f>Sales!P201</f>
        <v>0</v>
      </c>
      <c r="Q120" s="217">
        <f t="shared" ref="Q120:Q125" si="81">SUM(N120:P120)</f>
        <v>0</v>
      </c>
      <c r="R120" s="262">
        <f>Sales!R201</f>
        <v>0</v>
      </c>
      <c r="S120" s="262">
        <f>Sales!S201</f>
        <v>0</v>
      </c>
      <c r="T120" s="262">
        <f>Sales!T201</f>
        <v>0</v>
      </c>
      <c r="U120" s="217">
        <f t="shared" ref="U120:U125" si="82">SUM(R120:T120)</f>
        <v>0</v>
      </c>
      <c r="V120" s="262">
        <f>Sales!V201</f>
        <v>0</v>
      </c>
      <c r="W120" s="262">
        <f>Sales!W201</f>
        <v>0</v>
      </c>
      <c r="X120" s="262">
        <f>Sales!X201</f>
        <v>0</v>
      </c>
      <c r="Y120" s="217">
        <f t="shared" ref="Y120:Y125" si="83">SUM(V120:X120)</f>
        <v>0</v>
      </c>
    </row>
    <row r="121" spans="1:25" ht="12.75" hidden="1" customHeight="1" outlineLevel="1" x14ac:dyDescent="0.2">
      <c r="A121" s="198" t="str">
        <f>"         "&amp;Labels!B318</f>
        <v xml:space="preserve">         Channels 2</v>
      </c>
      <c r="B121" s="262">
        <f>Sales!B202</f>
        <v>0</v>
      </c>
      <c r="C121" s="262">
        <f>Sales!C202</f>
        <v>0</v>
      </c>
      <c r="D121" s="262">
        <f>Sales!D202</f>
        <v>0</v>
      </c>
      <c r="E121" s="217">
        <f t="shared" si="78"/>
        <v>0</v>
      </c>
      <c r="F121" s="262">
        <f>Sales!F202</f>
        <v>0</v>
      </c>
      <c r="G121" s="262">
        <f>Sales!G202</f>
        <v>0</v>
      </c>
      <c r="H121" s="262">
        <f>Sales!H202</f>
        <v>0</v>
      </c>
      <c r="I121" s="217">
        <f t="shared" si="79"/>
        <v>0</v>
      </c>
      <c r="J121" s="262">
        <f>Sales!J202</f>
        <v>0</v>
      </c>
      <c r="K121" s="262">
        <f>Sales!K202</f>
        <v>0</v>
      </c>
      <c r="L121" s="262">
        <f>Sales!L202</f>
        <v>0</v>
      </c>
      <c r="M121" s="217">
        <f t="shared" si="80"/>
        <v>0</v>
      </c>
      <c r="N121" s="262">
        <f>Sales!N202</f>
        <v>0</v>
      </c>
      <c r="O121" s="262">
        <f>Sales!O202</f>
        <v>0</v>
      </c>
      <c r="P121" s="262">
        <f>Sales!P202</f>
        <v>0</v>
      </c>
      <c r="Q121" s="217">
        <f t="shared" si="81"/>
        <v>0</v>
      </c>
      <c r="R121" s="262">
        <f>Sales!R202</f>
        <v>0</v>
      </c>
      <c r="S121" s="262">
        <f>Sales!S202</f>
        <v>0</v>
      </c>
      <c r="T121" s="262">
        <f>Sales!T202</f>
        <v>0</v>
      </c>
      <c r="U121" s="217">
        <f t="shared" si="82"/>
        <v>0</v>
      </c>
      <c r="V121" s="262">
        <f>Sales!V202</f>
        <v>0</v>
      </c>
      <c r="W121" s="262">
        <f>Sales!W202</f>
        <v>0</v>
      </c>
      <c r="X121" s="262">
        <f>Sales!X202</f>
        <v>0</v>
      </c>
      <c r="Y121" s="217">
        <f t="shared" si="83"/>
        <v>0</v>
      </c>
    </row>
    <row r="122" spans="1:25" ht="12.75" hidden="1" customHeight="1" outlineLevel="1" x14ac:dyDescent="0.2">
      <c r="A122" s="198" t="str">
        <f>"         "&amp;Labels!C316</f>
        <v xml:space="preserve">         Total</v>
      </c>
      <c r="B122" s="237">
        <f>SUM(B120:B121)</f>
        <v>0</v>
      </c>
      <c r="C122" s="237">
        <f>SUM(C120:C121)</f>
        <v>0</v>
      </c>
      <c r="D122" s="237">
        <f>SUM(D120:D121)</f>
        <v>0</v>
      </c>
      <c r="E122" s="238">
        <f t="shared" si="78"/>
        <v>0</v>
      </c>
      <c r="F122" s="237">
        <f>SUM(F120:F121)</f>
        <v>0</v>
      </c>
      <c r="G122" s="237">
        <f>SUM(G120:G121)</f>
        <v>0</v>
      </c>
      <c r="H122" s="237">
        <f>SUM(H120:H121)</f>
        <v>0</v>
      </c>
      <c r="I122" s="238">
        <f t="shared" si="79"/>
        <v>0</v>
      </c>
      <c r="J122" s="237">
        <f>SUM(J120:J121)</f>
        <v>0</v>
      </c>
      <c r="K122" s="237">
        <f>SUM(K120:K121)</f>
        <v>0</v>
      </c>
      <c r="L122" s="237">
        <f>SUM(L120:L121)</f>
        <v>0</v>
      </c>
      <c r="M122" s="238">
        <f t="shared" si="80"/>
        <v>0</v>
      </c>
      <c r="N122" s="237">
        <f>SUM(N120:N121)</f>
        <v>0</v>
      </c>
      <c r="O122" s="237">
        <f>SUM(O120:O121)</f>
        <v>0</v>
      </c>
      <c r="P122" s="237">
        <f>SUM(P120:P121)</f>
        <v>0</v>
      </c>
      <c r="Q122" s="238">
        <f t="shared" si="81"/>
        <v>0</v>
      </c>
      <c r="R122" s="237">
        <f>SUM(R120:R121)</f>
        <v>0</v>
      </c>
      <c r="S122" s="237">
        <f>SUM(S120:S121)</f>
        <v>0</v>
      </c>
      <c r="T122" s="237">
        <f>SUM(T120:T121)</f>
        <v>0</v>
      </c>
      <c r="U122" s="238">
        <f t="shared" si="82"/>
        <v>0</v>
      </c>
      <c r="V122" s="237">
        <f>SUM(V120:V121)</f>
        <v>0</v>
      </c>
      <c r="W122" s="237">
        <f>SUM(W120:W121)</f>
        <v>0</v>
      </c>
      <c r="X122" s="237">
        <f>SUM(X120:X121)</f>
        <v>0</v>
      </c>
      <c r="Y122" s="238">
        <f t="shared" si="83"/>
        <v>0</v>
      </c>
    </row>
    <row r="123" spans="1:25" ht="12.75" hidden="1" customHeight="1" outlineLevel="1" x14ac:dyDescent="0.2">
      <c r="A123" s="188" t="str">
        <f>"      "&amp;Labels!C384</f>
        <v xml:space="preserve">      Total</v>
      </c>
      <c r="B123" s="166">
        <f>SUM(B118,B122)</f>
        <v>0</v>
      </c>
      <c r="C123" s="166">
        <f>SUM(C118,C122)</f>
        <v>0</v>
      </c>
      <c r="D123" s="166">
        <f>SUM(D118,D122)</f>
        <v>0</v>
      </c>
      <c r="E123" s="225">
        <f t="shared" si="78"/>
        <v>0</v>
      </c>
      <c r="F123" s="166">
        <f>SUM(F118,F122)</f>
        <v>0</v>
      </c>
      <c r="G123" s="166">
        <f>SUM(G118,G122)</f>
        <v>0</v>
      </c>
      <c r="H123" s="166">
        <f>SUM(H118,H122)</f>
        <v>0</v>
      </c>
      <c r="I123" s="225">
        <f t="shared" si="79"/>
        <v>0</v>
      </c>
      <c r="J123" s="166">
        <f>SUM(J118,J122)</f>
        <v>0</v>
      </c>
      <c r="K123" s="166">
        <f>SUM(K118,K122)</f>
        <v>0</v>
      </c>
      <c r="L123" s="166">
        <f>SUM(L118,L122)</f>
        <v>0</v>
      </c>
      <c r="M123" s="225">
        <f t="shared" si="80"/>
        <v>0</v>
      </c>
      <c r="N123" s="166">
        <f>SUM(N118,N122)</f>
        <v>0</v>
      </c>
      <c r="O123" s="166">
        <f>SUM(O118,O122)</f>
        <v>0</v>
      </c>
      <c r="P123" s="166">
        <f>SUM(P118,P122)</f>
        <v>0</v>
      </c>
      <c r="Q123" s="225">
        <f t="shared" si="81"/>
        <v>0</v>
      </c>
      <c r="R123" s="166">
        <f>SUM(R118,R122)</f>
        <v>0</v>
      </c>
      <c r="S123" s="166">
        <f>SUM(S118,S122)</f>
        <v>0</v>
      </c>
      <c r="T123" s="166">
        <f>SUM(T118,T122)</f>
        <v>0</v>
      </c>
      <c r="U123" s="225">
        <f t="shared" si="82"/>
        <v>0</v>
      </c>
      <c r="V123" s="166">
        <f>SUM(V118,V122)</f>
        <v>0</v>
      </c>
      <c r="W123" s="166">
        <f>SUM(W118,W122)</f>
        <v>0</v>
      </c>
      <c r="X123" s="166">
        <f>SUM(X118,X122)</f>
        <v>0</v>
      </c>
      <c r="Y123" s="225">
        <f t="shared" si="83"/>
        <v>0</v>
      </c>
    </row>
    <row r="124" spans="1:25" ht="12.75" hidden="1" customHeight="1" outlineLevel="1" x14ac:dyDescent="0.2">
      <c r="A124" s="198" t="str">
        <f>"         "&amp;Labels!B317</f>
        <v xml:space="preserve">         Channels 1</v>
      </c>
      <c r="B124" s="262">
        <f t="shared" ref="B124:D126" si="84">SUM(B116,B120)</f>
        <v>0</v>
      </c>
      <c r="C124" s="262">
        <f t="shared" si="84"/>
        <v>0</v>
      </c>
      <c r="D124" s="262">
        <f t="shared" si="84"/>
        <v>0</v>
      </c>
      <c r="E124" s="217">
        <f t="shared" si="78"/>
        <v>0</v>
      </c>
      <c r="F124" s="262">
        <f t="shared" ref="F124:H126" si="85">SUM(F116,F120)</f>
        <v>0</v>
      </c>
      <c r="G124" s="262">
        <f t="shared" si="85"/>
        <v>0</v>
      </c>
      <c r="H124" s="262">
        <f t="shared" si="85"/>
        <v>0</v>
      </c>
      <c r="I124" s="217">
        <f t="shared" si="79"/>
        <v>0</v>
      </c>
      <c r="J124" s="262">
        <f t="shared" ref="J124:L126" si="86">SUM(J116,J120)</f>
        <v>0</v>
      </c>
      <c r="K124" s="262">
        <f t="shared" si="86"/>
        <v>0</v>
      </c>
      <c r="L124" s="262">
        <f t="shared" si="86"/>
        <v>0</v>
      </c>
      <c r="M124" s="217">
        <f t="shared" si="80"/>
        <v>0</v>
      </c>
      <c r="N124" s="262">
        <f t="shared" ref="N124:P126" si="87">SUM(N116,N120)</f>
        <v>0</v>
      </c>
      <c r="O124" s="262">
        <f t="shared" si="87"/>
        <v>0</v>
      </c>
      <c r="P124" s="262">
        <f t="shared" si="87"/>
        <v>0</v>
      </c>
      <c r="Q124" s="217">
        <f t="shared" si="81"/>
        <v>0</v>
      </c>
      <c r="R124" s="262">
        <f t="shared" ref="R124:T126" si="88">SUM(R116,R120)</f>
        <v>0</v>
      </c>
      <c r="S124" s="262">
        <f t="shared" si="88"/>
        <v>0</v>
      </c>
      <c r="T124" s="262">
        <f t="shared" si="88"/>
        <v>0</v>
      </c>
      <c r="U124" s="217">
        <f t="shared" si="82"/>
        <v>0</v>
      </c>
      <c r="V124" s="262">
        <f t="shared" ref="V124:X126" si="89">SUM(V116,V120)</f>
        <v>0</v>
      </c>
      <c r="W124" s="262">
        <f t="shared" si="89"/>
        <v>0</v>
      </c>
      <c r="X124" s="262">
        <f t="shared" si="89"/>
        <v>0</v>
      </c>
      <c r="Y124" s="217">
        <f t="shared" si="83"/>
        <v>0</v>
      </c>
    </row>
    <row r="125" spans="1:25" ht="12.75" hidden="1" customHeight="1" outlineLevel="1" x14ac:dyDescent="0.2">
      <c r="A125" s="198" t="str">
        <f>"         "&amp;Labels!B318</f>
        <v xml:space="preserve">         Channels 2</v>
      </c>
      <c r="B125" s="262">
        <f t="shared" si="84"/>
        <v>0</v>
      </c>
      <c r="C125" s="262">
        <f t="shared" si="84"/>
        <v>0</v>
      </c>
      <c r="D125" s="262">
        <f t="shared" si="84"/>
        <v>0</v>
      </c>
      <c r="E125" s="217">
        <f t="shared" si="78"/>
        <v>0</v>
      </c>
      <c r="F125" s="262">
        <f t="shared" si="85"/>
        <v>0</v>
      </c>
      <c r="G125" s="262">
        <f t="shared" si="85"/>
        <v>0</v>
      </c>
      <c r="H125" s="262">
        <f t="shared" si="85"/>
        <v>0</v>
      </c>
      <c r="I125" s="217">
        <f t="shared" si="79"/>
        <v>0</v>
      </c>
      <c r="J125" s="262">
        <f t="shared" si="86"/>
        <v>0</v>
      </c>
      <c r="K125" s="262">
        <f t="shared" si="86"/>
        <v>0</v>
      </c>
      <c r="L125" s="262">
        <f t="shared" si="86"/>
        <v>0</v>
      </c>
      <c r="M125" s="217">
        <f t="shared" si="80"/>
        <v>0</v>
      </c>
      <c r="N125" s="262">
        <f t="shared" si="87"/>
        <v>0</v>
      </c>
      <c r="O125" s="262">
        <f t="shared" si="87"/>
        <v>0</v>
      </c>
      <c r="P125" s="262">
        <f t="shared" si="87"/>
        <v>0</v>
      </c>
      <c r="Q125" s="217">
        <f t="shared" si="81"/>
        <v>0</v>
      </c>
      <c r="R125" s="262">
        <f t="shared" si="88"/>
        <v>0</v>
      </c>
      <c r="S125" s="262">
        <f t="shared" si="88"/>
        <v>0</v>
      </c>
      <c r="T125" s="262">
        <f t="shared" si="88"/>
        <v>0</v>
      </c>
      <c r="U125" s="217">
        <f t="shared" si="82"/>
        <v>0</v>
      </c>
      <c r="V125" s="262">
        <f t="shared" si="89"/>
        <v>0</v>
      </c>
      <c r="W125" s="262">
        <f t="shared" si="89"/>
        <v>0</v>
      </c>
      <c r="X125" s="262">
        <f t="shared" si="89"/>
        <v>0</v>
      </c>
      <c r="Y125" s="217">
        <f t="shared" si="83"/>
        <v>0</v>
      </c>
    </row>
    <row r="126" spans="1:25" ht="12.75" hidden="1" customHeight="1" outlineLevel="1" x14ac:dyDescent="0.2">
      <c r="A126" s="198" t="str">
        <f>"         "&amp;Labels!C316</f>
        <v xml:space="preserve">         Total</v>
      </c>
      <c r="B126" s="237">
        <f t="shared" si="84"/>
        <v>0</v>
      </c>
      <c r="C126" s="237">
        <f t="shared" si="84"/>
        <v>0</v>
      </c>
      <c r="D126" s="237">
        <f t="shared" si="84"/>
        <v>0</v>
      </c>
      <c r="E126" s="238">
        <f>SUM(B123:D123)</f>
        <v>0</v>
      </c>
      <c r="F126" s="237">
        <f t="shared" si="85"/>
        <v>0</v>
      </c>
      <c r="G126" s="237">
        <f t="shared" si="85"/>
        <v>0</v>
      </c>
      <c r="H126" s="237">
        <f t="shared" si="85"/>
        <v>0</v>
      </c>
      <c r="I126" s="238">
        <f>SUM(F123:H123)</f>
        <v>0</v>
      </c>
      <c r="J126" s="237">
        <f t="shared" si="86"/>
        <v>0</v>
      </c>
      <c r="K126" s="237">
        <f t="shared" si="86"/>
        <v>0</v>
      </c>
      <c r="L126" s="237">
        <f t="shared" si="86"/>
        <v>0</v>
      </c>
      <c r="M126" s="238">
        <f>SUM(J123:L123)</f>
        <v>0</v>
      </c>
      <c r="N126" s="237">
        <f t="shared" si="87"/>
        <v>0</v>
      </c>
      <c r="O126" s="237">
        <f t="shared" si="87"/>
        <v>0</v>
      </c>
      <c r="P126" s="237">
        <f t="shared" si="87"/>
        <v>0</v>
      </c>
      <c r="Q126" s="238">
        <f>SUM(N123:P123)</f>
        <v>0</v>
      </c>
      <c r="R126" s="237">
        <f t="shared" si="88"/>
        <v>0</v>
      </c>
      <c r="S126" s="237">
        <f t="shared" si="88"/>
        <v>0</v>
      </c>
      <c r="T126" s="237">
        <f t="shared" si="88"/>
        <v>0</v>
      </c>
      <c r="U126" s="238">
        <f>SUM(R123:T123)</f>
        <v>0</v>
      </c>
      <c r="V126" s="237">
        <f t="shared" si="89"/>
        <v>0</v>
      </c>
      <c r="W126" s="237">
        <f t="shared" si="89"/>
        <v>0</v>
      </c>
      <c r="X126" s="237">
        <f t="shared" si="89"/>
        <v>0</v>
      </c>
      <c r="Y126" s="238">
        <f>SUM(V123:X123)</f>
        <v>0</v>
      </c>
    </row>
    <row r="127" spans="1:25" ht="12.75" hidden="1" customHeight="1" outlineLevel="1" x14ac:dyDescent="0.2">
      <c r="A127" s="191" t="str">
        <f>"   "&amp;Labels!C380</f>
        <v xml:space="preserve">   Total</v>
      </c>
      <c r="B127" s="216">
        <f>SUM(B110,B123)</f>
        <v>0</v>
      </c>
      <c r="C127" s="216">
        <f>SUM(C110,C123)</f>
        <v>0</v>
      </c>
      <c r="D127" s="216">
        <f>SUM(D110,D123)</f>
        <v>550</v>
      </c>
      <c r="E127" s="217">
        <f>SUM(B127:D127)</f>
        <v>550</v>
      </c>
      <c r="F127" s="216">
        <f>SUM(F110,F123)</f>
        <v>550</v>
      </c>
      <c r="G127" s="216">
        <f>SUM(G110,G123)</f>
        <v>0</v>
      </c>
      <c r="H127" s="216">
        <f>SUM(H110,H123)</f>
        <v>400</v>
      </c>
      <c r="I127" s="217">
        <f>SUM(F127:H127)</f>
        <v>950</v>
      </c>
      <c r="J127" s="216">
        <f>SUM(J110,J123)</f>
        <v>400</v>
      </c>
      <c r="K127" s="216">
        <f>SUM(K110,K123)</f>
        <v>400</v>
      </c>
      <c r="L127" s="216">
        <f>SUM(L110,L123)</f>
        <v>0</v>
      </c>
      <c r="M127" s="217">
        <f>SUM(J127:L127)</f>
        <v>800</v>
      </c>
      <c r="N127" s="216">
        <f>SUM(N110,N123)</f>
        <v>0</v>
      </c>
      <c r="O127" s="216">
        <f>SUM(O110,O123)</f>
        <v>0</v>
      </c>
      <c r="P127" s="216">
        <f>SUM(P110,P123)</f>
        <v>0</v>
      </c>
      <c r="Q127" s="217">
        <f>SUM(N127:P127)</f>
        <v>0</v>
      </c>
      <c r="R127" s="216">
        <f>SUM(R110,R123)</f>
        <v>0</v>
      </c>
      <c r="S127" s="216">
        <f>SUM(S110,S123)</f>
        <v>0</v>
      </c>
      <c r="T127" s="216">
        <f>SUM(T110,T123)</f>
        <v>0</v>
      </c>
      <c r="U127" s="217">
        <f>SUM(R127:T127)</f>
        <v>0</v>
      </c>
      <c r="V127" s="216">
        <f>SUM(V110,V123)</f>
        <v>0</v>
      </c>
      <c r="W127" s="216">
        <f>SUM(W110,W123)</f>
        <v>0</v>
      </c>
      <c r="X127" s="216">
        <f>SUM(X110,X123)</f>
        <v>0</v>
      </c>
      <c r="Y127" s="217">
        <f>SUM(V127:X127)</f>
        <v>0</v>
      </c>
    </row>
    <row r="128" spans="1:25" ht="12.75" hidden="1" customHeight="1" outlineLevel="1" x14ac:dyDescent="0.2">
      <c r="A128" s="198" t="str">
        <f>"      "&amp;Labels!B385</f>
        <v xml:space="preserve">      Prof Level 1</v>
      </c>
      <c r="B128" s="237"/>
      <c r="C128" s="237"/>
      <c r="D128" s="237"/>
      <c r="E128" s="238"/>
      <c r="F128" s="237"/>
      <c r="G128" s="237"/>
      <c r="H128" s="237"/>
      <c r="I128" s="238"/>
      <c r="J128" s="237"/>
      <c r="K128" s="237"/>
      <c r="L128" s="237"/>
      <c r="M128" s="238"/>
      <c r="N128" s="237"/>
      <c r="O128" s="237"/>
      <c r="P128" s="237"/>
      <c r="Q128" s="238"/>
      <c r="R128" s="237"/>
      <c r="S128" s="237"/>
      <c r="T128" s="237"/>
      <c r="U128" s="238"/>
      <c r="V128" s="237"/>
      <c r="W128" s="237"/>
      <c r="X128" s="237"/>
      <c r="Y128" s="238"/>
    </row>
    <row r="129" spans="1:25" ht="12.75" hidden="1" customHeight="1" outlineLevel="1" x14ac:dyDescent="0.2">
      <c r="A129" s="198" t="str">
        <f>"         "&amp;Labels!B317</f>
        <v xml:space="preserve">         Channels 1</v>
      </c>
      <c r="B129" s="262">
        <f t="shared" ref="B129:D131" si="90">SUM(B103,B116)</f>
        <v>0</v>
      </c>
      <c r="C129" s="262">
        <f t="shared" si="90"/>
        <v>0</v>
      </c>
      <c r="D129" s="262">
        <f t="shared" si="90"/>
        <v>137.5</v>
      </c>
      <c r="E129" s="217">
        <f>SUM(B129:D129)</f>
        <v>137.5</v>
      </c>
      <c r="F129" s="262">
        <f t="shared" ref="F129:H131" si="91">SUM(F103,F116)</f>
        <v>137.5</v>
      </c>
      <c r="G129" s="262">
        <f t="shared" si="91"/>
        <v>0</v>
      </c>
      <c r="H129" s="262">
        <f t="shared" si="91"/>
        <v>100</v>
      </c>
      <c r="I129" s="217">
        <f>SUM(F129:H129)</f>
        <v>237.5</v>
      </c>
      <c r="J129" s="262">
        <f t="shared" ref="J129:L131" si="92">SUM(J103,J116)</f>
        <v>100</v>
      </c>
      <c r="K129" s="262">
        <f t="shared" si="92"/>
        <v>100</v>
      </c>
      <c r="L129" s="262">
        <f t="shared" si="92"/>
        <v>0</v>
      </c>
      <c r="M129" s="217">
        <f>SUM(J129:L129)</f>
        <v>200</v>
      </c>
      <c r="N129" s="262">
        <f t="shared" ref="N129:P131" si="93">SUM(N103,N116)</f>
        <v>0</v>
      </c>
      <c r="O129" s="262">
        <f t="shared" si="93"/>
        <v>0</v>
      </c>
      <c r="P129" s="262">
        <f t="shared" si="93"/>
        <v>0</v>
      </c>
      <c r="Q129" s="217">
        <f>SUM(N129:P129)</f>
        <v>0</v>
      </c>
      <c r="R129" s="262">
        <f t="shared" ref="R129:T131" si="94">SUM(R103,R116)</f>
        <v>0</v>
      </c>
      <c r="S129" s="262">
        <f t="shared" si="94"/>
        <v>0</v>
      </c>
      <c r="T129" s="262">
        <f t="shared" si="94"/>
        <v>0</v>
      </c>
      <c r="U129" s="217">
        <f>SUM(R129:T129)</f>
        <v>0</v>
      </c>
      <c r="V129" s="262">
        <f t="shared" ref="V129:X131" si="95">SUM(V103,V116)</f>
        <v>0</v>
      </c>
      <c r="W129" s="262">
        <f t="shared" si="95"/>
        <v>0</v>
      </c>
      <c r="X129" s="262">
        <f t="shared" si="95"/>
        <v>0</v>
      </c>
      <c r="Y129" s="217">
        <f>SUM(V129:X129)</f>
        <v>0</v>
      </c>
    </row>
    <row r="130" spans="1:25" ht="12.75" hidden="1" customHeight="1" outlineLevel="1" x14ac:dyDescent="0.2">
      <c r="A130" s="198" t="str">
        <f>"         "&amp;Labels!B318</f>
        <v xml:space="preserve">         Channels 2</v>
      </c>
      <c r="B130" s="262">
        <f t="shared" si="90"/>
        <v>0</v>
      </c>
      <c r="C130" s="262">
        <f t="shared" si="90"/>
        <v>0</v>
      </c>
      <c r="D130" s="262">
        <f t="shared" si="90"/>
        <v>137.5</v>
      </c>
      <c r="E130" s="217">
        <f>SUM(B130:D130)</f>
        <v>137.5</v>
      </c>
      <c r="F130" s="262">
        <f t="shared" si="91"/>
        <v>137.5</v>
      </c>
      <c r="G130" s="262">
        <f t="shared" si="91"/>
        <v>0</v>
      </c>
      <c r="H130" s="262">
        <f t="shared" si="91"/>
        <v>100</v>
      </c>
      <c r="I130" s="217">
        <f>SUM(F130:H130)</f>
        <v>237.5</v>
      </c>
      <c r="J130" s="262">
        <f t="shared" si="92"/>
        <v>100</v>
      </c>
      <c r="K130" s="262">
        <f t="shared" si="92"/>
        <v>100</v>
      </c>
      <c r="L130" s="262">
        <f t="shared" si="92"/>
        <v>0</v>
      </c>
      <c r="M130" s="217">
        <f>SUM(J130:L130)</f>
        <v>200</v>
      </c>
      <c r="N130" s="262">
        <f t="shared" si="93"/>
        <v>0</v>
      </c>
      <c r="O130" s="262">
        <f t="shared" si="93"/>
        <v>0</v>
      </c>
      <c r="P130" s="262">
        <f t="shared" si="93"/>
        <v>0</v>
      </c>
      <c r="Q130" s="217">
        <f>SUM(N130:P130)</f>
        <v>0</v>
      </c>
      <c r="R130" s="262">
        <f t="shared" si="94"/>
        <v>0</v>
      </c>
      <c r="S130" s="262">
        <f t="shared" si="94"/>
        <v>0</v>
      </c>
      <c r="T130" s="262">
        <f t="shared" si="94"/>
        <v>0</v>
      </c>
      <c r="U130" s="217">
        <f>SUM(R130:T130)</f>
        <v>0</v>
      </c>
      <c r="V130" s="262">
        <f t="shared" si="95"/>
        <v>0</v>
      </c>
      <c r="W130" s="262">
        <f t="shared" si="95"/>
        <v>0</v>
      </c>
      <c r="X130" s="262">
        <f t="shared" si="95"/>
        <v>0</v>
      </c>
      <c r="Y130" s="217">
        <f>SUM(V130:X130)</f>
        <v>0</v>
      </c>
    </row>
    <row r="131" spans="1:25" ht="12.75" hidden="1" customHeight="1" outlineLevel="1" x14ac:dyDescent="0.2">
      <c r="A131" s="198" t="str">
        <f>"         "&amp;Labels!C316</f>
        <v xml:space="preserve">         Total</v>
      </c>
      <c r="B131" s="237">
        <f t="shared" si="90"/>
        <v>0</v>
      </c>
      <c r="C131" s="237">
        <f t="shared" si="90"/>
        <v>0</v>
      </c>
      <c r="D131" s="237">
        <f t="shared" si="90"/>
        <v>275</v>
      </c>
      <c r="E131" s="238">
        <f>SUM(B131:D131)</f>
        <v>275</v>
      </c>
      <c r="F131" s="237">
        <f t="shared" si="91"/>
        <v>275</v>
      </c>
      <c r="G131" s="237">
        <f t="shared" si="91"/>
        <v>0</v>
      </c>
      <c r="H131" s="237">
        <f t="shared" si="91"/>
        <v>200</v>
      </c>
      <c r="I131" s="238">
        <f>SUM(F131:H131)</f>
        <v>475</v>
      </c>
      <c r="J131" s="237">
        <f t="shared" si="92"/>
        <v>200</v>
      </c>
      <c r="K131" s="237">
        <f t="shared" si="92"/>
        <v>200</v>
      </c>
      <c r="L131" s="237">
        <f t="shared" si="92"/>
        <v>0</v>
      </c>
      <c r="M131" s="238">
        <f>SUM(J131:L131)</f>
        <v>400</v>
      </c>
      <c r="N131" s="237">
        <f t="shared" si="93"/>
        <v>0</v>
      </c>
      <c r="O131" s="237">
        <f t="shared" si="93"/>
        <v>0</v>
      </c>
      <c r="P131" s="237">
        <f t="shared" si="93"/>
        <v>0</v>
      </c>
      <c r="Q131" s="238">
        <f>SUM(N131:P131)</f>
        <v>0</v>
      </c>
      <c r="R131" s="237">
        <f t="shared" si="94"/>
        <v>0</v>
      </c>
      <c r="S131" s="237">
        <f t="shared" si="94"/>
        <v>0</v>
      </c>
      <c r="T131" s="237">
        <f t="shared" si="94"/>
        <v>0</v>
      </c>
      <c r="U131" s="238">
        <f>SUM(R131:T131)</f>
        <v>0</v>
      </c>
      <c r="V131" s="237">
        <f t="shared" si="95"/>
        <v>0</v>
      </c>
      <c r="W131" s="237">
        <f t="shared" si="95"/>
        <v>0</v>
      </c>
      <c r="X131" s="237">
        <f t="shared" si="95"/>
        <v>0</v>
      </c>
      <c r="Y131" s="238">
        <f>SUM(V131:X131)</f>
        <v>0</v>
      </c>
    </row>
    <row r="132" spans="1:25" ht="12.75" hidden="1" customHeight="1" outlineLevel="1" x14ac:dyDescent="0.2">
      <c r="A132" s="198" t="str">
        <f>"      "&amp;Labels!B386</f>
        <v xml:space="preserve">      Prof Level 2</v>
      </c>
      <c r="B132" s="237"/>
      <c r="C132" s="237"/>
      <c r="D132" s="237"/>
      <c r="E132" s="238"/>
      <c r="F132" s="237"/>
      <c r="G132" s="237"/>
      <c r="H132" s="237"/>
      <c r="I132" s="238"/>
      <c r="J132" s="237"/>
      <c r="K132" s="237"/>
      <c r="L132" s="237"/>
      <c r="M132" s="238"/>
      <c r="N132" s="237"/>
      <c r="O132" s="237"/>
      <c r="P132" s="237"/>
      <c r="Q132" s="238"/>
      <c r="R132" s="237"/>
      <c r="S132" s="237"/>
      <c r="T132" s="237"/>
      <c r="U132" s="238"/>
      <c r="V132" s="237"/>
      <c r="W132" s="237"/>
      <c r="X132" s="237"/>
      <c r="Y132" s="238"/>
    </row>
    <row r="133" spans="1:25" ht="12.75" hidden="1" customHeight="1" outlineLevel="1" x14ac:dyDescent="0.2">
      <c r="A133" s="198" t="str">
        <f>"         "&amp;Labels!B317</f>
        <v xml:space="preserve">         Channels 1</v>
      </c>
      <c r="B133" s="262">
        <f t="shared" ref="B133:D138" si="96">SUM(B107,B120)</f>
        <v>0</v>
      </c>
      <c r="C133" s="262">
        <f t="shared" si="96"/>
        <v>0</v>
      </c>
      <c r="D133" s="262">
        <f t="shared" si="96"/>
        <v>137.5</v>
      </c>
      <c r="E133" s="217">
        <f>SUM(B133:D133)</f>
        <v>137.5</v>
      </c>
      <c r="F133" s="262">
        <f t="shared" ref="F133:H138" si="97">SUM(F107,F120)</f>
        <v>137.5</v>
      </c>
      <c r="G133" s="262">
        <f t="shared" si="97"/>
        <v>0</v>
      </c>
      <c r="H133" s="262">
        <f t="shared" si="97"/>
        <v>100</v>
      </c>
      <c r="I133" s="217">
        <f>SUM(F133:H133)</f>
        <v>237.5</v>
      </c>
      <c r="J133" s="262">
        <f t="shared" ref="J133:L138" si="98">SUM(J107,J120)</f>
        <v>100</v>
      </c>
      <c r="K133" s="262">
        <f t="shared" si="98"/>
        <v>100</v>
      </c>
      <c r="L133" s="262">
        <f t="shared" si="98"/>
        <v>0</v>
      </c>
      <c r="M133" s="217">
        <f>SUM(J133:L133)</f>
        <v>200</v>
      </c>
      <c r="N133" s="262">
        <f t="shared" ref="N133:P138" si="99">SUM(N107,N120)</f>
        <v>0</v>
      </c>
      <c r="O133" s="262">
        <f t="shared" si="99"/>
        <v>0</v>
      </c>
      <c r="P133" s="262">
        <f t="shared" si="99"/>
        <v>0</v>
      </c>
      <c r="Q133" s="217">
        <f>SUM(N133:P133)</f>
        <v>0</v>
      </c>
      <c r="R133" s="262">
        <f t="shared" ref="R133:T138" si="100">SUM(R107,R120)</f>
        <v>0</v>
      </c>
      <c r="S133" s="262">
        <f t="shared" si="100"/>
        <v>0</v>
      </c>
      <c r="T133" s="262">
        <f t="shared" si="100"/>
        <v>0</v>
      </c>
      <c r="U133" s="217">
        <f>SUM(R133:T133)</f>
        <v>0</v>
      </c>
      <c r="V133" s="262">
        <f t="shared" ref="V133:X138" si="101">SUM(V107,V120)</f>
        <v>0</v>
      </c>
      <c r="W133" s="262">
        <f t="shared" si="101"/>
        <v>0</v>
      </c>
      <c r="X133" s="262">
        <f t="shared" si="101"/>
        <v>0</v>
      </c>
      <c r="Y133" s="217">
        <f>SUM(V133:X133)</f>
        <v>0</v>
      </c>
    </row>
    <row r="134" spans="1:25" ht="12.75" hidden="1" customHeight="1" outlineLevel="1" x14ac:dyDescent="0.2">
      <c r="A134" s="198" t="str">
        <f>"         "&amp;Labels!B318</f>
        <v xml:space="preserve">         Channels 2</v>
      </c>
      <c r="B134" s="262">
        <f t="shared" si="96"/>
        <v>0</v>
      </c>
      <c r="C134" s="262">
        <f t="shared" si="96"/>
        <v>0</v>
      </c>
      <c r="D134" s="262">
        <f t="shared" si="96"/>
        <v>137.5</v>
      </c>
      <c r="E134" s="217">
        <f>SUM(B134:D134)</f>
        <v>137.5</v>
      </c>
      <c r="F134" s="262">
        <f t="shared" si="97"/>
        <v>137.5</v>
      </c>
      <c r="G134" s="262">
        <f t="shared" si="97"/>
        <v>0</v>
      </c>
      <c r="H134" s="262">
        <f t="shared" si="97"/>
        <v>100</v>
      </c>
      <c r="I134" s="217">
        <f>SUM(F134:H134)</f>
        <v>237.5</v>
      </c>
      <c r="J134" s="262">
        <f t="shared" si="98"/>
        <v>100</v>
      </c>
      <c r="K134" s="262">
        <f t="shared" si="98"/>
        <v>100</v>
      </c>
      <c r="L134" s="262">
        <f t="shared" si="98"/>
        <v>0</v>
      </c>
      <c r="M134" s="217">
        <f>SUM(J134:L134)</f>
        <v>200</v>
      </c>
      <c r="N134" s="262">
        <f t="shared" si="99"/>
        <v>0</v>
      </c>
      <c r="O134" s="262">
        <f t="shared" si="99"/>
        <v>0</v>
      </c>
      <c r="P134" s="262">
        <f t="shared" si="99"/>
        <v>0</v>
      </c>
      <c r="Q134" s="217">
        <f>SUM(N134:P134)</f>
        <v>0</v>
      </c>
      <c r="R134" s="262">
        <f t="shared" si="100"/>
        <v>0</v>
      </c>
      <c r="S134" s="262">
        <f t="shared" si="100"/>
        <v>0</v>
      </c>
      <c r="T134" s="262">
        <f t="shared" si="100"/>
        <v>0</v>
      </c>
      <c r="U134" s="217">
        <f>SUM(R134:T134)</f>
        <v>0</v>
      </c>
      <c r="V134" s="262">
        <f t="shared" si="101"/>
        <v>0</v>
      </c>
      <c r="W134" s="262">
        <f t="shared" si="101"/>
        <v>0</v>
      </c>
      <c r="X134" s="262">
        <f t="shared" si="101"/>
        <v>0</v>
      </c>
      <c r="Y134" s="217">
        <f>SUM(V134:X134)</f>
        <v>0</v>
      </c>
    </row>
    <row r="135" spans="1:25" ht="12.75" hidden="1" customHeight="1" outlineLevel="1" x14ac:dyDescent="0.2">
      <c r="A135" s="198" t="str">
        <f>"         "&amp;Labels!C316</f>
        <v xml:space="preserve">         Total</v>
      </c>
      <c r="B135" s="237">
        <f t="shared" si="96"/>
        <v>0</v>
      </c>
      <c r="C135" s="237">
        <f t="shared" si="96"/>
        <v>0</v>
      </c>
      <c r="D135" s="237">
        <f t="shared" si="96"/>
        <v>275</v>
      </c>
      <c r="E135" s="238">
        <f>SUM(B135:D135)</f>
        <v>275</v>
      </c>
      <c r="F135" s="237">
        <f t="shared" si="97"/>
        <v>275</v>
      </c>
      <c r="G135" s="237">
        <f t="shared" si="97"/>
        <v>0</v>
      </c>
      <c r="H135" s="237">
        <f t="shared" si="97"/>
        <v>200</v>
      </c>
      <c r="I135" s="238">
        <f>SUM(F135:H135)</f>
        <v>475</v>
      </c>
      <c r="J135" s="237">
        <f t="shared" si="98"/>
        <v>200</v>
      </c>
      <c r="K135" s="237">
        <f t="shared" si="98"/>
        <v>200</v>
      </c>
      <c r="L135" s="237">
        <f t="shared" si="98"/>
        <v>0</v>
      </c>
      <c r="M135" s="238">
        <f>SUM(J135:L135)</f>
        <v>400</v>
      </c>
      <c r="N135" s="237">
        <f t="shared" si="99"/>
        <v>0</v>
      </c>
      <c r="O135" s="237">
        <f t="shared" si="99"/>
        <v>0</v>
      </c>
      <c r="P135" s="237">
        <f t="shared" si="99"/>
        <v>0</v>
      </c>
      <c r="Q135" s="238">
        <f>SUM(N135:P135)</f>
        <v>0</v>
      </c>
      <c r="R135" s="237">
        <f t="shared" si="100"/>
        <v>0</v>
      </c>
      <c r="S135" s="237">
        <f t="shared" si="100"/>
        <v>0</v>
      </c>
      <c r="T135" s="237">
        <f t="shared" si="100"/>
        <v>0</v>
      </c>
      <c r="U135" s="238">
        <f>SUM(R135:T135)</f>
        <v>0</v>
      </c>
      <c r="V135" s="237">
        <f t="shared" si="101"/>
        <v>0</v>
      </c>
      <c r="W135" s="237">
        <f t="shared" si="101"/>
        <v>0</v>
      </c>
      <c r="X135" s="237">
        <f t="shared" si="101"/>
        <v>0</v>
      </c>
      <c r="Y135" s="238">
        <f>SUM(V135:X135)</f>
        <v>0</v>
      </c>
    </row>
    <row r="136" spans="1:25" ht="12.75" hidden="1" customHeight="1" outlineLevel="1" x14ac:dyDescent="0.2">
      <c r="A136" s="188" t="str">
        <f>"      "&amp;Labels!C384</f>
        <v xml:space="preserve">      Total</v>
      </c>
      <c r="B136" s="166">
        <f t="shared" si="96"/>
        <v>0</v>
      </c>
      <c r="C136" s="166">
        <f t="shared" si="96"/>
        <v>0</v>
      </c>
      <c r="D136" s="166">
        <f t="shared" si="96"/>
        <v>550</v>
      </c>
      <c r="E136" s="225">
        <f>SUM(B127:D127)</f>
        <v>550</v>
      </c>
      <c r="F136" s="166">
        <f t="shared" si="97"/>
        <v>550</v>
      </c>
      <c r="G136" s="166">
        <f t="shared" si="97"/>
        <v>0</v>
      </c>
      <c r="H136" s="166">
        <f t="shared" si="97"/>
        <v>400</v>
      </c>
      <c r="I136" s="225">
        <f>SUM(F127:H127)</f>
        <v>950</v>
      </c>
      <c r="J136" s="166">
        <f t="shared" si="98"/>
        <v>400</v>
      </c>
      <c r="K136" s="166">
        <f t="shared" si="98"/>
        <v>400</v>
      </c>
      <c r="L136" s="166">
        <f t="shared" si="98"/>
        <v>0</v>
      </c>
      <c r="M136" s="225">
        <f>SUM(J127:L127)</f>
        <v>800</v>
      </c>
      <c r="N136" s="166">
        <f t="shared" si="99"/>
        <v>0</v>
      </c>
      <c r="O136" s="166">
        <f t="shared" si="99"/>
        <v>0</v>
      </c>
      <c r="P136" s="166">
        <f t="shared" si="99"/>
        <v>0</v>
      </c>
      <c r="Q136" s="225">
        <f>SUM(N127:P127)</f>
        <v>0</v>
      </c>
      <c r="R136" s="166">
        <f t="shared" si="100"/>
        <v>0</v>
      </c>
      <c r="S136" s="166">
        <f t="shared" si="100"/>
        <v>0</v>
      </c>
      <c r="T136" s="166">
        <f t="shared" si="100"/>
        <v>0</v>
      </c>
      <c r="U136" s="225">
        <f>SUM(R127:T127)</f>
        <v>0</v>
      </c>
      <c r="V136" s="166">
        <f t="shared" si="101"/>
        <v>0</v>
      </c>
      <c r="W136" s="166">
        <f t="shared" si="101"/>
        <v>0</v>
      </c>
      <c r="X136" s="166">
        <f t="shared" si="101"/>
        <v>0</v>
      </c>
      <c r="Y136" s="225">
        <f>SUM(V127:X127)</f>
        <v>0</v>
      </c>
    </row>
    <row r="137" spans="1:25" ht="12.75" hidden="1" customHeight="1" outlineLevel="1" x14ac:dyDescent="0.2">
      <c r="A137" s="198" t="str">
        <f>"         "&amp;Labels!B317</f>
        <v xml:space="preserve">         Channels 1</v>
      </c>
      <c r="B137" s="262">
        <f t="shared" si="96"/>
        <v>0</v>
      </c>
      <c r="C137" s="262">
        <f t="shared" si="96"/>
        <v>0</v>
      </c>
      <c r="D137" s="262">
        <f t="shared" si="96"/>
        <v>275</v>
      </c>
      <c r="E137" s="217">
        <f>SUM(B137:D137)</f>
        <v>275</v>
      </c>
      <c r="F137" s="262">
        <f t="shared" si="97"/>
        <v>275</v>
      </c>
      <c r="G137" s="262">
        <f t="shared" si="97"/>
        <v>0</v>
      </c>
      <c r="H137" s="262">
        <f t="shared" si="97"/>
        <v>200</v>
      </c>
      <c r="I137" s="217">
        <f>SUM(F137:H137)</f>
        <v>475</v>
      </c>
      <c r="J137" s="262">
        <f t="shared" si="98"/>
        <v>200</v>
      </c>
      <c r="K137" s="262">
        <f t="shared" si="98"/>
        <v>200</v>
      </c>
      <c r="L137" s="262">
        <f t="shared" si="98"/>
        <v>0</v>
      </c>
      <c r="M137" s="217">
        <f>SUM(J137:L137)</f>
        <v>400</v>
      </c>
      <c r="N137" s="262">
        <f t="shared" si="99"/>
        <v>0</v>
      </c>
      <c r="O137" s="262">
        <f t="shared" si="99"/>
        <v>0</v>
      </c>
      <c r="P137" s="262">
        <f t="shared" si="99"/>
        <v>0</v>
      </c>
      <c r="Q137" s="217">
        <f>SUM(N137:P137)</f>
        <v>0</v>
      </c>
      <c r="R137" s="262">
        <f t="shared" si="100"/>
        <v>0</v>
      </c>
      <c r="S137" s="262">
        <f t="shared" si="100"/>
        <v>0</v>
      </c>
      <c r="T137" s="262">
        <f t="shared" si="100"/>
        <v>0</v>
      </c>
      <c r="U137" s="217">
        <f>SUM(R137:T137)</f>
        <v>0</v>
      </c>
      <c r="V137" s="262">
        <f t="shared" si="101"/>
        <v>0</v>
      </c>
      <c r="W137" s="262">
        <f t="shared" si="101"/>
        <v>0</v>
      </c>
      <c r="X137" s="262">
        <f t="shared" si="101"/>
        <v>0</v>
      </c>
      <c r="Y137" s="217">
        <f>SUM(V137:X137)</f>
        <v>0</v>
      </c>
    </row>
    <row r="138" spans="1:25" ht="12.75" hidden="1" customHeight="1" outlineLevel="1" x14ac:dyDescent="0.2">
      <c r="A138" s="198" t="str">
        <f>"         "&amp;Labels!B318</f>
        <v xml:space="preserve">         Channels 2</v>
      </c>
      <c r="B138" s="262">
        <f t="shared" si="96"/>
        <v>0</v>
      </c>
      <c r="C138" s="262">
        <f t="shared" si="96"/>
        <v>0</v>
      </c>
      <c r="D138" s="262">
        <f t="shared" si="96"/>
        <v>275</v>
      </c>
      <c r="E138" s="217">
        <f>SUM(B138:D138)</f>
        <v>275</v>
      </c>
      <c r="F138" s="262">
        <f t="shared" si="97"/>
        <v>275</v>
      </c>
      <c r="G138" s="262">
        <f t="shared" si="97"/>
        <v>0</v>
      </c>
      <c r="H138" s="262">
        <f t="shared" si="97"/>
        <v>200</v>
      </c>
      <c r="I138" s="217">
        <f>SUM(F138:H138)</f>
        <v>475</v>
      </c>
      <c r="J138" s="262">
        <f t="shared" si="98"/>
        <v>200</v>
      </c>
      <c r="K138" s="262">
        <f t="shared" si="98"/>
        <v>200</v>
      </c>
      <c r="L138" s="262">
        <f t="shared" si="98"/>
        <v>0</v>
      </c>
      <c r="M138" s="217">
        <f>SUM(J138:L138)</f>
        <v>400</v>
      </c>
      <c r="N138" s="262">
        <f t="shared" si="99"/>
        <v>0</v>
      </c>
      <c r="O138" s="262">
        <f t="shared" si="99"/>
        <v>0</v>
      </c>
      <c r="P138" s="262">
        <f t="shared" si="99"/>
        <v>0</v>
      </c>
      <c r="Q138" s="217">
        <f>SUM(N138:P138)</f>
        <v>0</v>
      </c>
      <c r="R138" s="262">
        <f t="shared" si="100"/>
        <v>0</v>
      </c>
      <c r="S138" s="262">
        <f t="shared" si="100"/>
        <v>0</v>
      </c>
      <c r="T138" s="262">
        <f t="shared" si="100"/>
        <v>0</v>
      </c>
      <c r="U138" s="217">
        <f>SUM(R138:T138)</f>
        <v>0</v>
      </c>
      <c r="V138" s="262">
        <f t="shared" si="101"/>
        <v>0</v>
      </c>
      <c r="W138" s="262">
        <f t="shared" si="101"/>
        <v>0</v>
      </c>
      <c r="X138" s="262">
        <f t="shared" si="101"/>
        <v>0</v>
      </c>
      <c r="Y138" s="217">
        <f>SUM(V138:X138)</f>
        <v>0</v>
      </c>
    </row>
    <row r="139" spans="1:25" ht="12.75" hidden="1" customHeight="1" outlineLevel="1" x14ac:dyDescent="0.2">
      <c r="A139" s="198" t="str">
        <f>"         "&amp;Labels!C316</f>
        <v xml:space="preserve">         Total</v>
      </c>
      <c r="B139" s="237">
        <f>SUM(B110,B123)</f>
        <v>0</v>
      </c>
      <c r="C139" s="237">
        <f>SUM(C110,C123)</f>
        <v>0</v>
      </c>
      <c r="D139" s="237">
        <f>SUM(D110,D123)</f>
        <v>550</v>
      </c>
      <c r="E139" s="238">
        <f>SUM(B127:D127)</f>
        <v>550</v>
      </c>
      <c r="F139" s="237">
        <f>SUM(F110,F123)</f>
        <v>550</v>
      </c>
      <c r="G139" s="237">
        <f>SUM(G110,G123)</f>
        <v>0</v>
      </c>
      <c r="H139" s="237">
        <f>SUM(H110,H123)</f>
        <v>400</v>
      </c>
      <c r="I139" s="238">
        <f>SUM(F127:H127)</f>
        <v>950</v>
      </c>
      <c r="J139" s="237">
        <f>SUM(J110,J123)</f>
        <v>400</v>
      </c>
      <c r="K139" s="237">
        <f>SUM(K110,K123)</f>
        <v>400</v>
      </c>
      <c r="L139" s="237">
        <f>SUM(L110,L123)</f>
        <v>0</v>
      </c>
      <c r="M139" s="238">
        <f>SUM(J127:L127)</f>
        <v>800</v>
      </c>
      <c r="N139" s="237">
        <f>SUM(N110,N123)</f>
        <v>0</v>
      </c>
      <c r="O139" s="237">
        <f>SUM(O110,O123)</f>
        <v>0</v>
      </c>
      <c r="P139" s="237">
        <f>SUM(P110,P123)</f>
        <v>0</v>
      </c>
      <c r="Q139" s="238">
        <f>SUM(N127:P127)</f>
        <v>0</v>
      </c>
      <c r="R139" s="237">
        <f>SUM(R110,R123)</f>
        <v>0</v>
      </c>
      <c r="S139" s="237">
        <f>SUM(S110,S123)</f>
        <v>0</v>
      </c>
      <c r="T139" s="237">
        <f>SUM(T110,T123)</f>
        <v>0</v>
      </c>
      <c r="U139" s="238">
        <f>SUM(R127:T127)</f>
        <v>0</v>
      </c>
      <c r="V139" s="237">
        <f>SUM(V110,V123)</f>
        <v>0</v>
      </c>
      <c r="W139" s="237">
        <f>SUM(W110,W123)</f>
        <v>0</v>
      </c>
      <c r="X139" s="237">
        <f>SUM(X110,X123)</f>
        <v>0</v>
      </c>
      <c r="Y139" s="238">
        <f>SUM(V127:X127)</f>
        <v>0</v>
      </c>
    </row>
    <row r="140" spans="1:25" ht="12.75" hidden="1" customHeight="1" outlineLevel="1" x14ac:dyDescent="0.2">
      <c r="A140" s="97"/>
      <c r="B140" s="6"/>
      <c r="C140" s="6"/>
      <c r="D140" s="6"/>
      <c r="E140" s="97"/>
      <c r="F140" s="6"/>
      <c r="G140" s="6"/>
      <c r="H140" s="6"/>
      <c r="I140" s="97"/>
      <c r="J140" s="6"/>
      <c r="K140" s="6"/>
      <c r="L140" s="6"/>
      <c r="M140" s="97"/>
      <c r="N140" s="6"/>
      <c r="O140" s="6"/>
      <c r="P140" s="6"/>
      <c r="Q140" s="97"/>
      <c r="R140" s="6"/>
      <c r="S140" s="6"/>
      <c r="T140" s="6"/>
      <c r="U140" s="97"/>
      <c r="V140" s="6"/>
      <c r="W140" s="6"/>
      <c r="X140" s="6"/>
      <c r="Y140" s="97"/>
    </row>
    <row r="141" spans="1:25" ht="12.75" hidden="1" customHeight="1" outlineLevel="1" x14ac:dyDescent="0.2">
      <c r="A141" s="191" t="str">
        <f>Labels!B194</f>
        <v>Prof Staff Hours Unbilled</v>
      </c>
      <c r="B141" s="260"/>
      <c r="C141" s="260"/>
      <c r="D141" s="260"/>
      <c r="E141" s="261"/>
      <c r="F141" s="260"/>
      <c r="G141" s="260"/>
      <c r="H141" s="260"/>
      <c r="I141" s="261"/>
      <c r="J141" s="260"/>
      <c r="K141" s="260"/>
      <c r="L141" s="260"/>
      <c r="M141" s="261"/>
      <c r="N141" s="260"/>
      <c r="O141" s="260"/>
      <c r="P141" s="260"/>
      <c r="Q141" s="261"/>
      <c r="R141" s="260"/>
      <c r="S141" s="260"/>
      <c r="T141" s="260"/>
      <c r="U141" s="261"/>
      <c r="V141" s="260"/>
      <c r="W141" s="260"/>
      <c r="X141" s="260"/>
      <c r="Y141" s="261"/>
    </row>
    <row r="142" spans="1:25" ht="12.75" hidden="1" customHeight="1" outlineLevel="1" x14ac:dyDescent="0.2">
      <c r="A142" s="188" t="str">
        <f>"   "&amp;Labels!B381</f>
        <v xml:space="preserve">   Practice 1</v>
      </c>
      <c r="B142" s="256"/>
      <c r="C142" s="256"/>
      <c r="D142" s="256"/>
      <c r="E142" s="257"/>
      <c r="F142" s="256"/>
      <c r="G142" s="256"/>
      <c r="H142" s="256"/>
      <c r="I142" s="257"/>
      <c r="J142" s="256"/>
      <c r="K142" s="256"/>
      <c r="L142" s="256"/>
      <c r="M142" s="257"/>
      <c r="N142" s="256"/>
      <c r="O142" s="256"/>
      <c r="P142" s="256"/>
      <c r="Q142" s="257"/>
      <c r="R142" s="256"/>
      <c r="S142" s="256"/>
      <c r="T142" s="256"/>
      <c r="U142" s="257"/>
      <c r="V142" s="256"/>
      <c r="W142" s="256"/>
      <c r="X142" s="256"/>
      <c r="Y142" s="257"/>
    </row>
    <row r="143" spans="1:25" ht="12.75" hidden="1" customHeight="1" outlineLevel="1" x14ac:dyDescent="0.2">
      <c r="A143" s="198" t="str">
        <f>"      "&amp;Labels!B385</f>
        <v xml:space="preserve">      Prof Level 1</v>
      </c>
      <c r="B143" s="258">
        <f>'GM CostSvcs'!B448</f>
        <v>0</v>
      </c>
      <c r="C143" s="258">
        <f>'GM CostSvcs'!C448</f>
        <v>0</v>
      </c>
      <c r="D143" s="258">
        <f>'GM CostSvcs'!D448</f>
        <v>0</v>
      </c>
      <c r="E143" s="259">
        <f>SUM(B143:D143)</f>
        <v>0</v>
      </c>
      <c r="F143" s="258">
        <f>'GM CostSvcs'!F448</f>
        <v>0</v>
      </c>
      <c r="G143" s="258">
        <f>'GM CostSvcs'!G448</f>
        <v>0</v>
      </c>
      <c r="H143" s="258">
        <f>'GM CostSvcs'!H448</f>
        <v>0</v>
      </c>
      <c r="I143" s="259">
        <f>SUM(F143:H143)</f>
        <v>0</v>
      </c>
      <c r="J143" s="258">
        <f>'GM CostSvcs'!J448</f>
        <v>0</v>
      </c>
      <c r="K143" s="258">
        <f>'GM CostSvcs'!K448</f>
        <v>0</v>
      </c>
      <c r="L143" s="258">
        <f>'GM CostSvcs'!L448</f>
        <v>0</v>
      </c>
      <c r="M143" s="259">
        <f>SUM(J143:L143)</f>
        <v>0</v>
      </c>
      <c r="N143" s="258">
        <f>'GM CostSvcs'!N448</f>
        <v>0</v>
      </c>
      <c r="O143" s="258">
        <f>'GM CostSvcs'!O448</f>
        <v>0</v>
      </c>
      <c r="P143" s="258">
        <f>'GM CostSvcs'!P448</f>
        <v>0</v>
      </c>
      <c r="Q143" s="259">
        <f>SUM(N143:P143)</f>
        <v>0</v>
      </c>
      <c r="R143" s="258">
        <f>'GM CostSvcs'!R448</f>
        <v>0</v>
      </c>
      <c r="S143" s="258">
        <f>'GM CostSvcs'!S448</f>
        <v>0</v>
      </c>
      <c r="T143" s="258">
        <f>'GM CostSvcs'!T448</f>
        <v>0</v>
      </c>
      <c r="U143" s="259">
        <f>SUM(R143:T143)</f>
        <v>0</v>
      </c>
      <c r="V143" s="258">
        <f>'GM CostSvcs'!V448</f>
        <v>0</v>
      </c>
      <c r="W143" s="258">
        <f>'GM CostSvcs'!W448</f>
        <v>0</v>
      </c>
      <c r="X143" s="258">
        <f>'GM CostSvcs'!X448</f>
        <v>0</v>
      </c>
      <c r="Y143" s="259">
        <f>SUM(V143:X143)</f>
        <v>0</v>
      </c>
    </row>
    <row r="144" spans="1:25" ht="12.75" hidden="1" customHeight="1" outlineLevel="1" x14ac:dyDescent="0.2">
      <c r="A144" s="198" t="str">
        <f>"      "&amp;Labels!B386</f>
        <v xml:space="preserve">      Prof Level 2</v>
      </c>
      <c r="B144" s="258">
        <f>'GM CostSvcs'!B449</f>
        <v>0</v>
      </c>
      <c r="C144" s="258">
        <f>'GM CostSvcs'!C449</f>
        <v>0</v>
      </c>
      <c r="D144" s="258">
        <f>'GM CostSvcs'!D449</f>
        <v>0</v>
      </c>
      <c r="E144" s="259">
        <f>SUM(B144:D144)</f>
        <v>0</v>
      </c>
      <c r="F144" s="258">
        <f>'GM CostSvcs'!F449</f>
        <v>0</v>
      </c>
      <c r="G144" s="258">
        <f>'GM CostSvcs'!G449</f>
        <v>0</v>
      </c>
      <c r="H144" s="258">
        <f>'GM CostSvcs'!H449</f>
        <v>0</v>
      </c>
      <c r="I144" s="259">
        <f>SUM(F144:H144)</f>
        <v>0</v>
      </c>
      <c r="J144" s="258">
        <f>'GM CostSvcs'!J449</f>
        <v>0</v>
      </c>
      <c r="K144" s="258">
        <f>'GM CostSvcs'!K449</f>
        <v>0</v>
      </c>
      <c r="L144" s="258">
        <f>'GM CostSvcs'!L449</f>
        <v>0</v>
      </c>
      <c r="M144" s="259">
        <f>SUM(J144:L144)</f>
        <v>0</v>
      </c>
      <c r="N144" s="258">
        <f>'GM CostSvcs'!N449</f>
        <v>0</v>
      </c>
      <c r="O144" s="258">
        <f>'GM CostSvcs'!O449</f>
        <v>0</v>
      </c>
      <c r="P144" s="258">
        <f>'GM CostSvcs'!P449</f>
        <v>0</v>
      </c>
      <c r="Q144" s="259">
        <f>SUM(N144:P144)</f>
        <v>0</v>
      </c>
      <c r="R144" s="258">
        <f>'GM CostSvcs'!R449</f>
        <v>0</v>
      </c>
      <c r="S144" s="258">
        <f>'GM CostSvcs'!S449</f>
        <v>0</v>
      </c>
      <c r="T144" s="258">
        <f>'GM CostSvcs'!T449</f>
        <v>0</v>
      </c>
      <c r="U144" s="259">
        <f>SUM(R144:T144)</f>
        <v>0</v>
      </c>
      <c r="V144" s="258">
        <f>'GM CostSvcs'!V449</f>
        <v>0</v>
      </c>
      <c r="W144" s="258">
        <f>'GM CostSvcs'!W449</f>
        <v>0</v>
      </c>
      <c r="X144" s="258">
        <f>'GM CostSvcs'!X449</f>
        <v>0</v>
      </c>
      <c r="Y144" s="259">
        <f>SUM(V144:X144)</f>
        <v>0</v>
      </c>
    </row>
    <row r="145" spans="1:25" ht="12.75" hidden="1" customHeight="1" outlineLevel="1" x14ac:dyDescent="0.2">
      <c r="A145" s="188" t="str">
        <f>"      "&amp;Labels!C384</f>
        <v xml:space="preserve">      Total</v>
      </c>
      <c r="B145" s="256">
        <f>SUM(B143:B144)</f>
        <v>0</v>
      </c>
      <c r="C145" s="256">
        <f>SUM(C143:C144)</f>
        <v>0</v>
      </c>
      <c r="D145" s="256">
        <f>SUM(D143:D144)</f>
        <v>0</v>
      </c>
      <c r="E145" s="257">
        <f>SUM(B145:D145)</f>
        <v>0</v>
      </c>
      <c r="F145" s="256">
        <f>SUM(F143:F144)</f>
        <v>0</v>
      </c>
      <c r="G145" s="256">
        <f>SUM(G143:G144)</f>
        <v>0</v>
      </c>
      <c r="H145" s="256">
        <f>SUM(H143:H144)</f>
        <v>0</v>
      </c>
      <c r="I145" s="257">
        <f>SUM(F145:H145)</f>
        <v>0</v>
      </c>
      <c r="J145" s="256">
        <f>SUM(J143:J144)</f>
        <v>0</v>
      </c>
      <c r="K145" s="256">
        <f>SUM(K143:K144)</f>
        <v>0</v>
      </c>
      <c r="L145" s="256">
        <f>SUM(L143:L144)</f>
        <v>0</v>
      </c>
      <c r="M145" s="257">
        <f>SUM(J145:L145)</f>
        <v>0</v>
      </c>
      <c r="N145" s="256">
        <f>SUM(N143:N144)</f>
        <v>0</v>
      </c>
      <c r="O145" s="256">
        <f>SUM(O143:O144)</f>
        <v>0</v>
      </c>
      <c r="P145" s="256">
        <f>SUM(P143:P144)</f>
        <v>0</v>
      </c>
      <c r="Q145" s="257">
        <f>SUM(N145:P145)</f>
        <v>0</v>
      </c>
      <c r="R145" s="256">
        <f>SUM(R143:R144)</f>
        <v>0</v>
      </c>
      <c r="S145" s="256">
        <f>SUM(S143:S144)</f>
        <v>0</v>
      </c>
      <c r="T145" s="256">
        <f>SUM(T143:T144)</f>
        <v>0</v>
      </c>
      <c r="U145" s="257">
        <f>SUM(R145:T145)</f>
        <v>0</v>
      </c>
      <c r="V145" s="256">
        <f>SUM(V143:V144)</f>
        <v>0</v>
      </c>
      <c r="W145" s="256">
        <f>SUM(W143:W144)</f>
        <v>0</v>
      </c>
      <c r="X145" s="256">
        <f>SUM(X143:X144)</f>
        <v>0</v>
      </c>
      <c r="Y145" s="257">
        <f>SUM(V145:X145)</f>
        <v>0</v>
      </c>
    </row>
    <row r="146" spans="1:25" ht="12.75" hidden="1" customHeight="1" outlineLevel="1" x14ac:dyDescent="0.2">
      <c r="A146" s="188" t="str">
        <f>"   "&amp;Labels!B382</f>
        <v xml:space="preserve">   Practice 2</v>
      </c>
      <c r="B146" s="256"/>
      <c r="C146" s="256"/>
      <c r="D146" s="256"/>
      <c r="E146" s="257"/>
      <c r="F146" s="256"/>
      <c r="G146" s="256"/>
      <c r="H146" s="256"/>
      <c r="I146" s="257"/>
      <c r="J146" s="256"/>
      <c r="K146" s="256"/>
      <c r="L146" s="256"/>
      <c r="M146" s="257"/>
      <c r="N146" s="256"/>
      <c r="O146" s="256"/>
      <c r="P146" s="256"/>
      <c r="Q146" s="257"/>
      <c r="R146" s="256"/>
      <c r="S146" s="256"/>
      <c r="T146" s="256"/>
      <c r="U146" s="257"/>
      <c r="V146" s="256"/>
      <c r="W146" s="256"/>
      <c r="X146" s="256"/>
      <c r="Y146" s="257"/>
    </row>
    <row r="147" spans="1:25" ht="12.75" hidden="1" customHeight="1" outlineLevel="1" x14ac:dyDescent="0.2">
      <c r="A147" s="198" t="str">
        <f>"      "&amp;Labels!B385</f>
        <v xml:space="preserve">      Prof Level 1</v>
      </c>
      <c r="B147" s="258">
        <f>'GM CostSvcs'!B452</f>
        <v>0</v>
      </c>
      <c r="C147" s="258">
        <f>'GM CostSvcs'!C452</f>
        <v>0</v>
      </c>
      <c r="D147" s="258">
        <f>'GM CostSvcs'!D452</f>
        <v>0</v>
      </c>
      <c r="E147" s="259">
        <f t="shared" ref="E147:E152" si="102">SUM(B147:D147)</f>
        <v>0</v>
      </c>
      <c r="F147" s="258">
        <f>'GM CostSvcs'!F452</f>
        <v>0</v>
      </c>
      <c r="G147" s="258">
        <f>'GM CostSvcs'!G452</f>
        <v>0</v>
      </c>
      <c r="H147" s="258">
        <f>'GM CostSvcs'!H452</f>
        <v>0</v>
      </c>
      <c r="I147" s="259">
        <f t="shared" ref="I147:I152" si="103">SUM(F147:H147)</f>
        <v>0</v>
      </c>
      <c r="J147" s="258">
        <f>'GM CostSvcs'!J452</f>
        <v>0</v>
      </c>
      <c r="K147" s="258">
        <f>'GM CostSvcs'!K452</f>
        <v>0</v>
      </c>
      <c r="L147" s="258">
        <f>'GM CostSvcs'!L452</f>
        <v>0</v>
      </c>
      <c r="M147" s="259">
        <f t="shared" ref="M147:M152" si="104">SUM(J147:L147)</f>
        <v>0</v>
      </c>
      <c r="N147" s="258">
        <f>'GM CostSvcs'!N452</f>
        <v>0</v>
      </c>
      <c r="O147" s="258">
        <f>'GM CostSvcs'!O452</f>
        <v>0</v>
      </c>
      <c r="P147" s="258">
        <f>'GM CostSvcs'!P452</f>
        <v>0</v>
      </c>
      <c r="Q147" s="259">
        <f t="shared" ref="Q147:Q152" si="105">SUM(N147:P147)</f>
        <v>0</v>
      </c>
      <c r="R147" s="258">
        <f>'GM CostSvcs'!R452</f>
        <v>0</v>
      </c>
      <c r="S147" s="258">
        <f>'GM CostSvcs'!S452</f>
        <v>0</v>
      </c>
      <c r="T147" s="258">
        <f>'GM CostSvcs'!T452</f>
        <v>0</v>
      </c>
      <c r="U147" s="259">
        <f t="shared" ref="U147:U152" si="106">SUM(R147:T147)</f>
        <v>0</v>
      </c>
      <c r="V147" s="258">
        <f>'GM CostSvcs'!V452</f>
        <v>0</v>
      </c>
      <c r="W147" s="258">
        <f>'GM CostSvcs'!W452</f>
        <v>0</v>
      </c>
      <c r="X147" s="258">
        <f>'GM CostSvcs'!X452</f>
        <v>0</v>
      </c>
      <c r="Y147" s="259">
        <f t="shared" ref="Y147:Y152" si="107">SUM(V147:X147)</f>
        <v>0</v>
      </c>
    </row>
    <row r="148" spans="1:25" ht="12.75" hidden="1" customHeight="1" outlineLevel="1" x14ac:dyDescent="0.2">
      <c r="A148" s="198" t="str">
        <f>"      "&amp;Labels!B386</f>
        <v xml:space="preserve">      Prof Level 2</v>
      </c>
      <c r="B148" s="258">
        <f>'GM CostSvcs'!B453</f>
        <v>0</v>
      </c>
      <c r="C148" s="258">
        <f>'GM CostSvcs'!C453</f>
        <v>0</v>
      </c>
      <c r="D148" s="258">
        <f>'GM CostSvcs'!D453</f>
        <v>0</v>
      </c>
      <c r="E148" s="259">
        <f t="shared" si="102"/>
        <v>0</v>
      </c>
      <c r="F148" s="258">
        <f>'GM CostSvcs'!F453</f>
        <v>0</v>
      </c>
      <c r="G148" s="258">
        <f>'GM CostSvcs'!G453</f>
        <v>0</v>
      </c>
      <c r="H148" s="258">
        <f>'GM CostSvcs'!H453</f>
        <v>0</v>
      </c>
      <c r="I148" s="259">
        <f t="shared" si="103"/>
        <v>0</v>
      </c>
      <c r="J148" s="258">
        <f>'GM CostSvcs'!J453</f>
        <v>0</v>
      </c>
      <c r="K148" s="258">
        <f>'GM CostSvcs'!K453</f>
        <v>0</v>
      </c>
      <c r="L148" s="258">
        <f>'GM CostSvcs'!L453</f>
        <v>0</v>
      </c>
      <c r="M148" s="259">
        <f t="shared" si="104"/>
        <v>0</v>
      </c>
      <c r="N148" s="258">
        <f>'GM CostSvcs'!N453</f>
        <v>0</v>
      </c>
      <c r="O148" s="258">
        <f>'GM CostSvcs'!O453</f>
        <v>0</v>
      </c>
      <c r="P148" s="258">
        <f>'GM CostSvcs'!P453</f>
        <v>0</v>
      </c>
      <c r="Q148" s="259">
        <f t="shared" si="105"/>
        <v>0</v>
      </c>
      <c r="R148" s="258">
        <f>'GM CostSvcs'!R453</f>
        <v>0</v>
      </c>
      <c r="S148" s="258">
        <f>'GM CostSvcs'!S453</f>
        <v>0</v>
      </c>
      <c r="T148" s="258">
        <f>'GM CostSvcs'!T453</f>
        <v>0</v>
      </c>
      <c r="U148" s="259">
        <f t="shared" si="106"/>
        <v>0</v>
      </c>
      <c r="V148" s="258">
        <f>'GM CostSvcs'!V453</f>
        <v>0</v>
      </c>
      <c r="W148" s="258">
        <f>'GM CostSvcs'!W453</f>
        <v>0</v>
      </c>
      <c r="X148" s="258">
        <f>'GM CostSvcs'!X453</f>
        <v>0</v>
      </c>
      <c r="Y148" s="259">
        <f t="shared" si="107"/>
        <v>0</v>
      </c>
    </row>
    <row r="149" spans="1:25" ht="12.75" hidden="1" customHeight="1" outlineLevel="1" x14ac:dyDescent="0.2">
      <c r="A149" s="188" t="str">
        <f>"      "&amp;Labels!C384</f>
        <v xml:space="preserve">      Total</v>
      </c>
      <c r="B149" s="256">
        <f>SUM(B147:B148)</f>
        <v>0</v>
      </c>
      <c r="C149" s="256">
        <f>SUM(C147:C148)</f>
        <v>0</v>
      </c>
      <c r="D149" s="256">
        <f>SUM(D147:D148)</f>
        <v>0</v>
      </c>
      <c r="E149" s="257">
        <f t="shared" si="102"/>
        <v>0</v>
      </c>
      <c r="F149" s="256">
        <f>SUM(F147:F148)</f>
        <v>0</v>
      </c>
      <c r="G149" s="256">
        <f>SUM(G147:G148)</f>
        <v>0</v>
      </c>
      <c r="H149" s="256">
        <f>SUM(H147:H148)</f>
        <v>0</v>
      </c>
      <c r="I149" s="257">
        <f t="shared" si="103"/>
        <v>0</v>
      </c>
      <c r="J149" s="256">
        <f>SUM(J147:J148)</f>
        <v>0</v>
      </c>
      <c r="K149" s="256">
        <f>SUM(K147:K148)</f>
        <v>0</v>
      </c>
      <c r="L149" s="256">
        <f>SUM(L147:L148)</f>
        <v>0</v>
      </c>
      <c r="M149" s="257">
        <f t="shared" si="104"/>
        <v>0</v>
      </c>
      <c r="N149" s="256">
        <f>SUM(N147:N148)</f>
        <v>0</v>
      </c>
      <c r="O149" s="256">
        <f>SUM(O147:O148)</f>
        <v>0</v>
      </c>
      <c r="P149" s="256">
        <f>SUM(P147:P148)</f>
        <v>0</v>
      </c>
      <c r="Q149" s="257">
        <f t="shared" si="105"/>
        <v>0</v>
      </c>
      <c r="R149" s="256">
        <f>SUM(R147:R148)</f>
        <v>0</v>
      </c>
      <c r="S149" s="256">
        <f>SUM(S147:S148)</f>
        <v>0</v>
      </c>
      <c r="T149" s="256">
        <f>SUM(T147:T148)</f>
        <v>0</v>
      </c>
      <c r="U149" s="257">
        <f t="shared" si="106"/>
        <v>0</v>
      </c>
      <c r="V149" s="256">
        <f>SUM(V147:V148)</f>
        <v>0</v>
      </c>
      <c r="W149" s="256">
        <f>SUM(W147:W148)</f>
        <v>0</v>
      </c>
      <c r="X149" s="256">
        <f>SUM(X147:X148)</f>
        <v>0</v>
      </c>
      <c r="Y149" s="257">
        <f t="shared" si="107"/>
        <v>0</v>
      </c>
    </row>
    <row r="150" spans="1:25" ht="12.75" hidden="1" customHeight="1" outlineLevel="1" x14ac:dyDescent="0.2">
      <c r="A150" s="191" t="str">
        <f>"   "&amp;Labels!C380</f>
        <v xml:space="preserve">   Total</v>
      </c>
      <c r="B150" s="260">
        <f>SUM(B145,B149)</f>
        <v>0</v>
      </c>
      <c r="C150" s="260">
        <f>SUM(C145,C149)</f>
        <v>0</v>
      </c>
      <c r="D150" s="260">
        <f>SUM(D145,D149)</f>
        <v>0</v>
      </c>
      <c r="E150" s="261">
        <f t="shared" si="102"/>
        <v>0</v>
      </c>
      <c r="F150" s="260">
        <f>SUM(F145,F149)</f>
        <v>0</v>
      </c>
      <c r="G150" s="260">
        <f>SUM(G145,G149)</f>
        <v>0</v>
      </c>
      <c r="H150" s="260">
        <f>SUM(H145,H149)</f>
        <v>0</v>
      </c>
      <c r="I150" s="261">
        <f t="shared" si="103"/>
        <v>0</v>
      </c>
      <c r="J150" s="260">
        <f>SUM(J145,J149)</f>
        <v>0</v>
      </c>
      <c r="K150" s="260">
        <f>SUM(K145,K149)</f>
        <v>0</v>
      </c>
      <c r="L150" s="260">
        <f>SUM(L145,L149)</f>
        <v>0</v>
      </c>
      <c r="M150" s="261">
        <f t="shared" si="104"/>
        <v>0</v>
      </c>
      <c r="N150" s="260">
        <f>SUM(N145,N149)</f>
        <v>0</v>
      </c>
      <c r="O150" s="260">
        <f>SUM(O145,O149)</f>
        <v>0</v>
      </c>
      <c r="P150" s="260">
        <f>SUM(P145,P149)</f>
        <v>0</v>
      </c>
      <c r="Q150" s="261">
        <f t="shared" si="105"/>
        <v>0</v>
      </c>
      <c r="R150" s="260">
        <f>SUM(R145,R149)</f>
        <v>0</v>
      </c>
      <c r="S150" s="260">
        <f>SUM(S145,S149)</f>
        <v>0</v>
      </c>
      <c r="T150" s="260">
        <f>SUM(T145,T149)</f>
        <v>0</v>
      </c>
      <c r="U150" s="261">
        <f t="shared" si="106"/>
        <v>0</v>
      </c>
      <c r="V150" s="260">
        <f>SUM(V145,V149)</f>
        <v>0</v>
      </c>
      <c r="W150" s="260">
        <f>SUM(W145,W149)</f>
        <v>0</v>
      </c>
      <c r="X150" s="260">
        <f>SUM(X145,X149)</f>
        <v>0</v>
      </c>
      <c r="Y150" s="261">
        <f t="shared" si="107"/>
        <v>0</v>
      </c>
    </row>
    <row r="151" spans="1:25" ht="12.75" hidden="1" customHeight="1" outlineLevel="1" x14ac:dyDescent="0.2">
      <c r="A151" s="198" t="str">
        <f>"      "&amp;Labels!B385</f>
        <v xml:space="preserve">      Prof Level 1</v>
      </c>
      <c r="B151" s="258">
        <f t="shared" ref="B151:D153" si="108">SUM(B143,B147)</f>
        <v>0</v>
      </c>
      <c r="C151" s="258">
        <f t="shared" si="108"/>
        <v>0</v>
      </c>
      <c r="D151" s="258">
        <f t="shared" si="108"/>
        <v>0</v>
      </c>
      <c r="E151" s="259">
        <f t="shared" si="102"/>
        <v>0</v>
      </c>
      <c r="F151" s="258">
        <f t="shared" ref="F151:H153" si="109">SUM(F143,F147)</f>
        <v>0</v>
      </c>
      <c r="G151" s="258">
        <f t="shared" si="109"/>
        <v>0</v>
      </c>
      <c r="H151" s="258">
        <f t="shared" si="109"/>
        <v>0</v>
      </c>
      <c r="I151" s="259">
        <f t="shared" si="103"/>
        <v>0</v>
      </c>
      <c r="J151" s="258">
        <f t="shared" ref="J151:L153" si="110">SUM(J143,J147)</f>
        <v>0</v>
      </c>
      <c r="K151" s="258">
        <f t="shared" si="110"/>
        <v>0</v>
      </c>
      <c r="L151" s="258">
        <f t="shared" si="110"/>
        <v>0</v>
      </c>
      <c r="M151" s="259">
        <f t="shared" si="104"/>
        <v>0</v>
      </c>
      <c r="N151" s="258">
        <f t="shared" ref="N151:P153" si="111">SUM(N143,N147)</f>
        <v>0</v>
      </c>
      <c r="O151" s="258">
        <f t="shared" si="111"/>
        <v>0</v>
      </c>
      <c r="P151" s="258">
        <f t="shared" si="111"/>
        <v>0</v>
      </c>
      <c r="Q151" s="259">
        <f t="shared" si="105"/>
        <v>0</v>
      </c>
      <c r="R151" s="258">
        <f t="shared" ref="R151:T153" si="112">SUM(R143,R147)</f>
        <v>0</v>
      </c>
      <c r="S151" s="258">
        <f t="shared" si="112"/>
        <v>0</v>
      </c>
      <c r="T151" s="258">
        <f t="shared" si="112"/>
        <v>0</v>
      </c>
      <c r="U151" s="259">
        <f t="shared" si="106"/>
        <v>0</v>
      </c>
      <c r="V151" s="258">
        <f t="shared" ref="V151:X153" si="113">SUM(V143,V147)</f>
        <v>0</v>
      </c>
      <c r="W151" s="258">
        <f t="shared" si="113"/>
        <v>0</v>
      </c>
      <c r="X151" s="258">
        <f t="shared" si="113"/>
        <v>0</v>
      </c>
      <c r="Y151" s="259">
        <f t="shared" si="107"/>
        <v>0</v>
      </c>
    </row>
    <row r="152" spans="1:25" ht="12.75" hidden="1" customHeight="1" outlineLevel="1" x14ac:dyDescent="0.2">
      <c r="A152" s="198" t="str">
        <f>"      "&amp;Labels!B386</f>
        <v xml:space="preserve">      Prof Level 2</v>
      </c>
      <c r="B152" s="258">
        <f t="shared" si="108"/>
        <v>0</v>
      </c>
      <c r="C152" s="258">
        <f t="shared" si="108"/>
        <v>0</v>
      </c>
      <c r="D152" s="258">
        <f t="shared" si="108"/>
        <v>0</v>
      </c>
      <c r="E152" s="259">
        <f t="shared" si="102"/>
        <v>0</v>
      </c>
      <c r="F152" s="258">
        <f t="shared" si="109"/>
        <v>0</v>
      </c>
      <c r="G152" s="258">
        <f t="shared" si="109"/>
        <v>0</v>
      </c>
      <c r="H152" s="258">
        <f t="shared" si="109"/>
        <v>0</v>
      </c>
      <c r="I152" s="259">
        <f t="shared" si="103"/>
        <v>0</v>
      </c>
      <c r="J152" s="258">
        <f t="shared" si="110"/>
        <v>0</v>
      </c>
      <c r="K152" s="258">
        <f t="shared" si="110"/>
        <v>0</v>
      </c>
      <c r="L152" s="258">
        <f t="shared" si="110"/>
        <v>0</v>
      </c>
      <c r="M152" s="259">
        <f t="shared" si="104"/>
        <v>0</v>
      </c>
      <c r="N152" s="258">
        <f t="shared" si="111"/>
        <v>0</v>
      </c>
      <c r="O152" s="258">
        <f t="shared" si="111"/>
        <v>0</v>
      </c>
      <c r="P152" s="258">
        <f t="shared" si="111"/>
        <v>0</v>
      </c>
      <c r="Q152" s="259">
        <f t="shared" si="105"/>
        <v>0</v>
      </c>
      <c r="R152" s="258">
        <f t="shared" si="112"/>
        <v>0</v>
      </c>
      <c r="S152" s="258">
        <f t="shared" si="112"/>
        <v>0</v>
      </c>
      <c r="T152" s="258">
        <f t="shared" si="112"/>
        <v>0</v>
      </c>
      <c r="U152" s="259">
        <f t="shared" si="106"/>
        <v>0</v>
      </c>
      <c r="V152" s="258">
        <f t="shared" si="113"/>
        <v>0</v>
      </c>
      <c r="W152" s="258">
        <f t="shared" si="113"/>
        <v>0</v>
      </c>
      <c r="X152" s="258">
        <f t="shared" si="113"/>
        <v>0</v>
      </c>
      <c r="Y152" s="259">
        <f t="shared" si="107"/>
        <v>0</v>
      </c>
    </row>
    <row r="153" spans="1:25" ht="12.75" hidden="1" customHeight="1" outlineLevel="1" x14ac:dyDescent="0.2">
      <c r="A153" s="188" t="str">
        <f>"      "&amp;Labels!C384</f>
        <v xml:space="preserve">      Total</v>
      </c>
      <c r="B153" s="256">
        <f t="shared" si="108"/>
        <v>0</v>
      </c>
      <c r="C153" s="256">
        <f t="shared" si="108"/>
        <v>0</v>
      </c>
      <c r="D153" s="256">
        <f t="shared" si="108"/>
        <v>0</v>
      </c>
      <c r="E153" s="257">
        <f>SUM(B150:D150)</f>
        <v>0</v>
      </c>
      <c r="F153" s="256">
        <f t="shared" si="109"/>
        <v>0</v>
      </c>
      <c r="G153" s="256">
        <f t="shared" si="109"/>
        <v>0</v>
      </c>
      <c r="H153" s="256">
        <f t="shared" si="109"/>
        <v>0</v>
      </c>
      <c r="I153" s="257">
        <f>SUM(F150:H150)</f>
        <v>0</v>
      </c>
      <c r="J153" s="256">
        <f t="shared" si="110"/>
        <v>0</v>
      </c>
      <c r="K153" s="256">
        <f t="shared" si="110"/>
        <v>0</v>
      </c>
      <c r="L153" s="256">
        <f t="shared" si="110"/>
        <v>0</v>
      </c>
      <c r="M153" s="257">
        <f>SUM(J150:L150)</f>
        <v>0</v>
      </c>
      <c r="N153" s="256">
        <f t="shared" si="111"/>
        <v>0</v>
      </c>
      <c r="O153" s="256">
        <f t="shared" si="111"/>
        <v>0</v>
      </c>
      <c r="P153" s="256">
        <f t="shared" si="111"/>
        <v>0</v>
      </c>
      <c r="Q153" s="257">
        <f>SUM(N150:P150)</f>
        <v>0</v>
      </c>
      <c r="R153" s="256">
        <f t="shared" si="112"/>
        <v>0</v>
      </c>
      <c r="S153" s="256">
        <f t="shared" si="112"/>
        <v>0</v>
      </c>
      <c r="T153" s="256">
        <f t="shared" si="112"/>
        <v>0</v>
      </c>
      <c r="U153" s="257">
        <f>SUM(R150:T150)</f>
        <v>0</v>
      </c>
      <c r="V153" s="256">
        <f t="shared" si="113"/>
        <v>0</v>
      </c>
      <c r="W153" s="256">
        <f t="shared" si="113"/>
        <v>0</v>
      </c>
      <c r="X153" s="256">
        <f t="shared" si="113"/>
        <v>0</v>
      </c>
      <c r="Y153" s="257">
        <f>SUM(V150:X150)</f>
        <v>0</v>
      </c>
    </row>
    <row r="154" spans="1:25" ht="12.75" hidden="1" customHeight="1" outlineLevel="1" x14ac:dyDescent="0.2">
      <c r="A154" s="97"/>
      <c r="B154" s="6"/>
      <c r="C154" s="6"/>
      <c r="D154" s="6"/>
      <c r="E154" s="97"/>
      <c r="F154" s="6"/>
      <c r="G154" s="6"/>
      <c r="H154" s="6"/>
      <c r="I154" s="97"/>
      <c r="J154" s="6"/>
      <c r="K154" s="6"/>
      <c r="L154" s="6"/>
      <c r="M154" s="97"/>
      <c r="N154" s="6"/>
      <c r="O154" s="6"/>
      <c r="P154" s="6"/>
      <c r="Q154" s="97"/>
      <c r="R154" s="6"/>
      <c r="S154" s="6"/>
      <c r="T154" s="6"/>
      <c r="U154" s="97"/>
      <c r="V154" s="6"/>
      <c r="W154" s="6"/>
      <c r="X154" s="6"/>
      <c r="Y154" s="97"/>
    </row>
    <row r="155" spans="1:25" ht="12.75" hidden="1" customHeight="1" outlineLevel="1" x14ac:dyDescent="0.2">
      <c r="A155" s="191" t="str">
        <f>Labels!B172</f>
        <v>Professional Staf Cost/Hr</v>
      </c>
      <c r="B155" s="306"/>
      <c r="C155" s="306"/>
      <c r="D155" s="306"/>
      <c r="E155" s="307"/>
      <c r="F155" s="306"/>
      <c r="G155" s="306"/>
      <c r="H155" s="306"/>
      <c r="I155" s="307"/>
      <c r="J155" s="306"/>
      <c r="K155" s="306"/>
      <c r="L155" s="306"/>
      <c r="M155" s="307"/>
      <c r="N155" s="306"/>
      <c r="O155" s="306"/>
      <c r="P155" s="306"/>
      <c r="Q155" s="307"/>
      <c r="R155" s="306"/>
      <c r="S155" s="306"/>
      <c r="T155" s="306"/>
      <c r="U155" s="307"/>
      <c r="V155" s="306"/>
      <c r="W155" s="306"/>
      <c r="X155" s="306"/>
      <c r="Y155" s="307"/>
    </row>
    <row r="156" spans="1:25" ht="12.75" hidden="1" customHeight="1" outlineLevel="1" x14ac:dyDescent="0.2">
      <c r="A156" s="188" t="str">
        <f>"   "&amp;Labels!B381</f>
        <v xml:space="preserve">   Practice 1</v>
      </c>
      <c r="B156" s="308"/>
      <c r="C156" s="308"/>
      <c r="D156" s="308"/>
      <c r="E156" s="309"/>
      <c r="F156" s="308"/>
      <c r="G156" s="308"/>
      <c r="H156" s="308"/>
      <c r="I156" s="309"/>
      <c r="J156" s="308"/>
      <c r="K156" s="308"/>
      <c r="L156" s="308"/>
      <c r="M156" s="309"/>
      <c r="N156" s="308"/>
      <c r="O156" s="308"/>
      <c r="P156" s="308"/>
      <c r="Q156" s="309"/>
      <c r="R156" s="308"/>
      <c r="S156" s="308"/>
      <c r="T156" s="308"/>
      <c r="U156" s="309"/>
      <c r="V156" s="308"/>
      <c r="W156" s="308"/>
      <c r="X156" s="308"/>
      <c r="Y156" s="309"/>
    </row>
    <row r="157" spans="1:25" ht="12.75" hidden="1" customHeight="1" outlineLevel="1" x14ac:dyDescent="0.2">
      <c r="A157" s="198" t="str">
        <f>"      "&amp;Labels!B385</f>
        <v xml:space="preserve">      Prof Level 1</v>
      </c>
      <c r="B157" s="310">
        <f>'GM CostSvcs'!B462</f>
        <v>0</v>
      </c>
      <c r="C157" s="310">
        <f>'GM CostSvcs'!C462</f>
        <v>0</v>
      </c>
      <c r="D157" s="310">
        <f>'GM CostSvcs'!D462</f>
        <v>0</v>
      </c>
      <c r="E157" s="311">
        <f>AVERAGE(B157:D157)</f>
        <v>0</v>
      </c>
      <c r="F157" s="310">
        <f>'GM CostSvcs'!F462</f>
        <v>0</v>
      </c>
      <c r="G157" s="310">
        <f>'GM CostSvcs'!G462</f>
        <v>0</v>
      </c>
      <c r="H157" s="310">
        <f>'GM CostSvcs'!H462</f>
        <v>0</v>
      </c>
      <c r="I157" s="311">
        <f>AVERAGE(F157:H157)</f>
        <v>0</v>
      </c>
      <c r="J157" s="310">
        <f>'GM CostSvcs'!J462</f>
        <v>70.65223242765002</v>
      </c>
      <c r="K157" s="310">
        <f>'GM CostSvcs'!K462</f>
        <v>70.826479892832097</v>
      </c>
      <c r="L157" s="310">
        <f>'GM CostSvcs'!L462</f>
        <v>0</v>
      </c>
      <c r="M157" s="311">
        <f>AVERAGE(J157:L157)</f>
        <v>47.159570773494039</v>
      </c>
      <c r="N157" s="310">
        <f>'GM CostSvcs'!N462</f>
        <v>0</v>
      </c>
      <c r="O157" s="310">
        <f>'GM CostSvcs'!O462</f>
        <v>0</v>
      </c>
      <c r="P157" s="310">
        <f>'GM CostSvcs'!P462</f>
        <v>0</v>
      </c>
      <c r="Q157" s="311">
        <f>AVERAGE(N157:P157)</f>
        <v>0</v>
      </c>
      <c r="R157" s="310">
        <f>'GM CostSvcs'!R462</f>
        <v>0</v>
      </c>
      <c r="S157" s="310">
        <f>'GM CostSvcs'!S462</f>
        <v>0</v>
      </c>
      <c r="T157" s="310">
        <f>'GM CostSvcs'!T462</f>
        <v>0</v>
      </c>
      <c r="U157" s="311">
        <f>AVERAGE(R157:T157)</f>
        <v>0</v>
      </c>
      <c r="V157" s="310">
        <f>'GM CostSvcs'!V462</f>
        <v>0</v>
      </c>
      <c r="W157" s="310">
        <f>'GM CostSvcs'!W462</f>
        <v>0</v>
      </c>
      <c r="X157" s="310">
        <f>'GM CostSvcs'!X462</f>
        <v>0</v>
      </c>
      <c r="Y157" s="311">
        <f>AVERAGE(V157:X157)</f>
        <v>0</v>
      </c>
    </row>
    <row r="158" spans="1:25" ht="12.75" hidden="1" customHeight="1" outlineLevel="1" x14ac:dyDescent="0.2">
      <c r="A158" s="198" t="str">
        <f>"      "&amp;Labels!B386</f>
        <v xml:space="preserve">      Prof Level 2</v>
      </c>
      <c r="B158" s="310">
        <f>'GM CostSvcs'!B463</f>
        <v>0</v>
      </c>
      <c r="C158" s="310">
        <f>'GM CostSvcs'!C463</f>
        <v>0</v>
      </c>
      <c r="D158" s="310">
        <f>'GM CostSvcs'!D463</f>
        <v>0</v>
      </c>
      <c r="E158" s="311">
        <f>AVERAGE(B158:D158)</f>
        <v>0</v>
      </c>
      <c r="F158" s="310">
        <f>'GM CostSvcs'!F463</f>
        <v>0</v>
      </c>
      <c r="G158" s="310">
        <f>'GM CostSvcs'!G463</f>
        <v>0</v>
      </c>
      <c r="H158" s="310">
        <f>'GM CostSvcs'!H463</f>
        <v>0</v>
      </c>
      <c r="I158" s="311">
        <f>AVERAGE(F158:H158)</f>
        <v>0</v>
      </c>
      <c r="J158" s="310">
        <f>'GM CostSvcs'!J463</f>
        <v>70.65223242765002</v>
      </c>
      <c r="K158" s="310">
        <f>'GM CostSvcs'!K463</f>
        <v>70.826479892832097</v>
      </c>
      <c r="L158" s="310">
        <f>'GM CostSvcs'!L463</f>
        <v>0</v>
      </c>
      <c r="M158" s="311">
        <f>AVERAGE(J158:L158)</f>
        <v>47.159570773494039</v>
      </c>
      <c r="N158" s="310">
        <f>'GM CostSvcs'!N463</f>
        <v>0</v>
      </c>
      <c r="O158" s="310">
        <f>'GM CostSvcs'!O463</f>
        <v>0</v>
      </c>
      <c r="P158" s="310">
        <f>'GM CostSvcs'!P463</f>
        <v>0</v>
      </c>
      <c r="Q158" s="311">
        <f>AVERAGE(N158:P158)</f>
        <v>0</v>
      </c>
      <c r="R158" s="310">
        <f>'GM CostSvcs'!R463</f>
        <v>0</v>
      </c>
      <c r="S158" s="310">
        <f>'GM CostSvcs'!S463</f>
        <v>0</v>
      </c>
      <c r="T158" s="310">
        <f>'GM CostSvcs'!T463</f>
        <v>0</v>
      </c>
      <c r="U158" s="311">
        <f>AVERAGE(R158:T158)</f>
        <v>0</v>
      </c>
      <c r="V158" s="310">
        <f>'GM CostSvcs'!V463</f>
        <v>0</v>
      </c>
      <c r="W158" s="310">
        <f>'GM CostSvcs'!W463</f>
        <v>0</v>
      </c>
      <c r="X158" s="310">
        <f>'GM CostSvcs'!X463</f>
        <v>0</v>
      </c>
      <c r="Y158" s="311">
        <f>AVERAGE(V158:X158)</f>
        <v>0</v>
      </c>
    </row>
    <row r="159" spans="1:25" ht="12.75" hidden="1" customHeight="1" outlineLevel="1" x14ac:dyDescent="0.2">
      <c r="A159" s="188" t="str">
        <f>"      "&amp;Labels!C384</f>
        <v xml:space="preserve">      Total</v>
      </c>
      <c r="B159" s="308">
        <f>IF(B40=0,0,B54/B40)</f>
        <v>0</v>
      </c>
      <c r="C159" s="308">
        <f>IF(C40=0,0,C54/C40)</f>
        <v>0</v>
      </c>
      <c r="D159" s="308">
        <f>IF(D40=0,0,D54/D40)</f>
        <v>0</v>
      </c>
      <c r="E159" s="309">
        <f>AVERAGE(B159:D159)</f>
        <v>0</v>
      </c>
      <c r="F159" s="308">
        <f>IF(F40=0,0,F54/F40)</f>
        <v>0</v>
      </c>
      <c r="G159" s="308">
        <f>IF(G40=0,0,G54/G40)</f>
        <v>0</v>
      </c>
      <c r="H159" s="308">
        <f>IF(H40=0,0,H54/H40)</f>
        <v>0</v>
      </c>
      <c r="I159" s="309">
        <f>AVERAGE(F159:H159)</f>
        <v>0</v>
      </c>
      <c r="J159" s="308">
        <f>IF(J40=0,0,J54/J40)</f>
        <v>70.65223242765002</v>
      </c>
      <c r="K159" s="308">
        <f>IF(K40=0,0,K54/K40)</f>
        <v>70.826479892832097</v>
      </c>
      <c r="L159" s="308">
        <f>IF(L40=0,0,L54/L40)</f>
        <v>0</v>
      </c>
      <c r="M159" s="309">
        <f>AVERAGE(J159:L159)</f>
        <v>47.159570773494039</v>
      </c>
      <c r="N159" s="308">
        <f>IF(N40=0,0,N54/N40)</f>
        <v>0</v>
      </c>
      <c r="O159" s="308">
        <f>IF(O40=0,0,O54/O40)</f>
        <v>0</v>
      </c>
      <c r="P159" s="308">
        <f>IF(P40=0,0,P54/P40)</f>
        <v>0</v>
      </c>
      <c r="Q159" s="309">
        <f>AVERAGE(N159:P159)</f>
        <v>0</v>
      </c>
      <c r="R159" s="308">
        <f>IF(R40=0,0,R54/R40)</f>
        <v>0</v>
      </c>
      <c r="S159" s="308">
        <f>IF(S40=0,0,S54/S40)</f>
        <v>0</v>
      </c>
      <c r="T159" s="308">
        <f>IF(T40=0,0,T54/T40)</f>
        <v>0</v>
      </c>
      <c r="U159" s="309">
        <f>AVERAGE(R159:T159)</f>
        <v>0</v>
      </c>
      <c r="V159" s="308">
        <f>IF(V40=0,0,V54/V40)</f>
        <v>0</v>
      </c>
      <c r="W159" s="308">
        <f>IF(W40=0,0,W54/W40)</f>
        <v>0</v>
      </c>
      <c r="X159" s="308">
        <f>IF(X40=0,0,X54/X40)</f>
        <v>0</v>
      </c>
      <c r="Y159" s="309">
        <f>AVERAGE(V159:X159)</f>
        <v>0</v>
      </c>
    </row>
    <row r="160" spans="1:25" ht="12.75" hidden="1" customHeight="1" outlineLevel="1" x14ac:dyDescent="0.2">
      <c r="A160" s="188" t="str">
        <f>"   "&amp;Labels!B382</f>
        <v xml:space="preserve">   Practice 2</v>
      </c>
      <c r="B160" s="308"/>
      <c r="C160" s="308"/>
      <c r="D160" s="308"/>
      <c r="E160" s="309"/>
      <c r="F160" s="308"/>
      <c r="G160" s="308"/>
      <c r="H160" s="308"/>
      <c r="I160" s="309"/>
      <c r="J160" s="308"/>
      <c r="K160" s="308"/>
      <c r="L160" s="308"/>
      <c r="M160" s="309"/>
      <c r="N160" s="308"/>
      <c r="O160" s="308"/>
      <c r="P160" s="308"/>
      <c r="Q160" s="309"/>
      <c r="R160" s="308"/>
      <c r="S160" s="308"/>
      <c r="T160" s="308"/>
      <c r="U160" s="309"/>
      <c r="V160" s="308"/>
      <c r="W160" s="308"/>
      <c r="X160" s="308"/>
      <c r="Y160" s="309"/>
    </row>
    <row r="161" spans="1:25" ht="12.75" hidden="1" customHeight="1" outlineLevel="1" x14ac:dyDescent="0.2">
      <c r="A161" s="198" t="str">
        <f>"      "&amp;Labels!B385</f>
        <v xml:space="preserve">      Prof Level 1</v>
      </c>
      <c r="B161" s="310">
        <f>'GM CostSvcs'!B466</f>
        <v>0</v>
      </c>
      <c r="C161" s="310">
        <f>'GM CostSvcs'!C466</f>
        <v>0</v>
      </c>
      <c r="D161" s="310">
        <f>'GM CostSvcs'!D466</f>
        <v>0</v>
      </c>
      <c r="E161" s="311">
        <f t="shared" ref="E161:E166" si="114">AVERAGE(B161:D161)</f>
        <v>0</v>
      </c>
      <c r="F161" s="310">
        <f>'GM CostSvcs'!F466</f>
        <v>0</v>
      </c>
      <c r="G161" s="310">
        <f>'GM CostSvcs'!G466</f>
        <v>0</v>
      </c>
      <c r="H161" s="310">
        <f>'GM CostSvcs'!H466</f>
        <v>0</v>
      </c>
      <c r="I161" s="311">
        <f t="shared" ref="I161:I166" si="115">AVERAGE(F161:H161)</f>
        <v>0</v>
      </c>
      <c r="J161" s="310">
        <f>'GM CostSvcs'!J466</f>
        <v>0</v>
      </c>
      <c r="K161" s="310">
        <f>'GM CostSvcs'!K466</f>
        <v>0</v>
      </c>
      <c r="L161" s="310">
        <f>'GM CostSvcs'!L466</f>
        <v>0</v>
      </c>
      <c r="M161" s="311">
        <f t="shared" ref="M161:M166" si="116">AVERAGE(J161:L161)</f>
        <v>0</v>
      </c>
      <c r="N161" s="310">
        <f>'GM CostSvcs'!N466</f>
        <v>0</v>
      </c>
      <c r="O161" s="310">
        <f>'GM CostSvcs'!O466</f>
        <v>0</v>
      </c>
      <c r="P161" s="310">
        <f>'GM CostSvcs'!P466</f>
        <v>0</v>
      </c>
      <c r="Q161" s="311">
        <f t="shared" ref="Q161:Q166" si="117">AVERAGE(N161:P161)</f>
        <v>0</v>
      </c>
      <c r="R161" s="310">
        <f>'GM CostSvcs'!R466</f>
        <v>0</v>
      </c>
      <c r="S161" s="310">
        <f>'GM CostSvcs'!S466</f>
        <v>0</v>
      </c>
      <c r="T161" s="310">
        <f>'GM CostSvcs'!T466</f>
        <v>0</v>
      </c>
      <c r="U161" s="311">
        <f t="shared" ref="U161:U166" si="118">AVERAGE(R161:T161)</f>
        <v>0</v>
      </c>
      <c r="V161" s="310">
        <f>'GM CostSvcs'!V466</f>
        <v>0</v>
      </c>
      <c r="W161" s="310">
        <f>'GM CostSvcs'!W466</f>
        <v>0</v>
      </c>
      <c r="X161" s="310">
        <f>'GM CostSvcs'!X466</f>
        <v>0</v>
      </c>
      <c r="Y161" s="311">
        <f t="shared" ref="Y161:Y166" si="119">AVERAGE(V161:X161)</f>
        <v>0</v>
      </c>
    </row>
    <row r="162" spans="1:25" ht="12.75" hidden="1" customHeight="1" outlineLevel="1" x14ac:dyDescent="0.2">
      <c r="A162" s="198" t="str">
        <f>"      "&amp;Labels!B386</f>
        <v xml:space="preserve">      Prof Level 2</v>
      </c>
      <c r="B162" s="310">
        <f>'GM CostSvcs'!B467</f>
        <v>0</v>
      </c>
      <c r="C162" s="310">
        <f>'GM CostSvcs'!C467</f>
        <v>0</v>
      </c>
      <c r="D162" s="310">
        <f>'GM CostSvcs'!D467</f>
        <v>0</v>
      </c>
      <c r="E162" s="311">
        <f t="shared" si="114"/>
        <v>0</v>
      </c>
      <c r="F162" s="310">
        <f>'GM CostSvcs'!F467</f>
        <v>0</v>
      </c>
      <c r="G162" s="310">
        <f>'GM CostSvcs'!G467</f>
        <v>0</v>
      </c>
      <c r="H162" s="310">
        <f>'GM CostSvcs'!H467</f>
        <v>0</v>
      </c>
      <c r="I162" s="311">
        <f t="shared" si="115"/>
        <v>0</v>
      </c>
      <c r="J162" s="310">
        <f>'GM CostSvcs'!J467</f>
        <v>0</v>
      </c>
      <c r="K162" s="310">
        <f>'GM CostSvcs'!K467</f>
        <v>0</v>
      </c>
      <c r="L162" s="310">
        <f>'GM CostSvcs'!L467</f>
        <v>0</v>
      </c>
      <c r="M162" s="311">
        <f t="shared" si="116"/>
        <v>0</v>
      </c>
      <c r="N162" s="310">
        <f>'GM CostSvcs'!N467</f>
        <v>0</v>
      </c>
      <c r="O162" s="310">
        <f>'GM CostSvcs'!O467</f>
        <v>0</v>
      </c>
      <c r="P162" s="310">
        <f>'GM CostSvcs'!P467</f>
        <v>0</v>
      </c>
      <c r="Q162" s="311">
        <f t="shared" si="117"/>
        <v>0</v>
      </c>
      <c r="R162" s="310">
        <f>'GM CostSvcs'!R467</f>
        <v>0</v>
      </c>
      <c r="S162" s="310">
        <f>'GM CostSvcs'!S467</f>
        <v>0</v>
      </c>
      <c r="T162" s="310">
        <f>'GM CostSvcs'!T467</f>
        <v>0</v>
      </c>
      <c r="U162" s="311">
        <f t="shared" si="118"/>
        <v>0</v>
      </c>
      <c r="V162" s="310">
        <f>'GM CostSvcs'!V467</f>
        <v>0</v>
      </c>
      <c r="W162" s="310">
        <f>'GM CostSvcs'!W467</f>
        <v>0</v>
      </c>
      <c r="X162" s="310">
        <f>'GM CostSvcs'!X467</f>
        <v>0</v>
      </c>
      <c r="Y162" s="311">
        <f t="shared" si="119"/>
        <v>0</v>
      </c>
    </row>
    <row r="163" spans="1:25" ht="12.75" hidden="1" customHeight="1" outlineLevel="1" x14ac:dyDescent="0.2">
      <c r="A163" s="188" t="str">
        <f>"      "&amp;Labels!C384</f>
        <v xml:space="preserve">      Total</v>
      </c>
      <c r="B163" s="308">
        <f t="shared" ref="B163:D166" si="120">IF(B44=0,0,B58/B44)</f>
        <v>0</v>
      </c>
      <c r="C163" s="308">
        <f t="shared" si="120"/>
        <v>0</v>
      </c>
      <c r="D163" s="308">
        <f t="shared" si="120"/>
        <v>0</v>
      </c>
      <c r="E163" s="309">
        <f t="shared" si="114"/>
        <v>0</v>
      </c>
      <c r="F163" s="308">
        <f t="shared" ref="F163:H166" si="121">IF(F44=0,0,F58/F44)</f>
        <v>0</v>
      </c>
      <c r="G163" s="308">
        <f t="shared" si="121"/>
        <v>0</v>
      </c>
      <c r="H163" s="308">
        <f t="shared" si="121"/>
        <v>0</v>
      </c>
      <c r="I163" s="309">
        <f t="shared" si="115"/>
        <v>0</v>
      </c>
      <c r="J163" s="308">
        <f t="shared" ref="J163:L166" si="122">IF(J44=0,0,J58/J44)</f>
        <v>0</v>
      </c>
      <c r="K163" s="308">
        <f t="shared" si="122"/>
        <v>0</v>
      </c>
      <c r="L163" s="308">
        <f t="shared" si="122"/>
        <v>0</v>
      </c>
      <c r="M163" s="309">
        <f t="shared" si="116"/>
        <v>0</v>
      </c>
      <c r="N163" s="308">
        <f t="shared" ref="N163:P166" si="123">IF(N44=0,0,N58/N44)</f>
        <v>0</v>
      </c>
      <c r="O163" s="308">
        <f t="shared" si="123"/>
        <v>0</v>
      </c>
      <c r="P163" s="308">
        <f t="shared" si="123"/>
        <v>0</v>
      </c>
      <c r="Q163" s="309">
        <f t="shared" si="117"/>
        <v>0</v>
      </c>
      <c r="R163" s="308">
        <f t="shared" ref="R163:T166" si="124">IF(R44=0,0,R58/R44)</f>
        <v>0</v>
      </c>
      <c r="S163" s="308">
        <f t="shared" si="124"/>
        <v>0</v>
      </c>
      <c r="T163" s="308">
        <f t="shared" si="124"/>
        <v>0</v>
      </c>
      <c r="U163" s="309">
        <f t="shared" si="118"/>
        <v>0</v>
      </c>
      <c r="V163" s="308">
        <f t="shared" ref="V163:X166" si="125">IF(V44=0,0,V58/V44)</f>
        <v>0</v>
      </c>
      <c r="W163" s="308">
        <f t="shared" si="125"/>
        <v>0</v>
      </c>
      <c r="X163" s="308">
        <f t="shared" si="125"/>
        <v>0</v>
      </c>
      <c r="Y163" s="309">
        <f t="shared" si="119"/>
        <v>0</v>
      </c>
    </row>
    <row r="164" spans="1:25" ht="12.75" hidden="1" customHeight="1" outlineLevel="1" x14ac:dyDescent="0.2">
      <c r="A164" s="191" t="str">
        <f>"   "&amp;Labels!C380</f>
        <v xml:space="preserve">   Total</v>
      </c>
      <c r="B164" s="306">
        <f t="shared" si="120"/>
        <v>0</v>
      </c>
      <c r="C164" s="306">
        <f t="shared" si="120"/>
        <v>0</v>
      </c>
      <c r="D164" s="306">
        <f t="shared" si="120"/>
        <v>0</v>
      </c>
      <c r="E164" s="307">
        <f t="shared" si="114"/>
        <v>0</v>
      </c>
      <c r="F164" s="306">
        <f t="shared" si="121"/>
        <v>0</v>
      </c>
      <c r="G164" s="306">
        <f t="shared" si="121"/>
        <v>0</v>
      </c>
      <c r="H164" s="306">
        <f t="shared" si="121"/>
        <v>0</v>
      </c>
      <c r="I164" s="307">
        <f t="shared" si="115"/>
        <v>0</v>
      </c>
      <c r="J164" s="306">
        <f t="shared" si="122"/>
        <v>70.65223242765002</v>
      </c>
      <c r="K164" s="306">
        <f t="shared" si="122"/>
        <v>70.826479892832097</v>
      </c>
      <c r="L164" s="306">
        <f t="shared" si="122"/>
        <v>0</v>
      </c>
      <c r="M164" s="307">
        <f t="shared" si="116"/>
        <v>47.159570773494039</v>
      </c>
      <c r="N164" s="306">
        <f t="shared" si="123"/>
        <v>0</v>
      </c>
      <c r="O164" s="306">
        <f t="shared" si="123"/>
        <v>0</v>
      </c>
      <c r="P164" s="306">
        <f t="shared" si="123"/>
        <v>0</v>
      </c>
      <c r="Q164" s="307">
        <f t="shared" si="117"/>
        <v>0</v>
      </c>
      <c r="R164" s="306">
        <f t="shared" si="124"/>
        <v>0</v>
      </c>
      <c r="S164" s="306">
        <f t="shared" si="124"/>
        <v>0</v>
      </c>
      <c r="T164" s="306">
        <f t="shared" si="124"/>
        <v>0</v>
      </c>
      <c r="U164" s="307">
        <f t="shared" si="118"/>
        <v>0</v>
      </c>
      <c r="V164" s="306">
        <f t="shared" si="125"/>
        <v>0</v>
      </c>
      <c r="W164" s="306">
        <f t="shared" si="125"/>
        <v>0</v>
      </c>
      <c r="X164" s="306">
        <f t="shared" si="125"/>
        <v>0</v>
      </c>
      <c r="Y164" s="307">
        <f t="shared" si="119"/>
        <v>0</v>
      </c>
    </row>
    <row r="165" spans="1:25" ht="12.75" hidden="1" customHeight="1" outlineLevel="1" x14ac:dyDescent="0.2">
      <c r="A165" s="198" t="str">
        <f>"      "&amp;Labels!B385</f>
        <v xml:space="preserve">      Prof Level 1</v>
      </c>
      <c r="B165" s="310">
        <f t="shared" si="120"/>
        <v>0</v>
      </c>
      <c r="C165" s="310">
        <f t="shared" si="120"/>
        <v>0</v>
      </c>
      <c r="D165" s="310">
        <f t="shared" si="120"/>
        <v>0</v>
      </c>
      <c r="E165" s="311">
        <f t="shared" si="114"/>
        <v>0</v>
      </c>
      <c r="F165" s="310">
        <f t="shared" si="121"/>
        <v>0</v>
      </c>
      <c r="G165" s="310">
        <f t="shared" si="121"/>
        <v>0</v>
      </c>
      <c r="H165" s="310">
        <f t="shared" si="121"/>
        <v>0</v>
      </c>
      <c r="I165" s="311">
        <f t="shared" si="115"/>
        <v>0</v>
      </c>
      <c r="J165" s="310">
        <f t="shared" si="122"/>
        <v>70.65223242765002</v>
      </c>
      <c r="K165" s="310">
        <f t="shared" si="122"/>
        <v>70.826479892832097</v>
      </c>
      <c r="L165" s="310">
        <f t="shared" si="122"/>
        <v>0</v>
      </c>
      <c r="M165" s="311">
        <f t="shared" si="116"/>
        <v>47.159570773494039</v>
      </c>
      <c r="N165" s="310">
        <f t="shared" si="123"/>
        <v>0</v>
      </c>
      <c r="O165" s="310">
        <f t="shared" si="123"/>
        <v>0</v>
      </c>
      <c r="P165" s="310">
        <f t="shared" si="123"/>
        <v>0</v>
      </c>
      <c r="Q165" s="311">
        <f t="shared" si="117"/>
        <v>0</v>
      </c>
      <c r="R165" s="310">
        <f t="shared" si="124"/>
        <v>0</v>
      </c>
      <c r="S165" s="310">
        <f t="shared" si="124"/>
        <v>0</v>
      </c>
      <c r="T165" s="310">
        <f t="shared" si="124"/>
        <v>0</v>
      </c>
      <c r="U165" s="311">
        <f t="shared" si="118"/>
        <v>0</v>
      </c>
      <c r="V165" s="310">
        <f t="shared" si="125"/>
        <v>0</v>
      </c>
      <c r="W165" s="310">
        <f t="shared" si="125"/>
        <v>0</v>
      </c>
      <c r="X165" s="310">
        <f t="shared" si="125"/>
        <v>0</v>
      </c>
      <c r="Y165" s="311">
        <f t="shared" si="119"/>
        <v>0</v>
      </c>
    </row>
    <row r="166" spans="1:25" ht="12.75" hidden="1" customHeight="1" outlineLevel="1" x14ac:dyDescent="0.2">
      <c r="A166" s="198" t="str">
        <f>"      "&amp;Labels!B386</f>
        <v xml:space="preserve">      Prof Level 2</v>
      </c>
      <c r="B166" s="310">
        <f t="shared" si="120"/>
        <v>0</v>
      </c>
      <c r="C166" s="310">
        <f t="shared" si="120"/>
        <v>0</v>
      </c>
      <c r="D166" s="310">
        <f t="shared" si="120"/>
        <v>0</v>
      </c>
      <c r="E166" s="311">
        <f t="shared" si="114"/>
        <v>0</v>
      </c>
      <c r="F166" s="310">
        <f t="shared" si="121"/>
        <v>0</v>
      </c>
      <c r="G166" s="310">
        <f t="shared" si="121"/>
        <v>0</v>
      </c>
      <c r="H166" s="310">
        <f t="shared" si="121"/>
        <v>0</v>
      </c>
      <c r="I166" s="311">
        <f t="shared" si="115"/>
        <v>0</v>
      </c>
      <c r="J166" s="310">
        <f t="shared" si="122"/>
        <v>70.65223242765002</v>
      </c>
      <c r="K166" s="310">
        <f t="shared" si="122"/>
        <v>70.826479892832097</v>
      </c>
      <c r="L166" s="310">
        <f t="shared" si="122"/>
        <v>0</v>
      </c>
      <c r="M166" s="311">
        <f t="shared" si="116"/>
        <v>47.159570773494039</v>
      </c>
      <c r="N166" s="310">
        <f t="shared" si="123"/>
        <v>0</v>
      </c>
      <c r="O166" s="310">
        <f t="shared" si="123"/>
        <v>0</v>
      </c>
      <c r="P166" s="310">
        <f t="shared" si="123"/>
        <v>0</v>
      </c>
      <c r="Q166" s="311">
        <f t="shared" si="117"/>
        <v>0</v>
      </c>
      <c r="R166" s="310">
        <f t="shared" si="124"/>
        <v>0</v>
      </c>
      <c r="S166" s="310">
        <f t="shared" si="124"/>
        <v>0</v>
      </c>
      <c r="T166" s="310">
        <f t="shared" si="124"/>
        <v>0</v>
      </c>
      <c r="U166" s="311">
        <f t="shared" si="118"/>
        <v>0</v>
      </c>
      <c r="V166" s="310">
        <f t="shared" si="125"/>
        <v>0</v>
      </c>
      <c r="W166" s="310">
        <f t="shared" si="125"/>
        <v>0</v>
      </c>
      <c r="X166" s="310">
        <f t="shared" si="125"/>
        <v>0</v>
      </c>
      <c r="Y166" s="311">
        <f t="shared" si="119"/>
        <v>0</v>
      </c>
    </row>
    <row r="167" spans="1:25" ht="12.75" hidden="1" customHeight="1" outlineLevel="1" x14ac:dyDescent="0.2">
      <c r="A167" s="220" t="str">
        <f>"      "&amp;Labels!C384</f>
        <v xml:space="preserve">      Total</v>
      </c>
      <c r="B167" s="312">
        <f>IF(B45=0,0,B59/B45)</f>
        <v>0</v>
      </c>
      <c r="C167" s="312">
        <f>IF(C45=0,0,C59/C45)</f>
        <v>0</v>
      </c>
      <c r="D167" s="312">
        <f>IF(D45=0,0,D59/D45)</f>
        <v>0</v>
      </c>
      <c r="E167" s="313">
        <f>AVERAGE(B164:D164)</f>
        <v>0</v>
      </c>
      <c r="F167" s="312">
        <f>IF(F45=0,0,F59/F45)</f>
        <v>0</v>
      </c>
      <c r="G167" s="312">
        <f>IF(G45=0,0,G59/G45)</f>
        <v>0</v>
      </c>
      <c r="H167" s="312">
        <f>IF(H45=0,0,H59/H45)</f>
        <v>0</v>
      </c>
      <c r="I167" s="313">
        <f>AVERAGE(F164:H164)</f>
        <v>0</v>
      </c>
      <c r="J167" s="312">
        <f>IF(J45=0,0,J59/J45)</f>
        <v>70.65223242765002</v>
      </c>
      <c r="K167" s="312">
        <f>IF(K45=0,0,K59/K45)</f>
        <v>70.826479892832097</v>
      </c>
      <c r="L167" s="312">
        <f>IF(L45=0,0,L59/L45)</f>
        <v>0</v>
      </c>
      <c r="M167" s="313">
        <f>AVERAGE(J164:L164)</f>
        <v>47.159570773494039</v>
      </c>
      <c r="N167" s="312">
        <f>IF(N45=0,0,N59/N45)</f>
        <v>0</v>
      </c>
      <c r="O167" s="312">
        <f>IF(O45=0,0,O59/O45)</f>
        <v>0</v>
      </c>
      <c r="P167" s="312">
        <f>IF(P45=0,0,P59/P45)</f>
        <v>0</v>
      </c>
      <c r="Q167" s="313">
        <f>AVERAGE(N164:P164)</f>
        <v>0</v>
      </c>
      <c r="R167" s="312">
        <f>IF(R45=0,0,R59/R45)</f>
        <v>0</v>
      </c>
      <c r="S167" s="312">
        <f>IF(S45=0,0,S59/S45)</f>
        <v>0</v>
      </c>
      <c r="T167" s="312">
        <f>IF(T45=0,0,T59/T45)</f>
        <v>0</v>
      </c>
      <c r="U167" s="313">
        <f>AVERAGE(R164:T164)</f>
        <v>0</v>
      </c>
      <c r="V167" s="312">
        <f>IF(V45=0,0,V59/V45)</f>
        <v>0</v>
      </c>
      <c r="W167" s="312">
        <f>IF(W45=0,0,W59/W45)</f>
        <v>0</v>
      </c>
      <c r="X167" s="312">
        <f>IF(X45=0,0,X59/X45)</f>
        <v>0</v>
      </c>
      <c r="Y167" s="313">
        <f>AVERAGE(V164:X164)</f>
        <v>0</v>
      </c>
    </row>
    <row r="168" spans="1:25" ht="12.75" hidden="1" customHeight="1" outlineLevel="1" collapsed="1" x14ac:dyDescent="0.2"/>
    <row r="169" spans="1:25" ht="12.75" customHeight="1" collapsed="1" x14ac:dyDescent="0.2"/>
    <row r="170" spans="1:25" ht="12.75" customHeight="1" collapsed="1" x14ac:dyDescent="0.2">
      <c r="A170" s="464" t="str">
        <f>"Professional Staff Applied"</f>
        <v>Professional Staff Applied</v>
      </c>
      <c r="B170" s="464"/>
    </row>
    <row r="171" spans="1:25" ht="12.75" hidden="1" customHeight="1" outlineLevel="1" x14ac:dyDescent="0.2">
      <c r="A171" s="464" t="str">
        <f>""</f>
        <v/>
      </c>
      <c r="B171" s="464"/>
    </row>
    <row r="172" spans="1:25" ht="12.75" hidden="1" customHeight="1" outlineLevel="1" x14ac:dyDescent="0.2">
      <c r="B172" s="9" t="str">
        <f>'(FnCalls 1)'!F41</f>
        <v>MMM 2010</v>
      </c>
      <c r="C172" s="10" t="str">
        <f>'(FnCalls 1)'!F42</f>
        <v>MMM 2010</v>
      </c>
      <c r="D172" s="10" t="str">
        <f>'(FnCalls 1)'!F43</f>
        <v>MMM 2010</v>
      </c>
      <c r="E172" s="181" t="str">
        <f>'(FnCalls 1)'!G41</f>
        <v>Q1 2010</v>
      </c>
      <c r="F172" s="10" t="str">
        <f>'(FnCalls 1)'!F44</f>
        <v>MMM 2010</v>
      </c>
      <c r="G172" s="10" t="str">
        <f>'(FnCalls 1)'!F45</f>
        <v>MMM 2010</v>
      </c>
      <c r="H172" s="10" t="str">
        <f>'(FnCalls 1)'!F46</f>
        <v>MMM 2010</v>
      </c>
      <c r="I172" s="181" t="str">
        <f>'(FnCalls 1)'!G44</f>
        <v>Q2 2010</v>
      </c>
      <c r="J172" s="10" t="str">
        <f>'(FnCalls 1)'!F47</f>
        <v>MMM 2010</v>
      </c>
      <c r="K172" s="10" t="str">
        <f>'(FnCalls 1)'!F48</f>
        <v>MMM 2010</v>
      </c>
      <c r="L172" s="10" t="str">
        <f>'(FnCalls 1)'!F49</f>
        <v>MMM 2010</v>
      </c>
      <c r="M172" s="181" t="str">
        <f>'(FnCalls 1)'!G47</f>
        <v>Q3 2010</v>
      </c>
      <c r="N172" s="10" t="str">
        <f>'(FnCalls 1)'!F50</f>
        <v>MMM 2010</v>
      </c>
      <c r="O172" s="10" t="str">
        <f>'(FnCalls 1)'!F51</f>
        <v>MMM 2010</v>
      </c>
      <c r="P172" s="10" t="str">
        <f>'(FnCalls 1)'!F52</f>
        <v>MMM 2010</v>
      </c>
      <c r="Q172" s="181" t="str">
        <f>'(FnCalls 1)'!G50</f>
        <v>Q4 2010</v>
      </c>
      <c r="R172" s="10" t="str">
        <f>'(FnCalls 1)'!F53</f>
        <v>MMM 2011</v>
      </c>
      <c r="S172" s="10" t="str">
        <f>'(FnCalls 1)'!F54</f>
        <v>MMM 2011</v>
      </c>
      <c r="T172" s="10" t="str">
        <f>'(FnCalls 1)'!F55</f>
        <v>MMM 2011</v>
      </c>
      <c r="U172" s="181" t="str">
        <f>'(FnCalls 1)'!G53</f>
        <v>Q1 2011</v>
      </c>
      <c r="V172" s="10" t="str">
        <f>'(FnCalls 1)'!F56</f>
        <v>MMM 2011</v>
      </c>
      <c r="W172" s="10" t="str">
        <f>'(FnCalls 1)'!F57</f>
        <v>MMM 2011</v>
      </c>
      <c r="X172" s="10" t="str">
        <f>'(FnCalls 1)'!F58</f>
        <v>MMM 2011</v>
      </c>
      <c r="Y172" s="181" t="str">
        <f>'(FnCalls 1)'!G56</f>
        <v>Q2 2011</v>
      </c>
    </row>
    <row r="173" spans="1:25" ht="12.75" hidden="1" customHeight="1" outlineLevel="1" x14ac:dyDescent="0.2">
      <c r="A173" s="182" t="str">
        <f>Labels!B180</f>
        <v>Prof Staff Hours Applied</v>
      </c>
      <c r="B173" s="254"/>
      <c r="C173" s="254"/>
      <c r="D173" s="254"/>
      <c r="E173" s="255"/>
      <c r="F173" s="254"/>
      <c r="G173" s="254"/>
      <c r="H173" s="254"/>
      <c r="I173" s="255"/>
      <c r="J173" s="254"/>
      <c r="K173" s="254"/>
      <c r="L173" s="254"/>
      <c r="M173" s="255"/>
      <c r="N173" s="254"/>
      <c r="O173" s="254"/>
      <c r="P173" s="254"/>
      <c r="Q173" s="255"/>
      <c r="R173" s="254"/>
      <c r="S173" s="254"/>
      <c r="T173" s="254"/>
      <c r="U173" s="255"/>
      <c r="V173" s="254"/>
      <c r="W173" s="254"/>
      <c r="X173" s="254"/>
      <c r="Y173" s="255"/>
    </row>
    <row r="174" spans="1:25" ht="12.75" hidden="1" customHeight="1" outlineLevel="1" x14ac:dyDescent="0.2">
      <c r="A174" s="188" t="str">
        <f>"   "&amp;Labels!B381</f>
        <v xml:space="preserve">   Practice 1</v>
      </c>
      <c r="B174" s="256"/>
      <c r="C174" s="256"/>
      <c r="D174" s="256"/>
      <c r="E174" s="257"/>
      <c r="F174" s="256"/>
      <c r="G174" s="256"/>
      <c r="H174" s="256"/>
      <c r="I174" s="257"/>
      <c r="J174" s="256"/>
      <c r="K174" s="256"/>
      <c r="L174" s="256"/>
      <c r="M174" s="257"/>
      <c r="N174" s="256"/>
      <c r="O174" s="256"/>
      <c r="P174" s="256"/>
      <c r="Q174" s="257"/>
      <c r="R174" s="256"/>
      <c r="S174" s="256"/>
      <c r="T174" s="256"/>
      <c r="U174" s="257"/>
      <c r="V174" s="256"/>
      <c r="W174" s="256"/>
      <c r="X174" s="256"/>
      <c r="Y174" s="257"/>
    </row>
    <row r="175" spans="1:25" ht="12.75" hidden="1" customHeight="1" outlineLevel="1" x14ac:dyDescent="0.2">
      <c r="A175" s="198" t="str">
        <f>"      "&amp;Labels!B385</f>
        <v xml:space="preserve">      Prof Level 1</v>
      </c>
      <c r="B175" s="258">
        <f>'GM CostSvcs'!B351</f>
        <v>0</v>
      </c>
      <c r="C175" s="258">
        <f>'GM CostSvcs'!C351</f>
        <v>0</v>
      </c>
      <c r="D175" s="258">
        <f>'GM CostSvcs'!D351</f>
        <v>275</v>
      </c>
      <c r="E175" s="259">
        <f>SUM(B175:D175)</f>
        <v>275</v>
      </c>
      <c r="F175" s="258">
        <f>'GM CostSvcs'!F351</f>
        <v>275</v>
      </c>
      <c r="G175" s="258">
        <f>'GM CostSvcs'!G351</f>
        <v>0</v>
      </c>
      <c r="H175" s="258">
        <f>'GM CostSvcs'!H351</f>
        <v>200</v>
      </c>
      <c r="I175" s="259">
        <f>SUM(F175:H175)</f>
        <v>475</v>
      </c>
      <c r="J175" s="258">
        <f>'GM CostSvcs'!J351</f>
        <v>200</v>
      </c>
      <c r="K175" s="258">
        <f>'GM CostSvcs'!K351</f>
        <v>200</v>
      </c>
      <c r="L175" s="258">
        <f>'GM CostSvcs'!L351</f>
        <v>0</v>
      </c>
      <c r="M175" s="259">
        <f>SUM(J175:L175)</f>
        <v>400</v>
      </c>
      <c r="N175" s="258">
        <f>'GM CostSvcs'!N351</f>
        <v>0</v>
      </c>
      <c r="O175" s="258">
        <f>'GM CostSvcs'!O351</f>
        <v>0</v>
      </c>
      <c r="P175" s="258">
        <f>'GM CostSvcs'!P351</f>
        <v>0</v>
      </c>
      <c r="Q175" s="259">
        <f>SUM(N175:P175)</f>
        <v>0</v>
      </c>
      <c r="R175" s="258">
        <f>'GM CostSvcs'!R351</f>
        <v>0</v>
      </c>
      <c r="S175" s="258">
        <f>'GM CostSvcs'!S351</f>
        <v>0</v>
      </c>
      <c r="T175" s="258">
        <f>'GM CostSvcs'!T351</f>
        <v>0</v>
      </c>
      <c r="U175" s="259">
        <f>SUM(R175:T175)</f>
        <v>0</v>
      </c>
      <c r="V175" s="258">
        <f>'GM CostSvcs'!V351</f>
        <v>0</v>
      </c>
      <c r="W175" s="258">
        <f>'GM CostSvcs'!W351</f>
        <v>0</v>
      </c>
      <c r="X175" s="258">
        <f>'GM CostSvcs'!X351</f>
        <v>0</v>
      </c>
      <c r="Y175" s="259">
        <f>SUM(V175:X175)</f>
        <v>0</v>
      </c>
    </row>
    <row r="176" spans="1:25" ht="12.75" hidden="1" customHeight="1" outlineLevel="1" x14ac:dyDescent="0.2">
      <c r="A176" s="198" t="str">
        <f>"      "&amp;Labels!B386</f>
        <v xml:space="preserve">      Prof Level 2</v>
      </c>
      <c r="B176" s="258">
        <f>'GM CostSvcs'!B352</f>
        <v>0</v>
      </c>
      <c r="C176" s="258">
        <f>'GM CostSvcs'!C352</f>
        <v>0</v>
      </c>
      <c r="D176" s="258">
        <f>'GM CostSvcs'!D352</f>
        <v>275</v>
      </c>
      <c r="E176" s="259">
        <f>SUM(B176:D176)</f>
        <v>275</v>
      </c>
      <c r="F176" s="258">
        <f>'GM CostSvcs'!F352</f>
        <v>275</v>
      </c>
      <c r="G176" s="258">
        <f>'GM CostSvcs'!G352</f>
        <v>0</v>
      </c>
      <c r="H176" s="258">
        <f>'GM CostSvcs'!H352</f>
        <v>200</v>
      </c>
      <c r="I176" s="259">
        <f>SUM(F176:H176)</f>
        <v>475</v>
      </c>
      <c r="J176" s="258">
        <f>'GM CostSvcs'!J352</f>
        <v>200</v>
      </c>
      <c r="K176" s="258">
        <f>'GM CostSvcs'!K352</f>
        <v>200</v>
      </c>
      <c r="L176" s="258">
        <f>'GM CostSvcs'!L352</f>
        <v>0</v>
      </c>
      <c r="M176" s="259">
        <f>SUM(J176:L176)</f>
        <v>400</v>
      </c>
      <c r="N176" s="258">
        <f>'GM CostSvcs'!N352</f>
        <v>0</v>
      </c>
      <c r="O176" s="258">
        <f>'GM CostSvcs'!O352</f>
        <v>0</v>
      </c>
      <c r="P176" s="258">
        <f>'GM CostSvcs'!P352</f>
        <v>0</v>
      </c>
      <c r="Q176" s="259">
        <f>SUM(N176:P176)</f>
        <v>0</v>
      </c>
      <c r="R176" s="258">
        <f>'GM CostSvcs'!R352</f>
        <v>0</v>
      </c>
      <c r="S176" s="258">
        <f>'GM CostSvcs'!S352</f>
        <v>0</v>
      </c>
      <c r="T176" s="258">
        <f>'GM CostSvcs'!T352</f>
        <v>0</v>
      </c>
      <c r="U176" s="259">
        <f>SUM(R176:T176)</f>
        <v>0</v>
      </c>
      <c r="V176" s="258">
        <f>'GM CostSvcs'!V352</f>
        <v>0</v>
      </c>
      <c r="W176" s="258">
        <f>'GM CostSvcs'!W352</f>
        <v>0</v>
      </c>
      <c r="X176" s="258">
        <f>'GM CostSvcs'!X352</f>
        <v>0</v>
      </c>
      <c r="Y176" s="259">
        <f>SUM(V176:X176)</f>
        <v>0</v>
      </c>
    </row>
    <row r="177" spans="1:25" ht="12.75" hidden="1" customHeight="1" outlineLevel="1" x14ac:dyDescent="0.2">
      <c r="A177" s="188" t="str">
        <f>"      "&amp;Labels!C384</f>
        <v xml:space="preserve">      Total</v>
      </c>
      <c r="B177" s="256">
        <f>SUM(B175:B176)</f>
        <v>0</v>
      </c>
      <c r="C177" s="256">
        <f>SUM(C175:C176)</f>
        <v>0</v>
      </c>
      <c r="D177" s="256">
        <f>SUM(D175:D176)</f>
        <v>550</v>
      </c>
      <c r="E177" s="257">
        <f>SUM(B177:D177)</f>
        <v>550</v>
      </c>
      <c r="F177" s="256">
        <f>SUM(F175:F176)</f>
        <v>550</v>
      </c>
      <c r="G177" s="256">
        <f>SUM(G175:G176)</f>
        <v>0</v>
      </c>
      <c r="H177" s="256">
        <f>SUM(H175:H176)</f>
        <v>400</v>
      </c>
      <c r="I177" s="257">
        <f>SUM(F177:H177)</f>
        <v>950</v>
      </c>
      <c r="J177" s="256">
        <f>SUM(J175:J176)</f>
        <v>400</v>
      </c>
      <c r="K177" s="256">
        <f>SUM(K175:K176)</f>
        <v>400</v>
      </c>
      <c r="L177" s="256">
        <f>SUM(L175:L176)</f>
        <v>0</v>
      </c>
      <c r="M177" s="257">
        <f>SUM(J177:L177)</f>
        <v>800</v>
      </c>
      <c r="N177" s="256">
        <f>SUM(N175:N176)</f>
        <v>0</v>
      </c>
      <c r="O177" s="256">
        <f>SUM(O175:O176)</f>
        <v>0</v>
      </c>
      <c r="P177" s="256">
        <f>SUM(P175:P176)</f>
        <v>0</v>
      </c>
      <c r="Q177" s="257">
        <f>SUM(N177:P177)</f>
        <v>0</v>
      </c>
      <c r="R177" s="256">
        <f>SUM(R175:R176)</f>
        <v>0</v>
      </c>
      <c r="S177" s="256">
        <f>SUM(S175:S176)</f>
        <v>0</v>
      </c>
      <c r="T177" s="256">
        <f>SUM(T175:T176)</f>
        <v>0</v>
      </c>
      <c r="U177" s="257">
        <f>SUM(R177:T177)</f>
        <v>0</v>
      </c>
      <c r="V177" s="256">
        <f>SUM(V175:V176)</f>
        <v>0</v>
      </c>
      <c r="W177" s="256">
        <f>SUM(W175:W176)</f>
        <v>0</v>
      </c>
      <c r="X177" s="256">
        <f>SUM(X175:X176)</f>
        <v>0</v>
      </c>
      <c r="Y177" s="257">
        <f>SUM(V177:X177)</f>
        <v>0</v>
      </c>
    </row>
    <row r="178" spans="1:25" ht="12.75" hidden="1" customHeight="1" outlineLevel="1" x14ac:dyDescent="0.2">
      <c r="A178" s="188" t="str">
        <f>"   "&amp;Labels!B382</f>
        <v xml:space="preserve">   Practice 2</v>
      </c>
      <c r="B178" s="256"/>
      <c r="C178" s="256"/>
      <c r="D178" s="256"/>
      <c r="E178" s="257"/>
      <c r="F178" s="256"/>
      <c r="G178" s="256"/>
      <c r="H178" s="256"/>
      <c r="I178" s="257"/>
      <c r="J178" s="256"/>
      <c r="K178" s="256"/>
      <c r="L178" s="256"/>
      <c r="M178" s="257"/>
      <c r="N178" s="256"/>
      <c r="O178" s="256"/>
      <c r="P178" s="256"/>
      <c r="Q178" s="257"/>
      <c r="R178" s="256"/>
      <c r="S178" s="256"/>
      <c r="T178" s="256"/>
      <c r="U178" s="257"/>
      <c r="V178" s="256"/>
      <c r="W178" s="256"/>
      <c r="X178" s="256"/>
      <c r="Y178" s="257"/>
    </row>
    <row r="179" spans="1:25" ht="12.75" hidden="1" customHeight="1" outlineLevel="1" x14ac:dyDescent="0.2">
      <c r="A179" s="198" t="str">
        <f>"      "&amp;Labels!B385</f>
        <v xml:space="preserve">      Prof Level 1</v>
      </c>
      <c r="B179" s="258">
        <f>'GM CostSvcs'!B355</f>
        <v>0</v>
      </c>
      <c r="C179" s="258">
        <f>'GM CostSvcs'!C355</f>
        <v>0</v>
      </c>
      <c r="D179" s="258">
        <f>'GM CostSvcs'!D355</f>
        <v>0</v>
      </c>
      <c r="E179" s="259">
        <f t="shared" ref="E179:E184" si="126">SUM(B179:D179)</f>
        <v>0</v>
      </c>
      <c r="F179" s="258">
        <f>'GM CostSvcs'!F355</f>
        <v>0</v>
      </c>
      <c r="G179" s="258">
        <f>'GM CostSvcs'!G355</f>
        <v>0</v>
      </c>
      <c r="H179" s="258">
        <f>'GM CostSvcs'!H355</f>
        <v>0</v>
      </c>
      <c r="I179" s="259">
        <f t="shared" ref="I179:I184" si="127">SUM(F179:H179)</f>
        <v>0</v>
      </c>
      <c r="J179" s="258">
        <f>'GM CostSvcs'!J355</f>
        <v>0</v>
      </c>
      <c r="K179" s="258">
        <f>'GM CostSvcs'!K355</f>
        <v>0</v>
      </c>
      <c r="L179" s="258">
        <f>'GM CostSvcs'!L355</f>
        <v>0</v>
      </c>
      <c r="M179" s="259">
        <f t="shared" ref="M179:M184" si="128">SUM(J179:L179)</f>
        <v>0</v>
      </c>
      <c r="N179" s="258">
        <f>'GM CostSvcs'!N355</f>
        <v>0</v>
      </c>
      <c r="O179" s="258">
        <f>'GM CostSvcs'!O355</f>
        <v>0</v>
      </c>
      <c r="P179" s="258">
        <f>'GM CostSvcs'!P355</f>
        <v>0</v>
      </c>
      <c r="Q179" s="259">
        <f t="shared" ref="Q179:Q184" si="129">SUM(N179:P179)</f>
        <v>0</v>
      </c>
      <c r="R179" s="258">
        <f>'GM CostSvcs'!R355</f>
        <v>0</v>
      </c>
      <c r="S179" s="258">
        <f>'GM CostSvcs'!S355</f>
        <v>0</v>
      </c>
      <c r="T179" s="258">
        <f>'GM CostSvcs'!T355</f>
        <v>0</v>
      </c>
      <c r="U179" s="259">
        <f t="shared" ref="U179:U184" si="130">SUM(R179:T179)</f>
        <v>0</v>
      </c>
      <c r="V179" s="258">
        <f>'GM CostSvcs'!V355</f>
        <v>0</v>
      </c>
      <c r="W179" s="258">
        <f>'GM CostSvcs'!W355</f>
        <v>0</v>
      </c>
      <c r="X179" s="258">
        <f>'GM CostSvcs'!X355</f>
        <v>0</v>
      </c>
      <c r="Y179" s="259">
        <f t="shared" ref="Y179:Y184" si="131">SUM(V179:X179)</f>
        <v>0</v>
      </c>
    </row>
    <row r="180" spans="1:25" ht="12.75" hidden="1" customHeight="1" outlineLevel="1" x14ac:dyDescent="0.2">
      <c r="A180" s="198" t="str">
        <f>"      "&amp;Labels!B386</f>
        <v xml:space="preserve">      Prof Level 2</v>
      </c>
      <c r="B180" s="258">
        <f>'GM CostSvcs'!B356</f>
        <v>0</v>
      </c>
      <c r="C180" s="258">
        <f>'GM CostSvcs'!C356</f>
        <v>0</v>
      </c>
      <c r="D180" s="258">
        <f>'GM CostSvcs'!D356</f>
        <v>0</v>
      </c>
      <c r="E180" s="259">
        <f t="shared" si="126"/>
        <v>0</v>
      </c>
      <c r="F180" s="258">
        <f>'GM CostSvcs'!F356</f>
        <v>0</v>
      </c>
      <c r="G180" s="258">
        <f>'GM CostSvcs'!G356</f>
        <v>0</v>
      </c>
      <c r="H180" s="258">
        <f>'GM CostSvcs'!H356</f>
        <v>0</v>
      </c>
      <c r="I180" s="259">
        <f t="shared" si="127"/>
        <v>0</v>
      </c>
      <c r="J180" s="258">
        <f>'GM CostSvcs'!J356</f>
        <v>0</v>
      </c>
      <c r="K180" s="258">
        <f>'GM CostSvcs'!K356</f>
        <v>0</v>
      </c>
      <c r="L180" s="258">
        <f>'GM CostSvcs'!L356</f>
        <v>0</v>
      </c>
      <c r="M180" s="259">
        <f t="shared" si="128"/>
        <v>0</v>
      </c>
      <c r="N180" s="258">
        <f>'GM CostSvcs'!N356</f>
        <v>0</v>
      </c>
      <c r="O180" s="258">
        <f>'GM CostSvcs'!O356</f>
        <v>0</v>
      </c>
      <c r="P180" s="258">
        <f>'GM CostSvcs'!P356</f>
        <v>0</v>
      </c>
      <c r="Q180" s="259">
        <f t="shared" si="129"/>
        <v>0</v>
      </c>
      <c r="R180" s="258">
        <f>'GM CostSvcs'!R356</f>
        <v>0</v>
      </c>
      <c r="S180" s="258">
        <f>'GM CostSvcs'!S356</f>
        <v>0</v>
      </c>
      <c r="T180" s="258">
        <f>'GM CostSvcs'!T356</f>
        <v>0</v>
      </c>
      <c r="U180" s="259">
        <f t="shared" si="130"/>
        <v>0</v>
      </c>
      <c r="V180" s="258">
        <f>'GM CostSvcs'!V356</f>
        <v>0</v>
      </c>
      <c r="W180" s="258">
        <f>'GM CostSvcs'!W356</f>
        <v>0</v>
      </c>
      <c r="X180" s="258">
        <f>'GM CostSvcs'!X356</f>
        <v>0</v>
      </c>
      <c r="Y180" s="259">
        <f t="shared" si="131"/>
        <v>0</v>
      </c>
    </row>
    <row r="181" spans="1:25" ht="12.75" hidden="1" customHeight="1" outlineLevel="1" x14ac:dyDescent="0.2">
      <c r="A181" s="188" t="str">
        <f>"      "&amp;Labels!C384</f>
        <v xml:space="preserve">      Total</v>
      </c>
      <c r="B181" s="256">
        <f>SUM(B179:B180)</f>
        <v>0</v>
      </c>
      <c r="C181" s="256">
        <f>SUM(C179:C180)</f>
        <v>0</v>
      </c>
      <c r="D181" s="256">
        <f>SUM(D179:D180)</f>
        <v>0</v>
      </c>
      <c r="E181" s="257">
        <f t="shared" si="126"/>
        <v>0</v>
      </c>
      <c r="F181" s="256">
        <f>SUM(F179:F180)</f>
        <v>0</v>
      </c>
      <c r="G181" s="256">
        <f>SUM(G179:G180)</f>
        <v>0</v>
      </c>
      <c r="H181" s="256">
        <f>SUM(H179:H180)</f>
        <v>0</v>
      </c>
      <c r="I181" s="257">
        <f t="shared" si="127"/>
        <v>0</v>
      </c>
      <c r="J181" s="256">
        <f>SUM(J179:J180)</f>
        <v>0</v>
      </c>
      <c r="K181" s="256">
        <f>SUM(K179:K180)</f>
        <v>0</v>
      </c>
      <c r="L181" s="256">
        <f>SUM(L179:L180)</f>
        <v>0</v>
      </c>
      <c r="M181" s="257">
        <f t="shared" si="128"/>
        <v>0</v>
      </c>
      <c r="N181" s="256">
        <f>SUM(N179:N180)</f>
        <v>0</v>
      </c>
      <c r="O181" s="256">
        <f>SUM(O179:O180)</f>
        <v>0</v>
      </c>
      <c r="P181" s="256">
        <f>SUM(P179:P180)</f>
        <v>0</v>
      </c>
      <c r="Q181" s="257">
        <f t="shared" si="129"/>
        <v>0</v>
      </c>
      <c r="R181" s="256">
        <f>SUM(R179:R180)</f>
        <v>0</v>
      </c>
      <c r="S181" s="256">
        <f>SUM(S179:S180)</f>
        <v>0</v>
      </c>
      <c r="T181" s="256">
        <f>SUM(T179:T180)</f>
        <v>0</v>
      </c>
      <c r="U181" s="257">
        <f t="shared" si="130"/>
        <v>0</v>
      </c>
      <c r="V181" s="256">
        <f>SUM(V179:V180)</f>
        <v>0</v>
      </c>
      <c r="W181" s="256">
        <f>SUM(W179:W180)</f>
        <v>0</v>
      </c>
      <c r="X181" s="256">
        <f>SUM(X179:X180)</f>
        <v>0</v>
      </c>
      <c r="Y181" s="257">
        <f t="shared" si="131"/>
        <v>0</v>
      </c>
    </row>
    <row r="182" spans="1:25" ht="12.75" hidden="1" customHeight="1" outlineLevel="1" x14ac:dyDescent="0.2">
      <c r="A182" s="191" t="str">
        <f>"   "&amp;Labels!C380</f>
        <v xml:space="preserve">   Total</v>
      </c>
      <c r="B182" s="260">
        <f>SUM(B177,B181)</f>
        <v>0</v>
      </c>
      <c r="C182" s="260">
        <f>SUM(C177,C181)</f>
        <v>0</v>
      </c>
      <c r="D182" s="260">
        <f>SUM(D177,D181)</f>
        <v>550</v>
      </c>
      <c r="E182" s="261">
        <f t="shared" si="126"/>
        <v>550</v>
      </c>
      <c r="F182" s="260">
        <f>SUM(F177,F181)</f>
        <v>550</v>
      </c>
      <c r="G182" s="260">
        <f>SUM(G177,G181)</f>
        <v>0</v>
      </c>
      <c r="H182" s="260">
        <f>SUM(H177,H181)</f>
        <v>400</v>
      </c>
      <c r="I182" s="261">
        <f t="shared" si="127"/>
        <v>950</v>
      </c>
      <c r="J182" s="260">
        <f>SUM(J177,J181)</f>
        <v>400</v>
      </c>
      <c r="K182" s="260">
        <f>SUM(K177,K181)</f>
        <v>400</v>
      </c>
      <c r="L182" s="260">
        <f>SUM(L177,L181)</f>
        <v>0</v>
      </c>
      <c r="M182" s="261">
        <f t="shared" si="128"/>
        <v>800</v>
      </c>
      <c r="N182" s="260">
        <f>SUM(N177,N181)</f>
        <v>0</v>
      </c>
      <c r="O182" s="260">
        <f>SUM(O177,O181)</f>
        <v>0</v>
      </c>
      <c r="P182" s="260">
        <f>SUM(P177,P181)</f>
        <v>0</v>
      </c>
      <c r="Q182" s="261">
        <f t="shared" si="129"/>
        <v>0</v>
      </c>
      <c r="R182" s="260">
        <f>SUM(R177,R181)</f>
        <v>0</v>
      </c>
      <c r="S182" s="260">
        <f>SUM(S177,S181)</f>
        <v>0</v>
      </c>
      <c r="T182" s="260">
        <f>SUM(T177,T181)</f>
        <v>0</v>
      </c>
      <c r="U182" s="261">
        <f t="shared" si="130"/>
        <v>0</v>
      </c>
      <c r="V182" s="260">
        <f>SUM(V177,V181)</f>
        <v>0</v>
      </c>
      <c r="W182" s="260">
        <f>SUM(W177,W181)</f>
        <v>0</v>
      </c>
      <c r="X182" s="260">
        <f>SUM(X177,X181)</f>
        <v>0</v>
      </c>
      <c r="Y182" s="261">
        <f t="shared" si="131"/>
        <v>0</v>
      </c>
    </row>
    <row r="183" spans="1:25" ht="12.75" hidden="1" customHeight="1" outlineLevel="1" x14ac:dyDescent="0.2">
      <c r="A183" s="198" t="str">
        <f>"      "&amp;Labels!B385</f>
        <v xml:space="preserve">      Prof Level 1</v>
      </c>
      <c r="B183" s="258">
        <f t="shared" ref="B183:D185" si="132">SUM(B175,B179)</f>
        <v>0</v>
      </c>
      <c r="C183" s="258">
        <f t="shared" si="132"/>
        <v>0</v>
      </c>
      <c r="D183" s="258">
        <f t="shared" si="132"/>
        <v>275</v>
      </c>
      <c r="E183" s="259">
        <f t="shared" si="126"/>
        <v>275</v>
      </c>
      <c r="F183" s="258">
        <f t="shared" ref="F183:H185" si="133">SUM(F175,F179)</f>
        <v>275</v>
      </c>
      <c r="G183" s="258">
        <f t="shared" si="133"/>
        <v>0</v>
      </c>
      <c r="H183" s="258">
        <f t="shared" si="133"/>
        <v>200</v>
      </c>
      <c r="I183" s="259">
        <f t="shared" si="127"/>
        <v>475</v>
      </c>
      <c r="J183" s="258">
        <f t="shared" ref="J183:L185" si="134">SUM(J175,J179)</f>
        <v>200</v>
      </c>
      <c r="K183" s="258">
        <f t="shared" si="134"/>
        <v>200</v>
      </c>
      <c r="L183" s="258">
        <f t="shared" si="134"/>
        <v>0</v>
      </c>
      <c r="M183" s="259">
        <f t="shared" si="128"/>
        <v>400</v>
      </c>
      <c r="N183" s="258">
        <f t="shared" ref="N183:P185" si="135">SUM(N175,N179)</f>
        <v>0</v>
      </c>
      <c r="O183" s="258">
        <f t="shared" si="135"/>
        <v>0</v>
      </c>
      <c r="P183" s="258">
        <f t="shared" si="135"/>
        <v>0</v>
      </c>
      <c r="Q183" s="259">
        <f t="shared" si="129"/>
        <v>0</v>
      </c>
      <c r="R183" s="258">
        <f t="shared" ref="R183:T185" si="136">SUM(R175,R179)</f>
        <v>0</v>
      </c>
      <c r="S183" s="258">
        <f t="shared" si="136"/>
        <v>0</v>
      </c>
      <c r="T183" s="258">
        <f t="shared" si="136"/>
        <v>0</v>
      </c>
      <c r="U183" s="259">
        <f t="shared" si="130"/>
        <v>0</v>
      </c>
      <c r="V183" s="258">
        <f t="shared" ref="V183:X185" si="137">SUM(V175,V179)</f>
        <v>0</v>
      </c>
      <c r="W183" s="258">
        <f t="shared" si="137"/>
        <v>0</v>
      </c>
      <c r="X183" s="258">
        <f t="shared" si="137"/>
        <v>0</v>
      </c>
      <c r="Y183" s="259">
        <f t="shared" si="131"/>
        <v>0</v>
      </c>
    </row>
    <row r="184" spans="1:25" ht="12.75" hidden="1" customHeight="1" outlineLevel="1" x14ac:dyDescent="0.2">
      <c r="A184" s="198" t="str">
        <f>"      "&amp;Labels!B386</f>
        <v xml:space="preserve">      Prof Level 2</v>
      </c>
      <c r="B184" s="258">
        <f t="shared" si="132"/>
        <v>0</v>
      </c>
      <c r="C184" s="258">
        <f t="shared" si="132"/>
        <v>0</v>
      </c>
      <c r="D184" s="258">
        <f t="shared" si="132"/>
        <v>275</v>
      </c>
      <c r="E184" s="259">
        <f t="shared" si="126"/>
        <v>275</v>
      </c>
      <c r="F184" s="258">
        <f t="shared" si="133"/>
        <v>275</v>
      </c>
      <c r="G184" s="258">
        <f t="shared" si="133"/>
        <v>0</v>
      </c>
      <c r="H184" s="258">
        <f t="shared" si="133"/>
        <v>200</v>
      </c>
      <c r="I184" s="259">
        <f t="shared" si="127"/>
        <v>475</v>
      </c>
      <c r="J184" s="258">
        <f t="shared" si="134"/>
        <v>200</v>
      </c>
      <c r="K184" s="258">
        <f t="shared" si="134"/>
        <v>200</v>
      </c>
      <c r="L184" s="258">
        <f t="shared" si="134"/>
        <v>0</v>
      </c>
      <c r="M184" s="259">
        <f t="shared" si="128"/>
        <v>400</v>
      </c>
      <c r="N184" s="258">
        <f t="shared" si="135"/>
        <v>0</v>
      </c>
      <c r="O184" s="258">
        <f t="shared" si="135"/>
        <v>0</v>
      </c>
      <c r="P184" s="258">
        <f t="shared" si="135"/>
        <v>0</v>
      </c>
      <c r="Q184" s="259">
        <f t="shared" si="129"/>
        <v>0</v>
      </c>
      <c r="R184" s="258">
        <f t="shared" si="136"/>
        <v>0</v>
      </c>
      <c r="S184" s="258">
        <f t="shared" si="136"/>
        <v>0</v>
      </c>
      <c r="T184" s="258">
        <f t="shared" si="136"/>
        <v>0</v>
      </c>
      <c r="U184" s="259">
        <f t="shared" si="130"/>
        <v>0</v>
      </c>
      <c r="V184" s="258">
        <f t="shared" si="137"/>
        <v>0</v>
      </c>
      <c r="W184" s="258">
        <f t="shared" si="137"/>
        <v>0</v>
      </c>
      <c r="X184" s="258">
        <f t="shared" si="137"/>
        <v>0</v>
      </c>
      <c r="Y184" s="259">
        <f t="shared" si="131"/>
        <v>0</v>
      </c>
    </row>
    <row r="185" spans="1:25" ht="12.75" hidden="1" customHeight="1" outlineLevel="1" x14ac:dyDescent="0.2">
      <c r="A185" s="188" t="str">
        <f>"      "&amp;Labels!C384</f>
        <v xml:space="preserve">      Total</v>
      </c>
      <c r="B185" s="256">
        <f t="shared" si="132"/>
        <v>0</v>
      </c>
      <c r="C185" s="256">
        <f t="shared" si="132"/>
        <v>0</v>
      </c>
      <c r="D185" s="256">
        <f t="shared" si="132"/>
        <v>550</v>
      </c>
      <c r="E185" s="257">
        <f>SUM(B182:D182)</f>
        <v>550</v>
      </c>
      <c r="F185" s="256">
        <f t="shared" si="133"/>
        <v>550</v>
      </c>
      <c r="G185" s="256">
        <f t="shared" si="133"/>
        <v>0</v>
      </c>
      <c r="H185" s="256">
        <f t="shared" si="133"/>
        <v>400</v>
      </c>
      <c r="I185" s="257">
        <f>SUM(F182:H182)</f>
        <v>950</v>
      </c>
      <c r="J185" s="256">
        <f t="shared" si="134"/>
        <v>400</v>
      </c>
      <c r="K185" s="256">
        <f t="shared" si="134"/>
        <v>400</v>
      </c>
      <c r="L185" s="256">
        <f t="shared" si="134"/>
        <v>0</v>
      </c>
      <c r="M185" s="257">
        <f>SUM(J182:L182)</f>
        <v>800</v>
      </c>
      <c r="N185" s="256">
        <f t="shared" si="135"/>
        <v>0</v>
      </c>
      <c r="O185" s="256">
        <f t="shared" si="135"/>
        <v>0</v>
      </c>
      <c r="P185" s="256">
        <f t="shared" si="135"/>
        <v>0</v>
      </c>
      <c r="Q185" s="257">
        <f>SUM(N182:P182)</f>
        <v>0</v>
      </c>
      <c r="R185" s="256">
        <f t="shared" si="136"/>
        <v>0</v>
      </c>
      <c r="S185" s="256">
        <f t="shared" si="136"/>
        <v>0</v>
      </c>
      <c r="T185" s="256">
        <f t="shared" si="136"/>
        <v>0</v>
      </c>
      <c r="U185" s="257">
        <f>SUM(R182:T182)</f>
        <v>0</v>
      </c>
      <c r="V185" s="256">
        <f t="shared" si="137"/>
        <v>0</v>
      </c>
      <c r="W185" s="256">
        <f t="shared" si="137"/>
        <v>0</v>
      </c>
      <c r="X185" s="256">
        <f t="shared" si="137"/>
        <v>0</v>
      </c>
      <c r="Y185" s="257">
        <f>SUM(V182:X182)</f>
        <v>0</v>
      </c>
    </row>
    <row r="186" spans="1:25" ht="12.75" hidden="1" customHeight="1" outlineLevel="1" x14ac:dyDescent="0.2">
      <c r="A186" s="191" t="str">
        <f>Labels!B193</f>
        <v>Prof Staff Hours Unapplied</v>
      </c>
      <c r="B186" s="260"/>
      <c r="C186" s="260"/>
      <c r="D186" s="260"/>
      <c r="E186" s="261"/>
      <c r="F186" s="260"/>
      <c r="G186" s="260"/>
      <c r="H186" s="260"/>
      <c r="I186" s="261"/>
      <c r="J186" s="260"/>
      <c r="K186" s="260"/>
      <c r="L186" s="260"/>
      <c r="M186" s="261"/>
      <c r="N186" s="260"/>
      <c r="O186" s="260"/>
      <c r="P186" s="260"/>
      <c r="Q186" s="261"/>
      <c r="R186" s="260"/>
      <c r="S186" s="260"/>
      <c r="T186" s="260"/>
      <c r="U186" s="261"/>
      <c r="V186" s="260"/>
      <c r="W186" s="260"/>
      <c r="X186" s="260"/>
      <c r="Y186" s="261"/>
    </row>
    <row r="187" spans="1:25" ht="12.75" hidden="1" customHeight="1" outlineLevel="1" x14ac:dyDescent="0.2">
      <c r="A187" s="188" t="str">
        <f>"   "&amp;Labels!B381</f>
        <v xml:space="preserve">   Practice 1</v>
      </c>
      <c r="B187" s="256"/>
      <c r="C187" s="256"/>
      <c r="D187" s="256"/>
      <c r="E187" s="257"/>
      <c r="F187" s="256"/>
      <c r="G187" s="256"/>
      <c r="H187" s="256"/>
      <c r="I187" s="257"/>
      <c r="J187" s="256"/>
      <c r="K187" s="256"/>
      <c r="L187" s="256"/>
      <c r="M187" s="257"/>
      <c r="N187" s="256"/>
      <c r="O187" s="256"/>
      <c r="P187" s="256"/>
      <c r="Q187" s="257"/>
      <c r="R187" s="256"/>
      <c r="S187" s="256"/>
      <c r="T187" s="256"/>
      <c r="U187" s="257"/>
      <c r="V187" s="256"/>
      <c r="W187" s="256"/>
      <c r="X187" s="256"/>
      <c r="Y187" s="257"/>
    </row>
    <row r="188" spans="1:25" ht="12.75" hidden="1" customHeight="1" outlineLevel="1" x14ac:dyDescent="0.2">
      <c r="A188" s="198" t="str">
        <f>"      "&amp;Labels!B385</f>
        <v xml:space="preserve">      Prof Level 1</v>
      </c>
      <c r="B188" s="258">
        <f>'GM CostSvcs'!B364</f>
        <v>0</v>
      </c>
      <c r="C188" s="258">
        <f>'GM CostSvcs'!C364</f>
        <v>0</v>
      </c>
      <c r="D188" s="258">
        <f>'GM CostSvcs'!D364</f>
        <v>0</v>
      </c>
      <c r="E188" s="259">
        <f>SUM(B188:D188)</f>
        <v>0</v>
      </c>
      <c r="F188" s="258">
        <f>'GM CostSvcs'!F364</f>
        <v>0</v>
      </c>
      <c r="G188" s="258">
        <f>'GM CostSvcs'!G364</f>
        <v>0</v>
      </c>
      <c r="H188" s="258">
        <f>'GM CostSvcs'!H364</f>
        <v>0</v>
      </c>
      <c r="I188" s="259">
        <f>SUM(F188:H188)</f>
        <v>0</v>
      </c>
      <c r="J188" s="258">
        <f>'GM CostSvcs'!J364</f>
        <v>0</v>
      </c>
      <c r="K188" s="258">
        <f>'GM CostSvcs'!K364</f>
        <v>100</v>
      </c>
      <c r="L188" s="258">
        <f>'GM CostSvcs'!L364</f>
        <v>0</v>
      </c>
      <c r="M188" s="259">
        <f>SUM(J188:L188)</f>
        <v>100</v>
      </c>
      <c r="N188" s="258">
        <f>'GM CostSvcs'!N364</f>
        <v>0</v>
      </c>
      <c r="O188" s="258">
        <f>'GM CostSvcs'!O364</f>
        <v>0</v>
      </c>
      <c r="P188" s="258">
        <f>'GM CostSvcs'!P364</f>
        <v>0</v>
      </c>
      <c r="Q188" s="259">
        <f>SUM(N188:P188)</f>
        <v>0</v>
      </c>
      <c r="R188" s="258">
        <f>'GM CostSvcs'!R364</f>
        <v>0</v>
      </c>
      <c r="S188" s="258">
        <f>'GM CostSvcs'!S364</f>
        <v>0</v>
      </c>
      <c r="T188" s="258">
        <f>'GM CostSvcs'!T364</f>
        <v>0</v>
      </c>
      <c r="U188" s="259">
        <f>SUM(R188:T188)</f>
        <v>0</v>
      </c>
      <c r="V188" s="258">
        <f>'GM CostSvcs'!V364</f>
        <v>0</v>
      </c>
      <c r="W188" s="258">
        <f>'GM CostSvcs'!W364</f>
        <v>0</v>
      </c>
      <c r="X188" s="258">
        <f>'GM CostSvcs'!X364</f>
        <v>0</v>
      </c>
      <c r="Y188" s="259">
        <f>SUM(V188:X188)</f>
        <v>0</v>
      </c>
    </row>
    <row r="189" spans="1:25" ht="12.75" hidden="1" customHeight="1" outlineLevel="1" x14ac:dyDescent="0.2">
      <c r="A189" s="198" t="str">
        <f>"      "&amp;Labels!B386</f>
        <v xml:space="preserve">      Prof Level 2</v>
      </c>
      <c r="B189" s="258">
        <f>'GM CostSvcs'!B365</f>
        <v>0</v>
      </c>
      <c r="C189" s="258">
        <f>'GM CostSvcs'!C365</f>
        <v>0</v>
      </c>
      <c r="D189" s="258">
        <f>'GM CostSvcs'!D365</f>
        <v>0</v>
      </c>
      <c r="E189" s="259">
        <f>SUM(B189:D189)</f>
        <v>0</v>
      </c>
      <c r="F189" s="258">
        <f>'GM CostSvcs'!F365</f>
        <v>0</v>
      </c>
      <c r="G189" s="258">
        <f>'GM CostSvcs'!G365</f>
        <v>0</v>
      </c>
      <c r="H189" s="258">
        <f>'GM CostSvcs'!H365</f>
        <v>0</v>
      </c>
      <c r="I189" s="259">
        <f>SUM(F189:H189)</f>
        <v>0</v>
      </c>
      <c r="J189" s="258">
        <f>'GM CostSvcs'!J365</f>
        <v>0</v>
      </c>
      <c r="K189" s="258">
        <f>'GM CostSvcs'!K365</f>
        <v>100</v>
      </c>
      <c r="L189" s="258">
        <f>'GM CostSvcs'!L365</f>
        <v>0</v>
      </c>
      <c r="M189" s="259">
        <f>SUM(J189:L189)</f>
        <v>100</v>
      </c>
      <c r="N189" s="258">
        <f>'GM CostSvcs'!N365</f>
        <v>0</v>
      </c>
      <c r="O189" s="258">
        <f>'GM CostSvcs'!O365</f>
        <v>0</v>
      </c>
      <c r="P189" s="258">
        <f>'GM CostSvcs'!P365</f>
        <v>0</v>
      </c>
      <c r="Q189" s="259">
        <f>SUM(N189:P189)</f>
        <v>0</v>
      </c>
      <c r="R189" s="258">
        <f>'GM CostSvcs'!R365</f>
        <v>0</v>
      </c>
      <c r="S189" s="258">
        <f>'GM CostSvcs'!S365</f>
        <v>0</v>
      </c>
      <c r="T189" s="258">
        <f>'GM CostSvcs'!T365</f>
        <v>0</v>
      </c>
      <c r="U189" s="259">
        <f>SUM(R189:T189)</f>
        <v>0</v>
      </c>
      <c r="V189" s="258">
        <f>'GM CostSvcs'!V365</f>
        <v>0</v>
      </c>
      <c r="W189" s="258">
        <f>'GM CostSvcs'!W365</f>
        <v>0</v>
      </c>
      <c r="X189" s="258">
        <f>'GM CostSvcs'!X365</f>
        <v>0</v>
      </c>
      <c r="Y189" s="259">
        <f>SUM(V189:X189)</f>
        <v>0</v>
      </c>
    </row>
    <row r="190" spans="1:25" ht="12.75" hidden="1" customHeight="1" outlineLevel="1" x14ac:dyDescent="0.2">
      <c r="A190" s="188" t="str">
        <f>"      "&amp;Labels!C384</f>
        <v xml:space="preserve">      Total</v>
      </c>
      <c r="B190" s="256">
        <f>SUM(B188:B189)</f>
        <v>0</v>
      </c>
      <c r="C190" s="256">
        <f>SUM(C188:C189)</f>
        <v>0</v>
      </c>
      <c r="D190" s="256">
        <f>SUM(D188:D189)</f>
        <v>0</v>
      </c>
      <c r="E190" s="257">
        <f>SUM(B190:D190)</f>
        <v>0</v>
      </c>
      <c r="F190" s="256">
        <f>SUM(F188:F189)</f>
        <v>0</v>
      </c>
      <c r="G190" s="256">
        <f>SUM(G188:G189)</f>
        <v>0</v>
      </c>
      <c r="H190" s="256">
        <f>SUM(H188:H189)</f>
        <v>0</v>
      </c>
      <c r="I190" s="257">
        <f>SUM(F190:H190)</f>
        <v>0</v>
      </c>
      <c r="J190" s="256">
        <f>SUM(J188:J189)</f>
        <v>0</v>
      </c>
      <c r="K190" s="256">
        <f>SUM(K188:K189)</f>
        <v>200</v>
      </c>
      <c r="L190" s="256">
        <f>SUM(L188:L189)</f>
        <v>0</v>
      </c>
      <c r="M190" s="257">
        <f>SUM(J190:L190)</f>
        <v>200</v>
      </c>
      <c r="N190" s="256">
        <f>SUM(N188:N189)</f>
        <v>0</v>
      </c>
      <c r="O190" s="256">
        <f>SUM(O188:O189)</f>
        <v>0</v>
      </c>
      <c r="P190" s="256">
        <f>SUM(P188:P189)</f>
        <v>0</v>
      </c>
      <c r="Q190" s="257">
        <f>SUM(N190:P190)</f>
        <v>0</v>
      </c>
      <c r="R190" s="256">
        <f>SUM(R188:R189)</f>
        <v>0</v>
      </c>
      <c r="S190" s="256">
        <f>SUM(S188:S189)</f>
        <v>0</v>
      </c>
      <c r="T190" s="256">
        <f>SUM(T188:T189)</f>
        <v>0</v>
      </c>
      <c r="U190" s="257">
        <f>SUM(R190:T190)</f>
        <v>0</v>
      </c>
      <c r="V190" s="256">
        <f>SUM(V188:V189)</f>
        <v>0</v>
      </c>
      <c r="W190" s="256">
        <f>SUM(W188:W189)</f>
        <v>0</v>
      </c>
      <c r="X190" s="256">
        <f>SUM(X188:X189)</f>
        <v>0</v>
      </c>
      <c r="Y190" s="257">
        <f>SUM(V190:X190)</f>
        <v>0</v>
      </c>
    </row>
    <row r="191" spans="1:25" ht="12.75" hidden="1" customHeight="1" outlineLevel="1" x14ac:dyDescent="0.2">
      <c r="A191" s="188" t="str">
        <f>"   "&amp;Labels!B382</f>
        <v xml:space="preserve">   Practice 2</v>
      </c>
      <c r="B191" s="256"/>
      <c r="C191" s="256"/>
      <c r="D191" s="256"/>
      <c r="E191" s="257"/>
      <c r="F191" s="256"/>
      <c r="G191" s="256"/>
      <c r="H191" s="256"/>
      <c r="I191" s="257"/>
      <c r="J191" s="256"/>
      <c r="K191" s="256"/>
      <c r="L191" s="256"/>
      <c r="M191" s="257"/>
      <c r="N191" s="256"/>
      <c r="O191" s="256"/>
      <c r="P191" s="256"/>
      <c r="Q191" s="257"/>
      <c r="R191" s="256"/>
      <c r="S191" s="256"/>
      <c r="T191" s="256"/>
      <c r="U191" s="257"/>
      <c r="V191" s="256"/>
      <c r="W191" s="256"/>
      <c r="X191" s="256"/>
      <c r="Y191" s="257"/>
    </row>
    <row r="192" spans="1:25" ht="12.75" hidden="1" customHeight="1" outlineLevel="1" x14ac:dyDescent="0.2">
      <c r="A192" s="198" t="str">
        <f>"      "&amp;Labels!B385</f>
        <v xml:space="preserve">      Prof Level 1</v>
      </c>
      <c r="B192" s="258">
        <f>'GM CostSvcs'!B368</f>
        <v>0</v>
      </c>
      <c r="C192" s="258">
        <f>'GM CostSvcs'!C368</f>
        <v>0</v>
      </c>
      <c r="D192" s="258">
        <f>'GM CostSvcs'!D368</f>
        <v>0</v>
      </c>
      <c r="E192" s="259">
        <f t="shared" ref="E192:E197" si="138">SUM(B192:D192)</f>
        <v>0</v>
      </c>
      <c r="F192" s="258">
        <f>'GM CostSvcs'!F368</f>
        <v>0</v>
      </c>
      <c r="G192" s="258">
        <f>'GM CostSvcs'!G368</f>
        <v>0</v>
      </c>
      <c r="H192" s="258">
        <f>'GM CostSvcs'!H368</f>
        <v>0</v>
      </c>
      <c r="I192" s="259">
        <f t="shared" ref="I192:I197" si="139">SUM(F192:H192)</f>
        <v>0</v>
      </c>
      <c r="J192" s="258">
        <f>'GM CostSvcs'!J368</f>
        <v>0</v>
      </c>
      <c r="K192" s="258">
        <f>'GM CostSvcs'!K368</f>
        <v>0</v>
      </c>
      <c r="L192" s="258">
        <f>'GM CostSvcs'!L368</f>
        <v>0</v>
      </c>
      <c r="M192" s="259">
        <f t="shared" ref="M192:M197" si="140">SUM(J192:L192)</f>
        <v>0</v>
      </c>
      <c r="N192" s="258">
        <f>'GM CostSvcs'!N368</f>
        <v>0</v>
      </c>
      <c r="O192" s="258">
        <f>'GM CostSvcs'!O368</f>
        <v>0</v>
      </c>
      <c r="P192" s="258">
        <f>'GM CostSvcs'!P368</f>
        <v>0</v>
      </c>
      <c r="Q192" s="259">
        <f t="shared" ref="Q192:Q197" si="141">SUM(N192:P192)</f>
        <v>0</v>
      </c>
      <c r="R192" s="258">
        <f>'GM CostSvcs'!R368</f>
        <v>0</v>
      </c>
      <c r="S192" s="258">
        <f>'GM CostSvcs'!S368</f>
        <v>0</v>
      </c>
      <c r="T192" s="258">
        <f>'GM CostSvcs'!T368</f>
        <v>0</v>
      </c>
      <c r="U192" s="259">
        <f t="shared" ref="U192:U197" si="142">SUM(R192:T192)</f>
        <v>0</v>
      </c>
      <c r="V192" s="258">
        <f>'GM CostSvcs'!V368</f>
        <v>0</v>
      </c>
      <c r="W192" s="258">
        <f>'GM CostSvcs'!W368</f>
        <v>0</v>
      </c>
      <c r="X192" s="258">
        <f>'GM CostSvcs'!X368</f>
        <v>0</v>
      </c>
      <c r="Y192" s="259">
        <f t="shared" ref="Y192:Y197" si="143">SUM(V192:X192)</f>
        <v>0</v>
      </c>
    </row>
    <row r="193" spans="1:25" ht="12.75" hidden="1" customHeight="1" outlineLevel="1" x14ac:dyDescent="0.2">
      <c r="A193" s="198" t="str">
        <f>"      "&amp;Labels!B386</f>
        <v xml:space="preserve">      Prof Level 2</v>
      </c>
      <c r="B193" s="258">
        <f>'GM CostSvcs'!B369</f>
        <v>0</v>
      </c>
      <c r="C193" s="258">
        <f>'GM CostSvcs'!C369</f>
        <v>0</v>
      </c>
      <c r="D193" s="258">
        <f>'GM CostSvcs'!D369</f>
        <v>0</v>
      </c>
      <c r="E193" s="259">
        <f t="shared" si="138"/>
        <v>0</v>
      </c>
      <c r="F193" s="258">
        <f>'GM CostSvcs'!F369</f>
        <v>0</v>
      </c>
      <c r="G193" s="258">
        <f>'GM CostSvcs'!G369</f>
        <v>0</v>
      </c>
      <c r="H193" s="258">
        <f>'GM CostSvcs'!H369</f>
        <v>0</v>
      </c>
      <c r="I193" s="259">
        <f t="shared" si="139"/>
        <v>0</v>
      </c>
      <c r="J193" s="258">
        <f>'GM CostSvcs'!J369</f>
        <v>0</v>
      </c>
      <c r="K193" s="258">
        <f>'GM CostSvcs'!K369</f>
        <v>0</v>
      </c>
      <c r="L193" s="258">
        <f>'GM CostSvcs'!L369</f>
        <v>0</v>
      </c>
      <c r="M193" s="259">
        <f t="shared" si="140"/>
        <v>0</v>
      </c>
      <c r="N193" s="258">
        <f>'GM CostSvcs'!N369</f>
        <v>0</v>
      </c>
      <c r="O193" s="258">
        <f>'GM CostSvcs'!O369</f>
        <v>0</v>
      </c>
      <c r="P193" s="258">
        <f>'GM CostSvcs'!P369</f>
        <v>0</v>
      </c>
      <c r="Q193" s="259">
        <f t="shared" si="141"/>
        <v>0</v>
      </c>
      <c r="R193" s="258">
        <f>'GM CostSvcs'!R369</f>
        <v>0</v>
      </c>
      <c r="S193" s="258">
        <f>'GM CostSvcs'!S369</f>
        <v>0</v>
      </c>
      <c r="T193" s="258">
        <f>'GM CostSvcs'!T369</f>
        <v>0</v>
      </c>
      <c r="U193" s="259">
        <f t="shared" si="142"/>
        <v>0</v>
      </c>
      <c r="V193" s="258">
        <f>'GM CostSvcs'!V369</f>
        <v>0</v>
      </c>
      <c r="W193" s="258">
        <f>'GM CostSvcs'!W369</f>
        <v>0</v>
      </c>
      <c r="X193" s="258">
        <f>'GM CostSvcs'!X369</f>
        <v>0</v>
      </c>
      <c r="Y193" s="259">
        <f t="shared" si="143"/>
        <v>0</v>
      </c>
    </row>
    <row r="194" spans="1:25" ht="12.75" hidden="1" customHeight="1" outlineLevel="1" x14ac:dyDescent="0.2">
      <c r="A194" s="188" t="str">
        <f>"      "&amp;Labels!C384</f>
        <v xml:space="preserve">      Total</v>
      </c>
      <c r="B194" s="256">
        <f>SUM(B192:B193)</f>
        <v>0</v>
      </c>
      <c r="C194" s="256">
        <f>SUM(C192:C193)</f>
        <v>0</v>
      </c>
      <c r="D194" s="256">
        <f>SUM(D192:D193)</f>
        <v>0</v>
      </c>
      <c r="E194" s="257">
        <f t="shared" si="138"/>
        <v>0</v>
      </c>
      <c r="F194" s="256">
        <f>SUM(F192:F193)</f>
        <v>0</v>
      </c>
      <c r="G194" s="256">
        <f>SUM(G192:G193)</f>
        <v>0</v>
      </c>
      <c r="H194" s="256">
        <f>SUM(H192:H193)</f>
        <v>0</v>
      </c>
      <c r="I194" s="257">
        <f t="shared" si="139"/>
        <v>0</v>
      </c>
      <c r="J194" s="256">
        <f>SUM(J192:J193)</f>
        <v>0</v>
      </c>
      <c r="K194" s="256">
        <f>SUM(K192:K193)</f>
        <v>0</v>
      </c>
      <c r="L194" s="256">
        <f>SUM(L192:L193)</f>
        <v>0</v>
      </c>
      <c r="M194" s="257">
        <f t="shared" si="140"/>
        <v>0</v>
      </c>
      <c r="N194" s="256">
        <f>SUM(N192:N193)</f>
        <v>0</v>
      </c>
      <c r="O194" s="256">
        <f>SUM(O192:O193)</f>
        <v>0</v>
      </c>
      <c r="P194" s="256">
        <f>SUM(P192:P193)</f>
        <v>0</v>
      </c>
      <c r="Q194" s="257">
        <f t="shared" si="141"/>
        <v>0</v>
      </c>
      <c r="R194" s="256">
        <f>SUM(R192:R193)</f>
        <v>0</v>
      </c>
      <c r="S194" s="256">
        <f>SUM(S192:S193)</f>
        <v>0</v>
      </c>
      <c r="T194" s="256">
        <f>SUM(T192:T193)</f>
        <v>0</v>
      </c>
      <c r="U194" s="257">
        <f t="shared" si="142"/>
        <v>0</v>
      </c>
      <c r="V194" s="256">
        <f>SUM(V192:V193)</f>
        <v>0</v>
      </c>
      <c r="W194" s="256">
        <f>SUM(W192:W193)</f>
        <v>0</v>
      </c>
      <c r="X194" s="256">
        <f>SUM(X192:X193)</f>
        <v>0</v>
      </c>
      <c r="Y194" s="257">
        <f t="shared" si="143"/>
        <v>0</v>
      </c>
    </row>
    <row r="195" spans="1:25" ht="12.75" hidden="1" customHeight="1" outlineLevel="1" x14ac:dyDescent="0.2">
      <c r="A195" s="191" t="str">
        <f>"   "&amp;Labels!C380</f>
        <v xml:space="preserve">   Total</v>
      </c>
      <c r="B195" s="260">
        <f>SUM(B190,B194)</f>
        <v>0</v>
      </c>
      <c r="C195" s="260">
        <f>SUM(C190,C194)</f>
        <v>0</v>
      </c>
      <c r="D195" s="260">
        <f>SUM(D190,D194)</f>
        <v>0</v>
      </c>
      <c r="E195" s="261">
        <f t="shared" si="138"/>
        <v>0</v>
      </c>
      <c r="F195" s="260">
        <f>SUM(F190,F194)</f>
        <v>0</v>
      </c>
      <c r="G195" s="260">
        <f>SUM(G190,G194)</f>
        <v>0</v>
      </c>
      <c r="H195" s="260">
        <f>SUM(H190,H194)</f>
        <v>0</v>
      </c>
      <c r="I195" s="261">
        <f t="shared" si="139"/>
        <v>0</v>
      </c>
      <c r="J195" s="260">
        <f>SUM(J190,J194)</f>
        <v>0</v>
      </c>
      <c r="K195" s="260">
        <f>SUM(K190,K194)</f>
        <v>200</v>
      </c>
      <c r="L195" s="260">
        <f>SUM(L190,L194)</f>
        <v>0</v>
      </c>
      <c r="M195" s="261">
        <f t="shared" si="140"/>
        <v>200</v>
      </c>
      <c r="N195" s="260">
        <f>SUM(N190,N194)</f>
        <v>0</v>
      </c>
      <c r="O195" s="260">
        <f>SUM(O190,O194)</f>
        <v>0</v>
      </c>
      <c r="P195" s="260">
        <f>SUM(P190,P194)</f>
        <v>0</v>
      </c>
      <c r="Q195" s="261">
        <f t="shared" si="141"/>
        <v>0</v>
      </c>
      <c r="R195" s="260">
        <f>SUM(R190,R194)</f>
        <v>0</v>
      </c>
      <c r="S195" s="260">
        <f>SUM(S190,S194)</f>
        <v>0</v>
      </c>
      <c r="T195" s="260">
        <f>SUM(T190,T194)</f>
        <v>0</v>
      </c>
      <c r="U195" s="261">
        <f t="shared" si="142"/>
        <v>0</v>
      </c>
      <c r="V195" s="260">
        <f>SUM(V190,V194)</f>
        <v>0</v>
      </c>
      <c r="W195" s="260">
        <f>SUM(W190,W194)</f>
        <v>0</v>
      </c>
      <c r="X195" s="260">
        <f>SUM(X190,X194)</f>
        <v>0</v>
      </c>
      <c r="Y195" s="261">
        <f t="shared" si="143"/>
        <v>0</v>
      </c>
    </row>
    <row r="196" spans="1:25" ht="12.75" hidden="1" customHeight="1" outlineLevel="1" x14ac:dyDescent="0.2">
      <c r="A196" s="198" t="str">
        <f>"      "&amp;Labels!B385</f>
        <v xml:space="preserve">      Prof Level 1</v>
      </c>
      <c r="B196" s="258">
        <f t="shared" ref="B196:D198" si="144">SUM(B188,B192)</f>
        <v>0</v>
      </c>
      <c r="C196" s="258">
        <f t="shared" si="144"/>
        <v>0</v>
      </c>
      <c r="D196" s="258">
        <f t="shared" si="144"/>
        <v>0</v>
      </c>
      <c r="E196" s="259">
        <f t="shared" si="138"/>
        <v>0</v>
      </c>
      <c r="F196" s="258">
        <f t="shared" ref="F196:H198" si="145">SUM(F188,F192)</f>
        <v>0</v>
      </c>
      <c r="G196" s="258">
        <f t="shared" si="145"/>
        <v>0</v>
      </c>
      <c r="H196" s="258">
        <f t="shared" si="145"/>
        <v>0</v>
      </c>
      <c r="I196" s="259">
        <f t="shared" si="139"/>
        <v>0</v>
      </c>
      <c r="J196" s="258">
        <f t="shared" ref="J196:L198" si="146">SUM(J188,J192)</f>
        <v>0</v>
      </c>
      <c r="K196" s="258">
        <f t="shared" si="146"/>
        <v>100</v>
      </c>
      <c r="L196" s="258">
        <f t="shared" si="146"/>
        <v>0</v>
      </c>
      <c r="M196" s="259">
        <f t="shared" si="140"/>
        <v>100</v>
      </c>
      <c r="N196" s="258">
        <f t="shared" ref="N196:P198" si="147">SUM(N188,N192)</f>
        <v>0</v>
      </c>
      <c r="O196" s="258">
        <f t="shared" si="147"/>
        <v>0</v>
      </c>
      <c r="P196" s="258">
        <f t="shared" si="147"/>
        <v>0</v>
      </c>
      <c r="Q196" s="259">
        <f t="shared" si="141"/>
        <v>0</v>
      </c>
      <c r="R196" s="258">
        <f t="shared" ref="R196:T198" si="148">SUM(R188,R192)</f>
        <v>0</v>
      </c>
      <c r="S196" s="258">
        <f t="shared" si="148"/>
        <v>0</v>
      </c>
      <c r="T196" s="258">
        <f t="shared" si="148"/>
        <v>0</v>
      </c>
      <c r="U196" s="259">
        <f t="shared" si="142"/>
        <v>0</v>
      </c>
      <c r="V196" s="258">
        <f t="shared" ref="V196:X198" si="149">SUM(V188,V192)</f>
        <v>0</v>
      </c>
      <c r="W196" s="258">
        <f t="shared" si="149"/>
        <v>0</v>
      </c>
      <c r="X196" s="258">
        <f t="shared" si="149"/>
        <v>0</v>
      </c>
      <c r="Y196" s="259">
        <f t="shared" si="143"/>
        <v>0</v>
      </c>
    </row>
    <row r="197" spans="1:25" ht="12.75" hidden="1" customHeight="1" outlineLevel="1" x14ac:dyDescent="0.2">
      <c r="A197" s="198" t="str">
        <f>"      "&amp;Labels!B386</f>
        <v xml:space="preserve">      Prof Level 2</v>
      </c>
      <c r="B197" s="258">
        <f t="shared" si="144"/>
        <v>0</v>
      </c>
      <c r="C197" s="258">
        <f t="shared" si="144"/>
        <v>0</v>
      </c>
      <c r="D197" s="258">
        <f t="shared" si="144"/>
        <v>0</v>
      </c>
      <c r="E197" s="259">
        <f t="shared" si="138"/>
        <v>0</v>
      </c>
      <c r="F197" s="258">
        <f t="shared" si="145"/>
        <v>0</v>
      </c>
      <c r="G197" s="258">
        <f t="shared" si="145"/>
        <v>0</v>
      </c>
      <c r="H197" s="258">
        <f t="shared" si="145"/>
        <v>0</v>
      </c>
      <c r="I197" s="259">
        <f t="shared" si="139"/>
        <v>0</v>
      </c>
      <c r="J197" s="258">
        <f t="shared" si="146"/>
        <v>0</v>
      </c>
      <c r="K197" s="258">
        <f t="shared" si="146"/>
        <v>100</v>
      </c>
      <c r="L197" s="258">
        <f t="shared" si="146"/>
        <v>0</v>
      </c>
      <c r="M197" s="259">
        <f t="shared" si="140"/>
        <v>100</v>
      </c>
      <c r="N197" s="258">
        <f t="shared" si="147"/>
        <v>0</v>
      </c>
      <c r="O197" s="258">
        <f t="shared" si="147"/>
        <v>0</v>
      </c>
      <c r="P197" s="258">
        <f t="shared" si="147"/>
        <v>0</v>
      </c>
      <c r="Q197" s="259">
        <f t="shared" si="141"/>
        <v>0</v>
      </c>
      <c r="R197" s="258">
        <f t="shared" si="148"/>
        <v>0</v>
      </c>
      <c r="S197" s="258">
        <f t="shared" si="148"/>
        <v>0</v>
      </c>
      <c r="T197" s="258">
        <f t="shared" si="148"/>
        <v>0</v>
      </c>
      <c r="U197" s="259">
        <f t="shared" si="142"/>
        <v>0</v>
      </c>
      <c r="V197" s="258">
        <f t="shared" si="149"/>
        <v>0</v>
      </c>
      <c r="W197" s="258">
        <f t="shared" si="149"/>
        <v>0</v>
      </c>
      <c r="X197" s="258">
        <f t="shared" si="149"/>
        <v>0</v>
      </c>
      <c r="Y197" s="259">
        <f t="shared" si="143"/>
        <v>0</v>
      </c>
    </row>
    <row r="198" spans="1:25" ht="12.75" hidden="1" customHeight="1" outlineLevel="1" x14ac:dyDescent="0.2">
      <c r="A198" s="188" t="str">
        <f>"      "&amp;Labels!C384</f>
        <v xml:space="preserve">      Total</v>
      </c>
      <c r="B198" s="256">
        <f t="shared" si="144"/>
        <v>0</v>
      </c>
      <c r="C198" s="256">
        <f t="shared" si="144"/>
        <v>0</v>
      </c>
      <c r="D198" s="256">
        <f t="shared" si="144"/>
        <v>0</v>
      </c>
      <c r="E198" s="257">
        <f>SUM(B195:D195)</f>
        <v>0</v>
      </c>
      <c r="F198" s="256">
        <f t="shared" si="145"/>
        <v>0</v>
      </c>
      <c r="G198" s="256">
        <f t="shared" si="145"/>
        <v>0</v>
      </c>
      <c r="H198" s="256">
        <f t="shared" si="145"/>
        <v>0</v>
      </c>
      <c r="I198" s="257">
        <f>SUM(F195:H195)</f>
        <v>0</v>
      </c>
      <c r="J198" s="256">
        <f t="shared" si="146"/>
        <v>0</v>
      </c>
      <c r="K198" s="256">
        <f t="shared" si="146"/>
        <v>200</v>
      </c>
      <c r="L198" s="256">
        <f t="shared" si="146"/>
        <v>0</v>
      </c>
      <c r="M198" s="257">
        <f>SUM(J195:L195)</f>
        <v>200</v>
      </c>
      <c r="N198" s="256">
        <f t="shared" si="147"/>
        <v>0</v>
      </c>
      <c r="O198" s="256">
        <f t="shared" si="147"/>
        <v>0</v>
      </c>
      <c r="P198" s="256">
        <f t="shared" si="147"/>
        <v>0</v>
      </c>
      <c r="Q198" s="257">
        <f>SUM(N195:P195)</f>
        <v>0</v>
      </c>
      <c r="R198" s="256">
        <f t="shared" si="148"/>
        <v>0</v>
      </c>
      <c r="S198" s="256">
        <f t="shared" si="148"/>
        <v>0</v>
      </c>
      <c r="T198" s="256">
        <f t="shared" si="148"/>
        <v>0</v>
      </c>
      <c r="U198" s="257">
        <f>SUM(R195:T195)</f>
        <v>0</v>
      </c>
      <c r="V198" s="256">
        <f t="shared" si="149"/>
        <v>0</v>
      </c>
      <c r="W198" s="256">
        <f t="shared" si="149"/>
        <v>0</v>
      </c>
      <c r="X198" s="256">
        <f t="shared" si="149"/>
        <v>0</v>
      </c>
      <c r="Y198" s="257">
        <f>SUM(V195:X195)</f>
        <v>0</v>
      </c>
    </row>
    <row r="199" spans="1:25" ht="12.75" hidden="1" customHeight="1" outlineLevel="1" x14ac:dyDescent="0.2">
      <c r="A199" s="191" t="str">
        <f>Labels!B170</f>
        <v>Prof Staff Cost Applied</v>
      </c>
      <c r="B199" s="192"/>
      <c r="C199" s="192"/>
      <c r="D199" s="192"/>
      <c r="E199" s="190"/>
      <c r="F199" s="192"/>
      <c r="G199" s="192"/>
      <c r="H199" s="192"/>
      <c r="I199" s="190"/>
      <c r="J199" s="192"/>
      <c r="K199" s="192"/>
      <c r="L199" s="192"/>
      <c r="M199" s="190"/>
      <c r="N199" s="192"/>
      <c r="O199" s="192"/>
      <c r="P199" s="192"/>
      <c r="Q199" s="190"/>
      <c r="R199" s="192"/>
      <c r="S199" s="192"/>
      <c r="T199" s="192"/>
      <c r="U199" s="190"/>
      <c r="V199" s="192"/>
      <c r="W199" s="192"/>
      <c r="X199" s="192"/>
      <c r="Y199" s="190"/>
    </row>
    <row r="200" spans="1:25" ht="12.75" hidden="1" customHeight="1" outlineLevel="1" x14ac:dyDescent="0.2">
      <c r="A200" s="188" t="str">
        <f>"   "&amp;Labels!B381</f>
        <v xml:space="preserve">   Practice 1</v>
      </c>
      <c r="B200" s="196"/>
      <c r="C200" s="196"/>
      <c r="D200" s="196"/>
      <c r="E200" s="197"/>
      <c r="F200" s="196"/>
      <c r="G200" s="196"/>
      <c r="H200" s="196"/>
      <c r="I200" s="197"/>
      <c r="J200" s="196"/>
      <c r="K200" s="196"/>
      <c r="L200" s="196"/>
      <c r="M200" s="197"/>
      <c r="N200" s="196"/>
      <c r="O200" s="196"/>
      <c r="P200" s="196"/>
      <c r="Q200" s="197"/>
      <c r="R200" s="196"/>
      <c r="S200" s="196"/>
      <c r="T200" s="196"/>
      <c r="U200" s="197"/>
      <c r="V200" s="196"/>
      <c r="W200" s="196"/>
      <c r="X200" s="196"/>
      <c r="Y200" s="197"/>
    </row>
    <row r="201" spans="1:25" ht="12.75" hidden="1" customHeight="1" outlineLevel="1" x14ac:dyDescent="0.2">
      <c r="A201" s="198" t="str">
        <f>"      "&amp;Labels!B385</f>
        <v xml:space="preserve">      Prof Level 1</v>
      </c>
      <c r="B201" s="226">
        <f>'GM CostSvcs'!B377</f>
        <v>0</v>
      </c>
      <c r="C201" s="226">
        <f>'GM CostSvcs'!C377</f>
        <v>0</v>
      </c>
      <c r="D201" s="226">
        <f>'GM CostSvcs'!D377</f>
        <v>0</v>
      </c>
      <c r="E201" s="227">
        <f>SUM(B201:D201)</f>
        <v>0</v>
      </c>
      <c r="F201" s="226">
        <f>'GM CostSvcs'!F377</f>
        <v>0</v>
      </c>
      <c r="G201" s="226">
        <f>'GM CostSvcs'!G377</f>
        <v>0</v>
      </c>
      <c r="H201" s="226">
        <f>'GM CostSvcs'!H377</f>
        <v>0</v>
      </c>
      <c r="I201" s="227">
        <f>SUM(F201:H201)</f>
        <v>0</v>
      </c>
      <c r="J201" s="226">
        <f>'GM CostSvcs'!J377</f>
        <v>0</v>
      </c>
      <c r="K201" s="226">
        <f>'GM CostSvcs'!K377</f>
        <v>7082.6479892832094</v>
      </c>
      <c r="L201" s="226">
        <f>'GM CostSvcs'!L377</f>
        <v>0</v>
      </c>
      <c r="M201" s="227">
        <f>SUM(J201:L201)</f>
        <v>7082.6479892832094</v>
      </c>
      <c r="N201" s="226">
        <f>'GM CostSvcs'!N377</f>
        <v>0</v>
      </c>
      <c r="O201" s="226">
        <f>'GM CostSvcs'!O377</f>
        <v>0</v>
      </c>
      <c r="P201" s="226">
        <f>'GM CostSvcs'!P377</f>
        <v>0</v>
      </c>
      <c r="Q201" s="227">
        <f>SUM(N201:P201)</f>
        <v>0</v>
      </c>
      <c r="R201" s="226">
        <f>'GM CostSvcs'!R377</f>
        <v>0</v>
      </c>
      <c r="S201" s="226">
        <f>'GM CostSvcs'!S377</f>
        <v>0</v>
      </c>
      <c r="T201" s="226">
        <f>'GM CostSvcs'!T377</f>
        <v>0</v>
      </c>
      <c r="U201" s="227">
        <f>SUM(R201:T201)</f>
        <v>0</v>
      </c>
      <c r="V201" s="226">
        <f>'GM CostSvcs'!V377</f>
        <v>0</v>
      </c>
      <c r="W201" s="226">
        <f>'GM CostSvcs'!W377</f>
        <v>0</v>
      </c>
      <c r="X201" s="226">
        <f>'GM CostSvcs'!X377</f>
        <v>0</v>
      </c>
      <c r="Y201" s="227">
        <f>SUM(V201:X201)</f>
        <v>0</v>
      </c>
    </row>
    <row r="202" spans="1:25" ht="12.75" hidden="1" customHeight="1" outlineLevel="1" x14ac:dyDescent="0.2">
      <c r="A202" s="198" t="str">
        <f>"      "&amp;Labels!B386</f>
        <v xml:space="preserve">      Prof Level 2</v>
      </c>
      <c r="B202" s="226">
        <f>'GM CostSvcs'!B378</f>
        <v>0</v>
      </c>
      <c r="C202" s="226">
        <f>'GM CostSvcs'!C378</f>
        <v>0</v>
      </c>
      <c r="D202" s="226">
        <f>'GM CostSvcs'!D378</f>
        <v>0</v>
      </c>
      <c r="E202" s="227">
        <f>SUM(B202:D202)</f>
        <v>0</v>
      </c>
      <c r="F202" s="226">
        <f>'GM CostSvcs'!F378</f>
        <v>0</v>
      </c>
      <c r="G202" s="226">
        <f>'GM CostSvcs'!G378</f>
        <v>0</v>
      </c>
      <c r="H202" s="226">
        <f>'GM CostSvcs'!H378</f>
        <v>0</v>
      </c>
      <c r="I202" s="227">
        <f>SUM(F202:H202)</f>
        <v>0</v>
      </c>
      <c r="J202" s="226">
        <f>'GM CostSvcs'!J378</f>
        <v>0</v>
      </c>
      <c r="K202" s="226">
        <f>'GM CostSvcs'!K378</f>
        <v>7082.6479892832094</v>
      </c>
      <c r="L202" s="226">
        <f>'GM CostSvcs'!L378</f>
        <v>0</v>
      </c>
      <c r="M202" s="227">
        <f>SUM(J202:L202)</f>
        <v>7082.6479892832094</v>
      </c>
      <c r="N202" s="226">
        <f>'GM CostSvcs'!N378</f>
        <v>0</v>
      </c>
      <c r="O202" s="226">
        <f>'GM CostSvcs'!O378</f>
        <v>0</v>
      </c>
      <c r="P202" s="226">
        <f>'GM CostSvcs'!P378</f>
        <v>0</v>
      </c>
      <c r="Q202" s="227">
        <f>SUM(N202:P202)</f>
        <v>0</v>
      </c>
      <c r="R202" s="226">
        <f>'GM CostSvcs'!R378</f>
        <v>0</v>
      </c>
      <c r="S202" s="226">
        <f>'GM CostSvcs'!S378</f>
        <v>0</v>
      </c>
      <c r="T202" s="226">
        <f>'GM CostSvcs'!T378</f>
        <v>0</v>
      </c>
      <c r="U202" s="227">
        <f>SUM(R202:T202)</f>
        <v>0</v>
      </c>
      <c r="V202" s="226">
        <f>'GM CostSvcs'!V378</f>
        <v>0</v>
      </c>
      <c r="W202" s="226">
        <f>'GM CostSvcs'!W378</f>
        <v>0</v>
      </c>
      <c r="X202" s="226">
        <f>'GM CostSvcs'!X378</f>
        <v>0</v>
      </c>
      <c r="Y202" s="227">
        <f>SUM(V202:X202)</f>
        <v>0</v>
      </c>
    </row>
    <row r="203" spans="1:25" ht="12.75" hidden="1" customHeight="1" outlineLevel="1" x14ac:dyDescent="0.2">
      <c r="A203" s="188" t="str">
        <f>"      "&amp;Labels!C384</f>
        <v xml:space="preserve">      Total</v>
      </c>
      <c r="B203" s="196">
        <f>SUM(B201:B202)</f>
        <v>0</v>
      </c>
      <c r="C203" s="196">
        <f>SUM(C201:C202)</f>
        <v>0</v>
      </c>
      <c r="D203" s="196">
        <f>SUM(D201:D202)</f>
        <v>0</v>
      </c>
      <c r="E203" s="197">
        <f>SUM(B203:D203)</f>
        <v>0</v>
      </c>
      <c r="F203" s="196">
        <f>SUM(F201:F202)</f>
        <v>0</v>
      </c>
      <c r="G203" s="196">
        <f>SUM(G201:G202)</f>
        <v>0</v>
      </c>
      <c r="H203" s="196">
        <f>SUM(H201:H202)</f>
        <v>0</v>
      </c>
      <c r="I203" s="197">
        <f>SUM(F203:H203)</f>
        <v>0</v>
      </c>
      <c r="J203" s="196">
        <f>SUM(J201:J202)</f>
        <v>0</v>
      </c>
      <c r="K203" s="196">
        <f>SUM(K201:K202)</f>
        <v>14165.295978566419</v>
      </c>
      <c r="L203" s="196">
        <f>SUM(L201:L202)</f>
        <v>0</v>
      </c>
      <c r="M203" s="197">
        <f>SUM(J203:L203)</f>
        <v>14165.295978566419</v>
      </c>
      <c r="N203" s="196">
        <f>SUM(N201:N202)</f>
        <v>0</v>
      </c>
      <c r="O203" s="196">
        <f>SUM(O201:O202)</f>
        <v>0</v>
      </c>
      <c r="P203" s="196">
        <f>SUM(P201:P202)</f>
        <v>0</v>
      </c>
      <c r="Q203" s="197">
        <f>SUM(N203:P203)</f>
        <v>0</v>
      </c>
      <c r="R203" s="196">
        <f>SUM(R201:R202)</f>
        <v>0</v>
      </c>
      <c r="S203" s="196">
        <f>SUM(S201:S202)</f>
        <v>0</v>
      </c>
      <c r="T203" s="196">
        <f>SUM(T201:T202)</f>
        <v>0</v>
      </c>
      <c r="U203" s="197">
        <f>SUM(R203:T203)</f>
        <v>0</v>
      </c>
      <c r="V203" s="196">
        <f>SUM(V201:V202)</f>
        <v>0</v>
      </c>
      <c r="W203" s="196">
        <f>SUM(W201:W202)</f>
        <v>0</v>
      </c>
      <c r="X203" s="196">
        <f>SUM(X201:X202)</f>
        <v>0</v>
      </c>
      <c r="Y203" s="197">
        <f>SUM(V203:X203)</f>
        <v>0</v>
      </c>
    </row>
    <row r="204" spans="1:25" ht="12.75" hidden="1" customHeight="1" outlineLevel="1" x14ac:dyDescent="0.2">
      <c r="A204" s="188" t="str">
        <f>"   "&amp;Labels!B382</f>
        <v xml:space="preserve">   Practice 2</v>
      </c>
      <c r="B204" s="196"/>
      <c r="C204" s="196"/>
      <c r="D204" s="196"/>
      <c r="E204" s="197"/>
      <c r="F204" s="196"/>
      <c r="G204" s="196"/>
      <c r="H204" s="196"/>
      <c r="I204" s="197"/>
      <c r="J204" s="196"/>
      <c r="K204" s="196"/>
      <c r="L204" s="196"/>
      <c r="M204" s="197"/>
      <c r="N204" s="196"/>
      <c r="O204" s="196"/>
      <c r="P204" s="196"/>
      <c r="Q204" s="197"/>
      <c r="R204" s="196"/>
      <c r="S204" s="196"/>
      <c r="T204" s="196"/>
      <c r="U204" s="197"/>
      <c r="V204" s="196"/>
      <c r="W204" s="196"/>
      <c r="X204" s="196"/>
      <c r="Y204" s="197"/>
    </row>
    <row r="205" spans="1:25" ht="12.75" hidden="1" customHeight="1" outlineLevel="1" x14ac:dyDescent="0.2">
      <c r="A205" s="198" t="str">
        <f>"      "&amp;Labels!B385</f>
        <v xml:space="preserve">      Prof Level 1</v>
      </c>
      <c r="B205" s="226">
        <f>'GM CostSvcs'!B381</f>
        <v>0</v>
      </c>
      <c r="C205" s="226">
        <f>'GM CostSvcs'!C381</f>
        <v>0</v>
      </c>
      <c r="D205" s="226">
        <f>'GM CostSvcs'!D381</f>
        <v>0</v>
      </c>
      <c r="E205" s="227">
        <f t="shared" ref="E205:E210" si="150">SUM(B205:D205)</f>
        <v>0</v>
      </c>
      <c r="F205" s="226">
        <f>'GM CostSvcs'!F381</f>
        <v>0</v>
      </c>
      <c r="G205" s="226">
        <f>'GM CostSvcs'!G381</f>
        <v>0</v>
      </c>
      <c r="H205" s="226">
        <f>'GM CostSvcs'!H381</f>
        <v>0</v>
      </c>
      <c r="I205" s="227">
        <f t="shared" ref="I205:I210" si="151">SUM(F205:H205)</f>
        <v>0</v>
      </c>
      <c r="J205" s="226">
        <f>'GM CostSvcs'!J381</f>
        <v>0</v>
      </c>
      <c r="K205" s="226">
        <f>'GM CostSvcs'!K381</f>
        <v>0</v>
      </c>
      <c r="L205" s="226">
        <f>'GM CostSvcs'!L381</f>
        <v>0</v>
      </c>
      <c r="M205" s="227">
        <f t="shared" ref="M205:M210" si="152">SUM(J205:L205)</f>
        <v>0</v>
      </c>
      <c r="N205" s="226">
        <f>'GM CostSvcs'!N381</f>
        <v>0</v>
      </c>
      <c r="O205" s="226">
        <f>'GM CostSvcs'!O381</f>
        <v>0</v>
      </c>
      <c r="P205" s="226">
        <f>'GM CostSvcs'!P381</f>
        <v>0</v>
      </c>
      <c r="Q205" s="227">
        <f t="shared" ref="Q205:Q210" si="153">SUM(N205:P205)</f>
        <v>0</v>
      </c>
      <c r="R205" s="226">
        <f>'GM CostSvcs'!R381</f>
        <v>0</v>
      </c>
      <c r="S205" s="226">
        <f>'GM CostSvcs'!S381</f>
        <v>0</v>
      </c>
      <c r="T205" s="226">
        <f>'GM CostSvcs'!T381</f>
        <v>0</v>
      </c>
      <c r="U205" s="227">
        <f t="shared" ref="U205:U210" si="154">SUM(R205:T205)</f>
        <v>0</v>
      </c>
      <c r="V205" s="226">
        <f>'GM CostSvcs'!V381</f>
        <v>0</v>
      </c>
      <c r="W205" s="226">
        <f>'GM CostSvcs'!W381</f>
        <v>0</v>
      </c>
      <c r="X205" s="226">
        <f>'GM CostSvcs'!X381</f>
        <v>0</v>
      </c>
      <c r="Y205" s="227">
        <f t="shared" ref="Y205:Y210" si="155">SUM(V205:X205)</f>
        <v>0</v>
      </c>
    </row>
    <row r="206" spans="1:25" ht="12.75" hidden="1" customHeight="1" outlineLevel="1" x14ac:dyDescent="0.2">
      <c r="A206" s="198" t="str">
        <f>"      "&amp;Labels!B386</f>
        <v xml:space="preserve">      Prof Level 2</v>
      </c>
      <c r="B206" s="226">
        <f>'GM CostSvcs'!B382</f>
        <v>0</v>
      </c>
      <c r="C206" s="226">
        <f>'GM CostSvcs'!C382</f>
        <v>0</v>
      </c>
      <c r="D206" s="226">
        <f>'GM CostSvcs'!D382</f>
        <v>0</v>
      </c>
      <c r="E206" s="227">
        <f t="shared" si="150"/>
        <v>0</v>
      </c>
      <c r="F206" s="226">
        <f>'GM CostSvcs'!F382</f>
        <v>0</v>
      </c>
      <c r="G206" s="226">
        <f>'GM CostSvcs'!G382</f>
        <v>0</v>
      </c>
      <c r="H206" s="226">
        <f>'GM CostSvcs'!H382</f>
        <v>0</v>
      </c>
      <c r="I206" s="227">
        <f t="shared" si="151"/>
        <v>0</v>
      </c>
      <c r="J206" s="226">
        <f>'GM CostSvcs'!J382</f>
        <v>0</v>
      </c>
      <c r="K206" s="226">
        <f>'GM CostSvcs'!K382</f>
        <v>0</v>
      </c>
      <c r="L206" s="226">
        <f>'GM CostSvcs'!L382</f>
        <v>0</v>
      </c>
      <c r="M206" s="227">
        <f t="shared" si="152"/>
        <v>0</v>
      </c>
      <c r="N206" s="226">
        <f>'GM CostSvcs'!N382</f>
        <v>0</v>
      </c>
      <c r="O206" s="226">
        <f>'GM CostSvcs'!O382</f>
        <v>0</v>
      </c>
      <c r="P206" s="226">
        <f>'GM CostSvcs'!P382</f>
        <v>0</v>
      </c>
      <c r="Q206" s="227">
        <f t="shared" si="153"/>
        <v>0</v>
      </c>
      <c r="R206" s="226">
        <f>'GM CostSvcs'!R382</f>
        <v>0</v>
      </c>
      <c r="S206" s="226">
        <f>'GM CostSvcs'!S382</f>
        <v>0</v>
      </c>
      <c r="T206" s="226">
        <f>'GM CostSvcs'!T382</f>
        <v>0</v>
      </c>
      <c r="U206" s="227">
        <f t="shared" si="154"/>
        <v>0</v>
      </c>
      <c r="V206" s="226">
        <f>'GM CostSvcs'!V382</f>
        <v>0</v>
      </c>
      <c r="W206" s="226">
        <f>'GM CostSvcs'!W382</f>
        <v>0</v>
      </c>
      <c r="X206" s="226">
        <f>'GM CostSvcs'!X382</f>
        <v>0</v>
      </c>
      <c r="Y206" s="227">
        <f t="shared" si="155"/>
        <v>0</v>
      </c>
    </row>
    <row r="207" spans="1:25" ht="12.75" hidden="1" customHeight="1" outlineLevel="1" x14ac:dyDescent="0.2">
      <c r="A207" s="188" t="str">
        <f>"      "&amp;Labels!C384</f>
        <v xml:space="preserve">      Total</v>
      </c>
      <c r="B207" s="196">
        <f>SUM(B205:B206)</f>
        <v>0</v>
      </c>
      <c r="C207" s="196">
        <f>SUM(C205:C206)</f>
        <v>0</v>
      </c>
      <c r="D207" s="196">
        <f>SUM(D205:D206)</f>
        <v>0</v>
      </c>
      <c r="E207" s="197">
        <f t="shared" si="150"/>
        <v>0</v>
      </c>
      <c r="F207" s="196">
        <f>SUM(F205:F206)</f>
        <v>0</v>
      </c>
      <c r="G207" s="196">
        <f>SUM(G205:G206)</f>
        <v>0</v>
      </c>
      <c r="H207" s="196">
        <f>SUM(H205:H206)</f>
        <v>0</v>
      </c>
      <c r="I207" s="197">
        <f t="shared" si="151"/>
        <v>0</v>
      </c>
      <c r="J207" s="196">
        <f>SUM(J205:J206)</f>
        <v>0</v>
      </c>
      <c r="K207" s="196">
        <f>SUM(K205:K206)</f>
        <v>0</v>
      </c>
      <c r="L207" s="196">
        <f>SUM(L205:L206)</f>
        <v>0</v>
      </c>
      <c r="M207" s="197">
        <f t="shared" si="152"/>
        <v>0</v>
      </c>
      <c r="N207" s="196">
        <f>SUM(N205:N206)</f>
        <v>0</v>
      </c>
      <c r="O207" s="196">
        <f>SUM(O205:O206)</f>
        <v>0</v>
      </c>
      <c r="P207" s="196">
        <f>SUM(P205:P206)</f>
        <v>0</v>
      </c>
      <c r="Q207" s="197">
        <f t="shared" si="153"/>
        <v>0</v>
      </c>
      <c r="R207" s="196">
        <f>SUM(R205:R206)</f>
        <v>0</v>
      </c>
      <c r="S207" s="196">
        <f>SUM(S205:S206)</f>
        <v>0</v>
      </c>
      <c r="T207" s="196">
        <f>SUM(T205:T206)</f>
        <v>0</v>
      </c>
      <c r="U207" s="197">
        <f t="shared" si="154"/>
        <v>0</v>
      </c>
      <c r="V207" s="196">
        <f>SUM(V205:V206)</f>
        <v>0</v>
      </c>
      <c r="W207" s="196">
        <f>SUM(W205:W206)</f>
        <v>0</v>
      </c>
      <c r="X207" s="196">
        <f>SUM(X205:X206)</f>
        <v>0</v>
      </c>
      <c r="Y207" s="197">
        <f t="shared" si="155"/>
        <v>0</v>
      </c>
    </row>
    <row r="208" spans="1:25" ht="12.75" hidden="1" customHeight="1" outlineLevel="1" x14ac:dyDescent="0.2">
      <c r="A208" s="191" t="str">
        <f>"   "&amp;Labels!C380</f>
        <v xml:space="preserve">   Total</v>
      </c>
      <c r="B208" s="192">
        <f>SUM(B203,B207)</f>
        <v>0</v>
      </c>
      <c r="C208" s="192">
        <f>SUM(C203,C207)</f>
        <v>0</v>
      </c>
      <c r="D208" s="192">
        <f>SUM(D203,D207)</f>
        <v>0</v>
      </c>
      <c r="E208" s="190">
        <f t="shared" si="150"/>
        <v>0</v>
      </c>
      <c r="F208" s="192">
        <f>SUM(F203,F207)</f>
        <v>0</v>
      </c>
      <c r="G208" s="192">
        <f>SUM(G203,G207)</f>
        <v>0</v>
      </c>
      <c r="H208" s="192">
        <f>SUM(H203,H207)</f>
        <v>0</v>
      </c>
      <c r="I208" s="190">
        <f t="shared" si="151"/>
        <v>0</v>
      </c>
      <c r="J208" s="192">
        <f>SUM(J203,J207)</f>
        <v>0</v>
      </c>
      <c r="K208" s="192">
        <f>SUM(K203,K207)</f>
        <v>14165.295978566419</v>
      </c>
      <c r="L208" s="192">
        <f>SUM(L203,L207)</f>
        <v>0</v>
      </c>
      <c r="M208" s="190">
        <f t="shared" si="152"/>
        <v>14165.295978566419</v>
      </c>
      <c r="N208" s="192">
        <f>SUM(N203,N207)</f>
        <v>0</v>
      </c>
      <c r="O208" s="192">
        <f>SUM(O203,O207)</f>
        <v>0</v>
      </c>
      <c r="P208" s="192">
        <f>SUM(P203,P207)</f>
        <v>0</v>
      </c>
      <c r="Q208" s="190">
        <f t="shared" si="153"/>
        <v>0</v>
      </c>
      <c r="R208" s="192">
        <f>SUM(R203,R207)</f>
        <v>0</v>
      </c>
      <c r="S208" s="192">
        <f>SUM(S203,S207)</f>
        <v>0</v>
      </c>
      <c r="T208" s="192">
        <f>SUM(T203,T207)</f>
        <v>0</v>
      </c>
      <c r="U208" s="190">
        <f t="shared" si="154"/>
        <v>0</v>
      </c>
      <c r="V208" s="192">
        <f>SUM(V203,V207)</f>
        <v>0</v>
      </c>
      <c r="W208" s="192">
        <f>SUM(W203,W207)</f>
        <v>0</v>
      </c>
      <c r="X208" s="192">
        <f>SUM(X203,X207)</f>
        <v>0</v>
      </c>
      <c r="Y208" s="190">
        <f t="shared" si="155"/>
        <v>0</v>
      </c>
    </row>
    <row r="209" spans="1:25" ht="12.75" hidden="1" customHeight="1" outlineLevel="1" x14ac:dyDescent="0.2">
      <c r="A209" s="198" t="str">
        <f>"      "&amp;Labels!B385</f>
        <v xml:space="preserve">      Prof Level 1</v>
      </c>
      <c r="B209" s="226">
        <f t="shared" ref="B209:D211" si="156">SUM(B201,B205)</f>
        <v>0</v>
      </c>
      <c r="C209" s="226">
        <f t="shared" si="156"/>
        <v>0</v>
      </c>
      <c r="D209" s="226">
        <f t="shared" si="156"/>
        <v>0</v>
      </c>
      <c r="E209" s="227">
        <f t="shared" si="150"/>
        <v>0</v>
      </c>
      <c r="F209" s="226">
        <f t="shared" ref="F209:H211" si="157">SUM(F201,F205)</f>
        <v>0</v>
      </c>
      <c r="G209" s="226">
        <f t="shared" si="157"/>
        <v>0</v>
      </c>
      <c r="H209" s="226">
        <f t="shared" si="157"/>
        <v>0</v>
      </c>
      <c r="I209" s="227">
        <f t="shared" si="151"/>
        <v>0</v>
      </c>
      <c r="J209" s="226">
        <f t="shared" ref="J209:L211" si="158">SUM(J201,J205)</f>
        <v>0</v>
      </c>
      <c r="K209" s="226">
        <f t="shared" si="158"/>
        <v>7082.6479892832094</v>
      </c>
      <c r="L209" s="226">
        <f t="shared" si="158"/>
        <v>0</v>
      </c>
      <c r="M209" s="227">
        <f t="shared" si="152"/>
        <v>7082.6479892832094</v>
      </c>
      <c r="N209" s="226">
        <f t="shared" ref="N209:P211" si="159">SUM(N201,N205)</f>
        <v>0</v>
      </c>
      <c r="O209" s="226">
        <f t="shared" si="159"/>
        <v>0</v>
      </c>
      <c r="P209" s="226">
        <f t="shared" si="159"/>
        <v>0</v>
      </c>
      <c r="Q209" s="227">
        <f t="shared" si="153"/>
        <v>0</v>
      </c>
      <c r="R209" s="226">
        <f t="shared" ref="R209:T211" si="160">SUM(R201,R205)</f>
        <v>0</v>
      </c>
      <c r="S209" s="226">
        <f t="shared" si="160"/>
        <v>0</v>
      </c>
      <c r="T209" s="226">
        <f t="shared" si="160"/>
        <v>0</v>
      </c>
      <c r="U209" s="227">
        <f t="shared" si="154"/>
        <v>0</v>
      </c>
      <c r="V209" s="226">
        <f t="shared" ref="V209:X211" si="161">SUM(V201,V205)</f>
        <v>0</v>
      </c>
      <c r="W209" s="226">
        <f t="shared" si="161"/>
        <v>0</v>
      </c>
      <c r="X209" s="226">
        <f t="shared" si="161"/>
        <v>0</v>
      </c>
      <c r="Y209" s="227">
        <f t="shared" si="155"/>
        <v>0</v>
      </c>
    </row>
    <row r="210" spans="1:25" ht="12.75" hidden="1" customHeight="1" outlineLevel="1" x14ac:dyDescent="0.2">
      <c r="A210" s="198" t="str">
        <f>"      "&amp;Labels!B386</f>
        <v xml:space="preserve">      Prof Level 2</v>
      </c>
      <c r="B210" s="226">
        <f t="shared" si="156"/>
        <v>0</v>
      </c>
      <c r="C210" s="226">
        <f t="shared" si="156"/>
        <v>0</v>
      </c>
      <c r="D210" s="226">
        <f t="shared" si="156"/>
        <v>0</v>
      </c>
      <c r="E210" s="227">
        <f t="shared" si="150"/>
        <v>0</v>
      </c>
      <c r="F210" s="226">
        <f t="shared" si="157"/>
        <v>0</v>
      </c>
      <c r="G210" s="226">
        <f t="shared" si="157"/>
        <v>0</v>
      </c>
      <c r="H210" s="226">
        <f t="shared" si="157"/>
        <v>0</v>
      </c>
      <c r="I210" s="227">
        <f t="shared" si="151"/>
        <v>0</v>
      </c>
      <c r="J210" s="226">
        <f t="shared" si="158"/>
        <v>0</v>
      </c>
      <c r="K210" s="226">
        <f t="shared" si="158"/>
        <v>7082.6479892832094</v>
      </c>
      <c r="L210" s="226">
        <f t="shared" si="158"/>
        <v>0</v>
      </c>
      <c r="M210" s="227">
        <f t="shared" si="152"/>
        <v>7082.6479892832094</v>
      </c>
      <c r="N210" s="226">
        <f t="shared" si="159"/>
        <v>0</v>
      </c>
      <c r="O210" s="226">
        <f t="shared" si="159"/>
        <v>0</v>
      </c>
      <c r="P210" s="226">
        <f t="shared" si="159"/>
        <v>0</v>
      </c>
      <c r="Q210" s="227">
        <f t="shared" si="153"/>
        <v>0</v>
      </c>
      <c r="R210" s="226">
        <f t="shared" si="160"/>
        <v>0</v>
      </c>
      <c r="S210" s="226">
        <f t="shared" si="160"/>
        <v>0</v>
      </c>
      <c r="T210" s="226">
        <f t="shared" si="160"/>
        <v>0</v>
      </c>
      <c r="U210" s="227">
        <f t="shared" si="154"/>
        <v>0</v>
      </c>
      <c r="V210" s="226">
        <f t="shared" si="161"/>
        <v>0</v>
      </c>
      <c r="W210" s="226">
        <f t="shared" si="161"/>
        <v>0</v>
      </c>
      <c r="X210" s="226">
        <f t="shared" si="161"/>
        <v>0</v>
      </c>
      <c r="Y210" s="227">
        <f t="shared" si="155"/>
        <v>0</v>
      </c>
    </row>
    <row r="211" spans="1:25" ht="12.75" hidden="1" customHeight="1" outlineLevel="1" x14ac:dyDescent="0.2">
      <c r="A211" s="188" t="str">
        <f>"      "&amp;Labels!C384</f>
        <v xml:space="preserve">      Total</v>
      </c>
      <c r="B211" s="196">
        <f t="shared" si="156"/>
        <v>0</v>
      </c>
      <c r="C211" s="196">
        <f t="shared" si="156"/>
        <v>0</v>
      </c>
      <c r="D211" s="196">
        <f t="shared" si="156"/>
        <v>0</v>
      </c>
      <c r="E211" s="197">
        <f>SUM(B208:D208)</f>
        <v>0</v>
      </c>
      <c r="F211" s="196">
        <f t="shared" si="157"/>
        <v>0</v>
      </c>
      <c r="G211" s="196">
        <f t="shared" si="157"/>
        <v>0</v>
      </c>
      <c r="H211" s="196">
        <f t="shared" si="157"/>
        <v>0</v>
      </c>
      <c r="I211" s="197">
        <f>SUM(F208:H208)</f>
        <v>0</v>
      </c>
      <c r="J211" s="196">
        <f t="shared" si="158"/>
        <v>0</v>
      </c>
      <c r="K211" s="196">
        <f t="shared" si="158"/>
        <v>14165.295978566419</v>
      </c>
      <c r="L211" s="196">
        <f t="shared" si="158"/>
        <v>0</v>
      </c>
      <c r="M211" s="197">
        <f>SUM(J208:L208)</f>
        <v>14165.295978566419</v>
      </c>
      <c r="N211" s="196">
        <f t="shared" si="159"/>
        <v>0</v>
      </c>
      <c r="O211" s="196">
        <f t="shared" si="159"/>
        <v>0</v>
      </c>
      <c r="P211" s="196">
        <f t="shared" si="159"/>
        <v>0</v>
      </c>
      <c r="Q211" s="197">
        <f>SUM(N208:P208)</f>
        <v>0</v>
      </c>
      <c r="R211" s="196">
        <f t="shared" si="160"/>
        <v>0</v>
      </c>
      <c r="S211" s="196">
        <f t="shared" si="160"/>
        <v>0</v>
      </c>
      <c r="T211" s="196">
        <f t="shared" si="160"/>
        <v>0</v>
      </c>
      <c r="U211" s="197">
        <f>SUM(R208:T208)</f>
        <v>0</v>
      </c>
      <c r="V211" s="196">
        <f t="shared" si="161"/>
        <v>0</v>
      </c>
      <c r="W211" s="196">
        <f t="shared" si="161"/>
        <v>0</v>
      </c>
      <c r="X211" s="196">
        <f t="shared" si="161"/>
        <v>0</v>
      </c>
      <c r="Y211" s="197">
        <f>SUM(V208:X208)</f>
        <v>0</v>
      </c>
    </row>
    <row r="212" spans="1:25" ht="12.75" hidden="1" customHeight="1" outlineLevel="1" x14ac:dyDescent="0.2">
      <c r="A212" s="191" t="str">
        <f>Labels!B173</f>
        <v>Prof Staff Cost Unapplied</v>
      </c>
      <c r="B212" s="192"/>
      <c r="C212" s="192"/>
      <c r="D212" s="192"/>
      <c r="E212" s="190"/>
      <c r="F212" s="192"/>
      <c r="G212" s="192"/>
      <c r="H212" s="192"/>
      <c r="I212" s="190"/>
      <c r="J212" s="192"/>
      <c r="K212" s="192"/>
      <c r="L212" s="192"/>
      <c r="M212" s="190"/>
      <c r="N212" s="192"/>
      <c r="O212" s="192"/>
      <c r="P212" s="192"/>
      <c r="Q212" s="190"/>
      <c r="R212" s="192"/>
      <c r="S212" s="192"/>
      <c r="T212" s="192"/>
      <c r="U212" s="190"/>
      <c r="V212" s="192"/>
      <c r="W212" s="192"/>
      <c r="X212" s="192"/>
      <c r="Y212" s="190"/>
    </row>
    <row r="213" spans="1:25" ht="12.75" hidden="1" customHeight="1" outlineLevel="1" x14ac:dyDescent="0.2">
      <c r="A213" s="188" t="str">
        <f>"   "&amp;Labels!B381</f>
        <v xml:space="preserve">   Practice 1</v>
      </c>
      <c r="B213" s="196"/>
      <c r="C213" s="196"/>
      <c r="D213" s="196"/>
      <c r="E213" s="197"/>
      <c r="F213" s="196"/>
      <c r="G213" s="196"/>
      <c r="H213" s="196"/>
      <c r="I213" s="197"/>
      <c r="J213" s="196"/>
      <c r="K213" s="196"/>
      <c r="L213" s="196"/>
      <c r="M213" s="197"/>
      <c r="N213" s="196"/>
      <c r="O213" s="196"/>
      <c r="P213" s="196"/>
      <c r="Q213" s="197"/>
      <c r="R213" s="196"/>
      <c r="S213" s="196"/>
      <c r="T213" s="196"/>
      <c r="U213" s="197"/>
      <c r="V213" s="196"/>
      <c r="W213" s="196"/>
      <c r="X213" s="196"/>
      <c r="Y213" s="197"/>
    </row>
    <row r="214" spans="1:25" ht="12.75" hidden="1" customHeight="1" outlineLevel="1" x14ac:dyDescent="0.2">
      <c r="A214" s="198" t="str">
        <f>"      "&amp;Labels!B385</f>
        <v xml:space="preserve">      Prof Level 1</v>
      </c>
      <c r="B214" s="226">
        <f>'GM CostSvcs'!B390</f>
        <v>0</v>
      </c>
      <c r="C214" s="226">
        <f>'GM CostSvcs'!C390</f>
        <v>0</v>
      </c>
      <c r="D214" s="226">
        <f>'GM CostSvcs'!D390</f>
        <v>0</v>
      </c>
      <c r="E214" s="227">
        <f>SUM(B214:D214)</f>
        <v>0</v>
      </c>
      <c r="F214" s="226">
        <f>'GM CostSvcs'!F390</f>
        <v>0</v>
      </c>
      <c r="G214" s="226">
        <f>'GM CostSvcs'!G390</f>
        <v>0</v>
      </c>
      <c r="H214" s="226">
        <f>'GM CostSvcs'!H390</f>
        <v>0</v>
      </c>
      <c r="I214" s="227">
        <f>SUM(F214:H214)</f>
        <v>0</v>
      </c>
      <c r="J214" s="226">
        <f>'GM CostSvcs'!J390</f>
        <v>0</v>
      </c>
      <c r="K214" s="226">
        <f>'GM CostSvcs'!K390</f>
        <v>7082.6479892832094</v>
      </c>
      <c r="L214" s="226">
        <f>'GM CostSvcs'!L390</f>
        <v>0</v>
      </c>
      <c r="M214" s="227">
        <f>SUM(J214:L214)</f>
        <v>7082.6479892832094</v>
      </c>
      <c r="N214" s="226">
        <f>'GM CostSvcs'!N390</f>
        <v>0</v>
      </c>
      <c r="O214" s="226">
        <f>'GM CostSvcs'!O390</f>
        <v>0</v>
      </c>
      <c r="P214" s="226">
        <f>'GM CostSvcs'!P390</f>
        <v>0</v>
      </c>
      <c r="Q214" s="227">
        <f>SUM(N214:P214)</f>
        <v>0</v>
      </c>
      <c r="R214" s="226">
        <f>'GM CostSvcs'!R390</f>
        <v>0</v>
      </c>
      <c r="S214" s="226">
        <f>'GM CostSvcs'!S390</f>
        <v>0</v>
      </c>
      <c r="T214" s="226">
        <f>'GM CostSvcs'!T390</f>
        <v>0</v>
      </c>
      <c r="U214" s="227">
        <f>SUM(R214:T214)</f>
        <v>0</v>
      </c>
      <c r="V214" s="226">
        <f>'GM CostSvcs'!V390</f>
        <v>0</v>
      </c>
      <c r="W214" s="226">
        <f>'GM CostSvcs'!W390</f>
        <v>0</v>
      </c>
      <c r="X214" s="226">
        <f>'GM CostSvcs'!X390</f>
        <v>0</v>
      </c>
      <c r="Y214" s="227">
        <f>SUM(V214:X214)</f>
        <v>0</v>
      </c>
    </row>
    <row r="215" spans="1:25" ht="12.75" hidden="1" customHeight="1" outlineLevel="1" x14ac:dyDescent="0.2">
      <c r="A215" s="198" t="str">
        <f>"      "&amp;Labels!B386</f>
        <v xml:space="preserve">      Prof Level 2</v>
      </c>
      <c r="B215" s="226">
        <f>'GM CostSvcs'!B391</f>
        <v>0</v>
      </c>
      <c r="C215" s="226">
        <f>'GM CostSvcs'!C391</f>
        <v>0</v>
      </c>
      <c r="D215" s="226">
        <f>'GM CostSvcs'!D391</f>
        <v>0</v>
      </c>
      <c r="E215" s="227">
        <f>SUM(B215:D215)</f>
        <v>0</v>
      </c>
      <c r="F215" s="226">
        <f>'GM CostSvcs'!F391</f>
        <v>0</v>
      </c>
      <c r="G215" s="226">
        <f>'GM CostSvcs'!G391</f>
        <v>0</v>
      </c>
      <c r="H215" s="226">
        <f>'GM CostSvcs'!H391</f>
        <v>0</v>
      </c>
      <c r="I215" s="227">
        <f>SUM(F215:H215)</f>
        <v>0</v>
      </c>
      <c r="J215" s="226">
        <f>'GM CostSvcs'!J391</f>
        <v>0</v>
      </c>
      <c r="K215" s="226">
        <f>'GM CostSvcs'!K391</f>
        <v>7082.6479892832094</v>
      </c>
      <c r="L215" s="226">
        <f>'GM CostSvcs'!L391</f>
        <v>0</v>
      </c>
      <c r="M215" s="227">
        <f>SUM(J215:L215)</f>
        <v>7082.6479892832094</v>
      </c>
      <c r="N215" s="226">
        <f>'GM CostSvcs'!N391</f>
        <v>0</v>
      </c>
      <c r="O215" s="226">
        <f>'GM CostSvcs'!O391</f>
        <v>0</v>
      </c>
      <c r="P215" s="226">
        <f>'GM CostSvcs'!P391</f>
        <v>0</v>
      </c>
      <c r="Q215" s="227">
        <f>SUM(N215:P215)</f>
        <v>0</v>
      </c>
      <c r="R215" s="226">
        <f>'GM CostSvcs'!R391</f>
        <v>0</v>
      </c>
      <c r="S215" s="226">
        <f>'GM CostSvcs'!S391</f>
        <v>0</v>
      </c>
      <c r="T215" s="226">
        <f>'GM CostSvcs'!T391</f>
        <v>0</v>
      </c>
      <c r="U215" s="227">
        <f>SUM(R215:T215)</f>
        <v>0</v>
      </c>
      <c r="V215" s="226">
        <f>'GM CostSvcs'!V391</f>
        <v>0</v>
      </c>
      <c r="W215" s="226">
        <f>'GM CostSvcs'!W391</f>
        <v>0</v>
      </c>
      <c r="X215" s="226">
        <f>'GM CostSvcs'!X391</f>
        <v>0</v>
      </c>
      <c r="Y215" s="227">
        <f>SUM(V215:X215)</f>
        <v>0</v>
      </c>
    </row>
    <row r="216" spans="1:25" ht="12.75" hidden="1" customHeight="1" outlineLevel="1" x14ac:dyDescent="0.2">
      <c r="A216" s="188" t="str">
        <f>"      "&amp;Labels!C384</f>
        <v xml:space="preserve">      Total</v>
      </c>
      <c r="B216" s="196">
        <f>SUM(B214:B215)</f>
        <v>0</v>
      </c>
      <c r="C216" s="196">
        <f>SUM(C214:C215)</f>
        <v>0</v>
      </c>
      <c r="D216" s="196">
        <f>SUM(D214:D215)</f>
        <v>0</v>
      </c>
      <c r="E216" s="197">
        <f>SUM(B216:D216)</f>
        <v>0</v>
      </c>
      <c r="F216" s="196">
        <f>SUM(F214:F215)</f>
        <v>0</v>
      </c>
      <c r="G216" s="196">
        <f>SUM(G214:G215)</f>
        <v>0</v>
      </c>
      <c r="H216" s="196">
        <f>SUM(H214:H215)</f>
        <v>0</v>
      </c>
      <c r="I216" s="197">
        <f>SUM(F216:H216)</f>
        <v>0</v>
      </c>
      <c r="J216" s="196">
        <f>SUM(J214:J215)</f>
        <v>0</v>
      </c>
      <c r="K216" s="196">
        <f>SUM(K214:K215)</f>
        <v>14165.295978566419</v>
      </c>
      <c r="L216" s="196">
        <f>SUM(L214:L215)</f>
        <v>0</v>
      </c>
      <c r="M216" s="197">
        <f>SUM(J216:L216)</f>
        <v>14165.295978566419</v>
      </c>
      <c r="N216" s="196">
        <f>SUM(N214:N215)</f>
        <v>0</v>
      </c>
      <c r="O216" s="196">
        <f>SUM(O214:O215)</f>
        <v>0</v>
      </c>
      <c r="P216" s="196">
        <f>SUM(P214:P215)</f>
        <v>0</v>
      </c>
      <c r="Q216" s="197">
        <f>SUM(N216:P216)</f>
        <v>0</v>
      </c>
      <c r="R216" s="196">
        <f>SUM(R214:R215)</f>
        <v>0</v>
      </c>
      <c r="S216" s="196">
        <f>SUM(S214:S215)</f>
        <v>0</v>
      </c>
      <c r="T216" s="196">
        <f>SUM(T214:T215)</f>
        <v>0</v>
      </c>
      <c r="U216" s="197">
        <f>SUM(R216:T216)</f>
        <v>0</v>
      </c>
      <c r="V216" s="196">
        <f>SUM(V214:V215)</f>
        <v>0</v>
      </c>
      <c r="W216" s="196">
        <f>SUM(W214:W215)</f>
        <v>0</v>
      </c>
      <c r="X216" s="196">
        <f>SUM(X214:X215)</f>
        <v>0</v>
      </c>
      <c r="Y216" s="197">
        <f>SUM(V216:X216)</f>
        <v>0</v>
      </c>
    </row>
    <row r="217" spans="1:25" ht="12.75" hidden="1" customHeight="1" outlineLevel="1" x14ac:dyDescent="0.2">
      <c r="A217" s="188" t="str">
        <f>"   "&amp;Labels!B382</f>
        <v xml:space="preserve">   Practice 2</v>
      </c>
      <c r="B217" s="196"/>
      <c r="C217" s="196"/>
      <c r="D217" s="196"/>
      <c r="E217" s="197"/>
      <c r="F217" s="196"/>
      <c r="G217" s="196"/>
      <c r="H217" s="196"/>
      <c r="I217" s="197"/>
      <c r="J217" s="196"/>
      <c r="K217" s="196"/>
      <c r="L217" s="196"/>
      <c r="M217" s="197"/>
      <c r="N217" s="196"/>
      <c r="O217" s="196"/>
      <c r="P217" s="196"/>
      <c r="Q217" s="197"/>
      <c r="R217" s="196"/>
      <c r="S217" s="196"/>
      <c r="T217" s="196"/>
      <c r="U217" s="197"/>
      <c r="V217" s="196"/>
      <c r="W217" s="196"/>
      <c r="X217" s="196"/>
      <c r="Y217" s="197"/>
    </row>
    <row r="218" spans="1:25" ht="12.75" hidden="1" customHeight="1" outlineLevel="1" x14ac:dyDescent="0.2">
      <c r="A218" s="198" t="str">
        <f>"      "&amp;Labels!B385</f>
        <v xml:space="preserve">      Prof Level 1</v>
      </c>
      <c r="B218" s="226">
        <f>'GM CostSvcs'!B394</f>
        <v>0</v>
      </c>
      <c r="C218" s="226">
        <f>'GM CostSvcs'!C394</f>
        <v>0</v>
      </c>
      <c r="D218" s="226">
        <f>'GM CostSvcs'!D394</f>
        <v>0</v>
      </c>
      <c r="E218" s="227">
        <f t="shared" ref="E218:E223" si="162">SUM(B218:D218)</f>
        <v>0</v>
      </c>
      <c r="F218" s="226">
        <f>'GM CostSvcs'!F394</f>
        <v>0</v>
      </c>
      <c r="G218" s="226">
        <f>'GM CostSvcs'!G394</f>
        <v>0</v>
      </c>
      <c r="H218" s="226">
        <f>'GM CostSvcs'!H394</f>
        <v>0</v>
      </c>
      <c r="I218" s="227">
        <f t="shared" ref="I218:I223" si="163">SUM(F218:H218)</f>
        <v>0</v>
      </c>
      <c r="J218" s="226">
        <f>'GM CostSvcs'!J394</f>
        <v>0</v>
      </c>
      <c r="K218" s="226">
        <f>'GM CostSvcs'!K394</f>
        <v>0</v>
      </c>
      <c r="L218" s="226">
        <f>'GM CostSvcs'!L394</f>
        <v>0</v>
      </c>
      <c r="M218" s="227">
        <f t="shared" ref="M218:M223" si="164">SUM(J218:L218)</f>
        <v>0</v>
      </c>
      <c r="N218" s="226">
        <f>'GM CostSvcs'!N394</f>
        <v>0</v>
      </c>
      <c r="O218" s="226">
        <f>'GM CostSvcs'!O394</f>
        <v>0</v>
      </c>
      <c r="P218" s="226">
        <f>'GM CostSvcs'!P394</f>
        <v>0</v>
      </c>
      <c r="Q218" s="227">
        <f t="shared" ref="Q218:Q223" si="165">SUM(N218:P218)</f>
        <v>0</v>
      </c>
      <c r="R218" s="226">
        <f>'GM CostSvcs'!R394</f>
        <v>0</v>
      </c>
      <c r="S218" s="226">
        <f>'GM CostSvcs'!S394</f>
        <v>0</v>
      </c>
      <c r="T218" s="226">
        <f>'GM CostSvcs'!T394</f>
        <v>0</v>
      </c>
      <c r="U218" s="227">
        <f t="shared" ref="U218:U223" si="166">SUM(R218:T218)</f>
        <v>0</v>
      </c>
      <c r="V218" s="226">
        <f>'GM CostSvcs'!V394</f>
        <v>0</v>
      </c>
      <c r="W218" s="226">
        <f>'GM CostSvcs'!W394</f>
        <v>0</v>
      </c>
      <c r="X218" s="226">
        <f>'GM CostSvcs'!X394</f>
        <v>0</v>
      </c>
      <c r="Y218" s="227">
        <f t="shared" ref="Y218:Y223" si="167">SUM(V218:X218)</f>
        <v>0</v>
      </c>
    </row>
    <row r="219" spans="1:25" ht="12.75" hidden="1" customHeight="1" outlineLevel="1" x14ac:dyDescent="0.2">
      <c r="A219" s="198" t="str">
        <f>"      "&amp;Labels!B386</f>
        <v xml:space="preserve">      Prof Level 2</v>
      </c>
      <c r="B219" s="226">
        <f>'GM CostSvcs'!B395</f>
        <v>0</v>
      </c>
      <c r="C219" s="226">
        <f>'GM CostSvcs'!C395</f>
        <v>0</v>
      </c>
      <c r="D219" s="226">
        <f>'GM CostSvcs'!D395</f>
        <v>0</v>
      </c>
      <c r="E219" s="227">
        <f t="shared" si="162"/>
        <v>0</v>
      </c>
      <c r="F219" s="226">
        <f>'GM CostSvcs'!F395</f>
        <v>0</v>
      </c>
      <c r="G219" s="226">
        <f>'GM CostSvcs'!G395</f>
        <v>0</v>
      </c>
      <c r="H219" s="226">
        <f>'GM CostSvcs'!H395</f>
        <v>0</v>
      </c>
      <c r="I219" s="227">
        <f t="shared" si="163"/>
        <v>0</v>
      </c>
      <c r="J219" s="226">
        <f>'GM CostSvcs'!J395</f>
        <v>0</v>
      </c>
      <c r="K219" s="226">
        <f>'GM CostSvcs'!K395</f>
        <v>0</v>
      </c>
      <c r="L219" s="226">
        <f>'GM CostSvcs'!L395</f>
        <v>0</v>
      </c>
      <c r="M219" s="227">
        <f t="shared" si="164"/>
        <v>0</v>
      </c>
      <c r="N219" s="226">
        <f>'GM CostSvcs'!N395</f>
        <v>0</v>
      </c>
      <c r="O219" s="226">
        <f>'GM CostSvcs'!O395</f>
        <v>0</v>
      </c>
      <c r="P219" s="226">
        <f>'GM CostSvcs'!P395</f>
        <v>0</v>
      </c>
      <c r="Q219" s="227">
        <f t="shared" si="165"/>
        <v>0</v>
      </c>
      <c r="R219" s="226">
        <f>'GM CostSvcs'!R395</f>
        <v>0</v>
      </c>
      <c r="S219" s="226">
        <f>'GM CostSvcs'!S395</f>
        <v>0</v>
      </c>
      <c r="T219" s="226">
        <f>'GM CostSvcs'!T395</f>
        <v>0</v>
      </c>
      <c r="U219" s="227">
        <f t="shared" si="166"/>
        <v>0</v>
      </c>
      <c r="V219" s="226">
        <f>'GM CostSvcs'!V395</f>
        <v>0</v>
      </c>
      <c r="W219" s="226">
        <f>'GM CostSvcs'!W395</f>
        <v>0</v>
      </c>
      <c r="X219" s="226">
        <f>'GM CostSvcs'!X395</f>
        <v>0</v>
      </c>
      <c r="Y219" s="227">
        <f t="shared" si="167"/>
        <v>0</v>
      </c>
    </row>
    <row r="220" spans="1:25" ht="12.75" hidden="1" customHeight="1" outlineLevel="1" x14ac:dyDescent="0.2">
      <c r="A220" s="188" t="str">
        <f>"      "&amp;Labels!C384</f>
        <v xml:space="preserve">      Total</v>
      </c>
      <c r="B220" s="196">
        <f>SUM(B218:B219)</f>
        <v>0</v>
      </c>
      <c r="C220" s="196">
        <f>SUM(C218:C219)</f>
        <v>0</v>
      </c>
      <c r="D220" s="196">
        <f>SUM(D218:D219)</f>
        <v>0</v>
      </c>
      <c r="E220" s="197">
        <f t="shared" si="162"/>
        <v>0</v>
      </c>
      <c r="F220" s="196">
        <f>SUM(F218:F219)</f>
        <v>0</v>
      </c>
      <c r="G220" s="196">
        <f>SUM(G218:G219)</f>
        <v>0</v>
      </c>
      <c r="H220" s="196">
        <f>SUM(H218:H219)</f>
        <v>0</v>
      </c>
      <c r="I220" s="197">
        <f t="shared" si="163"/>
        <v>0</v>
      </c>
      <c r="J220" s="196">
        <f>SUM(J218:J219)</f>
        <v>0</v>
      </c>
      <c r="K220" s="196">
        <f>SUM(K218:K219)</f>
        <v>0</v>
      </c>
      <c r="L220" s="196">
        <f>SUM(L218:L219)</f>
        <v>0</v>
      </c>
      <c r="M220" s="197">
        <f t="shared" si="164"/>
        <v>0</v>
      </c>
      <c r="N220" s="196">
        <f>SUM(N218:N219)</f>
        <v>0</v>
      </c>
      <c r="O220" s="196">
        <f>SUM(O218:O219)</f>
        <v>0</v>
      </c>
      <c r="P220" s="196">
        <f>SUM(P218:P219)</f>
        <v>0</v>
      </c>
      <c r="Q220" s="197">
        <f t="shared" si="165"/>
        <v>0</v>
      </c>
      <c r="R220" s="196">
        <f>SUM(R218:R219)</f>
        <v>0</v>
      </c>
      <c r="S220" s="196">
        <f>SUM(S218:S219)</f>
        <v>0</v>
      </c>
      <c r="T220" s="196">
        <f>SUM(T218:T219)</f>
        <v>0</v>
      </c>
      <c r="U220" s="197">
        <f t="shared" si="166"/>
        <v>0</v>
      </c>
      <c r="V220" s="196">
        <f>SUM(V218:V219)</f>
        <v>0</v>
      </c>
      <c r="W220" s="196">
        <f>SUM(W218:W219)</f>
        <v>0</v>
      </c>
      <c r="X220" s="196">
        <f>SUM(X218:X219)</f>
        <v>0</v>
      </c>
      <c r="Y220" s="197">
        <f t="shared" si="167"/>
        <v>0</v>
      </c>
    </row>
    <row r="221" spans="1:25" ht="12.75" hidden="1" customHeight="1" outlineLevel="1" x14ac:dyDescent="0.2">
      <c r="A221" s="191" t="str">
        <f>"   "&amp;Labels!C380</f>
        <v xml:space="preserve">   Total</v>
      </c>
      <c r="B221" s="192">
        <f>SUM(B216,B220)</f>
        <v>0</v>
      </c>
      <c r="C221" s="192">
        <f>SUM(C216,C220)</f>
        <v>0</v>
      </c>
      <c r="D221" s="192">
        <f>SUM(D216,D220)</f>
        <v>0</v>
      </c>
      <c r="E221" s="190">
        <f t="shared" si="162"/>
        <v>0</v>
      </c>
      <c r="F221" s="192">
        <f>SUM(F216,F220)</f>
        <v>0</v>
      </c>
      <c r="G221" s="192">
        <f>SUM(G216,G220)</f>
        <v>0</v>
      </c>
      <c r="H221" s="192">
        <f>SUM(H216,H220)</f>
        <v>0</v>
      </c>
      <c r="I221" s="190">
        <f t="shared" si="163"/>
        <v>0</v>
      </c>
      <c r="J221" s="192">
        <f>SUM(J216,J220)</f>
        <v>0</v>
      </c>
      <c r="K221" s="192">
        <f>SUM(K216,K220)</f>
        <v>14165.295978566419</v>
      </c>
      <c r="L221" s="192">
        <f>SUM(L216,L220)</f>
        <v>0</v>
      </c>
      <c r="M221" s="190">
        <f t="shared" si="164"/>
        <v>14165.295978566419</v>
      </c>
      <c r="N221" s="192">
        <f>SUM(N216,N220)</f>
        <v>0</v>
      </c>
      <c r="O221" s="192">
        <f>SUM(O216,O220)</f>
        <v>0</v>
      </c>
      <c r="P221" s="192">
        <f>SUM(P216,P220)</f>
        <v>0</v>
      </c>
      <c r="Q221" s="190">
        <f t="shared" si="165"/>
        <v>0</v>
      </c>
      <c r="R221" s="192">
        <f>SUM(R216,R220)</f>
        <v>0</v>
      </c>
      <c r="S221" s="192">
        <f>SUM(S216,S220)</f>
        <v>0</v>
      </c>
      <c r="T221" s="192">
        <f>SUM(T216,T220)</f>
        <v>0</v>
      </c>
      <c r="U221" s="190">
        <f t="shared" si="166"/>
        <v>0</v>
      </c>
      <c r="V221" s="192">
        <f>SUM(V216,V220)</f>
        <v>0</v>
      </c>
      <c r="W221" s="192">
        <f>SUM(W216,W220)</f>
        <v>0</v>
      </c>
      <c r="X221" s="192">
        <f>SUM(X216,X220)</f>
        <v>0</v>
      </c>
      <c r="Y221" s="190">
        <f t="shared" si="167"/>
        <v>0</v>
      </c>
    </row>
    <row r="222" spans="1:25" ht="12.75" hidden="1" customHeight="1" outlineLevel="1" x14ac:dyDescent="0.2">
      <c r="A222" s="198" t="str">
        <f>"      "&amp;Labels!B385</f>
        <v xml:space="preserve">      Prof Level 1</v>
      </c>
      <c r="B222" s="226">
        <f t="shared" ref="B222:D224" si="168">SUM(B214,B218)</f>
        <v>0</v>
      </c>
      <c r="C222" s="226">
        <f t="shared" si="168"/>
        <v>0</v>
      </c>
      <c r="D222" s="226">
        <f t="shared" si="168"/>
        <v>0</v>
      </c>
      <c r="E222" s="227">
        <f t="shared" si="162"/>
        <v>0</v>
      </c>
      <c r="F222" s="226">
        <f t="shared" ref="F222:H224" si="169">SUM(F214,F218)</f>
        <v>0</v>
      </c>
      <c r="G222" s="226">
        <f t="shared" si="169"/>
        <v>0</v>
      </c>
      <c r="H222" s="226">
        <f t="shared" si="169"/>
        <v>0</v>
      </c>
      <c r="I222" s="227">
        <f t="shared" si="163"/>
        <v>0</v>
      </c>
      <c r="J222" s="226">
        <f t="shared" ref="J222:L224" si="170">SUM(J214,J218)</f>
        <v>0</v>
      </c>
      <c r="K222" s="226">
        <f t="shared" si="170"/>
        <v>7082.6479892832094</v>
      </c>
      <c r="L222" s="226">
        <f t="shared" si="170"/>
        <v>0</v>
      </c>
      <c r="M222" s="227">
        <f t="shared" si="164"/>
        <v>7082.6479892832094</v>
      </c>
      <c r="N222" s="226">
        <f t="shared" ref="N222:P224" si="171">SUM(N214,N218)</f>
        <v>0</v>
      </c>
      <c r="O222" s="226">
        <f t="shared" si="171"/>
        <v>0</v>
      </c>
      <c r="P222" s="226">
        <f t="shared" si="171"/>
        <v>0</v>
      </c>
      <c r="Q222" s="227">
        <f t="shared" si="165"/>
        <v>0</v>
      </c>
      <c r="R222" s="226">
        <f t="shared" ref="R222:T224" si="172">SUM(R214,R218)</f>
        <v>0</v>
      </c>
      <c r="S222" s="226">
        <f t="shared" si="172"/>
        <v>0</v>
      </c>
      <c r="T222" s="226">
        <f t="shared" si="172"/>
        <v>0</v>
      </c>
      <c r="U222" s="227">
        <f t="shared" si="166"/>
        <v>0</v>
      </c>
      <c r="V222" s="226">
        <f t="shared" ref="V222:X224" si="173">SUM(V214,V218)</f>
        <v>0</v>
      </c>
      <c r="W222" s="226">
        <f t="shared" si="173"/>
        <v>0</v>
      </c>
      <c r="X222" s="226">
        <f t="shared" si="173"/>
        <v>0</v>
      </c>
      <c r="Y222" s="227">
        <f t="shared" si="167"/>
        <v>0</v>
      </c>
    </row>
    <row r="223" spans="1:25" ht="12.75" hidden="1" customHeight="1" outlineLevel="1" x14ac:dyDescent="0.2">
      <c r="A223" s="198" t="str">
        <f>"      "&amp;Labels!B386</f>
        <v xml:space="preserve">      Prof Level 2</v>
      </c>
      <c r="B223" s="226">
        <f t="shared" si="168"/>
        <v>0</v>
      </c>
      <c r="C223" s="226">
        <f t="shared" si="168"/>
        <v>0</v>
      </c>
      <c r="D223" s="226">
        <f t="shared" si="168"/>
        <v>0</v>
      </c>
      <c r="E223" s="227">
        <f t="shared" si="162"/>
        <v>0</v>
      </c>
      <c r="F223" s="226">
        <f t="shared" si="169"/>
        <v>0</v>
      </c>
      <c r="G223" s="226">
        <f t="shared" si="169"/>
        <v>0</v>
      </c>
      <c r="H223" s="226">
        <f t="shared" si="169"/>
        <v>0</v>
      </c>
      <c r="I223" s="227">
        <f t="shared" si="163"/>
        <v>0</v>
      </c>
      <c r="J223" s="226">
        <f t="shared" si="170"/>
        <v>0</v>
      </c>
      <c r="K223" s="226">
        <f t="shared" si="170"/>
        <v>7082.6479892832094</v>
      </c>
      <c r="L223" s="226">
        <f t="shared" si="170"/>
        <v>0</v>
      </c>
      <c r="M223" s="227">
        <f t="shared" si="164"/>
        <v>7082.6479892832094</v>
      </c>
      <c r="N223" s="226">
        <f t="shared" si="171"/>
        <v>0</v>
      </c>
      <c r="O223" s="226">
        <f t="shared" si="171"/>
        <v>0</v>
      </c>
      <c r="P223" s="226">
        <f t="shared" si="171"/>
        <v>0</v>
      </c>
      <c r="Q223" s="227">
        <f t="shared" si="165"/>
        <v>0</v>
      </c>
      <c r="R223" s="226">
        <f t="shared" si="172"/>
        <v>0</v>
      </c>
      <c r="S223" s="226">
        <f t="shared" si="172"/>
        <v>0</v>
      </c>
      <c r="T223" s="226">
        <f t="shared" si="172"/>
        <v>0</v>
      </c>
      <c r="U223" s="227">
        <f t="shared" si="166"/>
        <v>0</v>
      </c>
      <c r="V223" s="226">
        <f t="shared" si="173"/>
        <v>0</v>
      </c>
      <c r="W223" s="226">
        <f t="shared" si="173"/>
        <v>0</v>
      </c>
      <c r="X223" s="226">
        <f t="shared" si="173"/>
        <v>0</v>
      </c>
      <c r="Y223" s="227">
        <f t="shared" si="167"/>
        <v>0</v>
      </c>
    </row>
    <row r="224" spans="1:25" ht="12.75" hidden="1" customHeight="1" outlineLevel="1" x14ac:dyDescent="0.2">
      <c r="A224" s="220" t="str">
        <f>"      "&amp;Labels!C384</f>
        <v xml:space="preserve">      Total</v>
      </c>
      <c r="B224" s="228">
        <f t="shared" si="168"/>
        <v>0</v>
      </c>
      <c r="C224" s="228">
        <f t="shared" si="168"/>
        <v>0</v>
      </c>
      <c r="D224" s="228">
        <f t="shared" si="168"/>
        <v>0</v>
      </c>
      <c r="E224" s="229">
        <f>SUM(B221:D221)</f>
        <v>0</v>
      </c>
      <c r="F224" s="228">
        <f t="shared" si="169"/>
        <v>0</v>
      </c>
      <c r="G224" s="228">
        <f t="shared" si="169"/>
        <v>0</v>
      </c>
      <c r="H224" s="228">
        <f t="shared" si="169"/>
        <v>0</v>
      </c>
      <c r="I224" s="229">
        <f>SUM(F221:H221)</f>
        <v>0</v>
      </c>
      <c r="J224" s="228">
        <f t="shared" si="170"/>
        <v>0</v>
      </c>
      <c r="K224" s="228">
        <f t="shared" si="170"/>
        <v>14165.295978566419</v>
      </c>
      <c r="L224" s="228">
        <f t="shared" si="170"/>
        <v>0</v>
      </c>
      <c r="M224" s="229">
        <f>SUM(J221:L221)</f>
        <v>14165.295978566419</v>
      </c>
      <c r="N224" s="228">
        <f t="shared" si="171"/>
        <v>0</v>
      </c>
      <c r="O224" s="228">
        <f t="shared" si="171"/>
        <v>0</v>
      </c>
      <c r="P224" s="228">
        <f t="shared" si="171"/>
        <v>0</v>
      </c>
      <c r="Q224" s="229">
        <f>SUM(N221:P221)</f>
        <v>0</v>
      </c>
      <c r="R224" s="228">
        <f t="shared" si="172"/>
        <v>0</v>
      </c>
      <c r="S224" s="228">
        <f t="shared" si="172"/>
        <v>0</v>
      </c>
      <c r="T224" s="228">
        <f t="shared" si="172"/>
        <v>0</v>
      </c>
      <c r="U224" s="229">
        <f>SUM(R221:T221)</f>
        <v>0</v>
      </c>
      <c r="V224" s="228">
        <f t="shared" si="173"/>
        <v>0</v>
      </c>
      <c r="W224" s="228">
        <f t="shared" si="173"/>
        <v>0</v>
      </c>
      <c r="X224" s="228">
        <f t="shared" si="173"/>
        <v>0</v>
      </c>
      <c r="Y224" s="229">
        <f>SUM(V221:X221)</f>
        <v>0</v>
      </c>
    </row>
    <row r="225" spans="1:25" ht="12.75" hidden="1" customHeight="1" outlineLevel="1" collapsed="1" x14ac:dyDescent="0.2"/>
    <row r="226" spans="1:25" ht="12.75" customHeight="1" collapsed="1" x14ac:dyDescent="0.2">
      <c r="A226" t="s">
        <v>3402</v>
      </c>
      <c r="B226" t="s">
        <v>3402</v>
      </c>
      <c r="C226" t="s">
        <v>3402</v>
      </c>
      <c r="D226" t="s">
        <v>3402</v>
      </c>
      <c r="E226" t="s">
        <v>3402</v>
      </c>
      <c r="F226" t="s">
        <v>3402</v>
      </c>
      <c r="G226" t="s">
        <v>3402</v>
      </c>
      <c r="H226" t="s">
        <v>3402</v>
      </c>
      <c r="I226" t="s">
        <v>3402</v>
      </c>
      <c r="J226" t="s">
        <v>3402</v>
      </c>
      <c r="K226" t="s">
        <v>3402</v>
      </c>
      <c r="L226" t="s">
        <v>3402</v>
      </c>
      <c r="M226" t="s">
        <v>3402</v>
      </c>
      <c r="N226" t="s">
        <v>3402</v>
      </c>
      <c r="O226" t="s">
        <v>3402</v>
      </c>
      <c r="P226" t="s">
        <v>3402</v>
      </c>
      <c r="Q226" t="s">
        <v>3402</v>
      </c>
      <c r="R226" t="s">
        <v>3402</v>
      </c>
      <c r="S226" t="s">
        <v>3402</v>
      </c>
      <c r="T226" t="s">
        <v>3402</v>
      </c>
      <c r="U226" t="s">
        <v>3402</v>
      </c>
      <c r="V226" t="s">
        <v>3402</v>
      </c>
      <c r="W226" t="s">
        <v>3402</v>
      </c>
      <c r="X226" t="s">
        <v>3402</v>
      </c>
      <c r="Y226" t="s">
        <v>3402</v>
      </c>
    </row>
  </sheetData>
  <mergeCells count="12">
    <mergeCell ref="A171:B171"/>
    <mergeCell ref="A1:C1"/>
    <mergeCell ref="A2:C2"/>
    <mergeCell ref="A3:C3"/>
    <mergeCell ref="A4:C4"/>
    <mergeCell ref="A5:B5"/>
    <mergeCell ref="A6:B6"/>
    <mergeCell ref="A65:B65"/>
    <mergeCell ref="A66:B66"/>
    <mergeCell ref="A97:B97"/>
    <mergeCell ref="A98:B98"/>
    <mergeCell ref="A170:B170"/>
  </mergeCells>
  <pageMargins left="0.25" right="0.25" top="0.5" bottom="0.5" header="0.5" footer="0.5"/>
  <pageSetup paperSize="9" fitToHeight="32767" orientation="landscape" horizontalDpi="300" verticalDpi="300"/>
  <headerFooter alignWithMargins="0"/>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pageSetUpPr fitToPage="1"/>
  </sheetPr>
  <dimension ref="A1:Y222"/>
  <sheetViews>
    <sheetView zoomScaleNormal="100" workbookViewId="0">
      <selection sqref="A1:C1"/>
    </sheetView>
  </sheetViews>
  <sheetFormatPr defaultRowHeight="12.75" customHeight="1" outlineLevelRow="2" x14ac:dyDescent="0.2"/>
  <cols>
    <col min="1" max="1" width="22.5703125" customWidth="1"/>
    <col min="2" max="25" width="12.42578125" customWidth="1"/>
  </cols>
  <sheetData>
    <row r="1" spans="1:25" ht="12.75" customHeight="1" x14ac:dyDescent="0.2">
      <c r="A1" s="463" t="str">
        <f>Inputs!F7</f>
        <v xml:space="preserve"> </v>
      </c>
      <c r="B1" s="463"/>
      <c r="C1" s="463"/>
    </row>
    <row r="2" spans="1:25" ht="12.75" customHeight="1" x14ac:dyDescent="0.2">
      <c r="A2" s="463" t="e">
        <f>TEXT('(FnCalls 1)'!A41,"m/d/yyyy")&amp;" to "&amp;TEXT('(FnCalls 1)'!A59-1,"m/d/yyyy")</f>
        <v>#VALUE!</v>
      </c>
      <c r="B2" s="463"/>
      <c r="C2" s="463"/>
    </row>
    <row r="3" spans="1:25" ht="12.75" customHeight="1" x14ac:dyDescent="0.2">
      <c r="A3" s="463" t="str">
        <f>"Operating Expense"</f>
        <v>Operating Expense</v>
      </c>
      <c r="B3" s="463"/>
      <c r="C3" s="463"/>
    </row>
    <row r="4" spans="1:25" ht="12.75" customHeight="1" x14ac:dyDescent="0.2">
      <c r="A4" s="463" t="str">
        <f>" "</f>
        <v xml:space="preserve"> </v>
      </c>
      <c r="B4" s="463"/>
      <c r="C4" s="463"/>
    </row>
    <row r="5" spans="1:25" ht="12.75" customHeight="1" x14ac:dyDescent="0.2">
      <c r="A5" s="464" t="str">
        <f>"Summary by Department"</f>
        <v>Summary by Department</v>
      </c>
      <c r="B5" s="464"/>
    </row>
    <row r="6" spans="1:25" ht="12.75" customHeight="1" x14ac:dyDescent="0.2">
      <c r="B6" s="9" t="str">
        <f>'(FnCalls 1)'!F41</f>
        <v>MMM 2010</v>
      </c>
      <c r="C6" s="10" t="str">
        <f>'(FnCalls 1)'!F42</f>
        <v>MMM 2010</v>
      </c>
      <c r="D6" s="10" t="str">
        <f>'(FnCalls 1)'!F43</f>
        <v>MMM 2010</v>
      </c>
      <c r="E6" s="181" t="str">
        <f>'(FnCalls 1)'!G41</f>
        <v>Q1 2010</v>
      </c>
      <c r="F6" s="10" t="str">
        <f>'(FnCalls 1)'!F44</f>
        <v>MMM 2010</v>
      </c>
      <c r="G6" s="10" t="str">
        <f>'(FnCalls 1)'!F45</f>
        <v>MMM 2010</v>
      </c>
      <c r="H6" s="10" t="str">
        <f>'(FnCalls 1)'!F46</f>
        <v>MMM 2010</v>
      </c>
      <c r="I6" s="181" t="str">
        <f>'(FnCalls 1)'!G44</f>
        <v>Q2 2010</v>
      </c>
      <c r="J6" s="10" t="str">
        <f>'(FnCalls 1)'!F47</f>
        <v>MMM 2010</v>
      </c>
      <c r="K6" s="10" t="str">
        <f>'(FnCalls 1)'!F48</f>
        <v>MMM 2010</v>
      </c>
      <c r="L6" s="10" t="str">
        <f>'(FnCalls 1)'!F49</f>
        <v>MMM 2010</v>
      </c>
      <c r="M6" s="181" t="str">
        <f>'(FnCalls 1)'!G47</f>
        <v>Q3 2010</v>
      </c>
      <c r="N6" s="10" t="str">
        <f>'(FnCalls 1)'!F50</f>
        <v>MMM 2010</v>
      </c>
      <c r="O6" s="10" t="str">
        <f>'(FnCalls 1)'!F51</f>
        <v>MMM 2010</v>
      </c>
      <c r="P6" s="10" t="str">
        <f>'(FnCalls 1)'!F52</f>
        <v>MMM 2010</v>
      </c>
      <c r="Q6" s="181" t="str">
        <f>'(FnCalls 1)'!G50</f>
        <v>Q4 2010</v>
      </c>
      <c r="R6" s="10" t="str">
        <f>'(FnCalls 1)'!F53</f>
        <v>MMM 2011</v>
      </c>
      <c r="S6" s="10" t="str">
        <f>'(FnCalls 1)'!F54</f>
        <v>MMM 2011</v>
      </c>
      <c r="T6" s="10" t="str">
        <f>'(FnCalls 1)'!F55</f>
        <v>MMM 2011</v>
      </c>
      <c r="U6" s="181" t="str">
        <f>'(FnCalls 1)'!G53</f>
        <v>Q1 2011</v>
      </c>
      <c r="V6" s="10" t="str">
        <f>'(FnCalls 1)'!F56</f>
        <v>MMM 2011</v>
      </c>
      <c r="W6" s="10" t="str">
        <f>'(FnCalls 1)'!F57</f>
        <v>MMM 2011</v>
      </c>
      <c r="X6" s="10" t="str">
        <f>'(FnCalls 1)'!F58</f>
        <v>MMM 2011</v>
      </c>
      <c r="Y6" s="181" t="str">
        <f>'(FnCalls 1)'!G56</f>
        <v>Q2 2011</v>
      </c>
    </row>
    <row r="7" spans="1:25" ht="12.75" customHeight="1" x14ac:dyDescent="0.2">
      <c r="A7" s="182" t="str">
        <f>Labels!B135</f>
        <v>Operating Expense</v>
      </c>
      <c r="B7" s="183"/>
      <c r="C7" s="183"/>
      <c r="D7" s="183"/>
      <c r="E7" s="184"/>
      <c r="F7" s="183"/>
      <c r="G7" s="183"/>
      <c r="H7" s="183"/>
      <c r="I7" s="184"/>
      <c r="J7" s="183"/>
      <c r="K7" s="183"/>
      <c r="L7" s="183"/>
      <c r="M7" s="184"/>
      <c r="N7" s="183"/>
      <c r="O7" s="183"/>
      <c r="P7" s="183"/>
      <c r="Q7" s="184"/>
      <c r="R7" s="183"/>
      <c r="S7" s="183"/>
      <c r="T7" s="183"/>
      <c r="U7" s="184"/>
      <c r="V7" s="183"/>
      <c r="W7" s="183"/>
      <c r="X7" s="183"/>
      <c r="Y7" s="184"/>
    </row>
    <row r="8" spans="1:25" ht="12.75" customHeight="1" x14ac:dyDescent="0.2">
      <c r="A8" s="188" t="str">
        <f>"   "&amp;Labels!B321</f>
        <v xml:space="preserve">   Marketing</v>
      </c>
      <c r="B8" s="196">
        <f>SUM(B18:B23)</f>
        <v>0</v>
      </c>
      <c r="C8" s="196">
        <f>SUM(C18:C23)</f>
        <v>0</v>
      </c>
      <c r="D8" s="196">
        <f>SUM(D18:D23)</f>
        <v>0</v>
      </c>
      <c r="E8" s="197">
        <f>SUM(B8:D8)</f>
        <v>0</v>
      </c>
      <c r="F8" s="196">
        <f>SUM(F18:F23)</f>
        <v>0</v>
      </c>
      <c r="G8" s="196">
        <f>SUM(G18:G23)</f>
        <v>0</v>
      </c>
      <c r="H8" s="196">
        <f>SUM(H18:H23)</f>
        <v>0</v>
      </c>
      <c r="I8" s="197">
        <f>SUM(F8:H8)</f>
        <v>0</v>
      </c>
      <c r="J8" s="196">
        <f>SUM(J18:J23)</f>
        <v>0</v>
      </c>
      <c r="K8" s="196">
        <f>SUM(K18:K23)</f>
        <v>0</v>
      </c>
      <c r="L8" s="196">
        <f>SUM(L18:L23)</f>
        <v>0</v>
      </c>
      <c r="M8" s="197">
        <f>SUM(J8:L8)</f>
        <v>0</v>
      </c>
      <c r="N8" s="196">
        <f>SUM(N18:N23)</f>
        <v>0</v>
      </c>
      <c r="O8" s="196">
        <f>SUM(O18:O23)</f>
        <v>0</v>
      </c>
      <c r="P8" s="196">
        <f>SUM(P18:P23)</f>
        <v>0</v>
      </c>
      <c r="Q8" s="197">
        <f>SUM(N8:P8)</f>
        <v>0</v>
      </c>
      <c r="R8" s="196">
        <f>SUM(R18:R23)</f>
        <v>0</v>
      </c>
      <c r="S8" s="196">
        <f>SUM(S18:S23)</f>
        <v>0</v>
      </c>
      <c r="T8" s="196">
        <f>SUM(T18:T23)</f>
        <v>0</v>
      </c>
      <c r="U8" s="197">
        <f>SUM(R8:T8)</f>
        <v>0</v>
      </c>
      <c r="V8" s="196">
        <f>SUM(V18:V23)</f>
        <v>0</v>
      </c>
      <c r="W8" s="196">
        <f>SUM(W18:W23)</f>
        <v>0</v>
      </c>
      <c r="X8" s="196">
        <f>SUM(X18:X23)</f>
        <v>0</v>
      </c>
      <c r="Y8" s="197">
        <f>SUM(V8:X8)</f>
        <v>0</v>
      </c>
    </row>
    <row r="9" spans="1:25" ht="12.75" customHeight="1" x14ac:dyDescent="0.2">
      <c r="A9" s="188" t="str">
        <f>"   "&amp;Labels!B322</f>
        <v xml:space="preserve">   Sales</v>
      </c>
      <c r="B9" s="196">
        <f>SUM(B26:B31)</f>
        <v>0</v>
      </c>
      <c r="C9" s="196">
        <f>SUM(C26:C31)</f>
        <v>0</v>
      </c>
      <c r="D9" s="196">
        <f>SUM(D26:D31)</f>
        <v>0</v>
      </c>
      <c r="E9" s="197">
        <f>SUM(B9:D9)</f>
        <v>0</v>
      </c>
      <c r="F9" s="196">
        <f>SUM(F26:F31)</f>
        <v>0</v>
      </c>
      <c r="G9" s="196">
        <f>SUM(G26:G31)</f>
        <v>0</v>
      </c>
      <c r="H9" s="196">
        <f>SUM(H26:H31)</f>
        <v>0</v>
      </c>
      <c r="I9" s="197">
        <f>SUM(F9:H9)</f>
        <v>0</v>
      </c>
      <c r="J9" s="196">
        <f>SUM(J26:J31)</f>
        <v>0</v>
      </c>
      <c r="K9" s="196">
        <f>SUM(K26:K31)</f>
        <v>0</v>
      </c>
      <c r="L9" s="196">
        <f>SUM(L26:L31)</f>
        <v>0</v>
      </c>
      <c r="M9" s="197">
        <f>SUM(J9:L9)</f>
        <v>0</v>
      </c>
      <c r="N9" s="196">
        <f>SUM(N26:N31)</f>
        <v>0</v>
      </c>
      <c r="O9" s="196">
        <f>SUM(O26:O31)</f>
        <v>0</v>
      </c>
      <c r="P9" s="196">
        <f>SUM(P26:P31)</f>
        <v>0</v>
      </c>
      <c r="Q9" s="197">
        <f>SUM(N9:P9)</f>
        <v>0</v>
      </c>
      <c r="R9" s="196">
        <f>SUM(R26:R31)</f>
        <v>0</v>
      </c>
      <c r="S9" s="196">
        <f>SUM(S26:S31)</f>
        <v>0</v>
      </c>
      <c r="T9" s="196">
        <f>SUM(T26:T31)</f>
        <v>0</v>
      </c>
      <c r="U9" s="197">
        <f>SUM(R9:T9)</f>
        <v>0</v>
      </c>
      <c r="V9" s="196">
        <f>SUM(V26:V31)</f>
        <v>0</v>
      </c>
      <c r="W9" s="196">
        <f>SUM(W26:W31)</f>
        <v>0</v>
      </c>
      <c r="X9" s="196">
        <f>SUM(X26:X31)</f>
        <v>0</v>
      </c>
      <c r="Y9" s="197">
        <f>SUM(V9:X9)</f>
        <v>0</v>
      </c>
    </row>
    <row r="10" spans="1:25" ht="12.75" customHeight="1" x14ac:dyDescent="0.2">
      <c r="A10" s="185" t="str">
        <f>"   "&amp;Labels!C320</f>
        <v xml:space="preserve">   Total</v>
      </c>
      <c r="B10" s="176">
        <f>SUM(B8:B9)</f>
        <v>0</v>
      </c>
      <c r="C10" s="176">
        <f>SUM(C8:C9)</f>
        <v>0</v>
      </c>
      <c r="D10" s="176">
        <f>SUM(D8:D9)</f>
        <v>0</v>
      </c>
      <c r="E10" s="193">
        <f>SUM(B10:D10)</f>
        <v>0</v>
      </c>
      <c r="F10" s="176">
        <f>SUM(F8:F9)</f>
        <v>0</v>
      </c>
      <c r="G10" s="176">
        <f>SUM(G8:G9)</f>
        <v>0</v>
      </c>
      <c r="H10" s="176">
        <f>SUM(H8:H9)</f>
        <v>0</v>
      </c>
      <c r="I10" s="193">
        <f>SUM(F10:H10)</f>
        <v>0</v>
      </c>
      <c r="J10" s="176">
        <f>SUM(J8:J9)</f>
        <v>0</v>
      </c>
      <c r="K10" s="176">
        <f>SUM(K8:K9)</f>
        <v>0</v>
      </c>
      <c r="L10" s="176">
        <f>SUM(L8:L9)</f>
        <v>0</v>
      </c>
      <c r="M10" s="193">
        <f>SUM(J10:L10)</f>
        <v>0</v>
      </c>
      <c r="N10" s="176">
        <f>SUM(N8:N9)</f>
        <v>0</v>
      </c>
      <c r="O10" s="176">
        <f>SUM(O8:O9)</f>
        <v>0</v>
      </c>
      <c r="P10" s="176">
        <f>SUM(P8:P9)</f>
        <v>0</v>
      </c>
      <c r="Q10" s="193">
        <f>SUM(N10:P10)</f>
        <v>0</v>
      </c>
      <c r="R10" s="176">
        <f>SUM(R8:R9)</f>
        <v>0</v>
      </c>
      <c r="S10" s="176">
        <f>SUM(S8:S9)</f>
        <v>0</v>
      </c>
      <c r="T10" s="176">
        <f>SUM(T8:T9)</f>
        <v>0</v>
      </c>
      <c r="U10" s="193">
        <f>SUM(R10:T10)</f>
        <v>0</v>
      </c>
      <c r="V10" s="176">
        <f>SUM(V8:V9)</f>
        <v>0</v>
      </c>
      <c r="W10" s="176">
        <f>SUM(W8:W9)</f>
        <v>0</v>
      </c>
      <c r="X10" s="176">
        <f>SUM(X8:X9)</f>
        <v>0</v>
      </c>
      <c r="Y10" s="193">
        <f>SUM(V10:X10)</f>
        <v>0</v>
      </c>
    </row>
    <row r="13" spans="1:25" ht="12.75" customHeight="1" collapsed="1" x14ac:dyDescent="0.2">
      <c r="A13" s="464" t="str">
        <f>"Detail by Cost Type"</f>
        <v>Detail by Cost Type</v>
      </c>
      <c r="B13" s="464"/>
    </row>
    <row r="14" spans="1:25" ht="12.75" hidden="1" customHeight="1" outlineLevel="1" x14ac:dyDescent="0.2">
      <c r="A14" s="1" t="str">
        <f>""</f>
        <v/>
      </c>
    </row>
    <row r="15" spans="1:25" ht="12.75" hidden="1" customHeight="1" outlineLevel="1" x14ac:dyDescent="0.2">
      <c r="B15" s="9" t="str">
        <f>'(FnCalls 1)'!F41</f>
        <v>MMM 2010</v>
      </c>
      <c r="C15" s="10" t="str">
        <f>'(FnCalls 1)'!F42</f>
        <v>MMM 2010</v>
      </c>
      <c r="D15" s="10" t="str">
        <f>'(FnCalls 1)'!F43</f>
        <v>MMM 2010</v>
      </c>
      <c r="E15" s="181" t="str">
        <f>'(FnCalls 1)'!G41</f>
        <v>Q1 2010</v>
      </c>
      <c r="F15" s="10" t="str">
        <f>'(FnCalls 1)'!F44</f>
        <v>MMM 2010</v>
      </c>
      <c r="G15" s="10" t="str">
        <f>'(FnCalls 1)'!F45</f>
        <v>MMM 2010</v>
      </c>
      <c r="H15" s="10" t="str">
        <f>'(FnCalls 1)'!F46</f>
        <v>MMM 2010</v>
      </c>
      <c r="I15" s="181" t="str">
        <f>'(FnCalls 1)'!G44</f>
        <v>Q2 2010</v>
      </c>
      <c r="J15" s="10" t="str">
        <f>'(FnCalls 1)'!F47</f>
        <v>MMM 2010</v>
      </c>
      <c r="K15" s="10" t="str">
        <f>'(FnCalls 1)'!F48</f>
        <v>MMM 2010</v>
      </c>
      <c r="L15" s="10" t="str">
        <f>'(FnCalls 1)'!F49</f>
        <v>MMM 2010</v>
      </c>
      <c r="M15" s="181" t="str">
        <f>'(FnCalls 1)'!G47</f>
        <v>Q3 2010</v>
      </c>
      <c r="N15" s="10" t="str">
        <f>'(FnCalls 1)'!F50</f>
        <v>MMM 2010</v>
      </c>
      <c r="O15" s="10" t="str">
        <f>'(FnCalls 1)'!F51</f>
        <v>MMM 2010</v>
      </c>
      <c r="P15" s="10" t="str">
        <f>'(FnCalls 1)'!F52</f>
        <v>MMM 2010</v>
      </c>
      <c r="Q15" s="181" t="str">
        <f>'(FnCalls 1)'!G50</f>
        <v>Q4 2010</v>
      </c>
      <c r="R15" s="10" t="str">
        <f>'(FnCalls 1)'!F53</f>
        <v>MMM 2011</v>
      </c>
      <c r="S15" s="10" t="str">
        <f>'(FnCalls 1)'!F54</f>
        <v>MMM 2011</v>
      </c>
      <c r="T15" s="10" t="str">
        <f>'(FnCalls 1)'!F55</f>
        <v>MMM 2011</v>
      </c>
      <c r="U15" s="181" t="str">
        <f>'(FnCalls 1)'!G53</f>
        <v>Q1 2011</v>
      </c>
      <c r="V15" s="10" t="str">
        <f>'(FnCalls 1)'!F56</f>
        <v>MMM 2011</v>
      </c>
      <c r="W15" s="10" t="str">
        <f>'(FnCalls 1)'!F57</f>
        <v>MMM 2011</v>
      </c>
      <c r="X15" s="10" t="str">
        <f>'(FnCalls 1)'!F58</f>
        <v>MMM 2011</v>
      </c>
      <c r="Y15" s="181" t="str">
        <f>'(FnCalls 1)'!G56</f>
        <v>Q2 2011</v>
      </c>
    </row>
    <row r="16" spans="1:25" ht="12.75" hidden="1" customHeight="1" outlineLevel="1" x14ac:dyDescent="0.2">
      <c r="A16" s="182" t="str">
        <f>Labels!B135</f>
        <v>Operating Expense</v>
      </c>
      <c r="B16" s="183"/>
      <c r="C16" s="183"/>
      <c r="D16" s="183"/>
      <c r="E16" s="184"/>
      <c r="F16" s="183"/>
      <c r="G16" s="183"/>
      <c r="H16" s="183"/>
      <c r="I16" s="184"/>
      <c r="J16" s="183"/>
      <c r="K16" s="183"/>
      <c r="L16" s="183"/>
      <c r="M16" s="184"/>
      <c r="N16" s="183"/>
      <c r="O16" s="183"/>
      <c r="P16" s="183"/>
      <c r="Q16" s="184"/>
      <c r="R16" s="183"/>
      <c r="S16" s="183"/>
      <c r="T16" s="183"/>
      <c r="U16" s="184"/>
      <c r="V16" s="183"/>
      <c r="W16" s="183"/>
      <c r="X16" s="183"/>
      <c r="Y16" s="184"/>
    </row>
    <row r="17" spans="1:25" ht="12.75" hidden="1" customHeight="1" outlineLevel="1" x14ac:dyDescent="0.2">
      <c r="A17" s="188" t="str">
        <f>"   "&amp;Labels!B321</f>
        <v xml:space="preserve">   Marketing</v>
      </c>
      <c r="B17" s="196"/>
      <c r="C17" s="196"/>
      <c r="D17" s="196"/>
      <c r="E17" s="197"/>
      <c r="F17" s="196"/>
      <c r="G17" s="196"/>
      <c r="H17" s="196"/>
      <c r="I17" s="197"/>
      <c r="J17" s="196"/>
      <c r="K17" s="196"/>
      <c r="L17" s="196"/>
      <c r="M17" s="197"/>
      <c r="N17" s="196"/>
      <c r="O17" s="196"/>
      <c r="P17" s="196"/>
      <c r="Q17" s="197"/>
      <c r="R17" s="196"/>
      <c r="S17" s="196"/>
      <c r="T17" s="196"/>
      <c r="U17" s="197"/>
      <c r="V17" s="196"/>
      <c r="W17" s="196"/>
      <c r="X17" s="196"/>
      <c r="Y17" s="197"/>
    </row>
    <row r="18" spans="1:25" ht="12.75" hidden="1" customHeight="1" outlineLevel="1" x14ac:dyDescent="0.2">
      <c r="A18" s="198" t="str">
        <f>"      "&amp;Labels!B373</f>
        <v xml:space="preserve">      Indirect Labor</v>
      </c>
      <c r="B18" s="226">
        <f>'Sup Staff'!B13-B71</f>
        <v>0</v>
      </c>
      <c r="C18" s="226">
        <f>'Sup Staff'!C13-C71</f>
        <v>0</v>
      </c>
      <c r="D18" s="226">
        <f>'Sup Staff'!D13-D71</f>
        <v>0</v>
      </c>
      <c r="E18" s="227">
        <f t="shared" ref="E18:E24" si="0">SUM(B18:D18)</f>
        <v>0</v>
      </c>
      <c r="F18" s="226">
        <f>'Sup Staff'!F13-F71</f>
        <v>0</v>
      </c>
      <c r="G18" s="226">
        <f>'Sup Staff'!G13-G71</f>
        <v>0</v>
      </c>
      <c r="H18" s="226">
        <f>'Sup Staff'!H13-H71</f>
        <v>0</v>
      </c>
      <c r="I18" s="227">
        <f t="shared" ref="I18:I24" si="1">SUM(F18:H18)</f>
        <v>0</v>
      </c>
      <c r="J18" s="226">
        <f>'Sup Staff'!J13-J71</f>
        <v>0</v>
      </c>
      <c r="K18" s="226">
        <f>'Sup Staff'!K13-K71</f>
        <v>0</v>
      </c>
      <c r="L18" s="226">
        <f>'Sup Staff'!L13-L71</f>
        <v>0</v>
      </c>
      <c r="M18" s="227">
        <f t="shared" ref="M18:M24" si="2">SUM(J18:L18)</f>
        <v>0</v>
      </c>
      <c r="N18" s="226">
        <f>'Sup Staff'!N13-N71</f>
        <v>0</v>
      </c>
      <c r="O18" s="226">
        <f>'Sup Staff'!O13-O71</f>
        <v>0</v>
      </c>
      <c r="P18" s="226">
        <f>'Sup Staff'!P13-P71</f>
        <v>0</v>
      </c>
      <c r="Q18" s="227">
        <f t="shared" ref="Q18:Q24" si="3">SUM(N18:P18)</f>
        <v>0</v>
      </c>
      <c r="R18" s="226">
        <f>'Sup Staff'!R13-R71</f>
        <v>0</v>
      </c>
      <c r="S18" s="226">
        <f>'Sup Staff'!S13-S71</f>
        <v>0</v>
      </c>
      <c r="T18" s="226">
        <f>'Sup Staff'!T13-T71</f>
        <v>0</v>
      </c>
      <c r="U18" s="227">
        <f t="shared" ref="U18:U24" si="4">SUM(R18:T18)</f>
        <v>0</v>
      </c>
      <c r="V18" s="226">
        <f>'Sup Staff'!V13-V71</f>
        <v>0</v>
      </c>
      <c r="W18" s="226">
        <f>'Sup Staff'!W13-W71</f>
        <v>0</v>
      </c>
      <c r="X18" s="226">
        <f>'Sup Staff'!X13-X71</f>
        <v>0</v>
      </c>
      <c r="Y18" s="227">
        <f t="shared" ref="Y18:Y24" si="5">SUM(V18:X18)</f>
        <v>0</v>
      </c>
    </row>
    <row r="19" spans="1:25" ht="12.75" hidden="1" customHeight="1" outlineLevel="1" x14ac:dyDescent="0.2">
      <c r="A19" s="198" t="str">
        <f>"      "&amp;Labels!B374</f>
        <v xml:space="preserve">      Employee-Related</v>
      </c>
      <c r="B19" s="226">
        <f>B151+B151-B71</f>
        <v>0</v>
      </c>
      <c r="C19" s="226">
        <f>C151+C151-C71</f>
        <v>0</v>
      </c>
      <c r="D19" s="226">
        <f>D151+D151-D71</f>
        <v>0</v>
      </c>
      <c r="E19" s="227">
        <f t="shared" si="0"/>
        <v>0</v>
      </c>
      <c r="F19" s="226">
        <f>F151+F151-F71</f>
        <v>0</v>
      </c>
      <c r="G19" s="226">
        <f>G151+G151-G71</f>
        <v>0</v>
      </c>
      <c r="H19" s="226">
        <f>H151+H151-H71</f>
        <v>0</v>
      </c>
      <c r="I19" s="227">
        <f t="shared" si="1"/>
        <v>0</v>
      </c>
      <c r="J19" s="226">
        <f>J151+J151-J71</f>
        <v>0</v>
      </c>
      <c r="K19" s="226">
        <f>K151+K151-K71</f>
        <v>0</v>
      </c>
      <c r="L19" s="226">
        <f>L151+L151-L71</f>
        <v>0</v>
      </c>
      <c r="M19" s="227">
        <f t="shared" si="2"/>
        <v>0</v>
      </c>
      <c r="N19" s="226">
        <f>N151+N151-N71</f>
        <v>0</v>
      </c>
      <c r="O19" s="226">
        <f>O151+O151-O71</f>
        <v>0</v>
      </c>
      <c r="P19" s="226">
        <f>P151+P151-P71</f>
        <v>0</v>
      </c>
      <c r="Q19" s="227">
        <f t="shared" si="3"/>
        <v>0</v>
      </c>
      <c r="R19" s="226">
        <f>R151+R151-R71</f>
        <v>0</v>
      </c>
      <c r="S19" s="226">
        <f>S151+S151-S71</f>
        <v>0</v>
      </c>
      <c r="T19" s="226">
        <f>T151+T151-T71</f>
        <v>0</v>
      </c>
      <c r="U19" s="227">
        <f t="shared" si="4"/>
        <v>0</v>
      </c>
      <c r="V19" s="226">
        <f>V151+V151-V71</f>
        <v>0</v>
      </c>
      <c r="W19" s="226">
        <f>W151+W151-W71</f>
        <v>0</v>
      </c>
      <c r="X19" s="226">
        <f>X151+X151-X71</f>
        <v>0</v>
      </c>
      <c r="Y19" s="227">
        <f t="shared" si="5"/>
        <v>0</v>
      </c>
    </row>
    <row r="20" spans="1:25" ht="12.75" hidden="1" customHeight="1" outlineLevel="1" x14ac:dyDescent="0.2">
      <c r="A20" s="198" t="str">
        <f>"      "&amp;Labels!B375</f>
        <v xml:space="preserve">      Programs</v>
      </c>
      <c r="B20" s="226">
        <f>IF("Marketing"="Marketing",B58,0)+B151-B71</f>
        <v>0</v>
      </c>
      <c r="C20" s="226">
        <f>IF("Marketing"="Marketing",C58,0)+C151-C71</f>
        <v>0</v>
      </c>
      <c r="D20" s="226">
        <f>IF("Marketing"="Marketing",D58,0)+D151-D71</f>
        <v>0</v>
      </c>
      <c r="E20" s="227">
        <f t="shared" si="0"/>
        <v>0</v>
      </c>
      <c r="F20" s="226">
        <f>IF("Marketing"="Marketing",F58,0)+F151-F71</f>
        <v>0</v>
      </c>
      <c r="G20" s="226">
        <f>IF("Marketing"="Marketing",G58,0)+G151-G71</f>
        <v>0</v>
      </c>
      <c r="H20" s="226">
        <f>IF("Marketing"="Marketing",H58,0)+H151-H71</f>
        <v>0</v>
      </c>
      <c r="I20" s="227">
        <f t="shared" si="1"/>
        <v>0</v>
      </c>
      <c r="J20" s="226">
        <f>IF("Marketing"="Marketing",J58,0)+J151-J71</f>
        <v>0</v>
      </c>
      <c r="K20" s="226">
        <f>IF("Marketing"="Marketing",K58,0)+K151-K71</f>
        <v>0</v>
      </c>
      <c r="L20" s="226">
        <f>IF("Marketing"="Marketing",L58,0)+L151-L71</f>
        <v>0</v>
      </c>
      <c r="M20" s="227">
        <f t="shared" si="2"/>
        <v>0</v>
      </c>
      <c r="N20" s="226">
        <f>IF("Marketing"="Marketing",N58,0)+N151-N71</f>
        <v>0</v>
      </c>
      <c r="O20" s="226">
        <f>IF("Marketing"="Marketing",O58,0)+O151-O71</f>
        <v>0</v>
      </c>
      <c r="P20" s="226">
        <f>IF("Marketing"="Marketing",P58,0)+P151-P71</f>
        <v>0</v>
      </c>
      <c r="Q20" s="227">
        <f t="shared" si="3"/>
        <v>0</v>
      </c>
      <c r="R20" s="226">
        <f>IF("Marketing"="Marketing",R58,0)+R151-R71</f>
        <v>0</v>
      </c>
      <c r="S20" s="226">
        <f>IF("Marketing"="Marketing",S58,0)+S151-S71</f>
        <v>0</v>
      </c>
      <c r="T20" s="226">
        <f>IF("Marketing"="Marketing",T58,0)+T151-T71</f>
        <v>0</v>
      </c>
      <c r="U20" s="227">
        <f t="shared" si="4"/>
        <v>0</v>
      </c>
      <c r="V20" s="226">
        <f>IF("Marketing"="Marketing",V58,0)+V151-V71</f>
        <v>0</v>
      </c>
      <c r="W20" s="226">
        <f>IF("Marketing"="Marketing",W58,0)+W151-W71</f>
        <v>0</v>
      </c>
      <c r="X20" s="226">
        <f>IF("Marketing"="Marketing",X58,0)+X151-X71</f>
        <v>0</v>
      </c>
      <c r="Y20" s="227">
        <f t="shared" si="5"/>
        <v>0</v>
      </c>
    </row>
    <row r="21" spans="1:25" ht="12.75" hidden="1" customHeight="1" outlineLevel="1" x14ac:dyDescent="0.2">
      <c r="A21" s="198" t="str">
        <f>"      "&amp;Labels!B376</f>
        <v xml:space="preserve">      Dept Exp Accts</v>
      </c>
      <c r="B21" s="226">
        <f>0</f>
        <v>0</v>
      </c>
      <c r="C21" s="226">
        <f>0</f>
        <v>0</v>
      </c>
      <c r="D21" s="226">
        <f>0</f>
        <v>0</v>
      </c>
      <c r="E21" s="227">
        <f t="shared" si="0"/>
        <v>0</v>
      </c>
      <c r="F21" s="226">
        <f>0</f>
        <v>0</v>
      </c>
      <c r="G21" s="226">
        <f>0</f>
        <v>0</v>
      </c>
      <c r="H21" s="226">
        <f>0</f>
        <v>0</v>
      </c>
      <c r="I21" s="227">
        <f t="shared" si="1"/>
        <v>0</v>
      </c>
      <c r="J21" s="226">
        <f>0</f>
        <v>0</v>
      </c>
      <c r="K21" s="226">
        <f>0</f>
        <v>0</v>
      </c>
      <c r="L21" s="226">
        <f>0</f>
        <v>0</v>
      </c>
      <c r="M21" s="227">
        <f t="shared" si="2"/>
        <v>0</v>
      </c>
      <c r="N21" s="226">
        <f>0</f>
        <v>0</v>
      </c>
      <c r="O21" s="226">
        <f>0</f>
        <v>0</v>
      </c>
      <c r="P21" s="226">
        <f>0</f>
        <v>0</v>
      </c>
      <c r="Q21" s="227">
        <f t="shared" si="3"/>
        <v>0</v>
      </c>
      <c r="R21" s="226">
        <f>0</f>
        <v>0</v>
      </c>
      <c r="S21" s="226">
        <f>0</f>
        <v>0</v>
      </c>
      <c r="T21" s="226">
        <f>0</f>
        <v>0</v>
      </c>
      <c r="U21" s="227">
        <f t="shared" si="4"/>
        <v>0</v>
      </c>
      <c r="V21" s="226">
        <f>0</f>
        <v>0</v>
      </c>
      <c r="W21" s="226">
        <f>0</f>
        <v>0</v>
      </c>
      <c r="X21" s="226">
        <f>0</f>
        <v>0</v>
      </c>
      <c r="Y21" s="227">
        <f t="shared" si="5"/>
        <v>0</v>
      </c>
    </row>
    <row r="22" spans="1:25" ht="12.75" hidden="1" customHeight="1" outlineLevel="1" x14ac:dyDescent="0.2">
      <c r="A22" s="198" t="str">
        <f>"      "&amp;Labels!B377</f>
        <v xml:space="preserve">      Facilities</v>
      </c>
      <c r="B22" s="226">
        <f>B79+B151-B71</f>
        <v>0</v>
      </c>
      <c r="C22" s="226">
        <f>C79+C151-C71</f>
        <v>0</v>
      </c>
      <c r="D22" s="226">
        <f>D79+D151-D71</f>
        <v>0</v>
      </c>
      <c r="E22" s="227">
        <f t="shared" si="0"/>
        <v>0</v>
      </c>
      <c r="F22" s="226">
        <f>F79+F151-F71</f>
        <v>0</v>
      </c>
      <c r="G22" s="226">
        <f>G79+G151-G71</f>
        <v>0</v>
      </c>
      <c r="H22" s="226">
        <f>H79+H151-H71</f>
        <v>0</v>
      </c>
      <c r="I22" s="227">
        <f t="shared" si="1"/>
        <v>0</v>
      </c>
      <c r="J22" s="226">
        <f>J79+J151-J71</f>
        <v>0</v>
      </c>
      <c r="K22" s="226">
        <f>K79+K151-K71</f>
        <v>0</v>
      </c>
      <c r="L22" s="226">
        <f>L79+L151-L71</f>
        <v>0</v>
      </c>
      <c r="M22" s="227">
        <f t="shared" si="2"/>
        <v>0</v>
      </c>
      <c r="N22" s="226">
        <f>N79+N151-N71</f>
        <v>0</v>
      </c>
      <c r="O22" s="226">
        <f>O79+O151-O71</f>
        <v>0</v>
      </c>
      <c r="P22" s="226">
        <f>P79+P151-P71</f>
        <v>0</v>
      </c>
      <c r="Q22" s="227">
        <f t="shared" si="3"/>
        <v>0</v>
      </c>
      <c r="R22" s="226">
        <f>R79+R151-R71</f>
        <v>0</v>
      </c>
      <c r="S22" s="226">
        <f>S79+S151-S71</f>
        <v>0</v>
      </c>
      <c r="T22" s="226">
        <f>T79+T151-T71</f>
        <v>0</v>
      </c>
      <c r="U22" s="227">
        <f t="shared" si="4"/>
        <v>0</v>
      </c>
      <c r="V22" s="226">
        <f>V79+V151-V71</f>
        <v>0</v>
      </c>
      <c r="W22" s="226">
        <f>W79+W151-W71</f>
        <v>0</v>
      </c>
      <c r="X22" s="226">
        <f>X79+X151-X71</f>
        <v>0</v>
      </c>
      <c r="Y22" s="227">
        <f t="shared" si="5"/>
        <v>0</v>
      </c>
    </row>
    <row r="23" spans="1:25" ht="12.75" hidden="1" customHeight="1" outlineLevel="1" x14ac:dyDescent="0.2">
      <c r="A23" s="198" t="str">
        <f>"      "&amp;Labels!B378</f>
        <v xml:space="preserve">      General &amp; Admin</v>
      </c>
      <c r="B23" s="226">
        <f>B166+0+B151-B71</f>
        <v>0</v>
      </c>
      <c r="C23" s="226">
        <f>C166+0+C151-C71</f>
        <v>0</v>
      </c>
      <c r="D23" s="226">
        <f>D166+0+D151-D71</f>
        <v>0</v>
      </c>
      <c r="E23" s="227">
        <f t="shared" si="0"/>
        <v>0</v>
      </c>
      <c r="F23" s="226">
        <f>F166+0+F151-F71</f>
        <v>0</v>
      </c>
      <c r="G23" s="226">
        <f>G166+0+G151-G71</f>
        <v>0</v>
      </c>
      <c r="H23" s="226">
        <f>H166+0+H151-H71</f>
        <v>0</v>
      </c>
      <c r="I23" s="227">
        <f t="shared" si="1"/>
        <v>0</v>
      </c>
      <c r="J23" s="226">
        <f>J166+0+J151-J71</f>
        <v>0</v>
      </c>
      <c r="K23" s="226">
        <f>K166+0+K151-K71</f>
        <v>0</v>
      </c>
      <c r="L23" s="226">
        <f>L166+0+L151-L71</f>
        <v>0</v>
      </c>
      <c r="M23" s="227">
        <f t="shared" si="2"/>
        <v>0</v>
      </c>
      <c r="N23" s="226">
        <f>N166+0+N151-N71</f>
        <v>0</v>
      </c>
      <c r="O23" s="226">
        <f>O166+0+O151-O71</f>
        <v>0</v>
      </c>
      <c r="P23" s="226">
        <f>P166+0+P151-P71</f>
        <v>0</v>
      </c>
      <c r="Q23" s="227">
        <f t="shared" si="3"/>
        <v>0</v>
      </c>
      <c r="R23" s="226">
        <f>R166+0+R151-R71</f>
        <v>0</v>
      </c>
      <c r="S23" s="226">
        <f>S166+0+S151-S71</f>
        <v>0</v>
      </c>
      <c r="T23" s="226">
        <f>T166+0+T151-T71</f>
        <v>0</v>
      </c>
      <c r="U23" s="227">
        <f t="shared" si="4"/>
        <v>0</v>
      </c>
      <c r="V23" s="226">
        <f>V166+0+V151-V71</f>
        <v>0</v>
      </c>
      <c r="W23" s="226">
        <f>W166+0+W151-W71</f>
        <v>0</v>
      </c>
      <c r="X23" s="226">
        <f>X166+0+X151-X71</f>
        <v>0</v>
      </c>
      <c r="Y23" s="227">
        <f t="shared" si="5"/>
        <v>0</v>
      </c>
    </row>
    <row r="24" spans="1:25" ht="12.75" hidden="1" customHeight="1" outlineLevel="1" x14ac:dyDescent="0.2">
      <c r="A24" s="188" t="str">
        <f>"      "&amp;Labels!C372</f>
        <v xml:space="preserve">      Total</v>
      </c>
      <c r="B24" s="196">
        <f>SUM(B18:B23)</f>
        <v>0</v>
      </c>
      <c r="C24" s="196">
        <f>SUM(C18:C23)</f>
        <v>0</v>
      </c>
      <c r="D24" s="196">
        <f>SUM(D18:D23)</f>
        <v>0</v>
      </c>
      <c r="E24" s="197">
        <f t="shared" si="0"/>
        <v>0</v>
      </c>
      <c r="F24" s="196">
        <f>SUM(F18:F23)</f>
        <v>0</v>
      </c>
      <c r="G24" s="196">
        <f>SUM(G18:G23)</f>
        <v>0</v>
      </c>
      <c r="H24" s="196">
        <f>SUM(H18:H23)</f>
        <v>0</v>
      </c>
      <c r="I24" s="197">
        <f t="shared" si="1"/>
        <v>0</v>
      </c>
      <c r="J24" s="196">
        <f>SUM(J18:J23)</f>
        <v>0</v>
      </c>
      <c r="K24" s="196">
        <f>SUM(K18:K23)</f>
        <v>0</v>
      </c>
      <c r="L24" s="196">
        <f>SUM(L18:L23)</f>
        <v>0</v>
      </c>
      <c r="M24" s="197">
        <f t="shared" si="2"/>
        <v>0</v>
      </c>
      <c r="N24" s="196">
        <f>SUM(N18:N23)</f>
        <v>0</v>
      </c>
      <c r="O24" s="196">
        <f>SUM(O18:O23)</f>
        <v>0</v>
      </c>
      <c r="P24" s="196">
        <f>SUM(P18:P23)</f>
        <v>0</v>
      </c>
      <c r="Q24" s="197">
        <f t="shared" si="3"/>
        <v>0</v>
      </c>
      <c r="R24" s="196">
        <f>SUM(R18:R23)</f>
        <v>0</v>
      </c>
      <c r="S24" s="196">
        <f>SUM(S18:S23)</f>
        <v>0</v>
      </c>
      <c r="T24" s="196">
        <f>SUM(T18:T23)</f>
        <v>0</v>
      </c>
      <c r="U24" s="197">
        <f t="shared" si="4"/>
        <v>0</v>
      </c>
      <c r="V24" s="196">
        <f>SUM(V18:V23)</f>
        <v>0</v>
      </c>
      <c r="W24" s="196">
        <f>SUM(W18:W23)</f>
        <v>0</v>
      </c>
      <c r="X24" s="196">
        <f>SUM(X18:X23)</f>
        <v>0</v>
      </c>
      <c r="Y24" s="197">
        <f t="shared" si="5"/>
        <v>0</v>
      </c>
    </row>
    <row r="25" spans="1:25" ht="12.75" hidden="1" customHeight="1" outlineLevel="1" x14ac:dyDescent="0.2">
      <c r="A25" s="188" t="str">
        <f>"   "&amp;Labels!B322</f>
        <v xml:space="preserve">   Sales</v>
      </c>
      <c r="B25" s="196"/>
      <c r="C25" s="196"/>
      <c r="D25" s="196"/>
      <c r="E25" s="197"/>
      <c r="F25" s="196"/>
      <c r="G25" s="196"/>
      <c r="H25" s="196"/>
      <c r="I25" s="197"/>
      <c r="J25" s="196"/>
      <c r="K25" s="196"/>
      <c r="L25" s="196"/>
      <c r="M25" s="197"/>
      <c r="N25" s="196"/>
      <c r="O25" s="196"/>
      <c r="P25" s="196"/>
      <c r="Q25" s="197"/>
      <c r="R25" s="196"/>
      <c r="S25" s="196"/>
      <c r="T25" s="196"/>
      <c r="U25" s="197"/>
      <c r="V25" s="196"/>
      <c r="W25" s="196"/>
      <c r="X25" s="196"/>
      <c r="Y25" s="197"/>
    </row>
    <row r="26" spans="1:25" ht="12.75" hidden="1" customHeight="1" outlineLevel="1" x14ac:dyDescent="0.2">
      <c r="A26" s="198" t="str">
        <f>"      "&amp;Labels!B373</f>
        <v xml:space="preserve">      Indirect Labor</v>
      </c>
      <c r="B26" s="226">
        <f>'Sup Staff'!B14-B71</f>
        <v>0</v>
      </c>
      <c r="C26" s="226">
        <f>'Sup Staff'!C14-C71</f>
        <v>0</v>
      </c>
      <c r="D26" s="226">
        <f>'Sup Staff'!D14-D71</f>
        <v>0</v>
      </c>
      <c r="E26" s="227">
        <f t="shared" ref="E26:E39" si="6">SUM(B26:D26)</f>
        <v>0</v>
      </c>
      <c r="F26" s="226">
        <f>'Sup Staff'!F14-F71</f>
        <v>0</v>
      </c>
      <c r="G26" s="226">
        <f>'Sup Staff'!G14-G71</f>
        <v>0</v>
      </c>
      <c r="H26" s="226">
        <f>'Sup Staff'!H14-H71</f>
        <v>0</v>
      </c>
      <c r="I26" s="227">
        <f t="shared" ref="I26:I39" si="7">SUM(F26:H26)</f>
        <v>0</v>
      </c>
      <c r="J26" s="226">
        <f>'Sup Staff'!J14-J71</f>
        <v>0</v>
      </c>
      <c r="K26" s="226">
        <f>'Sup Staff'!K14-K71</f>
        <v>0</v>
      </c>
      <c r="L26" s="226">
        <f>'Sup Staff'!L14-L71</f>
        <v>0</v>
      </c>
      <c r="M26" s="227">
        <f t="shared" ref="M26:M39" si="8">SUM(J26:L26)</f>
        <v>0</v>
      </c>
      <c r="N26" s="226">
        <f>'Sup Staff'!N14-N71</f>
        <v>0</v>
      </c>
      <c r="O26" s="226">
        <f>'Sup Staff'!O14-O71</f>
        <v>0</v>
      </c>
      <c r="P26" s="226">
        <f>'Sup Staff'!P14-P71</f>
        <v>0</v>
      </c>
      <c r="Q26" s="227">
        <f t="shared" ref="Q26:Q39" si="9">SUM(N26:P26)</f>
        <v>0</v>
      </c>
      <c r="R26" s="226">
        <f>'Sup Staff'!R14-R71</f>
        <v>0</v>
      </c>
      <c r="S26" s="226">
        <f>'Sup Staff'!S14-S71</f>
        <v>0</v>
      </c>
      <c r="T26" s="226">
        <f>'Sup Staff'!T14-T71</f>
        <v>0</v>
      </c>
      <c r="U26" s="227">
        <f t="shared" ref="U26:U39" si="10">SUM(R26:T26)</f>
        <v>0</v>
      </c>
      <c r="V26" s="226">
        <f>'Sup Staff'!V14-V71</f>
        <v>0</v>
      </c>
      <c r="W26" s="226">
        <f>'Sup Staff'!W14-W71</f>
        <v>0</v>
      </c>
      <c r="X26" s="226">
        <f>'Sup Staff'!X14-X71</f>
        <v>0</v>
      </c>
      <c r="Y26" s="227">
        <f t="shared" ref="Y26:Y39" si="11">SUM(V26:X26)</f>
        <v>0</v>
      </c>
    </row>
    <row r="27" spans="1:25" ht="12.75" hidden="1" customHeight="1" outlineLevel="1" x14ac:dyDescent="0.2">
      <c r="A27" s="198" t="str">
        <f>"      "&amp;Labels!B374</f>
        <v xml:space="preserve">      Employee-Related</v>
      </c>
      <c r="B27" s="226">
        <f>B156+B156-B71</f>
        <v>0</v>
      </c>
      <c r="C27" s="226">
        <f>C156+C156-C71</f>
        <v>0</v>
      </c>
      <c r="D27" s="226">
        <f>D156+D156-D71</f>
        <v>0</v>
      </c>
      <c r="E27" s="227">
        <f t="shared" si="6"/>
        <v>0</v>
      </c>
      <c r="F27" s="226">
        <f>F156+F156-F71</f>
        <v>0</v>
      </c>
      <c r="G27" s="226">
        <f>G156+G156-G71</f>
        <v>0</v>
      </c>
      <c r="H27" s="226">
        <f>H156+H156-H71</f>
        <v>0</v>
      </c>
      <c r="I27" s="227">
        <f t="shared" si="7"/>
        <v>0</v>
      </c>
      <c r="J27" s="226">
        <f>J156+J156-J71</f>
        <v>0</v>
      </c>
      <c r="K27" s="226">
        <f>K156+K156-K71</f>
        <v>0</v>
      </c>
      <c r="L27" s="226">
        <f>L156+L156-L71</f>
        <v>0</v>
      </c>
      <c r="M27" s="227">
        <f t="shared" si="8"/>
        <v>0</v>
      </c>
      <c r="N27" s="226">
        <f>N156+N156-N71</f>
        <v>0</v>
      </c>
      <c r="O27" s="226">
        <f>O156+O156-O71</f>
        <v>0</v>
      </c>
      <c r="P27" s="226">
        <f>P156+P156-P71</f>
        <v>0</v>
      </c>
      <c r="Q27" s="227">
        <f t="shared" si="9"/>
        <v>0</v>
      </c>
      <c r="R27" s="226">
        <f>R156+R156-R71</f>
        <v>0</v>
      </c>
      <c r="S27" s="226">
        <f>S156+S156-S71</f>
        <v>0</v>
      </c>
      <c r="T27" s="226">
        <f>T156+T156-T71</f>
        <v>0</v>
      </c>
      <c r="U27" s="227">
        <f t="shared" si="10"/>
        <v>0</v>
      </c>
      <c r="V27" s="226">
        <f>V156+V156-V71</f>
        <v>0</v>
      </c>
      <c r="W27" s="226">
        <f>W156+W156-W71</f>
        <v>0</v>
      </c>
      <c r="X27" s="226">
        <f>X156+X156-X71</f>
        <v>0</v>
      </c>
      <c r="Y27" s="227">
        <f t="shared" si="11"/>
        <v>0</v>
      </c>
    </row>
    <row r="28" spans="1:25" ht="12.75" hidden="1" customHeight="1" outlineLevel="1" x14ac:dyDescent="0.2">
      <c r="A28" s="198" t="str">
        <f>"      "&amp;Labels!B375</f>
        <v xml:space="preserve">      Programs</v>
      </c>
      <c r="B28" s="226">
        <f>IF("Sales"="Marketing",B58,0)+B156-B71</f>
        <v>0</v>
      </c>
      <c r="C28" s="226">
        <f>IF("Sales"="Marketing",C58,0)+C156-C71</f>
        <v>0</v>
      </c>
      <c r="D28" s="226">
        <f>IF("Sales"="Marketing",D58,0)+D156-D71</f>
        <v>0</v>
      </c>
      <c r="E28" s="227">
        <f t="shared" si="6"/>
        <v>0</v>
      </c>
      <c r="F28" s="226">
        <f>IF("Sales"="Marketing",F58,0)+F156-F71</f>
        <v>0</v>
      </c>
      <c r="G28" s="226">
        <f>IF("Sales"="Marketing",G58,0)+G156-G71</f>
        <v>0</v>
      </c>
      <c r="H28" s="226">
        <f>IF("Sales"="Marketing",H58,0)+H156-H71</f>
        <v>0</v>
      </c>
      <c r="I28" s="227">
        <f t="shared" si="7"/>
        <v>0</v>
      </c>
      <c r="J28" s="226">
        <f>IF("Sales"="Marketing",J58,0)+J156-J71</f>
        <v>0</v>
      </c>
      <c r="K28" s="226">
        <f>IF("Sales"="Marketing",K58,0)+K156-K71</f>
        <v>0</v>
      </c>
      <c r="L28" s="226">
        <f>IF("Sales"="Marketing",L58,0)+L156-L71</f>
        <v>0</v>
      </c>
      <c r="M28" s="227">
        <f t="shared" si="8"/>
        <v>0</v>
      </c>
      <c r="N28" s="226">
        <f>IF("Sales"="Marketing",N58,0)+N156-N71</f>
        <v>0</v>
      </c>
      <c r="O28" s="226">
        <f>IF("Sales"="Marketing",O58,0)+O156-O71</f>
        <v>0</v>
      </c>
      <c r="P28" s="226">
        <f>IF("Sales"="Marketing",P58,0)+P156-P71</f>
        <v>0</v>
      </c>
      <c r="Q28" s="227">
        <f t="shared" si="9"/>
        <v>0</v>
      </c>
      <c r="R28" s="226">
        <f>IF("Sales"="Marketing",R58,0)+R156-R71</f>
        <v>0</v>
      </c>
      <c r="S28" s="226">
        <f>IF("Sales"="Marketing",S58,0)+S156-S71</f>
        <v>0</v>
      </c>
      <c r="T28" s="226">
        <f>IF("Sales"="Marketing",T58,0)+T156-T71</f>
        <v>0</v>
      </c>
      <c r="U28" s="227">
        <f t="shared" si="10"/>
        <v>0</v>
      </c>
      <c r="V28" s="226">
        <f>IF("Sales"="Marketing",V58,0)+V156-V71</f>
        <v>0</v>
      </c>
      <c r="W28" s="226">
        <f>IF("Sales"="Marketing",W58,0)+W156-W71</f>
        <v>0</v>
      </c>
      <c r="X28" s="226">
        <f>IF("Sales"="Marketing",X58,0)+X156-X71</f>
        <v>0</v>
      </c>
      <c r="Y28" s="227">
        <f t="shared" si="11"/>
        <v>0</v>
      </c>
    </row>
    <row r="29" spans="1:25" ht="12.75" hidden="1" customHeight="1" outlineLevel="1" x14ac:dyDescent="0.2">
      <c r="A29" s="198" t="str">
        <f>"      "&amp;Labels!B376</f>
        <v xml:space="preserve">      Dept Exp Accts</v>
      </c>
      <c r="B29" s="226">
        <f>0</f>
        <v>0</v>
      </c>
      <c r="C29" s="226">
        <f>0</f>
        <v>0</v>
      </c>
      <c r="D29" s="226">
        <f>0</f>
        <v>0</v>
      </c>
      <c r="E29" s="227">
        <f t="shared" si="6"/>
        <v>0</v>
      </c>
      <c r="F29" s="226">
        <f>0</f>
        <v>0</v>
      </c>
      <c r="G29" s="226">
        <f>0</f>
        <v>0</v>
      </c>
      <c r="H29" s="226">
        <f>0</f>
        <v>0</v>
      </c>
      <c r="I29" s="227">
        <f t="shared" si="7"/>
        <v>0</v>
      </c>
      <c r="J29" s="226">
        <f>0</f>
        <v>0</v>
      </c>
      <c r="K29" s="226">
        <f>0</f>
        <v>0</v>
      </c>
      <c r="L29" s="226">
        <f>0</f>
        <v>0</v>
      </c>
      <c r="M29" s="227">
        <f t="shared" si="8"/>
        <v>0</v>
      </c>
      <c r="N29" s="226">
        <f>0</f>
        <v>0</v>
      </c>
      <c r="O29" s="226">
        <f>0</f>
        <v>0</v>
      </c>
      <c r="P29" s="226">
        <f>0</f>
        <v>0</v>
      </c>
      <c r="Q29" s="227">
        <f t="shared" si="9"/>
        <v>0</v>
      </c>
      <c r="R29" s="226">
        <f>0</f>
        <v>0</v>
      </c>
      <c r="S29" s="226">
        <f>0</f>
        <v>0</v>
      </c>
      <c r="T29" s="226">
        <f>0</f>
        <v>0</v>
      </c>
      <c r="U29" s="227">
        <f t="shared" si="10"/>
        <v>0</v>
      </c>
      <c r="V29" s="226">
        <f>0</f>
        <v>0</v>
      </c>
      <c r="W29" s="226">
        <f>0</f>
        <v>0</v>
      </c>
      <c r="X29" s="226">
        <f>0</f>
        <v>0</v>
      </c>
      <c r="Y29" s="227">
        <f t="shared" si="11"/>
        <v>0</v>
      </c>
    </row>
    <row r="30" spans="1:25" ht="12.75" hidden="1" customHeight="1" outlineLevel="1" x14ac:dyDescent="0.2">
      <c r="A30" s="198" t="str">
        <f>"      "&amp;Labels!B377</f>
        <v xml:space="preserve">      Facilities</v>
      </c>
      <c r="B30" s="226">
        <f>B80+B156-B71</f>
        <v>0</v>
      </c>
      <c r="C30" s="226">
        <f>C80+C156-C71</f>
        <v>0</v>
      </c>
      <c r="D30" s="226">
        <f>D80+D156-D71</f>
        <v>0</v>
      </c>
      <c r="E30" s="227">
        <f t="shared" si="6"/>
        <v>0</v>
      </c>
      <c r="F30" s="226">
        <f>F80+F156-F71</f>
        <v>0</v>
      </c>
      <c r="G30" s="226">
        <f>G80+G156-G71</f>
        <v>0</v>
      </c>
      <c r="H30" s="226">
        <f>H80+H156-H71</f>
        <v>0</v>
      </c>
      <c r="I30" s="227">
        <f t="shared" si="7"/>
        <v>0</v>
      </c>
      <c r="J30" s="226">
        <f>J80+J156-J71</f>
        <v>0</v>
      </c>
      <c r="K30" s="226">
        <f>K80+K156-K71</f>
        <v>0</v>
      </c>
      <c r="L30" s="226">
        <f>L80+L156-L71</f>
        <v>0</v>
      </c>
      <c r="M30" s="227">
        <f t="shared" si="8"/>
        <v>0</v>
      </c>
      <c r="N30" s="226">
        <f>N80+N156-N71</f>
        <v>0</v>
      </c>
      <c r="O30" s="226">
        <f>O80+O156-O71</f>
        <v>0</v>
      </c>
      <c r="P30" s="226">
        <f>P80+P156-P71</f>
        <v>0</v>
      </c>
      <c r="Q30" s="227">
        <f t="shared" si="9"/>
        <v>0</v>
      </c>
      <c r="R30" s="226">
        <f>R80+R156-R71</f>
        <v>0</v>
      </c>
      <c r="S30" s="226">
        <f>S80+S156-S71</f>
        <v>0</v>
      </c>
      <c r="T30" s="226">
        <f>T80+T156-T71</f>
        <v>0</v>
      </c>
      <c r="U30" s="227">
        <f t="shared" si="10"/>
        <v>0</v>
      </c>
      <c r="V30" s="226">
        <f>V80+V156-V71</f>
        <v>0</v>
      </c>
      <c r="W30" s="226">
        <f>W80+W156-W71</f>
        <v>0</v>
      </c>
      <c r="X30" s="226">
        <f>X80+X156-X71</f>
        <v>0</v>
      </c>
      <c r="Y30" s="227">
        <f t="shared" si="11"/>
        <v>0</v>
      </c>
    </row>
    <row r="31" spans="1:25" ht="12.75" hidden="1" customHeight="1" outlineLevel="1" x14ac:dyDescent="0.2">
      <c r="A31" s="198" t="str">
        <f>"      "&amp;Labels!B378</f>
        <v xml:space="preserve">      General &amp; Admin</v>
      </c>
      <c r="B31" s="226">
        <f>B169+0+B156-B71</f>
        <v>0</v>
      </c>
      <c r="C31" s="226">
        <f>C169+0+C156-C71</f>
        <v>0</v>
      </c>
      <c r="D31" s="226">
        <f>D169+0+D156-D71</f>
        <v>0</v>
      </c>
      <c r="E31" s="227">
        <f t="shared" si="6"/>
        <v>0</v>
      </c>
      <c r="F31" s="226">
        <f>F169+0+F156-F71</f>
        <v>0</v>
      </c>
      <c r="G31" s="226">
        <f>G169+0+G156-G71</f>
        <v>0</v>
      </c>
      <c r="H31" s="226">
        <f>H169+0+H156-H71</f>
        <v>0</v>
      </c>
      <c r="I31" s="227">
        <f t="shared" si="7"/>
        <v>0</v>
      </c>
      <c r="J31" s="226">
        <f>J169+0+J156-J71</f>
        <v>0</v>
      </c>
      <c r="K31" s="226">
        <f>K169+0+K156-K71</f>
        <v>0</v>
      </c>
      <c r="L31" s="226">
        <f>L169+0+L156-L71</f>
        <v>0</v>
      </c>
      <c r="M31" s="227">
        <f t="shared" si="8"/>
        <v>0</v>
      </c>
      <c r="N31" s="226">
        <f>N169+0+N156-N71</f>
        <v>0</v>
      </c>
      <c r="O31" s="226">
        <f>O169+0+O156-O71</f>
        <v>0</v>
      </c>
      <c r="P31" s="226">
        <f>P169+0+P156-P71</f>
        <v>0</v>
      </c>
      <c r="Q31" s="227">
        <f t="shared" si="9"/>
        <v>0</v>
      </c>
      <c r="R31" s="226">
        <f>R169+0+R156-R71</f>
        <v>0</v>
      </c>
      <c r="S31" s="226">
        <f>S169+0+S156-S71</f>
        <v>0</v>
      </c>
      <c r="T31" s="226">
        <f>T169+0+T156-T71</f>
        <v>0</v>
      </c>
      <c r="U31" s="227">
        <f t="shared" si="10"/>
        <v>0</v>
      </c>
      <c r="V31" s="226">
        <f>V169+0+V156-V71</f>
        <v>0</v>
      </c>
      <c r="W31" s="226">
        <f>W169+0+W156-W71</f>
        <v>0</v>
      </c>
      <c r="X31" s="226">
        <f>X169+0+X156-X71</f>
        <v>0</v>
      </c>
      <c r="Y31" s="227">
        <f t="shared" si="11"/>
        <v>0</v>
      </c>
    </row>
    <row r="32" spans="1:25" ht="12.75" hidden="1" customHeight="1" outlineLevel="1" x14ac:dyDescent="0.2">
      <c r="A32" s="188" t="str">
        <f>"      "&amp;Labels!C372</f>
        <v xml:space="preserve">      Total</v>
      </c>
      <c r="B32" s="196">
        <f>SUM(B26:B31)</f>
        <v>0</v>
      </c>
      <c r="C32" s="196">
        <f>SUM(C26:C31)</f>
        <v>0</v>
      </c>
      <c r="D32" s="196">
        <f>SUM(D26:D31)</f>
        <v>0</v>
      </c>
      <c r="E32" s="197">
        <f t="shared" si="6"/>
        <v>0</v>
      </c>
      <c r="F32" s="196">
        <f>SUM(F26:F31)</f>
        <v>0</v>
      </c>
      <c r="G32" s="196">
        <f>SUM(G26:G31)</f>
        <v>0</v>
      </c>
      <c r="H32" s="196">
        <f>SUM(H26:H31)</f>
        <v>0</v>
      </c>
      <c r="I32" s="197">
        <f t="shared" si="7"/>
        <v>0</v>
      </c>
      <c r="J32" s="196">
        <f>SUM(J26:J31)</f>
        <v>0</v>
      </c>
      <c r="K32" s="196">
        <f>SUM(K26:K31)</f>
        <v>0</v>
      </c>
      <c r="L32" s="196">
        <f>SUM(L26:L31)</f>
        <v>0</v>
      </c>
      <c r="M32" s="197">
        <f t="shared" si="8"/>
        <v>0</v>
      </c>
      <c r="N32" s="196">
        <f>SUM(N26:N31)</f>
        <v>0</v>
      </c>
      <c r="O32" s="196">
        <f>SUM(O26:O31)</f>
        <v>0</v>
      </c>
      <c r="P32" s="196">
        <f>SUM(P26:P31)</f>
        <v>0</v>
      </c>
      <c r="Q32" s="197">
        <f t="shared" si="9"/>
        <v>0</v>
      </c>
      <c r="R32" s="196">
        <f>SUM(R26:R31)</f>
        <v>0</v>
      </c>
      <c r="S32" s="196">
        <f>SUM(S26:S31)</f>
        <v>0</v>
      </c>
      <c r="T32" s="196">
        <f>SUM(T26:T31)</f>
        <v>0</v>
      </c>
      <c r="U32" s="197">
        <f t="shared" si="10"/>
        <v>0</v>
      </c>
      <c r="V32" s="196">
        <f>SUM(V26:V31)</f>
        <v>0</v>
      </c>
      <c r="W32" s="196">
        <f>SUM(W26:W31)</f>
        <v>0</v>
      </c>
      <c r="X32" s="196">
        <f>SUM(X26:X31)</f>
        <v>0</v>
      </c>
      <c r="Y32" s="197">
        <f t="shared" si="11"/>
        <v>0</v>
      </c>
    </row>
    <row r="33" spans="1:25" ht="12.75" hidden="1" customHeight="1" outlineLevel="1" x14ac:dyDescent="0.2">
      <c r="A33" s="191" t="str">
        <f>"   "&amp;Labels!C320</f>
        <v xml:space="preserve">   Total</v>
      </c>
      <c r="B33" s="192">
        <f>SUM(B24,B32)</f>
        <v>0</v>
      </c>
      <c r="C33" s="192">
        <f>SUM(C24,C32)</f>
        <v>0</v>
      </c>
      <c r="D33" s="192">
        <f>SUM(D24,D32)</f>
        <v>0</v>
      </c>
      <c r="E33" s="190">
        <f t="shared" si="6"/>
        <v>0</v>
      </c>
      <c r="F33" s="192">
        <f>SUM(F24,F32)</f>
        <v>0</v>
      </c>
      <c r="G33" s="192">
        <f>SUM(G24,G32)</f>
        <v>0</v>
      </c>
      <c r="H33" s="192">
        <f>SUM(H24,H32)</f>
        <v>0</v>
      </c>
      <c r="I33" s="190">
        <f t="shared" si="7"/>
        <v>0</v>
      </c>
      <c r="J33" s="192">
        <f>SUM(J24,J32)</f>
        <v>0</v>
      </c>
      <c r="K33" s="192">
        <f>SUM(K24,K32)</f>
        <v>0</v>
      </c>
      <c r="L33" s="192">
        <f>SUM(L24,L32)</f>
        <v>0</v>
      </c>
      <c r="M33" s="190">
        <f t="shared" si="8"/>
        <v>0</v>
      </c>
      <c r="N33" s="192">
        <f>SUM(N24,N32)</f>
        <v>0</v>
      </c>
      <c r="O33" s="192">
        <f>SUM(O24,O32)</f>
        <v>0</v>
      </c>
      <c r="P33" s="192">
        <f>SUM(P24,P32)</f>
        <v>0</v>
      </c>
      <c r="Q33" s="190">
        <f t="shared" si="9"/>
        <v>0</v>
      </c>
      <c r="R33" s="192">
        <f>SUM(R24,R32)</f>
        <v>0</v>
      </c>
      <c r="S33" s="192">
        <f>SUM(S24,S32)</f>
        <v>0</v>
      </c>
      <c r="T33" s="192">
        <f>SUM(T24,T32)</f>
        <v>0</v>
      </c>
      <c r="U33" s="190">
        <f t="shared" si="10"/>
        <v>0</v>
      </c>
      <c r="V33" s="192">
        <f>SUM(V24,V32)</f>
        <v>0</v>
      </c>
      <c r="W33" s="192">
        <f>SUM(W24,W32)</f>
        <v>0</v>
      </c>
      <c r="X33" s="192">
        <f>SUM(X24,X32)</f>
        <v>0</v>
      </c>
      <c r="Y33" s="190">
        <f t="shared" si="11"/>
        <v>0</v>
      </c>
    </row>
    <row r="34" spans="1:25" ht="12.75" hidden="1" customHeight="1" outlineLevel="1" x14ac:dyDescent="0.2">
      <c r="A34" s="198" t="str">
        <f>"      "&amp;Labels!B373</f>
        <v xml:space="preserve">      Indirect Labor</v>
      </c>
      <c r="B34" s="226">
        <f t="shared" ref="B34:D40" si="12">SUM(B18,B26)</f>
        <v>0</v>
      </c>
      <c r="C34" s="226">
        <f t="shared" si="12"/>
        <v>0</v>
      </c>
      <c r="D34" s="226">
        <f t="shared" si="12"/>
        <v>0</v>
      </c>
      <c r="E34" s="227">
        <f t="shared" si="6"/>
        <v>0</v>
      </c>
      <c r="F34" s="226">
        <f t="shared" ref="F34:H40" si="13">SUM(F18,F26)</f>
        <v>0</v>
      </c>
      <c r="G34" s="226">
        <f t="shared" si="13"/>
        <v>0</v>
      </c>
      <c r="H34" s="226">
        <f t="shared" si="13"/>
        <v>0</v>
      </c>
      <c r="I34" s="227">
        <f t="shared" si="7"/>
        <v>0</v>
      </c>
      <c r="J34" s="226">
        <f t="shared" ref="J34:L40" si="14">SUM(J18,J26)</f>
        <v>0</v>
      </c>
      <c r="K34" s="226">
        <f t="shared" si="14"/>
        <v>0</v>
      </c>
      <c r="L34" s="226">
        <f t="shared" si="14"/>
        <v>0</v>
      </c>
      <c r="M34" s="227">
        <f t="shared" si="8"/>
        <v>0</v>
      </c>
      <c r="N34" s="226">
        <f t="shared" ref="N34:P40" si="15">SUM(N18,N26)</f>
        <v>0</v>
      </c>
      <c r="O34" s="226">
        <f t="shared" si="15"/>
        <v>0</v>
      </c>
      <c r="P34" s="226">
        <f t="shared" si="15"/>
        <v>0</v>
      </c>
      <c r="Q34" s="227">
        <f t="shared" si="9"/>
        <v>0</v>
      </c>
      <c r="R34" s="226">
        <f t="shared" ref="R34:T40" si="16">SUM(R18,R26)</f>
        <v>0</v>
      </c>
      <c r="S34" s="226">
        <f t="shared" si="16"/>
        <v>0</v>
      </c>
      <c r="T34" s="226">
        <f t="shared" si="16"/>
        <v>0</v>
      </c>
      <c r="U34" s="227">
        <f t="shared" si="10"/>
        <v>0</v>
      </c>
      <c r="V34" s="226">
        <f t="shared" ref="V34:X40" si="17">SUM(V18,V26)</f>
        <v>0</v>
      </c>
      <c r="W34" s="226">
        <f t="shared" si="17"/>
        <v>0</v>
      </c>
      <c r="X34" s="226">
        <f t="shared" si="17"/>
        <v>0</v>
      </c>
      <c r="Y34" s="227">
        <f t="shared" si="11"/>
        <v>0</v>
      </c>
    </row>
    <row r="35" spans="1:25" ht="12.75" hidden="1" customHeight="1" outlineLevel="1" x14ac:dyDescent="0.2">
      <c r="A35" s="198" t="str">
        <f>"      "&amp;Labels!B374</f>
        <v xml:space="preserve">      Employee-Related</v>
      </c>
      <c r="B35" s="226">
        <f t="shared" si="12"/>
        <v>0</v>
      </c>
      <c r="C35" s="226">
        <f t="shared" si="12"/>
        <v>0</v>
      </c>
      <c r="D35" s="226">
        <f t="shared" si="12"/>
        <v>0</v>
      </c>
      <c r="E35" s="227">
        <f t="shared" si="6"/>
        <v>0</v>
      </c>
      <c r="F35" s="226">
        <f t="shared" si="13"/>
        <v>0</v>
      </c>
      <c r="G35" s="226">
        <f t="shared" si="13"/>
        <v>0</v>
      </c>
      <c r="H35" s="226">
        <f t="shared" si="13"/>
        <v>0</v>
      </c>
      <c r="I35" s="227">
        <f t="shared" si="7"/>
        <v>0</v>
      </c>
      <c r="J35" s="226">
        <f t="shared" si="14"/>
        <v>0</v>
      </c>
      <c r="K35" s="226">
        <f t="shared" si="14"/>
        <v>0</v>
      </c>
      <c r="L35" s="226">
        <f t="shared" si="14"/>
        <v>0</v>
      </c>
      <c r="M35" s="227">
        <f t="shared" si="8"/>
        <v>0</v>
      </c>
      <c r="N35" s="226">
        <f t="shared" si="15"/>
        <v>0</v>
      </c>
      <c r="O35" s="226">
        <f t="shared" si="15"/>
        <v>0</v>
      </c>
      <c r="P35" s="226">
        <f t="shared" si="15"/>
        <v>0</v>
      </c>
      <c r="Q35" s="227">
        <f t="shared" si="9"/>
        <v>0</v>
      </c>
      <c r="R35" s="226">
        <f t="shared" si="16"/>
        <v>0</v>
      </c>
      <c r="S35" s="226">
        <f t="shared" si="16"/>
        <v>0</v>
      </c>
      <c r="T35" s="226">
        <f t="shared" si="16"/>
        <v>0</v>
      </c>
      <c r="U35" s="227">
        <f t="shared" si="10"/>
        <v>0</v>
      </c>
      <c r="V35" s="226">
        <f t="shared" si="17"/>
        <v>0</v>
      </c>
      <c r="W35" s="226">
        <f t="shared" si="17"/>
        <v>0</v>
      </c>
      <c r="X35" s="226">
        <f t="shared" si="17"/>
        <v>0</v>
      </c>
      <c r="Y35" s="227">
        <f t="shared" si="11"/>
        <v>0</v>
      </c>
    </row>
    <row r="36" spans="1:25" ht="12.75" hidden="1" customHeight="1" outlineLevel="1" x14ac:dyDescent="0.2">
      <c r="A36" s="198" t="str">
        <f>"      "&amp;Labels!B375</f>
        <v xml:space="preserve">      Programs</v>
      </c>
      <c r="B36" s="226">
        <f t="shared" si="12"/>
        <v>0</v>
      </c>
      <c r="C36" s="226">
        <f t="shared" si="12"/>
        <v>0</v>
      </c>
      <c r="D36" s="226">
        <f t="shared" si="12"/>
        <v>0</v>
      </c>
      <c r="E36" s="227">
        <f t="shared" si="6"/>
        <v>0</v>
      </c>
      <c r="F36" s="226">
        <f t="shared" si="13"/>
        <v>0</v>
      </c>
      <c r="G36" s="226">
        <f t="shared" si="13"/>
        <v>0</v>
      </c>
      <c r="H36" s="226">
        <f t="shared" si="13"/>
        <v>0</v>
      </c>
      <c r="I36" s="227">
        <f t="shared" si="7"/>
        <v>0</v>
      </c>
      <c r="J36" s="226">
        <f t="shared" si="14"/>
        <v>0</v>
      </c>
      <c r="K36" s="226">
        <f t="shared" si="14"/>
        <v>0</v>
      </c>
      <c r="L36" s="226">
        <f t="shared" si="14"/>
        <v>0</v>
      </c>
      <c r="M36" s="227">
        <f t="shared" si="8"/>
        <v>0</v>
      </c>
      <c r="N36" s="226">
        <f t="shared" si="15"/>
        <v>0</v>
      </c>
      <c r="O36" s="226">
        <f t="shared" si="15"/>
        <v>0</v>
      </c>
      <c r="P36" s="226">
        <f t="shared" si="15"/>
        <v>0</v>
      </c>
      <c r="Q36" s="227">
        <f t="shared" si="9"/>
        <v>0</v>
      </c>
      <c r="R36" s="226">
        <f t="shared" si="16"/>
        <v>0</v>
      </c>
      <c r="S36" s="226">
        <f t="shared" si="16"/>
        <v>0</v>
      </c>
      <c r="T36" s="226">
        <f t="shared" si="16"/>
        <v>0</v>
      </c>
      <c r="U36" s="227">
        <f t="shared" si="10"/>
        <v>0</v>
      </c>
      <c r="V36" s="226">
        <f t="shared" si="17"/>
        <v>0</v>
      </c>
      <c r="W36" s="226">
        <f t="shared" si="17"/>
        <v>0</v>
      </c>
      <c r="X36" s="226">
        <f t="shared" si="17"/>
        <v>0</v>
      </c>
      <c r="Y36" s="227">
        <f t="shared" si="11"/>
        <v>0</v>
      </c>
    </row>
    <row r="37" spans="1:25" ht="12.75" hidden="1" customHeight="1" outlineLevel="1" x14ac:dyDescent="0.2">
      <c r="A37" s="198" t="str">
        <f>"      "&amp;Labels!B376</f>
        <v xml:space="preserve">      Dept Exp Accts</v>
      </c>
      <c r="B37" s="226">
        <f t="shared" si="12"/>
        <v>0</v>
      </c>
      <c r="C37" s="226">
        <f t="shared" si="12"/>
        <v>0</v>
      </c>
      <c r="D37" s="226">
        <f t="shared" si="12"/>
        <v>0</v>
      </c>
      <c r="E37" s="227">
        <f t="shared" si="6"/>
        <v>0</v>
      </c>
      <c r="F37" s="226">
        <f t="shared" si="13"/>
        <v>0</v>
      </c>
      <c r="G37" s="226">
        <f t="shared" si="13"/>
        <v>0</v>
      </c>
      <c r="H37" s="226">
        <f t="shared" si="13"/>
        <v>0</v>
      </c>
      <c r="I37" s="227">
        <f t="shared" si="7"/>
        <v>0</v>
      </c>
      <c r="J37" s="226">
        <f t="shared" si="14"/>
        <v>0</v>
      </c>
      <c r="K37" s="226">
        <f t="shared" si="14"/>
        <v>0</v>
      </c>
      <c r="L37" s="226">
        <f t="shared" si="14"/>
        <v>0</v>
      </c>
      <c r="M37" s="227">
        <f t="shared" si="8"/>
        <v>0</v>
      </c>
      <c r="N37" s="226">
        <f t="shared" si="15"/>
        <v>0</v>
      </c>
      <c r="O37" s="226">
        <f t="shared" si="15"/>
        <v>0</v>
      </c>
      <c r="P37" s="226">
        <f t="shared" si="15"/>
        <v>0</v>
      </c>
      <c r="Q37" s="227">
        <f t="shared" si="9"/>
        <v>0</v>
      </c>
      <c r="R37" s="226">
        <f t="shared" si="16"/>
        <v>0</v>
      </c>
      <c r="S37" s="226">
        <f t="shared" si="16"/>
        <v>0</v>
      </c>
      <c r="T37" s="226">
        <f t="shared" si="16"/>
        <v>0</v>
      </c>
      <c r="U37" s="227">
        <f t="shared" si="10"/>
        <v>0</v>
      </c>
      <c r="V37" s="226">
        <f t="shared" si="17"/>
        <v>0</v>
      </c>
      <c r="W37" s="226">
        <f t="shared" si="17"/>
        <v>0</v>
      </c>
      <c r="X37" s="226">
        <f t="shared" si="17"/>
        <v>0</v>
      </c>
      <c r="Y37" s="227">
        <f t="shared" si="11"/>
        <v>0</v>
      </c>
    </row>
    <row r="38" spans="1:25" ht="12.75" hidden="1" customHeight="1" outlineLevel="1" x14ac:dyDescent="0.2">
      <c r="A38" s="198" t="str">
        <f>"      "&amp;Labels!B377</f>
        <v xml:space="preserve">      Facilities</v>
      </c>
      <c r="B38" s="226">
        <f t="shared" si="12"/>
        <v>0</v>
      </c>
      <c r="C38" s="226">
        <f t="shared" si="12"/>
        <v>0</v>
      </c>
      <c r="D38" s="226">
        <f t="shared" si="12"/>
        <v>0</v>
      </c>
      <c r="E38" s="227">
        <f t="shared" si="6"/>
        <v>0</v>
      </c>
      <c r="F38" s="226">
        <f t="shared" si="13"/>
        <v>0</v>
      </c>
      <c r="G38" s="226">
        <f t="shared" si="13"/>
        <v>0</v>
      </c>
      <c r="H38" s="226">
        <f t="shared" si="13"/>
        <v>0</v>
      </c>
      <c r="I38" s="227">
        <f t="shared" si="7"/>
        <v>0</v>
      </c>
      <c r="J38" s="226">
        <f t="shared" si="14"/>
        <v>0</v>
      </c>
      <c r="K38" s="226">
        <f t="shared" si="14"/>
        <v>0</v>
      </c>
      <c r="L38" s="226">
        <f t="shared" si="14"/>
        <v>0</v>
      </c>
      <c r="M38" s="227">
        <f t="shared" si="8"/>
        <v>0</v>
      </c>
      <c r="N38" s="226">
        <f t="shared" si="15"/>
        <v>0</v>
      </c>
      <c r="O38" s="226">
        <f t="shared" si="15"/>
        <v>0</v>
      </c>
      <c r="P38" s="226">
        <f t="shared" si="15"/>
        <v>0</v>
      </c>
      <c r="Q38" s="227">
        <f t="shared" si="9"/>
        <v>0</v>
      </c>
      <c r="R38" s="226">
        <f t="shared" si="16"/>
        <v>0</v>
      </c>
      <c r="S38" s="226">
        <f t="shared" si="16"/>
        <v>0</v>
      </c>
      <c r="T38" s="226">
        <f t="shared" si="16"/>
        <v>0</v>
      </c>
      <c r="U38" s="227">
        <f t="shared" si="10"/>
        <v>0</v>
      </c>
      <c r="V38" s="226">
        <f t="shared" si="17"/>
        <v>0</v>
      </c>
      <c r="W38" s="226">
        <f t="shared" si="17"/>
        <v>0</v>
      </c>
      <c r="X38" s="226">
        <f t="shared" si="17"/>
        <v>0</v>
      </c>
      <c r="Y38" s="227">
        <f t="shared" si="11"/>
        <v>0</v>
      </c>
    </row>
    <row r="39" spans="1:25" ht="12.75" hidden="1" customHeight="1" outlineLevel="1" x14ac:dyDescent="0.2">
      <c r="A39" s="198" t="str">
        <f>"      "&amp;Labels!B378</f>
        <v xml:space="preserve">      General &amp; Admin</v>
      </c>
      <c r="B39" s="226">
        <f t="shared" si="12"/>
        <v>0</v>
      </c>
      <c r="C39" s="226">
        <f t="shared" si="12"/>
        <v>0</v>
      </c>
      <c r="D39" s="226">
        <f t="shared" si="12"/>
        <v>0</v>
      </c>
      <c r="E39" s="227">
        <f t="shared" si="6"/>
        <v>0</v>
      </c>
      <c r="F39" s="226">
        <f t="shared" si="13"/>
        <v>0</v>
      </c>
      <c r="G39" s="226">
        <f t="shared" si="13"/>
        <v>0</v>
      </c>
      <c r="H39" s="226">
        <f t="shared" si="13"/>
        <v>0</v>
      </c>
      <c r="I39" s="227">
        <f t="shared" si="7"/>
        <v>0</v>
      </c>
      <c r="J39" s="226">
        <f t="shared" si="14"/>
        <v>0</v>
      </c>
      <c r="K39" s="226">
        <f t="shared" si="14"/>
        <v>0</v>
      </c>
      <c r="L39" s="226">
        <f t="shared" si="14"/>
        <v>0</v>
      </c>
      <c r="M39" s="227">
        <f t="shared" si="8"/>
        <v>0</v>
      </c>
      <c r="N39" s="226">
        <f t="shared" si="15"/>
        <v>0</v>
      </c>
      <c r="O39" s="226">
        <f t="shared" si="15"/>
        <v>0</v>
      </c>
      <c r="P39" s="226">
        <f t="shared" si="15"/>
        <v>0</v>
      </c>
      <c r="Q39" s="227">
        <f t="shared" si="9"/>
        <v>0</v>
      </c>
      <c r="R39" s="226">
        <f t="shared" si="16"/>
        <v>0</v>
      </c>
      <c r="S39" s="226">
        <f t="shared" si="16"/>
        <v>0</v>
      </c>
      <c r="T39" s="226">
        <f t="shared" si="16"/>
        <v>0</v>
      </c>
      <c r="U39" s="227">
        <f t="shared" si="10"/>
        <v>0</v>
      </c>
      <c r="V39" s="226">
        <f t="shared" si="17"/>
        <v>0</v>
      </c>
      <c r="W39" s="226">
        <f t="shared" si="17"/>
        <v>0</v>
      </c>
      <c r="X39" s="226">
        <f t="shared" si="17"/>
        <v>0</v>
      </c>
      <c r="Y39" s="227">
        <f t="shared" si="11"/>
        <v>0</v>
      </c>
    </row>
    <row r="40" spans="1:25" ht="12.75" hidden="1" customHeight="1" outlineLevel="1" x14ac:dyDescent="0.2">
      <c r="A40" s="220" t="str">
        <f>"      "&amp;Labels!C372</f>
        <v xml:space="preserve">      Total</v>
      </c>
      <c r="B40" s="228">
        <f t="shared" si="12"/>
        <v>0</v>
      </c>
      <c r="C40" s="228">
        <f t="shared" si="12"/>
        <v>0</v>
      </c>
      <c r="D40" s="228">
        <f t="shared" si="12"/>
        <v>0</v>
      </c>
      <c r="E40" s="229">
        <f>SUM(B33:D33)</f>
        <v>0</v>
      </c>
      <c r="F40" s="228">
        <f t="shared" si="13"/>
        <v>0</v>
      </c>
      <c r="G40" s="228">
        <f t="shared" si="13"/>
        <v>0</v>
      </c>
      <c r="H40" s="228">
        <f t="shared" si="13"/>
        <v>0</v>
      </c>
      <c r="I40" s="229">
        <f>SUM(F33:H33)</f>
        <v>0</v>
      </c>
      <c r="J40" s="228">
        <f t="shared" si="14"/>
        <v>0</v>
      </c>
      <c r="K40" s="228">
        <f t="shared" si="14"/>
        <v>0</v>
      </c>
      <c r="L40" s="228">
        <f t="shared" si="14"/>
        <v>0</v>
      </c>
      <c r="M40" s="229">
        <f>SUM(J33:L33)</f>
        <v>0</v>
      </c>
      <c r="N40" s="228">
        <f t="shared" si="15"/>
        <v>0</v>
      </c>
      <c r="O40" s="228">
        <f t="shared" si="15"/>
        <v>0</v>
      </c>
      <c r="P40" s="228">
        <f t="shared" si="15"/>
        <v>0</v>
      </c>
      <c r="Q40" s="229">
        <f>SUM(N33:P33)</f>
        <v>0</v>
      </c>
      <c r="R40" s="228">
        <f t="shared" si="16"/>
        <v>0</v>
      </c>
      <c r="S40" s="228">
        <f t="shared" si="16"/>
        <v>0</v>
      </c>
      <c r="T40" s="228">
        <f t="shared" si="16"/>
        <v>0</v>
      </c>
      <c r="U40" s="229">
        <f>SUM(R33:T33)</f>
        <v>0</v>
      </c>
      <c r="V40" s="228">
        <f t="shared" si="17"/>
        <v>0</v>
      </c>
      <c r="W40" s="228">
        <f t="shared" si="17"/>
        <v>0</v>
      </c>
      <c r="X40" s="228">
        <f t="shared" si="17"/>
        <v>0</v>
      </c>
      <c r="Y40" s="229">
        <f>SUM(V33:X33)</f>
        <v>0</v>
      </c>
    </row>
    <row r="41" spans="1:25" ht="12.75" hidden="1" customHeight="1" outlineLevel="1" x14ac:dyDescent="0.2"/>
    <row r="42" spans="1:25" ht="12.75" hidden="1" customHeight="1" outlineLevel="1" collapsed="1" x14ac:dyDescent="0.2"/>
    <row r="43" spans="1:25" ht="12.75" customHeight="1" collapsed="1" x14ac:dyDescent="0.2"/>
    <row r="44" spans="1:25" ht="12.75" customHeight="1" collapsed="1" x14ac:dyDescent="0.2">
      <c r="A44" s="464" t="str">
        <f>"Marketing Expense"</f>
        <v>Marketing Expense</v>
      </c>
      <c r="B44" s="464"/>
    </row>
    <row r="45" spans="1:25" ht="12.75" hidden="1" customHeight="1" outlineLevel="1" x14ac:dyDescent="0.2">
      <c r="A45" s="1" t="str">
        <f>""</f>
        <v/>
      </c>
    </row>
    <row r="46" spans="1:25" ht="12.75" hidden="1" customHeight="1" outlineLevel="1" x14ac:dyDescent="0.2">
      <c r="B46" s="9" t="str">
        <f>'(FnCalls 1)'!F41</f>
        <v>MMM 2010</v>
      </c>
      <c r="C46" s="10" t="str">
        <f>'(FnCalls 1)'!F42</f>
        <v>MMM 2010</v>
      </c>
      <c r="D46" s="10" t="str">
        <f>'(FnCalls 1)'!F43</f>
        <v>MMM 2010</v>
      </c>
      <c r="E46" s="181" t="str">
        <f>'(FnCalls 1)'!G41</f>
        <v>Q1 2010</v>
      </c>
      <c r="F46" s="10" t="str">
        <f>'(FnCalls 1)'!F44</f>
        <v>MMM 2010</v>
      </c>
      <c r="G46" s="10" t="str">
        <f>'(FnCalls 1)'!F45</f>
        <v>MMM 2010</v>
      </c>
      <c r="H46" s="10" t="str">
        <f>'(FnCalls 1)'!F46</f>
        <v>MMM 2010</v>
      </c>
      <c r="I46" s="181" t="str">
        <f>'(FnCalls 1)'!G44</f>
        <v>Q2 2010</v>
      </c>
      <c r="J46" s="10" t="str">
        <f>'(FnCalls 1)'!F47</f>
        <v>MMM 2010</v>
      </c>
      <c r="K46" s="10" t="str">
        <f>'(FnCalls 1)'!F48</f>
        <v>MMM 2010</v>
      </c>
      <c r="L46" s="10" t="str">
        <f>'(FnCalls 1)'!F49</f>
        <v>MMM 2010</v>
      </c>
      <c r="M46" s="181" t="str">
        <f>'(FnCalls 1)'!G47</f>
        <v>Q3 2010</v>
      </c>
      <c r="N46" s="10" t="str">
        <f>'(FnCalls 1)'!F50</f>
        <v>MMM 2010</v>
      </c>
      <c r="O46" s="10" t="str">
        <f>'(FnCalls 1)'!F51</f>
        <v>MMM 2010</v>
      </c>
      <c r="P46" s="10" t="str">
        <f>'(FnCalls 1)'!F52</f>
        <v>MMM 2010</v>
      </c>
      <c r="Q46" s="181" t="str">
        <f>'(FnCalls 1)'!G50</f>
        <v>Q4 2010</v>
      </c>
      <c r="R46" s="10" t="str">
        <f>'(FnCalls 1)'!F53</f>
        <v>MMM 2011</v>
      </c>
      <c r="S46" s="10" t="str">
        <f>'(FnCalls 1)'!F54</f>
        <v>MMM 2011</v>
      </c>
      <c r="T46" s="10" t="str">
        <f>'(FnCalls 1)'!F55</f>
        <v>MMM 2011</v>
      </c>
      <c r="U46" s="181" t="str">
        <f>'(FnCalls 1)'!G53</f>
        <v>Q1 2011</v>
      </c>
      <c r="V46" s="10" t="str">
        <f>'(FnCalls 1)'!F56</f>
        <v>MMM 2011</v>
      </c>
      <c r="W46" s="10" t="str">
        <f>'(FnCalls 1)'!F57</f>
        <v>MMM 2011</v>
      </c>
      <c r="X46" s="10" t="str">
        <f>'(FnCalls 1)'!F58</f>
        <v>MMM 2011</v>
      </c>
      <c r="Y46" s="181" t="str">
        <f>'(FnCalls 1)'!G56</f>
        <v>Q2 2011</v>
      </c>
    </row>
    <row r="47" spans="1:25" ht="12.75" hidden="1" customHeight="1" outlineLevel="1" x14ac:dyDescent="0.2">
      <c r="A47" s="182" t="str">
        <f>Labels!B122</f>
        <v>Mktg Expense</v>
      </c>
      <c r="B47" s="183">
        <f>B8</f>
        <v>0</v>
      </c>
      <c r="C47" s="183">
        <f>C8</f>
        <v>0</v>
      </c>
      <c r="D47" s="183">
        <f>D8</f>
        <v>0</v>
      </c>
      <c r="E47" s="184">
        <f>SUM(B47:D47)</f>
        <v>0</v>
      </c>
      <c r="F47" s="183">
        <f>F8</f>
        <v>0</v>
      </c>
      <c r="G47" s="183">
        <f>G8</f>
        <v>0</v>
      </c>
      <c r="H47" s="183">
        <f>H8</f>
        <v>0</v>
      </c>
      <c r="I47" s="184">
        <f>SUM(F47:H47)</f>
        <v>0</v>
      </c>
      <c r="J47" s="183">
        <f>J8</f>
        <v>0</v>
      </c>
      <c r="K47" s="183">
        <f>K8</f>
        <v>0</v>
      </c>
      <c r="L47" s="183">
        <f>L8</f>
        <v>0</v>
      </c>
      <c r="M47" s="184">
        <f>SUM(J47:L47)</f>
        <v>0</v>
      </c>
      <c r="N47" s="183">
        <f>N8</f>
        <v>0</v>
      </c>
      <c r="O47" s="183">
        <f>O8</f>
        <v>0</v>
      </c>
      <c r="P47" s="183">
        <f>P8</f>
        <v>0</v>
      </c>
      <c r="Q47" s="184">
        <f>SUM(N47:P47)</f>
        <v>0</v>
      </c>
      <c r="R47" s="183">
        <f>R8</f>
        <v>0</v>
      </c>
      <c r="S47" s="183">
        <f>S8</f>
        <v>0</v>
      </c>
      <c r="T47" s="183">
        <f>T8</f>
        <v>0</v>
      </c>
      <c r="U47" s="184">
        <f>SUM(R47:T47)</f>
        <v>0</v>
      </c>
      <c r="V47" s="183">
        <f>V8</f>
        <v>0</v>
      </c>
      <c r="W47" s="183">
        <f>W8</f>
        <v>0</v>
      </c>
      <c r="X47" s="183">
        <f>X8</f>
        <v>0</v>
      </c>
      <c r="Y47" s="184">
        <f>SUM(V47:X47)</f>
        <v>0</v>
      </c>
    </row>
    <row r="48" spans="1:25" ht="12.75" hidden="1" customHeight="1" outlineLevel="1" x14ac:dyDescent="0.2">
      <c r="A48" s="97"/>
      <c r="B48" s="6"/>
      <c r="C48" s="6"/>
      <c r="D48" s="6"/>
      <c r="E48" s="97"/>
      <c r="F48" s="6"/>
      <c r="G48" s="6"/>
      <c r="H48" s="6"/>
      <c r="I48" s="97"/>
      <c r="J48" s="6"/>
      <c r="K48" s="6"/>
      <c r="L48" s="6"/>
      <c r="M48" s="97"/>
      <c r="N48" s="6"/>
      <c r="O48" s="6"/>
      <c r="P48" s="6"/>
      <c r="Q48" s="97"/>
      <c r="R48" s="6"/>
      <c r="S48" s="6"/>
      <c r="T48" s="6"/>
      <c r="U48" s="97"/>
      <c r="V48" s="6"/>
      <c r="W48" s="6"/>
      <c r="X48" s="6"/>
      <c r="Y48" s="97"/>
    </row>
    <row r="49" spans="1:25" ht="12.75" hidden="1" customHeight="1" outlineLevel="1" x14ac:dyDescent="0.2">
      <c r="A49" s="191" t="str">
        <f>Labels!B124</f>
        <v>Mktg Programs Exp</v>
      </c>
      <c r="B49" s="192"/>
      <c r="C49" s="192"/>
      <c r="D49" s="192"/>
      <c r="E49" s="190"/>
      <c r="F49" s="192"/>
      <c r="G49" s="192"/>
      <c r="H49" s="192"/>
      <c r="I49" s="190"/>
      <c r="J49" s="192"/>
      <c r="K49" s="192"/>
      <c r="L49" s="192"/>
      <c r="M49" s="190"/>
      <c r="N49" s="192"/>
      <c r="O49" s="192"/>
      <c r="P49" s="192"/>
      <c r="Q49" s="190"/>
      <c r="R49" s="192"/>
      <c r="S49" s="192"/>
      <c r="T49" s="192"/>
      <c r="U49" s="190"/>
      <c r="V49" s="192"/>
      <c r="W49" s="192"/>
      <c r="X49" s="192"/>
      <c r="Y49" s="190"/>
    </row>
    <row r="50" spans="1:25" ht="12.75" hidden="1" customHeight="1" outlineLevel="1" x14ac:dyDescent="0.2">
      <c r="A50" s="188" t="str">
        <f>"   "&amp;Labels!B369</f>
        <v xml:space="preserve">   Seminars</v>
      </c>
      <c r="B50" s="196"/>
      <c r="C50" s="196"/>
      <c r="D50" s="196"/>
      <c r="E50" s="197"/>
      <c r="F50" s="196"/>
      <c r="G50" s="196"/>
      <c r="H50" s="196"/>
      <c r="I50" s="197"/>
      <c r="J50" s="196"/>
      <c r="K50" s="196"/>
      <c r="L50" s="196"/>
      <c r="M50" s="197"/>
      <c r="N50" s="196"/>
      <c r="O50" s="196"/>
      <c r="P50" s="196"/>
      <c r="Q50" s="197"/>
      <c r="R50" s="196"/>
      <c r="S50" s="196"/>
      <c r="T50" s="196"/>
      <c r="U50" s="197"/>
      <c r="V50" s="196"/>
      <c r="W50" s="196"/>
      <c r="X50" s="196"/>
      <c r="Y50" s="197"/>
    </row>
    <row r="51" spans="1:25" ht="12.75" hidden="1" customHeight="1" outlineLevel="1" x14ac:dyDescent="0.2">
      <c r="A51" s="198" t="str">
        <f>"      "&amp;Labels!B381</f>
        <v xml:space="preserve">      Practice 1</v>
      </c>
      <c r="B51" s="226">
        <f>IF('(Tables)'!C12&lt;=Inputs!AB281/12+0.001,Inputs!F276,IF('(Tables)'!C12&lt;(1+Inputs!AB281)/12+0.001,0.5*(Inputs!F276+C51),Inputs!AB276/12+Inputs!AC276*(IncStmt!B6*12/1000)^Inputs!AD276/12))</f>
        <v>0</v>
      </c>
      <c r="C51" s="226">
        <f>IF('(Tables)'!D12&lt;=Inputs!AB281/12+0.001,Inputs!G276,IF('(Tables)'!D12&lt;(1+Inputs!AB281)/12+0.001,0.5*(Inputs!F276+D51),Inputs!AB276/12+Inputs!AC276*(IncStmt!C6*12/1000)^Inputs!AD276/12))</f>
        <v>0</v>
      </c>
      <c r="D51" s="226">
        <f>IF('(Tables)'!E12&lt;=Inputs!AB281/12+0.001,Inputs!H276,IF('(Tables)'!E12&lt;(1+Inputs!AB281)/12+0.001,0.5*(Inputs!G276+F51),Inputs!AB276/12+Inputs!AC276*(IncStmt!D6*12/1000)^Inputs!AD276/12))</f>
        <v>0</v>
      </c>
      <c r="E51" s="227">
        <f>SUM(B51:D51)</f>
        <v>0</v>
      </c>
      <c r="F51" s="226">
        <f>IF('(Tables)'!F12&lt;=Inputs!AB281/12+0.001,Inputs!I276,IF('(Tables)'!F12&lt;(1+Inputs!AB281)/12+0.001,0.5*(Inputs!H276+G51),Inputs!AB276/12+Inputs!AC276*(IncStmt!F6*12/1000)^Inputs!AD276/12))</f>
        <v>0</v>
      </c>
      <c r="G51" s="226">
        <f>IF('(Tables)'!G12&lt;=Inputs!AB281/12+0.001,Inputs!J276,IF('(Tables)'!G12&lt;(1+Inputs!AB281)/12+0.001,0.5*(Inputs!I276+H51),Inputs!AB276/12+Inputs!AC276*(IncStmt!G6*12/1000)^Inputs!AD276/12))</f>
        <v>0</v>
      </c>
      <c r="H51" s="226">
        <f>IF('(Tables)'!H12&lt;=Inputs!AB281/12+0.001,Inputs!K276,IF('(Tables)'!H12&lt;(1+Inputs!AB281)/12+0.001,0.5*(Inputs!J276+J51),Inputs!AB276/12+Inputs!AC276*(IncStmt!H6*12/1000)^Inputs!AD276/12))</f>
        <v>0</v>
      </c>
      <c r="I51" s="227">
        <f>SUM(F51:H51)</f>
        <v>0</v>
      </c>
      <c r="J51" s="226">
        <f>IF('(Tables)'!I12&lt;=Inputs!AB281/12+0.001,Inputs!L276,IF('(Tables)'!I12&lt;(1+Inputs!AB281)/12+0.001,0.5*(Inputs!K276+K51),Inputs!AB276/12+Inputs!AC276*(IncStmt!J6*12/1000)^Inputs!AD276/12))</f>
        <v>0</v>
      </c>
      <c r="K51" s="226">
        <f>IF('(Tables)'!J12&lt;=Inputs!AB281/12+0.001,Inputs!M276,IF('(Tables)'!J12&lt;(1+Inputs!AB281)/12+0.001,0.5*(Inputs!L276+L51),Inputs!AB276/12+Inputs!AC276*(IncStmt!K6*12/1000)^Inputs!AD276/12))</f>
        <v>0</v>
      </c>
      <c r="L51" s="226">
        <f>IF('(Tables)'!K12&lt;=Inputs!AB281/12+0.001,Inputs!N276,IF('(Tables)'!K12&lt;(1+Inputs!AB281)/12+0.001,0.5*(Inputs!M276+N51),Inputs!AB276/12+Inputs!AC276*(IncStmt!L6*12/1000)^Inputs!AD276/12))</f>
        <v>0</v>
      </c>
      <c r="M51" s="227">
        <f>SUM(J51:L51)</f>
        <v>0</v>
      </c>
      <c r="N51" s="226">
        <f>IF('(Tables)'!L12&lt;=Inputs!AB281/12+0.001,Inputs!O276,IF('(Tables)'!L12&lt;(1+Inputs!AB281)/12+0.001,0.5*(Inputs!N276+O51),Inputs!AB276/12+Inputs!AC276*(IncStmt!N6*12/1000)^Inputs!AD276/12))</f>
        <v>0</v>
      </c>
      <c r="O51" s="226">
        <f>IF('(Tables)'!M12&lt;=Inputs!AB281/12+0.001,Inputs!P276,IF('(Tables)'!M12&lt;(1+Inputs!AB281)/12+0.001,0.5*(Inputs!O276+P51),Inputs!AB276/12+Inputs!AC276*(IncStmt!O6*12/1000)^Inputs!AD276/12))</f>
        <v>0</v>
      </c>
      <c r="P51" s="226">
        <f>IF('(Tables)'!N12&lt;=Inputs!AB281/12+0.001,Inputs!Q276,IF('(Tables)'!N12&lt;(1+Inputs!AB281)/12+0.001,0.5*(Inputs!P276+R51),Inputs!AB276/12+Inputs!AC276*(IncStmt!P6*12/1000)^Inputs!AD276/12))</f>
        <v>0</v>
      </c>
      <c r="Q51" s="227">
        <f>SUM(N51:P51)</f>
        <v>0</v>
      </c>
      <c r="R51" s="226">
        <f>IF('(Tables)'!O12&lt;=Inputs!AB281/12+0.001,Inputs!R276,IF('(Tables)'!O12&lt;(1+Inputs!AB281)/12+0.001,0.5*(Inputs!Q276+S51),Inputs!AB276/12+Inputs!AC276*(IncStmt!R6*12/1000)^Inputs!AD276/12))</f>
        <v>0</v>
      </c>
      <c r="S51" s="226">
        <f>IF('(Tables)'!P12&lt;=Inputs!AB281/12+0.001,Inputs!S276,IF('(Tables)'!P12&lt;(1+Inputs!AB281)/12+0.001,0.5*(Inputs!R276+T51),Inputs!AB276/12+Inputs!AC276*(IncStmt!S6*12/1000)^Inputs!AD276/12))</f>
        <v>0</v>
      </c>
      <c r="T51" s="226">
        <f>IF('(Tables)'!Q12&lt;=Inputs!AB281/12+0.001,Inputs!T276,IF('(Tables)'!Q12&lt;(1+Inputs!AB281)/12+0.001,0.5*(Inputs!S276+V51),Inputs!AB276/12+Inputs!AC276*(IncStmt!T6*12/1000)^Inputs!AD276/12))</f>
        <v>0</v>
      </c>
      <c r="U51" s="227">
        <f>SUM(R51:T51)</f>
        <v>0</v>
      </c>
      <c r="V51" s="226">
        <f>IF('(Tables)'!R12&lt;=Inputs!AB281/12+0.001,Inputs!U276,IF('(Tables)'!R12&lt;(1+Inputs!AB281)/12+0.001,0.5*(Inputs!T276+W51),Inputs!AB276/12+Inputs!AC276*(IncStmt!V6*12/1000)^Inputs!AD276/12))</f>
        <v>0</v>
      </c>
      <c r="W51" s="226">
        <f>IF('(Tables)'!S12&lt;=Inputs!AB281/12+0.001,Inputs!V276,IF('(Tables)'!S12&lt;(1+Inputs!AB281)/12+0.001,0.5*(Inputs!U276+X51),Inputs!AB276/12+Inputs!AC276*(IncStmt!W6*12/1000)^Inputs!AD276/12))</f>
        <v>0</v>
      </c>
      <c r="X51" s="226">
        <f>IF('(Tables)'!T12&lt;=Inputs!AB281/12+0.001,Inputs!W276,IF('(Tables)'!T12&lt;(1+Inputs!AB281)/12+0.001,0.5*(Inputs!V276+Inputs!W276),Inputs!AB276/12+Inputs!AC276*(IncStmt!X6*12/1000)^Inputs!AD276/12))</f>
        <v>0</v>
      </c>
      <c r="Y51" s="227">
        <f>SUM(V51:X51)</f>
        <v>0</v>
      </c>
    </row>
    <row r="52" spans="1:25" ht="12.75" hidden="1" customHeight="1" outlineLevel="1" x14ac:dyDescent="0.2">
      <c r="A52" s="198" t="str">
        <f>"      "&amp;Labels!B382</f>
        <v xml:space="preserve">      Practice 2</v>
      </c>
      <c r="B52" s="226">
        <f>IF('(Tables)'!C12&lt;=Inputs!AB281/12+0.001,Inputs!F277,IF('(Tables)'!C12&lt;(1+Inputs!AB281)/12+0.001,0.5*(Inputs!F277+C52),Inputs!AB277/12+Inputs!AC277*(IncStmt!B6*12/1000)^Inputs!AD277/12))</f>
        <v>0</v>
      </c>
      <c r="C52" s="226">
        <f>IF('(Tables)'!D12&lt;=Inputs!AB281/12+0.001,Inputs!G277,IF('(Tables)'!D12&lt;(1+Inputs!AB281)/12+0.001,0.5*(Inputs!F277+D52),Inputs!AB277/12+Inputs!AC277*(IncStmt!C6*12/1000)^Inputs!AD277/12))</f>
        <v>0</v>
      </c>
      <c r="D52" s="226">
        <f>IF('(Tables)'!E12&lt;=Inputs!AB281/12+0.001,Inputs!H277,IF('(Tables)'!E12&lt;(1+Inputs!AB281)/12+0.001,0.5*(Inputs!G277+F52),Inputs!AB277/12+Inputs!AC277*(IncStmt!D6*12/1000)^Inputs!AD277/12))</f>
        <v>0</v>
      </c>
      <c r="E52" s="227">
        <f>SUM(B52:D52)</f>
        <v>0</v>
      </c>
      <c r="F52" s="226">
        <f>IF('(Tables)'!F12&lt;=Inputs!AB281/12+0.001,Inputs!I277,IF('(Tables)'!F12&lt;(1+Inputs!AB281)/12+0.001,0.5*(Inputs!H277+G52),Inputs!AB277/12+Inputs!AC277*(IncStmt!F6*12/1000)^Inputs!AD277/12))</f>
        <v>0</v>
      </c>
      <c r="G52" s="226">
        <f>IF('(Tables)'!G12&lt;=Inputs!AB281/12+0.001,Inputs!J277,IF('(Tables)'!G12&lt;(1+Inputs!AB281)/12+0.001,0.5*(Inputs!I277+H52),Inputs!AB277/12+Inputs!AC277*(IncStmt!G6*12/1000)^Inputs!AD277/12))</f>
        <v>0</v>
      </c>
      <c r="H52" s="226">
        <f>IF('(Tables)'!H12&lt;=Inputs!AB281/12+0.001,Inputs!K277,IF('(Tables)'!H12&lt;(1+Inputs!AB281)/12+0.001,0.5*(Inputs!J277+J52),Inputs!AB277/12+Inputs!AC277*(IncStmt!H6*12/1000)^Inputs!AD277/12))</f>
        <v>0</v>
      </c>
      <c r="I52" s="227">
        <f>SUM(F52:H52)</f>
        <v>0</v>
      </c>
      <c r="J52" s="226">
        <f>IF('(Tables)'!I12&lt;=Inputs!AB281/12+0.001,Inputs!L277,IF('(Tables)'!I12&lt;(1+Inputs!AB281)/12+0.001,0.5*(Inputs!K277+K52),Inputs!AB277/12+Inputs!AC277*(IncStmt!J6*12/1000)^Inputs!AD277/12))</f>
        <v>0</v>
      </c>
      <c r="K52" s="226">
        <f>IF('(Tables)'!J12&lt;=Inputs!AB281/12+0.001,Inputs!M277,IF('(Tables)'!J12&lt;(1+Inputs!AB281)/12+0.001,0.5*(Inputs!L277+L52),Inputs!AB277/12+Inputs!AC277*(IncStmt!K6*12/1000)^Inputs!AD277/12))</f>
        <v>0</v>
      </c>
      <c r="L52" s="226">
        <f>IF('(Tables)'!K12&lt;=Inputs!AB281/12+0.001,Inputs!N277,IF('(Tables)'!K12&lt;(1+Inputs!AB281)/12+0.001,0.5*(Inputs!M277+N52),Inputs!AB277/12+Inputs!AC277*(IncStmt!L6*12/1000)^Inputs!AD277/12))</f>
        <v>0</v>
      </c>
      <c r="M52" s="227">
        <f>SUM(J52:L52)</f>
        <v>0</v>
      </c>
      <c r="N52" s="226">
        <f>IF('(Tables)'!L12&lt;=Inputs!AB281/12+0.001,Inputs!O277,IF('(Tables)'!L12&lt;(1+Inputs!AB281)/12+0.001,0.5*(Inputs!N277+O52),Inputs!AB277/12+Inputs!AC277*(IncStmt!N6*12/1000)^Inputs!AD277/12))</f>
        <v>0</v>
      </c>
      <c r="O52" s="226">
        <f>IF('(Tables)'!M12&lt;=Inputs!AB281/12+0.001,Inputs!P277,IF('(Tables)'!M12&lt;(1+Inputs!AB281)/12+0.001,0.5*(Inputs!O277+P52),Inputs!AB277/12+Inputs!AC277*(IncStmt!O6*12/1000)^Inputs!AD277/12))</f>
        <v>0</v>
      </c>
      <c r="P52" s="226">
        <f>IF('(Tables)'!N12&lt;=Inputs!AB281/12+0.001,Inputs!Q277,IF('(Tables)'!N12&lt;(1+Inputs!AB281)/12+0.001,0.5*(Inputs!P277+R52),Inputs!AB277/12+Inputs!AC277*(IncStmt!P6*12/1000)^Inputs!AD277/12))</f>
        <v>0</v>
      </c>
      <c r="Q52" s="227">
        <f>SUM(N52:P52)</f>
        <v>0</v>
      </c>
      <c r="R52" s="226">
        <f>IF('(Tables)'!O12&lt;=Inputs!AB281/12+0.001,Inputs!R277,IF('(Tables)'!O12&lt;(1+Inputs!AB281)/12+0.001,0.5*(Inputs!Q277+S52),Inputs!AB277/12+Inputs!AC277*(IncStmt!R6*12/1000)^Inputs!AD277/12))</f>
        <v>0</v>
      </c>
      <c r="S52" s="226">
        <f>IF('(Tables)'!P12&lt;=Inputs!AB281/12+0.001,Inputs!S277,IF('(Tables)'!P12&lt;(1+Inputs!AB281)/12+0.001,0.5*(Inputs!R277+T52),Inputs!AB277/12+Inputs!AC277*(IncStmt!S6*12/1000)^Inputs!AD277/12))</f>
        <v>0</v>
      </c>
      <c r="T52" s="226">
        <f>IF('(Tables)'!Q12&lt;=Inputs!AB281/12+0.001,Inputs!T277,IF('(Tables)'!Q12&lt;(1+Inputs!AB281)/12+0.001,0.5*(Inputs!S277+V52),Inputs!AB277/12+Inputs!AC277*(IncStmt!T6*12/1000)^Inputs!AD277/12))</f>
        <v>0</v>
      </c>
      <c r="U52" s="227">
        <f>SUM(R52:T52)</f>
        <v>0</v>
      </c>
      <c r="V52" s="226">
        <f>IF('(Tables)'!R12&lt;=Inputs!AB281/12+0.001,Inputs!U277,IF('(Tables)'!R12&lt;(1+Inputs!AB281)/12+0.001,0.5*(Inputs!T277+W52),Inputs!AB277/12+Inputs!AC277*(IncStmt!V6*12/1000)^Inputs!AD277/12))</f>
        <v>0</v>
      </c>
      <c r="W52" s="226">
        <f>IF('(Tables)'!S12&lt;=Inputs!AB281/12+0.001,Inputs!V277,IF('(Tables)'!S12&lt;(1+Inputs!AB281)/12+0.001,0.5*(Inputs!U277+X52),Inputs!AB277/12+Inputs!AC277*(IncStmt!W6*12/1000)^Inputs!AD277/12))</f>
        <v>0</v>
      </c>
      <c r="X52" s="226">
        <f>IF('(Tables)'!T12&lt;=Inputs!AB281/12+0.001,Inputs!W277,IF('(Tables)'!T12&lt;(1+Inputs!AB281)/12+0.001,0.5*(Inputs!V277+Inputs!W277),Inputs!AB277/12+Inputs!AC277*(IncStmt!X6*12/1000)^Inputs!AD277/12))</f>
        <v>0</v>
      </c>
      <c r="Y52" s="227">
        <f>SUM(V52:X52)</f>
        <v>0</v>
      </c>
    </row>
    <row r="53" spans="1:25" ht="12.75" hidden="1" customHeight="1" outlineLevel="1" x14ac:dyDescent="0.2">
      <c r="A53" s="188" t="str">
        <f>"      "&amp;Labels!C380</f>
        <v xml:space="preserve">      Total</v>
      </c>
      <c r="B53" s="196">
        <f>SUM(B51:B52)</f>
        <v>0</v>
      </c>
      <c r="C53" s="196">
        <f>SUM(C51:C52)</f>
        <v>0</v>
      </c>
      <c r="D53" s="196">
        <f>SUM(D51:D52)</f>
        <v>0</v>
      </c>
      <c r="E53" s="197">
        <f>SUM(B53:D53)</f>
        <v>0</v>
      </c>
      <c r="F53" s="196">
        <f>SUM(F51:F52)</f>
        <v>0</v>
      </c>
      <c r="G53" s="196">
        <f>SUM(G51:G52)</f>
        <v>0</v>
      </c>
      <c r="H53" s="196">
        <f>SUM(H51:H52)</f>
        <v>0</v>
      </c>
      <c r="I53" s="197">
        <f>SUM(F53:H53)</f>
        <v>0</v>
      </c>
      <c r="J53" s="196">
        <f>SUM(J51:J52)</f>
        <v>0</v>
      </c>
      <c r="K53" s="196">
        <f>SUM(K51:K52)</f>
        <v>0</v>
      </c>
      <c r="L53" s="196">
        <f>SUM(L51:L52)</f>
        <v>0</v>
      </c>
      <c r="M53" s="197">
        <f>SUM(J53:L53)</f>
        <v>0</v>
      </c>
      <c r="N53" s="196">
        <f>SUM(N51:N52)</f>
        <v>0</v>
      </c>
      <c r="O53" s="196">
        <f>SUM(O51:O52)</f>
        <v>0</v>
      </c>
      <c r="P53" s="196">
        <f>SUM(P51:P52)</f>
        <v>0</v>
      </c>
      <c r="Q53" s="197">
        <f>SUM(N53:P53)</f>
        <v>0</v>
      </c>
      <c r="R53" s="196">
        <f>SUM(R51:R52)</f>
        <v>0</v>
      </c>
      <c r="S53" s="196">
        <f>SUM(S51:S52)</f>
        <v>0</v>
      </c>
      <c r="T53" s="196">
        <f>SUM(T51:T52)</f>
        <v>0</v>
      </c>
      <c r="U53" s="197">
        <f>SUM(R53:T53)</f>
        <v>0</v>
      </c>
      <c r="V53" s="196">
        <f>SUM(V51:V52)</f>
        <v>0</v>
      </c>
      <c r="W53" s="196">
        <f>SUM(W51:W52)</f>
        <v>0</v>
      </c>
      <c r="X53" s="196">
        <f>SUM(X51:X52)</f>
        <v>0</v>
      </c>
      <c r="Y53" s="197">
        <f>SUM(V53:X53)</f>
        <v>0</v>
      </c>
    </row>
    <row r="54" spans="1:25" ht="12.75" hidden="1" customHeight="1" outlineLevel="1" x14ac:dyDescent="0.2">
      <c r="A54" s="188" t="str">
        <f>"   "&amp;Labels!B370</f>
        <v xml:space="preserve">   Publications</v>
      </c>
      <c r="B54" s="196"/>
      <c r="C54" s="196"/>
      <c r="D54" s="196"/>
      <c r="E54" s="197"/>
      <c r="F54" s="196"/>
      <c r="G54" s="196"/>
      <c r="H54" s="196"/>
      <c r="I54" s="197"/>
      <c r="J54" s="196"/>
      <c r="K54" s="196"/>
      <c r="L54" s="196"/>
      <c r="M54" s="197"/>
      <c r="N54" s="196"/>
      <c r="O54" s="196"/>
      <c r="P54" s="196"/>
      <c r="Q54" s="197"/>
      <c r="R54" s="196"/>
      <c r="S54" s="196"/>
      <c r="T54" s="196"/>
      <c r="U54" s="197"/>
      <c r="V54" s="196"/>
      <c r="W54" s="196"/>
      <c r="X54" s="196"/>
      <c r="Y54" s="197"/>
    </row>
    <row r="55" spans="1:25" ht="12.75" hidden="1" customHeight="1" outlineLevel="1" x14ac:dyDescent="0.2">
      <c r="A55" s="198" t="str">
        <f>"      "&amp;Labels!B381</f>
        <v xml:space="preserve">      Practice 1</v>
      </c>
      <c r="B55" s="226">
        <f>IF('(Tables)'!C12&lt;=Inputs!AB281/12+0.001,Inputs!F278,IF('(Tables)'!C12&lt;(1+Inputs!AB281)/12+0.001,0.5*(Inputs!F278+C55),Inputs!AB278/12+Inputs!AC278*(IncStmt!B6*12/1000)^Inputs!AD278/12))</f>
        <v>0</v>
      </c>
      <c r="C55" s="226">
        <f>IF('(Tables)'!D12&lt;=Inputs!AB281/12+0.001,Inputs!G278,IF('(Tables)'!D12&lt;(1+Inputs!AB281)/12+0.001,0.5*(Inputs!F278+D55),Inputs!AB278/12+Inputs!AC278*(IncStmt!C6*12/1000)^Inputs!AD278/12))</f>
        <v>0</v>
      </c>
      <c r="D55" s="226">
        <f>IF('(Tables)'!E12&lt;=Inputs!AB281/12+0.001,Inputs!H278,IF('(Tables)'!E12&lt;(1+Inputs!AB281)/12+0.001,0.5*(Inputs!G278+F55),Inputs!AB278/12+Inputs!AC278*(IncStmt!D6*12/1000)^Inputs!AD278/12))</f>
        <v>0</v>
      </c>
      <c r="E55" s="227">
        <f t="shared" ref="E55:E60" si="18">SUM(B55:D55)</f>
        <v>0</v>
      </c>
      <c r="F55" s="226">
        <f>IF('(Tables)'!F12&lt;=Inputs!AB281/12+0.001,Inputs!I278,IF('(Tables)'!F12&lt;(1+Inputs!AB281)/12+0.001,0.5*(Inputs!H278+G55),Inputs!AB278/12+Inputs!AC278*(IncStmt!F6*12/1000)^Inputs!AD278/12))</f>
        <v>0</v>
      </c>
      <c r="G55" s="226">
        <f>IF('(Tables)'!G12&lt;=Inputs!AB281/12+0.001,Inputs!J278,IF('(Tables)'!G12&lt;(1+Inputs!AB281)/12+0.001,0.5*(Inputs!I278+H55),Inputs!AB278/12+Inputs!AC278*(IncStmt!G6*12/1000)^Inputs!AD278/12))</f>
        <v>0</v>
      </c>
      <c r="H55" s="226">
        <f>IF('(Tables)'!H12&lt;=Inputs!AB281/12+0.001,Inputs!K278,IF('(Tables)'!H12&lt;(1+Inputs!AB281)/12+0.001,0.5*(Inputs!J278+J55),Inputs!AB278/12+Inputs!AC278*(IncStmt!H6*12/1000)^Inputs!AD278/12))</f>
        <v>0</v>
      </c>
      <c r="I55" s="227">
        <f t="shared" ref="I55:I60" si="19">SUM(F55:H55)</f>
        <v>0</v>
      </c>
      <c r="J55" s="226">
        <f>IF('(Tables)'!I12&lt;=Inputs!AB281/12+0.001,Inputs!L278,IF('(Tables)'!I12&lt;(1+Inputs!AB281)/12+0.001,0.5*(Inputs!K278+K55),Inputs!AB278/12+Inputs!AC278*(IncStmt!J6*12/1000)^Inputs!AD278/12))</f>
        <v>0</v>
      </c>
      <c r="K55" s="226">
        <f>IF('(Tables)'!J12&lt;=Inputs!AB281/12+0.001,Inputs!M278,IF('(Tables)'!J12&lt;(1+Inputs!AB281)/12+0.001,0.5*(Inputs!L278+L55),Inputs!AB278/12+Inputs!AC278*(IncStmt!K6*12/1000)^Inputs!AD278/12))</f>
        <v>0</v>
      </c>
      <c r="L55" s="226">
        <f>IF('(Tables)'!K12&lt;=Inputs!AB281/12+0.001,Inputs!N278,IF('(Tables)'!K12&lt;(1+Inputs!AB281)/12+0.001,0.5*(Inputs!M278+N55),Inputs!AB278/12+Inputs!AC278*(IncStmt!L6*12/1000)^Inputs!AD278/12))</f>
        <v>0</v>
      </c>
      <c r="M55" s="227">
        <f t="shared" ref="M55:M60" si="20">SUM(J55:L55)</f>
        <v>0</v>
      </c>
      <c r="N55" s="226">
        <f>IF('(Tables)'!L12&lt;=Inputs!AB281/12+0.001,Inputs!O278,IF('(Tables)'!L12&lt;(1+Inputs!AB281)/12+0.001,0.5*(Inputs!N278+O55),Inputs!AB278/12+Inputs!AC278*(IncStmt!N6*12/1000)^Inputs!AD278/12))</f>
        <v>0</v>
      </c>
      <c r="O55" s="226">
        <f>IF('(Tables)'!M12&lt;=Inputs!AB281/12+0.001,Inputs!P278,IF('(Tables)'!M12&lt;(1+Inputs!AB281)/12+0.001,0.5*(Inputs!O278+P55),Inputs!AB278/12+Inputs!AC278*(IncStmt!O6*12/1000)^Inputs!AD278/12))</f>
        <v>0</v>
      </c>
      <c r="P55" s="226">
        <f>IF('(Tables)'!N12&lt;=Inputs!AB281/12+0.001,Inputs!Q278,IF('(Tables)'!N12&lt;(1+Inputs!AB281)/12+0.001,0.5*(Inputs!P278+R55),Inputs!AB278/12+Inputs!AC278*(IncStmt!P6*12/1000)^Inputs!AD278/12))</f>
        <v>0</v>
      </c>
      <c r="Q55" s="227">
        <f t="shared" ref="Q55:Q60" si="21">SUM(N55:P55)</f>
        <v>0</v>
      </c>
      <c r="R55" s="226">
        <f>IF('(Tables)'!O12&lt;=Inputs!AB281/12+0.001,Inputs!R278,IF('(Tables)'!O12&lt;(1+Inputs!AB281)/12+0.001,0.5*(Inputs!Q278+S55),Inputs!AB278/12+Inputs!AC278*(IncStmt!R6*12/1000)^Inputs!AD278/12))</f>
        <v>0</v>
      </c>
      <c r="S55" s="226">
        <f>IF('(Tables)'!P12&lt;=Inputs!AB281/12+0.001,Inputs!S278,IF('(Tables)'!P12&lt;(1+Inputs!AB281)/12+0.001,0.5*(Inputs!R278+T55),Inputs!AB278/12+Inputs!AC278*(IncStmt!S6*12/1000)^Inputs!AD278/12))</f>
        <v>0</v>
      </c>
      <c r="T55" s="226">
        <f>IF('(Tables)'!Q12&lt;=Inputs!AB281/12+0.001,Inputs!T278,IF('(Tables)'!Q12&lt;(1+Inputs!AB281)/12+0.001,0.5*(Inputs!S278+V55),Inputs!AB278/12+Inputs!AC278*(IncStmt!T6*12/1000)^Inputs!AD278/12))</f>
        <v>0</v>
      </c>
      <c r="U55" s="227">
        <f t="shared" ref="U55:U60" si="22">SUM(R55:T55)</f>
        <v>0</v>
      </c>
      <c r="V55" s="226">
        <f>IF('(Tables)'!R12&lt;=Inputs!AB281/12+0.001,Inputs!U278,IF('(Tables)'!R12&lt;(1+Inputs!AB281)/12+0.001,0.5*(Inputs!T278+W55),Inputs!AB278/12+Inputs!AC278*(IncStmt!V6*12/1000)^Inputs!AD278/12))</f>
        <v>0</v>
      </c>
      <c r="W55" s="226">
        <f>IF('(Tables)'!S12&lt;=Inputs!AB281/12+0.001,Inputs!V278,IF('(Tables)'!S12&lt;(1+Inputs!AB281)/12+0.001,0.5*(Inputs!U278+X55),Inputs!AB278/12+Inputs!AC278*(IncStmt!W6*12/1000)^Inputs!AD278/12))</f>
        <v>0</v>
      </c>
      <c r="X55" s="226">
        <f>IF('(Tables)'!T12&lt;=Inputs!AB281/12+0.001,Inputs!W278,IF('(Tables)'!T12&lt;(1+Inputs!AB281)/12+0.001,0.5*(Inputs!V278+Inputs!W278),Inputs!AB278/12+Inputs!AC278*(IncStmt!X6*12/1000)^Inputs!AD278/12))</f>
        <v>0</v>
      </c>
      <c r="Y55" s="227">
        <f t="shared" ref="Y55:Y60" si="23">SUM(V55:X55)</f>
        <v>0</v>
      </c>
    </row>
    <row r="56" spans="1:25" ht="12.75" hidden="1" customHeight="1" outlineLevel="1" x14ac:dyDescent="0.2">
      <c r="A56" s="198" t="str">
        <f>"      "&amp;Labels!B382</f>
        <v xml:space="preserve">      Practice 2</v>
      </c>
      <c r="B56" s="226">
        <f>IF('(Tables)'!C12&lt;=Inputs!AB281/12+0.001,Inputs!F279,IF('(Tables)'!C12&lt;(1+Inputs!AB281)/12+0.001,0.5*(Inputs!F279+C56),Inputs!AB279/12+Inputs!AC279*(IncStmt!B6*12/1000)^Inputs!AD279/12))</f>
        <v>0</v>
      </c>
      <c r="C56" s="226">
        <f>IF('(Tables)'!D12&lt;=Inputs!AB281/12+0.001,Inputs!G279,IF('(Tables)'!D12&lt;(1+Inputs!AB281)/12+0.001,0.5*(Inputs!F279+D56),Inputs!AB279/12+Inputs!AC279*(IncStmt!C6*12/1000)^Inputs!AD279/12))</f>
        <v>0</v>
      </c>
      <c r="D56" s="226">
        <f>IF('(Tables)'!E12&lt;=Inputs!AB281/12+0.001,Inputs!H279,IF('(Tables)'!E12&lt;(1+Inputs!AB281)/12+0.001,0.5*(Inputs!G279+F56),Inputs!AB279/12+Inputs!AC279*(IncStmt!D6*12/1000)^Inputs!AD279/12))</f>
        <v>0</v>
      </c>
      <c r="E56" s="227">
        <f t="shared" si="18"/>
        <v>0</v>
      </c>
      <c r="F56" s="226">
        <f>IF('(Tables)'!F12&lt;=Inputs!AB281/12+0.001,Inputs!I279,IF('(Tables)'!F12&lt;(1+Inputs!AB281)/12+0.001,0.5*(Inputs!H279+G56),Inputs!AB279/12+Inputs!AC279*(IncStmt!F6*12/1000)^Inputs!AD279/12))</f>
        <v>0</v>
      </c>
      <c r="G56" s="226">
        <f>IF('(Tables)'!G12&lt;=Inputs!AB281/12+0.001,Inputs!J279,IF('(Tables)'!G12&lt;(1+Inputs!AB281)/12+0.001,0.5*(Inputs!I279+H56),Inputs!AB279/12+Inputs!AC279*(IncStmt!G6*12/1000)^Inputs!AD279/12))</f>
        <v>0</v>
      </c>
      <c r="H56" s="226">
        <f>IF('(Tables)'!H12&lt;=Inputs!AB281/12+0.001,Inputs!K279,IF('(Tables)'!H12&lt;(1+Inputs!AB281)/12+0.001,0.5*(Inputs!J279+J56),Inputs!AB279/12+Inputs!AC279*(IncStmt!H6*12/1000)^Inputs!AD279/12))</f>
        <v>0</v>
      </c>
      <c r="I56" s="227">
        <f t="shared" si="19"/>
        <v>0</v>
      </c>
      <c r="J56" s="226">
        <f>IF('(Tables)'!I12&lt;=Inputs!AB281/12+0.001,Inputs!L279,IF('(Tables)'!I12&lt;(1+Inputs!AB281)/12+0.001,0.5*(Inputs!K279+K56),Inputs!AB279/12+Inputs!AC279*(IncStmt!J6*12/1000)^Inputs!AD279/12))</f>
        <v>0</v>
      </c>
      <c r="K56" s="226">
        <f>IF('(Tables)'!J12&lt;=Inputs!AB281/12+0.001,Inputs!M279,IF('(Tables)'!J12&lt;(1+Inputs!AB281)/12+0.001,0.5*(Inputs!L279+L56),Inputs!AB279/12+Inputs!AC279*(IncStmt!K6*12/1000)^Inputs!AD279/12))</f>
        <v>0</v>
      </c>
      <c r="L56" s="226">
        <f>IF('(Tables)'!K12&lt;=Inputs!AB281/12+0.001,Inputs!N279,IF('(Tables)'!K12&lt;(1+Inputs!AB281)/12+0.001,0.5*(Inputs!M279+N56),Inputs!AB279/12+Inputs!AC279*(IncStmt!L6*12/1000)^Inputs!AD279/12))</f>
        <v>0</v>
      </c>
      <c r="M56" s="227">
        <f t="shared" si="20"/>
        <v>0</v>
      </c>
      <c r="N56" s="226">
        <f>IF('(Tables)'!L12&lt;=Inputs!AB281/12+0.001,Inputs!O279,IF('(Tables)'!L12&lt;(1+Inputs!AB281)/12+0.001,0.5*(Inputs!N279+O56),Inputs!AB279/12+Inputs!AC279*(IncStmt!N6*12/1000)^Inputs!AD279/12))</f>
        <v>0</v>
      </c>
      <c r="O56" s="226">
        <f>IF('(Tables)'!M12&lt;=Inputs!AB281/12+0.001,Inputs!P279,IF('(Tables)'!M12&lt;(1+Inputs!AB281)/12+0.001,0.5*(Inputs!O279+P56),Inputs!AB279/12+Inputs!AC279*(IncStmt!O6*12/1000)^Inputs!AD279/12))</f>
        <v>0</v>
      </c>
      <c r="P56" s="226">
        <f>IF('(Tables)'!N12&lt;=Inputs!AB281/12+0.001,Inputs!Q279,IF('(Tables)'!N12&lt;(1+Inputs!AB281)/12+0.001,0.5*(Inputs!P279+R56),Inputs!AB279/12+Inputs!AC279*(IncStmt!P6*12/1000)^Inputs!AD279/12))</f>
        <v>0</v>
      </c>
      <c r="Q56" s="227">
        <f t="shared" si="21"/>
        <v>0</v>
      </c>
      <c r="R56" s="226">
        <f>IF('(Tables)'!O12&lt;=Inputs!AB281/12+0.001,Inputs!R279,IF('(Tables)'!O12&lt;(1+Inputs!AB281)/12+0.001,0.5*(Inputs!Q279+S56),Inputs!AB279/12+Inputs!AC279*(IncStmt!R6*12/1000)^Inputs!AD279/12))</f>
        <v>0</v>
      </c>
      <c r="S56" s="226">
        <f>IF('(Tables)'!P12&lt;=Inputs!AB281/12+0.001,Inputs!S279,IF('(Tables)'!P12&lt;(1+Inputs!AB281)/12+0.001,0.5*(Inputs!R279+T56),Inputs!AB279/12+Inputs!AC279*(IncStmt!S6*12/1000)^Inputs!AD279/12))</f>
        <v>0</v>
      </c>
      <c r="T56" s="226">
        <f>IF('(Tables)'!Q12&lt;=Inputs!AB281/12+0.001,Inputs!T279,IF('(Tables)'!Q12&lt;(1+Inputs!AB281)/12+0.001,0.5*(Inputs!S279+V56),Inputs!AB279/12+Inputs!AC279*(IncStmt!T6*12/1000)^Inputs!AD279/12))</f>
        <v>0</v>
      </c>
      <c r="U56" s="227">
        <f t="shared" si="22"/>
        <v>0</v>
      </c>
      <c r="V56" s="226">
        <f>IF('(Tables)'!R12&lt;=Inputs!AB281/12+0.001,Inputs!U279,IF('(Tables)'!R12&lt;(1+Inputs!AB281)/12+0.001,0.5*(Inputs!T279+W56),Inputs!AB279/12+Inputs!AC279*(IncStmt!V6*12/1000)^Inputs!AD279/12))</f>
        <v>0</v>
      </c>
      <c r="W56" s="226">
        <f>IF('(Tables)'!S12&lt;=Inputs!AB281/12+0.001,Inputs!V279,IF('(Tables)'!S12&lt;(1+Inputs!AB281)/12+0.001,0.5*(Inputs!U279+X56),Inputs!AB279/12+Inputs!AC279*(IncStmt!W6*12/1000)^Inputs!AD279/12))</f>
        <v>0</v>
      </c>
      <c r="X56" s="226">
        <f>IF('(Tables)'!T12&lt;=Inputs!AB281/12+0.001,Inputs!W279,IF('(Tables)'!T12&lt;(1+Inputs!AB281)/12+0.001,0.5*(Inputs!V279+Inputs!W279),Inputs!AB279/12+Inputs!AC279*(IncStmt!X6*12/1000)^Inputs!AD279/12))</f>
        <v>0</v>
      </c>
      <c r="Y56" s="227">
        <f t="shared" si="23"/>
        <v>0</v>
      </c>
    </row>
    <row r="57" spans="1:25" ht="12.75" hidden="1" customHeight="1" outlineLevel="1" x14ac:dyDescent="0.2">
      <c r="A57" s="188" t="str">
        <f>"      "&amp;Labels!C380</f>
        <v xml:space="preserve">      Total</v>
      </c>
      <c r="B57" s="196">
        <f>SUM(B55:B56)</f>
        <v>0</v>
      </c>
      <c r="C57" s="196">
        <f>SUM(C55:C56)</f>
        <v>0</v>
      </c>
      <c r="D57" s="196">
        <f>SUM(D55:D56)</f>
        <v>0</v>
      </c>
      <c r="E57" s="197">
        <f t="shared" si="18"/>
        <v>0</v>
      </c>
      <c r="F57" s="196">
        <f>SUM(F55:F56)</f>
        <v>0</v>
      </c>
      <c r="G57" s="196">
        <f>SUM(G55:G56)</f>
        <v>0</v>
      </c>
      <c r="H57" s="196">
        <f>SUM(H55:H56)</f>
        <v>0</v>
      </c>
      <c r="I57" s="197">
        <f t="shared" si="19"/>
        <v>0</v>
      </c>
      <c r="J57" s="196">
        <f>SUM(J55:J56)</f>
        <v>0</v>
      </c>
      <c r="K57" s="196">
        <f>SUM(K55:K56)</f>
        <v>0</v>
      </c>
      <c r="L57" s="196">
        <f>SUM(L55:L56)</f>
        <v>0</v>
      </c>
      <c r="M57" s="197">
        <f t="shared" si="20"/>
        <v>0</v>
      </c>
      <c r="N57" s="196">
        <f>SUM(N55:N56)</f>
        <v>0</v>
      </c>
      <c r="O57" s="196">
        <f>SUM(O55:O56)</f>
        <v>0</v>
      </c>
      <c r="P57" s="196">
        <f>SUM(P55:P56)</f>
        <v>0</v>
      </c>
      <c r="Q57" s="197">
        <f t="shared" si="21"/>
        <v>0</v>
      </c>
      <c r="R57" s="196">
        <f>SUM(R55:R56)</f>
        <v>0</v>
      </c>
      <c r="S57" s="196">
        <f>SUM(S55:S56)</f>
        <v>0</v>
      </c>
      <c r="T57" s="196">
        <f>SUM(T55:T56)</f>
        <v>0</v>
      </c>
      <c r="U57" s="197">
        <f t="shared" si="22"/>
        <v>0</v>
      </c>
      <c r="V57" s="196">
        <f>SUM(V55:V56)</f>
        <v>0</v>
      </c>
      <c r="W57" s="196">
        <f>SUM(W55:W56)</f>
        <v>0</v>
      </c>
      <c r="X57" s="196">
        <f>SUM(X55:X56)</f>
        <v>0</v>
      </c>
      <c r="Y57" s="197">
        <f t="shared" si="23"/>
        <v>0</v>
      </c>
    </row>
    <row r="58" spans="1:25" ht="12.75" hidden="1" customHeight="1" outlineLevel="1" x14ac:dyDescent="0.2">
      <c r="A58" s="191" t="str">
        <f>"   "&amp;Labels!C368</f>
        <v xml:space="preserve">   Total</v>
      </c>
      <c r="B58" s="192">
        <f>SUM(B53,B57)</f>
        <v>0</v>
      </c>
      <c r="C58" s="192">
        <f>SUM(C53,C57)</f>
        <v>0</v>
      </c>
      <c r="D58" s="192">
        <f>SUM(D53,D57)</f>
        <v>0</v>
      </c>
      <c r="E58" s="190">
        <f t="shared" si="18"/>
        <v>0</v>
      </c>
      <c r="F58" s="192">
        <f>SUM(F53,F57)</f>
        <v>0</v>
      </c>
      <c r="G58" s="192">
        <f>SUM(G53,G57)</f>
        <v>0</v>
      </c>
      <c r="H58" s="192">
        <f>SUM(H53,H57)</f>
        <v>0</v>
      </c>
      <c r="I58" s="190">
        <f t="shared" si="19"/>
        <v>0</v>
      </c>
      <c r="J58" s="192">
        <f>SUM(J53,J57)</f>
        <v>0</v>
      </c>
      <c r="K58" s="192">
        <f>SUM(K53,K57)</f>
        <v>0</v>
      </c>
      <c r="L58" s="192">
        <f>SUM(L53,L57)</f>
        <v>0</v>
      </c>
      <c r="M58" s="190">
        <f t="shared" si="20"/>
        <v>0</v>
      </c>
      <c r="N58" s="192">
        <f>SUM(N53,N57)</f>
        <v>0</v>
      </c>
      <c r="O58" s="192">
        <f>SUM(O53,O57)</f>
        <v>0</v>
      </c>
      <c r="P58" s="192">
        <f>SUM(P53,P57)</f>
        <v>0</v>
      </c>
      <c r="Q58" s="190">
        <f t="shared" si="21"/>
        <v>0</v>
      </c>
      <c r="R58" s="192">
        <f>SUM(R53,R57)</f>
        <v>0</v>
      </c>
      <c r="S58" s="192">
        <f>SUM(S53,S57)</f>
        <v>0</v>
      </c>
      <c r="T58" s="192">
        <f>SUM(T53,T57)</f>
        <v>0</v>
      </c>
      <c r="U58" s="190">
        <f t="shared" si="22"/>
        <v>0</v>
      </c>
      <c r="V58" s="192">
        <f>SUM(V53,V57)</f>
        <v>0</v>
      </c>
      <c r="W58" s="192">
        <f>SUM(W53,W57)</f>
        <v>0</v>
      </c>
      <c r="X58" s="192">
        <f>SUM(X53,X57)</f>
        <v>0</v>
      </c>
      <c r="Y58" s="190">
        <f t="shared" si="23"/>
        <v>0</v>
      </c>
    </row>
    <row r="59" spans="1:25" ht="12.75" hidden="1" customHeight="1" outlineLevel="1" x14ac:dyDescent="0.2">
      <c r="A59" s="198" t="str">
        <f>"      "&amp;Labels!B381</f>
        <v xml:space="preserve">      Practice 1</v>
      </c>
      <c r="B59" s="226">
        <f t="shared" ref="B59:D61" si="24">SUM(B51,B55)</f>
        <v>0</v>
      </c>
      <c r="C59" s="226">
        <f t="shared" si="24"/>
        <v>0</v>
      </c>
      <c r="D59" s="226">
        <f t="shared" si="24"/>
        <v>0</v>
      </c>
      <c r="E59" s="227">
        <f t="shared" si="18"/>
        <v>0</v>
      </c>
      <c r="F59" s="226">
        <f t="shared" ref="F59:H61" si="25">SUM(F51,F55)</f>
        <v>0</v>
      </c>
      <c r="G59" s="226">
        <f t="shared" si="25"/>
        <v>0</v>
      </c>
      <c r="H59" s="226">
        <f t="shared" si="25"/>
        <v>0</v>
      </c>
      <c r="I59" s="227">
        <f t="shared" si="19"/>
        <v>0</v>
      </c>
      <c r="J59" s="226">
        <f t="shared" ref="J59:L61" si="26">SUM(J51,J55)</f>
        <v>0</v>
      </c>
      <c r="K59" s="226">
        <f t="shared" si="26"/>
        <v>0</v>
      </c>
      <c r="L59" s="226">
        <f t="shared" si="26"/>
        <v>0</v>
      </c>
      <c r="M59" s="227">
        <f t="shared" si="20"/>
        <v>0</v>
      </c>
      <c r="N59" s="226">
        <f t="shared" ref="N59:P61" si="27">SUM(N51,N55)</f>
        <v>0</v>
      </c>
      <c r="O59" s="226">
        <f t="shared" si="27"/>
        <v>0</v>
      </c>
      <c r="P59" s="226">
        <f t="shared" si="27"/>
        <v>0</v>
      </c>
      <c r="Q59" s="227">
        <f t="shared" si="21"/>
        <v>0</v>
      </c>
      <c r="R59" s="226">
        <f t="shared" ref="R59:T61" si="28">SUM(R51,R55)</f>
        <v>0</v>
      </c>
      <c r="S59" s="226">
        <f t="shared" si="28"/>
        <v>0</v>
      </c>
      <c r="T59" s="226">
        <f t="shared" si="28"/>
        <v>0</v>
      </c>
      <c r="U59" s="227">
        <f t="shared" si="22"/>
        <v>0</v>
      </c>
      <c r="V59" s="226">
        <f t="shared" ref="V59:X61" si="29">SUM(V51,V55)</f>
        <v>0</v>
      </c>
      <c r="W59" s="226">
        <f t="shared" si="29"/>
        <v>0</v>
      </c>
      <c r="X59" s="226">
        <f t="shared" si="29"/>
        <v>0</v>
      </c>
      <c r="Y59" s="227">
        <f t="shared" si="23"/>
        <v>0</v>
      </c>
    </row>
    <row r="60" spans="1:25" ht="12.75" hidden="1" customHeight="1" outlineLevel="1" x14ac:dyDescent="0.2">
      <c r="A60" s="198" t="str">
        <f>"      "&amp;Labels!B382</f>
        <v xml:space="preserve">      Practice 2</v>
      </c>
      <c r="B60" s="226">
        <f t="shared" si="24"/>
        <v>0</v>
      </c>
      <c r="C60" s="226">
        <f t="shared" si="24"/>
        <v>0</v>
      </c>
      <c r="D60" s="226">
        <f t="shared" si="24"/>
        <v>0</v>
      </c>
      <c r="E60" s="227">
        <f t="shared" si="18"/>
        <v>0</v>
      </c>
      <c r="F60" s="226">
        <f t="shared" si="25"/>
        <v>0</v>
      </c>
      <c r="G60" s="226">
        <f t="shared" si="25"/>
        <v>0</v>
      </c>
      <c r="H60" s="226">
        <f t="shared" si="25"/>
        <v>0</v>
      </c>
      <c r="I60" s="227">
        <f t="shared" si="19"/>
        <v>0</v>
      </c>
      <c r="J60" s="226">
        <f t="shared" si="26"/>
        <v>0</v>
      </c>
      <c r="K60" s="226">
        <f t="shared" si="26"/>
        <v>0</v>
      </c>
      <c r="L60" s="226">
        <f t="shared" si="26"/>
        <v>0</v>
      </c>
      <c r="M60" s="227">
        <f t="shared" si="20"/>
        <v>0</v>
      </c>
      <c r="N60" s="226">
        <f t="shared" si="27"/>
        <v>0</v>
      </c>
      <c r="O60" s="226">
        <f t="shared" si="27"/>
        <v>0</v>
      </c>
      <c r="P60" s="226">
        <f t="shared" si="27"/>
        <v>0</v>
      </c>
      <c r="Q60" s="227">
        <f t="shared" si="21"/>
        <v>0</v>
      </c>
      <c r="R60" s="226">
        <f t="shared" si="28"/>
        <v>0</v>
      </c>
      <c r="S60" s="226">
        <f t="shared" si="28"/>
        <v>0</v>
      </c>
      <c r="T60" s="226">
        <f t="shared" si="28"/>
        <v>0</v>
      </c>
      <c r="U60" s="227">
        <f t="shared" si="22"/>
        <v>0</v>
      </c>
      <c r="V60" s="226">
        <f t="shared" si="29"/>
        <v>0</v>
      </c>
      <c r="W60" s="226">
        <f t="shared" si="29"/>
        <v>0</v>
      </c>
      <c r="X60" s="226">
        <f t="shared" si="29"/>
        <v>0</v>
      </c>
      <c r="Y60" s="227">
        <f t="shared" si="23"/>
        <v>0</v>
      </c>
    </row>
    <row r="61" spans="1:25" ht="12.75" hidden="1" customHeight="1" outlineLevel="1" x14ac:dyDescent="0.2">
      <c r="A61" s="220" t="str">
        <f>"      "&amp;Labels!C380</f>
        <v xml:space="preserve">      Total</v>
      </c>
      <c r="B61" s="228">
        <f t="shared" si="24"/>
        <v>0</v>
      </c>
      <c r="C61" s="228">
        <f t="shared" si="24"/>
        <v>0</v>
      </c>
      <c r="D61" s="228">
        <f t="shared" si="24"/>
        <v>0</v>
      </c>
      <c r="E61" s="229">
        <f>SUM(B58:D58)</f>
        <v>0</v>
      </c>
      <c r="F61" s="228">
        <f t="shared" si="25"/>
        <v>0</v>
      </c>
      <c r="G61" s="228">
        <f t="shared" si="25"/>
        <v>0</v>
      </c>
      <c r="H61" s="228">
        <f t="shared" si="25"/>
        <v>0</v>
      </c>
      <c r="I61" s="229">
        <f>SUM(F58:H58)</f>
        <v>0</v>
      </c>
      <c r="J61" s="228">
        <f t="shared" si="26"/>
        <v>0</v>
      </c>
      <c r="K61" s="228">
        <f t="shared" si="26"/>
        <v>0</v>
      </c>
      <c r="L61" s="228">
        <f t="shared" si="26"/>
        <v>0</v>
      </c>
      <c r="M61" s="229">
        <f>SUM(J58:L58)</f>
        <v>0</v>
      </c>
      <c r="N61" s="228">
        <f t="shared" si="27"/>
        <v>0</v>
      </c>
      <c r="O61" s="228">
        <f t="shared" si="27"/>
        <v>0</v>
      </c>
      <c r="P61" s="228">
        <f t="shared" si="27"/>
        <v>0</v>
      </c>
      <c r="Q61" s="229">
        <f>SUM(N58:P58)</f>
        <v>0</v>
      </c>
      <c r="R61" s="228">
        <f t="shared" si="28"/>
        <v>0</v>
      </c>
      <c r="S61" s="228">
        <f t="shared" si="28"/>
        <v>0</v>
      </c>
      <c r="T61" s="228">
        <f t="shared" si="28"/>
        <v>0</v>
      </c>
      <c r="U61" s="229">
        <f>SUM(R58:T58)</f>
        <v>0</v>
      </c>
      <c r="V61" s="228">
        <f t="shared" si="29"/>
        <v>0</v>
      </c>
      <c r="W61" s="228">
        <f t="shared" si="29"/>
        <v>0</v>
      </c>
      <c r="X61" s="228">
        <f t="shared" si="29"/>
        <v>0</v>
      </c>
      <c r="Y61" s="229">
        <f>SUM(V58:X58)</f>
        <v>0</v>
      </c>
    </row>
    <row r="62" spans="1:25" ht="12.75" hidden="1" customHeight="1" outlineLevel="1" x14ac:dyDescent="0.2"/>
    <row r="63" spans="1:25" ht="12.75" hidden="1" customHeight="1" outlineLevel="1" collapsed="1" x14ac:dyDescent="0.2"/>
    <row r="64" spans="1:25" ht="12.75" customHeight="1" collapsed="1" x14ac:dyDescent="0.2"/>
    <row r="65" spans="1:25" ht="12.75" customHeight="1" collapsed="1" x14ac:dyDescent="0.2">
      <c r="A65" s="464" t="str">
        <f>"Development Spending"</f>
        <v>Development Spending</v>
      </c>
      <c r="B65" s="464"/>
      <c r="C65" s="464"/>
      <c r="D65" s="464"/>
      <c r="E65" s="464"/>
    </row>
    <row r="66" spans="1:25" ht="12.75" hidden="1" customHeight="1" outlineLevel="1" x14ac:dyDescent="0.2">
      <c r="A66" s="1" t="str">
        <f>""</f>
        <v/>
      </c>
    </row>
    <row r="67" spans="1:25" ht="12.75" hidden="1" customHeight="1" outlineLevel="1" x14ac:dyDescent="0.2">
      <c r="B67" s="9" t="str">
        <f>'(FnCalls 1)'!F41</f>
        <v>MMM 2010</v>
      </c>
      <c r="C67" s="10" t="str">
        <f>'(FnCalls 1)'!F42</f>
        <v>MMM 2010</v>
      </c>
      <c r="D67" s="10" t="str">
        <f>'(FnCalls 1)'!F43</f>
        <v>MMM 2010</v>
      </c>
      <c r="E67" s="181" t="str">
        <f>'(FnCalls 1)'!G41</f>
        <v>Q1 2010</v>
      </c>
      <c r="F67" s="10" t="str">
        <f>'(FnCalls 1)'!F44</f>
        <v>MMM 2010</v>
      </c>
      <c r="G67" s="10" t="str">
        <f>'(FnCalls 1)'!F45</f>
        <v>MMM 2010</v>
      </c>
      <c r="H67" s="10" t="str">
        <f>'(FnCalls 1)'!F46</f>
        <v>MMM 2010</v>
      </c>
      <c r="I67" s="181" t="str">
        <f>'(FnCalls 1)'!G44</f>
        <v>Q2 2010</v>
      </c>
      <c r="J67" s="10" t="str">
        <f>'(FnCalls 1)'!F47</f>
        <v>MMM 2010</v>
      </c>
      <c r="K67" s="10" t="str">
        <f>'(FnCalls 1)'!F48</f>
        <v>MMM 2010</v>
      </c>
      <c r="L67" s="10" t="str">
        <f>'(FnCalls 1)'!F49</f>
        <v>MMM 2010</v>
      </c>
      <c r="M67" s="181" t="str">
        <f>'(FnCalls 1)'!G47</f>
        <v>Q3 2010</v>
      </c>
      <c r="N67" s="10" t="str">
        <f>'(FnCalls 1)'!F50</f>
        <v>MMM 2010</v>
      </c>
      <c r="O67" s="10" t="str">
        <f>'(FnCalls 1)'!F51</f>
        <v>MMM 2010</v>
      </c>
      <c r="P67" s="10" t="str">
        <f>'(FnCalls 1)'!F52</f>
        <v>MMM 2010</v>
      </c>
      <c r="Q67" s="181" t="str">
        <f>'(FnCalls 1)'!G50</f>
        <v>Q4 2010</v>
      </c>
      <c r="R67" s="10" t="str">
        <f>'(FnCalls 1)'!F53</f>
        <v>MMM 2011</v>
      </c>
      <c r="S67" s="10" t="str">
        <f>'(FnCalls 1)'!F54</f>
        <v>MMM 2011</v>
      </c>
      <c r="T67" s="10" t="str">
        <f>'(FnCalls 1)'!F55</f>
        <v>MMM 2011</v>
      </c>
      <c r="U67" s="181" t="str">
        <f>'(FnCalls 1)'!G53</f>
        <v>Q1 2011</v>
      </c>
      <c r="V67" s="10" t="str">
        <f>'(FnCalls 1)'!F56</f>
        <v>MMM 2011</v>
      </c>
      <c r="W67" s="10" t="str">
        <f>'(FnCalls 1)'!F57</f>
        <v>MMM 2011</v>
      </c>
      <c r="X67" s="10" t="str">
        <f>'(FnCalls 1)'!F58</f>
        <v>MMM 2011</v>
      </c>
      <c r="Y67" s="181" t="str">
        <f>'(FnCalls 1)'!G56</f>
        <v>Q2 2011</v>
      </c>
    </row>
    <row r="68" spans="1:25" ht="12.75" hidden="1" customHeight="1" outlineLevel="1" x14ac:dyDescent="0.2">
      <c r="A68" s="182" t="str">
        <f>Labels!B59</f>
        <v>New Cap'd Development</v>
      </c>
      <c r="B68" s="269"/>
      <c r="C68" s="269"/>
      <c r="D68" s="269"/>
      <c r="E68" s="322"/>
      <c r="F68" s="269"/>
      <c r="G68" s="269"/>
      <c r="H68" s="269"/>
      <c r="I68" s="322"/>
      <c r="J68" s="269"/>
      <c r="K68" s="269"/>
      <c r="L68" s="269"/>
      <c r="M68" s="322"/>
      <c r="N68" s="269"/>
      <c r="O68" s="269"/>
      <c r="P68" s="269"/>
      <c r="Q68" s="322"/>
      <c r="R68" s="269"/>
      <c r="S68" s="269"/>
      <c r="T68" s="269"/>
      <c r="U68" s="322"/>
      <c r="V68" s="269"/>
      <c r="W68" s="269"/>
      <c r="X68" s="269"/>
      <c r="Y68" s="322"/>
    </row>
    <row r="69" spans="1:25" ht="12.75" hidden="1" customHeight="1" outlineLevel="1" x14ac:dyDescent="0.2">
      <c r="A69" s="188" t="str">
        <f>"   "&amp;Labels!B381</f>
        <v xml:space="preserve">   Practice 1</v>
      </c>
      <c r="B69" s="248">
        <f>Inputs!F395*Practices!B329</f>
        <v>0</v>
      </c>
      <c r="C69" s="248">
        <f>Inputs!G395*Practices!C329</f>
        <v>0</v>
      </c>
      <c r="D69" s="248">
        <f>Inputs!H395*Practices!D329</f>
        <v>0</v>
      </c>
      <c r="E69" s="249">
        <f>SUM(B69:D69)</f>
        <v>0</v>
      </c>
      <c r="F69" s="248">
        <f>Inputs!I395*Practices!F329</f>
        <v>0</v>
      </c>
      <c r="G69" s="248">
        <f>Inputs!J395*Practices!G329</f>
        <v>0</v>
      </c>
      <c r="H69" s="248">
        <f>Inputs!K395*Practices!H329</f>
        <v>0</v>
      </c>
      <c r="I69" s="249">
        <f>SUM(F69:H69)</f>
        <v>0</v>
      </c>
      <c r="J69" s="248">
        <f>Inputs!L395*Practices!J329</f>
        <v>0</v>
      </c>
      <c r="K69" s="248">
        <f>Inputs!M395*Practices!K329</f>
        <v>0</v>
      </c>
      <c r="L69" s="248">
        <f>Inputs!N395*Practices!L329</f>
        <v>0</v>
      </c>
      <c r="M69" s="249">
        <f>SUM(J69:L69)</f>
        <v>0</v>
      </c>
      <c r="N69" s="248">
        <f>Inputs!O395*Practices!N329</f>
        <v>0</v>
      </c>
      <c r="O69" s="248">
        <f>Inputs!P395*Practices!O329</f>
        <v>0</v>
      </c>
      <c r="P69" s="248">
        <f>Inputs!Q395*Practices!P329</f>
        <v>0</v>
      </c>
      <c r="Q69" s="249">
        <f>SUM(N69:P69)</f>
        <v>0</v>
      </c>
      <c r="R69" s="248">
        <f>Inputs!R395*Practices!R329</f>
        <v>0</v>
      </c>
      <c r="S69" s="248">
        <f>Inputs!S395*Practices!S329</f>
        <v>0</v>
      </c>
      <c r="T69" s="248">
        <f>Inputs!T395*Practices!T329</f>
        <v>0</v>
      </c>
      <c r="U69" s="249">
        <f>SUM(R69:T69)</f>
        <v>0</v>
      </c>
      <c r="V69" s="248">
        <f>Inputs!U395*Practices!V329</f>
        <v>0</v>
      </c>
      <c r="W69" s="248">
        <f>Inputs!V395*Practices!W329</f>
        <v>0</v>
      </c>
      <c r="X69" s="248">
        <f>Inputs!W395*Practices!X329</f>
        <v>0</v>
      </c>
      <c r="Y69" s="249">
        <f>SUM(V69:X69)</f>
        <v>0</v>
      </c>
    </row>
    <row r="70" spans="1:25" ht="12.75" hidden="1" customHeight="1" outlineLevel="1" x14ac:dyDescent="0.2">
      <c r="A70" s="188" t="str">
        <f>"   "&amp;Labels!B382</f>
        <v xml:space="preserve">   Practice 2</v>
      </c>
      <c r="B70" s="248">
        <f>Inputs!F396*Practices!B330</f>
        <v>0</v>
      </c>
      <c r="C70" s="248">
        <f>Inputs!G396*Practices!C330</f>
        <v>0</v>
      </c>
      <c r="D70" s="248">
        <f>Inputs!H396*Practices!D330</f>
        <v>0</v>
      </c>
      <c r="E70" s="249">
        <f>SUM(B70:D70)</f>
        <v>0</v>
      </c>
      <c r="F70" s="248">
        <f>Inputs!I396*Practices!F330</f>
        <v>0</v>
      </c>
      <c r="G70" s="248">
        <f>Inputs!J396*Practices!G330</f>
        <v>0</v>
      </c>
      <c r="H70" s="248">
        <f>Inputs!K396*Practices!H330</f>
        <v>0</v>
      </c>
      <c r="I70" s="249">
        <f>SUM(F70:H70)</f>
        <v>0</v>
      </c>
      <c r="J70" s="248">
        <f>Inputs!L396*Practices!J330</f>
        <v>0</v>
      </c>
      <c r="K70" s="248">
        <f>Inputs!M396*Practices!K330</f>
        <v>0</v>
      </c>
      <c r="L70" s="248">
        <f>Inputs!N396*Practices!L330</f>
        <v>0</v>
      </c>
      <c r="M70" s="249">
        <f>SUM(J70:L70)</f>
        <v>0</v>
      </c>
      <c r="N70" s="248">
        <f>Inputs!O396*Practices!N330</f>
        <v>0</v>
      </c>
      <c r="O70" s="248">
        <f>Inputs!P396*Practices!O330</f>
        <v>0</v>
      </c>
      <c r="P70" s="248">
        <f>Inputs!Q396*Practices!P330</f>
        <v>0</v>
      </c>
      <c r="Q70" s="249">
        <f>SUM(N70:P70)</f>
        <v>0</v>
      </c>
      <c r="R70" s="248">
        <f>Inputs!R396*Practices!R330</f>
        <v>0</v>
      </c>
      <c r="S70" s="248">
        <f>Inputs!S396*Practices!S330</f>
        <v>0</v>
      </c>
      <c r="T70" s="248">
        <f>Inputs!T396*Practices!T330</f>
        <v>0</v>
      </c>
      <c r="U70" s="249">
        <f>SUM(R70:T70)</f>
        <v>0</v>
      </c>
      <c r="V70" s="248">
        <f>Inputs!U396*Practices!V330</f>
        <v>0</v>
      </c>
      <c r="W70" s="248">
        <f>Inputs!V396*Practices!W330</f>
        <v>0</v>
      </c>
      <c r="X70" s="248">
        <f>Inputs!W396*Practices!X330</f>
        <v>0</v>
      </c>
      <c r="Y70" s="249">
        <f>SUM(V70:X70)</f>
        <v>0</v>
      </c>
    </row>
    <row r="71" spans="1:25" ht="12.75" hidden="1" customHeight="1" outlineLevel="1" x14ac:dyDescent="0.2">
      <c r="A71" s="185" t="str">
        <f>"   "&amp;Labels!C380</f>
        <v xml:space="preserve">   Total</v>
      </c>
      <c r="B71" s="273">
        <f>SUM(B69:B70)</f>
        <v>0</v>
      </c>
      <c r="C71" s="273">
        <f>SUM(C69:C70)</f>
        <v>0</v>
      </c>
      <c r="D71" s="273">
        <f>SUM(D69:D70)</f>
        <v>0</v>
      </c>
      <c r="E71" s="323">
        <f>SUM(B71:D71)</f>
        <v>0</v>
      </c>
      <c r="F71" s="273">
        <f>SUM(F69:F70)</f>
        <v>0</v>
      </c>
      <c r="G71" s="273">
        <f>SUM(G69:G70)</f>
        <v>0</v>
      </c>
      <c r="H71" s="273">
        <f>SUM(H69:H70)</f>
        <v>0</v>
      </c>
      <c r="I71" s="323">
        <f>SUM(F71:H71)</f>
        <v>0</v>
      </c>
      <c r="J71" s="273">
        <f>SUM(J69:J70)</f>
        <v>0</v>
      </c>
      <c r="K71" s="273">
        <f>SUM(K69:K70)</f>
        <v>0</v>
      </c>
      <c r="L71" s="273">
        <f>SUM(L69:L70)</f>
        <v>0</v>
      </c>
      <c r="M71" s="323">
        <f>SUM(J71:L71)</f>
        <v>0</v>
      </c>
      <c r="N71" s="273">
        <f>SUM(N69:N70)</f>
        <v>0</v>
      </c>
      <c r="O71" s="273">
        <f>SUM(O69:O70)</f>
        <v>0</v>
      </c>
      <c r="P71" s="273">
        <f>SUM(P69:P70)</f>
        <v>0</v>
      </c>
      <c r="Q71" s="323">
        <f>SUM(N71:P71)</f>
        <v>0</v>
      </c>
      <c r="R71" s="273">
        <f>SUM(R69:R70)</f>
        <v>0</v>
      </c>
      <c r="S71" s="273">
        <f>SUM(S69:S70)</f>
        <v>0</v>
      </c>
      <c r="T71" s="273">
        <f>SUM(T69:T70)</f>
        <v>0</v>
      </c>
      <c r="U71" s="323">
        <f>SUM(R71:T71)</f>
        <v>0</v>
      </c>
      <c r="V71" s="273">
        <f>SUM(V69:V70)</f>
        <v>0</v>
      </c>
      <c r="W71" s="273">
        <f>SUM(W69:W70)</f>
        <v>0</v>
      </c>
      <c r="X71" s="273">
        <f>SUM(X69:X70)</f>
        <v>0</v>
      </c>
      <c r="Y71" s="323">
        <f>SUM(V71:X71)</f>
        <v>0</v>
      </c>
    </row>
    <row r="72" spans="1:25" ht="12.75" hidden="1" customHeight="1" outlineLevel="1" x14ac:dyDescent="0.2"/>
    <row r="73" spans="1:25" ht="12.75" hidden="1" customHeight="1" outlineLevel="1" collapsed="1" x14ac:dyDescent="0.2"/>
    <row r="74" spans="1:25" ht="12.75" customHeight="1" collapsed="1" x14ac:dyDescent="0.2"/>
    <row r="75" spans="1:25" ht="12.75" customHeight="1" collapsed="1" x14ac:dyDescent="0.2">
      <c r="A75" s="464" t="str">
        <f>"Facilities Expense"</f>
        <v>Facilities Expense</v>
      </c>
      <c r="B75" s="464"/>
    </row>
    <row r="76" spans="1:25" ht="12.75" hidden="1" customHeight="1" outlineLevel="1" x14ac:dyDescent="0.2">
      <c r="A76" s="1" t="str">
        <f>""</f>
        <v/>
      </c>
    </row>
    <row r="77" spans="1:25" ht="12.75" hidden="1" customHeight="1" outlineLevel="1" x14ac:dyDescent="0.2">
      <c r="B77" s="9" t="str">
        <f>'(FnCalls 1)'!F41</f>
        <v>MMM 2010</v>
      </c>
      <c r="C77" s="10" t="str">
        <f>'(FnCalls 1)'!F42</f>
        <v>MMM 2010</v>
      </c>
      <c r="D77" s="10" t="str">
        <f>'(FnCalls 1)'!F43</f>
        <v>MMM 2010</v>
      </c>
      <c r="E77" s="181" t="str">
        <f>'(FnCalls 1)'!G41</f>
        <v>Q1 2010</v>
      </c>
      <c r="F77" s="10" t="str">
        <f>'(FnCalls 1)'!F44</f>
        <v>MMM 2010</v>
      </c>
      <c r="G77" s="10" t="str">
        <f>'(FnCalls 1)'!F45</f>
        <v>MMM 2010</v>
      </c>
      <c r="H77" s="10" t="str">
        <f>'(FnCalls 1)'!F46</f>
        <v>MMM 2010</v>
      </c>
      <c r="I77" s="181" t="str">
        <f>'(FnCalls 1)'!G44</f>
        <v>Q2 2010</v>
      </c>
      <c r="J77" s="10" t="str">
        <f>'(FnCalls 1)'!F47</f>
        <v>MMM 2010</v>
      </c>
      <c r="K77" s="10" t="str">
        <f>'(FnCalls 1)'!F48</f>
        <v>MMM 2010</v>
      </c>
      <c r="L77" s="10" t="str">
        <f>'(FnCalls 1)'!F49</f>
        <v>MMM 2010</v>
      </c>
      <c r="M77" s="181" t="str">
        <f>'(FnCalls 1)'!G47</f>
        <v>Q3 2010</v>
      </c>
      <c r="N77" s="10" t="str">
        <f>'(FnCalls 1)'!F50</f>
        <v>MMM 2010</v>
      </c>
      <c r="O77" s="10" t="str">
        <f>'(FnCalls 1)'!F51</f>
        <v>MMM 2010</v>
      </c>
      <c r="P77" s="10" t="str">
        <f>'(FnCalls 1)'!F52</f>
        <v>MMM 2010</v>
      </c>
      <c r="Q77" s="181" t="str">
        <f>'(FnCalls 1)'!G50</f>
        <v>Q4 2010</v>
      </c>
      <c r="R77" s="10" t="str">
        <f>'(FnCalls 1)'!F53</f>
        <v>MMM 2011</v>
      </c>
      <c r="S77" s="10" t="str">
        <f>'(FnCalls 1)'!F54</f>
        <v>MMM 2011</v>
      </c>
      <c r="T77" s="10" t="str">
        <f>'(FnCalls 1)'!F55</f>
        <v>MMM 2011</v>
      </c>
      <c r="U77" s="181" t="str">
        <f>'(FnCalls 1)'!G53</f>
        <v>Q1 2011</v>
      </c>
      <c r="V77" s="10" t="str">
        <f>'(FnCalls 1)'!F56</f>
        <v>MMM 2011</v>
      </c>
      <c r="W77" s="10" t="str">
        <f>'(FnCalls 1)'!F57</f>
        <v>MMM 2011</v>
      </c>
      <c r="X77" s="10" t="str">
        <f>'(FnCalls 1)'!F58</f>
        <v>MMM 2011</v>
      </c>
      <c r="Y77" s="181" t="str">
        <f>'(FnCalls 1)'!G56</f>
        <v>Q2 2011</v>
      </c>
    </row>
    <row r="78" spans="1:25" ht="12.75" hidden="1" customHeight="1" outlineLevel="1" x14ac:dyDescent="0.2">
      <c r="A78" s="182" t="str">
        <f>Labels!B93</f>
        <v>Facilities &amp; Utilities Exp</v>
      </c>
      <c r="B78" s="239"/>
      <c r="C78" s="239"/>
      <c r="D78" s="239"/>
      <c r="E78" s="240"/>
      <c r="F78" s="239"/>
      <c r="G78" s="239"/>
      <c r="H78" s="239"/>
      <c r="I78" s="240"/>
      <c r="J78" s="239"/>
      <c r="K78" s="239"/>
      <c r="L78" s="239"/>
      <c r="M78" s="240"/>
      <c r="N78" s="239"/>
      <c r="O78" s="239"/>
      <c r="P78" s="239"/>
      <c r="Q78" s="240"/>
      <c r="R78" s="239"/>
      <c r="S78" s="239"/>
      <c r="T78" s="239"/>
      <c r="U78" s="240"/>
      <c r="V78" s="239"/>
      <c r="W78" s="239"/>
      <c r="X78" s="239"/>
      <c r="Y78" s="240"/>
    </row>
    <row r="79" spans="1:25" ht="12.75" hidden="1" customHeight="1" outlineLevel="1" x14ac:dyDescent="0.2">
      <c r="A79" s="188" t="str">
        <f>"   "&amp;Labels!B321</f>
        <v xml:space="preserve">   Marketing</v>
      </c>
      <c r="B79" s="241">
        <f>'(Compute)'!B348+'(Compute)'!B362+'(Compute)'!B376+Inputs!F308/12/2</f>
        <v>0</v>
      </c>
      <c r="C79" s="241">
        <f>'(Compute)'!C348+'(Compute)'!C362+'(Compute)'!C376+Inputs!G308/12/2</f>
        <v>0</v>
      </c>
      <c r="D79" s="241">
        <f>'(Compute)'!D348+'(Compute)'!D362+'(Compute)'!D376+Inputs!H308/12/2</f>
        <v>0</v>
      </c>
      <c r="E79" s="242">
        <f>SUM(B79:D79)</f>
        <v>0</v>
      </c>
      <c r="F79" s="241">
        <f>'(Compute)'!E348+'(Compute)'!E362+'(Compute)'!E376+Inputs!I308/12/2</f>
        <v>0</v>
      </c>
      <c r="G79" s="241">
        <f>'(Compute)'!F348+'(Compute)'!F362+'(Compute)'!F376+Inputs!J308/12/2</f>
        <v>0</v>
      </c>
      <c r="H79" s="241">
        <f>'(Compute)'!G348+'(Compute)'!G362+'(Compute)'!G376+Inputs!K308/12/2</f>
        <v>0</v>
      </c>
      <c r="I79" s="242">
        <f>SUM(F79:H79)</f>
        <v>0</v>
      </c>
      <c r="J79" s="241">
        <f>'(Compute)'!H348+'(Compute)'!H362+'(Compute)'!H376+Inputs!L308/12/2</f>
        <v>0</v>
      </c>
      <c r="K79" s="241">
        <f>'(Compute)'!I348+'(Compute)'!I362+'(Compute)'!I376+Inputs!M308/12/2</f>
        <v>0</v>
      </c>
      <c r="L79" s="241">
        <f>'(Compute)'!J348+'(Compute)'!J362+'(Compute)'!J376+Inputs!N308/12/2</f>
        <v>0</v>
      </c>
      <c r="M79" s="242">
        <f>SUM(J79:L79)</f>
        <v>0</v>
      </c>
      <c r="N79" s="241">
        <f>'(Compute)'!K348+'(Compute)'!K362+'(Compute)'!K376+Inputs!O308/12/2</f>
        <v>0</v>
      </c>
      <c r="O79" s="241">
        <f>'(Compute)'!L348+'(Compute)'!L362+'(Compute)'!L376+Inputs!P308/12/2</f>
        <v>0</v>
      </c>
      <c r="P79" s="241">
        <f>'(Compute)'!M348+'(Compute)'!M362+'(Compute)'!M376+Inputs!Q308/12/2</f>
        <v>0</v>
      </c>
      <c r="Q79" s="242">
        <f>SUM(N79:P79)</f>
        <v>0</v>
      </c>
      <c r="R79" s="241">
        <f>'(Compute)'!N348+'(Compute)'!N362+'(Compute)'!N376+Inputs!R308/12/2</f>
        <v>0</v>
      </c>
      <c r="S79" s="241">
        <f>'(Compute)'!O348+'(Compute)'!O362+'(Compute)'!O376+Inputs!S308/12/2</f>
        <v>0</v>
      </c>
      <c r="T79" s="241">
        <f>'(Compute)'!P348+'(Compute)'!P362+'(Compute)'!P376+Inputs!T308/12/2</f>
        <v>0</v>
      </c>
      <c r="U79" s="242">
        <f>SUM(R79:T79)</f>
        <v>0</v>
      </c>
      <c r="V79" s="241">
        <f>'(Compute)'!Q348+'(Compute)'!Q362+'(Compute)'!Q376+Inputs!U308/12/2</f>
        <v>0</v>
      </c>
      <c r="W79" s="241">
        <f>'(Compute)'!R348+'(Compute)'!R362+'(Compute)'!R376+Inputs!V308/12/2</f>
        <v>0</v>
      </c>
      <c r="X79" s="241">
        <f>'(Compute)'!S348+'(Compute)'!S362+'(Compute)'!S376+Inputs!W308/12/2</f>
        <v>0</v>
      </c>
      <c r="Y79" s="242">
        <f>SUM(V79:X79)</f>
        <v>0</v>
      </c>
    </row>
    <row r="80" spans="1:25" ht="12.75" hidden="1" customHeight="1" outlineLevel="1" x14ac:dyDescent="0.2">
      <c r="A80" s="188" t="str">
        <f>"   "&amp;Labels!B322</f>
        <v xml:space="preserve">   Sales</v>
      </c>
      <c r="B80" s="241">
        <f>'(Compute)'!B352+'(Compute)'!B366+'(Compute)'!B380+Inputs!F308/12/2</f>
        <v>0</v>
      </c>
      <c r="C80" s="241">
        <f>'(Compute)'!C352+'(Compute)'!C366+'(Compute)'!C380+Inputs!G308/12/2</f>
        <v>0</v>
      </c>
      <c r="D80" s="241">
        <f>'(Compute)'!D352+'(Compute)'!D366+'(Compute)'!D380+Inputs!H308/12/2</f>
        <v>0</v>
      </c>
      <c r="E80" s="242">
        <f>SUM(B80:D80)</f>
        <v>0</v>
      </c>
      <c r="F80" s="241">
        <f>'(Compute)'!E352+'(Compute)'!E366+'(Compute)'!E380+Inputs!I308/12/2</f>
        <v>0</v>
      </c>
      <c r="G80" s="241">
        <f>'(Compute)'!F352+'(Compute)'!F366+'(Compute)'!F380+Inputs!J308/12/2</f>
        <v>0</v>
      </c>
      <c r="H80" s="241">
        <f>'(Compute)'!G352+'(Compute)'!G366+'(Compute)'!G380+Inputs!K308/12/2</f>
        <v>0</v>
      </c>
      <c r="I80" s="242">
        <f>SUM(F80:H80)</f>
        <v>0</v>
      </c>
      <c r="J80" s="241">
        <f>'(Compute)'!H352+'(Compute)'!H366+'(Compute)'!H380+Inputs!L308/12/2</f>
        <v>0</v>
      </c>
      <c r="K80" s="241">
        <f>'(Compute)'!I352+'(Compute)'!I366+'(Compute)'!I380+Inputs!M308/12/2</f>
        <v>0</v>
      </c>
      <c r="L80" s="241">
        <f>'(Compute)'!J352+'(Compute)'!J366+'(Compute)'!J380+Inputs!N308/12/2</f>
        <v>0</v>
      </c>
      <c r="M80" s="242">
        <f>SUM(J80:L80)</f>
        <v>0</v>
      </c>
      <c r="N80" s="241">
        <f>'(Compute)'!K352+'(Compute)'!K366+'(Compute)'!K380+Inputs!O308/12/2</f>
        <v>0</v>
      </c>
      <c r="O80" s="241">
        <f>'(Compute)'!L352+'(Compute)'!L366+'(Compute)'!L380+Inputs!P308/12/2</f>
        <v>0</v>
      </c>
      <c r="P80" s="241">
        <f>'(Compute)'!M352+'(Compute)'!M366+'(Compute)'!M380+Inputs!Q308/12/2</f>
        <v>0</v>
      </c>
      <c r="Q80" s="242">
        <f>SUM(N80:P80)</f>
        <v>0</v>
      </c>
      <c r="R80" s="241">
        <f>'(Compute)'!N352+'(Compute)'!N366+'(Compute)'!N380+Inputs!R308/12/2</f>
        <v>0</v>
      </c>
      <c r="S80" s="241">
        <f>'(Compute)'!O352+'(Compute)'!O366+'(Compute)'!O380+Inputs!S308/12/2</f>
        <v>0</v>
      </c>
      <c r="T80" s="241">
        <f>'(Compute)'!P352+'(Compute)'!P366+'(Compute)'!P380+Inputs!T308/12/2</f>
        <v>0</v>
      </c>
      <c r="U80" s="242">
        <f>SUM(R80:T80)</f>
        <v>0</v>
      </c>
      <c r="V80" s="241">
        <f>'(Compute)'!Q352+'(Compute)'!Q366+'(Compute)'!Q380+Inputs!U308/12/2</f>
        <v>0</v>
      </c>
      <c r="W80" s="241">
        <f>'(Compute)'!R352+'(Compute)'!R366+'(Compute)'!R380+Inputs!V308/12/2</f>
        <v>0</v>
      </c>
      <c r="X80" s="241">
        <f>'(Compute)'!S352+'(Compute)'!S366+'(Compute)'!S380+Inputs!W308/12/2</f>
        <v>0</v>
      </c>
      <c r="Y80" s="242">
        <f>SUM(V80:X80)</f>
        <v>0</v>
      </c>
    </row>
    <row r="81" spans="1:25" ht="12.75" hidden="1" customHeight="1" outlineLevel="1" x14ac:dyDescent="0.2">
      <c r="A81" s="191" t="str">
        <f>"   "&amp;Labels!C320</f>
        <v xml:space="preserve">   Total</v>
      </c>
      <c r="B81" s="245">
        <f>SUM(B79:B80)</f>
        <v>0</v>
      </c>
      <c r="C81" s="245">
        <f>SUM(C79:C80)</f>
        <v>0</v>
      </c>
      <c r="D81" s="245">
        <f>SUM(D79:D80)</f>
        <v>0</v>
      </c>
      <c r="E81" s="246">
        <f>SUM(B81:D81)</f>
        <v>0</v>
      </c>
      <c r="F81" s="245">
        <f>SUM(F79:F80)</f>
        <v>0</v>
      </c>
      <c r="G81" s="245">
        <f>SUM(G79:G80)</f>
        <v>0</v>
      </c>
      <c r="H81" s="245">
        <f>SUM(H79:H80)</f>
        <v>0</v>
      </c>
      <c r="I81" s="246">
        <f>SUM(F81:H81)</f>
        <v>0</v>
      </c>
      <c r="J81" s="245">
        <f>SUM(J79:J80)</f>
        <v>0</v>
      </c>
      <c r="K81" s="245">
        <f>SUM(K79:K80)</f>
        <v>0</v>
      </c>
      <c r="L81" s="245">
        <f>SUM(L79:L80)</f>
        <v>0</v>
      </c>
      <c r="M81" s="246">
        <f>SUM(J81:L81)</f>
        <v>0</v>
      </c>
      <c r="N81" s="245">
        <f>SUM(N79:N80)</f>
        <v>0</v>
      </c>
      <c r="O81" s="245">
        <f>SUM(O79:O80)</f>
        <v>0</v>
      </c>
      <c r="P81" s="245">
        <f>SUM(P79:P80)</f>
        <v>0</v>
      </c>
      <c r="Q81" s="246">
        <f>SUM(N81:P81)</f>
        <v>0</v>
      </c>
      <c r="R81" s="245">
        <f>SUM(R79:R80)</f>
        <v>0</v>
      </c>
      <c r="S81" s="245">
        <f>SUM(S79:S80)</f>
        <v>0</v>
      </c>
      <c r="T81" s="245">
        <f>SUM(T79:T80)</f>
        <v>0</v>
      </c>
      <c r="U81" s="246">
        <f>SUM(R81:T81)</f>
        <v>0</v>
      </c>
      <c r="V81" s="245">
        <f>SUM(V79:V80)</f>
        <v>0</v>
      </c>
      <c r="W81" s="245">
        <f>SUM(W79:W80)</f>
        <v>0</v>
      </c>
      <c r="X81" s="245">
        <f>SUM(X79:X80)</f>
        <v>0</v>
      </c>
      <c r="Y81" s="246">
        <f>SUM(V81:X81)</f>
        <v>0</v>
      </c>
    </row>
    <row r="82" spans="1:25" ht="12.75" hidden="1" customHeight="1" outlineLevel="1" x14ac:dyDescent="0.2">
      <c r="A82" s="97"/>
      <c r="B82" s="6"/>
      <c r="C82" s="6"/>
      <c r="D82" s="6"/>
      <c r="E82" s="97"/>
      <c r="F82" s="6"/>
      <c r="G82" s="6"/>
      <c r="H82" s="6"/>
      <c r="I82" s="97"/>
      <c r="J82" s="6"/>
      <c r="K82" s="6"/>
      <c r="L82" s="6"/>
      <c r="M82" s="97"/>
      <c r="N82" s="6"/>
      <c r="O82" s="6"/>
      <c r="P82" s="6"/>
      <c r="Q82" s="97"/>
      <c r="R82" s="6"/>
      <c r="S82" s="6"/>
      <c r="T82" s="6"/>
      <c r="U82" s="97"/>
      <c r="V82" s="6"/>
      <c r="W82" s="6"/>
      <c r="X82" s="6"/>
      <c r="Y82" s="97"/>
    </row>
    <row r="83" spans="1:25" ht="12.75" hidden="1" customHeight="1" outlineLevel="1" x14ac:dyDescent="0.2">
      <c r="A83" s="191" t="str">
        <f>Labels!B132</f>
        <v>Office Space (Ksqf/Person)</v>
      </c>
      <c r="B83" s="324">
        <f>Inputs!F304</f>
        <v>0</v>
      </c>
      <c r="C83" s="324">
        <f>Inputs!G304</f>
        <v>0</v>
      </c>
      <c r="D83" s="324">
        <f>Inputs!H304</f>
        <v>0</v>
      </c>
      <c r="E83" s="325">
        <f>AVERAGE(B83:D83)</f>
        <v>0</v>
      </c>
      <c r="F83" s="324">
        <f>Inputs!I304</f>
        <v>0</v>
      </c>
      <c r="G83" s="324">
        <f>Inputs!J304</f>
        <v>0</v>
      </c>
      <c r="H83" s="324">
        <f>Inputs!K304</f>
        <v>0</v>
      </c>
      <c r="I83" s="325">
        <f>AVERAGE(F83:H83)</f>
        <v>0</v>
      </c>
      <c r="J83" s="324">
        <f>Inputs!L304</f>
        <v>0</v>
      </c>
      <c r="K83" s="324">
        <f>Inputs!M304</f>
        <v>0</v>
      </c>
      <c r="L83" s="324">
        <f>Inputs!N304</f>
        <v>0</v>
      </c>
      <c r="M83" s="325">
        <f>AVERAGE(J83:L83)</f>
        <v>0</v>
      </c>
      <c r="N83" s="324">
        <f>Inputs!O304</f>
        <v>0</v>
      </c>
      <c r="O83" s="324">
        <f>Inputs!P304</f>
        <v>0</v>
      </c>
      <c r="P83" s="324">
        <f>Inputs!Q304</f>
        <v>0</v>
      </c>
      <c r="Q83" s="325">
        <f>AVERAGE(N83:P83)</f>
        <v>0</v>
      </c>
      <c r="R83" s="324">
        <f>Inputs!R304</f>
        <v>0</v>
      </c>
      <c r="S83" s="324">
        <f>Inputs!S304</f>
        <v>0</v>
      </c>
      <c r="T83" s="324">
        <f>Inputs!T304</f>
        <v>0</v>
      </c>
      <c r="U83" s="325">
        <f>AVERAGE(R83:T83)</f>
        <v>0</v>
      </c>
      <c r="V83" s="324">
        <f>Inputs!U304</f>
        <v>0</v>
      </c>
      <c r="W83" s="324">
        <f>Inputs!V304</f>
        <v>0</v>
      </c>
      <c r="X83" s="324">
        <f>Inputs!W304</f>
        <v>0</v>
      </c>
      <c r="Y83" s="325">
        <f>AVERAGE(V83:X83)</f>
        <v>0</v>
      </c>
    </row>
    <row r="84" spans="1:25" ht="12.75" hidden="1" customHeight="1" outlineLevel="1" x14ac:dyDescent="0.2">
      <c r="A84" s="97"/>
      <c r="B84" s="6"/>
      <c r="C84" s="6"/>
      <c r="D84" s="6"/>
      <c r="E84" s="97"/>
      <c r="F84" s="6"/>
      <c r="G84" s="6"/>
      <c r="H84" s="6"/>
      <c r="I84" s="97"/>
      <c r="J84" s="6"/>
      <c r="K84" s="6"/>
      <c r="L84" s="6"/>
      <c r="M84" s="97"/>
      <c r="N84" s="6"/>
      <c r="O84" s="6"/>
      <c r="P84" s="6"/>
      <c r="Q84" s="97"/>
      <c r="R84" s="6"/>
      <c r="S84" s="6"/>
      <c r="T84" s="6"/>
      <c r="U84" s="97"/>
      <c r="V84" s="6"/>
      <c r="W84" s="6"/>
      <c r="X84" s="6"/>
      <c r="Y84" s="97"/>
    </row>
    <row r="85" spans="1:25" ht="12.75" hidden="1" customHeight="1" outlineLevel="1" x14ac:dyDescent="0.2">
      <c r="A85" s="191" t="str">
        <f>Labels!B131</f>
        <v>Office Rent ($/sqf/Yr)</v>
      </c>
      <c r="B85" s="245">
        <f>Inputs!F305</f>
        <v>0</v>
      </c>
      <c r="C85" s="245">
        <f>Inputs!G305</f>
        <v>0</v>
      </c>
      <c r="D85" s="245">
        <f>Inputs!H305</f>
        <v>0</v>
      </c>
      <c r="E85" s="246">
        <f>AVERAGE(B85:D85)</f>
        <v>0</v>
      </c>
      <c r="F85" s="245">
        <f>Inputs!I305</f>
        <v>0</v>
      </c>
      <c r="G85" s="245">
        <f>Inputs!J305</f>
        <v>0</v>
      </c>
      <c r="H85" s="245">
        <f>Inputs!K305</f>
        <v>0</v>
      </c>
      <c r="I85" s="246">
        <f>AVERAGE(F85:H85)</f>
        <v>0</v>
      </c>
      <c r="J85" s="245">
        <f>Inputs!L305</f>
        <v>0</v>
      </c>
      <c r="K85" s="245">
        <f>Inputs!M305</f>
        <v>0</v>
      </c>
      <c r="L85" s="245">
        <f>Inputs!N305</f>
        <v>0</v>
      </c>
      <c r="M85" s="246">
        <f>AVERAGE(J85:L85)</f>
        <v>0</v>
      </c>
      <c r="N85" s="245">
        <f>Inputs!O305</f>
        <v>0</v>
      </c>
      <c r="O85" s="245">
        <f>Inputs!P305</f>
        <v>0</v>
      </c>
      <c r="P85" s="245">
        <f>Inputs!Q305</f>
        <v>0</v>
      </c>
      <c r="Q85" s="246">
        <f>AVERAGE(N85:P85)</f>
        <v>0</v>
      </c>
      <c r="R85" s="245">
        <f>Inputs!R305</f>
        <v>0</v>
      </c>
      <c r="S85" s="245">
        <f>Inputs!S305</f>
        <v>0</v>
      </c>
      <c r="T85" s="245">
        <f>Inputs!T305</f>
        <v>0</v>
      </c>
      <c r="U85" s="246">
        <f>AVERAGE(R85:T85)</f>
        <v>0</v>
      </c>
      <c r="V85" s="245">
        <f>Inputs!U305</f>
        <v>0</v>
      </c>
      <c r="W85" s="245">
        <f>Inputs!V305</f>
        <v>0</v>
      </c>
      <c r="X85" s="245">
        <f>Inputs!W305</f>
        <v>0</v>
      </c>
      <c r="Y85" s="246">
        <f>AVERAGE(V85:X85)</f>
        <v>0</v>
      </c>
    </row>
    <row r="86" spans="1:25" ht="12.75" hidden="1" customHeight="1" outlineLevel="1" x14ac:dyDescent="0.2">
      <c r="A86" s="97"/>
      <c r="B86" s="6"/>
      <c r="C86" s="6"/>
      <c r="D86" s="6"/>
      <c r="E86" s="97"/>
      <c r="F86" s="6"/>
      <c r="G86" s="6"/>
      <c r="H86" s="6"/>
      <c r="I86" s="97"/>
      <c r="J86" s="6"/>
      <c r="K86" s="6"/>
      <c r="L86" s="6"/>
      <c r="M86" s="97"/>
      <c r="N86" s="6"/>
      <c r="O86" s="6"/>
      <c r="P86" s="6"/>
      <c r="Q86" s="97"/>
      <c r="R86" s="6"/>
      <c r="S86" s="6"/>
      <c r="T86" s="6"/>
      <c r="U86" s="97"/>
      <c r="V86" s="6"/>
      <c r="W86" s="6"/>
      <c r="X86" s="6"/>
      <c r="Y86" s="97"/>
    </row>
    <row r="87" spans="1:25" ht="12.75" hidden="1" customHeight="1" outlineLevel="1" x14ac:dyDescent="0.2">
      <c r="A87" s="191" t="str">
        <f>Labels!B133</f>
        <v>Office Utilities ($/sqf/Yr)</v>
      </c>
      <c r="B87" s="306">
        <f>Inputs!F306</f>
        <v>0</v>
      </c>
      <c r="C87" s="306">
        <f>Inputs!G306</f>
        <v>0</v>
      </c>
      <c r="D87" s="306">
        <f>Inputs!H306</f>
        <v>0</v>
      </c>
      <c r="E87" s="307">
        <f>AVERAGE(B87:D87)</f>
        <v>0</v>
      </c>
      <c r="F87" s="306">
        <f>Inputs!I306</f>
        <v>0</v>
      </c>
      <c r="G87" s="306">
        <f>Inputs!J306</f>
        <v>0</v>
      </c>
      <c r="H87" s="306">
        <f>Inputs!K306</f>
        <v>0</v>
      </c>
      <c r="I87" s="307">
        <f>AVERAGE(F87:H87)</f>
        <v>0</v>
      </c>
      <c r="J87" s="306">
        <f>Inputs!L306</f>
        <v>0</v>
      </c>
      <c r="K87" s="306">
        <f>Inputs!M306</f>
        <v>0</v>
      </c>
      <c r="L87" s="306">
        <f>Inputs!N306</f>
        <v>0</v>
      </c>
      <c r="M87" s="307">
        <f>AVERAGE(J87:L87)</f>
        <v>0</v>
      </c>
      <c r="N87" s="306">
        <f>Inputs!O306</f>
        <v>0</v>
      </c>
      <c r="O87" s="306">
        <f>Inputs!P306</f>
        <v>0</v>
      </c>
      <c r="P87" s="306">
        <f>Inputs!Q306</f>
        <v>0</v>
      </c>
      <c r="Q87" s="307">
        <f>AVERAGE(N87:P87)</f>
        <v>0</v>
      </c>
      <c r="R87" s="306">
        <f>Inputs!R306</f>
        <v>0</v>
      </c>
      <c r="S87" s="306">
        <f>Inputs!S306</f>
        <v>0</v>
      </c>
      <c r="T87" s="306">
        <f>Inputs!T306</f>
        <v>0</v>
      </c>
      <c r="U87" s="307">
        <f>AVERAGE(R87:T87)</f>
        <v>0</v>
      </c>
      <c r="V87" s="306">
        <f>Inputs!U306</f>
        <v>0</v>
      </c>
      <c r="W87" s="306">
        <f>Inputs!V306</f>
        <v>0</v>
      </c>
      <c r="X87" s="306">
        <f>Inputs!W306</f>
        <v>0</v>
      </c>
      <c r="Y87" s="307">
        <f>AVERAGE(V87:X87)</f>
        <v>0</v>
      </c>
    </row>
    <row r="88" spans="1:25" ht="12.75" hidden="1" customHeight="1" outlineLevel="1" x14ac:dyDescent="0.2">
      <c r="A88" s="97"/>
      <c r="B88" s="6"/>
      <c r="C88" s="6"/>
      <c r="D88" s="6"/>
      <c r="E88" s="97"/>
      <c r="F88" s="6"/>
      <c r="G88" s="6"/>
      <c r="H88" s="6"/>
      <c r="I88" s="97"/>
      <c r="J88" s="6"/>
      <c r="K88" s="6"/>
      <c r="L88" s="6"/>
      <c r="M88" s="97"/>
      <c r="N88" s="6"/>
      <c r="O88" s="6"/>
      <c r="P88" s="6"/>
      <c r="Q88" s="97"/>
      <c r="R88" s="6"/>
      <c r="S88" s="6"/>
      <c r="T88" s="6"/>
      <c r="U88" s="97"/>
      <c r="V88" s="6"/>
      <c r="W88" s="6"/>
      <c r="X88" s="6"/>
      <c r="Y88" s="97"/>
    </row>
    <row r="89" spans="1:25" ht="12.75" hidden="1" customHeight="1" outlineLevel="1" x14ac:dyDescent="0.2">
      <c r="A89" s="185" t="str">
        <f>Labels!B130</f>
        <v>Office Maint ($/sqf/Yr)</v>
      </c>
      <c r="B89" s="326">
        <f>Inputs!F307</f>
        <v>0</v>
      </c>
      <c r="C89" s="326">
        <f>Inputs!G307</f>
        <v>0</v>
      </c>
      <c r="D89" s="326">
        <f>Inputs!H307</f>
        <v>0</v>
      </c>
      <c r="E89" s="327">
        <f>AVERAGE(B89:D89)</f>
        <v>0</v>
      </c>
      <c r="F89" s="326">
        <f>Inputs!I307</f>
        <v>0</v>
      </c>
      <c r="G89" s="326">
        <f>Inputs!J307</f>
        <v>0</v>
      </c>
      <c r="H89" s="326">
        <f>Inputs!K307</f>
        <v>0</v>
      </c>
      <c r="I89" s="327">
        <f>AVERAGE(F89:H89)</f>
        <v>0</v>
      </c>
      <c r="J89" s="326">
        <f>Inputs!L307</f>
        <v>0</v>
      </c>
      <c r="K89" s="326">
        <f>Inputs!M307</f>
        <v>0</v>
      </c>
      <c r="L89" s="326">
        <f>Inputs!N307</f>
        <v>0</v>
      </c>
      <c r="M89" s="327">
        <f>AVERAGE(J89:L89)</f>
        <v>0</v>
      </c>
      <c r="N89" s="326">
        <f>Inputs!O307</f>
        <v>0</v>
      </c>
      <c r="O89" s="326">
        <f>Inputs!P307</f>
        <v>0</v>
      </c>
      <c r="P89" s="326">
        <f>Inputs!Q307</f>
        <v>0</v>
      </c>
      <c r="Q89" s="327">
        <f>AVERAGE(N89:P89)</f>
        <v>0</v>
      </c>
      <c r="R89" s="326">
        <f>Inputs!R307</f>
        <v>0</v>
      </c>
      <c r="S89" s="326">
        <f>Inputs!S307</f>
        <v>0</v>
      </c>
      <c r="T89" s="326">
        <f>Inputs!T307</f>
        <v>0</v>
      </c>
      <c r="U89" s="327">
        <f>AVERAGE(R89:T89)</f>
        <v>0</v>
      </c>
      <c r="V89" s="326">
        <f>Inputs!U307</f>
        <v>0</v>
      </c>
      <c r="W89" s="326">
        <f>Inputs!V307</f>
        <v>0</v>
      </c>
      <c r="X89" s="326">
        <f>Inputs!W307</f>
        <v>0</v>
      </c>
      <c r="Y89" s="327">
        <f>AVERAGE(V89:X89)</f>
        <v>0</v>
      </c>
    </row>
    <row r="90" spans="1:25" ht="12.75" hidden="1" customHeight="1" outlineLevel="1" x14ac:dyDescent="0.2"/>
    <row r="91" spans="1:25" ht="12.75" hidden="1" customHeight="1" outlineLevel="1" collapsed="1" x14ac:dyDescent="0.2"/>
    <row r="92" spans="1:25" ht="12.75" customHeight="1" collapsed="1" x14ac:dyDescent="0.2"/>
    <row r="93" spans="1:25" ht="12.75" customHeight="1" collapsed="1" x14ac:dyDescent="0.2">
      <c r="A93" s="464" t="str">
        <f>"Other Operating Expense"</f>
        <v>Other Operating Expense</v>
      </c>
      <c r="B93" s="464"/>
      <c r="C93" s="464"/>
    </row>
    <row r="94" spans="1:25" ht="12.75" hidden="1" customHeight="1" outlineLevel="1" x14ac:dyDescent="0.2">
      <c r="A94" s="1" t="str">
        <f>""</f>
        <v/>
      </c>
    </row>
    <row r="95" spans="1:25" ht="12.75" hidden="1" customHeight="1" outlineLevel="1" x14ac:dyDescent="0.2">
      <c r="B95" s="9" t="str">
        <f>'(FnCalls 1)'!F41</f>
        <v>MMM 2010</v>
      </c>
      <c r="C95" s="10" t="str">
        <f>'(FnCalls 1)'!F42</f>
        <v>MMM 2010</v>
      </c>
      <c r="D95" s="10" t="str">
        <f>'(FnCalls 1)'!F43</f>
        <v>MMM 2010</v>
      </c>
      <c r="E95" s="181" t="str">
        <f>'(FnCalls 1)'!G41</f>
        <v>Q1 2010</v>
      </c>
      <c r="F95" s="10" t="str">
        <f>'(FnCalls 1)'!F44</f>
        <v>MMM 2010</v>
      </c>
      <c r="G95" s="10" t="str">
        <f>'(FnCalls 1)'!F45</f>
        <v>MMM 2010</v>
      </c>
      <c r="H95" s="10" t="str">
        <f>'(FnCalls 1)'!F46</f>
        <v>MMM 2010</v>
      </c>
      <c r="I95" s="181" t="str">
        <f>'(FnCalls 1)'!G44</f>
        <v>Q2 2010</v>
      </c>
      <c r="J95" s="10" t="str">
        <f>'(FnCalls 1)'!F47</f>
        <v>MMM 2010</v>
      </c>
      <c r="K95" s="10" t="str">
        <f>'(FnCalls 1)'!F48</f>
        <v>MMM 2010</v>
      </c>
      <c r="L95" s="10" t="str">
        <f>'(FnCalls 1)'!F49</f>
        <v>MMM 2010</v>
      </c>
      <c r="M95" s="181" t="str">
        <f>'(FnCalls 1)'!G47</f>
        <v>Q3 2010</v>
      </c>
      <c r="N95" s="10" t="str">
        <f>'(FnCalls 1)'!F50</f>
        <v>MMM 2010</v>
      </c>
      <c r="O95" s="10" t="str">
        <f>'(FnCalls 1)'!F51</f>
        <v>MMM 2010</v>
      </c>
      <c r="P95" s="10" t="str">
        <f>'(FnCalls 1)'!F52</f>
        <v>MMM 2010</v>
      </c>
      <c r="Q95" s="181" t="str">
        <f>'(FnCalls 1)'!G50</f>
        <v>Q4 2010</v>
      </c>
      <c r="R95" s="10" t="str">
        <f>'(FnCalls 1)'!F53</f>
        <v>MMM 2011</v>
      </c>
      <c r="S95" s="10" t="str">
        <f>'(FnCalls 1)'!F54</f>
        <v>MMM 2011</v>
      </c>
      <c r="T95" s="10" t="str">
        <f>'(FnCalls 1)'!F55</f>
        <v>MMM 2011</v>
      </c>
      <c r="U95" s="181" t="str">
        <f>'(FnCalls 1)'!G53</f>
        <v>Q1 2011</v>
      </c>
      <c r="V95" s="10" t="str">
        <f>'(FnCalls 1)'!F56</f>
        <v>MMM 2011</v>
      </c>
      <c r="W95" s="10" t="str">
        <f>'(FnCalls 1)'!F57</f>
        <v>MMM 2011</v>
      </c>
      <c r="X95" s="10" t="str">
        <f>'(FnCalls 1)'!F58</f>
        <v>MMM 2011</v>
      </c>
      <c r="Y95" s="181" t="str">
        <f>'(FnCalls 1)'!G56</f>
        <v>Q2 2011</v>
      </c>
    </row>
    <row r="96" spans="1:25" ht="12.75" hidden="1" customHeight="1" outlineLevel="1" x14ac:dyDescent="0.2">
      <c r="A96" s="182" t="str">
        <f>Labels!B199</f>
        <v>Prof Staff Rel Exp</v>
      </c>
      <c r="B96" s="239"/>
      <c r="C96" s="239"/>
      <c r="D96" s="239"/>
      <c r="E96" s="240"/>
      <c r="F96" s="239"/>
      <c r="G96" s="239"/>
      <c r="H96" s="239"/>
      <c r="I96" s="240"/>
      <c r="J96" s="239"/>
      <c r="K96" s="239"/>
      <c r="L96" s="239"/>
      <c r="M96" s="240"/>
      <c r="N96" s="239"/>
      <c r="O96" s="239"/>
      <c r="P96" s="239"/>
      <c r="Q96" s="240"/>
      <c r="R96" s="239"/>
      <c r="S96" s="239"/>
      <c r="T96" s="239"/>
      <c r="U96" s="240"/>
      <c r="V96" s="239"/>
      <c r="W96" s="239"/>
      <c r="X96" s="239"/>
      <c r="Y96" s="240"/>
    </row>
    <row r="97" spans="1:25" ht="12.75" hidden="1" customHeight="1" outlineLevel="1" x14ac:dyDescent="0.2">
      <c r="A97" s="188" t="str">
        <f>"   "&amp;Labels!B381</f>
        <v xml:space="preserve">   Practice 1</v>
      </c>
      <c r="B97" s="241"/>
      <c r="C97" s="241"/>
      <c r="D97" s="241"/>
      <c r="E97" s="242"/>
      <c r="F97" s="241"/>
      <c r="G97" s="241"/>
      <c r="H97" s="241"/>
      <c r="I97" s="242"/>
      <c r="J97" s="241"/>
      <c r="K97" s="241"/>
      <c r="L97" s="241"/>
      <c r="M97" s="242"/>
      <c r="N97" s="241"/>
      <c r="O97" s="241"/>
      <c r="P97" s="241"/>
      <c r="Q97" s="242"/>
      <c r="R97" s="241"/>
      <c r="S97" s="241"/>
      <c r="T97" s="241"/>
      <c r="U97" s="242"/>
      <c r="V97" s="241"/>
      <c r="W97" s="241"/>
      <c r="X97" s="241"/>
      <c r="Y97" s="242"/>
    </row>
    <row r="98" spans="1:25" ht="12.75" hidden="1" customHeight="1" outlineLevel="1" x14ac:dyDescent="0.2">
      <c r="A98" s="198" t="str">
        <f>"      "&amp;Labels!B385</f>
        <v xml:space="preserve">      Prof Level 1</v>
      </c>
      <c r="B98" s="243"/>
      <c r="C98" s="243"/>
      <c r="D98" s="243"/>
      <c r="E98" s="244"/>
      <c r="F98" s="243"/>
      <c r="G98" s="243"/>
      <c r="H98" s="243"/>
      <c r="I98" s="244"/>
      <c r="J98" s="243"/>
      <c r="K98" s="243"/>
      <c r="L98" s="243"/>
      <c r="M98" s="244"/>
      <c r="N98" s="243"/>
      <c r="O98" s="243"/>
      <c r="P98" s="243"/>
      <c r="Q98" s="244"/>
      <c r="R98" s="243"/>
      <c r="S98" s="243"/>
      <c r="T98" s="243"/>
      <c r="U98" s="244"/>
      <c r="V98" s="243"/>
      <c r="W98" s="243"/>
      <c r="X98" s="243"/>
      <c r="Y98" s="244"/>
    </row>
    <row r="99" spans="1:25" ht="12.75" hidden="1" customHeight="1" outlineLevel="1" x14ac:dyDescent="0.2">
      <c r="A99" s="198" t="str">
        <f>"         "&amp;Labels!B330</f>
        <v xml:space="preserve">         Supplies</v>
      </c>
      <c r="B99" s="328">
        <f>Inputs!F319*'GM CostSvcs'!B479/12</f>
        <v>0</v>
      </c>
      <c r="C99" s="328">
        <f>Inputs!G319*'GM CostSvcs'!C479/12</f>
        <v>0</v>
      </c>
      <c r="D99" s="328">
        <f>Inputs!H319*'GM CostSvcs'!D479/12</f>
        <v>0</v>
      </c>
      <c r="E99" s="246">
        <f>SUM(B99:D99)</f>
        <v>0</v>
      </c>
      <c r="F99" s="328">
        <f>Inputs!I319*'GM CostSvcs'!F479/12</f>
        <v>0</v>
      </c>
      <c r="G99" s="328">
        <f>Inputs!J319*'GM CostSvcs'!G479/12</f>
        <v>0</v>
      </c>
      <c r="H99" s="328">
        <f>Inputs!K319*'GM CostSvcs'!H479/12</f>
        <v>0</v>
      </c>
      <c r="I99" s="246">
        <f>SUM(F99:H99)</f>
        <v>0</v>
      </c>
      <c r="J99" s="328">
        <f>Inputs!L319*'GM CostSvcs'!J479/12</f>
        <v>0</v>
      </c>
      <c r="K99" s="328">
        <f>Inputs!M319*'GM CostSvcs'!K479/12</f>
        <v>0</v>
      </c>
      <c r="L99" s="328">
        <f>Inputs!N319*'GM CostSvcs'!L479/12</f>
        <v>0</v>
      </c>
      <c r="M99" s="246">
        <f>SUM(J99:L99)</f>
        <v>0</v>
      </c>
      <c r="N99" s="328">
        <f>Inputs!O319*'GM CostSvcs'!N479/12</f>
        <v>0</v>
      </c>
      <c r="O99" s="328">
        <f>Inputs!P319*'GM CostSvcs'!O479/12</f>
        <v>0</v>
      </c>
      <c r="P99" s="328">
        <f>Inputs!Q319*'GM CostSvcs'!P479/12</f>
        <v>0</v>
      </c>
      <c r="Q99" s="246">
        <f>SUM(N99:P99)</f>
        <v>0</v>
      </c>
      <c r="R99" s="328">
        <f>Inputs!R319*'GM CostSvcs'!R479/12</f>
        <v>0</v>
      </c>
      <c r="S99" s="328">
        <f>Inputs!S319*'GM CostSvcs'!S479/12</f>
        <v>0</v>
      </c>
      <c r="T99" s="328">
        <f>Inputs!T319*'GM CostSvcs'!T479/12</f>
        <v>0</v>
      </c>
      <c r="U99" s="246">
        <f>SUM(R99:T99)</f>
        <v>0</v>
      </c>
      <c r="V99" s="328">
        <f>Inputs!U319*'GM CostSvcs'!V479/12</f>
        <v>0</v>
      </c>
      <c r="W99" s="328">
        <f>Inputs!V319*'GM CostSvcs'!W479/12</f>
        <v>0</v>
      </c>
      <c r="X99" s="328">
        <f>Inputs!W319*'GM CostSvcs'!X479/12</f>
        <v>0</v>
      </c>
      <c r="Y99" s="246">
        <f>SUM(V99:X99)</f>
        <v>0</v>
      </c>
    </row>
    <row r="100" spans="1:25" ht="12.75" hidden="1" customHeight="1" outlineLevel="1" x14ac:dyDescent="0.2">
      <c r="A100" s="198" t="str">
        <f>"         "&amp;Labels!B331</f>
        <v xml:space="preserve">         Travel Entertain</v>
      </c>
      <c r="B100" s="328">
        <f>Inputs!F320*'GM CostSvcs'!B479/12</f>
        <v>0</v>
      </c>
      <c r="C100" s="328">
        <f>Inputs!G320*'GM CostSvcs'!C479/12</f>
        <v>0</v>
      </c>
      <c r="D100" s="328">
        <f>Inputs!H320*'GM CostSvcs'!D479/12</f>
        <v>0</v>
      </c>
      <c r="E100" s="246">
        <f>SUM(B100:D100)</f>
        <v>0</v>
      </c>
      <c r="F100" s="328">
        <f>Inputs!I320*'GM CostSvcs'!F479/12</f>
        <v>0</v>
      </c>
      <c r="G100" s="328">
        <f>Inputs!J320*'GM CostSvcs'!G479/12</f>
        <v>0</v>
      </c>
      <c r="H100" s="328">
        <f>Inputs!K320*'GM CostSvcs'!H479/12</f>
        <v>0</v>
      </c>
      <c r="I100" s="246">
        <f>SUM(F100:H100)</f>
        <v>0</v>
      </c>
      <c r="J100" s="328">
        <f>Inputs!L320*'GM CostSvcs'!J479/12</f>
        <v>0</v>
      </c>
      <c r="K100" s="328">
        <f>Inputs!M320*'GM CostSvcs'!K479/12</f>
        <v>0</v>
      </c>
      <c r="L100" s="328">
        <f>Inputs!N320*'GM CostSvcs'!L479/12</f>
        <v>0</v>
      </c>
      <c r="M100" s="246">
        <f>SUM(J100:L100)</f>
        <v>0</v>
      </c>
      <c r="N100" s="328">
        <f>Inputs!O320*'GM CostSvcs'!N479/12</f>
        <v>0</v>
      </c>
      <c r="O100" s="328">
        <f>Inputs!P320*'GM CostSvcs'!O479/12</f>
        <v>0</v>
      </c>
      <c r="P100" s="328">
        <f>Inputs!Q320*'GM CostSvcs'!P479/12</f>
        <v>0</v>
      </c>
      <c r="Q100" s="246">
        <f>SUM(N100:P100)</f>
        <v>0</v>
      </c>
      <c r="R100" s="328">
        <f>Inputs!R320*'GM CostSvcs'!R479/12</f>
        <v>0</v>
      </c>
      <c r="S100" s="328">
        <f>Inputs!S320*'GM CostSvcs'!S479/12</f>
        <v>0</v>
      </c>
      <c r="T100" s="328">
        <f>Inputs!T320*'GM CostSvcs'!T479/12</f>
        <v>0</v>
      </c>
      <c r="U100" s="246">
        <f>SUM(R100:T100)</f>
        <v>0</v>
      </c>
      <c r="V100" s="328">
        <f>Inputs!U320*'GM CostSvcs'!V479/12</f>
        <v>0</v>
      </c>
      <c r="W100" s="328">
        <f>Inputs!V320*'GM CostSvcs'!W479/12</f>
        <v>0</v>
      </c>
      <c r="X100" s="328">
        <f>Inputs!W320*'GM CostSvcs'!X479/12</f>
        <v>0</v>
      </c>
      <c r="Y100" s="246">
        <f>SUM(V100:X100)</f>
        <v>0</v>
      </c>
    </row>
    <row r="101" spans="1:25" ht="12.75" hidden="1" customHeight="1" outlineLevel="1" x14ac:dyDescent="0.2">
      <c r="A101" s="198" t="str">
        <f>"         "&amp;Labels!B332</f>
        <v xml:space="preserve">         Other</v>
      </c>
      <c r="B101" s="328">
        <f>Inputs!F321*'GM CostSvcs'!B479/12</f>
        <v>0</v>
      </c>
      <c r="C101" s="328">
        <f>Inputs!G321*'GM CostSvcs'!C479/12</f>
        <v>0</v>
      </c>
      <c r="D101" s="328">
        <f>Inputs!H321*'GM CostSvcs'!D479/12</f>
        <v>0</v>
      </c>
      <c r="E101" s="246">
        <f>SUM(B101:D101)</f>
        <v>0</v>
      </c>
      <c r="F101" s="328">
        <f>Inputs!I321*'GM CostSvcs'!F479/12</f>
        <v>0</v>
      </c>
      <c r="G101" s="328">
        <f>Inputs!J321*'GM CostSvcs'!G479/12</f>
        <v>0</v>
      </c>
      <c r="H101" s="328">
        <f>Inputs!K321*'GM CostSvcs'!H479/12</f>
        <v>0</v>
      </c>
      <c r="I101" s="246">
        <f>SUM(F101:H101)</f>
        <v>0</v>
      </c>
      <c r="J101" s="328">
        <f>Inputs!L321*'GM CostSvcs'!J479/12</f>
        <v>0</v>
      </c>
      <c r="K101" s="328">
        <f>Inputs!M321*'GM CostSvcs'!K479/12</f>
        <v>0</v>
      </c>
      <c r="L101" s="328">
        <f>Inputs!N321*'GM CostSvcs'!L479/12</f>
        <v>0</v>
      </c>
      <c r="M101" s="246">
        <f>SUM(J101:L101)</f>
        <v>0</v>
      </c>
      <c r="N101" s="328">
        <f>Inputs!O321*'GM CostSvcs'!N479/12</f>
        <v>0</v>
      </c>
      <c r="O101" s="328">
        <f>Inputs!P321*'GM CostSvcs'!O479/12</f>
        <v>0</v>
      </c>
      <c r="P101" s="328">
        <f>Inputs!Q321*'GM CostSvcs'!P479/12</f>
        <v>0</v>
      </c>
      <c r="Q101" s="246">
        <f>SUM(N101:P101)</f>
        <v>0</v>
      </c>
      <c r="R101" s="328">
        <f>Inputs!R321*'GM CostSvcs'!R479/12</f>
        <v>0</v>
      </c>
      <c r="S101" s="328">
        <f>Inputs!S321*'GM CostSvcs'!S479/12</f>
        <v>0</v>
      </c>
      <c r="T101" s="328">
        <f>Inputs!T321*'GM CostSvcs'!T479/12</f>
        <v>0</v>
      </c>
      <c r="U101" s="246">
        <f>SUM(R101:T101)</f>
        <v>0</v>
      </c>
      <c r="V101" s="328">
        <f>Inputs!U321*'GM CostSvcs'!V479/12</f>
        <v>0</v>
      </c>
      <c r="W101" s="328">
        <f>Inputs!V321*'GM CostSvcs'!W479/12</f>
        <v>0</v>
      </c>
      <c r="X101" s="328">
        <f>Inputs!W321*'GM CostSvcs'!X479/12</f>
        <v>0</v>
      </c>
      <c r="Y101" s="246">
        <f>SUM(V101:X101)</f>
        <v>0</v>
      </c>
    </row>
    <row r="102" spans="1:25" ht="12.75" hidden="1" customHeight="1" outlineLevel="1" x14ac:dyDescent="0.2">
      <c r="A102" s="198" t="str">
        <f>"         "&amp;Labels!C329</f>
        <v xml:space="preserve">         Total</v>
      </c>
      <c r="B102" s="243">
        <f>SUM(B99:B101)</f>
        <v>0</v>
      </c>
      <c r="C102" s="243">
        <f>SUM(C99:C101)</f>
        <v>0</v>
      </c>
      <c r="D102" s="243">
        <f>SUM(D99:D101)</f>
        <v>0</v>
      </c>
      <c r="E102" s="244">
        <f>SUM(B102:D102)</f>
        <v>0</v>
      </c>
      <c r="F102" s="243">
        <f>SUM(F99:F101)</f>
        <v>0</v>
      </c>
      <c r="G102" s="243">
        <f>SUM(G99:G101)</f>
        <v>0</v>
      </c>
      <c r="H102" s="243">
        <f>SUM(H99:H101)</f>
        <v>0</v>
      </c>
      <c r="I102" s="244">
        <f>SUM(F102:H102)</f>
        <v>0</v>
      </c>
      <c r="J102" s="243">
        <f>SUM(J99:J101)</f>
        <v>0</v>
      </c>
      <c r="K102" s="243">
        <f>SUM(K99:K101)</f>
        <v>0</v>
      </c>
      <c r="L102" s="243">
        <f>SUM(L99:L101)</f>
        <v>0</v>
      </c>
      <c r="M102" s="244">
        <f>SUM(J102:L102)</f>
        <v>0</v>
      </c>
      <c r="N102" s="243">
        <f>SUM(N99:N101)</f>
        <v>0</v>
      </c>
      <c r="O102" s="243">
        <f>SUM(O99:O101)</f>
        <v>0</v>
      </c>
      <c r="P102" s="243">
        <f>SUM(P99:P101)</f>
        <v>0</v>
      </c>
      <c r="Q102" s="244">
        <f>SUM(N102:P102)</f>
        <v>0</v>
      </c>
      <c r="R102" s="243">
        <f>SUM(R99:R101)</f>
        <v>0</v>
      </c>
      <c r="S102" s="243">
        <f>SUM(S99:S101)</f>
        <v>0</v>
      </c>
      <c r="T102" s="243">
        <f>SUM(T99:T101)</f>
        <v>0</v>
      </c>
      <c r="U102" s="244">
        <f>SUM(R102:T102)</f>
        <v>0</v>
      </c>
      <c r="V102" s="243">
        <f>SUM(V99:V101)</f>
        <v>0</v>
      </c>
      <c r="W102" s="243">
        <f>SUM(W99:W101)</f>
        <v>0</v>
      </c>
      <c r="X102" s="243">
        <f>SUM(X99:X101)</f>
        <v>0</v>
      </c>
      <c r="Y102" s="244">
        <f>SUM(V102:X102)</f>
        <v>0</v>
      </c>
    </row>
    <row r="103" spans="1:25" ht="12.75" hidden="1" customHeight="1" outlineLevel="1" x14ac:dyDescent="0.2">
      <c r="A103" s="198" t="str">
        <f>"      "&amp;Labels!B386</f>
        <v xml:space="preserve">      Prof Level 2</v>
      </c>
      <c r="B103" s="243"/>
      <c r="C103" s="243"/>
      <c r="D103" s="243"/>
      <c r="E103" s="244"/>
      <c r="F103" s="243"/>
      <c r="G103" s="243"/>
      <c r="H103" s="243"/>
      <c r="I103" s="244"/>
      <c r="J103" s="243"/>
      <c r="K103" s="243"/>
      <c r="L103" s="243"/>
      <c r="M103" s="244"/>
      <c r="N103" s="243"/>
      <c r="O103" s="243"/>
      <c r="P103" s="243"/>
      <c r="Q103" s="244"/>
      <c r="R103" s="243"/>
      <c r="S103" s="243"/>
      <c r="T103" s="243"/>
      <c r="U103" s="244"/>
      <c r="V103" s="243"/>
      <c r="W103" s="243"/>
      <c r="X103" s="243"/>
      <c r="Y103" s="244"/>
    </row>
    <row r="104" spans="1:25" ht="12.75" hidden="1" customHeight="1" outlineLevel="1" x14ac:dyDescent="0.2">
      <c r="A104" s="198" t="str">
        <f>"         "&amp;Labels!B330</f>
        <v xml:space="preserve">         Supplies</v>
      </c>
      <c r="B104" s="328">
        <f>Inputs!F322*'GM CostSvcs'!B480/12</f>
        <v>0</v>
      </c>
      <c r="C104" s="328">
        <f>Inputs!G322*'GM CostSvcs'!C480/12</f>
        <v>0</v>
      </c>
      <c r="D104" s="328">
        <f>Inputs!H322*'GM CostSvcs'!D480/12</f>
        <v>0</v>
      </c>
      <c r="E104" s="246">
        <f t="shared" ref="E104:E111" si="30">SUM(B104:D104)</f>
        <v>0</v>
      </c>
      <c r="F104" s="328">
        <f>Inputs!I322*'GM CostSvcs'!F480/12</f>
        <v>0</v>
      </c>
      <c r="G104" s="328">
        <f>Inputs!J322*'GM CostSvcs'!G480/12</f>
        <v>0</v>
      </c>
      <c r="H104" s="328">
        <f>Inputs!K322*'GM CostSvcs'!H480/12</f>
        <v>0</v>
      </c>
      <c r="I104" s="246">
        <f t="shared" ref="I104:I111" si="31">SUM(F104:H104)</f>
        <v>0</v>
      </c>
      <c r="J104" s="328">
        <f>Inputs!L322*'GM CostSvcs'!J480/12</f>
        <v>0</v>
      </c>
      <c r="K104" s="328">
        <f>Inputs!M322*'GM CostSvcs'!K480/12</f>
        <v>0</v>
      </c>
      <c r="L104" s="328">
        <f>Inputs!N322*'GM CostSvcs'!L480/12</f>
        <v>0</v>
      </c>
      <c r="M104" s="246">
        <f t="shared" ref="M104:M111" si="32">SUM(J104:L104)</f>
        <v>0</v>
      </c>
      <c r="N104" s="328">
        <f>Inputs!O322*'GM CostSvcs'!N480/12</f>
        <v>0</v>
      </c>
      <c r="O104" s="328">
        <f>Inputs!P322*'GM CostSvcs'!O480/12</f>
        <v>0</v>
      </c>
      <c r="P104" s="328">
        <f>Inputs!Q322*'GM CostSvcs'!P480/12</f>
        <v>0</v>
      </c>
      <c r="Q104" s="246">
        <f t="shared" ref="Q104:Q111" si="33">SUM(N104:P104)</f>
        <v>0</v>
      </c>
      <c r="R104" s="328">
        <f>Inputs!R322*'GM CostSvcs'!R480/12</f>
        <v>0</v>
      </c>
      <c r="S104" s="328">
        <f>Inputs!S322*'GM CostSvcs'!S480/12</f>
        <v>0</v>
      </c>
      <c r="T104" s="328">
        <f>Inputs!T322*'GM CostSvcs'!T480/12</f>
        <v>0</v>
      </c>
      <c r="U104" s="246">
        <f t="shared" ref="U104:U111" si="34">SUM(R104:T104)</f>
        <v>0</v>
      </c>
      <c r="V104" s="328">
        <f>Inputs!U322*'GM CostSvcs'!V480/12</f>
        <v>0</v>
      </c>
      <c r="W104" s="328">
        <f>Inputs!V322*'GM CostSvcs'!W480/12</f>
        <v>0</v>
      </c>
      <c r="X104" s="328">
        <f>Inputs!W322*'GM CostSvcs'!X480/12</f>
        <v>0</v>
      </c>
      <c r="Y104" s="246">
        <f t="shared" ref="Y104:Y111" si="35">SUM(V104:X104)</f>
        <v>0</v>
      </c>
    </row>
    <row r="105" spans="1:25" ht="12.75" hidden="1" customHeight="1" outlineLevel="1" x14ac:dyDescent="0.2">
      <c r="A105" s="198" t="str">
        <f>"         "&amp;Labels!B331</f>
        <v xml:space="preserve">         Travel Entertain</v>
      </c>
      <c r="B105" s="328">
        <f>Inputs!F323*'GM CostSvcs'!B480/12</f>
        <v>0</v>
      </c>
      <c r="C105" s="328">
        <f>Inputs!G323*'GM CostSvcs'!C480/12</f>
        <v>0</v>
      </c>
      <c r="D105" s="328">
        <f>Inputs!H323*'GM CostSvcs'!D480/12</f>
        <v>0</v>
      </c>
      <c r="E105" s="246">
        <f t="shared" si="30"/>
        <v>0</v>
      </c>
      <c r="F105" s="328">
        <f>Inputs!I323*'GM CostSvcs'!F480/12</f>
        <v>0</v>
      </c>
      <c r="G105" s="328">
        <f>Inputs!J323*'GM CostSvcs'!G480/12</f>
        <v>0</v>
      </c>
      <c r="H105" s="328">
        <f>Inputs!K323*'GM CostSvcs'!H480/12</f>
        <v>0</v>
      </c>
      <c r="I105" s="246">
        <f t="shared" si="31"/>
        <v>0</v>
      </c>
      <c r="J105" s="328">
        <f>Inputs!L323*'GM CostSvcs'!J480/12</f>
        <v>0</v>
      </c>
      <c r="K105" s="328">
        <f>Inputs!M323*'GM CostSvcs'!K480/12</f>
        <v>0</v>
      </c>
      <c r="L105" s="328">
        <f>Inputs!N323*'GM CostSvcs'!L480/12</f>
        <v>0</v>
      </c>
      <c r="M105" s="246">
        <f t="shared" si="32"/>
        <v>0</v>
      </c>
      <c r="N105" s="328">
        <f>Inputs!O323*'GM CostSvcs'!N480/12</f>
        <v>0</v>
      </c>
      <c r="O105" s="328">
        <f>Inputs!P323*'GM CostSvcs'!O480/12</f>
        <v>0</v>
      </c>
      <c r="P105" s="328">
        <f>Inputs!Q323*'GM CostSvcs'!P480/12</f>
        <v>0</v>
      </c>
      <c r="Q105" s="246">
        <f t="shared" si="33"/>
        <v>0</v>
      </c>
      <c r="R105" s="328">
        <f>Inputs!R323*'GM CostSvcs'!R480/12</f>
        <v>0</v>
      </c>
      <c r="S105" s="328">
        <f>Inputs!S323*'GM CostSvcs'!S480/12</f>
        <v>0</v>
      </c>
      <c r="T105" s="328">
        <f>Inputs!T323*'GM CostSvcs'!T480/12</f>
        <v>0</v>
      </c>
      <c r="U105" s="246">
        <f t="shared" si="34"/>
        <v>0</v>
      </c>
      <c r="V105" s="328">
        <f>Inputs!U323*'GM CostSvcs'!V480/12</f>
        <v>0</v>
      </c>
      <c r="W105" s="328">
        <f>Inputs!V323*'GM CostSvcs'!W480/12</f>
        <v>0</v>
      </c>
      <c r="X105" s="328">
        <f>Inputs!W323*'GM CostSvcs'!X480/12</f>
        <v>0</v>
      </c>
      <c r="Y105" s="246">
        <f t="shared" si="35"/>
        <v>0</v>
      </c>
    </row>
    <row r="106" spans="1:25" ht="12.75" hidden="1" customHeight="1" outlineLevel="1" x14ac:dyDescent="0.2">
      <c r="A106" s="198" t="str">
        <f>"         "&amp;Labels!B332</f>
        <v xml:space="preserve">         Other</v>
      </c>
      <c r="B106" s="328">
        <f>Inputs!F324*'GM CostSvcs'!B480/12</f>
        <v>0</v>
      </c>
      <c r="C106" s="328">
        <f>Inputs!G324*'GM CostSvcs'!C480/12</f>
        <v>0</v>
      </c>
      <c r="D106" s="328">
        <f>Inputs!H324*'GM CostSvcs'!D480/12</f>
        <v>0</v>
      </c>
      <c r="E106" s="246">
        <f t="shared" si="30"/>
        <v>0</v>
      </c>
      <c r="F106" s="328">
        <f>Inputs!I324*'GM CostSvcs'!F480/12</f>
        <v>0</v>
      </c>
      <c r="G106" s="328">
        <f>Inputs!J324*'GM CostSvcs'!G480/12</f>
        <v>0</v>
      </c>
      <c r="H106" s="328">
        <f>Inputs!K324*'GM CostSvcs'!H480/12</f>
        <v>0</v>
      </c>
      <c r="I106" s="246">
        <f t="shared" si="31"/>
        <v>0</v>
      </c>
      <c r="J106" s="328">
        <f>Inputs!L324*'GM CostSvcs'!J480/12</f>
        <v>0</v>
      </c>
      <c r="K106" s="328">
        <f>Inputs!M324*'GM CostSvcs'!K480/12</f>
        <v>0</v>
      </c>
      <c r="L106" s="328">
        <f>Inputs!N324*'GM CostSvcs'!L480/12</f>
        <v>0</v>
      </c>
      <c r="M106" s="246">
        <f t="shared" si="32"/>
        <v>0</v>
      </c>
      <c r="N106" s="328">
        <f>Inputs!O324*'GM CostSvcs'!N480/12</f>
        <v>0</v>
      </c>
      <c r="O106" s="328">
        <f>Inputs!P324*'GM CostSvcs'!O480/12</f>
        <v>0</v>
      </c>
      <c r="P106" s="328">
        <f>Inputs!Q324*'GM CostSvcs'!P480/12</f>
        <v>0</v>
      </c>
      <c r="Q106" s="246">
        <f t="shared" si="33"/>
        <v>0</v>
      </c>
      <c r="R106" s="328">
        <f>Inputs!R324*'GM CostSvcs'!R480/12</f>
        <v>0</v>
      </c>
      <c r="S106" s="328">
        <f>Inputs!S324*'GM CostSvcs'!S480/12</f>
        <v>0</v>
      </c>
      <c r="T106" s="328">
        <f>Inputs!T324*'GM CostSvcs'!T480/12</f>
        <v>0</v>
      </c>
      <c r="U106" s="246">
        <f t="shared" si="34"/>
        <v>0</v>
      </c>
      <c r="V106" s="328">
        <f>Inputs!U324*'GM CostSvcs'!V480/12</f>
        <v>0</v>
      </c>
      <c r="W106" s="328">
        <f>Inputs!V324*'GM CostSvcs'!W480/12</f>
        <v>0</v>
      </c>
      <c r="X106" s="328">
        <f>Inputs!W324*'GM CostSvcs'!X480/12</f>
        <v>0</v>
      </c>
      <c r="Y106" s="246">
        <f t="shared" si="35"/>
        <v>0</v>
      </c>
    </row>
    <row r="107" spans="1:25" ht="12.75" hidden="1" customHeight="1" outlineLevel="1" x14ac:dyDescent="0.2">
      <c r="A107" s="198" t="str">
        <f>"         "&amp;Labels!C329</f>
        <v xml:space="preserve">         Total</v>
      </c>
      <c r="B107" s="243">
        <f>SUM(B104:B106)</f>
        <v>0</v>
      </c>
      <c r="C107" s="243">
        <f>SUM(C104:C106)</f>
        <v>0</v>
      </c>
      <c r="D107" s="243">
        <f>SUM(D104:D106)</f>
        <v>0</v>
      </c>
      <c r="E107" s="244">
        <f t="shared" si="30"/>
        <v>0</v>
      </c>
      <c r="F107" s="243">
        <f>SUM(F104:F106)</f>
        <v>0</v>
      </c>
      <c r="G107" s="243">
        <f>SUM(G104:G106)</f>
        <v>0</v>
      </c>
      <c r="H107" s="243">
        <f>SUM(H104:H106)</f>
        <v>0</v>
      </c>
      <c r="I107" s="244">
        <f t="shared" si="31"/>
        <v>0</v>
      </c>
      <c r="J107" s="243">
        <f>SUM(J104:J106)</f>
        <v>0</v>
      </c>
      <c r="K107" s="243">
        <f>SUM(K104:K106)</f>
        <v>0</v>
      </c>
      <c r="L107" s="243">
        <f>SUM(L104:L106)</f>
        <v>0</v>
      </c>
      <c r="M107" s="244">
        <f t="shared" si="32"/>
        <v>0</v>
      </c>
      <c r="N107" s="243">
        <f>SUM(N104:N106)</f>
        <v>0</v>
      </c>
      <c r="O107" s="243">
        <f>SUM(O104:O106)</f>
        <v>0</v>
      </c>
      <c r="P107" s="243">
        <f>SUM(P104:P106)</f>
        <v>0</v>
      </c>
      <c r="Q107" s="244">
        <f t="shared" si="33"/>
        <v>0</v>
      </c>
      <c r="R107" s="243">
        <f>SUM(R104:R106)</f>
        <v>0</v>
      </c>
      <c r="S107" s="243">
        <f>SUM(S104:S106)</f>
        <v>0</v>
      </c>
      <c r="T107" s="243">
        <f>SUM(T104:T106)</f>
        <v>0</v>
      </c>
      <c r="U107" s="244">
        <f t="shared" si="34"/>
        <v>0</v>
      </c>
      <c r="V107" s="243">
        <f>SUM(V104:V106)</f>
        <v>0</v>
      </c>
      <c r="W107" s="243">
        <f>SUM(W104:W106)</f>
        <v>0</v>
      </c>
      <c r="X107" s="243">
        <f>SUM(X104:X106)</f>
        <v>0</v>
      </c>
      <c r="Y107" s="244">
        <f t="shared" si="35"/>
        <v>0</v>
      </c>
    </row>
    <row r="108" spans="1:25" ht="12.75" hidden="1" customHeight="1" outlineLevel="1" x14ac:dyDescent="0.2">
      <c r="A108" s="188" t="str">
        <f>"      "&amp;Labels!C384</f>
        <v xml:space="preserve">      Total</v>
      </c>
      <c r="B108" s="241">
        <f>SUM(B102,B107)</f>
        <v>0</v>
      </c>
      <c r="C108" s="241">
        <f>SUM(C102,C107)</f>
        <v>0</v>
      </c>
      <c r="D108" s="241">
        <f>SUM(D102,D107)</f>
        <v>0</v>
      </c>
      <c r="E108" s="242">
        <f t="shared" si="30"/>
        <v>0</v>
      </c>
      <c r="F108" s="241">
        <f>SUM(F102,F107)</f>
        <v>0</v>
      </c>
      <c r="G108" s="241">
        <f>SUM(G102,G107)</f>
        <v>0</v>
      </c>
      <c r="H108" s="241">
        <f>SUM(H102,H107)</f>
        <v>0</v>
      </c>
      <c r="I108" s="242">
        <f t="shared" si="31"/>
        <v>0</v>
      </c>
      <c r="J108" s="241">
        <f>SUM(J102,J107)</f>
        <v>0</v>
      </c>
      <c r="K108" s="241">
        <f>SUM(K102,K107)</f>
        <v>0</v>
      </c>
      <c r="L108" s="241">
        <f>SUM(L102,L107)</f>
        <v>0</v>
      </c>
      <c r="M108" s="242">
        <f t="shared" si="32"/>
        <v>0</v>
      </c>
      <c r="N108" s="241">
        <f>SUM(N102,N107)</f>
        <v>0</v>
      </c>
      <c r="O108" s="241">
        <f>SUM(O102,O107)</f>
        <v>0</v>
      </c>
      <c r="P108" s="241">
        <f>SUM(P102,P107)</f>
        <v>0</v>
      </c>
      <c r="Q108" s="242">
        <f t="shared" si="33"/>
        <v>0</v>
      </c>
      <c r="R108" s="241">
        <f>SUM(R102,R107)</f>
        <v>0</v>
      </c>
      <c r="S108" s="241">
        <f>SUM(S102,S107)</f>
        <v>0</v>
      </c>
      <c r="T108" s="241">
        <f>SUM(T102,T107)</f>
        <v>0</v>
      </c>
      <c r="U108" s="242">
        <f t="shared" si="34"/>
        <v>0</v>
      </c>
      <c r="V108" s="241">
        <f>SUM(V102,V107)</f>
        <v>0</v>
      </c>
      <c r="W108" s="241">
        <f>SUM(W102,W107)</f>
        <v>0</v>
      </c>
      <c r="X108" s="241">
        <f>SUM(X102,X107)</f>
        <v>0</v>
      </c>
      <c r="Y108" s="242">
        <f t="shared" si="35"/>
        <v>0</v>
      </c>
    </row>
    <row r="109" spans="1:25" ht="12.75" hidden="1" customHeight="1" outlineLevel="1" x14ac:dyDescent="0.2">
      <c r="A109" s="198" t="str">
        <f>"         "&amp;Labels!B330</f>
        <v xml:space="preserve">         Supplies</v>
      </c>
      <c r="B109" s="328">
        <f t="shared" ref="B109:D112" si="36">SUM(B99,B104)</f>
        <v>0</v>
      </c>
      <c r="C109" s="328">
        <f t="shared" si="36"/>
        <v>0</v>
      </c>
      <c r="D109" s="328">
        <f t="shared" si="36"/>
        <v>0</v>
      </c>
      <c r="E109" s="246">
        <f t="shared" si="30"/>
        <v>0</v>
      </c>
      <c r="F109" s="328">
        <f t="shared" ref="F109:H112" si="37">SUM(F99,F104)</f>
        <v>0</v>
      </c>
      <c r="G109" s="328">
        <f t="shared" si="37"/>
        <v>0</v>
      </c>
      <c r="H109" s="328">
        <f t="shared" si="37"/>
        <v>0</v>
      </c>
      <c r="I109" s="246">
        <f t="shared" si="31"/>
        <v>0</v>
      </c>
      <c r="J109" s="328">
        <f t="shared" ref="J109:L112" si="38">SUM(J99,J104)</f>
        <v>0</v>
      </c>
      <c r="K109" s="328">
        <f t="shared" si="38"/>
        <v>0</v>
      </c>
      <c r="L109" s="328">
        <f t="shared" si="38"/>
        <v>0</v>
      </c>
      <c r="M109" s="246">
        <f t="shared" si="32"/>
        <v>0</v>
      </c>
      <c r="N109" s="328">
        <f t="shared" ref="N109:P112" si="39">SUM(N99,N104)</f>
        <v>0</v>
      </c>
      <c r="O109" s="328">
        <f t="shared" si="39"/>
        <v>0</v>
      </c>
      <c r="P109" s="328">
        <f t="shared" si="39"/>
        <v>0</v>
      </c>
      <c r="Q109" s="246">
        <f t="shared" si="33"/>
        <v>0</v>
      </c>
      <c r="R109" s="328">
        <f t="shared" ref="R109:T112" si="40">SUM(R99,R104)</f>
        <v>0</v>
      </c>
      <c r="S109" s="328">
        <f t="shared" si="40"/>
        <v>0</v>
      </c>
      <c r="T109" s="328">
        <f t="shared" si="40"/>
        <v>0</v>
      </c>
      <c r="U109" s="246">
        <f t="shared" si="34"/>
        <v>0</v>
      </c>
      <c r="V109" s="328">
        <f t="shared" ref="V109:X112" si="41">SUM(V99,V104)</f>
        <v>0</v>
      </c>
      <c r="W109" s="328">
        <f t="shared" si="41"/>
        <v>0</v>
      </c>
      <c r="X109" s="328">
        <f t="shared" si="41"/>
        <v>0</v>
      </c>
      <c r="Y109" s="246">
        <f t="shared" si="35"/>
        <v>0</v>
      </c>
    </row>
    <row r="110" spans="1:25" ht="12.75" hidden="1" customHeight="1" outlineLevel="1" x14ac:dyDescent="0.2">
      <c r="A110" s="198" t="str">
        <f>"         "&amp;Labels!B331</f>
        <v xml:space="preserve">         Travel Entertain</v>
      </c>
      <c r="B110" s="328">
        <f t="shared" si="36"/>
        <v>0</v>
      </c>
      <c r="C110" s="328">
        <f t="shared" si="36"/>
        <v>0</v>
      </c>
      <c r="D110" s="328">
        <f t="shared" si="36"/>
        <v>0</v>
      </c>
      <c r="E110" s="246">
        <f t="shared" si="30"/>
        <v>0</v>
      </c>
      <c r="F110" s="328">
        <f t="shared" si="37"/>
        <v>0</v>
      </c>
      <c r="G110" s="328">
        <f t="shared" si="37"/>
        <v>0</v>
      </c>
      <c r="H110" s="328">
        <f t="shared" si="37"/>
        <v>0</v>
      </c>
      <c r="I110" s="246">
        <f t="shared" si="31"/>
        <v>0</v>
      </c>
      <c r="J110" s="328">
        <f t="shared" si="38"/>
        <v>0</v>
      </c>
      <c r="K110" s="328">
        <f t="shared" si="38"/>
        <v>0</v>
      </c>
      <c r="L110" s="328">
        <f t="shared" si="38"/>
        <v>0</v>
      </c>
      <c r="M110" s="246">
        <f t="shared" si="32"/>
        <v>0</v>
      </c>
      <c r="N110" s="328">
        <f t="shared" si="39"/>
        <v>0</v>
      </c>
      <c r="O110" s="328">
        <f t="shared" si="39"/>
        <v>0</v>
      </c>
      <c r="P110" s="328">
        <f t="shared" si="39"/>
        <v>0</v>
      </c>
      <c r="Q110" s="246">
        <f t="shared" si="33"/>
        <v>0</v>
      </c>
      <c r="R110" s="328">
        <f t="shared" si="40"/>
        <v>0</v>
      </c>
      <c r="S110" s="328">
        <f t="shared" si="40"/>
        <v>0</v>
      </c>
      <c r="T110" s="328">
        <f t="shared" si="40"/>
        <v>0</v>
      </c>
      <c r="U110" s="246">
        <f t="shared" si="34"/>
        <v>0</v>
      </c>
      <c r="V110" s="328">
        <f t="shared" si="41"/>
        <v>0</v>
      </c>
      <c r="W110" s="328">
        <f t="shared" si="41"/>
        <v>0</v>
      </c>
      <c r="X110" s="328">
        <f t="shared" si="41"/>
        <v>0</v>
      </c>
      <c r="Y110" s="246">
        <f t="shared" si="35"/>
        <v>0</v>
      </c>
    </row>
    <row r="111" spans="1:25" ht="12.75" hidden="1" customHeight="1" outlineLevel="1" x14ac:dyDescent="0.2">
      <c r="A111" s="198" t="str">
        <f>"         "&amp;Labels!B332</f>
        <v xml:space="preserve">         Other</v>
      </c>
      <c r="B111" s="328">
        <f t="shared" si="36"/>
        <v>0</v>
      </c>
      <c r="C111" s="328">
        <f t="shared" si="36"/>
        <v>0</v>
      </c>
      <c r="D111" s="328">
        <f t="shared" si="36"/>
        <v>0</v>
      </c>
      <c r="E111" s="246">
        <f t="shared" si="30"/>
        <v>0</v>
      </c>
      <c r="F111" s="328">
        <f t="shared" si="37"/>
        <v>0</v>
      </c>
      <c r="G111" s="328">
        <f t="shared" si="37"/>
        <v>0</v>
      </c>
      <c r="H111" s="328">
        <f t="shared" si="37"/>
        <v>0</v>
      </c>
      <c r="I111" s="246">
        <f t="shared" si="31"/>
        <v>0</v>
      </c>
      <c r="J111" s="328">
        <f t="shared" si="38"/>
        <v>0</v>
      </c>
      <c r="K111" s="328">
        <f t="shared" si="38"/>
        <v>0</v>
      </c>
      <c r="L111" s="328">
        <f t="shared" si="38"/>
        <v>0</v>
      </c>
      <c r="M111" s="246">
        <f t="shared" si="32"/>
        <v>0</v>
      </c>
      <c r="N111" s="328">
        <f t="shared" si="39"/>
        <v>0</v>
      </c>
      <c r="O111" s="328">
        <f t="shared" si="39"/>
        <v>0</v>
      </c>
      <c r="P111" s="328">
        <f t="shared" si="39"/>
        <v>0</v>
      </c>
      <c r="Q111" s="246">
        <f t="shared" si="33"/>
        <v>0</v>
      </c>
      <c r="R111" s="328">
        <f t="shared" si="40"/>
        <v>0</v>
      </c>
      <c r="S111" s="328">
        <f t="shared" si="40"/>
        <v>0</v>
      </c>
      <c r="T111" s="328">
        <f t="shared" si="40"/>
        <v>0</v>
      </c>
      <c r="U111" s="246">
        <f t="shared" si="34"/>
        <v>0</v>
      </c>
      <c r="V111" s="328">
        <f t="shared" si="41"/>
        <v>0</v>
      </c>
      <c r="W111" s="328">
        <f t="shared" si="41"/>
        <v>0</v>
      </c>
      <c r="X111" s="328">
        <f t="shared" si="41"/>
        <v>0</v>
      </c>
      <c r="Y111" s="246">
        <f t="shared" si="35"/>
        <v>0</v>
      </c>
    </row>
    <row r="112" spans="1:25" ht="12.75" hidden="1" customHeight="1" outlineLevel="1" x14ac:dyDescent="0.2">
      <c r="A112" s="198" t="str">
        <f>"         "&amp;Labels!C329</f>
        <v xml:space="preserve">         Total</v>
      </c>
      <c r="B112" s="243">
        <f t="shared" si="36"/>
        <v>0</v>
      </c>
      <c r="C112" s="243">
        <f t="shared" si="36"/>
        <v>0</v>
      </c>
      <c r="D112" s="243">
        <f t="shared" si="36"/>
        <v>0</v>
      </c>
      <c r="E112" s="244">
        <f>SUM(B108:D108)</f>
        <v>0</v>
      </c>
      <c r="F112" s="243">
        <f t="shared" si="37"/>
        <v>0</v>
      </c>
      <c r="G112" s="243">
        <f t="shared" si="37"/>
        <v>0</v>
      </c>
      <c r="H112" s="243">
        <f t="shared" si="37"/>
        <v>0</v>
      </c>
      <c r="I112" s="244">
        <f>SUM(F108:H108)</f>
        <v>0</v>
      </c>
      <c r="J112" s="243">
        <f t="shared" si="38"/>
        <v>0</v>
      </c>
      <c r="K112" s="243">
        <f t="shared" si="38"/>
        <v>0</v>
      </c>
      <c r="L112" s="243">
        <f t="shared" si="38"/>
        <v>0</v>
      </c>
      <c r="M112" s="244">
        <f>SUM(J108:L108)</f>
        <v>0</v>
      </c>
      <c r="N112" s="243">
        <f t="shared" si="39"/>
        <v>0</v>
      </c>
      <c r="O112" s="243">
        <f t="shared" si="39"/>
        <v>0</v>
      </c>
      <c r="P112" s="243">
        <f t="shared" si="39"/>
        <v>0</v>
      </c>
      <c r="Q112" s="244">
        <f>SUM(N108:P108)</f>
        <v>0</v>
      </c>
      <c r="R112" s="243">
        <f t="shared" si="40"/>
        <v>0</v>
      </c>
      <c r="S112" s="243">
        <f t="shared" si="40"/>
        <v>0</v>
      </c>
      <c r="T112" s="243">
        <f t="shared" si="40"/>
        <v>0</v>
      </c>
      <c r="U112" s="244">
        <f>SUM(R108:T108)</f>
        <v>0</v>
      </c>
      <c r="V112" s="243">
        <f t="shared" si="41"/>
        <v>0</v>
      </c>
      <c r="W112" s="243">
        <f t="shared" si="41"/>
        <v>0</v>
      </c>
      <c r="X112" s="243">
        <f t="shared" si="41"/>
        <v>0</v>
      </c>
      <c r="Y112" s="244">
        <f>SUM(V108:X108)</f>
        <v>0</v>
      </c>
    </row>
    <row r="113" spans="1:25" ht="12.75" hidden="1" customHeight="1" outlineLevel="1" x14ac:dyDescent="0.2">
      <c r="A113" s="188" t="str">
        <f>"   "&amp;Labels!B382</f>
        <v xml:space="preserve">   Practice 2</v>
      </c>
      <c r="B113" s="241"/>
      <c r="C113" s="241"/>
      <c r="D113" s="241"/>
      <c r="E113" s="242"/>
      <c r="F113" s="241"/>
      <c r="G113" s="241"/>
      <c r="H113" s="241"/>
      <c r="I113" s="242"/>
      <c r="J113" s="241"/>
      <c r="K113" s="241"/>
      <c r="L113" s="241"/>
      <c r="M113" s="242"/>
      <c r="N113" s="241"/>
      <c r="O113" s="241"/>
      <c r="P113" s="241"/>
      <c r="Q113" s="242"/>
      <c r="R113" s="241"/>
      <c r="S113" s="241"/>
      <c r="T113" s="241"/>
      <c r="U113" s="242"/>
      <c r="V113" s="241"/>
      <c r="W113" s="241"/>
      <c r="X113" s="241"/>
      <c r="Y113" s="242"/>
    </row>
    <row r="114" spans="1:25" ht="12.75" hidden="1" customHeight="1" outlineLevel="1" x14ac:dyDescent="0.2">
      <c r="A114" s="198" t="str">
        <f>"      "&amp;Labels!B385</f>
        <v xml:space="preserve">      Prof Level 1</v>
      </c>
      <c r="B114" s="243"/>
      <c r="C114" s="243"/>
      <c r="D114" s="243"/>
      <c r="E114" s="244"/>
      <c r="F114" s="243"/>
      <c r="G114" s="243"/>
      <c r="H114" s="243"/>
      <c r="I114" s="244"/>
      <c r="J114" s="243"/>
      <c r="K114" s="243"/>
      <c r="L114" s="243"/>
      <c r="M114" s="244"/>
      <c r="N114" s="243"/>
      <c r="O114" s="243"/>
      <c r="P114" s="243"/>
      <c r="Q114" s="244"/>
      <c r="R114" s="243"/>
      <c r="S114" s="243"/>
      <c r="T114" s="243"/>
      <c r="U114" s="244"/>
      <c r="V114" s="243"/>
      <c r="W114" s="243"/>
      <c r="X114" s="243"/>
      <c r="Y114" s="244"/>
    </row>
    <row r="115" spans="1:25" ht="12.75" hidden="1" customHeight="1" outlineLevel="1" x14ac:dyDescent="0.2">
      <c r="A115" s="198" t="str">
        <f>"         "&amp;Labels!B330</f>
        <v xml:space="preserve">         Supplies</v>
      </c>
      <c r="B115" s="328">
        <f>Inputs!F319*'GM CostSvcs'!B483/12</f>
        <v>0</v>
      </c>
      <c r="C115" s="328">
        <f>Inputs!G319*'GM CostSvcs'!C483/12</f>
        <v>0</v>
      </c>
      <c r="D115" s="328">
        <f>Inputs!H319*'GM CostSvcs'!D483/12</f>
        <v>0</v>
      </c>
      <c r="E115" s="246">
        <f>SUM(B115:D115)</f>
        <v>0</v>
      </c>
      <c r="F115" s="328">
        <f>Inputs!I319*'GM CostSvcs'!F483/12</f>
        <v>0</v>
      </c>
      <c r="G115" s="328">
        <f>Inputs!J319*'GM CostSvcs'!G483/12</f>
        <v>0</v>
      </c>
      <c r="H115" s="328">
        <f>Inputs!K319*'GM CostSvcs'!H483/12</f>
        <v>0</v>
      </c>
      <c r="I115" s="246">
        <f>SUM(F115:H115)</f>
        <v>0</v>
      </c>
      <c r="J115" s="328">
        <f>Inputs!L319*'GM CostSvcs'!J483/12</f>
        <v>0</v>
      </c>
      <c r="K115" s="328">
        <f>Inputs!M319*'GM CostSvcs'!K483/12</f>
        <v>0</v>
      </c>
      <c r="L115" s="328">
        <f>Inputs!N319*'GM CostSvcs'!L483/12</f>
        <v>0</v>
      </c>
      <c r="M115" s="246">
        <f>SUM(J115:L115)</f>
        <v>0</v>
      </c>
      <c r="N115" s="328">
        <f>Inputs!O319*'GM CostSvcs'!N483/12</f>
        <v>0</v>
      </c>
      <c r="O115" s="328">
        <f>Inputs!P319*'GM CostSvcs'!O483/12</f>
        <v>0</v>
      </c>
      <c r="P115" s="328">
        <f>Inputs!Q319*'GM CostSvcs'!P483/12</f>
        <v>0</v>
      </c>
      <c r="Q115" s="246">
        <f>SUM(N115:P115)</f>
        <v>0</v>
      </c>
      <c r="R115" s="328">
        <f>Inputs!R319*'GM CostSvcs'!R483/12</f>
        <v>0</v>
      </c>
      <c r="S115" s="328">
        <f>Inputs!S319*'GM CostSvcs'!S483/12</f>
        <v>0</v>
      </c>
      <c r="T115" s="328">
        <f>Inputs!T319*'GM CostSvcs'!T483/12</f>
        <v>0</v>
      </c>
      <c r="U115" s="246">
        <f>SUM(R115:T115)</f>
        <v>0</v>
      </c>
      <c r="V115" s="328">
        <f>Inputs!U319*'GM CostSvcs'!V483/12</f>
        <v>0</v>
      </c>
      <c r="W115" s="328">
        <f>Inputs!V319*'GM CostSvcs'!W483/12</f>
        <v>0</v>
      </c>
      <c r="X115" s="328">
        <f>Inputs!W319*'GM CostSvcs'!X483/12</f>
        <v>0</v>
      </c>
      <c r="Y115" s="246">
        <f>SUM(V115:X115)</f>
        <v>0</v>
      </c>
    </row>
    <row r="116" spans="1:25" ht="12.75" hidden="1" customHeight="1" outlineLevel="1" x14ac:dyDescent="0.2">
      <c r="A116" s="198" t="str">
        <f>"         "&amp;Labels!B331</f>
        <v xml:space="preserve">         Travel Entertain</v>
      </c>
      <c r="B116" s="328">
        <f>Inputs!F320*'GM CostSvcs'!B483/12</f>
        <v>0</v>
      </c>
      <c r="C116" s="328">
        <f>Inputs!G320*'GM CostSvcs'!C483/12</f>
        <v>0</v>
      </c>
      <c r="D116" s="328">
        <f>Inputs!H320*'GM CostSvcs'!D483/12</f>
        <v>0</v>
      </c>
      <c r="E116" s="246">
        <f>SUM(B116:D116)</f>
        <v>0</v>
      </c>
      <c r="F116" s="328">
        <f>Inputs!I320*'GM CostSvcs'!F483/12</f>
        <v>0</v>
      </c>
      <c r="G116" s="328">
        <f>Inputs!J320*'GM CostSvcs'!G483/12</f>
        <v>0</v>
      </c>
      <c r="H116" s="328">
        <f>Inputs!K320*'GM CostSvcs'!H483/12</f>
        <v>0</v>
      </c>
      <c r="I116" s="246">
        <f>SUM(F116:H116)</f>
        <v>0</v>
      </c>
      <c r="J116" s="328">
        <f>Inputs!L320*'GM CostSvcs'!J483/12</f>
        <v>0</v>
      </c>
      <c r="K116" s="328">
        <f>Inputs!M320*'GM CostSvcs'!K483/12</f>
        <v>0</v>
      </c>
      <c r="L116" s="328">
        <f>Inputs!N320*'GM CostSvcs'!L483/12</f>
        <v>0</v>
      </c>
      <c r="M116" s="246">
        <f>SUM(J116:L116)</f>
        <v>0</v>
      </c>
      <c r="N116" s="328">
        <f>Inputs!O320*'GM CostSvcs'!N483/12</f>
        <v>0</v>
      </c>
      <c r="O116" s="328">
        <f>Inputs!P320*'GM CostSvcs'!O483/12</f>
        <v>0</v>
      </c>
      <c r="P116" s="328">
        <f>Inputs!Q320*'GM CostSvcs'!P483/12</f>
        <v>0</v>
      </c>
      <c r="Q116" s="246">
        <f>SUM(N116:P116)</f>
        <v>0</v>
      </c>
      <c r="R116" s="328">
        <f>Inputs!R320*'GM CostSvcs'!R483/12</f>
        <v>0</v>
      </c>
      <c r="S116" s="328">
        <f>Inputs!S320*'GM CostSvcs'!S483/12</f>
        <v>0</v>
      </c>
      <c r="T116" s="328">
        <f>Inputs!T320*'GM CostSvcs'!T483/12</f>
        <v>0</v>
      </c>
      <c r="U116" s="246">
        <f>SUM(R116:T116)</f>
        <v>0</v>
      </c>
      <c r="V116" s="328">
        <f>Inputs!U320*'GM CostSvcs'!V483/12</f>
        <v>0</v>
      </c>
      <c r="W116" s="328">
        <f>Inputs!V320*'GM CostSvcs'!W483/12</f>
        <v>0</v>
      </c>
      <c r="X116" s="328">
        <f>Inputs!W320*'GM CostSvcs'!X483/12</f>
        <v>0</v>
      </c>
      <c r="Y116" s="246">
        <f>SUM(V116:X116)</f>
        <v>0</v>
      </c>
    </row>
    <row r="117" spans="1:25" ht="12.75" hidden="1" customHeight="1" outlineLevel="1" x14ac:dyDescent="0.2">
      <c r="A117" s="198" t="str">
        <f>"         "&amp;Labels!B332</f>
        <v xml:space="preserve">         Other</v>
      </c>
      <c r="B117" s="328">
        <f>Inputs!F321*'GM CostSvcs'!B483/12</f>
        <v>0</v>
      </c>
      <c r="C117" s="328">
        <f>Inputs!G321*'GM CostSvcs'!C483/12</f>
        <v>0</v>
      </c>
      <c r="D117" s="328">
        <f>Inputs!H321*'GM CostSvcs'!D483/12</f>
        <v>0</v>
      </c>
      <c r="E117" s="246">
        <f>SUM(B117:D117)</f>
        <v>0</v>
      </c>
      <c r="F117" s="328">
        <f>Inputs!I321*'GM CostSvcs'!F483/12</f>
        <v>0</v>
      </c>
      <c r="G117" s="328">
        <f>Inputs!J321*'GM CostSvcs'!G483/12</f>
        <v>0</v>
      </c>
      <c r="H117" s="328">
        <f>Inputs!K321*'GM CostSvcs'!H483/12</f>
        <v>0</v>
      </c>
      <c r="I117" s="246">
        <f>SUM(F117:H117)</f>
        <v>0</v>
      </c>
      <c r="J117" s="328">
        <f>Inputs!L321*'GM CostSvcs'!J483/12</f>
        <v>0</v>
      </c>
      <c r="K117" s="328">
        <f>Inputs!M321*'GM CostSvcs'!K483/12</f>
        <v>0</v>
      </c>
      <c r="L117" s="328">
        <f>Inputs!N321*'GM CostSvcs'!L483/12</f>
        <v>0</v>
      </c>
      <c r="M117" s="246">
        <f>SUM(J117:L117)</f>
        <v>0</v>
      </c>
      <c r="N117" s="328">
        <f>Inputs!O321*'GM CostSvcs'!N483/12</f>
        <v>0</v>
      </c>
      <c r="O117" s="328">
        <f>Inputs!P321*'GM CostSvcs'!O483/12</f>
        <v>0</v>
      </c>
      <c r="P117" s="328">
        <f>Inputs!Q321*'GM CostSvcs'!P483/12</f>
        <v>0</v>
      </c>
      <c r="Q117" s="246">
        <f>SUM(N117:P117)</f>
        <v>0</v>
      </c>
      <c r="R117" s="328">
        <f>Inputs!R321*'GM CostSvcs'!R483/12</f>
        <v>0</v>
      </c>
      <c r="S117" s="328">
        <f>Inputs!S321*'GM CostSvcs'!S483/12</f>
        <v>0</v>
      </c>
      <c r="T117" s="328">
        <f>Inputs!T321*'GM CostSvcs'!T483/12</f>
        <v>0</v>
      </c>
      <c r="U117" s="246">
        <f>SUM(R117:T117)</f>
        <v>0</v>
      </c>
      <c r="V117" s="328">
        <f>Inputs!U321*'GM CostSvcs'!V483/12</f>
        <v>0</v>
      </c>
      <c r="W117" s="328">
        <f>Inputs!V321*'GM CostSvcs'!W483/12</f>
        <v>0</v>
      </c>
      <c r="X117" s="328">
        <f>Inputs!W321*'GM CostSvcs'!X483/12</f>
        <v>0</v>
      </c>
      <c r="Y117" s="246">
        <f>SUM(V117:X117)</f>
        <v>0</v>
      </c>
    </row>
    <row r="118" spans="1:25" ht="12.75" hidden="1" customHeight="1" outlineLevel="1" x14ac:dyDescent="0.2">
      <c r="A118" s="198" t="str">
        <f>"         "&amp;Labels!C329</f>
        <v xml:space="preserve">         Total</v>
      </c>
      <c r="B118" s="243">
        <f>SUM(B115:B117)</f>
        <v>0</v>
      </c>
      <c r="C118" s="243">
        <f>SUM(C115:C117)</f>
        <v>0</v>
      </c>
      <c r="D118" s="243">
        <f>SUM(D115:D117)</f>
        <v>0</v>
      </c>
      <c r="E118" s="244">
        <f>SUM(B118:D118)</f>
        <v>0</v>
      </c>
      <c r="F118" s="243">
        <f>SUM(F115:F117)</f>
        <v>0</v>
      </c>
      <c r="G118" s="243">
        <f>SUM(G115:G117)</f>
        <v>0</v>
      </c>
      <c r="H118" s="243">
        <f>SUM(H115:H117)</f>
        <v>0</v>
      </c>
      <c r="I118" s="244">
        <f>SUM(F118:H118)</f>
        <v>0</v>
      </c>
      <c r="J118" s="243">
        <f>SUM(J115:J117)</f>
        <v>0</v>
      </c>
      <c r="K118" s="243">
        <f>SUM(K115:K117)</f>
        <v>0</v>
      </c>
      <c r="L118" s="243">
        <f>SUM(L115:L117)</f>
        <v>0</v>
      </c>
      <c r="M118" s="244">
        <f>SUM(J118:L118)</f>
        <v>0</v>
      </c>
      <c r="N118" s="243">
        <f>SUM(N115:N117)</f>
        <v>0</v>
      </c>
      <c r="O118" s="243">
        <f>SUM(O115:O117)</f>
        <v>0</v>
      </c>
      <c r="P118" s="243">
        <f>SUM(P115:P117)</f>
        <v>0</v>
      </c>
      <c r="Q118" s="244">
        <f>SUM(N118:P118)</f>
        <v>0</v>
      </c>
      <c r="R118" s="243">
        <f>SUM(R115:R117)</f>
        <v>0</v>
      </c>
      <c r="S118" s="243">
        <f>SUM(S115:S117)</f>
        <v>0</v>
      </c>
      <c r="T118" s="243">
        <f>SUM(T115:T117)</f>
        <v>0</v>
      </c>
      <c r="U118" s="244">
        <f>SUM(R118:T118)</f>
        <v>0</v>
      </c>
      <c r="V118" s="243">
        <f>SUM(V115:V117)</f>
        <v>0</v>
      </c>
      <c r="W118" s="243">
        <f>SUM(W115:W117)</f>
        <v>0</v>
      </c>
      <c r="X118" s="243">
        <f>SUM(X115:X117)</f>
        <v>0</v>
      </c>
      <c r="Y118" s="244">
        <f>SUM(V118:X118)</f>
        <v>0</v>
      </c>
    </row>
    <row r="119" spans="1:25" ht="12.75" hidden="1" customHeight="1" outlineLevel="1" x14ac:dyDescent="0.2">
      <c r="A119" s="198" t="str">
        <f>"      "&amp;Labels!B386</f>
        <v xml:space="preserve">      Prof Level 2</v>
      </c>
      <c r="B119" s="243"/>
      <c r="C119" s="243"/>
      <c r="D119" s="243"/>
      <c r="E119" s="244"/>
      <c r="F119" s="243"/>
      <c r="G119" s="243"/>
      <c r="H119" s="243"/>
      <c r="I119" s="244"/>
      <c r="J119" s="243"/>
      <c r="K119" s="243"/>
      <c r="L119" s="243"/>
      <c r="M119" s="244"/>
      <c r="N119" s="243"/>
      <c r="O119" s="243"/>
      <c r="P119" s="243"/>
      <c r="Q119" s="244"/>
      <c r="R119" s="243"/>
      <c r="S119" s="243"/>
      <c r="T119" s="243"/>
      <c r="U119" s="244"/>
      <c r="V119" s="243"/>
      <c r="W119" s="243"/>
      <c r="X119" s="243"/>
      <c r="Y119" s="244"/>
    </row>
    <row r="120" spans="1:25" ht="12.75" hidden="1" customHeight="1" outlineLevel="1" x14ac:dyDescent="0.2">
      <c r="A120" s="198" t="str">
        <f>"         "&amp;Labels!B330</f>
        <v xml:space="preserve">         Supplies</v>
      </c>
      <c r="B120" s="328">
        <f>Inputs!F322*'GM CostSvcs'!B484/12</f>
        <v>0</v>
      </c>
      <c r="C120" s="328">
        <f>Inputs!G322*'GM CostSvcs'!C484/12</f>
        <v>0</v>
      </c>
      <c r="D120" s="328">
        <f>Inputs!H322*'GM CostSvcs'!D484/12</f>
        <v>0</v>
      </c>
      <c r="E120" s="246">
        <f t="shared" ref="E120:E127" si="42">SUM(B120:D120)</f>
        <v>0</v>
      </c>
      <c r="F120" s="328">
        <f>Inputs!I322*'GM CostSvcs'!F484/12</f>
        <v>0</v>
      </c>
      <c r="G120" s="328">
        <f>Inputs!J322*'GM CostSvcs'!G484/12</f>
        <v>0</v>
      </c>
      <c r="H120" s="328">
        <f>Inputs!K322*'GM CostSvcs'!H484/12</f>
        <v>0</v>
      </c>
      <c r="I120" s="246">
        <f t="shared" ref="I120:I127" si="43">SUM(F120:H120)</f>
        <v>0</v>
      </c>
      <c r="J120" s="328">
        <f>Inputs!L322*'GM CostSvcs'!J484/12</f>
        <v>0</v>
      </c>
      <c r="K120" s="328">
        <f>Inputs!M322*'GM CostSvcs'!K484/12</f>
        <v>0</v>
      </c>
      <c r="L120" s="328">
        <f>Inputs!N322*'GM CostSvcs'!L484/12</f>
        <v>0</v>
      </c>
      <c r="M120" s="246">
        <f t="shared" ref="M120:M127" si="44">SUM(J120:L120)</f>
        <v>0</v>
      </c>
      <c r="N120" s="328">
        <f>Inputs!O322*'GM CostSvcs'!N484/12</f>
        <v>0</v>
      </c>
      <c r="O120" s="328">
        <f>Inputs!P322*'GM CostSvcs'!O484/12</f>
        <v>0</v>
      </c>
      <c r="P120" s="328">
        <f>Inputs!Q322*'GM CostSvcs'!P484/12</f>
        <v>0</v>
      </c>
      <c r="Q120" s="246">
        <f t="shared" ref="Q120:Q127" si="45">SUM(N120:P120)</f>
        <v>0</v>
      </c>
      <c r="R120" s="328">
        <f>Inputs!R322*'GM CostSvcs'!R484/12</f>
        <v>0</v>
      </c>
      <c r="S120" s="328">
        <f>Inputs!S322*'GM CostSvcs'!S484/12</f>
        <v>0</v>
      </c>
      <c r="T120" s="328">
        <f>Inputs!T322*'GM CostSvcs'!T484/12</f>
        <v>0</v>
      </c>
      <c r="U120" s="246">
        <f t="shared" ref="U120:U127" si="46">SUM(R120:T120)</f>
        <v>0</v>
      </c>
      <c r="V120" s="328">
        <f>Inputs!U322*'GM CostSvcs'!V484/12</f>
        <v>0</v>
      </c>
      <c r="W120" s="328">
        <f>Inputs!V322*'GM CostSvcs'!W484/12</f>
        <v>0</v>
      </c>
      <c r="X120" s="328">
        <f>Inputs!W322*'GM CostSvcs'!X484/12</f>
        <v>0</v>
      </c>
      <c r="Y120" s="246">
        <f t="shared" ref="Y120:Y127" si="47">SUM(V120:X120)</f>
        <v>0</v>
      </c>
    </row>
    <row r="121" spans="1:25" ht="12.75" hidden="1" customHeight="1" outlineLevel="1" x14ac:dyDescent="0.2">
      <c r="A121" s="198" t="str">
        <f>"         "&amp;Labels!B331</f>
        <v xml:space="preserve">         Travel Entertain</v>
      </c>
      <c r="B121" s="328">
        <f>Inputs!F323*'GM CostSvcs'!B484/12</f>
        <v>0</v>
      </c>
      <c r="C121" s="328">
        <f>Inputs!G323*'GM CostSvcs'!C484/12</f>
        <v>0</v>
      </c>
      <c r="D121" s="328">
        <f>Inputs!H323*'GM CostSvcs'!D484/12</f>
        <v>0</v>
      </c>
      <c r="E121" s="246">
        <f t="shared" si="42"/>
        <v>0</v>
      </c>
      <c r="F121" s="328">
        <f>Inputs!I323*'GM CostSvcs'!F484/12</f>
        <v>0</v>
      </c>
      <c r="G121" s="328">
        <f>Inputs!J323*'GM CostSvcs'!G484/12</f>
        <v>0</v>
      </c>
      <c r="H121" s="328">
        <f>Inputs!K323*'GM CostSvcs'!H484/12</f>
        <v>0</v>
      </c>
      <c r="I121" s="246">
        <f t="shared" si="43"/>
        <v>0</v>
      </c>
      <c r="J121" s="328">
        <f>Inputs!L323*'GM CostSvcs'!J484/12</f>
        <v>0</v>
      </c>
      <c r="K121" s="328">
        <f>Inputs!M323*'GM CostSvcs'!K484/12</f>
        <v>0</v>
      </c>
      <c r="L121" s="328">
        <f>Inputs!N323*'GM CostSvcs'!L484/12</f>
        <v>0</v>
      </c>
      <c r="M121" s="246">
        <f t="shared" si="44"/>
        <v>0</v>
      </c>
      <c r="N121" s="328">
        <f>Inputs!O323*'GM CostSvcs'!N484/12</f>
        <v>0</v>
      </c>
      <c r="O121" s="328">
        <f>Inputs!P323*'GM CostSvcs'!O484/12</f>
        <v>0</v>
      </c>
      <c r="P121" s="328">
        <f>Inputs!Q323*'GM CostSvcs'!P484/12</f>
        <v>0</v>
      </c>
      <c r="Q121" s="246">
        <f t="shared" si="45"/>
        <v>0</v>
      </c>
      <c r="R121" s="328">
        <f>Inputs!R323*'GM CostSvcs'!R484/12</f>
        <v>0</v>
      </c>
      <c r="S121" s="328">
        <f>Inputs!S323*'GM CostSvcs'!S484/12</f>
        <v>0</v>
      </c>
      <c r="T121" s="328">
        <f>Inputs!T323*'GM CostSvcs'!T484/12</f>
        <v>0</v>
      </c>
      <c r="U121" s="246">
        <f t="shared" si="46"/>
        <v>0</v>
      </c>
      <c r="V121" s="328">
        <f>Inputs!U323*'GM CostSvcs'!V484/12</f>
        <v>0</v>
      </c>
      <c r="W121" s="328">
        <f>Inputs!V323*'GM CostSvcs'!W484/12</f>
        <v>0</v>
      </c>
      <c r="X121" s="328">
        <f>Inputs!W323*'GM CostSvcs'!X484/12</f>
        <v>0</v>
      </c>
      <c r="Y121" s="246">
        <f t="shared" si="47"/>
        <v>0</v>
      </c>
    </row>
    <row r="122" spans="1:25" ht="12.75" hidden="1" customHeight="1" outlineLevel="1" x14ac:dyDescent="0.2">
      <c r="A122" s="198" t="str">
        <f>"         "&amp;Labels!B332</f>
        <v xml:space="preserve">         Other</v>
      </c>
      <c r="B122" s="328">
        <f>Inputs!F324*'GM CostSvcs'!B484/12</f>
        <v>0</v>
      </c>
      <c r="C122" s="328">
        <f>Inputs!G324*'GM CostSvcs'!C484/12</f>
        <v>0</v>
      </c>
      <c r="D122" s="328">
        <f>Inputs!H324*'GM CostSvcs'!D484/12</f>
        <v>0</v>
      </c>
      <c r="E122" s="246">
        <f t="shared" si="42"/>
        <v>0</v>
      </c>
      <c r="F122" s="328">
        <f>Inputs!I324*'GM CostSvcs'!F484/12</f>
        <v>0</v>
      </c>
      <c r="G122" s="328">
        <f>Inputs!J324*'GM CostSvcs'!G484/12</f>
        <v>0</v>
      </c>
      <c r="H122" s="328">
        <f>Inputs!K324*'GM CostSvcs'!H484/12</f>
        <v>0</v>
      </c>
      <c r="I122" s="246">
        <f t="shared" si="43"/>
        <v>0</v>
      </c>
      <c r="J122" s="328">
        <f>Inputs!L324*'GM CostSvcs'!J484/12</f>
        <v>0</v>
      </c>
      <c r="K122" s="328">
        <f>Inputs!M324*'GM CostSvcs'!K484/12</f>
        <v>0</v>
      </c>
      <c r="L122" s="328">
        <f>Inputs!N324*'GM CostSvcs'!L484/12</f>
        <v>0</v>
      </c>
      <c r="M122" s="246">
        <f t="shared" si="44"/>
        <v>0</v>
      </c>
      <c r="N122" s="328">
        <f>Inputs!O324*'GM CostSvcs'!N484/12</f>
        <v>0</v>
      </c>
      <c r="O122" s="328">
        <f>Inputs!P324*'GM CostSvcs'!O484/12</f>
        <v>0</v>
      </c>
      <c r="P122" s="328">
        <f>Inputs!Q324*'GM CostSvcs'!P484/12</f>
        <v>0</v>
      </c>
      <c r="Q122" s="246">
        <f t="shared" si="45"/>
        <v>0</v>
      </c>
      <c r="R122" s="328">
        <f>Inputs!R324*'GM CostSvcs'!R484/12</f>
        <v>0</v>
      </c>
      <c r="S122" s="328">
        <f>Inputs!S324*'GM CostSvcs'!S484/12</f>
        <v>0</v>
      </c>
      <c r="T122" s="328">
        <f>Inputs!T324*'GM CostSvcs'!T484/12</f>
        <v>0</v>
      </c>
      <c r="U122" s="246">
        <f t="shared" si="46"/>
        <v>0</v>
      </c>
      <c r="V122" s="328">
        <f>Inputs!U324*'GM CostSvcs'!V484/12</f>
        <v>0</v>
      </c>
      <c r="W122" s="328">
        <f>Inputs!V324*'GM CostSvcs'!W484/12</f>
        <v>0</v>
      </c>
      <c r="X122" s="328">
        <f>Inputs!W324*'GM CostSvcs'!X484/12</f>
        <v>0</v>
      </c>
      <c r="Y122" s="246">
        <f t="shared" si="47"/>
        <v>0</v>
      </c>
    </row>
    <row r="123" spans="1:25" ht="12.75" hidden="1" customHeight="1" outlineLevel="1" x14ac:dyDescent="0.2">
      <c r="A123" s="198" t="str">
        <f>"         "&amp;Labels!C329</f>
        <v xml:space="preserve">         Total</v>
      </c>
      <c r="B123" s="243">
        <f>SUM(B120:B122)</f>
        <v>0</v>
      </c>
      <c r="C123" s="243">
        <f>SUM(C120:C122)</f>
        <v>0</v>
      </c>
      <c r="D123" s="243">
        <f>SUM(D120:D122)</f>
        <v>0</v>
      </c>
      <c r="E123" s="244">
        <f t="shared" si="42"/>
        <v>0</v>
      </c>
      <c r="F123" s="243">
        <f>SUM(F120:F122)</f>
        <v>0</v>
      </c>
      <c r="G123" s="243">
        <f>SUM(G120:G122)</f>
        <v>0</v>
      </c>
      <c r="H123" s="243">
        <f>SUM(H120:H122)</f>
        <v>0</v>
      </c>
      <c r="I123" s="244">
        <f t="shared" si="43"/>
        <v>0</v>
      </c>
      <c r="J123" s="243">
        <f>SUM(J120:J122)</f>
        <v>0</v>
      </c>
      <c r="K123" s="243">
        <f>SUM(K120:K122)</f>
        <v>0</v>
      </c>
      <c r="L123" s="243">
        <f>SUM(L120:L122)</f>
        <v>0</v>
      </c>
      <c r="M123" s="244">
        <f t="shared" si="44"/>
        <v>0</v>
      </c>
      <c r="N123" s="243">
        <f>SUM(N120:N122)</f>
        <v>0</v>
      </c>
      <c r="O123" s="243">
        <f>SUM(O120:O122)</f>
        <v>0</v>
      </c>
      <c r="P123" s="243">
        <f>SUM(P120:P122)</f>
        <v>0</v>
      </c>
      <c r="Q123" s="244">
        <f t="shared" si="45"/>
        <v>0</v>
      </c>
      <c r="R123" s="243">
        <f>SUM(R120:R122)</f>
        <v>0</v>
      </c>
      <c r="S123" s="243">
        <f>SUM(S120:S122)</f>
        <v>0</v>
      </c>
      <c r="T123" s="243">
        <f>SUM(T120:T122)</f>
        <v>0</v>
      </c>
      <c r="U123" s="244">
        <f t="shared" si="46"/>
        <v>0</v>
      </c>
      <c r="V123" s="243">
        <f>SUM(V120:V122)</f>
        <v>0</v>
      </c>
      <c r="W123" s="243">
        <f>SUM(W120:W122)</f>
        <v>0</v>
      </c>
      <c r="X123" s="243">
        <f>SUM(X120:X122)</f>
        <v>0</v>
      </c>
      <c r="Y123" s="244">
        <f t="shared" si="47"/>
        <v>0</v>
      </c>
    </row>
    <row r="124" spans="1:25" ht="12.75" hidden="1" customHeight="1" outlineLevel="1" x14ac:dyDescent="0.2">
      <c r="A124" s="188" t="str">
        <f>"      "&amp;Labels!C384</f>
        <v xml:space="preserve">      Total</v>
      </c>
      <c r="B124" s="241">
        <f>SUM(B118,B123)</f>
        <v>0</v>
      </c>
      <c r="C124" s="241">
        <f>SUM(C118,C123)</f>
        <v>0</v>
      </c>
      <c r="D124" s="241">
        <f>SUM(D118,D123)</f>
        <v>0</v>
      </c>
      <c r="E124" s="242">
        <f t="shared" si="42"/>
        <v>0</v>
      </c>
      <c r="F124" s="241">
        <f>SUM(F118,F123)</f>
        <v>0</v>
      </c>
      <c r="G124" s="241">
        <f>SUM(G118,G123)</f>
        <v>0</v>
      </c>
      <c r="H124" s="241">
        <f>SUM(H118,H123)</f>
        <v>0</v>
      </c>
      <c r="I124" s="242">
        <f t="shared" si="43"/>
        <v>0</v>
      </c>
      <c r="J124" s="241">
        <f>SUM(J118,J123)</f>
        <v>0</v>
      </c>
      <c r="K124" s="241">
        <f>SUM(K118,K123)</f>
        <v>0</v>
      </c>
      <c r="L124" s="241">
        <f>SUM(L118,L123)</f>
        <v>0</v>
      </c>
      <c r="M124" s="242">
        <f t="shared" si="44"/>
        <v>0</v>
      </c>
      <c r="N124" s="241">
        <f>SUM(N118,N123)</f>
        <v>0</v>
      </c>
      <c r="O124" s="241">
        <f>SUM(O118,O123)</f>
        <v>0</v>
      </c>
      <c r="P124" s="241">
        <f>SUM(P118,P123)</f>
        <v>0</v>
      </c>
      <c r="Q124" s="242">
        <f t="shared" si="45"/>
        <v>0</v>
      </c>
      <c r="R124" s="241">
        <f>SUM(R118,R123)</f>
        <v>0</v>
      </c>
      <c r="S124" s="241">
        <f>SUM(S118,S123)</f>
        <v>0</v>
      </c>
      <c r="T124" s="241">
        <f>SUM(T118,T123)</f>
        <v>0</v>
      </c>
      <c r="U124" s="242">
        <f t="shared" si="46"/>
        <v>0</v>
      </c>
      <c r="V124" s="241">
        <f>SUM(V118,V123)</f>
        <v>0</v>
      </c>
      <c r="W124" s="241">
        <f>SUM(W118,W123)</f>
        <v>0</v>
      </c>
      <c r="X124" s="241">
        <f>SUM(X118,X123)</f>
        <v>0</v>
      </c>
      <c r="Y124" s="242">
        <f t="shared" si="47"/>
        <v>0</v>
      </c>
    </row>
    <row r="125" spans="1:25" ht="12.75" hidden="1" customHeight="1" outlineLevel="1" x14ac:dyDescent="0.2">
      <c r="A125" s="198" t="str">
        <f>"         "&amp;Labels!B330</f>
        <v xml:space="preserve">         Supplies</v>
      </c>
      <c r="B125" s="328">
        <f t="shared" ref="B125:D128" si="48">SUM(B115,B120)</f>
        <v>0</v>
      </c>
      <c r="C125" s="328">
        <f t="shared" si="48"/>
        <v>0</v>
      </c>
      <c r="D125" s="328">
        <f t="shared" si="48"/>
        <v>0</v>
      </c>
      <c r="E125" s="246">
        <f t="shared" si="42"/>
        <v>0</v>
      </c>
      <c r="F125" s="328">
        <f t="shared" ref="F125:H128" si="49">SUM(F115,F120)</f>
        <v>0</v>
      </c>
      <c r="G125" s="328">
        <f t="shared" si="49"/>
        <v>0</v>
      </c>
      <c r="H125" s="328">
        <f t="shared" si="49"/>
        <v>0</v>
      </c>
      <c r="I125" s="246">
        <f t="shared" si="43"/>
        <v>0</v>
      </c>
      <c r="J125" s="328">
        <f t="shared" ref="J125:L128" si="50">SUM(J115,J120)</f>
        <v>0</v>
      </c>
      <c r="K125" s="328">
        <f t="shared" si="50"/>
        <v>0</v>
      </c>
      <c r="L125" s="328">
        <f t="shared" si="50"/>
        <v>0</v>
      </c>
      <c r="M125" s="246">
        <f t="shared" si="44"/>
        <v>0</v>
      </c>
      <c r="N125" s="328">
        <f t="shared" ref="N125:P128" si="51">SUM(N115,N120)</f>
        <v>0</v>
      </c>
      <c r="O125" s="328">
        <f t="shared" si="51"/>
        <v>0</v>
      </c>
      <c r="P125" s="328">
        <f t="shared" si="51"/>
        <v>0</v>
      </c>
      <c r="Q125" s="246">
        <f t="shared" si="45"/>
        <v>0</v>
      </c>
      <c r="R125" s="328">
        <f t="shared" ref="R125:T128" si="52">SUM(R115,R120)</f>
        <v>0</v>
      </c>
      <c r="S125" s="328">
        <f t="shared" si="52"/>
        <v>0</v>
      </c>
      <c r="T125" s="328">
        <f t="shared" si="52"/>
        <v>0</v>
      </c>
      <c r="U125" s="246">
        <f t="shared" si="46"/>
        <v>0</v>
      </c>
      <c r="V125" s="328">
        <f t="shared" ref="V125:X128" si="53">SUM(V115,V120)</f>
        <v>0</v>
      </c>
      <c r="W125" s="328">
        <f t="shared" si="53"/>
        <v>0</v>
      </c>
      <c r="X125" s="328">
        <f t="shared" si="53"/>
        <v>0</v>
      </c>
      <c r="Y125" s="246">
        <f t="shared" si="47"/>
        <v>0</v>
      </c>
    </row>
    <row r="126" spans="1:25" ht="12.75" hidden="1" customHeight="1" outlineLevel="1" x14ac:dyDescent="0.2">
      <c r="A126" s="198" t="str">
        <f>"         "&amp;Labels!B331</f>
        <v xml:space="preserve">         Travel Entertain</v>
      </c>
      <c r="B126" s="328">
        <f t="shared" si="48"/>
        <v>0</v>
      </c>
      <c r="C126" s="328">
        <f t="shared" si="48"/>
        <v>0</v>
      </c>
      <c r="D126" s="328">
        <f t="shared" si="48"/>
        <v>0</v>
      </c>
      <c r="E126" s="246">
        <f t="shared" si="42"/>
        <v>0</v>
      </c>
      <c r="F126" s="328">
        <f t="shared" si="49"/>
        <v>0</v>
      </c>
      <c r="G126" s="328">
        <f t="shared" si="49"/>
        <v>0</v>
      </c>
      <c r="H126" s="328">
        <f t="shared" si="49"/>
        <v>0</v>
      </c>
      <c r="I126" s="246">
        <f t="shared" si="43"/>
        <v>0</v>
      </c>
      <c r="J126" s="328">
        <f t="shared" si="50"/>
        <v>0</v>
      </c>
      <c r="K126" s="328">
        <f t="shared" si="50"/>
        <v>0</v>
      </c>
      <c r="L126" s="328">
        <f t="shared" si="50"/>
        <v>0</v>
      </c>
      <c r="M126" s="246">
        <f t="shared" si="44"/>
        <v>0</v>
      </c>
      <c r="N126" s="328">
        <f t="shared" si="51"/>
        <v>0</v>
      </c>
      <c r="O126" s="328">
        <f t="shared" si="51"/>
        <v>0</v>
      </c>
      <c r="P126" s="328">
        <f t="shared" si="51"/>
        <v>0</v>
      </c>
      <c r="Q126" s="246">
        <f t="shared" si="45"/>
        <v>0</v>
      </c>
      <c r="R126" s="328">
        <f t="shared" si="52"/>
        <v>0</v>
      </c>
      <c r="S126" s="328">
        <f t="shared" si="52"/>
        <v>0</v>
      </c>
      <c r="T126" s="328">
        <f t="shared" si="52"/>
        <v>0</v>
      </c>
      <c r="U126" s="246">
        <f t="shared" si="46"/>
        <v>0</v>
      </c>
      <c r="V126" s="328">
        <f t="shared" si="53"/>
        <v>0</v>
      </c>
      <c r="W126" s="328">
        <f t="shared" si="53"/>
        <v>0</v>
      </c>
      <c r="X126" s="328">
        <f t="shared" si="53"/>
        <v>0</v>
      </c>
      <c r="Y126" s="246">
        <f t="shared" si="47"/>
        <v>0</v>
      </c>
    </row>
    <row r="127" spans="1:25" ht="12.75" hidden="1" customHeight="1" outlineLevel="1" x14ac:dyDescent="0.2">
      <c r="A127" s="198" t="str">
        <f>"         "&amp;Labels!B332</f>
        <v xml:space="preserve">         Other</v>
      </c>
      <c r="B127" s="328">
        <f t="shared" si="48"/>
        <v>0</v>
      </c>
      <c r="C127" s="328">
        <f t="shared" si="48"/>
        <v>0</v>
      </c>
      <c r="D127" s="328">
        <f t="shared" si="48"/>
        <v>0</v>
      </c>
      <c r="E127" s="246">
        <f t="shared" si="42"/>
        <v>0</v>
      </c>
      <c r="F127" s="328">
        <f t="shared" si="49"/>
        <v>0</v>
      </c>
      <c r="G127" s="328">
        <f t="shared" si="49"/>
        <v>0</v>
      </c>
      <c r="H127" s="328">
        <f t="shared" si="49"/>
        <v>0</v>
      </c>
      <c r="I127" s="246">
        <f t="shared" si="43"/>
        <v>0</v>
      </c>
      <c r="J127" s="328">
        <f t="shared" si="50"/>
        <v>0</v>
      </c>
      <c r="K127" s="328">
        <f t="shared" si="50"/>
        <v>0</v>
      </c>
      <c r="L127" s="328">
        <f t="shared" si="50"/>
        <v>0</v>
      </c>
      <c r="M127" s="246">
        <f t="shared" si="44"/>
        <v>0</v>
      </c>
      <c r="N127" s="328">
        <f t="shared" si="51"/>
        <v>0</v>
      </c>
      <c r="O127" s="328">
        <f t="shared" si="51"/>
        <v>0</v>
      </c>
      <c r="P127" s="328">
        <f t="shared" si="51"/>
        <v>0</v>
      </c>
      <c r="Q127" s="246">
        <f t="shared" si="45"/>
        <v>0</v>
      </c>
      <c r="R127" s="328">
        <f t="shared" si="52"/>
        <v>0</v>
      </c>
      <c r="S127" s="328">
        <f t="shared" si="52"/>
        <v>0</v>
      </c>
      <c r="T127" s="328">
        <f t="shared" si="52"/>
        <v>0</v>
      </c>
      <c r="U127" s="246">
        <f t="shared" si="46"/>
        <v>0</v>
      </c>
      <c r="V127" s="328">
        <f t="shared" si="53"/>
        <v>0</v>
      </c>
      <c r="W127" s="328">
        <f t="shared" si="53"/>
        <v>0</v>
      </c>
      <c r="X127" s="328">
        <f t="shared" si="53"/>
        <v>0</v>
      </c>
      <c r="Y127" s="246">
        <f t="shared" si="47"/>
        <v>0</v>
      </c>
    </row>
    <row r="128" spans="1:25" ht="12.75" hidden="1" customHeight="1" outlineLevel="1" x14ac:dyDescent="0.2">
      <c r="A128" s="198" t="str">
        <f>"         "&amp;Labels!C329</f>
        <v xml:space="preserve">         Total</v>
      </c>
      <c r="B128" s="243">
        <f t="shared" si="48"/>
        <v>0</v>
      </c>
      <c r="C128" s="243">
        <f t="shared" si="48"/>
        <v>0</v>
      </c>
      <c r="D128" s="243">
        <f t="shared" si="48"/>
        <v>0</v>
      </c>
      <c r="E128" s="244">
        <f>SUM(B124:D124)</f>
        <v>0</v>
      </c>
      <c r="F128" s="243">
        <f t="shared" si="49"/>
        <v>0</v>
      </c>
      <c r="G128" s="243">
        <f t="shared" si="49"/>
        <v>0</v>
      </c>
      <c r="H128" s="243">
        <f t="shared" si="49"/>
        <v>0</v>
      </c>
      <c r="I128" s="244">
        <f>SUM(F124:H124)</f>
        <v>0</v>
      </c>
      <c r="J128" s="243">
        <f t="shared" si="50"/>
        <v>0</v>
      </c>
      <c r="K128" s="243">
        <f t="shared" si="50"/>
        <v>0</v>
      </c>
      <c r="L128" s="243">
        <f t="shared" si="50"/>
        <v>0</v>
      </c>
      <c r="M128" s="244">
        <f>SUM(J124:L124)</f>
        <v>0</v>
      </c>
      <c r="N128" s="243">
        <f t="shared" si="51"/>
        <v>0</v>
      </c>
      <c r="O128" s="243">
        <f t="shared" si="51"/>
        <v>0</v>
      </c>
      <c r="P128" s="243">
        <f t="shared" si="51"/>
        <v>0</v>
      </c>
      <c r="Q128" s="244">
        <f>SUM(N124:P124)</f>
        <v>0</v>
      </c>
      <c r="R128" s="243">
        <f t="shared" si="52"/>
        <v>0</v>
      </c>
      <c r="S128" s="243">
        <f t="shared" si="52"/>
        <v>0</v>
      </c>
      <c r="T128" s="243">
        <f t="shared" si="52"/>
        <v>0</v>
      </c>
      <c r="U128" s="244">
        <f>SUM(R124:T124)</f>
        <v>0</v>
      </c>
      <c r="V128" s="243">
        <f t="shared" si="53"/>
        <v>0</v>
      </c>
      <c r="W128" s="243">
        <f t="shared" si="53"/>
        <v>0</v>
      </c>
      <c r="X128" s="243">
        <f t="shared" si="53"/>
        <v>0</v>
      </c>
      <c r="Y128" s="244">
        <f>SUM(V124:X124)</f>
        <v>0</v>
      </c>
    </row>
    <row r="129" spans="1:25" ht="12.75" hidden="1" customHeight="1" outlineLevel="1" x14ac:dyDescent="0.2">
      <c r="A129" s="191" t="str">
        <f>"   "&amp;Labels!C380</f>
        <v xml:space="preserve">   Total</v>
      </c>
      <c r="B129" s="245">
        <f>SUM(B108,B124)</f>
        <v>0</v>
      </c>
      <c r="C129" s="245">
        <f>SUM(C108,C124)</f>
        <v>0</v>
      </c>
      <c r="D129" s="245">
        <f>SUM(D108,D124)</f>
        <v>0</v>
      </c>
      <c r="E129" s="246">
        <f>SUM(B129:D129)</f>
        <v>0</v>
      </c>
      <c r="F129" s="245">
        <f>SUM(F108,F124)</f>
        <v>0</v>
      </c>
      <c r="G129" s="245">
        <f>SUM(G108,G124)</f>
        <v>0</v>
      </c>
      <c r="H129" s="245">
        <f>SUM(H108,H124)</f>
        <v>0</v>
      </c>
      <c r="I129" s="246">
        <f>SUM(F129:H129)</f>
        <v>0</v>
      </c>
      <c r="J129" s="245">
        <f>SUM(J108,J124)</f>
        <v>0</v>
      </c>
      <c r="K129" s="245">
        <f>SUM(K108,K124)</f>
        <v>0</v>
      </c>
      <c r="L129" s="245">
        <f>SUM(L108,L124)</f>
        <v>0</v>
      </c>
      <c r="M129" s="246">
        <f>SUM(J129:L129)</f>
        <v>0</v>
      </c>
      <c r="N129" s="245">
        <f>SUM(N108,N124)</f>
        <v>0</v>
      </c>
      <c r="O129" s="245">
        <f>SUM(O108,O124)</f>
        <v>0</v>
      </c>
      <c r="P129" s="245">
        <f>SUM(P108,P124)</f>
        <v>0</v>
      </c>
      <c r="Q129" s="246">
        <f>SUM(N129:P129)</f>
        <v>0</v>
      </c>
      <c r="R129" s="245">
        <f>SUM(R108,R124)</f>
        <v>0</v>
      </c>
      <c r="S129" s="245">
        <f>SUM(S108,S124)</f>
        <v>0</v>
      </c>
      <c r="T129" s="245">
        <f>SUM(T108,T124)</f>
        <v>0</v>
      </c>
      <c r="U129" s="246">
        <f>SUM(R129:T129)</f>
        <v>0</v>
      </c>
      <c r="V129" s="245">
        <f>SUM(V108,V124)</f>
        <v>0</v>
      </c>
      <c r="W129" s="245">
        <f>SUM(W108,W124)</f>
        <v>0</v>
      </c>
      <c r="X129" s="245">
        <f>SUM(X108,X124)</f>
        <v>0</v>
      </c>
      <c r="Y129" s="246">
        <f>SUM(V129:X129)</f>
        <v>0</v>
      </c>
    </row>
    <row r="130" spans="1:25" ht="12.75" hidden="1" customHeight="1" outlineLevel="1" x14ac:dyDescent="0.2">
      <c r="A130" s="198" t="str">
        <f>"      "&amp;Labels!B385</f>
        <v xml:space="preserve">      Prof Level 1</v>
      </c>
      <c r="B130" s="243"/>
      <c r="C130" s="243"/>
      <c r="D130" s="243"/>
      <c r="E130" s="244"/>
      <c r="F130" s="243"/>
      <c r="G130" s="243"/>
      <c r="H130" s="243"/>
      <c r="I130" s="244"/>
      <c r="J130" s="243"/>
      <c r="K130" s="243"/>
      <c r="L130" s="243"/>
      <c r="M130" s="244"/>
      <c r="N130" s="243"/>
      <c r="O130" s="243"/>
      <c r="P130" s="243"/>
      <c r="Q130" s="244"/>
      <c r="R130" s="243"/>
      <c r="S130" s="243"/>
      <c r="T130" s="243"/>
      <c r="U130" s="244"/>
      <c r="V130" s="243"/>
      <c r="W130" s="243"/>
      <c r="X130" s="243"/>
      <c r="Y130" s="244"/>
    </row>
    <row r="131" spans="1:25" ht="12.75" hidden="1" customHeight="1" outlineLevel="1" x14ac:dyDescent="0.2">
      <c r="A131" s="198" t="str">
        <f>"         "&amp;Labels!B330</f>
        <v xml:space="preserve">         Supplies</v>
      </c>
      <c r="B131" s="328">
        <f t="shared" ref="B131:D134" si="54">SUM(B99,B115)</f>
        <v>0</v>
      </c>
      <c r="C131" s="328">
        <f t="shared" si="54"/>
        <v>0</v>
      </c>
      <c r="D131" s="328">
        <f t="shared" si="54"/>
        <v>0</v>
      </c>
      <c r="E131" s="246">
        <f>SUM(B131:D131)</f>
        <v>0</v>
      </c>
      <c r="F131" s="328">
        <f t="shared" ref="F131:H134" si="55">SUM(F99,F115)</f>
        <v>0</v>
      </c>
      <c r="G131" s="328">
        <f t="shared" si="55"/>
        <v>0</v>
      </c>
      <c r="H131" s="328">
        <f t="shared" si="55"/>
        <v>0</v>
      </c>
      <c r="I131" s="246">
        <f>SUM(F131:H131)</f>
        <v>0</v>
      </c>
      <c r="J131" s="328">
        <f t="shared" ref="J131:L134" si="56">SUM(J99,J115)</f>
        <v>0</v>
      </c>
      <c r="K131" s="328">
        <f t="shared" si="56"/>
        <v>0</v>
      </c>
      <c r="L131" s="328">
        <f t="shared" si="56"/>
        <v>0</v>
      </c>
      <c r="M131" s="246">
        <f>SUM(J131:L131)</f>
        <v>0</v>
      </c>
      <c r="N131" s="328">
        <f t="shared" ref="N131:P134" si="57">SUM(N99,N115)</f>
        <v>0</v>
      </c>
      <c r="O131" s="328">
        <f t="shared" si="57"/>
        <v>0</v>
      </c>
      <c r="P131" s="328">
        <f t="shared" si="57"/>
        <v>0</v>
      </c>
      <c r="Q131" s="246">
        <f>SUM(N131:P131)</f>
        <v>0</v>
      </c>
      <c r="R131" s="328">
        <f t="shared" ref="R131:T134" si="58">SUM(R99,R115)</f>
        <v>0</v>
      </c>
      <c r="S131" s="328">
        <f t="shared" si="58"/>
        <v>0</v>
      </c>
      <c r="T131" s="328">
        <f t="shared" si="58"/>
        <v>0</v>
      </c>
      <c r="U131" s="246">
        <f>SUM(R131:T131)</f>
        <v>0</v>
      </c>
      <c r="V131" s="328">
        <f t="shared" ref="V131:X134" si="59">SUM(V99,V115)</f>
        <v>0</v>
      </c>
      <c r="W131" s="328">
        <f t="shared" si="59"/>
        <v>0</v>
      </c>
      <c r="X131" s="328">
        <f t="shared" si="59"/>
        <v>0</v>
      </c>
      <c r="Y131" s="246">
        <f>SUM(V131:X131)</f>
        <v>0</v>
      </c>
    </row>
    <row r="132" spans="1:25" ht="12.75" hidden="1" customHeight="1" outlineLevel="1" x14ac:dyDescent="0.2">
      <c r="A132" s="198" t="str">
        <f>"         "&amp;Labels!B331</f>
        <v xml:space="preserve">         Travel Entertain</v>
      </c>
      <c r="B132" s="328">
        <f t="shared" si="54"/>
        <v>0</v>
      </c>
      <c r="C132" s="328">
        <f t="shared" si="54"/>
        <v>0</v>
      </c>
      <c r="D132" s="328">
        <f t="shared" si="54"/>
        <v>0</v>
      </c>
      <c r="E132" s="246">
        <f>SUM(B132:D132)</f>
        <v>0</v>
      </c>
      <c r="F132" s="328">
        <f t="shared" si="55"/>
        <v>0</v>
      </c>
      <c r="G132" s="328">
        <f t="shared" si="55"/>
        <v>0</v>
      </c>
      <c r="H132" s="328">
        <f t="shared" si="55"/>
        <v>0</v>
      </c>
      <c r="I132" s="246">
        <f>SUM(F132:H132)</f>
        <v>0</v>
      </c>
      <c r="J132" s="328">
        <f t="shared" si="56"/>
        <v>0</v>
      </c>
      <c r="K132" s="328">
        <f t="shared" si="56"/>
        <v>0</v>
      </c>
      <c r="L132" s="328">
        <f t="shared" si="56"/>
        <v>0</v>
      </c>
      <c r="M132" s="246">
        <f>SUM(J132:L132)</f>
        <v>0</v>
      </c>
      <c r="N132" s="328">
        <f t="shared" si="57"/>
        <v>0</v>
      </c>
      <c r="O132" s="328">
        <f t="shared" si="57"/>
        <v>0</v>
      </c>
      <c r="P132" s="328">
        <f t="shared" si="57"/>
        <v>0</v>
      </c>
      <c r="Q132" s="246">
        <f>SUM(N132:P132)</f>
        <v>0</v>
      </c>
      <c r="R132" s="328">
        <f t="shared" si="58"/>
        <v>0</v>
      </c>
      <c r="S132" s="328">
        <f t="shared" si="58"/>
        <v>0</v>
      </c>
      <c r="T132" s="328">
        <f t="shared" si="58"/>
        <v>0</v>
      </c>
      <c r="U132" s="246">
        <f>SUM(R132:T132)</f>
        <v>0</v>
      </c>
      <c r="V132" s="328">
        <f t="shared" si="59"/>
        <v>0</v>
      </c>
      <c r="W132" s="328">
        <f t="shared" si="59"/>
        <v>0</v>
      </c>
      <c r="X132" s="328">
        <f t="shared" si="59"/>
        <v>0</v>
      </c>
      <c r="Y132" s="246">
        <f>SUM(V132:X132)</f>
        <v>0</v>
      </c>
    </row>
    <row r="133" spans="1:25" ht="12.75" hidden="1" customHeight="1" outlineLevel="1" x14ac:dyDescent="0.2">
      <c r="A133" s="198" t="str">
        <f>"         "&amp;Labels!B332</f>
        <v xml:space="preserve">         Other</v>
      </c>
      <c r="B133" s="328">
        <f t="shared" si="54"/>
        <v>0</v>
      </c>
      <c r="C133" s="328">
        <f t="shared" si="54"/>
        <v>0</v>
      </c>
      <c r="D133" s="328">
        <f t="shared" si="54"/>
        <v>0</v>
      </c>
      <c r="E133" s="246">
        <f>SUM(B133:D133)</f>
        <v>0</v>
      </c>
      <c r="F133" s="328">
        <f t="shared" si="55"/>
        <v>0</v>
      </c>
      <c r="G133" s="328">
        <f t="shared" si="55"/>
        <v>0</v>
      </c>
      <c r="H133" s="328">
        <f t="shared" si="55"/>
        <v>0</v>
      </c>
      <c r="I133" s="246">
        <f>SUM(F133:H133)</f>
        <v>0</v>
      </c>
      <c r="J133" s="328">
        <f t="shared" si="56"/>
        <v>0</v>
      </c>
      <c r="K133" s="328">
        <f t="shared" si="56"/>
        <v>0</v>
      </c>
      <c r="L133" s="328">
        <f t="shared" si="56"/>
        <v>0</v>
      </c>
      <c r="M133" s="246">
        <f>SUM(J133:L133)</f>
        <v>0</v>
      </c>
      <c r="N133" s="328">
        <f t="shared" si="57"/>
        <v>0</v>
      </c>
      <c r="O133" s="328">
        <f t="shared" si="57"/>
        <v>0</v>
      </c>
      <c r="P133" s="328">
        <f t="shared" si="57"/>
        <v>0</v>
      </c>
      <c r="Q133" s="246">
        <f>SUM(N133:P133)</f>
        <v>0</v>
      </c>
      <c r="R133" s="328">
        <f t="shared" si="58"/>
        <v>0</v>
      </c>
      <c r="S133" s="328">
        <f t="shared" si="58"/>
        <v>0</v>
      </c>
      <c r="T133" s="328">
        <f t="shared" si="58"/>
        <v>0</v>
      </c>
      <c r="U133" s="246">
        <f>SUM(R133:T133)</f>
        <v>0</v>
      </c>
      <c r="V133" s="328">
        <f t="shared" si="59"/>
        <v>0</v>
      </c>
      <c r="W133" s="328">
        <f t="shared" si="59"/>
        <v>0</v>
      </c>
      <c r="X133" s="328">
        <f t="shared" si="59"/>
        <v>0</v>
      </c>
      <c r="Y133" s="246">
        <f>SUM(V133:X133)</f>
        <v>0</v>
      </c>
    </row>
    <row r="134" spans="1:25" ht="12.75" hidden="1" customHeight="1" outlineLevel="1" x14ac:dyDescent="0.2">
      <c r="A134" s="198" t="str">
        <f>"         "&amp;Labels!C329</f>
        <v xml:space="preserve">         Total</v>
      </c>
      <c r="B134" s="243">
        <f t="shared" si="54"/>
        <v>0</v>
      </c>
      <c r="C134" s="243">
        <f t="shared" si="54"/>
        <v>0</v>
      </c>
      <c r="D134" s="243">
        <f t="shared" si="54"/>
        <v>0</v>
      </c>
      <c r="E134" s="244">
        <f>SUM(B134:D134)</f>
        <v>0</v>
      </c>
      <c r="F134" s="243">
        <f t="shared" si="55"/>
        <v>0</v>
      </c>
      <c r="G134" s="243">
        <f t="shared" si="55"/>
        <v>0</v>
      </c>
      <c r="H134" s="243">
        <f t="shared" si="55"/>
        <v>0</v>
      </c>
      <c r="I134" s="244">
        <f>SUM(F134:H134)</f>
        <v>0</v>
      </c>
      <c r="J134" s="243">
        <f t="shared" si="56"/>
        <v>0</v>
      </c>
      <c r="K134" s="243">
        <f t="shared" si="56"/>
        <v>0</v>
      </c>
      <c r="L134" s="243">
        <f t="shared" si="56"/>
        <v>0</v>
      </c>
      <c r="M134" s="244">
        <f>SUM(J134:L134)</f>
        <v>0</v>
      </c>
      <c r="N134" s="243">
        <f t="shared" si="57"/>
        <v>0</v>
      </c>
      <c r="O134" s="243">
        <f t="shared" si="57"/>
        <v>0</v>
      </c>
      <c r="P134" s="243">
        <f t="shared" si="57"/>
        <v>0</v>
      </c>
      <c r="Q134" s="244">
        <f>SUM(N134:P134)</f>
        <v>0</v>
      </c>
      <c r="R134" s="243">
        <f t="shared" si="58"/>
        <v>0</v>
      </c>
      <c r="S134" s="243">
        <f t="shared" si="58"/>
        <v>0</v>
      </c>
      <c r="T134" s="243">
        <f t="shared" si="58"/>
        <v>0</v>
      </c>
      <c r="U134" s="244">
        <f>SUM(R134:T134)</f>
        <v>0</v>
      </c>
      <c r="V134" s="243">
        <f t="shared" si="59"/>
        <v>0</v>
      </c>
      <c r="W134" s="243">
        <f t="shared" si="59"/>
        <v>0</v>
      </c>
      <c r="X134" s="243">
        <f t="shared" si="59"/>
        <v>0</v>
      </c>
      <c r="Y134" s="244">
        <f>SUM(V134:X134)</f>
        <v>0</v>
      </c>
    </row>
    <row r="135" spans="1:25" ht="12.75" hidden="1" customHeight="1" outlineLevel="1" x14ac:dyDescent="0.2">
      <c r="A135" s="198" t="str">
        <f>"      "&amp;Labels!B386</f>
        <v xml:space="preserve">      Prof Level 2</v>
      </c>
      <c r="B135" s="243"/>
      <c r="C135" s="243"/>
      <c r="D135" s="243"/>
      <c r="E135" s="244"/>
      <c r="F135" s="243"/>
      <c r="G135" s="243"/>
      <c r="H135" s="243"/>
      <c r="I135" s="244"/>
      <c r="J135" s="243"/>
      <c r="K135" s="243"/>
      <c r="L135" s="243"/>
      <c r="M135" s="244"/>
      <c r="N135" s="243"/>
      <c r="O135" s="243"/>
      <c r="P135" s="243"/>
      <c r="Q135" s="244"/>
      <c r="R135" s="243"/>
      <c r="S135" s="243"/>
      <c r="T135" s="243"/>
      <c r="U135" s="244"/>
      <c r="V135" s="243"/>
      <c r="W135" s="243"/>
      <c r="X135" s="243"/>
      <c r="Y135" s="244"/>
    </row>
    <row r="136" spans="1:25" ht="12.75" hidden="1" customHeight="1" outlineLevel="1" x14ac:dyDescent="0.2">
      <c r="A136" s="198" t="str">
        <f>"         "&amp;Labels!B330</f>
        <v xml:space="preserve">         Supplies</v>
      </c>
      <c r="B136" s="328">
        <f t="shared" ref="B136:D143" si="60">SUM(B104,B120)</f>
        <v>0</v>
      </c>
      <c r="C136" s="328">
        <f t="shared" si="60"/>
        <v>0</v>
      </c>
      <c r="D136" s="328">
        <f t="shared" si="60"/>
        <v>0</v>
      </c>
      <c r="E136" s="246">
        <f>SUM(B136:D136)</f>
        <v>0</v>
      </c>
      <c r="F136" s="328">
        <f t="shared" ref="F136:H143" si="61">SUM(F104,F120)</f>
        <v>0</v>
      </c>
      <c r="G136" s="328">
        <f t="shared" si="61"/>
        <v>0</v>
      </c>
      <c r="H136" s="328">
        <f t="shared" si="61"/>
        <v>0</v>
      </c>
      <c r="I136" s="246">
        <f>SUM(F136:H136)</f>
        <v>0</v>
      </c>
      <c r="J136" s="328">
        <f t="shared" ref="J136:L143" si="62">SUM(J104,J120)</f>
        <v>0</v>
      </c>
      <c r="K136" s="328">
        <f t="shared" si="62"/>
        <v>0</v>
      </c>
      <c r="L136" s="328">
        <f t="shared" si="62"/>
        <v>0</v>
      </c>
      <c r="M136" s="246">
        <f>SUM(J136:L136)</f>
        <v>0</v>
      </c>
      <c r="N136" s="328">
        <f t="shared" ref="N136:P143" si="63">SUM(N104,N120)</f>
        <v>0</v>
      </c>
      <c r="O136" s="328">
        <f t="shared" si="63"/>
        <v>0</v>
      </c>
      <c r="P136" s="328">
        <f t="shared" si="63"/>
        <v>0</v>
      </c>
      <c r="Q136" s="246">
        <f>SUM(N136:P136)</f>
        <v>0</v>
      </c>
      <c r="R136" s="328">
        <f t="shared" ref="R136:T143" si="64">SUM(R104,R120)</f>
        <v>0</v>
      </c>
      <c r="S136" s="328">
        <f t="shared" si="64"/>
        <v>0</v>
      </c>
      <c r="T136" s="328">
        <f t="shared" si="64"/>
        <v>0</v>
      </c>
      <c r="U136" s="246">
        <f>SUM(R136:T136)</f>
        <v>0</v>
      </c>
      <c r="V136" s="328">
        <f t="shared" ref="V136:X143" si="65">SUM(V104,V120)</f>
        <v>0</v>
      </c>
      <c r="W136" s="328">
        <f t="shared" si="65"/>
        <v>0</v>
      </c>
      <c r="X136" s="328">
        <f t="shared" si="65"/>
        <v>0</v>
      </c>
      <c r="Y136" s="246">
        <f>SUM(V136:X136)</f>
        <v>0</v>
      </c>
    </row>
    <row r="137" spans="1:25" ht="12.75" hidden="1" customHeight="1" outlineLevel="1" x14ac:dyDescent="0.2">
      <c r="A137" s="198" t="str">
        <f>"         "&amp;Labels!B331</f>
        <v xml:space="preserve">         Travel Entertain</v>
      </c>
      <c r="B137" s="328">
        <f t="shared" si="60"/>
        <v>0</v>
      </c>
      <c r="C137" s="328">
        <f t="shared" si="60"/>
        <v>0</v>
      </c>
      <c r="D137" s="328">
        <f t="shared" si="60"/>
        <v>0</v>
      </c>
      <c r="E137" s="246">
        <f>SUM(B137:D137)</f>
        <v>0</v>
      </c>
      <c r="F137" s="328">
        <f t="shared" si="61"/>
        <v>0</v>
      </c>
      <c r="G137" s="328">
        <f t="shared" si="61"/>
        <v>0</v>
      </c>
      <c r="H137" s="328">
        <f t="shared" si="61"/>
        <v>0</v>
      </c>
      <c r="I137" s="246">
        <f>SUM(F137:H137)</f>
        <v>0</v>
      </c>
      <c r="J137" s="328">
        <f t="shared" si="62"/>
        <v>0</v>
      </c>
      <c r="K137" s="328">
        <f t="shared" si="62"/>
        <v>0</v>
      </c>
      <c r="L137" s="328">
        <f t="shared" si="62"/>
        <v>0</v>
      </c>
      <c r="M137" s="246">
        <f>SUM(J137:L137)</f>
        <v>0</v>
      </c>
      <c r="N137" s="328">
        <f t="shared" si="63"/>
        <v>0</v>
      </c>
      <c r="O137" s="328">
        <f t="shared" si="63"/>
        <v>0</v>
      </c>
      <c r="P137" s="328">
        <f t="shared" si="63"/>
        <v>0</v>
      </c>
      <c r="Q137" s="246">
        <f>SUM(N137:P137)</f>
        <v>0</v>
      </c>
      <c r="R137" s="328">
        <f t="shared" si="64"/>
        <v>0</v>
      </c>
      <c r="S137" s="328">
        <f t="shared" si="64"/>
        <v>0</v>
      </c>
      <c r="T137" s="328">
        <f t="shared" si="64"/>
        <v>0</v>
      </c>
      <c r="U137" s="246">
        <f>SUM(R137:T137)</f>
        <v>0</v>
      </c>
      <c r="V137" s="328">
        <f t="shared" si="65"/>
        <v>0</v>
      </c>
      <c r="W137" s="328">
        <f t="shared" si="65"/>
        <v>0</v>
      </c>
      <c r="X137" s="328">
        <f t="shared" si="65"/>
        <v>0</v>
      </c>
      <c r="Y137" s="246">
        <f>SUM(V137:X137)</f>
        <v>0</v>
      </c>
    </row>
    <row r="138" spans="1:25" ht="12.75" hidden="1" customHeight="1" outlineLevel="1" x14ac:dyDescent="0.2">
      <c r="A138" s="198" t="str">
        <f>"         "&amp;Labels!B332</f>
        <v xml:space="preserve">         Other</v>
      </c>
      <c r="B138" s="328">
        <f t="shared" si="60"/>
        <v>0</v>
      </c>
      <c r="C138" s="328">
        <f t="shared" si="60"/>
        <v>0</v>
      </c>
      <c r="D138" s="328">
        <f t="shared" si="60"/>
        <v>0</v>
      </c>
      <c r="E138" s="246">
        <f>SUM(B138:D138)</f>
        <v>0</v>
      </c>
      <c r="F138" s="328">
        <f t="shared" si="61"/>
        <v>0</v>
      </c>
      <c r="G138" s="328">
        <f t="shared" si="61"/>
        <v>0</v>
      </c>
      <c r="H138" s="328">
        <f t="shared" si="61"/>
        <v>0</v>
      </c>
      <c r="I138" s="246">
        <f>SUM(F138:H138)</f>
        <v>0</v>
      </c>
      <c r="J138" s="328">
        <f t="shared" si="62"/>
        <v>0</v>
      </c>
      <c r="K138" s="328">
        <f t="shared" si="62"/>
        <v>0</v>
      </c>
      <c r="L138" s="328">
        <f t="shared" si="62"/>
        <v>0</v>
      </c>
      <c r="M138" s="246">
        <f>SUM(J138:L138)</f>
        <v>0</v>
      </c>
      <c r="N138" s="328">
        <f t="shared" si="63"/>
        <v>0</v>
      </c>
      <c r="O138" s="328">
        <f t="shared" si="63"/>
        <v>0</v>
      </c>
      <c r="P138" s="328">
        <f t="shared" si="63"/>
        <v>0</v>
      </c>
      <c r="Q138" s="246">
        <f>SUM(N138:P138)</f>
        <v>0</v>
      </c>
      <c r="R138" s="328">
        <f t="shared" si="64"/>
        <v>0</v>
      </c>
      <c r="S138" s="328">
        <f t="shared" si="64"/>
        <v>0</v>
      </c>
      <c r="T138" s="328">
        <f t="shared" si="64"/>
        <v>0</v>
      </c>
      <c r="U138" s="246">
        <f>SUM(R138:T138)</f>
        <v>0</v>
      </c>
      <c r="V138" s="328">
        <f t="shared" si="65"/>
        <v>0</v>
      </c>
      <c r="W138" s="328">
        <f t="shared" si="65"/>
        <v>0</v>
      </c>
      <c r="X138" s="328">
        <f t="shared" si="65"/>
        <v>0</v>
      </c>
      <c r="Y138" s="246">
        <f>SUM(V138:X138)</f>
        <v>0</v>
      </c>
    </row>
    <row r="139" spans="1:25" ht="12.75" hidden="1" customHeight="1" outlineLevel="1" x14ac:dyDescent="0.2">
      <c r="A139" s="198" t="str">
        <f>"         "&amp;Labels!C329</f>
        <v xml:space="preserve">         Total</v>
      </c>
      <c r="B139" s="243">
        <f t="shared" si="60"/>
        <v>0</v>
      </c>
      <c r="C139" s="243">
        <f t="shared" si="60"/>
        <v>0</v>
      </c>
      <c r="D139" s="243">
        <f t="shared" si="60"/>
        <v>0</v>
      </c>
      <c r="E139" s="244">
        <f>SUM(B139:D139)</f>
        <v>0</v>
      </c>
      <c r="F139" s="243">
        <f t="shared" si="61"/>
        <v>0</v>
      </c>
      <c r="G139" s="243">
        <f t="shared" si="61"/>
        <v>0</v>
      </c>
      <c r="H139" s="243">
        <f t="shared" si="61"/>
        <v>0</v>
      </c>
      <c r="I139" s="244">
        <f>SUM(F139:H139)</f>
        <v>0</v>
      </c>
      <c r="J139" s="243">
        <f t="shared" si="62"/>
        <v>0</v>
      </c>
      <c r="K139" s="243">
        <f t="shared" si="62"/>
        <v>0</v>
      </c>
      <c r="L139" s="243">
        <f t="shared" si="62"/>
        <v>0</v>
      </c>
      <c r="M139" s="244">
        <f>SUM(J139:L139)</f>
        <v>0</v>
      </c>
      <c r="N139" s="243">
        <f t="shared" si="63"/>
        <v>0</v>
      </c>
      <c r="O139" s="243">
        <f t="shared" si="63"/>
        <v>0</v>
      </c>
      <c r="P139" s="243">
        <f t="shared" si="63"/>
        <v>0</v>
      </c>
      <c r="Q139" s="244">
        <f>SUM(N139:P139)</f>
        <v>0</v>
      </c>
      <c r="R139" s="243">
        <f t="shared" si="64"/>
        <v>0</v>
      </c>
      <c r="S139" s="243">
        <f t="shared" si="64"/>
        <v>0</v>
      </c>
      <c r="T139" s="243">
        <f t="shared" si="64"/>
        <v>0</v>
      </c>
      <c r="U139" s="244">
        <f>SUM(R139:T139)</f>
        <v>0</v>
      </c>
      <c r="V139" s="243">
        <f t="shared" si="65"/>
        <v>0</v>
      </c>
      <c r="W139" s="243">
        <f t="shared" si="65"/>
        <v>0</v>
      </c>
      <c r="X139" s="243">
        <f t="shared" si="65"/>
        <v>0</v>
      </c>
      <c r="Y139" s="244">
        <f>SUM(V139:X139)</f>
        <v>0</v>
      </c>
    </row>
    <row r="140" spans="1:25" ht="12.75" hidden="1" customHeight="1" outlineLevel="1" x14ac:dyDescent="0.2">
      <c r="A140" s="188" t="str">
        <f>"      "&amp;Labels!C384</f>
        <v xml:space="preserve">      Total</v>
      </c>
      <c r="B140" s="241">
        <f t="shared" si="60"/>
        <v>0</v>
      </c>
      <c r="C140" s="241">
        <f t="shared" si="60"/>
        <v>0</v>
      </c>
      <c r="D140" s="241">
        <f t="shared" si="60"/>
        <v>0</v>
      </c>
      <c r="E140" s="242">
        <f>SUM(B129:D129)</f>
        <v>0</v>
      </c>
      <c r="F140" s="241">
        <f t="shared" si="61"/>
        <v>0</v>
      </c>
      <c r="G140" s="241">
        <f t="shared" si="61"/>
        <v>0</v>
      </c>
      <c r="H140" s="241">
        <f t="shared" si="61"/>
        <v>0</v>
      </c>
      <c r="I140" s="242">
        <f>SUM(F129:H129)</f>
        <v>0</v>
      </c>
      <c r="J140" s="241">
        <f t="shared" si="62"/>
        <v>0</v>
      </c>
      <c r="K140" s="241">
        <f t="shared" si="62"/>
        <v>0</v>
      </c>
      <c r="L140" s="241">
        <f t="shared" si="62"/>
        <v>0</v>
      </c>
      <c r="M140" s="242">
        <f>SUM(J129:L129)</f>
        <v>0</v>
      </c>
      <c r="N140" s="241">
        <f t="shared" si="63"/>
        <v>0</v>
      </c>
      <c r="O140" s="241">
        <f t="shared" si="63"/>
        <v>0</v>
      </c>
      <c r="P140" s="241">
        <f t="shared" si="63"/>
        <v>0</v>
      </c>
      <c r="Q140" s="242">
        <f>SUM(N129:P129)</f>
        <v>0</v>
      </c>
      <c r="R140" s="241">
        <f t="shared" si="64"/>
        <v>0</v>
      </c>
      <c r="S140" s="241">
        <f t="shared" si="64"/>
        <v>0</v>
      </c>
      <c r="T140" s="241">
        <f t="shared" si="64"/>
        <v>0</v>
      </c>
      <c r="U140" s="242">
        <f>SUM(R129:T129)</f>
        <v>0</v>
      </c>
      <c r="V140" s="241">
        <f t="shared" si="65"/>
        <v>0</v>
      </c>
      <c r="W140" s="241">
        <f t="shared" si="65"/>
        <v>0</v>
      </c>
      <c r="X140" s="241">
        <f t="shared" si="65"/>
        <v>0</v>
      </c>
      <c r="Y140" s="242">
        <f>SUM(V129:X129)</f>
        <v>0</v>
      </c>
    </row>
    <row r="141" spans="1:25" ht="12.75" hidden="1" customHeight="1" outlineLevel="1" x14ac:dyDescent="0.2">
      <c r="A141" s="198" t="str">
        <f>"         "&amp;Labels!B330</f>
        <v xml:space="preserve">         Supplies</v>
      </c>
      <c r="B141" s="328">
        <f t="shared" si="60"/>
        <v>0</v>
      </c>
      <c r="C141" s="328">
        <f t="shared" si="60"/>
        <v>0</v>
      </c>
      <c r="D141" s="328">
        <f t="shared" si="60"/>
        <v>0</v>
      </c>
      <c r="E141" s="246">
        <f>SUM(B141:D141)</f>
        <v>0</v>
      </c>
      <c r="F141" s="328">
        <f t="shared" si="61"/>
        <v>0</v>
      </c>
      <c r="G141" s="328">
        <f t="shared" si="61"/>
        <v>0</v>
      </c>
      <c r="H141" s="328">
        <f t="shared" si="61"/>
        <v>0</v>
      </c>
      <c r="I141" s="246">
        <f>SUM(F141:H141)</f>
        <v>0</v>
      </c>
      <c r="J141" s="328">
        <f t="shared" si="62"/>
        <v>0</v>
      </c>
      <c r="K141" s="328">
        <f t="shared" si="62"/>
        <v>0</v>
      </c>
      <c r="L141" s="328">
        <f t="shared" si="62"/>
        <v>0</v>
      </c>
      <c r="M141" s="246">
        <f>SUM(J141:L141)</f>
        <v>0</v>
      </c>
      <c r="N141" s="328">
        <f t="shared" si="63"/>
        <v>0</v>
      </c>
      <c r="O141" s="328">
        <f t="shared" si="63"/>
        <v>0</v>
      </c>
      <c r="P141" s="328">
        <f t="shared" si="63"/>
        <v>0</v>
      </c>
      <c r="Q141" s="246">
        <f>SUM(N141:P141)</f>
        <v>0</v>
      </c>
      <c r="R141" s="328">
        <f t="shared" si="64"/>
        <v>0</v>
      </c>
      <c r="S141" s="328">
        <f t="shared" si="64"/>
        <v>0</v>
      </c>
      <c r="T141" s="328">
        <f t="shared" si="64"/>
        <v>0</v>
      </c>
      <c r="U141" s="246">
        <f>SUM(R141:T141)</f>
        <v>0</v>
      </c>
      <c r="V141" s="328">
        <f t="shared" si="65"/>
        <v>0</v>
      </c>
      <c r="W141" s="328">
        <f t="shared" si="65"/>
        <v>0</v>
      </c>
      <c r="X141" s="328">
        <f t="shared" si="65"/>
        <v>0</v>
      </c>
      <c r="Y141" s="246">
        <f>SUM(V141:X141)</f>
        <v>0</v>
      </c>
    </row>
    <row r="142" spans="1:25" ht="12.75" hidden="1" customHeight="1" outlineLevel="1" x14ac:dyDescent="0.2">
      <c r="A142" s="198" t="str">
        <f>"         "&amp;Labels!B331</f>
        <v xml:space="preserve">         Travel Entertain</v>
      </c>
      <c r="B142" s="328">
        <f t="shared" si="60"/>
        <v>0</v>
      </c>
      <c r="C142" s="328">
        <f t="shared" si="60"/>
        <v>0</v>
      </c>
      <c r="D142" s="328">
        <f t="shared" si="60"/>
        <v>0</v>
      </c>
      <c r="E142" s="246">
        <f>SUM(B142:D142)</f>
        <v>0</v>
      </c>
      <c r="F142" s="328">
        <f t="shared" si="61"/>
        <v>0</v>
      </c>
      <c r="G142" s="328">
        <f t="shared" si="61"/>
        <v>0</v>
      </c>
      <c r="H142" s="328">
        <f t="shared" si="61"/>
        <v>0</v>
      </c>
      <c r="I142" s="246">
        <f>SUM(F142:H142)</f>
        <v>0</v>
      </c>
      <c r="J142" s="328">
        <f t="shared" si="62"/>
        <v>0</v>
      </c>
      <c r="K142" s="328">
        <f t="shared" si="62"/>
        <v>0</v>
      </c>
      <c r="L142" s="328">
        <f t="shared" si="62"/>
        <v>0</v>
      </c>
      <c r="M142" s="246">
        <f>SUM(J142:L142)</f>
        <v>0</v>
      </c>
      <c r="N142" s="328">
        <f t="shared" si="63"/>
        <v>0</v>
      </c>
      <c r="O142" s="328">
        <f t="shared" si="63"/>
        <v>0</v>
      </c>
      <c r="P142" s="328">
        <f t="shared" si="63"/>
        <v>0</v>
      </c>
      <c r="Q142" s="246">
        <f>SUM(N142:P142)</f>
        <v>0</v>
      </c>
      <c r="R142" s="328">
        <f t="shared" si="64"/>
        <v>0</v>
      </c>
      <c r="S142" s="328">
        <f t="shared" si="64"/>
        <v>0</v>
      </c>
      <c r="T142" s="328">
        <f t="shared" si="64"/>
        <v>0</v>
      </c>
      <c r="U142" s="246">
        <f>SUM(R142:T142)</f>
        <v>0</v>
      </c>
      <c r="V142" s="328">
        <f t="shared" si="65"/>
        <v>0</v>
      </c>
      <c r="W142" s="328">
        <f t="shared" si="65"/>
        <v>0</v>
      </c>
      <c r="X142" s="328">
        <f t="shared" si="65"/>
        <v>0</v>
      </c>
      <c r="Y142" s="246">
        <f>SUM(V142:X142)</f>
        <v>0</v>
      </c>
    </row>
    <row r="143" spans="1:25" ht="12.75" hidden="1" customHeight="1" outlineLevel="1" x14ac:dyDescent="0.2">
      <c r="A143" s="198" t="str">
        <f>"         "&amp;Labels!B332</f>
        <v xml:space="preserve">         Other</v>
      </c>
      <c r="B143" s="328">
        <f t="shared" si="60"/>
        <v>0</v>
      </c>
      <c r="C143" s="328">
        <f t="shared" si="60"/>
        <v>0</v>
      </c>
      <c r="D143" s="328">
        <f t="shared" si="60"/>
        <v>0</v>
      </c>
      <c r="E143" s="246">
        <f>SUM(B143:D143)</f>
        <v>0</v>
      </c>
      <c r="F143" s="328">
        <f t="shared" si="61"/>
        <v>0</v>
      </c>
      <c r="G143" s="328">
        <f t="shared" si="61"/>
        <v>0</v>
      </c>
      <c r="H143" s="328">
        <f t="shared" si="61"/>
        <v>0</v>
      </c>
      <c r="I143" s="246">
        <f>SUM(F143:H143)</f>
        <v>0</v>
      </c>
      <c r="J143" s="328">
        <f t="shared" si="62"/>
        <v>0</v>
      </c>
      <c r="K143" s="328">
        <f t="shared" si="62"/>
        <v>0</v>
      </c>
      <c r="L143" s="328">
        <f t="shared" si="62"/>
        <v>0</v>
      </c>
      <c r="M143" s="246">
        <f>SUM(J143:L143)</f>
        <v>0</v>
      </c>
      <c r="N143" s="328">
        <f t="shared" si="63"/>
        <v>0</v>
      </c>
      <c r="O143" s="328">
        <f t="shared" si="63"/>
        <v>0</v>
      </c>
      <c r="P143" s="328">
        <f t="shared" si="63"/>
        <v>0</v>
      </c>
      <c r="Q143" s="246">
        <f>SUM(N143:P143)</f>
        <v>0</v>
      </c>
      <c r="R143" s="328">
        <f t="shared" si="64"/>
        <v>0</v>
      </c>
      <c r="S143" s="328">
        <f t="shared" si="64"/>
        <v>0</v>
      </c>
      <c r="T143" s="328">
        <f t="shared" si="64"/>
        <v>0</v>
      </c>
      <c r="U143" s="246">
        <f>SUM(R143:T143)</f>
        <v>0</v>
      </c>
      <c r="V143" s="328">
        <f t="shared" si="65"/>
        <v>0</v>
      </c>
      <c r="W143" s="328">
        <f t="shared" si="65"/>
        <v>0</v>
      </c>
      <c r="X143" s="328">
        <f t="shared" si="65"/>
        <v>0</v>
      </c>
      <c r="Y143" s="246">
        <f>SUM(V143:X143)</f>
        <v>0</v>
      </c>
    </row>
    <row r="144" spans="1:25" ht="12.75" hidden="1" customHeight="1" outlineLevel="1" x14ac:dyDescent="0.2">
      <c r="A144" s="198" t="str">
        <f>"         "&amp;Labels!C329</f>
        <v xml:space="preserve">         Total</v>
      </c>
      <c r="B144" s="243">
        <f>SUM(B108,B124)</f>
        <v>0</v>
      </c>
      <c r="C144" s="243">
        <f>SUM(C108,C124)</f>
        <v>0</v>
      </c>
      <c r="D144" s="243">
        <f>SUM(D108,D124)</f>
        <v>0</v>
      </c>
      <c r="E144" s="244">
        <f>SUM(B129:D129)</f>
        <v>0</v>
      </c>
      <c r="F144" s="243">
        <f>SUM(F108,F124)</f>
        <v>0</v>
      </c>
      <c r="G144" s="243">
        <f>SUM(G108,G124)</f>
        <v>0</v>
      </c>
      <c r="H144" s="243">
        <f>SUM(H108,H124)</f>
        <v>0</v>
      </c>
      <c r="I144" s="244">
        <f>SUM(F129:H129)</f>
        <v>0</v>
      </c>
      <c r="J144" s="243">
        <f>SUM(J108,J124)</f>
        <v>0</v>
      </c>
      <c r="K144" s="243">
        <f>SUM(K108,K124)</f>
        <v>0</v>
      </c>
      <c r="L144" s="243">
        <f>SUM(L108,L124)</f>
        <v>0</v>
      </c>
      <c r="M144" s="244">
        <f>SUM(J129:L129)</f>
        <v>0</v>
      </c>
      <c r="N144" s="243">
        <f>SUM(N108,N124)</f>
        <v>0</v>
      </c>
      <c r="O144" s="243">
        <f>SUM(O108,O124)</f>
        <v>0</v>
      </c>
      <c r="P144" s="243">
        <f>SUM(P108,P124)</f>
        <v>0</v>
      </c>
      <c r="Q144" s="244">
        <f>SUM(N129:P129)</f>
        <v>0</v>
      </c>
      <c r="R144" s="243">
        <f>SUM(R108,R124)</f>
        <v>0</v>
      </c>
      <c r="S144" s="243">
        <f>SUM(S108,S124)</f>
        <v>0</v>
      </c>
      <c r="T144" s="243">
        <f>SUM(T108,T124)</f>
        <v>0</v>
      </c>
      <c r="U144" s="244">
        <f>SUM(R129:T129)</f>
        <v>0</v>
      </c>
      <c r="V144" s="243">
        <f>SUM(V108,V124)</f>
        <v>0</v>
      </c>
      <c r="W144" s="243">
        <f>SUM(W108,W124)</f>
        <v>0</v>
      </c>
      <c r="X144" s="243">
        <f>SUM(X108,X124)</f>
        <v>0</v>
      </c>
      <c r="Y144" s="244">
        <f>SUM(V129:X129)</f>
        <v>0</v>
      </c>
    </row>
    <row r="145" spans="1:25" ht="12.75" hidden="1" customHeight="1" outlineLevel="1" x14ac:dyDescent="0.2">
      <c r="A145" s="97"/>
      <c r="B145" s="6"/>
      <c r="C145" s="6"/>
      <c r="D145" s="6"/>
      <c r="E145" s="97"/>
      <c r="F145" s="6"/>
      <c r="G145" s="6"/>
      <c r="H145" s="6"/>
      <c r="I145" s="97"/>
      <c r="J145" s="6"/>
      <c r="K145" s="6"/>
      <c r="L145" s="6"/>
      <c r="M145" s="97"/>
      <c r="N145" s="6"/>
      <c r="O145" s="6"/>
      <c r="P145" s="6"/>
      <c r="Q145" s="97"/>
      <c r="R145" s="6"/>
      <c r="S145" s="6"/>
      <c r="T145" s="6"/>
      <c r="U145" s="97"/>
      <c r="V145" s="6"/>
      <c r="W145" s="6"/>
      <c r="X145" s="6"/>
      <c r="Y145" s="97"/>
    </row>
    <row r="146" spans="1:25" ht="12.75" hidden="1" customHeight="1" outlineLevel="1" x14ac:dyDescent="0.2">
      <c r="A146" s="191" t="str">
        <f>Labels!B258</f>
        <v>Support Staff Rel Exp</v>
      </c>
      <c r="B146" s="192"/>
      <c r="C146" s="192"/>
      <c r="D146" s="192"/>
      <c r="E146" s="190"/>
      <c r="F146" s="192"/>
      <c r="G146" s="192"/>
      <c r="H146" s="192"/>
      <c r="I146" s="190"/>
      <c r="J146" s="192"/>
      <c r="K146" s="192"/>
      <c r="L146" s="192"/>
      <c r="M146" s="190"/>
      <c r="N146" s="192"/>
      <c r="O146" s="192"/>
      <c r="P146" s="192"/>
      <c r="Q146" s="190"/>
      <c r="R146" s="192"/>
      <c r="S146" s="192"/>
      <c r="T146" s="192"/>
      <c r="U146" s="190"/>
      <c r="V146" s="192"/>
      <c r="W146" s="192"/>
      <c r="X146" s="192"/>
      <c r="Y146" s="190"/>
    </row>
    <row r="147" spans="1:25" ht="12.75" hidden="1" customHeight="1" outlineLevel="1" x14ac:dyDescent="0.2">
      <c r="A147" s="188" t="str">
        <f>"   "&amp;Labels!B321</f>
        <v xml:space="preserve">   Marketing</v>
      </c>
      <c r="B147" s="196"/>
      <c r="C147" s="196"/>
      <c r="D147" s="196"/>
      <c r="E147" s="197"/>
      <c r="F147" s="196"/>
      <c r="G147" s="196"/>
      <c r="H147" s="196"/>
      <c r="I147" s="197"/>
      <c r="J147" s="196"/>
      <c r="K147" s="196"/>
      <c r="L147" s="196"/>
      <c r="M147" s="197"/>
      <c r="N147" s="196"/>
      <c r="O147" s="196"/>
      <c r="P147" s="196"/>
      <c r="Q147" s="197"/>
      <c r="R147" s="196"/>
      <c r="S147" s="196"/>
      <c r="T147" s="196"/>
      <c r="U147" s="197"/>
      <c r="V147" s="196"/>
      <c r="W147" s="196"/>
      <c r="X147" s="196"/>
      <c r="Y147" s="197"/>
    </row>
    <row r="148" spans="1:25" ht="12.75" hidden="1" customHeight="1" outlineLevel="1" x14ac:dyDescent="0.2">
      <c r="A148" s="198" t="str">
        <f>"      "&amp;Labels!B330</f>
        <v xml:space="preserve">      Supplies</v>
      </c>
      <c r="B148" s="226">
        <f>'(Compute)'!B50</f>
        <v>0</v>
      </c>
      <c r="C148" s="226">
        <f>'(Compute)'!C50</f>
        <v>0</v>
      </c>
      <c r="D148" s="226">
        <f>'(Compute)'!D50</f>
        <v>0</v>
      </c>
      <c r="E148" s="227">
        <f>SUM(B148:D148)</f>
        <v>0</v>
      </c>
      <c r="F148" s="226">
        <f>'(Compute)'!E50</f>
        <v>0</v>
      </c>
      <c r="G148" s="226">
        <f>'(Compute)'!F50</f>
        <v>0</v>
      </c>
      <c r="H148" s="226">
        <f>'(Compute)'!G50</f>
        <v>0</v>
      </c>
      <c r="I148" s="227">
        <f>SUM(F148:H148)</f>
        <v>0</v>
      </c>
      <c r="J148" s="226">
        <f>'(Compute)'!H50</f>
        <v>0</v>
      </c>
      <c r="K148" s="226">
        <f>'(Compute)'!I50</f>
        <v>0</v>
      </c>
      <c r="L148" s="226">
        <f>'(Compute)'!J50</f>
        <v>0</v>
      </c>
      <c r="M148" s="227">
        <f>SUM(J148:L148)</f>
        <v>0</v>
      </c>
      <c r="N148" s="226">
        <f>'(Compute)'!K50</f>
        <v>0</v>
      </c>
      <c r="O148" s="226">
        <f>'(Compute)'!L50</f>
        <v>0</v>
      </c>
      <c r="P148" s="226">
        <f>'(Compute)'!M50</f>
        <v>0</v>
      </c>
      <c r="Q148" s="227">
        <f>SUM(N148:P148)</f>
        <v>0</v>
      </c>
      <c r="R148" s="226">
        <f>'(Compute)'!N50</f>
        <v>0</v>
      </c>
      <c r="S148" s="226">
        <f>'(Compute)'!O50</f>
        <v>0</v>
      </c>
      <c r="T148" s="226">
        <f>'(Compute)'!P50</f>
        <v>0</v>
      </c>
      <c r="U148" s="227">
        <f>SUM(R148:T148)</f>
        <v>0</v>
      </c>
      <c r="V148" s="226">
        <f>'(Compute)'!Q50</f>
        <v>0</v>
      </c>
      <c r="W148" s="226">
        <f>'(Compute)'!R50</f>
        <v>0</v>
      </c>
      <c r="X148" s="226">
        <f>'(Compute)'!S50</f>
        <v>0</v>
      </c>
      <c r="Y148" s="227">
        <f>SUM(V148:X148)</f>
        <v>0</v>
      </c>
    </row>
    <row r="149" spans="1:25" ht="12.75" hidden="1" customHeight="1" outlineLevel="1" x14ac:dyDescent="0.2">
      <c r="A149" s="198" t="str">
        <f>"      "&amp;Labels!B331</f>
        <v xml:space="preserve">      Travel Entertain</v>
      </c>
      <c r="B149" s="226">
        <f>'(Compute)'!B54</f>
        <v>0</v>
      </c>
      <c r="C149" s="226">
        <f>'(Compute)'!C54</f>
        <v>0</v>
      </c>
      <c r="D149" s="226">
        <f>'(Compute)'!D54</f>
        <v>0</v>
      </c>
      <c r="E149" s="227">
        <f>SUM(B149:D149)</f>
        <v>0</v>
      </c>
      <c r="F149" s="226">
        <f>'(Compute)'!E54</f>
        <v>0</v>
      </c>
      <c r="G149" s="226">
        <f>'(Compute)'!F54</f>
        <v>0</v>
      </c>
      <c r="H149" s="226">
        <f>'(Compute)'!G54</f>
        <v>0</v>
      </c>
      <c r="I149" s="227">
        <f>SUM(F149:H149)</f>
        <v>0</v>
      </c>
      <c r="J149" s="226">
        <f>'(Compute)'!H54</f>
        <v>0</v>
      </c>
      <c r="K149" s="226">
        <f>'(Compute)'!I54</f>
        <v>0</v>
      </c>
      <c r="L149" s="226">
        <f>'(Compute)'!J54</f>
        <v>0</v>
      </c>
      <c r="M149" s="227">
        <f>SUM(J149:L149)</f>
        <v>0</v>
      </c>
      <c r="N149" s="226">
        <f>'(Compute)'!K54</f>
        <v>0</v>
      </c>
      <c r="O149" s="226">
        <f>'(Compute)'!L54</f>
        <v>0</v>
      </c>
      <c r="P149" s="226">
        <f>'(Compute)'!M54</f>
        <v>0</v>
      </c>
      <c r="Q149" s="227">
        <f>SUM(N149:P149)</f>
        <v>0</v>
      </c>
      <c r="R149" s="226">
        <f>'(Compute)'!N54</f>
        <v>0</v>
      </c>
      <c r="S149" s="226">
        <f>'(Compute)'!O54</f>
        <v>0</v>
      </c>
      <c r="T149" s="226">
        <f>'(Compute)'!P54</f>
        <v>0</v>
      </c>
      <c r="U149" s="227">
        <f>SUM(R149:T149)</f>
        <v>0</v>
      </c>
      <c r="V149" s="226">
        <f>'(Compute)'!Q54</f>
        <v>0</v>
      </c>
      <c r="W149" s="226">
        <f>'(Compute)'!R54</f>
        <v>0</v>
      </c>
      <c r="X149" s="226">
        <f>'(Compute)'!S54</f>
        <v>0</v>
      </c>
      <c r="Y149" s="227">
        <f>SUM(V149:X149)</f>
        <v>0</v>
      </c>
    </row>
    <row r="150" spans="1:25" ht="12.75" hidden="1" customHeight="1" outlineLevel="1" x14ac:dyDescent="0.2">
      <c r="A150" s="198" t="str">
        <f>"      "&amp;Labels!B332</f>
        <v xml:space="preserve">      Other</v>
      </c>
      <c r="B150" s="226">
        <f>'(Compute)'!B58</f>
        <v>0</v>
      </c>
      <c r="C150" s="226">
        <f>'(Compute)'!C58</f>
        <v>0</v>
      </c>
      <c r="D150" s="226">
        <f>'(Compute)'!D58</f>
        <v>0</v>
      </c>
      <c r="E150" s="227">
        <f>SUM(B150:D150)</f>
        <v>0</v>
      </c>
      <c r="F150" s="226">
        <f>'(Compute)'!E58</f>
        <v>0</v>
      </c>
      <c r="G150" s="226">
        <f>'(Compute)'!F58</f>
        <v>0</v>
      </c>
      <c r="H150" s="226">
        <f>'(Compute)'!G58</f>
        <v>0</v>
      </c>
      <c r="I150" s="227">
        <f>SUM(F150:H150)</f>
        <v>0</v>
      </c>
      <c r="J150" s="226">
        <f>'(Compute)'!H58</f>
        <v>0</v>
      </c>
      <c r="K150" s="226">
        <f>'(Compute)'!I58</f>
        <v>0</v>
      </c>
      <c r="L150" s="226">
        <f>'(Compute)'!J58</f>
        <v>0</v>
      </c>
      <c r="M150" s="227">
        <f>SUM(J150:L150)</f>
        <v>0</v>
      </c>
      <c r="N150" s="226">
        <f>'(Compute)'!K58</f>
        <v>0</v>
      </c>
      <c r="O150" s="226">
        <f>'(Compute)'!L58</f>
        <v>0</v>
      </c>
      <c r="P150" s="226">
        <f>'(Compute)'!M58</f>
        <v>0</v>
      </c>
      <c r="Q150" s="227">
        <f>SUM(N150:P150)</f>
        <v>0</v>
      </c>
      <c r="R150" s="226">
        <f>'(Compute)'!N58</f>
        <v>0</v>
      </c>
      <c r="S150" s="226">
        <f>'(Compute)'!O58</f>
        <v>0</v>
      </c>
      <c r="T150" s="226">
        <f>'(Compute)'!P58</f>
        <v>0</v>
      </c>
      <c r="U150" s="227">
        <f>SUM(R150:T150)</f>
        <v>0</v>
      </c>
      <c r="V150" s="226">
        <f>'(Compute)'!Q58</f>
        <v>0</v>
      </c>
      <c r="W150" s="226">
        <f>'(Compute)'!R58</f>
        <v>0</v>
      </c>
      <c r="X150" s="226">
        <f>'(Compute)'!S58</f>
        <v>0</v>
      </c>
      <c r="Y150" s="227">
        <f>SUM(V150:X150)</f>
        <v>0</v>
      </c>
    </row>
    <row r="151" spans="1:25" ht="12.75" hidden="1" customHeight="1" outlineLevel="1" x14ac:dyDescent="0.2">
      <c r="A151" s="188" t="str">
        <f>"      "&amp;Labels!C329</f>
        <v xml:space="preserve">      Total</v>
      </c>
      <c r="B151" s="196">
        <f>SUM(B148:B150)</f>
        <v>0</v>
      </c>
      <c r="C151" s="196">
        <f>SUM(C148:C150)</f>
        <v>0</v>
      </c>
      <c r="D151" s="196">
        <f>SUM(D148:D150)</f>
        <v>0</v>
      </c>
      <c r="E151" s="197">
        <f>SUM(B151:D151)</f>
        <v>0</v>
      </c>
      <c r="F151" s="196">
        <f>SUM(F148:F150)</f>
        <v>0</v>
      </c>
      <c r="G151" s="196">
        <f>SUM(G148:G150)</f>
        <v>0</v>
      </c>
      <c r="H151" s="196">
        <f>SUM(H148:H150)</f>
        <v>0</v>
      </c>
      <c r="I151" s="197">
        <f>SUM(F151:H151)</f>
        <v>0</v>
      </c>
      <c r="J151" s="196">
        <f>SUM(J148:J150)</f>
        <v>0</v>
      </c>
      <c r="K151" s="196">
        <f>SUM(K148:K150)</f>
        <v>0</v>
      </c>
      <c r="L151" s="196">
        <f>SUM(L148:L150)</f>
        <v>0</v>
      </c>
      <c r="M151" s="197">
        <f>SUM(J151:L151)</f>
        <v>0</v>
      </c>
      <c r="N151" s="196">
        <f>SUM(N148:N150)</f>
        <v>0</v>
      </c>
      <c r="O151" s="196">
        <f>SUM(O148:O150)</f>
        <v>0</v>
      </c>
      <c r="P151" s="196">
        <f>SUM(P148:P150)</f>
        <v>0</v>
      </c>
      <c r="Q151" s="197">
        <f>SUM(N151:P151)</f>
        <v>0</v>
      </c>
      <c r="R151" s="196">
        <f>SUM(R148:R150)</f>
        <v>0</v>
      </c>
      <c r="S151" s="196">
        <f>SUM(S148:S150)</f>
        <v>0</v>
      </c>
      <c r="T151" s="196">
        <f>SUM(T148:T150)</f>
        <v>0</v>
      </c>
      <c r="U151" s="197">
        <f>SUM(R151:T151)</f>
        <v>0</v>
      </c>
      <c r="V151" s="196">
        <f>SUM(V148:V150)</f>
        <v>0</v>
      </c>
      <c r="W151" s="196">
        <f>SUM(W148:W150)</f>
        <v>0</v>
      </c>
      <c r="X151" s="196">
        <f>SUM(X148:X150)</f>
        <v>0</v>
      </c>
      <c r="Y151" s="197">
        <f>SUM(V151:X151)</f>
        <v>0</v>
      </c>
    </row>
    <row r="152" spans="1:25" ht="12.75" hidden="1" customHeight="1" outlineLevel="1" x14ac:dyDescent="0.2">
      <c r="A152" s="188" t="str">
        <f>"   "&amp;Labels!B322</f>
        <v xml:space="preserve">   Sales</v>
      </c>
      <c r="B152" s="196"/>
      <c r="C152" s="196"/>
      <c r="D152" s="196"/>
      <c r="E152" s="197"/>
      <c r="F152" s="196"/>
      <c r="G152" s="196"/>
      <c r="H152" s="196"/>
      <c r="I152" s="197"/>
      <c r="J152" s="196"/>
      <c r="K152" s="196"/>
      <c r="L152" s="196"/>
      <c r="M152" s="197"/>
      <c r="N152" s="196"/>
      <c r="O152" s="196"/>
      <c r="P152" s="196"/>
      <c r="Q152" s="197"/>
      <c r="R152" s="196"/>
      <c r="S152" s="196"/>
      <c r="T152" s="196"/>
      <c r="U152" s="197"/>
      <c r="V152" s="196"/>
      <c r="W152" s="196"/>
      <c r="X152" s="196"/>
      <c r="Y152" s="197"/>
    </row>
    <row r="153" spans="1:25" ht="12.75" hidden="1" customHeight="1" outlineLevel="1" x14ac:dyDescent="0.2">
      <c r="A153" s="198" t="str">
        <f>"      "&amp;Labels!B330</f>
        <v xml:space="preserve">      Supplies</v>
      </c>
      <c r="B153" s="226">
        <f>'(Compute)'!B67</f>
        <v>0</v>
      </c>
      <c r="C153" s="226">
        <f>'(Compute)'!C67</f>
        <v>0</v>
      </c>
      <c r="D153" s="226">
        <f>'(Compute)'!D67</f>
        <v>0</v>
      </c>
      <c r="E153" s="227">
        <f t="shared" ref="E153:E160" si="66">SUM(B153:D153)</f>
        <v>0</v>
      </c>
      <c r="F153" s="226">
        <f>'(Compute)'!E67</f>
        <v>0</v>
      </c>
      <c r="G153" s="226">
        <f>'(Compute)'!F67</f>
        <v>0</v>
      </c>
      <c r="H153" s="226">
        <f>'(Compute)'!G67</f>
        <v>0</v>
      </c>
      <c r="I153" s="227">
        <f t="shared" ref="I153:I160" si="67">SUM(F153:H153)</f>
        <v>0</v>
      </c>
      <c r="J153" s="226">
        <f>'(Compute)'!H67</f>
        <v>0</v>
      </c>
      <c r="K153" s="226">
        <f>'(Compute)'!I67</f>
        <v>0</v>
      </c>
      <c r="L153" s="226">
        <f>'(Compute)'!J67</f>
        <v>0</v>
      </c>
      <c r="M153" s="227">
        <f t="shared" ref="M153:M160" si="68">SUM(J153:L153)</f>
        <v>0</v>
      </c>
      <c r="N153" s="226">
        <f>'(Compute)'!K67</f>
        <v>0</v>
      </c>
      <c r="O153" s="226">
        <f>'(Compute)'!L67</f>
        <v>0</v>
      </c>
      <c r="P153" s="226">
        <f>'(Compute)'!M67</f>
        <v>0</v>
      </c>
      <c r="Q153" s="227">
        <f t="shared" ref="Q153:Q160" si="69">SUM(N153:P153)</f>
        <v>0</v>
      </c>
      <c r="R153" s="226">
        <f>'(Compute)'!N67</f>
        <v>0</v>
      </c>
      <c r="S153" s="226">
        <f>'(Compute)'!O67</f>
        <v>0</v>
      </c>
      <c r="T153" s="226">
        <f>'(Compute)'!P67</f>
        <v>0</v>
      </c>
      <c r="U153" s="227">
        <f t="shared" ref="U153:U160" si="70">SUM(R153:T153)</f>
        <v>0</v>
      </c>
      <c r="V153" s="226">
        <f>'(Compute)'!Q67</f>
        <v>0</v>
      </c>
      <c r="W153" s="226">
        <f>'(Compute)'!R67</f>
        <v>0</v>
      </c>
      <c r="X153" s="226">
        <f>'(Compute)'!S67</f>
        <v>0</v>
      </c>
      <c r="Y153" s="227">
        <f t="shared" ref="Y153:Y160" si="71">SUM(V153:X153)</f>
        <v>0</v>
      </c>
    </row>
    <row r="154" spans="1:25" ht="12.75" hidden="1" customHeight="1" outlineLevel="1" x14ac:dyDescent="0.2">
      <c r="A154" s="198" t="str">
        <f>"      "&amp;Labels!B331</f>
        <v xml:space="preserve">      Travel Entertain</v>
      </c>
      <c r="B154" s="226">
        <f>'(Compute)'!B71</f>
        <v>0</v>
      </c>
      <c r="C154" s="226">
        <f>'(Compute)'!C71</f>
        <v>0</v>
      </c>
      <c r="D154" s="226">
        <f>'(Compute)'!D71</f>
        <v>0</v>
      </c>
      <c r="E154" s="227">
        <f t="shared" si="66"/>
        <v>0</v>
      </c>
      <c r="F154" s="226">
        <f>'(Compute)'!E71</f>
        <v>0</v>
      </c>
      <c r="G154" s="226">
        <f>'(Compute)'!F71</f>
        <v>0</v>
      </c>
      <c r="H154" s="226">
        <f>'(Compute)'!G71</f>
        <v>0</v>
      </c>
      <c r="I154" s="227">
        <f t="shared" si="67"/>
        <v>0</v>
      </c>
      <c r="J154" s="226">
        <f>'(Compute)'!H71</f>
        <v>0</v>
      </c>
      <c r="K154" s="226">
        <f>'(Compute)'!I71</f>
        <v>0</v>
      </c>
      <c r="L154" s="226">
        <f>'(Compute)'!J71</f>
        <v>0</v>
      </c>
      <c r="M154" s="227">
        <f t="shared" si="68"/>
        <v>0</v>
      </c>
      <c r="N154" s="226">
        <f>'(Compute)'!K71</f>
        <v>0</v>
      </c>
      <c r="O154" s="226">
        <f>'(Compute)'!L71</f>
        <v>0</v>
      </c>
      <c r="P154" s="226">
        <f>'(Compute)'!M71</f>
        <v>0</v>
      </c>
      <c r="Q154" s="227">
        <f t="shared" si="69"/>
        <v>0</v>
      </c>
      <c r="R154" s="226">
        <f>'(Compute)'!N71</f>
        <v>0</v>
      </c>
      <c r="S154" s="226">
        <f>'(Compute)'!O71</f>
        <v>0</v>
      </c>
      <c r="T154" s="226">
        <f>'(Compute)'!P71</f>
        <v>0</v>
      </c>
      <c r="U154" s="227">
        <f t="shared" si="70"/>
        <v>0</v>
      </c>
      <c r="V154" s="226">
        <f>'(Compute)'!Q71</f>
        <v>0</v>
      </c>
      <c r="W154" s="226">
        <f>'(Compute)'!R71</f>
        <v>0</v>
      </c>
      <c r="X154" s="226">
        <f>'(Compute)'!S71</f>
        <v>0</v>
      </c>
      <c r="Y154" s="227">
        <f t="shared" si="71"/>
        <v>0</v>
      </c>
    </row>
    <row r="155" spans="1:25" ht="12.75" hidden="1" customHeight="1" outlineLevel="1" x14ac:dyDescent="0.2">
      <c r="A155" s="198" t="str">
        <f>"      "&amp;Labels!B332</f>
        <v xml:space="preserve">      Other</v>
      </c>
      <c r="B155" s="226">
        <f>'(Compute)'!B75</f>
        <v>0</v>
      </c>
      <c r="C155" s="226">
        <f>'(Compute)'!C75</f>
        <v>0</v>
      </c>
      <c r="D155" s="226">
        <f>'(Compute)'!D75</f>
        <v>0</v>
      </c>
      <c r="E155" s="227">
        <f t="shared" si="66"/>
        <v>0</v>
      </c>
      <c r="F155" s="226">
        <f>'(Compute)'!E75</f>
        <v>0</v>
      </c>
      <c r="G155" s="226">
        <f>'(Compute)'!F75</f>
        <v>0</v>
      </c>
      <c r="H155" s="226">
        <f>'(Compute)'!G75</f>
        <v>0</v>
      </c>
      <c r="I155" s="227">
        <f t="shared" si="67"/>
        <v>0</v>
      </c>
      <c r="J155" s="226">
        <f>'(Compute)'!H75</f>
        <v>0</v>
      </c>
      <c r="K155" s="226">
        <f>'(Compute)'!I75</f>
        <v>0</v>
      </c>
      <c r="L155" s="226">
        <f>'(Compute)'!J75</f>
        <v>0</v>
      </c>
      <c r="M155" s="227">
        <f t="shared" si="68"/>
        <v>0</v>
      </c>
      <c r="N155" s="226">
        <f>'(Compute)'!K75</f>
        <v>0</v>
      </c>
      <c r="O155" s="226">
        <f>'(Compute)'!L75</f>
        <v>0</v>
      </c>
      <c r="P155" s="226">
        <f>'(Compute)'!M75</f>
        <v>0</v>
      </c>
      <c r="Q155" s="227">
        <f t="shared" si="69"/>
        <v>0</v>
      </c>
      <c r="R155" s="226">
        <f>'(Compute)'!N75</f>
        <v>0</v>
      </c>
      <c r="S155" s="226">
        <f>'(Compute)'!O75</f>
        <v>0</v>
      </c>
      <c r="T155" s="226">
        <f>'(Compute)'!P75</f>
        <v>0</v>
      </c>
      <c r="U155" s="227">
        <f t="shared" si="70"/>
        <v>0</v>
      </c>
      <c r="V155" s="226">
        <f>'(Compute)'!Q75</f>
        <v>0</v>
      </c>
      <c r="W155" s="226">
        <f>'(Compute)'!R75</f>
        <v>0</v>
      </c>
      <c r="X155" s="226">
        <f>'(Compute)'!S75</f>
        <v>0</v>
      </c>
      <c r="Y155" s="227">
        <f t="shared" si="71"/>
        <v>0</v>
      </c>
    </row>
    <row r="156" spans="1:25" ht="12.75" hidden="1" customHeight="1" outlineLevel="1" x14ac:dyDescent="0.2">
      <c r="A156" s="188" t="str">
        <f>"      "&amp;Labels!C329</f>
        <v xml:space="preserve">      Total</v>
      </c>
      <c r="B156" s="196">
        <f>SUM(B153:B155)</f>
        <v>0</v>
      </c>
      <c r="C156" s="196">
        <f>SUM(C153:C155)</f>
        <v>0</v>
      </c>
      <c r="D156" s="196">
        <f>SUM(D153:D155)</f>
        <v>0</v>
      </c>
      <c r="E156" s="197">
        <f t="shared" si="66"/>
        <v>0</v>
      </c>
      <c r="F156" s="196">
        <f>SUM(F153:F155)</f>
        <v>0</v>
      </c>
      <c r="G156" s="196">
        <f>SUM(G153:G155)</f>
        <v>0</v>
      </c>
      <c r="H156" s="196">
        <f>SUM(H153:H155)</f>
        <v>0</v>
      </c>
      <c r="I156" s="197">
        <f t="shared" si="67"/>
        <v>0</v>
      </c>
      <c r="J156" s="196">
        <f>SUM(J153:J155)</f>
        <v>0</v>
      </c>
      <c r="K156" s="196">
        <f>SUM(K153:K155)</f>
        <v>0</v>
      </c>
      <c r="L156" s="196">
        <f>SUM(L153:L155)</f>
        <v>0</v>
      </c>
      <c r="M156" s="197">
        <f t="shared" si="68"/>
        <v>0</v>
      </c>
      <c r="N156" s="196">
        <f>SUM(N153:N155)</f>
        <v>0</v>
      </c>
      <c r="O156" s="196">
        <f>SUM(O153:O155)</f>
        <v>0</v>
      </c>
      <c r="P156" s="196">
        <f>SUM(P153:P155)</f>
        <v>0</v>
      </c>
      <c r="Q156" s="197">
        <f t="shared" si="69"/>
        <v>0</v>
      </c>
      <c r="R156" s="196">
        <f>SUM(R153:R155)</f>
        <v>0</v>
      </c>
      <c r="S156" s="196">
        <f>SUM(S153:S155)</f>
        <v>0</v>
      </c>
      <c r="T156" s="196">
        <f>SUM(T153:T155)</f>
        <v>0</v>
      </c>
      <c r="U156" s="197">
        <f t="shared" si="70"/>
        <v>0</v>
      </c>
      <c r="V156" s="196">
        <f>SUM(V153:V155)</f>
        <v>0</v>
      </c>
      <c r="W156" s="196">
        <f>SUM(W153:W155)</f>
        <v>0</v>
      </c>
      <c r="X156" s="196">
        <f>SUM(X153:X155)</f>
        <v>0</v>
      </c>
      <c r="Y156" s="197">
        <f t="shared" si="71"/>
        <v>0</v>
      </c>
    </row>
    <row r="157" spans="1:25" ht="12.75" hidden="1" customHeight="1" outlineLevel="1" x14ac:dyDescent="0.2">
      <c r="A157" s="191" t="str">
        <f>"   "&amp;Labels!C320</f>
        <v xml:space="preserve">   Total</v>
      </c>
      <c r="B157" s="192">
        <f>SUM(B151,B156)</f>
        <v>0</v>
      </c>
      <c r="C157" s="192">
        <f>SUM(C151,C156)</f>
        <v>0</v>
      </c>
      <c r="D157" s="192">
        <f>SUM(D151,D156)</f>
        <v>0</v>
      </c>
      <c r="E157" s="190">
        <f t="shared" si="66"/>
        <v>0</v>
      </c>
      <c r="F157" s="192">
        <f>SUM(F151,F156)</f>
        <v>0</v>
      </c>
      <c r="G157" s="192">
        <f>SUM(G151,G156)</f>
        <v>0</v>
      </c>
      <c r="H157" s="192">
        <f>SUM(H151,H156)</f>
        <v>0</v>
      </c>
      <c r="I157" s="190">
        <f t="shared" si="67"/>
        <v>0</v>
      </c>
      <c r="J157" s="192">
        <f>SUM(J151,J156)</f>
        <v>0</v>
      </c>
      <c r="K157" s="192">
        <f>SUM(K151,K156)</f>
        <v>0</v>
      </c>
      <c r="L157" s="192">
        <f>SUM(L151,L156)</f>
        <v>0</v>
      </c>
      <c r="M157" s="190">
        <f t="shared" si="68"/>
        <v>0</v>
      </c>
      <c r="N157" s="192">
        <f>SUM(N151,N156)</f>
        <v>0</v>
      </c>
      <c r="O157" s="192">
        <f>SUM(O151,O156)</f>
        <v>0</v>
      </c>
      <c r="P157" s="192">
        <f>SUM(P151,P156)</f>
        <v>0</v>
      </c>
      <c r="Q157" s="190">
        <f t="shared" si="69"/>
        <v>0</v>
      </c>
      <c r="R157" s="192">
        <f>SUM(R151,R156)</f>
        <v>0</v>
      </c>
      <c r="S157" s="192">
        <f>SUM(S151,S156)</f>
        <v>0</v>
      </c>
      <c r="T157" s="192">
        <f>SUM(T151,T156)</f>
        <v>0</v>
      </c>
      <c r="U157" s="190">
        <f t="shared" si="70"/>
        <v>0</v>
      </c>
      <c r="V157" s="192">
        <f>SUM(V151,V156)</f>
        <v>0</v>
      </c>
      <c r="W157" s="192">
        <f>SUM(W151,W156)</f>
        <v>0</v>
      </c>
      <c r="X157" s="192">
        <f>SUM(X151,X156)</f>
        <v>0</v>
      </c>
      <c r="Y157" s="190">
        <f t="shared" si="71"/>
        <v>0</v>
      </c>
    </row>
    <row r="158" spans="1:25" ht="12.75" hidden="1" customHeight="1" outlineLevel="1" x14ac:dyDescent="0.2">
      <c r="A158" s="198" t="str">
        <f>"      "&amp;Labels!B330</f>
        <v xml:space="preserve">      Supplies</v>
      </c>
      <c r="B158" s="226">
        <f t="shared" ref="B158:D161" si="72">SUM(B148,B153)</f>
        <v>0</v>
      </c>
      <c r="C158" s="226">
        <f t="shared" si="72"/>
        <v>0</v>
      </c>
      <c r="D158" s="226">
        <f t="shared" si="72"/>
        <v>0</v>
      </c>
      <c r="E158" s="227">
        <f t="shared" si="66"/>
        <v>0</v>
      </c>
      <c r="F158" s="226">
        <f t="shared" ref="F158:H161" si="73">SUM(F148,F153)</f>
        <v>0</v>
      </c>
      <c r="G158" s="226">
        <f t="shared" si="73"/>
        <v>0</v>
      </c>
      <c r="H158" s="226">
        <f t="shared" si="73"/>
        <v>0</v>
      </c>
      <c r="I158" s="227">
        <f t="shared" si="67"/>
        <v>0</v>
      </c>
      <c r="J158" s="226">
        <f t="shared" ref="J158:L161" si="74">SUM(J148,J153)</f>
        <v>0</v>
      </c>
      <c r="K158" s="226">
        <f t="shared" si="74"/>
        <v>0</v>
      </c>
      <c r="L158" s="226">
        <f t="shared" si="74"/>
        <v>0</v>
      </c>
      <c r="M158" s="227">
        <f t="shared" si="68"/>
        <v>0</v>
      </c>
      <c r="N158" s="226">
        <f t="shared" ref="N158:P161" si="75">SUM(N148,N153)</f>
        <v>0</v>
      </c>
      <c r="O158" s="226">
        <f t="shared" si="75"/>
        <v>0</v>
      </c>
      <c r="P158" s="226">
        <f t="shared" si="75"/>
        <v>0</v>
      </c>
      <c r="Q158" s="227">
        <f t="shared" si="69"/>
        <v>0</v>
      </c>
      <c r="R158" s="226">
        <f t="shared" ref="R158:T161" si="76">SUM(R148,R153)</f>
        <v>0</v>
      </c>
      <c r="S158" s="226">
        <f t="shared" si="76"/>
        <v>0</v>
      </c>
      <c r="T158" s="226">
        <f t="shared" si="76"/>
        <v>0</v>
      </c>
      <c r="U158" s="227">
        <f t="shared" si="70"/>
        <v>0</v>
      </c>
      <c r="V158" s="226">
        <f t="shared" ref="V158:X161" si="77">SUM(V148,V153)</f>
        <v>0</v>
      </c>
      <c r="W158" s="226">
        <f t="shared" si="77"/>
        <v>0</v>
      </c>
      <c r="X158" s="226">
        <f t="shared" si="77"/>
        <v>0</v>
      </c>
      <c r="Y158" s="227">
        <f t="shared" si="71"/>
        <v>0</v>
      </c>
    </row>
    <row r="159" spans="1:25" ht="12.75" hidden="1" customHeight="1" outlineLevel="1" x14ac:dyDescent="0.2">
      <c r="A159" s="198" t="str">
        <f>"      "&amp;Labels!B331</f>
        <v xml:space="preserve">      Travel Entertain</v>
      </c>
      <c r="B159" s="226">
        <f t="shared" si="72"/>
        <v>0</v>
      </c>
      <c r="C159" s="226">
        <f t="shared" si="72"/>
        <v>0</v>
      </c>
      <c r="D159" s="226">
        <f t="shared" si="72"/>
        <v>0</v>
      </c>
      <c r="E159" s="227">
        <f t="shared" si="66"/>
        <v>0</v>
      </c>
      <c r="F159" s="226">
        <f t="shared" si="73"/>
        <v>0</v>
      </c>
      <c r="G159" s="226">
        <f t="shared" si="73"/>
        <v>0</v>
      </c>
      <c r="H159" s="226">
        <f t="shared" si="73"/>
        <v>0</v>
      </c>
      <c r="I159" s="227">
        <f t="shared" si="67"/>
        <v>0</v>
      </c>
      <c r="J159" s="226">
        <f t="shared" si="74"/>
        <v>0</v>
      </c>
      <c r="K159" s="226">
        <f t="shared" si="74"/>
        <v>0</v>
      </c>
      <c r="L159" s="226">
        <f t="shared" si="74"/>
        <v>0</v>
      </c>
      <c r="M159" s="227">
        <f t="shared" si="68"/>
        <v>0</v>
      </c>
      <c r="N159" s="226">
        <f t="shared" si="75"/>
        <v>0</v>
      </c>
      <c r="O159" s="226">
        <f t="shared" si="75"/>
        <v>0</v>
      </c>
      <c r="P159" s="226">
        <f t="shared" si="75"/>
        <v>0</v>
      </c>
      <c r="Q159" s="227">
        <f t="shared" si="69"/>
        <v>0</v>
      </c>
      <c r="R159" s="226">
        <f t="shared" si="76"/>
        <v>0</v>
      </c>
      <c r="S159" s="226">
        <f t="shared" si="76"/>
        <v>0</v>
      </c>
      <c r="T159" s="226">
        <f t="shared" si="76"/>
        <v>0</v>
      </c>
      <c r="U159" s="227">
        <f t="shared" si="70"/>
        <v>0</v>
      </c>
      <c r="V159" s="226">
        <f t="shared" si="77"/>
        <v>0</v>
      </c>
      <c r="W159" s="226">
        <f t="shared" si="77"/>
        <v>0</v>
      </c>
      <c r="X159" s="226">
        <f t="shared" si="77"/>
        <v>0</v>
      </c>
      <c r="Y159" s="227">
        <f t="shared" si="71"/>
        <v>0</v>
      </c>
    </row>
    <row r="160" spans="1:25" ht="12.75" hidden="1" customHeight="1" outlineLevel="1" x14ac:dyDescent="0.2">
      <c r="A160" s="198" t="str">
        <f>"      "&amp;Labels!B332</f>
        <v xml:space="preserve">      Other</v>
      </c>
      <c r="B160" s="226">
        <f t="shared" si="72"/>
        <v>0</v>
      </c>
      <c r="C160" s="226">
        <f t="shared" si="72"/>
        <v>0</v>
      </c>
      <c r="D160" s="226">
        <f t="shared" si="72"/>
        <v>0</v>
      </c>
      <c r="E160" s="227">
        <f t="shared" si="66"/>
        <v>0</v>
      </c>
      <c r="F160" s="226">
        <f t="shared" si="73"/>
        <v>0</v>
      </c>
      <c r="G160" s="226">
        <f t="shared" si="73"/>
        <v>0</v>
      </c>
      <c r="H160" s="226">
        <f t="shared" si="73"/>
        <v>0</v>
      </c>
      <c r="I160" s="227">
        <f t="shared" si="67"/>
        <v>0</v>
      </c>
      <c r="J160" s="226">
        <f t="shared" si="74"/>
        <v>0</v>
      </c>
      <c r="K160" s="226">
        <f t="shared" si="74"/>
        <v>0</v>
      </c>
      <c r="L160" s="226">
        <f t="shared" si="74"/>
        <v>0</v>
      </c>
      <c r="M160" s="227">
        <f t="shared" si="68"/>
        <v>0</v>
      </c>
      <c r="N160" s="226">
        <f t="shared" si="75"/>
        <v>0</v>
      </c>
      <c r="O160" s="226">
        <f t="shared" si="75"/>
        <v>0</v>
      </c>
      <c r="P160" s="226">
        <f t="shared" si="75"/>
        <v>0</v>
      </c>
      <c r="Q160" s="227">
        <f t="shared" si="69"/>
        <v>0</v>
      </c>
      <c r="R160" s="226">
        <f t="shared" si="76"/>
        <v>0</v>
      </c>
      <c r="S160" s="226">
        <f t="shared" si="76"/>
        <v>0</v>
      </c>
      <c r="T160" s="226">
        <f t="shared" si="76"/>
        <v>0</v>
      </c>
      <c r="U160" s="227">
        <f t="shared" si="70"/>
        <v>0</v>
      </c>
      <c r="V160" s="226">
        <f t="shared" si="77"/>
        <v>0</v>
      </c>
      <c r="W160" s="226">
        <f t="shared" si="77"/>
        <v>0</v>
      </c>
      <c r="X160" s="226">
        <f t="shared" si="77"/>
        <v>0</v>
      </c>
      <c r="Y160" s="227">
        <f t="shared" si="71"/>
        <v>0</v>
      </c>
    </row>
    <row r="161" spans="1:25" ht="12.75" hidden="1" customHeight="1" outlineLevel="1" x14ac:dyDescent="0.2">
      <c r="A161" s="188" t="str">
        <f>"      "&amp;Labels!C329</f>
        <v xml:space="preserve">      Total</v>
      </c>
      <c r="B161" s="196">
        <f t="shared" si="72"/>
        <v>0</v>
      </c>
      <c r="C161" s="196">
        <f t="shared" si="72"/>
        <v>0</v>
      </c>
      <c r="D161" s="196">
        <f t="shared" si="72"/>
        <v>0</v>
      </c>
      <c r="E161" s="197">
        <f>SUM(B157:D157)</f>
        <v>0</v>
      </c>
      <c r="F161" s="196">
        <f t="shared" si="73"/>
        <v>0</v>
      </c>
      <c r="G161" s="196">
        <f t="shared" si="73"/>
        <v>0</v>
      </c>
      <c r="H161" s="196">
        <f t="shared" si="73"/>
        <v>0</v>
      </c>
      <c r="I161" s="197">
        <f>SUM(F157:H157)</f>
        <v>0</v>
      </c>
      <c r="J161" s="196">
        <f t="shared" si="74"/>
        <v>0</v>
      </c>
      <c r="K161" s="196">
        <f t="shared" si="74"/>
        <v>0</v>
      </c>
      <c r="L161" s="196">
        <f t="shared" si="74"/>
        <v>0</v>
      </c>
      <c r="M161" s="197">
        <f>SUM(J157:L157)</f>
        <v>0</v>
      </c>
      <c r="N161" s="196">
        <f t="shared" si="75"/>
        <v>0</v>
      </c>
      <c r="O161" s="196">
        <f t="shared" si="75"/>
        <v>0</v>
      </c>
      <c r="P161" s="196">
        <f t="shared" si="75"/>
        <v>0</v>
      </c>
      <c r="Q161" s="197">
        <f>SUM(N157:P157)</f>
        <v>0</v>
      </c>
      <c r="R161" s="196">
        <f t="shared" si="76"/>
        <v>0</v>
      </c>
      <c r="S161" s="196">
        <f t="shared" si="76"/>
        <v>0</v>
      </c>
      <c r="T161" s="196">
        <f t="shared" si="76"/>
        <v>0</v>
      </c>
      <c r="U161" s="197">
        <f>SUM(R157:T157)</f>
        <v>0</v>
      </c>
      <c r="V161" s="196">
        <f t="shared" si="77"/>
        <v>0</v>
      </c>
      <c r="W161" s="196">
        <f t="shared" si="77"/>
        <v>0</v>
      </c>
      <c r="X161" s="196">
        <f t="shared" si="77"/>
        <v>0</v>
      </c>
      <c r="Y161" s="197">
        <f>SUM(V157:X157)</f>
        <v>0</v>
      </c>
    </row>
    <row r="162" spans="1:25" ht="12.75" hidden="1" customHeight="1" outlineLevel="1" x14ac:dyDescent="0.2">
      <c r="A162" s="97"/>
      <c r="B162" s="6"/>
      <c r="C162" s="6"/>
      <c r="D162" s="6"/>
      <c r="E162" s="97"/>
      <c r="F162" s="6"/>
      <c r="G162" s="6"/>
      <c r="H162" s="6"/>
      <c r="I162" s="97"/>
      <c r="J162" s="6"/>
      <c r="K162" s="6"/>
      <c r="L162" s="6"/>
      <c r="M162" s="97"/>
      <c r="N162" s="6"/>
      <c r="O162" s="6"/>
      <c r="P162" s="6"/>
      <c r="Q162" s="97"/>
      <c r="R162" s="6"/>
      <c r="S162" s="6"/>
      <c r="T162" s="6"/>
      <c r="U162" s="97"/>
      <c r="V162" s="6"/>
      <c r="W162" s="6"/>
      <c r="X162" s="6"/>
      <c r="Y162" s="97"/>
    </row>
    <row r="163" spans="1:25" ht="12.75" hidden="1" customHeight="1" outlineLevel="1" x14ac:dyDescent="0.2">
      <c r="A163" s="191" t="str">
        <f>Labels!B97</f>
        <v>Gen &amp; Admin Exp</v>
      </c>
      <c r="B163" s="192"/>
      <c r="C163" s="192"/>
      <c r="D163" s="192"/>
      <c r="E163" s="190"/>
      <c r="F163" s="192"/>
      <c r="G163" s="192"/>
      <c r="H163" s="192"/>
      <c r="I163" s="190"/>
      <c r="J163" s="192"/>
      <c r="K163" s="192"/>
      <c r="L163" s="192"/>
      <c r="M163" s="190"/>
      <c r="N163" s="192"/>
      <c r="O163" s="192"/>
      <c r="P163" s="192"/>
      <c r="Q163" s="190"/>
      <c r="R163" s="192"/>
      <c r="S163" s="192"/>
      <c r="T163" s="192"/>
      <c r="U163" s="190"/>
      <c r="V163" s="192"/>
      <c r="W163" s="192"/>
      <c r="X163" s="192"/>
      <c r="Y163" s="190"/>
    </row>
    <row r="164" spans="1:25" ht="12.75" hidden="1" customHeight="1" outlineLevel="1" x14ac:dyDescent="0.2">
      <c r="A164" s="188" t="str">
        <f>"   "&amp;Labels!B321</f>
        <v xml:space="preserve">   Marketing</v>
      </c>
      <c r="B164" s="196"/>
      <c r="C164" s="196"/>
      <c r="D164" s="196"/>
      <c r="E164" s="197"/>
      <c r="F164" s="196"/>
      <c r="G164" s="196"/>
      <c r="H164" s="196"/>
      <c r="I164" s="197"/>
      <c r="J164" s="196"/>
      <c r="K164" s="196"/>
      <c r="L164" s="196"/>
      <c r="M164" s="197"/>
      <c r="N164" s="196"/>
      <c r="O164" s="196"/>
      <c r="P164" s="196"/>
      <c r="Q164" s="197"/>
      <c r="R164" s="196"/>
      <c r="S164" s="196"/>
      <c r="T164" s="196"/>
      <c r="U164" s="197"/>
      <c r="V164" s="196"/>
      <c r="W164" s="196"/>
      <c r="X164" s="196"/>
      <c r="Y164" s="197"/>
    </row>
    <row r="165" spans="1:25" ht="12.75" hidden="1" customHeight="1" outlineLevel="1" x14ac:dyDescent="0.2">
      <c r="A165" s="198" t="str">
        <f>"      "&amp;Labels!B353</f>
        <v xml:space="preserve">      GA Exp 1</v>
      </c>
      <c r="B165" s="226">
        <f>IF(AND(TRUE,Labels!B353="Recruiting"),B211+IF(Labels!B321="Admin",B199,0),Inputs!F313/12+Inputs!G313*'(Compute)'!B456^Inputs!H313/12)</f>
        <v>0</v>
      </c>
      <c r="C165" s="226">
        <f>IF(AND(TRUE,Labels!B353="Recruiting"),C211+IF(Labels!B321="Admin",C199,0),Inputs!F313/12+Inputs!G313*'(Compute)'!C456^Inputs!H313/12)</f>
        <v>0</v>
      </c>
      <c r="D165" s="226">
        <f>IF(AND(TRUE,Labels!B353="Recruiting"),D211+IF(Labels!B321="Admin",D199,0),Inputs!F313/12+Inputs!G313*'(Compute)'!D456^Inputs!H313/12)</f>
        <v>0</v>
      </c>
      <c r="E165" s="227">
        <f>SUM(B165:D165)</f>
        <v>0</v>
      </c>
      <c r="F165" s="226">
        <f>IF(AND(TRUE,Labels!B353="Recruiting"),F211+IF(Labels!B321="Admin",F199,0),Inputs!F313/12+Inputs!G313*'(Compute)'!E456^Inputs!H313/12)</f>
        <v>0</v>
      </c>
      <c r="G165" s="226">
        <f>IF(AND(TRUE,Labels!B353="Recruiting"),G211+IF(Labels!B321="Admin",G199,0),Inputs!F313/12+Inputs!G313*'(Compute)'!F456^Inputs!H313/12)</f>
        <v>0</v>
      </c>
      <c r="H165" s="226">
        <f>IF(AND(TRUE,Labels!B353="Recruiting"),H211+IF(Labels!B321="Admin",H199,0),Inputs!F313/12+Inputs!G313*'(Compute)'!G456^Inputs!H313/12)</f>
        <v>0</v>
      </c>
      <c r="I165" s="227">
        <f>SUM(F165:H165)</f>
        <v>0</v>
      </c>
      <c r="J165" s="226">
        <f>IF(AND(TRUE,Labels!B353="Recruiting"),J211+IF(Labels!B321="Admin",J199,0),Inputs!F313/12+Inputs!G313*'(Compute)'!H456^Inputs!H313/12)</f>
        <v>0</v>
      </c>
      <c r="K165" s="226">
        <f>IF(AND(TRUE,Labels!B353="Recruiting"),K211+IF(Labels!B321="Admin",K199,0),Inputs!F313/12+Inputs!G313*'(Compute)'!I456^Inputs!H313/12)</f>
        <v>0</v>
      </c>
      <c r="L165" s="226">
        <f>IF(AND(TRUE,Labels!B353="Recruiting"),L211+IF(Labels!B321="Admin",L199,0),Inputs!F313/12+Inputs!G313*'(Compute)'!J456^Inputs!H313/12)</f>
        <v>0</v>
      </c>
      <c r="M165" s="227">
        <f>SUM(J165:L165)</f>
        <v>0</v>
      </c>
      <c r="N165" s="226">
        <f>IF(AND(TRUE,Labels!B353="Recruiting"),N211+IF(Labels!B321="Admin",N199,0),Inputs!F313/12+Inputs!G313*'(Compute)'!K456^Inputs!H313/12)</f>
        <v>0</v>
      </c>
      <c r="O165" s="226">
        <f>IF(AND(TRUE,Labels!B353="Recruiting"),O211+IF(Labels!B321="Admin",O199,0),Inputs!F313/12+Inputs!G313*'(Compute)'!L456^Inputs!H313/12)</f>
        <v>0</v>
      </c>
      <c r="P165" s="226">
        <f>IF(AND(TRUE,Labels!B353="Recruiting"),P211+IF(Labels!B321="Admin",P199,0),Inputs!F313/12+Inputs!G313*'(Compute)'!M456^Inputs!H313/12)</f>
        <v>0</v>
      </c>
      <c r="Q165" s="227">
        <f>SUM(N165:P165)</f>
        <v>0</v>
      </c>
      <c r="R165" s="226">
        <f>IF(AND(TRUE,Labels!B353="Recruiting"),R211+IF(Labels!B321="Admin",R199,0),Inputs!F313/12+Inputs!G313*'(Compute)'!N456^Inputs!H313/12)</f>
        <v>0</v>
      </c>
      <c r="S165" s="226">
        <f>IF(AND(TRUE,Labels!B353="Recruiting"),S211+IF(Labels!B321="Admin",S199,0),Inputs!F313/12+Inputs!G313*'(Compute)'!O456^Inputs!H313/12)</f>
        <v>0</v>
      </c>
      <c r="T165" s="226">
        <f>IF(AND(TRUE,Labels!B353="Recruiting"),T211+IF(Labels!B321="Admin",T199,0),Inputs!F313/12+Inputs!G313*'(Compute)'!P456^Inputs!H313/12)</f>
        <v>0</v>
      </c>
      <c r="U165" s="227">
        <f>SUM(R165:T165)</f>
        <v>0</v>
      </c>
      <c r="V165" s="226">
        <f>IF(AND(TRUE,Labels!B353="Recruiting"),V211+IF(Labels!B321="Admin",V199,0),Inputs!F313/12+Inputs!G313*'(Compute)'!Q456^Inputs!H313/12)</f>
        <v>0</v>
      </c>
      <c r="W165" s="226">
        <f>IF(AND(TRUE,Labels!B353="Recruiting"),W211+IF(Labels!B321="Admin",W199,0),Inputs!F313/12+Inputs!G313*'(Compute)'!R456^Inputs!H313/12)</f>
        <v>0</v>
      </c>
      <c r="X165" s="226">
        <f>IF(AND(TRUE,Labels!B353="Recruiting"),X211+IF(Labels!B321="Admin",X199,0),Inputs!F313/12+Inputs!G313*'(Compute)'!S456^Inputs!H313/12)</f>
        <v>0</v>
      </c>
      <c r="Y165" s="227">
        <f>SUM(V165:X165)</f>
        <v>0</v>
      </c>
    </row>
    <row r="166" spans="1:25" ht="12.75" hidden="1" customHeight="1" outlineLevel="1" x14ac:dyDescent="0.2">
      <c r="A166" s="188" t="str">
        <f>"      "&amp;Labels!C352</f>
        <v xml:space="preserve">      Total</v>
      </c>
      <c r="B166" s="196">
        <f>B165</f>
        <v>0</v>
      </c>
      <c r="C166" s="196">
        <f>C165</f>
        <v>0</v>
      </c>
      <c r="D166" s="196">
        <f>D165</f>
        <v>0</v>
      </c>
      <c r="E166" s="197">
        <f>SUM(B166:D166)</f>
        <v>0</v>
      </c>
      <c r="F166" s="196">
        <f>F165</f>
        <v>0</v>
      </c>
      <c r="G166" s="196">
        <f>G165</f>
        <v>0</v>
      </c>
      <c r="H166" s="196">
        <f>H165</f>
        <v>0</v>
      </c>
      <c r="I166" s="197">
        <f>SUM(F166:H166)</f>
        <v>0</v>
      </c>
      <c r="J166" s="196">
        <f>J165</f>
        <v>0</v>
      </c>
      <c r="K166" s="196">
        <f>K165</f>
        <v>0</v>
      </c>
      <c r="L166" s="196">
        <f>L165</f>
        <v>0</v>
      </c>
      <c r="M166" s="197">
        <f>SUM(J166:L166)</f>
        <v>0</v>
      </c>
      <c r="N166" s="196">
        <f>N165</f>
        <v>0</v>
      </c>
      <c r="O166" s="196">
        <f>O165</f>
        <v>0</v>
      </c>
      <c r="P166" s="196">
        <f>P165</f>
        <v>0</v>
      </c>
      <c r="Q166" s="197">
        <f>SUM(N166:P166)</f>
        <v>0</v>
      </c>
      <c r="R166" s="196">
        <f>R165</f>
        <v>0</v>
      </c>
      <c r="S166" s="196">
        <f>S165</f>
        <v>0</v>
      </c>
      <c r="T166" s="196">
        <f>T165</f>
        <v>0</v>
      </c>
      <c r="U166" s="197">
        <f>SUM(R166:T166)</f>
        <v>0</v>
      </c>
      <c r="V166" s="196">
        <f>V165</f>
        <v>0</v>
      </c>
      <c r="W166" s="196">
        <f>W165</f>
        <v>0</v>
      </c>
      <c r="X166" s="196">
        <f>X165</f>
        <v>0</v>
      </c>
      <c r="Y166" s="197">
        <f>SUM(V166:X166)</f>
        <v>0</v>
      </c>
    </row>
    <row r="167" spans="1:25" ht="12.75" hidden="1" customHeight="1" outlineLevel="1" x14ac:dyDescent="0.2">
      <c r="A167" s="188" t="str">
        <f>"   "&amp;Labels!B322</f>
        <v xml:space="preserve">   Sales</v>
      </c>
      <c r="B167" s="196"/>
      <c r="C167" s="196"/>
      <c r="D167" s="196"/>
      <c r="E167" s="197"/>
      <c r="F167" s="196"/>
      <c r="G167" s="196"/>
      <c r="H167" s="196"/>
      <c r="I167" s="197"/>
      <c r="J167" s="196"/>
      <c r="K167" s="196"/>
      <c r="L167" s="196"/>
      <c r="M167" s="197"/>
      <c r="N167" s="196"/>
      <c r="O167" s="196"/>
      <c r="P167" s="196"/>
      <c r="Q167" s="197"/>
      <c r="R167" s="196"/>
      <c r="S167" s="196"/>
      <c r="T167" s="196"/>
      <c r="U167" s="197"/>
      <c r="V167" s="196"/>
      <c r="W167" s="196"/>
      <c r="X167" s="196"/>
      <c r="Y167" s="197"/>
    </row>
    <row r="168" spans="1:25" ht="12.75" hidden="1" customHeight="1" outlineLevel="1" x14ac:dyDescent="0.2">
      <c r="A168" s="198" t="str">
        <f>"      "&amp;Labels!B353</f>
        <v xml:space="preserve">      GA Exp 1</v>
      </c>
      <c r="B168" s="226">
        <f>IF(AND(TRUE,Labels!B353="Recruiting"),B215+IF(Labels!B322="Admin",B199,0),Inputs!F314/12+Inputs!G314*'(Compute)'!B537^Inputs!H314/12)</f>
        <v>0</v>
      </c>
      <c r="C168" s="226">
        <f>IF(AND(TRUE,Labels!B353="Recruiting"),C215+IF(Labels!B322="Admin",C199,0),Inputs!F314/12+Inputs!G314*'(Compute)'!C537^Inputs!H314/12)</f>
        <v>0</v>
      </c>
      <c r="D168" s="226">
        <f>IF(AND(TRUE,Labels!B353="Recruiting"),D215+IF(Labels!B322="Admin",D199,0),Inputs!F314/12+Inputs!G314*'(Compute)'!D537^Inputs!H314/12)</f>
        <v>0</v>
      </c>
      <c r="E168" s="227">
        <f>SUM(B168:D168)</f>
        <v>0</v>
      </c>
      <c r="F168" s="226">
        <f>IF(AND(TRUE,Labels!B353="Recruiting"),F215+IF(Labels!B322="Admin",F199,0),Inputs!F314/12+Inputs!G314*'(Compute)'!E537^Inputs!H314/12)</f>
        <v>0</v>
      </c>
      <c r="G168" s="226">
        <f>IF(AND(TRUE,Labels!B353="Recruiting"),G215+IF(Labels!B322="Admin",G199,0),Inputs!F314/12+Inputs!G314*'(Compute)'!F537^Inputs!H314/12)</f>
        <v>0</v>
      </c>
      <c r="H168" s="226">
        <f>IF(AND(TRUE,Labels!B353="Recruiting"),H215+IF(Labels!B322="Admin",H199,0),Inputs!F314/12+Inputs!G314*'(Compute)'!G537^Inputs!H314/12)</f>
        <v>0</v>
      </c>
      <c r="I168" s="227">
        <f>SUM(F168:H168)</f>
        <v>0</v>
      </c>
      <c r="J168" s="226">
        <f>IF(AND(TRUE,Labels!B353="Recruiting"),J215+IF(Labels!B322="Admin",J199,0),Inputs!F314/12+Inputs!G314*'(Compute)'!H537^Inputs!H314/12)</f>
        <v>0</v>
      </c>
      <c r="K168" s="226">
        <f>IF(AND(TRUE,Labels!B353="Recruiting"),K215+IF(Labels!B322="Admin",K199,0),Inputs!F314/12+Inputs!G314*'(Compute)'!I537^Inputs!H314/12)</f>
        <v>0</v>
      </c>
      <c r="L168" s="226">
        <f>IF(AND(TRUE,Labels!B353="Recruiting"),L215+IF(Labels!B322="Admin",L199,0),Inputs!F314/12+Inputs!G314*'(Compute)'!J537^Inputs!H314/12)</f>
        <v>0</v>
      </c>
      <c r="M168" s="227">
        <f>SUM(J168:L168)</f>
        <v>0</v>
      </c>
      <c r="N168" s="226">
        <f>IF(AND(TRUE,Labels!B353="Recruiting"),N215+IF(Labels!B322="Admin",N199,0),Inputs!F314/12+Inputs!G314*'(Compute)'!K537^Inputs!H314/12)</f>
        <v>0</v>
      </c>
      <c r="O168" s="226">
        <f>IF(AND(TRUE,Labels!B353="Recruiting"),O215+IF(Labels!B322="Admin",O199,0),Inputs!F314/12+Inputs!G314*'(Compute)'!L537^Inputs!H314/12)</f>
        <v>0</v>
      </c>
      <c r="P168" s="226">
        <f>IF(AND(TRUE,Labels!B353="Recruiting"),P215+IF(Labels!B322="Admin",P199,0),Inputs!F314/12+Inputs!G314*'(Compute)'!M537^Inputs!H314/12)</f>
        <v>0</v>
      </c>
      <c r="Q168" s="227">
        <f>SUM(N168:P168)</f>
        <v>0</v>
      </c>
      <c r="R168" s="226">
        <f>IF(AND(TRUE,Labels!B353="Recruiting"),R215+IF(Labels!B322="Admin",R199,0),Inputs!F314/12+Inputs!G314*'(Compute)'!N537^Inputs!H314/12)</f>
        <v>0</v>
      </c>
      <c r="S168" s="226">
        <f>IF(AND(TRUE,Labels!B353="Recruiting"),S215+IF(Labels!B322="Admin",S199,0),Inputs!F314/12+Inputs!G314*'(Compute)'!O537^Inputs!H314/12)</f>
        <v>0</v>
      </c>
      <c r="T168" s="226">
        <f>IF(AND(TRUE,Labels!B353="Recruiting"),T215+IF(Labels!B322="Admin",T199,0),Inputs!F314/12+Inputs!G314*'(Compute)'!P537^Inputs!H314/12)</f>
        <v>0</v>
      </c>
      <c r="U168" s="227">
        <f>SUM(R168:T168)</f>
        <v>0</v>
      </c>
      <c r="V168" s="226">
        <f>IF(AND(TRUE,Labels!B353="Recruiting"),V215+IF(Labels!B322="Admin",V199,0),Inputs!F314/12+Inputs!G314*'(Compute)'!Q537^Inputs!H314/12)</f>
        <v>0</v>
      </c>
      <c r="W168" s="226">
        <f>IF(AND(TRUE,Labels!B353="Recruiting"),W215+IF(Labels!B322="Admin",W199,0),Inputs!F314/12+Inputs!G314*'(Compute)'!R537^Inputs!H314/12)</f>
        <v>0</v>
      </c>
      <c r="X168" s="226">
        <f>IF(AND(TRUE,Labels!B353="Recruiting"),X215+IF(Labels!B322="Admin",X199,0),Inputs!F314/12+Inputs!G314*'(Compute)'!S537^Inputs!H314/12)</f>
        <v>0</v>
      </c>
      <c r="Y168" s="227">
        <f>SUM(V168:X168)</f>
        <v>0</v>
      </c>
    </row>
    <row r="169" spans="1:25" ht="12.75" hidden="1" customHeight="1" outlineLevel="1" x14ac:dyDescent="0.2">
      <c r="A169" s="188" t="str">
        <f>"      "&amp;Labels!C352</f>
        <v xml:space="preserve">      Total</v>
      </c>
      <c r="B169" s="196">
        <f>B168</f>
        <v>0</v>
      </c>
      <c r="C169" s="196">
        <f>C168</f>
        <v>0</v>
      </c>
      <c r="D169" s="196">
        <f>D168</f>
        <v>0</v>
      </c>
      <c r="E169" s="197">
        <f>SUM(B169:D169)</f>
        <v>0</v>
      </c>
      <c r="F169" s="196">
        <f>F168</f>
        <v>0</v>
      </c>
      <c r="G169" s="196">
        <f>G168</f>
        <v>0</v>
      </c>
      <c r="H169" s="196">
        <f>H168</f>
        <v>0</v>
      </c>
      <c r="I169" s="197">
        <f>SUM(F169:H169)</f>
        <v>0</v>
      </c>
      <c r="J169" s="196">
        <f>J168</f>
        <v>0</v>
      </c>
      <c r="K169" s="196">
        <f>K168</f>
        <v>0</v>
      </c>
      <c r="L169" s="196">
        <f>L168</f>
        <v>0</v>
      </c>
      <c r="M169" s="197">
        <f>SUM(J169:L169)</f>
        <v>0</v>
      </c>
      <c r="N169" s="196">
        <f>N168</f>
        <v>0</v>
      </c>
      <c r="O169" s="196">
        <f>O168</f>
        <v>0</v>
      </c>
      <c r="P169" s="196">
        <f>P168</f>
        <v>0</v>
      </c>
      <c r="Q169" s="197">
        <f>SUM(N169:P169)</f>
        <v>0</v>
      </c>
      <c r="R169" s="196">
        <f>R168</f>
        <v>0</v>
      </c>
      <c r="S169" s="196">
        <f>S168</f>
        <v>0</v>
      </c>
      <c r="T169" s="196">
        <f>T168</f>
        <v>0</v>
      </c>
      <c r="U169" s="197">
        <f>SUM(R169:T169)</f>
        <v>0</v>
      </c>
      <c r="V169" s="196">
        <f>V168</f>
        <v>0</v>
      </c>
      <c r="W169" s="196">
        <f>W168</f>
        <v>0</v>
      </c>
      <c r="X169" s="196">
        <f>X168</f>
        <v>0</v>
      </c>
      <c r="Y169" s="197">
        <f>SUM(V169:X169)</f>
        <v>0</v>
      </c>
    </row>
    <row r="170" spans="1:25" ht="12.75" hidden="1" customHeight="1" outlineLevel="1" x14ac:dyDescent="0.2">
      <c r="A170" s="191" t="str">
        <f>"   "&amp;Labels!C320</f>
        <v xml:space="preserve">   Total</v>
      </c>
      <c r="B170" s="192">
        <f>SUM(B166,B169)</f>
        <v>0</v>
      </c>
      <c r="C170" s="192">
        <f>SUM(C166,C169)</f>
        <v>0</v>
      </c>
      <c r="D170" s="192">
        <f>SUM(D166,D169)</f>
        <v>0</v>
      </c>
      <c r="E170" s="190">
        <f>SUM(B170:D170)</f>
        <v>0</v>
      </c>
      <c r="F170" s="192">
        <f>SUM(F166,F169)</f>
        <v>0</v>
      </c>
      <c r="G170" s="192">
        <f>SUM(G166,G169)</f>
        <v>0</v>
      </c>
      <c r="H170" s="192">
        <f>SUM(H166,H169)</f>
        <v>0</v>
      </c>
      <c r="I170" s="190">
        <f>SUM(F170:H170)</f>
        <v>0</v>
      </c>
      <c r="J170" s="192">
        <f>SUM(J166,J169)</f>
        <v>0</v>
      </c>
      <c r="K170" s="192">
        <f>SUM(K166,K169)</f>
        <v>0</v>
      </c>
      <c r="L170" s="192">
        <f>SUM(L166,L169)</f>
        <v>0</v>
      </c>
      <c r="M170" s="190">
        <f>SUM(J170:L170)</f>
        <v>0</v>
      </c>
      <c r="N170" s="192">
        <f>SUM(N166,N169)</f>
        <v>0</v>
      </c>
      <c r="O170" s="192">
        <f>SUM(O166,O169)</f>
        <v>0</v>
      </c>
      <c r="P170" s="192">
        <f>SUM(P166,P169)</f>
        <v>0</v>
      </c>
      <c r="Q170" s="190">
        <f>SUM(N170:P170)</f>
        <v>0</v>
      </c>
      <c r="R170" s="192">
        <f>SUM(R166,R169)</f>
        <v>0</v>
      </c>
      <c r="S170" s="192">
        <f>SUM(S166,S169)</f>
        <v>0</v>
      </c>
      <c r="T170" s="192">
        <f>SUM(T166,T169)</f>
        <v>0</v>
      </c>
      <c r="U170" s="190">
        <f>SUM(R170:T170)</f>
        <v>0</v>
      </c>
      <c r="V170" s="192">
        <f>SUM(V166,V169)</f>
        <v>0</v>
      </c>
      <c r="W170" s="192">
        <f>SUM(W166,W169)</f>
        <v>0</v>
      </c>
      <c r="X170" s="192">
        <f>SUM(X166,X169)</f>
        <v>0</v>
      </c>
      <c r="Y170" s="190">
        <f>SUM(V170:X170)</f>
        <v>0</v>
      </c>
    </row>
    <row r="171" spans="1:25" ht="12.75" hidden="1" customHeight="1" outlineLevel="1" x14ac:dyDescent="0.2">
      <c r="A171" s="198" t="str">
        <f>"      "&amp;Labels!B353</f>
        <v xml:space="preserve">      GA Exp 1</v>
      </c>
      <c r="B171" s="226">
        <f t="shared" ref="B171:D172" si="78">SUM(B165,B168)</f>
        <v>0</v>
      </c>
      <c r="C171" s="226">
        <f t="shared" si="78"/>
        <v>0</v>
      </c>
      <c r="D171" s="226">
        <f t="shared" si="78"/>
        <v>0</v>
      </c>
      <c r="E171" s="227">
        <f>SUM(B171:D171)</f>
        <v>0</v>
      </c>
      <c r="F171" s="226">
        <f t="shared" ref="F171:H172" si="79">SUM(F165,F168)</f>
        <v>0</v>
      </c>
      <c r="G171" s="226">
        <f t="shared" si="79"/>
        <v>0</v>
      </c>
      <c r="H171" s="226">
        <f t="shared" si="79"/>
        <v>0</v>
      </c>
      <c r="I171" s="227">
        <f>SUM(F171:H171)</f>
        <v>0</v>
      </c>
      <c r="J171" s="226">
        <f t="shared" ref="J171:L172" si="80">SUM(J165,J168)</f>
        <v>0</v>
      </c>
      <c r="K171" s="226">
        <f t="shared" si="80"/>
        <v>0</v>
      </c>
      <c r="L171" s="226">
        <f t="shared" si="80"/>
        <v>0</v>
      </c>
      <c r="M171" s="227">
        <f>SUM(J171:L171)</f>
        <v>0</v>
      </c>
      <c r="N171" s="226">
        <f t="shared" ref="N171:P172" si="81">SUM(N165,N168)</f>
        <v>0</v>
      </c>
      <c r="O171" s="226">
        <f t="shared" si="81"/>
        <v>0</v>
      </c>
      <c r="P171" s="226">
        <f t="shared" si="81"/>
        <v>0</v>
      </c>
      <c r="Q171" s="227">
        <f>SUM(N171:P171)</f>
        <v>0</v>
      </c>
      <c r="R171" s="226">
        <f t="shared" ref="R171:T172" si="82">SUM(R165,R168)</f>
        <v>0</v>
      </c>
      <c r="S171" s="226">
        <f t="shared" si="82"/>
        <v>0</v>
      </c>
      <c r="T171" s="226">
        <f t="shared" si="82"/>
        <v>0</v>
      </c>
      <c r="U171" s="227">
        <f>SUM(R171:T171)</f>
        <v>0</v>
      </c>
      <c r="V171" s="226">
        <f t="shared" ref="V171:X172" si="83">SUM(V165,V168)</f>
        <v>0</v>
      </c>
      <c r="W171" s="226">
        <f t="shared" si="83"/>
        <v>0</v>
      </c>
      <c r="X171" s="226">
        <f t="shared" si="83"/>
        <v>0</v>
      </c>
      <c r="Y171" s="227">
        <f>SUM(V171:X171)</f>
        <v>0</v>
      </c>
    </row>
    <row r="172" spans="1:25" ht="12.75" hidden="1" customHeight="1" outlineLevel="1" x14ac:dyDescent="0.2">
      <c r="A172" s="188" t="str">
        <f>"      "&amp;Labels!C352</f>
        <v xml:space="preserve">      Total</v>
      </c>
      <c r="B172" s="196">
        <f t="shared" si="78"/>
        <v>0</v>
      </c>
      <c r="C172" s="196">
        <f t="shared" si="78"/>
        <v>0</v>
      </c>
      <c r="D172" s="196">
        <f t="shared" si="78"/>
        <v>0</v>
      </c>
      <c r="E172" s="197">
        <f>SUM(B170:D170)</f>
        <v>0</v>
      </c>
      <c r="F172" s="196">
        <f t="shared" si="79"/>
        <v>0</v>
      </c>
      <c r="G172" s="196">
        <f t="shared" si="79"/>
        <v>0</v>
      </c>
      <c r="H172" s="196">
        <f t="shared" si="79"/>
        <v>0</v>
      </c>
      <c r="I172" s="197">
        <f>SUM(F170:H170)</f>
        <v>0</v>
      </c>
      <c r="J172" s="196">
        <f t="shared" si="80"/>
        <v>0</v>
      </c>
      <c r="K172" s="196">
        <f t="shared" si="80"/>
        <v>0</v>
      </c>
      <c r="L172" s="196">
        <f t="shared" si="80"/>
        <v>0</v>
      </c>
      <c r="M172" s="197">
        <f>SUM(J170:L170)</f>
        <v>0</v>
      </c>
      <c r="N172" s="196">
        <f t="shared" si="81"/>
        <v>0</v>
      </c>
      <c r="O172" s="196">
        <f t="shared" si="81"/>
        <v>0</v>
      </c>
      <c r="P172" s="196">
        <f t="shared" si="81"/>
        <v>0</v>
      </c>
      <c r="Q172" s="197">
        <f>SUM(N170:P170)</f>
        <v>0</v>
      </c>
      <c r="R172" s="196">
        <f t="shared" si="82"/>
        <v>0</v>
      </c>
      <c r="S172" s="196">
        <f t="shared" si="82"/>
        <v>0</v>
      </c>
      <c r="T172" s="196">
        <f t="shared" si="82"/>
        <v>0</v>
      </c>
      <c r="U172" s="197">
        <f>SUM(R170:T170)</f>
        <v>0</v>
      </c>
      <c r="V172" s="196">
        <f t="shared" si="83"/>
        <v>0</v>
      </c>
      <c r="W172" s="196">
        <f t="shared" si="83"/>
        <v>0</v>
      </c>
      <c r="X172" s="196">
        <f t="shared" si="83"/>
        <v>0</v>
      </c>
      <c r="Y172" s="197">
        <f>SUM(V170:X170)</f>
        <v>0</v>
      </c>
    </row>
    <row r="173" spans="1:25" ht="12.75" hidden="1" customHeight="1" outlineLevel="1" x14ac:dyDescent="0.2">
      <c r="A173" s="97"/>
      <c r="B173" s="6"/>
      <c r="C173" s="6"/>
      <c r="D173" s="6"/>
      <c r="E173" s="97"/>
      <c r="F173" s="6"/>
      <c r="G173" s="6"/>
      <c r="H173" s="6"/>
      <c r="I173" s="97"/>
      <c r="J173" s="6"/>
      <c r="K173" s="6"/>
      <c r="L173" s="6"/>
      <c r="M173" s="97"/>
      <c r="N173" s="6"/>
      <c r="O173" s="6"/>
      <c r="P173" s="6"/>
      <c r="Q173" s="97"/>
      <c r="R173" s="6"/>
      <c r="S173" s="6"/>
      <c r="T173" s="6"/>
      <c r="U173" s="97"/>
      <c r="V173" s="6"/>
      <c r="W173" s="6"/>
      <c r="X173" s="6"/>
      <c r="Y173" s="97"/>
    </row>
    <row r="174" spans="1:25" ht="12.75" hidden="1" customHeight="1" outlineLevel="1" x14ac:dyDescent="0.2">
      <c r="A174" s="191" t="str">
        <f>Labels!B210</f>
        <v>Purchases</v>
      </c>
      <c r="B174" s="192"/>
      <c r="C174" s="192"/>
      <c r="D174" s="192"/>
      <c r="E174" s="190"/>
      <c r="F174" s="192"/>
      <c r="G174" s="192"/>
      <c r="H174" s="192"/>
      <c r="I174" s="190"/>
      <c r="J174" s="192"/>
      <c r="K174" s="192"/>
      <c r="L174" s="192"/>
      <c r="M174" s="190"/>
      <c r="N174" s="192"/>
      <c r="O174" s="192"/>
      <c r="P174" s="192"/>
      <c r="Q174" s="190"/>
      <c r="R174" s="192"/>
      <c r="S174" s="192"/>
      <c r="T174" s="192"/>
      <c r="U174" s="190"/>
      <c r="V174" s="192"/>
      <c r="W174" s="192"/>
      <c r="X174" s="192"/>
      <c r="Y174" s="190"/>
    </row>
    <row r="175" spans="1:25" ht="12.75" hidden="1" customHeight="1" outlineLevel="1" x14ac:dyDescent="0.2">
      <c r="A175" s="188" t="str">
        <f>"   "&amp;Labels!B301</f>
        <v xml:space="preserve">   Vendor Payables</v>
      </c>
      <c r="B175" s="196">
        <f>Practices!B246+B129+B157+CFStmt!B21+B81</f>
        <v>0</v>
      </c>
      <c r="C175" s="196">
        <f>Practices!C246+C129+C157+CFStmt!C21+C81</f>
        <v>0</v>
      </c>
      <c r="D175" s="196">
        <f>Practices!D246+D129+D157+CFStmt!D21+D81</f>
        <v>0</v>
      </c>
      <c r="E175" s="197">
        <f>SUM(B175:D175)</f>
        <v>0</v>
      </c>
      <c r="F175" s="196">
        <f>Practices!F246+F129+F157+CFStmt!F21+F81</f>
        <v>0</v>
      </c>
      <c r="G175" s="196">
        <f>Practices!G246+G129+G157+CFStmt!G21+G81</f>
        <v>0</v>
      </c>
      <c r="H175" s="196">
        <f>Practices!H246+H129+H157+CFStmt!H21+H81</f>
        <v>0</v>
      </c>
      <c r="I175" s="197">
        <f>SUM(F175:H175)</f>
        <v>0</v>
      </c>
      <c r="J175" s="196">
        <f>Practices!J246+J129+J157+CFStmt!J21+J81</f>
        <v>0</v>
      </c>
      <c r="K175" s="196">
        <f>Practices!K246+K129+K157+CFStmt!K21+K81</f>
        <v>0</v>
      </c>
      <c r="L175" s="196">
        <f>Practices!L246+L129+L157+CFStmt!L21+L81</f>
        <v>0</v>
      </c>
      <c r="M175" s="197">
        <f>SUM(J175:L175)</f>
        <v>0</v>
      </c>
      <c r="N175" s="196">
        <f>Practices!N246+N129+N157+CFStmt!N21+N81</f>
        <v>0</v>
      </c>
      <c r="O175" s="196">
        <f>Practices!O246+O129+O157+CFStmt!O21+O81</f>
        <v>0</v>
      </c>
      <c r="P175" s="196">
        <f>Practices!P246+P129+P157+CFStmt!P21+P81</f>
        <v>0</v>
      </c>
      <c r="Q175" s="197">
        <f>SUM(N175:P175)</f>
        <v>0</v>
      </c>
      <c r="R175" s="196">
        <f>Practices!R246+R129+R157+CFStmt!R21+R81</f>
        <v>0</v>
      </c>
      <c r="S175" s="196">
        <f>Practices!S246+S129+S157+CFStmt!S21+S81</f>
        <v>0</v>
      </c>
      <c r="T175" s="196">
        <f>Practices!T246+T129+T157+CFStmt!T21+T81</f>
        <v>0</v>
      </c>
      <c r="U175" s="197">
        <f>SUM(R175:T175)</f>
        <v>0</v>
      </c>
      <c r="V175" s="196">
        <f>Practices!V246+V129+V157+CFStmt!V21+V81</f>
        <v>0</v>
      </c>
      <c r="W175" s="196">
        <f>Practices!W246+W129+W157+CFStmt!W21+W81</f>
        <v>0</v>
      </c>
      <c r="X175" s="196">
        <f>Practices!X246+X129+X157+CFStmt!X21+X81</f>
        <v>0</v>
      </c>
      <c r="Y175" s="197">
        <f>SUM(V175:X175)</f>
        <v>0</v>
      </c>
    </row>
    <row r="176" spans="1:25" ht="12.75" hidden="1" customHeight="1" outlineLevel="1" x14ac:dyDescent="0.2">
      <c r="A176" s="188" t="str">
        <f>"   "&amp;Labels!B302</f>
        <v xml:space="preserve">   Payroll Payables</v>
      </c>
      <c r="B176" s="196">
        <f>Practices!B246+'Sup Staff'!B15</f>
        <v>0</v>
      </c>
      <c r="C176" s="196">
        <f>Practices!C246+'Sup Staff'!C15</f>
        <v>0</v>
      </c>
      <c r="D176" s="196">
        <f>Practices!D246+'Sup Staff'!D15</f>
        <v>0</v>
      </c>
      <c r="E176" s="197">
        <f>SUM(B176:D176)</f>
        <v>0</v>
      </c>
      <c r="F176" s="196">
        <f>Practices!F246+'Sup Staff'!F15</f>
        <v>0</v>
      </c>
      <c r="G176" s="196">
        <f>Practices!G246+'Sup Staff'!G15</f>
        <v>0</v>
      </c>
      <c r="H176" s="196">
        <f>Practices!H246+'Sup Staff'!H15</f>
        <v>0</v>
      </c>
      <c r="I176" s="197">
        <f>SUM(F176:H176)</f>
        <v>0</v>
      </c>
      <c r="J176" s="196">
        <f>Practices!J246+'Sup Staff'!J15</f>
        <v>0</v>
      </c>
      <c r="K176" s="196">
        <f>Practices!K246+'Sup Staff'!K15</f>
        <v>0</v>
      </c>
      <c r="L176" s="196">
        <f>Practices!L246+'Sup Staff'!L15</f>
        <v>0</v>
      </c>
      <c r="M176" s="197">
        <f>SUM(J176:L176)</f>
        <v>0</v>
      </c>
      <c r="N176" s="196">
        <f>Practices!N246+'Sup Staff'!N15</f>
        <v>0</v>
      </c>
      <c r="O176" s="196">
        <f>Practices!O246+'Sup Staff'!O15</f>
        <v>0</v>
      </c>
      <c r="P176" s="196">
        <f>Practices!P246+'Sup Staff'!P15</f>
        <v>0</v>
      </c>
      <c r="Q176" s="197">
        <f>SUM(N176:P176)</f>
        <v>0</v>
      </c>
      <c r="R176" s="196">
        <f>Practices!R246+'Sup Staff'!R15</f>
        <v>0</v>
      </c>
      <c r="S176" s="196">
        <f>Practices!S246+'Sup Staff'!S15</f>
        <v>0</v>
      </c>
      <c r="T176" s="196">
        <f>Practices!T246+'Sup Staff'!T15</f>
        <v>0</v>
      </c>
      <c r="U176" s="197">
        <f>SUM(R176:T176)</f>
        <v>0</v>
      </c>
      <c r="V176" s="196">
        <f>Practices!V246+'Sup Staff'!V15</f>
        <v>0</v>
      </c>
      <c r="W176" s="196">
        <f>Practices!W246+'Sup Staff'!W15</f>
        <v>0</v>
      </c>
      <c r="X176" s="196">
        <f>Practices!X246+'Sup Staff'!X15</f>
        <v>0</v>
      </c>
      <c r="Y176" s="197">
        <f>SUM(V176:X176)</f>
        <v>0</v>
      </c>
    </row>
    <row r="177" spans="1:25" ht="12.75" hidden="1" customHeight="1" outlineLevel="1" x14ac:dyDescent="0.2">
      <c r="A177" s="188" t="str">
        <f>"   "&amp;Labels!B303</f>
        <v xml:space="preserve">   Taxes Payable</v>
      </c>
      <c r="B177" s="196">
        <f>IncStmt!B25</f>
        <v>0</v>
      </c>
      <c r="C177" s="196">
        <f>IncStmt!C25</f>
        <v>0</v>
      </c>
      <c r="D177" s="196">
        <f>IncStmt!D25</f>
        <v>0</v>
      </c>
      <c r="E177" s="197">
        <f>SUM(B177:D177)</f>
        <v>0</v>
      </c>
      <c r="F177" s="196">
        <f>IncStmt!F25</f>
        <v>0</v>
      </c>
      <c r="G177" s="196">
        <f>IncStmt!G25</f>
        <v>0</v>
      </c>
      <c r="H177" s="196">
        <f>IncStmt!H25</f>
        <v>0</v>
      </c>
      <c r="I177" s="197">
        <f>SUM(F177:H177)</f>
        <v>0</v>
      </c>
      <c r="J177" s="196">
        <f>IncStmt!J25</f>
        <v>0</v>
      </c>
      <c r="K177" s="196">
        <f>IncStmt!K25</f>
        <v>0</v>
      </c>
      <c r="L177" s="196">
        <f>IncStmt!L25</f>
        <v>0</v>
      </c>
      <c r="M177" s="197">
        <f>SUM(J177:L177)</f>
        <v>0</v>
      </c>
      <c r="N177" s="196">
        <f>IncStmt!N25</f>
        <v>0</v>
      </c>
      <c r="O177" s="196">
        <f>IncStmt!O25</f>
        <v>0</v>
      </c>
      <c r="P177" s="196">
        <f>IncStmt!P25</f>
        <v>0</v>
      </c>
      <c r="Q177" s="197">
        <f>SUM(N177:P177)</f>
        <v>0</v>
      </c>
      <c r="R177" s="196">
        <f>IncStmt!R25</f>
        <v>0</v>
      </c>
      <c r="S177" s="196">
        <f>IncStmt!S25</f>
        <v>0</v>
      </c>
      <c r="T177" s="196">
        <f>IncStmt!T25</f>
        <v>0</v>
      </c>
      <c r="U177" s="197">
        <f>SUM(R177:T177)</f>
        <v>0</v>
      </c>
      <c r="V177" s="196">
        <f>IncStmt!V25</f>
        <v>0</v>
      </c>
      <c r="W177" s="196">
        <f>IncStmt!W25</f>
        <v>0</v>
      </c>
      <c r="X177" s="196">
        <f>IncStmt!X25</f>
        <v>0</v>
      </c>
      <c r="Y177" s="197">
        <f>SUM(V177:X177)</f>
        <v>0</v>
      </c>
    </row>
    <row r="178" spans="1:25" ht="12.75" hidden="1" customHeight="1" outlineLevel="1" x14ac:dyDescent="0.2">
      <c r="A178" s="185" t="str">
        <f>"   "&amp;Labels!C300</f>
        <v xml:space="preserve">   Total</v>
      </c>
      <c r="B178" s="176">
        <f>SUM(B175:B177)</f>
        <v>0</v>
      </c>
      <c r="C178" s="176">
        <f>SUM(C175:C177)</f>
        <v>0</v>
      </c>
      <c r="D178" s="176">
        <f>SUM(D175:D177)</f>
        <v>0</v>
      </c>
      <c r="E178" s="193">
        <f>SUM(B178:D178)</f>
        <v>0</v>
      </c>
      <c r="F178" s="176">
        <f>SUM(F175:F177)</f>
        <v>0</v>
      </c>
      <c r="G178" s="176">
        <f>SUM(G175:G177)</f>
        <v>0</v>
      </c>
      <c r="H178" s="176">
        <f>SUM(H175:H177)</f>
        <v>0</v>
      </c>
      <c r="I178" s="193">
        <f>SUM(F178:H178)</f>
        <v>0</v>
      </c>
      <c r="J178" s="176">
        <f>SUM(J175:J177)</f>
        <v>0</v>
      </c>
      <c r="K178" s="176">
        <f>SUM(K175:K177)</f>
        <v>0</v>
      </c>
      <c r="L178" s="176">
        <f>SUM(L175:L177)</f>
        <v>0</v>
      </c>
      <c r="M178" s="193">
        <f>SUM(J178:L178)</f>
        <v>0</v>
      </c>
      <c r="N178" s="176">
        <f>SUM(N175:N177)</f>
        <v>0</v>
      </c>
      <c r="O178" s="176">
        <f>SUM(O175:O177)</f>
        <v>0</v>
      </c>
      <c r="P178" s="176">
        <f>SUM(P175:P177)</f>
        <v>0</v>
      </c>
      <c r="Q178" s="193">
        <f>SUM(N178:P178)</f>
        <v>0</v>
      </c>
      <c r="R178" s="176">
        <f>SUM(R175:R177)</f>
        <v>0</v>
      </c>
      <c r="S178" s="176">
        <f>SUM(S175:S177)</f>
        <v>0</v>
      </c>
      <c r="T178" s="176">
        <f>SUM(T175:T177)</f>
        <v>0</v>
      </c>
      <c r="U178" s="193">
        <f>SUM(R178:T178)</f>
        <v>0</v>
      </c>
      <c r="V178" s="176">
        <f>SUM(V175:V177)</f>
        <v>0</v>
      </c>
      <c r="W178" s="176">
        <f>SUM(W175:W177)</f>
        <v>0</v>
      </c>
      <c r="X178" s="176">
        <f>SUM(X175:X177)</f>
        <v>0</v>
      </c>
      <c r="Y178" s="193">
        <f>SUM(V178:X178)</f>
        <v>0</v>
      </c>
    </row>
    <row r="179" spans="1:25" ht="12.75" hidden="1" customHeight="1" outlineLevel="1" x14ac:dyDescent="0.2"/>
    <row r="180" spans="1:25" ht="12.75" hidden="1" customHeight="1" outlineLevel="1" collapsed="1" x14ac:dyDescent="0.2"/>
    <row r="181" spans="1:25" ht="12.75" customHeight="1" collapsed="1" x14ac:dyDescent="0.2"/>
    <row r="182" spans="1:25" ht="12.75" customHeight="1" collapsed="1" x14ac:dyDescent="0.2">
      <c r="A182" s="464" t="str">
        <f>"Recruiting Expense"</f>
        <v>Recruiting Expense</v>
      </c>
      <c r="B182" s="464"/>
    </row>
    <row r="183" spans="1:25" ht="12.75" hidden="1" customHeight="1" outlineLevel="1" x14ac:dyDescent="0.2">
      <c r="A183" s="1" t="str">
        <f>" "</f>
        <v xml:space="preserve"> </v>
      </c>
    </row>
    <row r="184" spans="1:25" ht="12.75" hidden="1" customHeight="1" outlineLevel="1" x14ac:dyDescent="0.2">
      <c r="B184" s="9" t="str">
        <f>'(FnCalls 1)'!F41</f>
        <v>MMM 2010</v>
      </c>
      <c r="C184" s="10" t="str">
        <f>'(FnCalls 1)'!F42</f>
        <v>MMM 2010</v>
      </c>
      <c r="D184" s="10" t="str">
        <f>'(FnCalls 1)'!F43</f>
        <v>MMM 2010</v>
      </c>
      <c r="E184" s="181" t="str">
        <f>'(FnCalls 1)'!G41</f>
        <v>Q1 2010</v>
      </c>
      <c r="F184" s="10" t="str">
        <f>'(FnCalls 1)'!F44</f>
        <v>MMM 2010</v>
      </c>
      <c r="G184" s="10" t="str">
        <f>'(FnCalls 1)'!F45</f>
        <v>MMM 2010</v>
      </c>
      <c r="H184" s="10" t="str">
        <f>'(FnCalls 1)'!F46</f>
        <v>MMM 2010</v>
      </c>
      <c r="I184" s="181" t="str">
        <f>'(FnCalls 1)'!G44</f>
        <v>Q2 2010</v>
      </c>
      <c r="J184" s="10" t="str">
        <f>'(FnCalls 1)'!F47</f>
        <v>MMM 2010</v>
      </c>
      <c r="K184" s="10" t="str">
        <f>'(FnCalls 1)'!F48</f>
        <v>MMM 2010</v>
      </c>
      <c r="L184" s="10" t="str">
        <f>'(FnCalls 1)'!F49</f>
        <v>MMM 2010</v>
      </c>
      <c r="M184" s="181" t="str">
        <f>'(FnCalls 1)'!G47</f>
        <v>Q3 2010</v>
      </c>
      <c r="N184" s="10" t="str">
        <f>'(FnCalls 1)'!F50</f>
        <v>MMM 2010</v>
      </c>
      <c r="O184" s="10" t="str">
        <f>'(FnCalls 1)'!F51</f>
        <v>MMM 2010</v>
      </c>
      <c r="P184" s="10" t="str">
        <f>'(FnCalls 1)'!F52</f>
        <v>MMM 2010</v>
      </c>
      <c r="Q184" s="181" t="str">
        <f>'(FnCalls 1)'!G50</f>
        <v>Q4 2010</v>
      </c>
      <c r="R184" s="10" t="str">
        <f>'(FnCalls 1)'!F53</f>
        <v>MMM 2011</v>
      </c>
      <c r="S184" s="10" t="str">
        <f>'(FnCalls 1)'!F54</f>
        <v>MMM 2011</v>
      </c>
      <c r="T184" s="10" t="str">
        <f>'(FnCalls 1)'!F55</f>
        <v>MMM 2011</v>
      </c>
      <c r="U184" s="181" t="str">
        <f>'(FnCalls 1)'!G53</f>
        <v>Q1 2011</v>
      </c>
      <c r="V184" s="10" t="str">
        <f>'(FnCalls 1)'!F56</f>
        <v>MMM 2011</v>
      </c>
      <c r="W184" s="10" t="str">
        <f>'(FnCalls 1)'!F57</f>
        <v>MMM 2011</v>
      </c>
      <c r="X184" s="10" t="str">
        <f>'(FnCalls 1)'!F58</f>
        <v>MMM 2011</v>
      </c>
      <c r="Y184" s="181" t="str">
        <f>'(FnCalls 1)'!G56</f>
        <v>Q2 2011</v>
      </c>
    </row>
    <row r="185" spans="1:25" ht="12.75" hidden="1" customHeight="1" outlineLevel="1" x14ac:dyDescent="0.2">
      <c r="A185" s="97" t="str">
        <f>Labels!B217</f>
        <v>Recruiting Expense</v>
      </c>
      <c r="B185" s="199">
        <f>B199+B216</f>
        <v>0</v>
      </c>
      <c r="C185" s="199">
        <f>C199+C216</f>
        <v>0</v>
      </c>
      <c r="D185" s="199">
        <f>D199+D216</f>
        <v>0</v>
      </c>
      <c r="E185" s="200">
        <f>SUM(B185:D185)</f>
        <v>0</v>
      </c>
      <c r="F185" s="199">
        <f>F199+F216</f>
        <v>0</v>
      </c>
      <c r="G185" s="199">
        <f>G199+G216</f>
        <v>0</v>
      </c>
      <c r="H185" s="199">
        <f>H199+H216</f>
        <v>0</v>
      </c>
      <c r="I185" s="200">
        <f>SUM(F185:H185)</f>
        <v>0</v>
      </c>
      <c r="J185" s="199">
        <f>J199+J216</f>
        <v>0</v>
      </c>
      <c r="K185" s="199">
        <f>K199+K216</f>
        <v>0</v>
      </c>
      <c r="L185" s="199">
        <f>L199+L216</f>
        <v>0</v>
      </c>
      <c r="M185" s="200">
        <f>SUM(J185:L185)</f>
        <v>0</v>
      </c>
      <c r="N185" s="199">
        <f>N199+N216</f>
        <v>0</v>
      </c>
      <c r="O185" s="199">
        <f>O199+O216</f>
        <v>0</v>
      </c>
      <c r="P185" s="199">
        <f>P199+P216</f>
        <v>0</v>
      </c>
      <c r="Q185" s="200">
        <f>SUM(N185:P185)</f>
        <v>0</v>
      </c>
      <c r="R185" s="199">
        <f>R199+R216</f>
        <v>0</v>
      </c>
      <c r="S185" s="199">
        <f>S199+S216</f>
        <v>0</v>
      </c>
      <c r="T185" s="199">
        <f>T199+T216</f>
        <v>0</v>
      </c>
      <c r="U185" s="200">
        <f>SUM(R185:T185)</f>
        <v>0</v>
      </c>
      <c r="V185" s="199">
        <f>V199+V216</f>
        <v>0</v>
      </c>
      <c r="W185" s="199">
        <f>W199+W216</f>
        <v>0</v>
      </c>
      <c r="X185" s="199">
        <f>X199+X216</f>
        <v>0</v>
      </c>
      <c r="Y185" s="200">
        <f>SUM(V185:X185)</f>
        <v>0</v>
      </c>
    </row>
    <row r="186" spans="1:25" ht="12.75" hidden="1" customHeight="1" outlineLevel="1" x14ac:dyDescent="0.2"/>
    <row r="187" spans="1:25" ht="12.75" hidden="1" customHeight="1" outlineLevel="1" x14ac:dyDescent="0.2">
      <c r="A187" s="465" t="str">
        <f>"Recruiting - Professional Staff"</f>
        <v>Recruiting - Professional Staff</v>
      </c>
      <c r="B187" s="465"/>
      <c r="C187" s="465"/>
    </row>
    <row r="188" spans="1:25" ht="12.75" hidden="1" customHeight="1" outlineLevel="2" x14ac:dyDescent="0.2">
      <c r="A188" s="465" t="str">
        <f>" "</f>
        <v xml:space="preserve"> </v>
      </c>
      <c r="B188" s="465"/>
      <c r="C188" s="465"/>
    </row>
    <row r="189" spans="1:25" ht="12.75" hidden="1" customHeight="1" outlineLevel="2" x14ac:dyDescent="0.2">
      <c r="B189" s="9" t="str">
        <f>'(FnCalls 1)'!F41</f>
        <v>MMM 2010</v>
      </c>
      <c r="C189" s="10" t="str">
        <f>'(FnCalls 1)'!F42</f>
        <v>MMM 2010</v>
      </c>
      <c r="D189" s="10" t="str">
        <f>'(FnCalls 1)'!F43</f>
        <v>MMM 2010</v>
      </c>
      <c r="E189" s="181" t="str">
        <f>'(FnCalls 1)'!G41</f>
        <v>Q1 2010</v>
      </c>
      <c r="F189" s="10" t="str">
        <f>'(FnCalls 1)'!F44</f>
        <v>MMM 2010</v>
      </c>
      <c r="G189" s="10" t="str">
        <f>'(FnCalls 1)'!F45</f>
        <v>MMM 2010</v>
      </c>
      <c r="H189" s="10" t="str">
        <f>'(FnCalls 1)'!F46</f>
        <v>MMM 2010</v>
      </c>
      <c r="I189" s="181" t="str">
        <f>'(FnCalls 1)'!G44</f>
        <v>Q2 2010</v>
      </c>
      <c r="J189" s="10" t="str">
        <f>'(FnCalls 1)'!F47</f>
        <v>MMM 2010</v>
      </c>
      <c r="K189" s="10" t="str">
        <f>'(FnCalls 1)'!F48</f>
        <v>MMM 2010</v>
      </c>
      <c r="L189" s="10" t="str">
        <f>'(FnCalls 1)'!F49</f>
        <v>MMM 2010</v>
      </c>
      <c r="M189" s="181" t="str">
        <f>'(FnCalls 1)'!G47</f>
        <v>Q3 2010</v>
      </c>
      <c r="N189" s="10" t="str">
        <f>'(FnCalls 1)'!F50</f>
        <v>MMM 2010</v>
      </c>
      <c r="O189" s="10" t="str">
        <f>'(FnCalls 1)'!F51</f>
        <v>MMM 2010</v>
      </c>
      <c r="P189" s="10" t="str">
        <f>'(FnCalls 1)'!F52</f>
        <v>MMM 2010</v>
      </c>
      <c r="Q189" s="181" t="str">
        <f>'(FnCalls 1)'!G50</f>
        <v>Q4 2010</v>
      </c>
      <c r="R189" s="10" t="str">
        <f>'(FnCalls 1)'!F53</f>
        <v>MMM 2011</v>
      </c>
      <c r="S189" s="10" t="str">
        <f>'(FnCalls 1)'!F54</f>
        <v>MMM 2011</v>
      </c>
      <c r="T189" s="10" t="str">
        <f>'(FnCalls 1)'!F55</f>
        <v>MMM 2011</v>
      </c>
      <c r="U189" s="181" t="str">
        <f>'(FnCalls 1)'!G53</f>
        <v>Q1 2011</v>
      </c>
      <c r="V189" s="10" t="str">
        <f>'(FnCalls 1)'!F56</f>
        <v>MMM 2011</v>
      </c>
      <c r="W189" s="10" t="str">
        <f>'(FnCalls 1)'!F57</f>
        <v>MMM 2011</v>
      </c>
      <c r="X189" s="10" t="str">
        <f>'(FnCalls 1)'!F58</f>
        <v>MMM 2011</v>
      </c>
      <c r="Y189" s="181" t="str">
        <f>'(FnCalls 1)'!G56</f>
        <v>Q2 2011</v>
      </c>
    </row>
    <row r="190" spans="1:25" ht="12.75" hidden="1" customHeight="1" outlineLevel="2" x14ac:dyDescent="0.2">
      <c r="A190" s="182" t="str">
        <f>Labels!B215</f>
        <v>Recruiting Expense</v>
      </c>
      <c r="B190" s="239"/>
      <c r="C190" s="239"/>
      <c r="D190" s="239"/>
      <c r="E190" s="240"/>
      <c r="F190" s="239"/>
      <c r="G190" s="239"/>
      <c r="H190" s="239"/>
      <c r="I190" s="240"/>
      <c r="J190" s="239"/>
      <c r="K190" s="239"/>
      <c r="L190" s="239"/>
      <c r="M190" s="240"/>
      <c r="N190" s="239"/>
      <c r="O190" s="239"/>
      <c r="P190" s="239"/>
      <c r="Q190" s="240"/>
      <c r="R190" s="239"/>
      <c r="S190" s="239"/>
      <c r="T190" s="239"/>
      <c r="U190" s="240"/>
      <c r="V190" s="239"/>
      <c r="W190" s="239"/>
      <c r="X190" s="239"/>
      <c r="Y190" s="240"/>
    </row>
    <row r="191" spans="1:25" ht="12.75" hidden="1" customHeight="1" outlineLevel="2" x14ac:dyDescent="0.2">
      <c r="A191" s="188" t="str">
        <f>"   "&amp;Labels!B381</f>
        <v xml:space="preserve">   Practice 1</v>
      </c>
      <c r="B191" s="241"/>
      <c r="C191" s="241"/>
      <c r="D191" s="241"/>
      <c r="E191" s="242"/>
      <c r="F191" s="241"/>
      <c r="G191" s="241"/>
      <c r="H191" s="241"/>
      <c r="I191" s="242"/>
      <c r="J191" s="241"/>
      <c r="K191" s="241"/>
      <c r="L191" s="241"/>
      <c r="M191" s="242"/>
      <c r="N191" s="241"/>
      <c r="O191" s="241"/>
      <c r="P191" s="241"/>
      <c r="Q191" s="242"/>
      <c r="R191" s="241"/>
      <c r="S191" s="241"/>
      <c r="T191" s="241"/>
      <c r="U191" s="242"/>
      <c r="V191" s="241"/>
      <c r="W191" s="241"/>
      <c r="X191" s="241"/>
      <c r="Y191" s="242"/>
    </row>
    <row r="192" spans="1:25" ht="12.75" hidden="1" customHeight="1" outlineLevel="2" x14ac:dyDescent="0.2">
      <c r="A192" s="198" t="str">
        <f>"      "&amp;Labels!B385</f>
        <v xml:space="preserve">      Prof Level 1</v>
      </c>
      <c r="B192" s="243">
        <f>'(Tables)'!B1156*'(Tables)'!B1175*Inputs!I257</f>
        <v>0</v>
      </c>
      <c r="C192" s="243">
        <f>'(Tables)'!C1156*'(Tables)'!C1175*Inputs!I257</f>
        <v>0</v>
      </c>
      <c r="D192" s="243">
        <f>'(Tables)'!D1156*'(Tables)'!D1175*Inputs!I257</f>
        <v>0</v>
      </c>
      <c r="E192" s="244">
        <f>SUM(B192:D192)</f>
        <v>0</v>
      </c>
      <c r="F192" s="243">
        <f>'(Tables)'!E1156*'(Tables)'!E1175*Inputs!I257</f>
        <v>0</v>
      </c>
      <c r="G192" s="243">
        <f>'(Tables)'!F1156*'(Tables)'!F1175*Inputs!I257</f>
        <v>0</v>
      </c>
      <c r="H192" s="243">
        <f>'(Tables)'!G1156*'(Tables)'!G1175*Inputs!I257</f>
        <v>0</v>
      </c>
      <c r="I192" s="244">
        <f>SUM(F192:H192)</f>
        <v>0</v>
      </c>
      <c r="J192" s="243">
        <f>'(Tables)'!H1156*'(Tables)'!H1175*Inputs!I257</f>
        <v>0</v>
      </c>
      <c r="K192" s="243">
        <f>'(Tables)'!I1156*'(Tables)'!I1175*Inputs!I257</f>
        <v>0</v>
      </c>
      <c r="L192" s="243">
        <f>'(Tables)'!J1156*'(Tables)'!J1175*Inputs!I257</f>
        <v>0</v>
      </c>
      <c r="M192" s="244">
        <f>SUM(J192:L192)</f>
        <v>0</v>
      </c>
      <c r="N192" s="243">
        <f>'(Tables)'!K1156*'(Tables)'!K1175*Inputs!I257</f>
        <v>0</v>
      </c>
      <c r="O192" s="243">
        <f>'(Tables)'!L1156*'(Tables)'!L1175*Inputs!I257</f>
        <v>0</v>
      </c>
      <c r="P192" s="243">
        <f>'(Tables)'!M1156*'(Tables)'!M1175*Inputs!I257</f>
        <v>0</v>
      </c>
      <c r="Q192" s="244">
        <f>SUM(N192:P192)</f>
        <v>0</v>
      </c>
      <c r="R192" s="243">
        <f>'(Tables)'!N1156*'(Tables)'!N1175*Inputs!I257</f>
        <v>0</v>
      </c>
      <c r="S192" s="243">
        <f>'(Tables)'!O1156*'(Tables)'!O1175*Inputs!I257</f>
        <v>0</v>
      </c>
      <c r="T192" s="243">
        <f>'(Tables)'!P1156*'(Tables)'!P1175*Inputs!I257</f>
        <v>0</v>
      </c>
      <c r="U192" s="244">
        <f>SUM(R192:T192)</f>
        <v>0</v>
      </c>
      <c r="V192" s="243">
        <f>'(Tables)'!Q1156*'(Tables)'!Q1175*Inputs!I257</f>
        <v>0</v>
      </c>
      <c r="W192" s="243">
        <f>'(Tables)'!R1156*'(Tables)'!R1175*Inputs!I257</f>
        <v>0</v>
      </c>
      <c r="X192" s="243">
        <f>'(Tables)'!S1156*'(Tables)'!S1175*Inputs!I257</f>
        <v>0</v>
      </c>
      <c r="Y192" s="244">
        <f>SUM(V192:X192)</f>
        <v>0</v>
      </c>
    </row>
    <row r="193" spans="1:25" ht="12.75" hidden="1" customHeight="1" outlineLevel="2" x14ac:dyDescent="0.2">
      <c r="A193" s="198" t="str">
        <f>"      "&amp;Labels!B386</f>
        <v xml:space="preserve">      Prof Level 2</v>
      </c>
      <c r="B193" s="243">
        <f>'(Tables)'!B1157*'(Tables)'!B1176*Inputs!I258</f>
        <v>0</v>
      </c>
      <c r="C193" s="243">
        <f>'(Tables)'!C1157*'(Tables)'!C1176*Inputs!I258</f>
        <v>0</v>
      </c>
      <c r="D193" s="243">
        <f>'(Tables)'!D1157*'(Tables)'!D1176*Inputs!I258</f>
        <v>0</v>
      </c>
      <c r="E193" s="244">
        <f>SUM(B193:D193)</f>
        <v>0</v>
      </c>
      <c r="F193" s="243">
        <f>'(Tables)'!E1157*'(Tables)'!E1176*Inputs!I258</f>
        <v>0</v>
      </c>
      <c r="G193" s="243">
        <f>'(Tables)'!F1157*'(Tables)'!F1176*Inputs!I258</f>
        <v>0</v>
      </c>
      <c r="H193" s="243">
        <f>'(Tables)'!G1157*'(Tables)'!G1176*Inputs!I258</f>
        <v>0</v>
      </c>
      <c r="I193" s="244">
        <f>SUM(F193:H193)</f>
        <v>0</v>
      </c>
      <c r="J193" s="243">
        <f>'(Tables)'!H1157*'(Tables)'!H1176*Inputs!I258</f>
        <v>0</v>
      </c>
      <c r="K193" s="243">
        <f>'(Tables)'!I1157*'(Tables)'!I1176*Inputs!I258</f>
        <v>0</v>
      </c>
      <c r="L193" s="243">
        <f>'(Tables)'!J1157*'(Tables)'!J1176*Inputs!I258</f>
        <v>0</v>
      </c>
      <c r="M193" s="244">
        <f>SUM(J193:L193)</f>
        <v>0</v>
      </c>
      <c r="N193" s="243">
        <f>'(Tables)'!K1157*'(Tables)'!K1176*Inputs!I258</f>
        <v>0</v>
      </c>
      <c r="O193" s="243">
        <f>'(Tables)'!L1157*'(Tables)'!L1176*Inputs!I258</f>
        <v>0</v>
      </c>
      <c r="P193" s="243">
        <f>'(Tables)'!M1157*'(Tables)'!M1176*Inputs!I258</f>
        <v>0</v>
      </c>
      <c r="Q193" s="244">
        <f>SUM(N193:P193)</f>
        <v>0</v>
      </c>
      <c r="R193" s="243">
        <f>'(Tables)'!N1157*'(Tables)'!N1176*Inputs!I258</f>
        <v>0</v>
      </c>
      <c r="S193" s="243">
        <f>'(Tables)'!O1157*'(Tables)'!O1176*Inputs!I258</f>
        <v>0</v>
      </c>
      <c r="T193" s="243">
        <f>'(Tables)'!P1157*'(Tables)'!P1176*Inputs!I258</f>
        <v>0</v>
      </c>
      <c r="U193" s="244">
        <f>SUM(R193:T193)</f>
        <v>0</v>
      </c>
      <c r="V193" s="243">
        <f>'(Tables)'!Q1157*'(Tables)'!Q1176*Inputs!I258</f>
        <v>0</v>
      </c>
      <c r="W193" s="243">
        <f>'(Tables)'!R1157*'(Tables)'!R1176*Inputs!I258</f>
        <v>0</v>
      </c>
      <c r="X193" s="243">
        <f>'(Tables)'!S1157*'(Tables)'!S1176*Inputs!I258</f>
        <v>0</v>
      </c>
      <c r="Y193" s="244">
        <f>SUM(V193:X193)</f>
        <v>0</v>
      </c>
    </row>
    <row r="194" spans="1:25" ht="12.75" hidden="1" customHeight="1" outlineLevel="2" x14ac:dyDescent="0.2">
      <c r="A194" s="188" t="str">
        <f>"      "&amp;Labels!C384</f>
        <v xml:space="preserve">      Total</v>
      </c>
      <c r="B194" s="241">
        <f>SUM(B192:B193)</f>
        <v>0</v>
      </c>
      <c r="C194" s="241">
        <f>SUM(C192:C193)</f>
        <v>0</v>
      </c>
      <c r="D194" s="241">
        <f>SUM(D192:D193)</f>
        <v>0</v>
      </c>
      <c r="E194" s="242">
        <f>SUM(B194:D194)</f>
        <v>0</v>
      </c>
      <c r="F194" s="241">
        <f>SUM(F192:F193)</f>
        <v>0</v>
      </c>
      <c r="G194" s="241">
        <f>SUM(G192:G193)</f>
        <v>0</v>
      </c>
      <c r="H194" s="241">
        <f>SUM(H192:H193)</f>
        <v>0</v>
      </c>
      <c r="I194" s="242">
        <f>SUM(F194:H194)</f>
        <v>0</v>
      </c>
      <c r="J194" s="241">
        <f>SUM(J192:J193)</f>
        <v>0</v>
      </c>
      <c r="K194" s="241">
        <f>SUM(K192:K193)</f>
        <v>0</v>
      </c>
      <c r="L194" s="241">
        <f>SUM(L192:L193)</f>
        <v>0</v>
      </c>
      <c r="M194" s="242">
        <f>SUM(J194:L194)</f>
        <v>0</v>
      </c>
      <c r="N194" s="241">
        <f>SUM(N192:N193)</f>
        <v>0</v>
      </c>
      <c r="O194" s="241">
        <f>SUM(O192:O193)</f>
        <v>0</v>
      </c>
      <c r="P194" s="241">
        <f>SUM(P192:P193)</f>
        <v>0</v>
      </c>
      <c r="Q194" s="242">
        <f>SUM(N194:P194)</f>
        <v>0</v>
      </c>
      <c r="R194" s="241">
        <f>SUM(R192:R193)</f>
        <v>0</v>
      </c>
      <c r="S194" s="241">
        <f>SUM(S192:S193)</f>
        <v>0</v>
      </c>
      <c r="T194" s="241">
        <f>SUM(T192:T193)</f>
        <v>0</v>
      </c>
      <c r="U194" s="242">
        <f>SUM(R194:T194)</f>
        <v>0</v>
      </c>
      <c r="V194" s="241">
        <f>SUM(V192:V193)</f>
        <v>0</v>
      </c>
      <c r="W194" s="241">
        <f>SUM(W192:W193)</f>
        <v>0</v>
      </c>
      <c r="X194" s="241">
        <f>SUM(X192:X193)</f>
        <v>0</v>
      </c>
      <c r="Y194" s="242">
        <f>SUM(V194:X194)</f>
        <v>0</v>
      </c>
    </row>
    <row r="195" spans="1:25" ht="12.75" hidden="1" customHeight="1" outlineLevel="2" x14ac:dyDescent="0.2">
      <c r="A195" s="188" t="str">
        <f>"   "&amp;Labels!B382</f>
        <v xml:space="preserve">   Practice 2</v>
      </c>
      <c r="B195" s="241"/>
      <c r="C195" s="241"/>
      <c r="D195" s="241"/>
      <c r="E195" s="242"/>
      <c r="F195" s="241"/>
      <c r="G195" s="241"/>
      <c r="H195" s="241"/>
      <c r="I195" s="242"/>
      <c r="J195" s="241"/>
      <c r="K195" s="241"/>
      <c r="L195" s="241"/>
      <c r="M195" s="242"/>
      <c r="N195" s="241"/>
      <c r="O195" s="241"/>
      <c r="P195" s="241"/>
      <c r="Q195" s="242"/>
      <c r="R195" s="241"/>
      <c r="S195" s="241"/>
      <c r="T195" s="241"/>
      <c r="U195" s="242"/>
      <c r="V195" s="241"/>
      <c r="W195" s="241"/>
      <c r="X195" s="241"/>
      <c r="Y195" s="242"/>
    </row>
    <row r="196" spans="1:25" ht="12.75" hidden="1" customHeight="1" outlineLevel="2" x14ac:dyDescent="0.2">
      <c r="A196" s="198" t="str">
        <f>"      "&amp;Labels!B385</f>
        <v xml:space="preserve">      Prof Level 1</v>
      </c>
      <c r="B196" s="243">
        <f>'(Tables)'!B1160*'(Tables)'!B1179*Inputs!I259</f>
        <v>0</v>
      </c>
      <c r="C196" s="243">
        <f>'(Tables)'!C1160*'(Tables)'!C1179*Inputs!I259</f>
        <v>0</v>
      </c>
      <c r="D196" s="243">
        <f>'(Tables)'!D1160*'(Tables)'!D1179*Inputs!I259</f>
        <v>0</v>
      </c>
      <c r="E196" s="244">
        <f t="shared" ref="E196:E201" si="84">SUM(B196:D196)</f>
        <v>0</v>
      </c>
      <c r="F196" s="243">
        <f>'(Tables)'!E1160*'(Tables)'!E1179*Inputs!I259</f>
        <v>0</v>
      </c>
      <c r="G196" s="243">
        <f>'(Tables)'!F1160*'(Tables)'!F1179*Inputs!I259</f>
        <v>0</v>
      </c>
      <c r="H196" s="243">
        <f>'(Tables)'!G1160*'(Tables)'!G1179*Inputs!I259</f>
        <v>0</v>
      </c>
      <c r="I196" s="244">
        <f t="shared" ref="I196:I201" si="85">SUM(F196:H196)</f>
        <v>0</v>
      </c>
      <c r="J196" s="243">
        <f>'(Tables)'!H1160*'(Tables)'!H1179*Inputs!I259</f>
        <v>0</v>
      </c>
      <c r="K196" s="243">
        <f>'(Tables)'!I1160*'(Tables)'!I1179*Inputs!I259</f>
        <v>0</v>
      </c>
      <c r="L196" s="243">
        <f>'(Tables)'!J1160*'(Tables)'!J1179*Inputs!I259</f>
        <v>0</v>
      </c>
      <c r="M196" s="244">
        <f t="shared" ref="M196:M201" si="86">SUM(J196:L196)</f>
        <v>0</v>
      </c>
      <c r="N196" s="243">
        <f>'(Tables)'!K1160*'(Tables)'!K1179*Inputs!I259</f>
        <v>0</v>
      </c>
      <c r="O196" s="243">
        <f>'(Tables)'!L1160*'(Tables)'!L1179*Inputs!I259</f>
        <v>0</v>
      </c>
      <c r="P196" s="243">
        <f>'(Tables)'!M1160*'(Tables)'!M1179*Inputs!I259</f>
        <v>0</v>
      </c>
      <c r="Q196" s="244">
        <f t="shared" ref="Q196:Q201" si="87">SUM(N196:P196)</f>
        <v>0</v>
      </c>
      <c r="R196" s="243">
        <f>'(Tables)'!N1160*'(Tables)'!N1179*Inputs!I259</f>
        <v>0</v>
      </c>
      <c r="S196" s="243">
        <f>'(Tables)'!O1160*'(Tables)'!O1179*Inputs!I259</f>
        <v>0</v>
      </c>
      <c r="T196" s="243">
        <f>'(Tables)'!P1160*'(Tables)'!P1179*Inputs!I259</f>
        <v>0</v>
      </c>
      <c r="U196" s="244">
        <f t="shared" ref="U196:U201" si="88">SUM(R196:T196)</f>
        <v>0</v>
      </c>
      <c r="V196" s="243">
        <f>'(Tables)'!Q1160*'(Tables)'!Q1179*Inputs!I259</f>
        <v>0</v>
      </c>
      <c r="W196" s="243">
        <f>'(Tables)'!R1160*'(Tables)'!R1179*Inputs!I259</f>
        <v>0</v>
      </c>
      <c r="X196" s="243">
        <f>'(Tables)'!S1160*'(Tables)'!S1179*Inputs!I259</f>
        <v>0</v>
      </c>
      <c r="Y196" s="244">
        <f t="shared" ref="Y196:Y201" si="89">SUM(V196:X196)</f>
        <v>0</v>
      </c>
    </row>
    <row r="197" spans="1:25" ht="12.75" hidden="1" customHeight="1" outlineLevel="2" x14ac:dyDescent="0.2">
      <c r="A197" s="198" t="str">
        <f>"      "&amp;Labels!B386</f>
        <v xml:space="preserve">      Prof Level 2</v>
      </c>
      <c r="B197" s="243">
        <f>'(Tables)'!B1161*'(Tables)'!B1180*Inputs!I260</f>
        <v>0</v>
      </c>
      <c r="C197" s="243">
        <f>'(Tables)'!C1161*'(Tables)'!C1180*Inputs!I260</f>
        <v>0</v>
      </c>
      <c r="D197" s="243">
        <f>'(Tables)'!D1161*'(Tables)'!D1180*Inputs!I260</f>
        <v>0</v>
      </c>
      <c r="E197" s="244">
        <f t="shared" si="84"/>
        <v>0</v>
      </c>
      <c r="F197" s="243">
        <f>'(Tables)'!E1161*'(Tables)'!E1180*Inputs!I260</f>
        <v>0</v>
      </c>
      <c r="G197" s="243">
        <f>'(Tables)'!F1161*'(Tables)'!F1180*Inputs!I260</f>
        <v>0</v>
      </c>
      <c r="H197" s="243">
        <f>'(Tables)'!G1161*'(Tables)'!G1180*Inputs!I260</f>
        <v>0</v>
      </c>
      <c r="I197" s="244">
        <f t="shared" si="85"/>
        <v>0</v>
      </c>
      <c r="J197" s="243">
        <f>'(Tables)'!H1161*'(Tables)'!H1180*Inputs!I260</f>
        <v>0</v>
      </c>
      <c r="K197" s="243">
        <f>'(Tables)'!I1161*'(Tables)'!I1180*Inputs!I260</f>
        <v>0</v>
      </c>
      <c r="L197" s="243">
        <f>'(Tables)'!J1161*'(Tables)'!J1180*Inputs!I260</f>
        <v>0</v>
      </c>
      <c r="M197" s="244">
        <f t="shared" si="86"/>
        <v>0</v>
      </c>
      <c r="N197" s="243">
        <f>'(Tables)'!K1161*'(Tables)'!K1180*Inputs!I260</f>
        <v>0</v>
      </c>
      <c r="O197" s="243">
        <f>'(Tables)'!L1161*'(Tables)'!L1180*Inputs!I260</f>
        <v>0</v>
      </c>
      <c r="P197" s="243">
        <f>'(Tables)'!M1161*'(Tables)'!M1180*Inputs!I260</f>
        <v>0</v>
      </c>
      <c r="Q197" s="244">
        <f t="shared" si="87"/>
        <v>0</v>
      </c>
      <c r="R197" s="243">
        <f>'(Tables)'!N1161*'(Tables)'!N1180*Inputs!I260</f>
        <v>0</v>
      </c>
      <c r="S197" s="243">
        <f>'(Tables)'!O1161*'(Tables)'!O1180*Inputs!I260</f>
        <v>0</v>
      </c>
      <c r="T197" s="243">
        <f>'(Tables)'!P1161*'(Tables)'!P1180*Inputs!I260</f>
        <v>0</v>
      </c>
      <c r="U197" s="244">
        <f t="shared" si="88"/>
        <v>0</v>
      </c>
      <c r="V197" s="243">
        <f>'(Tables)'!Q1161*'(Tables)'!Q1180*Inputs!I260</f>
        <v>0</v>
      </c>
      <c r="W197" s="243">
        <f>'(Tables)'!R1161*'(Tables)'!R1180*Inputs!I260</f>
        <v>0</v>
      </c>
      <c r="X197" s="243">
        <f>'(Tables)'!S1161*'(Tables)'!S1180*Inputs!I260</f>
        <v>0</v>
      </c>
      <c r="Y197" s="244">
        <f t="shared" si="89"/>
        <v>0</v>
      </c>
    </row>
    <row r="198" spans="1:25" ht="12.75" hidden="1" customHeight="1" outlineLevel="2" x14ac:dyDescent="0.2">
      <c r="A198" s="188" t="str">
        <f>"      "&amp;Labels!C384</f>
        <v xml:space="preserve">      Total</v>
      </c>
      <c r="B198" s="241">
        <f>SUM(B196:B197)</f>
        <v>0</v>
      </c>
      <c r="C198" s="241">
        <f>SUM(C196:C197)</f>
        <v>0</v>
      </c>
      <c r="D198" s="241">
        <f>SUM(D196:D197)</f>
        <v>0</v>
      </c>
      <c r="E198" s="242">
        <f t="shared" si="84"/>
        <v>0</v>
      </c>
      <c r="F198" s="241">
        <f>SUM(F196:F197)</f>
        <v>0</v>
      </c>
      <c r="G198" s="241">
        <f>SUM(G196:G197)</f>
        <v>0</v>
      </c>
      <c r="H198" s="241">
        <f>SUM(H196:H197)</f>
        <v>0</v>
      </c>
      <c r="I198" s="242">
        <f t="shared" si="85"/>
        <v>0</v>
      </c>
      <c r="J198" s="241">
        <f>SUM(J196:J197)</f>
        <v>0</v>
      </c>
      <c r="K198" s="241">
        <f>SUM(K196:K197)</f>
        <v>0</v>
      </c>
      <c r="L198" s="241">
        <f>SUM(L196:L197)</f>
        <v>0</v>
      </c>
      <c r="M198" s="242">
        <f t="shared" si="86"/>
        <v>0</v>
      </c>
      <c r="N198" s="241">
        <f>SUM(N196:N197)</f>
        <v>0</v>
      </c>
      <c r="O198" s="241">
        <f>SUM(O196:O197)</f>
        <v>0</v>
      </c>
      <c r="P198" s="241">
        <f>SUM(P196:P197)</f>
        <v>0</v>
      </c>
      <c r="Q198" s="242">
        <f t="shared" si="87"/>
        <v>0</v>
      </c>
      <c r="R198" s="241">
        <f>SUM(R196:R197)</f>
        <v>0</v>
      </c>
      <c r="S198" s="241">
        <f>SUM(S196:S197)</f>
        <v>0</v>
      </c>
      <c r="T198" s="241">
        <f>SUM(T196:T197)</f>
        <v>0</v>
      </c>
      <c r="U198" s="242">
        <f t="shared" si="88"/>
        <v>0</v>
      </c>
      <c r="V198" s="241">
        <f>SUM(V196:V197)</f>
        <v>0</v>
      </c>
      <c r="W198" s="241">
        <f>SUM(W196:W197)</f>
        <v>0</v>
      </c>
      <c r="X198" s="241">
        <f>SUM(X196:X197)</f>
        <v>0</v>
      </c>
      <c r="Y198" s="242">
        <f t="shared" si="89"/>
        <v>0</v>
      </c>
    </row>
    <row r="199" spans="1:25" ht="12.75" hidden="1" customHeight="1" outlineLevel="2" x14ac:dyDescent="0.2">
      <c r="A199" s="191" t="str">
        <f>"   "&amp;Labels!C380</f>
        <v xml:space="preserve">   Total</v>
      </c>
      <c r="B199" s="245">
        <f>SUM(B194,B198)</f>
        <v>0</v>
      </c>
      <c r="C199" s="245">
        <f>SUM(C194,C198)</f>
        <v>0</v>
      </c>
      <c r="D199" s="245">
        <f>SUM(D194,D198)</f>
        <v>0</v>
      </c>
      <c r="E199" s="246">
        <f t="shared" si="84"/>
        <v>0</v>
      </c>
      <c r="F199" s="245">
        <f>SUM(F194,F198)</f>
        <v>0</v>
      </c>
      <c r="G199" s="245">
        <f>SUM(G194,G198)</f>
        <v>0</v>
      </c>
      <c r="H199" s="245">
        <f>SUM(H194,H198)</f>
        <v>0</v>
      </c>
      <c r="I199" s="246">
        <f t="shared" si="85"/>
        <v>0</v>
      </c>
      <c r="J199" s="245">
        <f>SUM(J194,J198)</f>
        <v>0</v>
      </c>
      <c r="K199" s="245">
        <f>SUM(K194,K198)</f>
        <v>0</v>
      </c>
      <c r="L199" s="245">
        <f>SUM(L194,L198)</f>
        <v>0</v>
      </c>
      <c r="M199" s="246">
        <f t="shared" si="86"/>
        <v>0</v>
      </c>
      <c r="N199" s="245">
        <f>SUM(N194,N198)</f>
        <v>0</v>
      </c>
      <c r="O199" s="245">
        <f>SUM(O194,O198)</f>
        <v>0</v>
      </c>
      <c r="P199" s="245">
        <f>SUM(P194,P198)</f>
        <v>0</v>
      </c>
      <c r="Q199" s="246">
        <f t="shared" si="87"/>
        <v>0</v>
      </c>
      <c r="R199" s="245">
        <f>SUM(R194,R198)</f>
        <v>0</v>
      </c>
      <c r="S199" s="245">
        <f>SUM(S194,S198)</f>
        <v>0</v>
      </c>
      <c r="T199" s="245">
        <f>SUM(T194,T198)</f>
        <v>0</v>
      </c>
      <c r="U199" s="246">
        <f t="shared" si="88"/>
        <v>0</v>
      </c>
      <c r="V199" s="245">
        <f>SUM(V194,V198)</f>
        <v>0</v>
      </c>
      <c r="W199" s="245">
        <f>SUM(W194,W198)</f>
        <v>0</v>
      </c>
      <c r="X199" s="245">
        <f>SUM(X194,X198)</f>
        <v>0</v>
      </c>
      <c r="Y199" s="246">
        <f t="shared" si="89"/>
        <v>0</v>
      </c>
    </row>
    <row r="200" spans="1:25" ht="12.75" hidden="1" customHeight="1" outlineLevel="2" x14ac:dyDescent="0.2">
      <c r="A200" s="198" t="str">
        <f>"      "&amp;Labels!B385</f>
        <v xml:space="preserve">      Prof Level 1</v>
      </c>
      <c r="B200" s="243">
        <f t="shared" ref="B200:D202" si="90">SUM(B192,B196)</f>
        <v>0</v>
      </c>
      <c r="C200" s="243">
        <f t="shared" si="90"/>
        <v>0</v>
      </c>
      <c r="D200" s="243">
        <f t="shared" si="90"/>
        <v>0</v>
      </c>
      <c r="E200" s="244">
        <f t="shared" si="84"/>
        <v>0</v>
      </c>
      <c r="F200" s="243">
        <f t="shared" ref="F200:H202" si="91">SUM(F192,F196)</f>
        <v>0</v>
      </c>
      <c r="G200" s="243">
        <f t="shared" si="91"/>
        <v>0</v>
      </c>
      <c r="H200" s="243">
        <f t="shared" si="91"/>
        <v>0</v>
      </c>
      <c r="I200" s="244">
        <f t="shared" si="85"/>
        <v>0</v>
      </c>
      <c r="J200" s="243">
        <f t="shared" ref="J200:L202" si="92">SUM(J192,J196)</f>
        <v>0</v>
      </c>
      <c r="K200" s="243">
        <f t="shared" si="92"/>
        <v>0</v>
      </c>
      <c r="L200" s="243">
        <f t="shared" si="92"/>
        <v>0</v>
      </c>
      <c r="M200" s="244">
        <f t="shared" si="86"/>
        <v>0</v>
      </c>
      <c r="N200" s="243">
        <f t="shared" ref="N200:P202" si="93">SUM(N192,N196)</f>
        <v>0</v>
      </c>
      <c r="O200" s="243">
        <f t="shared" si="93"/>
        <v>0</v>
      </c>
      <c r="P200" s="243">
        <f t="shared" si="93"/>
        <v>0</v>
      </c>
      <c r="Q200" s="244">
        <f t="shared" si="87"/>
        <v>0</v>
      </c>
      <c r="R200" s="243">
        <f t="shared" ref="R200:T202" si="94">SUM(R192,R196)</f>
        <v>0</v>
      </c>
      <c r="S200" s="243">
        <f t="shared" si="94"/>
        <v>0</v>
      </c>
      <c r="T200" s="243">
        <f t="shared" si="94"/>
        <v>0</v>
      </c>
      <c r="U200" s="244">
        <f t="shared" si="88"/>
        <v>0</v>
      </c>
      <c r="V200" s="243">
        <f t="shared" ref="V200:X202" si="95">SUM(V192,V196)</f>
        <v>0</v>
      </c>
      <c r="W200" s="243">
        <f t="shared" si="95"/>
        <v>0</v>
      </c>
      <c r="X200" s="243">
        <f t="shared" si="95"/>
        <v>0</v>
      </c>
      <c r="Y200" s="244">
        <f t="shared" si="89"/>
        <v>0</v>
      </c>
    </row>
    <row r="201" spans="1:25" ht="12.75" hidden="1" customHeight="1" outlineLevel="2" x14ac:dyDescent="0.2">
      <c r="A201" s="198" t="str">
        <f>"      "&amp;Labels!B386</f>
        <v xml:space="preserve">      Prof Level 2</v>
      </c>
      <c r="B201" s="243">
        <f t="shared" si="90"/>
        <v>0</v>
      </c>
      <c r="C201" s="243">
        <f t="shared" si="90"/>
        <v>0</v>
      </c>
      <c r="D201" s="243">
        <f t="shared" si="90"/>
        <v>0</v>
      </c>
      <c r="E201" s="244">
        <f t="shared" si="84"/>
        <v>0</v>
      </c>
      <c r="F201" s="243">
        <f t="shared" si="91"/>
        <v>0</v>
      </c>
      <c r="G201" s="243">
        <f t="shared" si="91"/>
        <v>0</v>
      </c>
      <c r="H201" s="243">
        <f t="shared" si="91"/>
        <v>0</v>
      </c>
      <c r="I201" s="244">
        <f t="shared" si="85"/>
        <v>0</v>
      </c>
      <c r="J201" s="243">
        <f t="shared" si="92"/>
        <v>0</v>
      </c>
      <c r="K201" s="243">
        <f t="shared" si="92"/>
        <v>0</v>
      </c>
      <c r="L201" s="243">
        <f t="shared" si="92"/>
        <v>0</v>
      </c>
      <c r="M201" s="244">
        <f t="shared" si="86"/>
        <v>0</v>
      </c>
      <c r="N201" s="243">
        <f t="shared" si="93"/>
        <v>0</v>
      </c>
      <c r="O201" s="243">
        <f t="shared" si="93"/>
        <v>0</v>
      </c>
      <c r="P201" s="243">
        <f t="shared" si="93"/>
        <v>0</v>
      </c>
      <c r="Q201" s="244">
        <f t="shared" si="87"/>
        <v>0</v>
      </c>
      <c r="R201" s="243">
        <f t="shared" si="94"/>
        <v>0</v>
      </c>
      <c r="S201" s="243">
        <f t="shared" si="94"/>
        <v>0</v>
      </c>
      <c r="T201" s="243">
        <f t="shared" si="94"/>
        <v>0</v>
      </c>
      <c r="U201" s="244">
        <f t="shared" si="88"/>
        <v>0</v>
      </c>
      <c r="V201" s="243">
        <f t="shared" si="95"/>
        <v>0</v>
      </c>
      <c r="W201" s="243">
        <f t="shared" si="95"/>
        <v>0</v>
      </c>
      <c r="X201" s="243">
        <f t="shared" si="95"/>
        <v>0</v>
      </c>
      <c r="Y201" s="244">
        <f t="shared" si="89"/>
        <v>0</v>
      </c>
    </row>
    <row r="202" spans="1:25" ht="12.75" hidden="1" customHeight="1" outlineLevel="2" x14ac:dyDescent="0.2">
      <c r="A202" s="220" t="str">
        <f>"      "&amp;Labels!C384</f>
        <v xml:space="preserve">      Total</v>
      </c>
      <c r="B202" s="320">
        <f t="shared" si="90"/>
        <v>0</v>
      </c>
      <c r="C202" s="320">
        <f t="shared" si="90"/>
        <v>0</v>
      </c>
      <c r="D202" s="320">
        <f t="shared" si="90"/>
        <v>0</v>
      </c>
      <c r="E202" s="321">
        <f>SUM(B199:D199)</f>
        <v>0</v>
      </c>
      <c r="F202" s="320">
        <f t="shared" si="91"/>
        <v>0</v>
      </c>
      <c r="G202" s="320">
        <f t="shared" si="91"/>
        <v>0</v>
      </c>
      <c r="H202" s="320">
        <f t="shared" si="91"/>
        <v>0</v>
      </c>
      <c r="I202" s="321">
        <f>SUM(F199:H199)</f>
        <v>0</v>
      </c>
      <c r="J202" s="320">
        <f t="shared" si="92"/>
        <v>0</v>
      </c>
      <c r="K202" s="320">
        <f t="shared" si="92"/>
        <v>0</v>
      </c>
      <c r="L202" s="320">
        <f t="shared" si="92"/>
        <v>0</v>
      </c>
      <c r="M202" s="321">
        <f>SUM(J199:L199)</f>
        <v>0</v>
      </c>
      <c r="N202" s="320">
        <f t="shared" si="93"/>
        <v>0</v>
      </c>
      <c r="O202" s="320">
        <f t="shared" si="93"/>
        <v>0</v>
      </c>
      <c r="P202" s="320">
        <f t="shared" si="93"/>
        <v>0</v>
      </c>
      <c r="Q202" s="321">
        <f>SUM(N199:P199)</f>
        <v>0</v>
      </c>
      <c r="R202" s="320">
        <f t="shared" si="94"/>
        <v>0</v>
      </c>
      <c r="S202" s="320">
        <f t="shared" si="94"/>
        <v>0</v>
      </c>
      <c r="T202" s="320">
        <f t="shared" si="94"/>
        <v>0</v>
      </c>
      <c r="U202" s="321">
        <f>SUM(R199:T199)</f>
        <v>0</v>
      </c>
      <c r="V202" s="320">
        <f t="shared" si="95"/>
        <v>0</v>
      </c>
      <c r="W202" s="320">
        <f t="shared" si="95"/>
        <v>0</v>
      </c>
      <c r="X202" s="320">
        <f t="shared" si="95"/>
        <v>0</v>
      </c>
      <c r="Y202" s="321">
        <f>SUM(V199:X199)</f>
        <v>0</v>
      </c>
    </row>
    <row r="203" spans="1:25" ht="12.75" hidden="1" customHeight="1" outlineLevel="2" collapsed="1" x14ac:dyDescent="0.2"/>
    <row r="204" spans="1:25" ht="12.75" hidden="1" customHeight="1" outlineLevel="1" collapsed="1" x14ac:dyDescent="0.2">
      <c r="A204" s="465" t="str">
        <f>"Recruiting - Support Staff"</f>
        <v>Recruiting - Support Staff</v>
      </c>
      <c r="B204" s="465"/>
      <c r="C204" s="465"/>
    </row>
    <row r="205" spans="1:25" ht="12.75" hidden="1" customHeight="1" outlineLevel="2" x14ac:dyDescent="0.2">
      <c r="A205" s="465" t="str">
        <f>" "</f>
        <v xml:space="preserve"> </v>
      </c>
      <c r="B205" s="465"/>
      <c r="C205" s="465"/>
    </row>
    <row r="206" spans="1:25" ht="12.75" hidden="1" customHeight="1" outlineLevel="2" x14ac:dyDescent="0.2">
      <c r="B206" s="9" t="str">
        <f>'(FnCalls 1)'!F41</f>
        <v>MMM 2010</v>
      </c>
      <c r="C206" s="10" t="str">
        <f>'(FnCalls 1)'!F42</f>
        <v>MMM 2010</v>
      </c>
      <c r="D206" s="10" t="str">
        <f>'(FnCalls 1)'!F43</f>
        <v>MMM 2010</v>
      </c>
      <c r="E206" s="181" t="str">
        <f>'(FnCalls 1)'!G41</f>
        <v>Q1 2010</v>
      </c>
      <c r="F206" s="10" t="str">
        <f>'(FnCalls 1)'!F44</f>
        <v>MMM 2010</v>
      </c>
      <c r="G206" s="10" t="str">
        <f>'(FnCalls 1)'!F45</f>
        <v>MMM 2010</v>
      </c>
      <c r="H206" s="10" t="str">
        <f>'(FnCalls 1)'!F46</f>
        <v>MMM 2010</v>
      </c>
      <c r="I206" s="181" t="str">
        <f>'(FnCalls 1)'!G44</f>
        <v>Q2 2010</v>
      </c>
      <c r="J206" s="10" t="str">
        <f>'(FnCalls 1)'!F47</f>
        <v>MMM 2010</v>
      </c>
      <c r="K206" s="10" t="str">
        <f>'(FnCalls 1)'!F48</f>
        <v>MMM 2010</v>
      </c>
      <c r="L206" s="10" t="str">
        <f>'(FnCalls 1)'!F49</f>
        <v>MMM 2010</v>
      </c>
      <c r="M206" s="181" t="str">
        <f>'(FnCalls 1)'!G47</f>
        <v>Q3 2010</v>
      </c>
      <c r="N206" s="10" t="str">
        <f>'(FnCalls 1)'!F50</f>
        <v>MMM 2010</v>
      </c>
      <c r="O206" s="10" t="str">
        <f>'(FnCalls 1)'!F51</f>
        <v>MMM 2010</v>
      </c>
      <c r="P206" s="10" t="str">
        <f>'(FnCalls 1)'!F52</f>
        <v>MMM 2010</v>
      </c>
      <c r="Q206" s="181" t="str">
        <f>'(FnCalls 1)'!G50</f>
        <v>Q4 2010</v>
      </c>
      <c r="R206" s="10" t="str">
        <f>'(FnCalls 1)'!F53</f>
        <v>MMM 2011</v>
      </c>
      <c r="S206" s="10" t="str">
        <f>'(FnCalls 1)'!F54</f>
        <v>MMM 2011</v>
      </c>
      <c r="T206" s="10" t="str">
        <f>'(FnCalls 1)'!F55</f>
        <v>MMM 2011</v>
      </c>
      <c r="U206" s="181" t="str">
        <f>'(FnCalls 1)'!G53</f>
        <v>Q1 2011</v>
      </c>
      <c r="V206" s="10" t="str">
        <f>'(FnCalls 1)'!F56</f>
        <v>MMM 2011</v>
      </c>
      <c r="W206" s="10" t="str">
        <f>'(FnCalls 1)'!F57</f>
        <v>MMM 2011</v>
      </c>
      <c r="X206" s="10" t="str">
        <f>'(FnCalls 1)'!F58</f>
        <v>MMM 2011</v>
      </c>
      <c r="Y206" s="181" t="str">
        <f>'(FnCalls 1)'!G56</f>
        <v>Q2 2011</v>
      </c>
    </row>
    <row r="207" spans="1:25" ht="12.75" hidden="1" customHeight="1" outlineLevel="2" x14ac:dyDescent="0.2">
      <c r="A207" s="182" t="str">
        <f>Labels!B216</f>
        <v>Recruiting Expense</v>
      </c>
      <c r="B207" s="239"/>
      <c r="C207" s="239"/>
      <c r="D207" s="239"/>
      <c r="E207" s="240"/>
      <c r="F207" s="239"/>
      <c r="G207" s="239"/>
      <c r="H207" s="239"/>
      <c r="I207" s="240"/>
      <c r="J207" s="239"/>
      <c r="K207" s="239"/>
      <c r="L207" s="239"/>
      <c r="M207" s="240"/>
      <c r="N207" s="239"/>
      <c r="O207" s="239"/>
      <c r="P207" s="239"/>
      <c r="Q207" s="240"/>
      <c r="R207" s="239"/>
      <c r="S207" s="239"/>
      <c r="T207" s="239"/>
      <c r="U207" s="240"/>
      <c r="V207" s="239"/>
      <c r="W207" s="239"/>
      <c r="X207" s="239"/>
      <c r="Y207" s="240"/>
    </row>
    <row r="208" spans="1:25" ht="12.75" hidden="1" customHeight="1" outlineLevel="2" x14ac:dyDescent="0.2">
      <c r="A208" s="188" t="str">
        <f>"   "&amp;Labels!B321</f>
        <v xml:space="preserve">   Marketing</v>
      </c>
      <c r="B208" s="241"/>
      <c r="C208" s="241"/>
      <c r="D208" s="241"/>
      <c r="E208" s="242"/>
      <c r="F208" s="241"/>
      <c r="G208" s="241"/>
      <c r="H208" s="241"/>
      <c r="I208" s="242"/>
      <c r="J208" s="241"/>
      <c r="K208" s="241"/>
      <c r="L208" s="241"/>
      <c r="M208" s="242"/>
      <c r="N208" s="241"/>
      <c r="O208" s="241"/>
      <c r="P208" s="241"/>
      <c r="Q208" s="242"/>
      <c r="R208" s="241"/>
      <c r="S208" s="241"/>
      <c r="T208" s="241"/>
      <c r="U208" s="242"/>
      <c r="V208" s="241"/>
      <c r="W208" s="241"/>
      <c r="X208" s="241"/>
      <c r="Y208" s="242"/>
    </row>
    <row r="209" spans="1:25" ht="12.75" hidden="1" customHeight="1" outlineLevel="2" x14ac:dyDescent="0.2">
      <c r="A209" s="198" t="str">
        <f>"      "&amp;Labels!B393</f>
        <v xml:space="preserve">      Manager</v>
      </c>
      <c r="B209" s="243">
        <f>'Sup Staff'!B51*'Sup Staff'!B95*12*Inputs!I265</f>
        <v>0</v>
      </c>
      <c r="C209" s="243">
        <f>'Sup Staff'!C51*'Sup Staff'!C95*12*Inputs!I265</f>
        <v>0</v>
      </c>
      <c r="D209" s="243">
        <f>'Sup Staff'!D51*'Sup Staff'!D95*12*Inputs!I265</f>
        <v>0</v>
      </c>
      <c r="E209" s="244">
        <f>SUM(B209:D209)</f>
        <v>0</v>
      </c>
      <c r="F209" s="243">
        <f>'Sup Staff'!F51*'Sup Staff'!F95*12*Inputs!I265</f>
        <v>0</v>
      </c>
      <c r="G209" s="243">
        <f>'Sup Staff'!G51*'Sup Staff'!G95*12*Inputs!I265</f>
        <v>0</v>
      </c>
      <c r="H209" s="243">
        <f>'Sup Staff'!H51*'Sup Staff'!H95*12*Inputs!I265</f>
        <v>0</v>
      </c>
      <c r="I209" s="244">
        <f>SUM(F209:H209)</f>
        <v>0</v>
      </c>
      <c r="J209" s="243">
        <f>'Sup Staff'!J51*'Sup Staff'!J95*12*Inputs!I265</f>
        <v>0</v>
      </c>
      <c r="K209" s="243">
        <f>'Sup Staff'!K51*'Sup Staff'!K95*12*Inputs!I265</f>
        <v>0</v>
      </c>
      <c r="L209" s="243">
        <f>'Sup Staff'!L51*'Sup Staff'!L95*12*Inputs!I265</f>
        <v>0</v>
      </c>
      <c r="M209" s="244">
        <f>SUM(J209:L209)</f>
        <v>0</v>
      </c>
      <c r="N209" s="243">
        <f>'Sup Staff'!N51*'Sup Staff'!N95*12*Inputs!I265</f>
        <v>0</v>
      </c>
      <c r="O209" s="243">
        <f>'Sup Staff'!O51*'Sup Staff'!O95*12*Inputs!I265</f>
        <v>0</v>
      </c>
      <c r="P209" s="243">
        <f>'Sup Staff'!P51*'Sup Staff'!P95*12*Inputs!I265</f>
        <v>0</v>
      </c>
      <c r="Q209" s="244">
        <f>SUM(N209:P209)</f>
        <v>0</v>
      </c>
      <c r="R209" s="243">
        <f>'Sup Staff'!R51*'Sup Staff'!R95*12*Inputs!I265</f>
        <v>0</v>
      </c>
      <c r="S209" s="243">
        <f>'Sup Staff'!S51*'Sup Staff'!S95*12*Inputs!I265</f>
        <v>0</v>
      </c>
      <c r="T209" s="243">
        <f>'Sup Staff'!T51*'Sup Staff'!T95*12*Inputs!I265</f>
        <v>0</v>
      </c>
      <c r="U209" s="244">
        <f>SUM(R209:T209)</f>
        <v>0</v>
      </c>
      <c r="V209" s="243">
        <f>'Sup Staff'!V51*'Sup Staff'!V95*12*Inputs!I265</f>
        <v>0</v>
      </c>
      <c r="W209" s="243">
        <f>'Sup Staff'!W51*'Sup Staff'!W95*12*Inputs!I265</f>
        <v>0</v>
      </c>
      <c r="X209" s="243">
        <f>'Sup Staff'!X51*'Sup Staff'!X95*12*Inputs!I265</f>
        <v>0</v>
      </c>
      <c r="Y209" s="244">
        <f>SUM(V209:X209)</f>
        <v>0</v>
      </c>
    </row>
    <row r="210" spans="1:25" ht="12.75" hidden="1" customHeight="1" outlineLevel="2" x14ac:dyDescent="0.2">
      <c r="A210" s="198" t="str">
        <f>"      "&amp;Labels!B394</f>
        <v xml:space="preserve">      Contributor</v>
      </c>
      <c r="B210" s="243">
        <f>'Sup Staff'!B52*'Sup Staff'!B96*12*Inputs!I266</f>
        <v>0</v>
      </c>
      <c r="C210" s="243">
        <f>'Sup Staff'!C52*'Sup Staff'!C96*12*Inputs!I266</f>
        <v>0</v>
      </c>
      <c r="D210" s="243">
        <f>'Sup Staff'!D52*'Sup Staff'!D96*12*Inputs!I266</f>
        <v>0</v>
      </c>
      <c r="E210" s="244">
        <f>SUM(B210:D210)</f>
        <v>0</v>
      </c>
      <c r="F210" s="243">
        <f>'Sup Staff'!F52*'Sup Staff'!F96*12*Inputs!I266</f>
        <v>0</v>
      </c>
      <c r="G210" s="243">
        <f>'Sup Staff'!G52*'Sup Staff'!G96*12*Inputs!I266</f>
        <v>0</v>
      </c>
      <c r="H210" s="243">
        <f>'Sup Staff'!H52*'Sup Staff'!H96*12*Inputs!I266</f>
        <v>0</v>
      </c>
      <c r="I210" s="244">
        <f>SUM(F210:H210)</f>
        <v>0</v>
      </c>
      <c r="J210" s="243">
        <f>'Sup Staff'!J52*'Sup Staff'!J96*12*Inputs!I266</f>
        <v>0</v>
      </c>
      <c r="K210" s="243">
        <f>'Sup Staff'!K52*'Sup Staff'!K96*12*Inputs!I266</f>
        <v>0</v>
      </c>
      <c r="L210" s="243">
        <f>'Sup Staff'!L52*'Sup Staff'!L96*12*Inputs!I266</f>
        <v>0</v>
      </c>
      <c r="M210" s="244">
        <f>SUM(J210:L210)</f>
        <v>0</v>
      </c>
      <c r="N210" s="243">
        <f>'Sup Staff'!N52*'Sup Staff'!N96*12*Inputs!I266</f>
        <v>0</v>
      </c>
      <c r="O210" s="243">
        <f>'Sup Staff'!O52*'Sup Staff'!O96*12*Inputs!I266</f>
        <v>0</v>
      </c>
      <c r="P210" s="243">
        <f>'Sup Staff'!P52*'Sup Staff'!P96*12*Inputs!I266</f>
        <v>0</v>
      </c>
      <c r="Q210" s="244">
        <f>SUM(N210:P210)</f>
        <v>0</v>
      </c>
      <c r="R210" s="243">
        <f>'Sup Staff'!R52*'Sup Staff'!R96*12*Inputs!I266</f>
        <v>0</v>
      </c>
      <c r="S210" s="243">
        <f>'Sup Staff'!S52*'Sup Staff'!S96*12*Inputs!I266</f>
        <v>0</v>
      </c>
      <c r="T210" s="243">
        <f>'Sup Staff'!T52*'Sup Staff'!T96*12*Inputs!I266</f>
        <v>0</v>
      </c>
      <c r="U210" s="244">
        <f>SUM(R210:T210)</f>
        <v>0</v>
      </c>
      <c r="V210" s="243">
        <f>'Sup Staff'!V52*'Sup Staff'!V96*12*Inputs!I266</f>
        <v>0</v>
      </c>
      <c r="W210" s="243">
        <f>'Sup Staff'!W52*'Sup Staff'!W96*12*Inputs!I266</f>
        <v>0</v>
      </c>
      <c r="X210" s="243">
        <f>'Sup Staff'!X52*'Sup Staff'!X96*12*Inputs!I266</f>
        <v>0</v>
      </c>
      <c r="Y210" s="244">
        <f>SUM(V210:X210)</f>
        <v>0</v>
      </c>
    </row>
    <row r="211" spans="1:25" ht="12.75" hidden="1" customHeight="1" outlineLevel="2" x14ac:dyDescent="0.2">
      <c r="A211" s="188" t="str">
        <f>"      "&amp;Labels!C392</f>
        <v xml:space="preserve">      Total</v>
      </c>
      <c r="B211" s="241">
        <f>SUM(B209:B210)</f>
        <v>0</v>
      </c>
      <c r="C211" s="241">
        <f>SUM(C209:C210)</f>
        <v>0</v>
      </c>
      <c r="D211" s="241">
        <f>SUM(D209:D210)</f>
        <v>0</v>
      </c>
      <c r="E211" s="242">
        <f>SUM(B211:D211)</f>
        <v>0</v>
      </c>
      <c r="F211" s="241">
        <f>SUM(F209:F210)</f>
        <v>0</v>
      </c>
      <c r="G211" s="241">
        <f>SUM(G209:G210)</f>
        <v>0</v>
      </c>
      <c r="H211" s="241">
        <f>SUM(H209:H210)</f>
        <v>0</v>
      </c>
      <c r="I211" s="242">
        <f>SUM(F211:H211)</f>
        <v>0</v>
      </c>
      <c r="J211" s="241">
        <f>SUM(J209:J210)</f>
        <v>0</v>
      </c>
      <c r="K211" s="241">
        <f>SUM(K209:K210)</f>
        <v>0</v>
      </c>
      <c r="L211" s="241">
        <f>SUM(L209:L210)</f>
        <v>0</v>
      </c>
      <c r="M211" s="242">
        <f>SUM(J211:L211)</f>
        <v>0</v>
      </c>
      <c r="N211" s="241">
        <f>SUM(N209:N210)</f>
        <v>0</v>
      </c>
      <c r="O211" s="241">
        <f>SUM(O209:O210)</f>
        <v>0</v>
      </c>
      <c r="P211" s="241">
        <f>SUM(P209:P210)</f>
        <v>0</v>
      </c>
      <c r="Q211" s="242">
        <f>SUM(N211:P211)</f>
        <v>0</v>
      </c>
      <c r="R211" s="241">
        <f>SUM(R209:R210)</f>
        <v>0</v>
      </c>
      <c r="S211" s="241">
        <f>SUM(S209:S210)</f>
        <v>0</v>
      </c>
      <c r="T211" s="241">
        <f>SUM(T209:T210)</f>
        <v>0</v>
      </c>
      <c r="U211" s="242">
        <f>SUM(R211:T211)</f>
        <v>0</v>
      </c>
      <c r="V211" s="241">
        <f>SUM(V209:V210)</f>
        <v>0</v>
      </c>
      <c r="W211" s="241">
        <f>SUM(W209:W210)</f>
        <v>0</v>
      </c>
      <c r="X211" s="241">
        <f>SUM(X209:X210)</f>
        <v>0</v>
      </c>
      <c r="Y211" s="242">
        <f>SUM(V211:X211)</f>
        <v>0</v>
      </c>
    </row>
    <row r="212" spans="1:25" ht="12.75" hidden="1" customHeight="1" outlineLevel="2" x14ac:dyDescent="0.2">
      <c r="A212" s="188" t="str">
        <f>"   "&amp;Labels!B322</f>
        <v xml:space="preserve">   Sales</v>
      </c>
      <c r="B212" s="241"/>
      <c r="C212" s="241"/>
      <c r="D212" s="241"/>
      <c r="E212" s="242"/>
      <c r="F212" s="241"/>
      <c r="G212" s="241"/>
      <c r="H212" s="241"/>
      <c r="I212" s="242"/>
      <c r="J212" s="241"/>
      <c r="K212" s="241"/>
      <c r="L212" s="241"/>
      <c r="M212" s="242"/>
      <c r="N212" s="241"/>
      <c r="O212" s="241"/>
      <c r="P212" s="241"/>
      <c r="Q212" s="242"/>
      <c r="R212" s="241"/>
      <c r="S212" s="241"/>
      <c r="T212" s="241"/>
      <c r="U212" s="242"/>
      <c r="V212" s="241"/>
      <c r="W212" s="241"/>
      <c r="X212" s="241"/>
      <c r="Y212" s="242"/>
    </row>
    <row r="213" spans="1:25" ht="12.75" hidden="1" customHeight="1" outlineLevel="2" x14ac:dyDescent="0.2">
      <c r="A213" s="198" t="str">
        <f>"      "&amp;Labels!B393</f>
        <v xml:space="preserve">      Manager</v>
      </c>
      <c r="B213" s="243">
        <f>'Sup Staff'!B55*'Sup Staff'!B99*12*Inputs!I267</f>
        <v>0</v>
      </c>
      <c r="C213" s="243">
        <f>'Sup Staff'!C55*'Sup Staff'!C99*12*Inputs!I267</f>
        <v>0</v>
      </c>
      <c r="D213" s="243">
        <f>'Sup Staff'!D55*'Sup Staff'!D99*12*Inputs!I267</f>
        <v>0</v>
      </c>
      <c r="E213" s="244">
        <f t="shared" ref="E213:E218" si="96">SUM(B213:D213)</f>
        <v>0</v>
      </c>
      <c r="F213" s="243">
        <f>'Sup Staff'!F55*'Sup Staff'!F99*12*Inputs!I267</f>
        <v>0</v>
      </c>
      <c r="G213" s="243">
        <f>'Sup Staff'!G55*'Sup Staff'!G99*12*Inputs!I267</f>
        <v>0</v>
      </c>
      <c r="H213" s="243">
        <f>'Sup Staff'!H55*'Sup Staff'!H99*12*Inputs!I267</f>
        <v>0</v>
      </c>
      <c r="I213" s="244">
        <f t="shared" ref="I213:I218" si="97">SUM(F213:H213)</f>
        <v>0</v>
      </c>
      <c r="J213" s="243">
        <f>'Sup Staff'!J55*'Sup Staff'!J99*12*Inputs!I267</f>
        <v>0</v>
      </c>
      <c r="K213" s="243">
        <f>'Sup Staff'!K55*'Sup Staff'!K99*12*Inputs!I267</f>
        <v>0</v>
      </c>
      <c r="L213" s="243">
        <f>'Sup Staff'!L55*'Sup Staff'!L99*12*Inputs!I267</f>
        <v>0</v>
      </c>
      <c r="M213" s="244">
        <f t="shared" ref="M213:M218" si="98">SUM(J213:L213)</f>
        <v>0</v>
      </c>
      <c r="N213" s="243">
        <f>'Sup Staff'!N55*'Sup Staff'!N99*12*Inputs!I267</f>
        <v>0</v>
      </c>
      <c r="O213" s="243">
        <f>'Sup Staff'!O55*'Sup Staff'!O99*12*Inputs!I267</f>
        <v>0</v>
      </c>
      <c r="P213" s="243">
        <f>'Sup Staff'!P55*'Sup Staff'!P99*12*Inputs!I267</f>
        <v>0</v>
      </c>
      <c r="Q213" s="244">
        <f t="shared" ref="Q213:Q218" si="99">SUM(N213:P213)</f>
        <v>0</v>
      </c>
      <c r="R213" s="243">
        <f>'Sup Staff'!R55*'Sup Staff'!R99*12*Inputs!I267</f>
        <v>0</v>
      </c>
      <c r="S213" s="243">
        <f>'Sup Staff'!S55*'Sup Staff'!S99*12*Inputs!I267</f>
        <v>0</v>
      </c>
      <c r="T213" s="243">
        <f>'Sup Staff'!T55*'Sup Staff'!T99*12*Inputs!I267</f>
        <v>0</v>
      </c>
      <c r="U213" s="244">
        <f t="shared" ref="U213:U218" si="100">SUM(R213:T213)</f>
        <v>0</v>
      </c>
      <c r="V213" s="243">
        <f>'Sup Staff'!V55*'Sup Staff'!V99*12*Inputs!I267</f>
        <v>0</v>
      </c>
      <c r="W213" s="243">
        <f>'Sup Staff'!W55*'Sup Staff'!W99*12*Inputs!I267</f>
        <v>0</v>
      </c>
      <c r="X213" s="243">
        <f>'Sup Staff'!X55*'Sup Staff'!X99*12*Inputs!I267</f>
        <v>0</v>
      </c>
      <c r="Y213" s="244">
        <f t="shared" ref="Y213:Y218" si="101">SUM(V213:X213)</f>
        <v>0</v>
      </c>
    </row>
    <row r="214" spans="1:25" ht="12.75" hidden="1" customHeight="1" outlineLevel="2" x14ac:dyDescent="0.2">
      <c r="A214" s="198" t="str">
        <f>"      "&amp;Labels!B394</f>
        <v xml:space="preserve">      Contributor</v>
      </c>
      <c r="B214" s="243">
        <f>'Sup Staff'!B56*'Sup Staff'!B100*12*Inputs!I268</f>
        <v>0</v>
      </c>
      <c r="C214" s="243">
        <f>'Sup Staff'!C56*'Sup Staff'!C100*12*Inputs!I268</f>
        <v>0</v>
      </c>
      <c r="D214" s="243">
        <f>'Sup Staff'!D56*'Sup Staff'!D100*12*Inputs!I268</f>
        <v>0</v>
      </c>
      <c r="E214" s="244">
        <f t="shared" si="96"/>
        <v>0</v>
      </c>
      <c r="F214" s="243">
        <f>'Sup Staff'!F56*'Sup Staff'!F100*12*Inputs!I268</f>
        <v>0</v>
      </c>
      <c r="G214" s="243">
        <f>'Sup Staff'!G56*'Sup Staff'!G100*12*Inputs!I268</f>
        <v>0</v>
      </c>
      <c r="H214" s="243">
        <f>'Sup Staff'!H56*'Sup Staff'!H100*12*Inputs!I268</f>
        <v>0</v>
      </c>
      <c r="I214" s="244">
        <f t="shared" si="97"/>
        <v>0</v>
      </c>
      <c r="J214" s="243">
        <f>'Sup Staff'!J56*'Sup Staff'!J100*12*Inputs!I268</f>
        <v>0</v>
      </c>
      <c r="K214" s="243">
        <f>'Sup Staff'!K56*'Sup Staff'!K100*12*Inputs!I268</f>
        <v>0</v>
      </c>
      <c r="L214" s="243">
        <f>'Sup Staff'!L56*'Sup Staff'!L100*12*Inputs!I268</f>
        <v>0</v>
      </c>
      <c r="M214" s="244">
        <f t="shared" si="98"/>
        <v>0</v>
      </c>
      <c r="N214" s="243">
        <f>'Sup Staff'!N56*'Sup Staff'!N100*12*Inputs!I268</f>
        <v>0</v>
      </c>
      <c r="O214" s="243">
        <f>'Sup Staff'!O56*'Sup Staff'!O100*12*Inputs!I268</f>
        <v>0</v>
      </c>
      <c r="P214" s="243">
        <f>'Sup Staff'!P56*'Sup Staff'!P100*12*Inputs!I268</f>
        <v>0</v>
      </c>
      <c r="Q214" s="244">
        <f t="shared" si="99"/>
        <v>0</v>
      </c>
      <c r="R214" s="243">
        <f>'Sup Staff'!R56*'Sup Staff'!R100*12*Inputs!I268</f>
        <v>0</v>
      </c>
      <c r="S214" s="243">
        <f>'Sup Staff'!S56*'Sup Staff'!S100*12*Inputs!I268</f>
        <v>0</v>
      </c>
      <c r="T214" s="243">
        <f>'Sup Staff'!T56*'Sup Staff'!T100*12*Inputs!I268</f>
        <v>0</v>
      </c>
      <c r="U214" s="244">
        <f t="shared" si="100"/>
        <v>0</v>
      </c>
      <c r="V214" s="243">
        <f>'Sup Staff'!V56*'Sup Staff'!V100*12*Inputs!I268</f>
        <v>0</v>
      </c>
      <c r="W214" s="243">
        <f>'Sup Staff'!W56*'Sup Staff'!W100*12*Inputs!I268</f>
        <v>0</v>
      </c>
      <c r="X214" s="243">
        <f>'Sup Staff'!X56*'Sup Staff'!X100*12*Inputs!I268</f>
        <v>0</v>
      </c>
      <c r="Y214" s="244">
        <f t="shared" si="101"/>
        <v>0</v>
      </c>
    </row>
    <row r="215" spans="1:25" ht="12.75" hidden="1" customHeight="1" outlineLevel="2" x14ac:dyDescent="0.2">
      <c r="A215" s="188" t="str">
        <f>"      "&amp;Labels!C392</f>
        <v xml:space="preserve">      Total</v>
      </c>
      <c r="B215" s="241">
        <f>SUM(B213:B214)</f>
        <v>0</v>
      </c>
      <c r="C215" s="241">
        <f>SUM(C213:C214)</f>
        <v>0</v>
      </c>
      <c r="D215" s="241">
        <f>SUM(D213:D214)</f>
        <v>0</v>
      </c>
      <c r="E215" s="242">
        <f t="shared" si="96"/>
        <v>0</v>
      </c>
      <c r="F215" s="241">
        <f>SUM(F213:F214)</f>
        <v>0</v>
      </c>
      <c r="G215" s="241">
        <f>SUM(G213:G214)</f>
        <v>0</v>
      </c>
      <c r="H215" s="241">
        <f>SUM(H213:H214)</f>
        <v>0</v>
      </c>
      <c r="I215" s="242">
        <f t="shared" si="97"/>
        <v>0</v>
      </c>
      <c r="J215" s="241">
        <f>SUM(J213:J214)</f>
        <v>0</v>
      </c>
      <c r="K215" s="241">
        <f>SUM(K213:K214)</f>
        <v>0</v>
      </c>
      <c r="L215" s="241">
        <f>SUM(L213:L214)</f>
        <v>0</v>
      </c>
      <c r="M215" s="242">
        <f t="shared" si="98"/>
        <v>0</v>
      </c>
      <c r="N215" s="241">
        <f>SUM(N213:N214)</f>
        <v>0</v>
      </c>
      <c r="O215" s="241">
        <f>SUM(O213:O214)</f>
        <v>0</v>
      </c>
      <c r="P215" s="241">
        <f>SUM(P213:P214)</f>
        <v>0</v>
      </c>
      <c r="Q215" s="242">
        <f t="shared" si="99"/>
        <v>0</v>
      </c>
      <c r="R215" s="241">
        <f>SUM(R213:R214)</f>
        <v>0</v>
      </c>
      <c r="S215" s="241">
        <f>SUM(S213:S214)</f>
        <v>0</v>
      </c>
      <c r="T215" s="241">
        <f>SUM(T213:T214)</f>
        <v>0</v>
      </c>
      <c r="U215" s="242">
        <f t="shared" si="100"/>
        <v>0</v>
      </c>
      <c r="V215" s="241">
        <f>SUM(V213:V214)</f>
        <v>0</v>
      </c>
      <c r="W215" s="241">
        <f>SUM(W213:W214)</f>
        <v>0</v>
      </c>
      <c r="X215" s="241">
        <f>SUM(X213:X214)</f>
        <v>0</v>
      </c>
      <c r="Y215" s="242">
        <f t="shared" si="101"/>
        <v>0</v>
      </c>
    </row>
    <row r="216" spans="1:25" ht="12.75" hidden="1" customHeight="1" outlineLevel="2" x14ac:dyDescent="0.2">
      <c r="A216" s="191" t="str">
        <f>"   "&amp;Labels!C320</f>
        <v xml:space="preserve">   Total</v>
      </c>
      <c r="B216" s="245">
        <f>SUM(B211,B215)</f>
        <v>0</v>
      </c>
      <c r="C216" s="245">
        <f>SUM(C211,C215)</f>
        <v>0</v>
      </c>
      <c r="D216" s="245">
        <f>SUM(D211,D215)</f>
        <v>0</v>
      </c>
      <c r="E216" s="246">
        <f t="shared" si="96"/>
        <v>0</v>
      </c>
      <c r="F216" s="245">
        <f>SUM(F211,F215)</f>
        <v>0</v>
      </c>
      <c r="G216" s="245">
        <f>SUM(G211,G215)</f>
        <v>0</v>
      </c>
      <c r="H216" s="245">
        <f>SUM(H211,H215)</f>
        <v>0</v>
      </c>
      <c r="I216" s="246">
        <f t="shared" si="97"/>
        <v>0</v>
      </c>
      <c r="J216" s="245">
        <f>SUM(J211,J215)</f>
        <v>0</v>
      </c>
      <c r="K216" s="245">
        <f>SUM(K211,K215)</f>
        <v>0</v>
      </c>
      <c r="L216" s="245">
        <f>SUM(L211,L215)</f>
        <v>0</v>
      </c>
      <c r="M216" s="246">
        <f t="shared" si="98"/>
        <v>0</v>
      </c>
      <c r="N216" s="245">
        <f>SUM(N211,N215)</f>
        <v>0</v>
      </c>
      <c r="O216" s="245">
        <f>SUM(O211,O215)</f>
        <v>0</v>
      </c>
      <c r="P216" s="245">
        <f>SUM(P211,P215)</f>
        <v>0</v>
      </c>
      <c r="Q216" s="246">
        <f t="shared" si="99"/>
        <v>0</v>
      </c>
      <c r="R216" s="245">
        <f>SUM(R211,R215)</f>
        <v>0</v>
      </c>
      <c r="S216" s="245">
        <f>SUM(S211,S215)</f>
        <v>0</v>
      </c>
      <c r="T216" s="245">
        <f>SUM(T211,T215)</f>
        <v>0</v>
      </c>
      <c r="U216" s="246">
        <f t="shared" si="100"/>
        <v>0</v>
      </c>
      <c r="V216" s="245">
        <f>SUM(V211,V215)</f>
        <v>0</v>
      </c>
      <c r="W216" s="245">
        <f>SUM(W211,W215)</f>
        <v>0</v>
      </c>
      <c r="X216" s="245">
        <f>SUM(X211,X215)</f>
        <v>0</v>
      </c>
      <c r="Y216" s="246">
        <f t="shared" si="101"/>
        <v>0</v>
      </c>
    </row>
    <row r="217" spans="1:25" ht="12.75" hidden="1" customHeight="1" outlineLevel="2" x14ac:dyDescent="0.2">
      <c r="A217" s="198" t="str">
        <f>"      "&amp;Labels!B393</f>
        <v xml:space="preserve">      Manager</v>
      </c>
      <c r="B217" s="243">
        <f t="shared" ref="B217:D219" si="102">SUM(B209,B213)</f>
        <v>0</v>
      </c>
      <c r="C217" s="243">
        <f t="shared" si="102"/>
        <v>0</v>
      </c>
      <c r="D217" s="243">
        <f t="shared" si="102"/>
        <v>0</v>
      </c>
      <c r="E217" s="244">
        <f t="shared" si="96"/>
        <v>0</v>
      </c>
      <c r="F217" s="243">
        <f t="shared" ref="F217:H219" si="103">SUM(F209,F213)</f>
        <v>0</v>
      </c>
      <c r="G217" s="243">
        <f t="shared" si="103"/>
        <v>0</v>
      </c>
      <c r="H217" s="243">
        <f t="shared" si="103"/>
        <v>0</v>
      </c>
      <c r="I217" s="244">
        <f t="shared" si="97"/>
        <v>0</v>
      </c>
      <c r="J217" s="243">
        <f t="shared" ref="J217:L219" si="104">SUM(J209,J213)</f>
        <v>0</v>
      </c>
      <c r="K217" s="243">
        <f t="shared" si="104"/>
        <v>0</v>
      </c>
      <c r="L217" s="243">
        <f t="shared" si="104"/>
        <v>0</v>
      </c>
      <c r="M217" s="244">
        <f t="shared" si="98"/>
        <v>0</v>
      </c>
      <c r="N217" s="243">
        <f t="shared" ref="N217:P219" si="105">SUM(N209,N213)</f>
        <v>0</v>
      </c>
      <c r="O217" s="243">
        <f t="shared" si="105"/>
        <v>0</v>
      </c>
      <c r="P217" s="243">
        <f t="shared" si="105"/>
        <v>0</v>
      </c>
      <c r="Q217" s="244">
        <f t="shared" si="99"/>
        <v>0</v>
      </c>
      <c r="R217" s="243">
        <f t="shared" ref="R217:T219" si="106">SUM(R209,R213)</f>
        <v>0</v>
      </c>
      <c r="S217" s="243">
        <f t="shared" si="106"/>
        <v>0</v>
      </c>
      <c r="T217" s="243">
        <f t="shared" si="106"/>
        <v>0</v>
      </c>
      <c r="U217" s="244">
        <f t="shared" si="100"/>
        <v>0</v>
      </c>
      <c r="V217" s="243">
        <f t="shared" ref="V217:X219" si="107">SUM(V209,V213)</f>
        <v>0</v>
      </c>
      <c r="W217" s="243">
        <f t="shared" si="107"/>
        <v>0</v>
      </c>
      <c r="X217" s="243">
        <f t="shared" si="107"/>
        <v>0</v>
      </c>
      <c r="Y217" s="244">
        <f t="shared" si="101"/>
        <v>0</v>
      </c>
    </row>
    <row r="218" spans="1:25" ht="12.75" hidden="1" customHeight="1" outlineLevel="2" x14ac:dyDescent="0.2">
      <c r="A218" s="198" t="str">
        <f>"      "&amp;Labels!B394</f>
        <v xml:space="preserve">      Contributor</v>
      </c>
      <c r="B218" s="243">
        <f t="shared" si="102"/>
        <v>0</v>
      </c>
      <c r="C218" s="243">
        <f t="shared" si="102"/>
        <v>0</v>
      </c>
      <c r="D218" s="243">
        <f t="shared" si="102"/>
        <v>0</v>
      </c>
      <c r="E218" s="244">
        <f t="shared" si="96"/>
        <v>0</v>
      </c>
      <c r="F218" s="243">
        <f t="shared" si="103"/>
        <v>0</v>
      </c>
      <c r="G218" s="243">
        <f t="shared" si="103"/>
        <v>0</v>
      </c>
      <c r="H218" s="243">
        <f t="shared" si="103"/>
        <v>0</v>
      </c>
      <c r="I218" s="244">
        <f t="shared" si="97"/>
        <v>0</v>
      </c>
      <c r="J218" s="243">
        <f t="shared" si="104"/>
        <v>0</v>
      </c>
      <c r="K218" s="243">
        <f t="shared" si="104"/>
        <v>0</v>
      </c>
      <c r="L218" s="243">
        <f t="shared" si="104"/>
        <v>0</v>
      </c>
      <c r="M218" s="244">
        <f t="shared" si="98"/>
        <v>0</v>
      </c>
      <c r="N218" s="243">
        <f t="shared" si="105"/>
        <v>0</v>
      </c>
      <c r="O218" s="243">
        <f t="shared" si="105"/>
        <v>0</v>
      </c>
      <c r="P218" s="243">
        <f t="shared" si="105"/>
        <v>0</v>
      </c>
      <c r="Q218" s="244">
        <f t="shared" si="99"/>
        <v>0</v>
      </c>
      <c r="R218" s="243">
        <f t="shared" si="106"/>
        <v>0</v>
      </c>
      <c r="S218" s="243">
        <f t="shared" si="106"/>
        <v>0</v>
      </c>
      <c r="T218" s="243">
        <f t="shared" si="106"/>
        <v>0</v>
      </c>
      <c r="U218" s="244">
        <f t="shared" si="100"/>
        <v>0</v>
      </c>
      <c r="V218" s="243">
        <f t="shared" si="107"/>
        <v>0</v>
      </c>
      <c r="W218" s="243">
        <f t="shared" si="107"/>
        <v>0</v>
      </c>
      <c r="X218" s="243">
        <f t="shared" si="107"/>
        <v>0</v>
      </c>
      <c r="Y218" s="244">
        <f t="shared" si="101"/>
        <v>0</v>
      </c>
    </row>
    <row r="219" spans="1:25" ht="12.75" hidden="1" customHeight="1" outlineLevel="2" x14ac:dyDescent="0.2">
      <c r="A219" s="220" t="str">
        <f>"      "&amp;Labels!C392</f>
        <v xml:space="preserve">      Total</v>
      </c>
      <c r="B219" s="320">
        <f t="shared" si="102"/>
        <v>0</v>
      </c>
      <c r="C219" s="320">
        <f t="shared" si="102"/>
        <v>0</v>
      </c>
      <c r="D219" s="320">
        <f t="shared" si="102"/>
        <v>0</v>
      </c>
      <c r="E219" s="321">
        <f>SUM(B216:D216)</f>
        <v>0</v>
      </c>
      <c r="F219" s="320">
        <f t="shared" si="103"/>
        <v>0</v>
      </c>
      <c r="G219" s="320">
        <f t="shared" si="103"/>
        <v>0</v>
      </c>
      <c r="H219" s="320">
        <f t="shared" si="103"/>
        <v>0</v>
      </c>
      <c r="I219" s="321">
        <f>SUM(F216:H216)</f>
        <v>0</v>
      </c>
      <c r="J219" s="320">
        <f t="shared" si="104"/>
        <v>0</v>
      </c>
      <c r="K219" s="320">
        <f t="shared" si="104"/>
        <v>0</v>
      </c>
      <c r="L219" s="320">
        <f t="shared" si="104"/>
        <v>0</v>
      </c>
      <c r="M219" s="321">
        <f>SUM(J216:L216)</f>
        <v>0</v>
      </c>
      <c r="N219" s="320">
        <f t="shared" si="105"/>
        <v>0</v>
      </c>
      <c r="O219" s="320">
        <f t="shared" si="105"/>
        <v>0</v>
      </c>
      <c r="P219" s="320">
        <f t="shared" si="105"/>
        <v>0</v>
      </c>
      <c r="Q219" s="321">
        <f>SUM(N216:P216)</f>
        <v>0</v>
      </c>
      <c r="R219" s="320">
        <f t="shared" si="106"/>
        <v>0</v>
      </c>
      <c r="S219" s="320">
        <f t="shared" si="106"/>
        <v>0</v>
      </c>
      <c r="T219" s="320">
        <f t="shared" si="106"/>
        <v>0</v>
      </c>
      <c r="U219" s="321">
        <f>SUM(R216:T216)</f>
        <v>0</v>
      </c>
      <c r="V219" s="320">
        <f t="shared" si="107"/>
        <v>0</v>
      </c>
      <c r="W219" s="320">
        <f t="shared" si="107"/>
        <v>0</v>
      </c>
      <c r="X219" s="320">
        <f t="shared" si="107"/>
        <v>0</v>
      </c>
      <c r="Y219" s="321">
        <f>SUM(V216:X216)</f>
        <v>0</v>
      </c>
    </row>
    <row r="220" spans="1:25" ht="12.75" hidden="1" customHeight="1" outlineLevel="2" collapsed="1" x14ac:dyDescent="0.2"/>
    <row r="221" spans="1:25" ht="12.75" hidden="1" customHeight="1" outlineLevel="1" collapsed="1" x14ac:dyDescent="0.2">
      <c r="A221" t="s">
        <v>3402</v>
      </c>
      <c r="B221" t="s">
        <v>3402</v>
      </c>
      <c r="C221" t="s">
        <v>3402</v>
      </c>
      <c r="D221" t="s">
        <v>3402</v>
      </c>
      <c r="E221" t="s">
        <v>3402</v>
      </c>
      <c r="F221" t="s">
        <v>3402</v>
      </c>
      <c r="G221" t="s">
        <v>3402</v>
      </c>
      <c r="H221" t="s">
        <v>3402</v>
      </c>
      <c r="I221" t="s">
        <v>3402</v>
      </c>
      <c r="J221" t="s">
        <v>3402</v>
      </c>
      <c r="K221" t="s">
        <v>3402</v>
      </c>
      <c r="L221" t="s">
        <v>3402</v>
      </c>
      <c r="M221" t="s">
        <v>3402</v>
      </c>
      <c r="N221" t="s">
        <v>3402</v>
      </c>
      <c r="O221" t="s">
        <v>3402</v>
      </c>
      <c r="P221" t="s">
        <v>3402</v>
      </c>
      <c r="Q221" t="s">
        <v>3402</v>
      </c>
      <c r="R221" t="s">
        <v>3402</v>
      </c>
      <c r="S221" t="s">
        <v>3402</v>
      </c>
      <c r="T221" t="s">
        <v>3402</v>
      </c>
      <c r="U221" t="s">
        <v>3402</v>
      </c>
      <c r="V221" t="s">
        <v>3402</v>
      </c>
      <c r="W221" t="s">
        <v>3402</v>
      </c>
      <c r="X221" t="s">
        <v>3402</v>
      </c>
      <c r="Y221" t="s">
        <v>3402</v>
      </c>
    </row>
    <row r="222" spans="1:25" ht="12.75" customHeight="1" collapsed="1" x14ac:dyDescent="0.2"/>
  </sheetData>
  <mergeCells count="15">
    <mergeCell ref="A188:C188"/>
    <mergeCell ref="A204:C204"/>
    <mergeCell ref="A205:C205"/>
    <mergeCell ref="A44:B44"/>
    <mergeCell ref="A65:E65"/>
    <mergeCell ref="A75:B75"/>
    <mergeCell ref="A93:C93"/>
    <mergeCell ref="A182:B182"/>
    <mergeCell ref="A187:C187"/>
    <mergeCell ref="A13:B13"/>
    <mergeCell ref="A1:C1"/>
    <mergeCell ref="A2:C2"/>
    <mergeCell ref="A3:C3"/>
    <mergeCell ref="A4:C4"/>
    <mergeCell ref="A5:B5"/>
  </mergeCells>
  <pageMargins left="0.25" right="0.25" top="0.5" bottom="0.5" header="0.5" footer="0.5"/>
  <pageSetup paperSize="9" fitToHeight="32767" orientation="landscape" horizontalDpi="300" verticalDpi="300"/>
  <headerFooter alignWithMargins="0"/>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pageSetUpPr fitToPage="1"/>
  </sheetPr>
  <dimension ref="A1:Y143"/>
  <sheetViews>
    <sheetView zoomScaleNormal="100" workbookViewId="0">
      <selection sqref="A1:C1"/>
    </sheetView>
  </sheetViews>
  <sheetFormatPr defaultRowHeight="12.75" customHeight="1" outlineLevelRow="1" x14ac:dyDescent="0.2"/>
  <cols>
    <col min="1" max="1" width="23.7109375" customWidth="1"/>
    <col min="2" max="25" width="12.42578125" customWidth="1"/>
  </cols>
  <sheetData>
    <row r="1" spans="1:25" ht="12.75" customHeight="1" x14ac:dyDescent="0.2">
      <c r="A1" s="463" t="str">
        <f>Inputs!F7</f>
        <v xml:space="preserve"> </v>
      </c>
      <c r="B1" s="463"/>
      <c r="C1" s="463"/>
    </row>
    <row r="2" spans="1:25" ht="12.75" customHeight="1" x14ac:dyDescent="0.2">
      <c r="A2" s="463" t="e">
        <f>TEXT('(FnCalls 1)'!A41,"m/d/yyyy")&amp;" to "&amp;TEXT('(FnCalls 1)'!A59-1,"m/d/yyyy")</f>
        <v>#VALUE!</v>
      </c>
      <c r="B2" s="463"/>
      <c r="C2" s="463"/>
    </row>
    <row r="3" spans="1:25" ht="12.75" customHeight="1" x14ac:dyDescent="0.2">
      <c r="A3" s="463" t="str">
        <f>"Support Staff"</f>
        <v>Support Staff</v>
      </c>
      <c r="B3" s="463"/>
      <c r="C3" s="463"/>
    </row>
    <row r="4" spans="1:25" ht="12.75" customHeight="1" x14ac:dyDescent="0.2">
      <c r="A4" s="463" t="str">
        <f>""</f>
        <v/>
      </c>
      <c r="B4" s="463"/>
      <c r="C4" s="463"/>
    </row>
    <row r="5" spans="1:25" ht="12.75" customHeight="1" x14ac:dyDescent="0.2">
      <c r="A5" s="464" t="str">
        <f>"Overview by Department"</f>
        <v>Overview by Department</v>
      </c>
      <c r="B5" s="464"/>
      <c r="C5" s="464"/>
      <c r="D5" s="464"/>
    </row>
    <row r="6" spans="1:25" ht="12.75" customHeight="1" x14ac:dyDescent="0.2">
      <c r="B6" s="9" t="str">
        <f>'(FnCalls 1)'!F41</f>
        <v>MMM 2010</v>
      </c>
      <c r="C6" s="10" t="str">
        <f>'(FnCalls 1)'!F42</f>
        <v>MMM 2010</v>
      </c>
      <c r="D6" s="10" t="str">
        <f>'(FnCalls 1)'!F43</f>
        <v>MMM 2010</v>
      </c>
      <c r="E6" s="181" t="str">
        <f>'(FnCalls 1)'!G41</f>
        <v>Q1 2010</v>
      </c>
      <c r="F6" s="10" t="str">
        <f>'(FnCalls 1)'!F44</f>
        <v>MMM 2010</v>
      </c>
      <c r="G6" s="10" t="str">
        <f>'(FnCalls 1)'!F45</f>
        <v>MMM 2010</v>
      </c>
      <c r="H6" s="10" t="str">
        <f>'(FnCalls 1)'!F46</f>
        <v>MMM 2010</v>
      </c>
      <c r="I6" s="181" t="str">
        <f>'(FnCalls 1)'!G44</f>
        <v>Q2 2010</v>
      </c>
      <c r="J6" s="10" t="str">
        <f>'(FnCalls 1)'!F47</f>
        <v>MMM 2010</v>
      </c>
      <c r="K6" s="10" t="str">
        <f>'(FnCalls 1)'!F48</f>
        <v>MMM 2010</v>
      </c>
      <c r="L6" s="10" t="str">
        <f>'(FnCalls 1)'!F49</f>
        <v>MMM 2010</v>
      </c>
      <c r="M6" s="181" t="str">
        <f>'(FnCalls 1)'!G47</f>
        <v>Q3 2010</v>
      </c>
      <c r="N6" s="10" t="str">
        <f>'(FnCalls 1)'!F50</f>
        <v>MMM 2010</v>
      </c>
      <c r="O6" s="10" t="str">
        <f>'(FnCalls 1)'!F51</f>
        <v>MMM 2010</v>
      </c>
      <c r="P6" s="10" t="str">
        <f>'(FnCalls 1)'!F52</f>
        <v>MMM 2010</v>
      </c>
      <c r="Q6" s="181" t="str">
        <f>'(FnCalls 1)'!G50</f>
        <v>Q4 2010</v>
      </c>
      <c r="R6" s="10" t="str">
        <f>'(FnCalls 1)'!F53</f>
        <v>MMM 2011</v>
      </c>
      <c r="S6" s="10" t="str">
        <f>'(FnCalls 1)'!F54</f>
        <v>MMM 2011</v>
      </c>
      <c r="T6" s="10" t="str">
        <f>'(FnCalls 1)'!F55</f>
        <v>MMM 2011</v>
      </c>
      <c r="U6" s="181" t="str">
        <f>'(FnCalls 1)'!G53</f>
        <v>Q1 2011</v>
      </c>
      <c r="V6" s="10" t="str">
        <f>'(FnCalls 1)'!F56</f>
        <v>MMM 2011</v>
      </c>
      <c r="W6" s="10" t="str">
        <f>'(FnCalls 1)'!F57</f>
        <v>MMM 2011</v>
      </c>
      <c r="X6" s="10" t="str">
        <f>'(FnCalls 1)'!F58</f>
        <v>MMM 2011</v>
      </c>
      <c r="Y6" s="181" t="str">
        <f>'(FnCalls 1)'!G56</f>
        <v>Q2 2011</v>
      </c>
    </row>
    <row r="7" spans="1:25" ht="12.75" customHeight="1" x14ac:dyDescent="0.2">
      <c r="A7" s="182" t="str">
        <f>Labels!B249</f>
        <v>Support Staff Count</v>
      </c>
      <c r="B7" s="223"/>
      <c r="C7" s="223"/>
      <c r="D7" s="223"/>
      <c r="E7" s="224"/>
      <c r="F7" s="223"/>
      <c r="G7" s="223"/>
      <c r="H7" s="223"/>
      <c r="I7" s="224"/>
      <c r="J7" s="223"/>
      <c r="K7" s="223"/>
      <c r="L7" s="223"/>
      <c r="M7" s="224"/>
      <c r="N7" s="223"/>
      <c r="O7" s="223"/>
      <c r="P7" s="223"/>
      <c r="Q7" s="224"/>
      <c r="R7" s="223"/>
      <c r="S7" s="223"/>
      <c r="T7" s="223"/>
      <c r="U7" s="224"/>
      <c r="V7" s="223"/>
      <c r="W7" s="223"/>
      <c r="X7" s="223"/>
      <c r="Y7" s="224"/>
    </row>
    <row r="8" spans="1:25" ht="12.75" customHeight="1" x14ac:dyDescent="0.2">
      <c r="A8" s="188" t="str">
        <f>"   "&amp;Labels!B321</f>
        <v xml:space="preserve">   Marketing</v>
      </c>
      <c r="B8" s="166">
        <f>SUM(B23:B24)</f>
        <v>0</v>
      </c>
      <c r="C8" s="166">
        <f>SUM(C23:C24)</f>
        <v>0</v>
      </c>
      <c r="D8" s="166">
        <f>SUM(D23:D24)</f>
        <v>0</v>
      </c>
      <c r="E8" s="225">
        <f>SUM(D23:D24)</f>
        <v>0</v>
      </c>
      <c r="F8" s="166">
        <f>SUM(F23:F24)</f>
        <v>0</v>
      </c>
      <c r="G8" s="166">
        <f>SUM(G23:G24)</f>
        <v>0</v>
      </c>
      <c r="H8" s="166">
        <f>SUM(H23:H24)</f>
        <v>0</v>
      </c>
      <c r="I8" s="225">
        <f>SUM(H23:H24)</f>
        <v>0</v>
      </c>
      <c r="J8" s="166">
        <f>SUM(J23:J24)</f>
        <v>0</v>
      </c>
      <c r="K8" s="166">
        <f>SUM(K23:K24)</f>
        <v>0</v>
      </c>
      <c r="L8" s="166">
        <f>SUM(L23:L24)</f>
        <v>0</v>
      </c>
      <c r="M8" s="225">
        <f>SUM(L23:L24)</f>
        <v>0</v>
      </c>
      <c r="N8" s="166">
        <f>SUM(N23:N24)</f>
        <v>0</v>
      </c>
      <c r="O8" s="166">
        <f>SUM(O23:O24)</f>
        <v>0</v>
      </c>
      <c r="P8" s="166">
        <f>SUM(P23:P24)</f>
        <v>0</v>
      </c>
      <c r="Q8" s="225">
        <f>SUM(P23:P24)</f>
        <v>0</v>
      </c>
      <c r="R8" s="166">
        <f>SUM(R23:R24)</f>
        <v>0</v>
      </c>
      <c r="S8" s="166">
        <f>SUM(S23:S24)</f>
        <v>0</v>
      </c>
      <c r="T8" s="166">
        <f>SUM(T23:T24)</f>
        <v>0</v>
      </c>
      <c r="U8" s="225">
        <f>SUM(T23:T24)</f>
        <v>0</v>
      </c>
      <c r="V8" s="166">
        <f>SUM(V23:V24)</f>
        <v>0</v>
      </c>
      <c r="W8" s="166">
        <f>SUM(W23:W24)</f>
        <v>0</v>
      </c>
      <c r="X8" s="166">
        <f>SUM(X23:X24)</f>
        <v>0</v>
      </c>
      <c r="Y8" s="225">
        <f>SUM(X23:X24)</f>
        <v>0</v>
      </c>
    </row>
    <row r="9" spans="1:25" ht="12.75" customHeight="1" x14ac:dyDescent="0.2">
      <c r="A9" s="188" t="str">
        <f>"   "&amp;Labels!B322</f>
        <v xml:space="preserve">   Sales</v>
      </c>
      <c r="B9" s="166">
        <f>SUM(B27:B28)</f>
        <v>0</v>
      </c>
      <c r="C9" s="166">
        <f>SUM(C27:C28)</f>
        <v>0</v>
      </c>
      <c r="D9" s="166">
        <f>SUM(D27:D28)</f>
        <v>0</v>
      </c>
      <c r="E9" s="225">
        <f>SUM(D27:D28)</f>
        <v>0</v>
      </c>
      <c r="F9" s="166">
        <f>SUM(F27:F28)</f>
        <v>0</v>
      </c>
      <c r="G9" s="166">
        <f>SUM(G27:G28)</f>
        <v>0</v>
      </c>
      <c r="H9" s="166">
        <f>SUM(H27:H28)</f>
        <v>0</v>
      </c>
      <c r="I9" s="225">
        <f>SUM(H27:H28)</f>
        <v>0</v>
      </c>
      <c r="J9" s="166">
        <f>SUM(J27:J28)</f>
        <v>0</v>
      </c>
      <c r="K9" s="166">
        <f>SUM(K27:K28)</f>
        <v>0</v>
      </c>
      <c r="L9" s="166">
        <f>SUM(L27:L28)</f>
        <v>0</v>
      </c>
      <c r="M9" s="225">
        <f>SUM(L27:L28)</f>
        <v>0</v>
      </c>
      <c r="N9" s="166">
        <f>SUM(N27:N28)</f>
        <v>0</v>
      </c>
      <c r="O9" s="166">
        <f>SUM(O27:O28)</f>
        <v>0</v>
      </c>
      <c r="P9" s="166">
        <f>SUM(P27:P28)</f>
        <v>0</v>
      </c>
      <c r="Q9" s="225">
        <f>SUM(P27:P28)</f>
        <v>0</v>
      </c>
      <c r="R9" s="166">
        <f>SUM(R27:R28)</f>
        <v>0</v>
      </c>
      <c r="S9" s="166">
        <f>SUM(S27:S28)</f>
        <v>0</v>
      </c>
      <c r="T9" s="166">
        <f>SUM(T27:T28)</f>
        <v>0</v>
      </c>
      <c r="U9" s="225">
        <f>SUM(T27:T28)</f>
        <v>0</v>
      </c>
      <c r="V9" s="166">
        <f>SUM(V27:V28)</f>
        <v>0</v>
      </c>
      <c r="W9" s="166">
        <f>SUM(W27:W28)</f>
        <v>0</v>
      </c>
      <c r="X9" s="166">
        <f>SUM(X27:X28)</f>
        <v>0</v>
      </c>
      <c r="Y9" s="225">
        <f>SUM(X27:X28)</f>
        <v>0</v>
      </c>
    </row>
    <row r="10" spans="1:25" ht="12.75" customHeight="1" x14ac:dyDescent="0.2">
      <c r="A10" s="191" t="str">
        <f>"   "&amp;Labels!C320</f>
        <v xml:space="preserve">   Total</v>
      </c>
      <c r="B10" s="216">
        <f>SUM(B8:B9)</f>
        <v>0</v>
      </c>
      <c r="C10" s="216">
        <f>SUM(C8:C9)</f>
        <v>0</v>
      </c>
      <c r="D10" s="216">
        <f>SUM(D8:D9)</f>
        <v>0</v>
      </c>
      <c r="E10" s="217">
        <f>SUM(D8:D9)</f>
        <v>0</v>
      </c>
      <c r="F10" s="216">
        <f>SUM(F8:F9)</f>
        <v>0</v>
      </c>
      <c r="G10" s="216">
        <f>SUM(G8:G9)</f>
        <v>0</v>
      </c>
      <c r="H10" s="216">
        <f>SUM(H8:H9)</f>
        <v>0</v>
      </c>
      <c r="I10" s="217">
        <f>SUM(H8:H9)</f>
        <v>0</v>
      </c>
      <c r="J10" s="216">
        <f>SUM(J8:J9)</f>
        <v>0</v>
      </c>
      <c r="K10" s="216">
        <f>SUM(K8:K9)</f>
        <v>0</v>
      </c>
      <c r="L10" s="216">
        <f>SUM(L8:L9)</f>
        <v>0</v>
      </c>
      <c r="M10" s="217">
        <f>SUM(L8:L9)</f>
        <v>0</v>
      </c>
      <c r="N10" s="216">
        <f>SUM(N8:N9)</f>
        <v>0</v>
      </c>
      <c r="O10" s="216">
        <f>SUM(O8:O9)</f>
        <v>0</v>
      </c>
      <c r="P10" s="216">
        <f>SUM(P8:P9)</f>
        <v>0</v>
      </c>
      <c r="Q10" s="217">
        <f>SUM(P8:P9)</f>
        <v>0</v>
      </c>
      <c r="R10" s="216">
        <f>SUM(R8:R9)</f>
        <v>0</v>
      </c>
      <c r="S10" s="216">
        <f>SUM(S8:S9)</f>
        <v>0</v>
      </c>
      <c r="T10" s="216">
        <f>SUM(T8:T9)</f>
        <v>0</v>
      </c>
      <c r="U10" s="217">
        <f>SUM(T8:T9)</f>
        <v>0</v>
      </c>
      <c r="V10" s="216">
        <f>SUM(V8:V9)</f>
        <v>0</v>
      </c>
      <c r="W10" s="216">
        <f>SUM(W8:W9)</f>
        <v>0</v>
      </c>
      <c r="X10" s="216">
        <f>SUM(X8:X9)</f>
        <v>0</v>
      </c>
      <c r="Y10" s="217">
        <f>SUM(X8:X9)</f>
        <v>0</v>
      </c>
    </row>
    <row r="11" spans="1:25" ht="12.75" customHeight="1" x14ac:dyDescent="0.2">
      <c r="A11" s="97"/>
      <c r="B11" s="6"/>
      <c r="C11" s="6"/>
      <c r="D11" s="6"/>
      <c r="E11" s="97"/>
      <c r="F11" s="6"/>
      <c r="G11" s="6"/>
      <c r="H11" s="6"/>
      <c r="I11" s="97"/>
      <c r="J11" s="6"/>
      <c r="K11" s="6"/>
      <c r="L11" s="6"/>
      <c r="M11" s="97"/>
      <c r="N11" s="6"/>
      <c r="O11" s="6"/>
      <c r="P11" s="6"/>
      <c r="Q11" s="97"/>
      <c r="R11" s="6"/>
      <c r="S11" s="6"/>
      <c r="T11" s="6"/>
      <c r="U11" s="97"/>
      <c r="V11" s="6"/>
      <c r="W11" s="6"/>
      <c r="X11" s="6"/>
      <c r="Y11" s="97"/>
    </row>
    <row r="12" spans="1:25" ht="12.75" customHeight="1" x14ac:dyDescent="0.2">
      <c r="A12" s="191" t="str">
        <f>Labels!B254</f>
        <v>Support Staff Expense</v>
      </c>
      <c r="B12" s="192"/>
      <c r="C12" s="192"/>
      <c r="D12" s="192"/>
      <c r="E12" s="190"/>
      <c r="F12" s="192"/>
      <c r="G12" s="192"/>
      <c r="H12" s="192"/>
      <c r="I12" s="190"/>
      <c r="J12" s="192"/>
      <c r="K12" s="192"/>
      <c r="L12" s="192"/>
      <c r="M12" s="190"/>
      <c r="N12" s="192"/>
      <c r="O12" s="192"/>
      <c r="P12" s="192"/>
      <c r="Q12" s="190"/>
      <c r="R12" s="192"/>
      <c r="S12" s="192"/>
      <c r="T12" s="192"/>
      <c r="U12" s="190"/>
      <c r="V12" s="192"/>
      <c r="W12" s="192"/>
      <c r="X12" s="192"/>
      <c r="Y12" s="190"/>
    </row>
    <row r="13" spans="1:25" ht="12.75" customHeight="1" x14ac:dyDescent="0.2">
      <c r="A13" s="188" t="str">
        <f>"   "&amp;Labels!B321</f>
        <v xml:space="preserve">   Marketing</v>
      </c>
      <c r="B13" s="196">
        <f>SUM(B67:B68)</f>
        <v>0</v>
      </c>
      <c r="C13" s="196">
        <f>SUM(C67:C68)</f>
        <v>0</v>
      </c>
      <c r="D13" s="196">
        <f>SUM(D67:D68)</f>
        <v>0</v>
      </c>
      <c r="E13" s="197">
        <f>SUM(B13:D13)</f>
        <v>0</v>
      </c>
      <c r="F13" s="196">
        <f>SUM(F67:F68)</f>
        <v>0</v>
      </c>
      <c r="G13" s="196">
        <f>SUM(G67:G68)</f>
        <v>0</v>
      </c>
      <c r="H13" s="196">
        <f>SUM(H67:H68)</f>
        <v>0</v>
      </c>
      <c r="I13" s="197">
        <f>SUM(F13:H13)</f>
        <v>0</v>
      </c>
      <c r="J13" s="196">
        <f>SUM(J67:J68)</f>
        <v>0</v>
      </c>
      <c r="K13" s="196">
        <f>SUM(K67:K68)</f>
        <v>0</v>
      </c>
      <c r="L13" s="196">
        <f>SUM(L67:L68)</f>
        <v>0</v>
      </c>
      <c r="M13" s="197">
        <f>SUM(J13:L13)</f>
        <v>0</v>
      </c>
      <c r="N13" s="196">
        <f>SUM(N67:N68)</f>
        <v>0</v>
      </c>
      <c r="O13" s="196">
        <f>SUM(O67:O68)</f>
        <v>0</v>
      </c>
      <c r="P13" s="196">
        <f>SUM(P67:P68)</f>
        <v>0</v>
      </c>
      <c r="Q13" s="197">
        <f>SUM(N13:P13)</f>
        <v>0</v>
      </c>
      <c r="R13" s="196">
        <f>SUM(R67:R68)</f>
        <v>0</v>
      </c>
      <c r="S13" s="196">
        <f>SUM(S67:S68)</f>
        <v>0</v>
      </c>
      <c r="T13" s="196">
        <f>SUM(T67:T68)</f>
        <v>0</v>
      </c>
      <c r="U13" s="197">
        <f>SUM(R13:T13)</f>
        <v>0</v>
      </c>
      <c r="V13" s="196">
        <f>SUM(V67:V68)</f>
        <v>0</v>
      </c>
      <c r="W13" s="196">
        <f>SUM(W67:W68)</f>
        <v>0</v>
      </c>
      <c r="X13" s="196">
        <f>SUM(X67:X68)</f>
        <v>0</v>
      </c>
      <c r="Y13" s="197">
        <f>SUM(V13:X13)</f>
        <v>0</v>
      </c>
    </row>
    <row r="14" spans="1:25" ht="12.75" customHeight="1" x14ac:dyDescent="0.2">
      <c r="A14" s="188" t="str">
        <f>"   "&amp;Labels!B322</f>
        <v xml:space="preserve">   Sales</v>
      </c>
      <c r="B14" s="196">
        <f>SUM(B71:B72)</f>
        <v>0</v>
      </c>
      <c r="C14" s="196">
        <f>SUM(C71:C72)</f>
        <v>0</v>
      </c>
      <c r="D14" s="196">
        <f>SUM(D71:D72)</f>
        <v>0</v>
      </c>
      <c r="E14" s="197">
        <f>SUM(B14:D14)</f>
        <v>0</v>
      </c>
      <c r="F14" s="196">
        <f>SUM(F71:F72)</f>
        <v>0</v>
      </c>
      <c r="G14" s="196">
        <f>SUM(G71:G72)</f>
        <v>0</v>
      </c>
      <c r="H14" s="196">
        <f>SUM(H71:H72)</f>
        <v>0</v>
      </c>
      <c r="I14" s="197">
        <f>SUM(F14:H14)</f>
        <v>0</v>
      </c>
      <c r="J14" s="196">
        <f>SUM(J71:J72)</f>
        <v>0</v>
      </c>
      <c r="K14" s="196">
        <f>SUM(K71:K72)</f>
        <v>0</v>
      </c>
      <c r="L14" s="196">
        <f>SUM(L71:L72)</f>
        <v>0</v>
      </c>
      <c r="M14" s="197">
        <f>SUM(J14:L14)</f>
        <v>0</v>
      </c>
      <c r="N14" s="196">
        <f>SUM(N71:N72)</f>
        <v>0</v>
      </c>
      <c r="O14" s="196">
        <f>SUM(O71:O72)</f>
        <v>0</v>
      </c>
      <c r="P14" s="196">
        <f>SUM(P71:P72)</f>
        <v>0</v>
      </c>
      <c r="Q14" s="197">
        <f>SUM(N14:P14)</f>
        <v>0</v>
      </c>
      <c r="R14" s="196">
        <f>SUM(R71:R72)</f>
        <v>0</v>
      </c>
      <c r="S14" s="196">
        <f>SUM(S71:S72)</f>
        <v>0</v>
      </c>
      <c r="T14" s="196">
        <f>SUM(T71:T72)</f>
        <v>0</v>
      </c>
      <c r="U14" s="197">
        <f>SUM(R14:T14)</f>
        <v>0</v>
      </c>
      <c r="V14" s="196">
        <f>SUM(V71:V72)</f>
        <v>0</v>
      </c>
      <c r="W14" s="196">
        <f>SUM(W71:W72)</f>
        <v>0</v>
      </c>
      <c r="X14" s="196">
        <f>SUM(X71:X72)</f>
        <v>0</v>
      </c>
      <c r="Y14" s="197">
        <f>SUM(V14:X14)</f>
        <v>0</v>
      </c>
    </row>
    <row r="15" spans="1:25" ht="12.75" customHeight="1" x14ac:dyDescent="0.2">
      <c r="A15" s="185" t="str">
        <f>"   "&amp;Labels!C320</f>
        <v xml:space="preserve">   Total</v>
      </c>
      <c r="B15" s="176">
        <f>SUM(B13:B14)</f>
        <v>0</v>
      </c>
      <c r="C15" s="176">
        <f>SUM(C13:C14)</f>
        <v>0</v>
      </c>
      <c r="D15" s="176">
        <f>SUM(D13:D14)</f>
        <v>0</v>
      </c>
      <c r="E15" s="193">
        <f>SUM(B15:D15)</f>
        <v>0</v>
      </c>
      <c r="F15" s="176">
        <f>SUM(F13:F14)</f>
        <v>0</v>
      </c>
      <c r="G15" s="176">
        <f>SUM(G13:G14)</f>
        <v>0</v>
      </c>
      <c r="H15" s="176">
        <f>SUM(H13:H14)</f>
        <v>0</v>
      </c>
      <c r="I15" s="193">
        <f>SUM(F15:H15)</f>
        <v>0</v>
      </c>
      <c r="J15" s="176">
        <f>SUM(J13:J14)</f>
        <v>0</v>
      </c>
      <c r="K15" s="176">
        <f>SUM(K13:K14)</f>
        <v>0</v>
      </c>
      <c r="L15" s="176">
        <f>SUM(L13:L14)</f>
        <v>0</v>
      </c>
      <c r="M15" s="193">
        <f>SUM(J15:L15)</f>
        <v>0</v>
      </c>
      <c r="N15" s="176">
        <f>SUM(N13:N14)</f>
        <v>0</v>
      </c>
      <c r="O15" s="176">
        <f>SUM(O13:O14)</f>
        <v>0</v>
      </c>
      <c r="P15" s="176">
        <f>SUM(P13:P14)</f>
        <v>0</v>
      </c>
      <c r="Q15" s="193">
        <f>SUM(N15:P15)</f>
        <v>0</v>
      </c>
      <c r="R15" s="176">
        <f>SUM(R13:R14)</f>
        <v>0</v>
      </c>
      <c r="S15" s="176">
        <f>SUM(S13:S14)</f>
        <v>0</v>
      </c>
      <c r="T15" s="176">
        <f>SUM(T13:T14)</f>
        <v>0</v>
      </c>
      <c r="U15" s="193">
        <f>SUM(R15:T15)</f>
        <v>0</v>
      </c>
      <c r="V15" s="176">
        <f>SUM(V13:V14)</f>
        <v>0</v>
      </c>
      <c r="W15" s="176">
        <f>SUM(W13:W14)</f>
        <v>0</v>
      </c>
      <c r="X15" s="176">
        <f>SUM(X13:X14)</f>
        <v>0</v>
      </c>
      <c r="Y15" s="193">
        <f>SUM(V15:X15)</f>
        <v>0</v>
      </c>
    </row>
    <row r="17" spans="1:25" ht="12.75" customHeight="1" x14ac:dyDescent="0.2">
      <c r="A17" s="464" t="str">
        <f>"Support Staff Detail"</f>
        <v>Support Staff Detail</v>
      </c>
      <c r="B17" s="464"/>
    </row>
    <row r="18" spans="1:25" ht="12.75" customHeight="1" x14ac:dyDescent="0.2">
      <c r="A18" s="1" t="str">
        <f>" "</f>
        <v xml:space="preserve"> </v>
      </c>
    </row>
    <row r="19" spans="1:25" ht="12.75" customHeight="1" collapsed="1" x14ac:dyDescent="0.2">
      <c r="A19" s="465" t="str">
        <f>"Support Staff Count"</f>
        <v>Support Staff Count</v>
      </c>
      <c r="B19" s="465"/>
    </row>
    <row r="20" spans="1:25" ht="12.75" hidden="1" customHeight="1" outlineLevel="1" x14ac:dyDescent="0.2">
      <c r="B20" s="9" t="str">
        <f>'(FnCalls 1)'!F41</f>
        <v>MMM 2010</v>
      </c>
      <c r="C20" s="10" t="str">
        <f>'(FnCalls 1)'!F42</f>
        <v>MMM 2010</v>
      </c>
      <c r="D20" s="10" t="str">
        <f>'(FnCalls 1)'!F43</f>
        <v>MMM 2010</v>
      </c>
      <c r="E20" s="181" t="str">
        <f>'(FnCalls 1)'!G41</f>
        <v>Q1 2010</v>
      </c>
      <c r="F20" s="10" t="str">
        <f>'(FnCalls 1)'!F44</f>
        <v>MMM 2010</v>
      </c>
      <c r="G20" s="10" t="str">
        <f>'(FnCalls 1)'!F45</f>
        <v>MMM 2010</v>
      </c>
      <c r="H20" s="10" t="str">
        <f>'(FnCalls 1)'!F46</f>
        <v>MMM 2010</v>
      </c>
      <c r="I20" s="181" t="str">
        <f>'(FnCalls 1)'!G44</f>
        <v>Q2 2010</v>
      </c>
      <c r="J20" s="10" t="str">
        <f>'(FnCalls 1)'!F47</f>
        <v>MMM 2010</v>
      </c>
      <c r="K20" s="10" t="str">
        <f>'(FnCalls 1)'!F48</f>
        <v>MMM 2010</v>
      </c>
      <c r="L20" s="10" t="str">
        <f>'(FnCalls 1)'!F49</f>
        <v>MMM 2010</v>
      </c>
      <c r="M20" s="181" t="str">
        <f>'(FnCalls 1)'!G47</f>
        <v>Q3 2010</v>
      </c>
      <c r="N20" s="10" t="str">
        <f>'(FnCalls 1)'!F50</f>
        <v>MMM 2010</v>
      </c>
      <c r="O20" s="10" t="str">
        <f>'(FnCalls 1)'!F51</f>
        <v>MMM 2010</v>
      </c>
      <c r="P20" s="10" t="str">
        <f>'(FnCalls 1)'!F52</f>
        <v>MMM 2010</v>
      </c>
      <c r="Q20" s="181" t="str">
        <f>'(FnCalls 1)'!G50</f>
        <v>Q4 2010</v>
      </c>
      <c r="R20" s="10" t="str">
        <f>'(FnCalls 1)'!F53</f>
        <v>MMM 2011</v>
      </c>
      <c r="S20" s="10" t="str">
        <f>'(FnCalls 1)'!F54</f>
        <v>MMM 2011</v>
      </c>
      <c r="T20" s="10" t="str">
        <f>'(FnCalls 1)'!F55</f>
        <v>MMM 2011</v>
      </c>
      <c r="U20" s="181" t="str">
        <f>'(FnCalls 1)'!G53</f>
        <v>Q1 2011</v>
      </c>
      <c r="V20" s="10" t="str">
        <f>'(FnCalls 1)'!F56</f>
        <v>MMM 2011</v>
      </c>
      <c r="W20" s="10" t="str">
        <f>'(FnCalls 1)'!F57</f>
        <v>MMM 2011</v>
      </c>
      <c r="X20" s="10" t="str">
        <f>'(FnCalls 1)'!F58</f>
        <v>MMM 2011</v>
      </c>
      <c r="Y20" s="181" t="str">
        <f>'(FnCalls 1)'!G56</f>
        <v>Q2 2011</v>
      </c>
    </row>
    <row r="21" spans="1:25" ht="12.75" hidden="1" customHeight="1" outlineLevel="1" x14ac:dyDescent="0.2">
      <c r="A21" s="182" t="str">
        <f>Labels!B249</f>
        <v>Support Staff Count</v>
      </c>
      <c r="B21" s="223"/>
      <c r="C21" s="223"/>
      <c r="D21" s="223"/>
      <c r="E21" s="224"/>
      <c r="F21" s="223"/>
      <c r="G21" s="223"/>
      <c r="H21" s="223"/>
      <c r="I21" s="224"/>
      <c r="J21" s="223"/>
      <c r="K21" s="223"/>
      <c r="L21" s="223"/>
      <c r="M21" s="224"/>
      <c r="N21" s="223"/>
      <c r="O21" s="223"/>
      <c r="P21" s="223"/>
      <c r="Q21" s="224"/>
      <c r="R21" s="223"/>
      <c r="S21" s="223"/>
      <c r="T21" s="223"/>
      <c r="U21" s="224"/>
      <c r="V21" s="223"/>
      <c r="W21" s="223"/>
      <c r="X21" s="223"/>
      <c r="Y21" s="224"/>
    </row>
    <row r="22" spans="1:25" ht="12.75" hidden="1" customHeight="1" outlineLevel="1" x14ac:dyDescent="0.2">
      <c r="A22" s="188" t="str">
        <f>"   "&amp;Labels!B321</f>
        <v xml:space="preserve">   Marketing</v>
      </c>
      <c r="B22" s="166"/>
      <c r="C22" s="166"/>
      <c r="D22" s="166"/>
      <c r="E22" s="225"/>
      <c r="F22" s="166"/>
      <c r="G22" s="166"/>
      <c r="H22" s="166"/>
      <c r="I22" s="225"/>
      <c r="J22" s="166"/>
      <c r="K22" s="166"/>
      <c r="L22" s="166"/>
      <c r="M22" s="225"/>
      <c r="N22" s="166"/>
      <c r="O22" s="166"/>
      <c r="P22" s="166"/>
      <c r="Q22" s="225"/>
      <c r="R22" s="166"/>
      <c r="S22" s="166"/>
      <c r="T22" s="166"/>
      <c r="U22" s="225"/>
      <c r="V22" s="166"/>
      <c r="W22" s="166"/>
      <c r="X22" s="166"/>
      <c r="Y22" s="225"/>
    </row>
    <row r="23" spans="1:25" ht="12.75" hidden="1" customHeight="1" outlineLevel="1" x14ac:dyDescent="0.2">
      <c r="A23" s="198" t="str">
        <f>"      "&amp;Labels!B393</f>
        <v xml:space="preserve">      Manager</v>
      </c>
      <c r="B23" s="262">
        <f>0.5*ROUND(2*'(Tables)'!B1213,0)</f>
        <v>0</v>
      </c>
      <c r="C23" s="262">
        <f>0.5*ROUND(2*'(Tables)'!C1213,0)</f>
        <v>0</v>
      </c>
      <c r="D23" s="262">
        <f>0.5*ROUND(2*'(Tables)'!D1213,0)</f>
        <v>0</v>
      </c>
      <c r="E23" s="217">
        <f>D23</f>
        <v>0</v>
      </c>
      <c r="F23" s="262">
        <f>0.5*ROUND(2*'(Tables)'!E1213,0)</f>
        <v>0</v>
      </c>
      <c r="G23" s="262">
        <f>0.5*ROUND(2*'(Tables)'!F1213,0)</f>
        <v>0</v>
      </c>
      <c r="H23" s="262">
        <f>0.5*ROUND(2*'(Tables)'!G1213,0)</f>
        <v>0</v>
      </c>
      <c r="I23" s="217">
        <f>H23</f>
        <v>0</v>
      </c>
      <c r="J23" s="262">
        <f>0.5*ROUND(2*'(Tables)'!H1213,0)</f>
        <v>0</v>
      </c>
      <c r="K23" s="262">
        <f>0.5*ROUND(2*'(Tables)'!I1213,0)</f>
        <v>0</v>
      </c>
      <c r="L23" s="262">
        <f>0.5*ROUND(2*'(Tables)'!J1213,0)</f>
        <v>0</v>
      </c>
      <c r="M23" s="217">
        <f>L23</f>
        <v>0</v>
      </c>
      <c r="N23" s="262">
        <f>0.5*ROUND(2*'(Tables)'!K1213,0)</f>
        <v>0</v>
      </c>
      <c r="O23" s="262">
        <f>0.5*ROUND(2*'(Tables)'!L1213,0)</f>
        <v>0</v>
      </c>
      <c r="P23" s="262">
        <f>0.5*ROUND(2*'(Tables)'!M1213,0)</f>
        <v>0</v>
      </c>
      <c r="Q23" s="217">
        <f>P23</f>
        <v>0</v>
      </c>
      <c r="R23" s="262">
        <f>0.5*ROUND(2*'(Tables)'!N1213,0)</f>
        <v>0</v>
      </c>
      <c r="S23" s="262">
        <f>0.5*ROUND(2*'(Tables)'!O1213,0)</f>
        <v>0</v>
      </c>
      <c r="T23" s="262">
        <f>0.5*ROUND(2*'(Tables)'!P1213,0)</f>
        <v>0</v>
      </c>
      <c r="U23" s="217">
        <f>T23</f>
        <v>0</v>
      </c>
      <c r="V23" s="262">
        <f>0.5*ROUND(2*'(Tables)'!Q1213,0)</f>
        <v>0</v>
      </c>
      <c r="W23" s="262">
        <f>0.5*ROUND(2*'(Tables)'!R1213,0)</f>
        <v>0</v>
      </c>
      <c r="X23" s="262">
        <f>0.5*ROUND(2*'(Tables)'!S1213,0)</f>
        <v>0</v>
      </c>
      <c r="Y23" s="217">
        <f>X23</f>
        <v>0</v>
      </c>
    </row>
    <row r="24" spans="1:25" ht="12.75" hidden="1" customHeight="1" outlineLevel="1" x14ac:dyDescent="0.2">
      <c r="A24" s="198" t="str">
        <f>"      "&amp;Labels!B394</f>
        <v xml:space="preserve">      Contributor</v>
      </c>
      <c r="B24" s="262">
        <f>0.5*ROUND(2*'(Tables)'!B1214,0)</f>
        <v>0</v>
      </c>
      <c r="C24" s="262">
        <f>0.5*ROUND(2*'(Tables)'!C1214,0)</f>
        <v>0</v>
      </c>
      <c r="D24" s="262">
        <f>0.5*ROUND(2*'(Tables)'!D1214,0)</f>
        <v>0</v>
      </c>
      <c r="E24" s="217">
        <f>D24</f>
        <v>0</v>
      </c>
      <c r="F24" s="262">
        <f>0.5*ROUND(2*'(Tables)'!E1214,0)</f>
        <v>0</v>
      </c>
      <c r="G24" s="262">
        <f>0.5*ROUND(2*'(Tables)'!F1214,0)</f>
        <v>0</v>
      </c>
      <c r="H24" s="262">
        <f>0.5*ROUND(2*'(Tables)'!G1214,0)</f>
        <v>0</v>
      </c>
      <c r="I24" s="217">
        <f>H24</f>
        <v>0</v>
      </c>
      <c r="J24" s="262">
        <f>0.5*ROUND(2*'(Tables)'!H1214,0)</f>
        <v>0</v>
      </c>
      <c r="K24" s="262">
        <f>0.5*ROUND(2*'(Tables)'!I1214,0)</f>
        <v>0</v>
      </c>
      <c r="L24" s="262">
        <f>0.5*ROUND(2*'(Tables)'!J1214,0)</f>
        <v>0</v>
      </c>
      <c r="M24" s="217">
        <f>L24</f>
        <v>0</v>
      </c>
      <c r="N24" s="262">
        <f>0.5*ROUND(2*'(Tables)'!K1214,0)</f>
        <v>0</v>
      </c>
      <c r="O24" s="262">
        <f>0.5*ROUND(2*'(Tables)'!L1214,0)</f>
        <v>0</v>
      </c>
      <c r="P24" s="262">
        <f>0.5*ROUND(2*'(Tables)'!M1214,0)</f>
        <v>0</v>
      </c>
      <c r="Q24" s="217">
        <f>P24</f>
        <v>0</v>
      </c>
      <c r="R24" s="262">
        <f>0.5*ROUND(2*'(Tables)'!N1214,0)</f>
        <v>0</v>
      </c>
      <c r="S24" s="262">
        <f>0.5*ROUND(2*'(Tables)'!O1214,0)</f>
        <v>0</v>
      </c>
      <c r="T24" s="262">
        <f>0.5*ROUND(2*'(Tables)'!P1214,0)</f>
        <v>0</v>
      </c>
      <c r="U24" s="217">
        <f>T24</f>
        <v>0</v>
      </c>
      <c r="V24" s="262">
        <f>0.5*ROUND(2*'(Tables)'!Q1214,0)</f>
        <v>0</v>
      </c>
      <c r="W24" s="262">
        <f>0.5*ROUND(2*'(Tables)'!R1214,0)</f>
        <v>0</v>
      </c>
      <c r="X24" s="262">
        <f>0.5*ROUND(2*'(Tables)'!S1214,0)</f>
        <v>0</v>
      </c>
      <c r="Y24" s="217">
        <f>X24</f>
        <v>0</v>
      </c>
    </row>
    <row r="25" spans="1:25" ht="12.75" hidden="1" customHeight="1" outlineLevel="1" x14ac:dyDescent="0.2">
      <c r="A25" s="188" t="str">
        <f>"      "&amp;Labels!C392</f>
        <v xml:space="preserve">      Total</v>
      </c>
      <c r="B25" s="166">
        <f>SUM(B23:B24)</f>
        <v>0</v>
      </c>
      <c r="C25" s="166">
        <f>SUM(C23:C24)</f>
        <v>0</v>
      </c>
      <c r="D25" s="166">
        <f>SUM(D23:D24)</f>
        <v>0</v>
      </c>
      <c r="E25" s="225">
        <f>SUM(D23:D24)</f>
        <v>0</v>
      </c>
      <c r="F25" s="166">
        <f>SUM(F23:F24)</f>
        <v>0</v>
      </c>
      <c r="G25" s="166">
        <f>SUM(G23:G24)</f>
        <v>0</v>
      </c>
      <c r="H25" s="166">
        <f>SUM(H23:H24)</f>
        <v>0</v>
      </c>
      <c r="I25" s="225">
        <f>SUM(H23:H24)</f>
        <v>0</v>
      </c>
      <c r="J25" s="166">
        <f>SUM(J23:J24)</f>
        <v>0</v>
      </c>
      <c r="K25" s="166">
        <f>SUM(K23:K24)</f>
        <v>0</v>
      </c>
      <c r="L25" s="166">
        <f>SUM(L23:L24)</f>
        <v>0</v>
      </c>
      <c r="M25" s="225">
        <f>SUM(L23:L24)</f>
        <v>0</v>
      </c>
      <c r="N25" s="166">
        <f>SUM(N23:N24)</f>
        <v>0</v>
      </c>
      <c r="O25" s="166">
        <f>SUM(O23:O24)</f>
        <v>0</v>
      </c>
      <c r="P25" s="166">
        <f>SUM(P23:P24)</f>
        <v>0</v>
      </c>
      <c r="Q25" s="225">
        <f>SUM(P23:P24)</f>
        <v>0</v>
      </c>
      <c r="R25" s="166">
        <f>SUM(R23:R24)</f>
        <v>0</v>
      </c>
      <c r="S25" s="166">
        <f>SUM(S23:S24)</f>
        <v>0</v>
      </c>
      <c r="T25" s="166">
        <f>SUM(T23:T24)</f>
        <v>0</v>
      </c>
      <c r="U25" s="225">
        <f>SUM(T23:T24)</f>
        <v>0</v>
      </c>
      <c r="V25" s="166">
        <f>SUM(V23:V24)</f>
        <v>0</v>
      </c>
      <c r="W25" s="166">
        <f>SUM(W23:W24)</f>
        <v>0</v>
      </c>
      <c r="X25" s="166">
        <f>SUM(X23:X24)</f>
        <v>0</v>
      </c>
      <c r="Y25" s="225">
        <f>SUM(X23:X24)</f>
        <v>0</v>
      </c>
    </row>
    <row r="26" spans="1:25" ht="12.75" hidden="1" customHeight="1" outlineLevel="1" x14ac:dyDescent="0.2">
      <c r="A26" s="188" t="str">
        <f>"   "&amp;Labels!B322</f>
        <v xml:space="preserve">   Sales</v>
      </c>
      <c r="B26" s="166"/>
      <c r="C26" s="166"/>
      <c r="D26" s="166"/>
      <c r="E26" s="225"/>
      <c r="F26" s="166"/>
      <c r="G26" s="166"/>
      <c r="H26" s="166"/>
      <c r="I26" s="225"/>
      <c r="J26" s="166"/>
      <c r="K26" s="166"/>
      <c r="L26" s="166"/>
      <c r="M26" s="225"/>
      <c r="N26" s="166"/>
      <c r="O26" s="166"/>
      <c r="P26" s="166"/>
      <c r="Q26" s="225"/>
      <c r="R26" s="166"/>
      <c r="S26" s="166"/>
      <c r="T26" s="166"/>
      <c r="U26" s="225"/>
      <c r="V26" s="166"/>
      <c r="W26" s="166"/>
      <c r="X26" s="166"/>
      <c r="Y26" s="225"/>
    </row>
    <row r="27" spans="1:25" ht="12.75" hidden="1" customHeight="1" outlineLevel="1" x14ac:dyDescent="0.2">
      <c r="A27" s="198" t="str">
        <f>"      "&amp;Labels!B393</f>
        <v xml:space="preserve">      Manager</v>
      </c>
      <c r="B27" s="262">
        <f>0.5*ROUND(2*'(Tables)'!B1217,0)</f>
        <v>0</v>
      </c>
      <c r="C27" s="262">
        <f>0.5*ROUND(2*'(Tables)'!C1217,0)</f>
        <v>0</v>
      </c>
      <c r="D27" s="262">
        <f>0.5*ROUND(2*'(Tables)'!D1217,0)</f>
        <v>0</v>
      </c>
      <c r="E27" s="217">
        <f>D27</f>
        <v>0</v>
      </c>
      <c r="F27" s="262">
        <f>0.5*ROUND(2*'(Tables)'!E1217,0)</f>
        <v>0</v>
      </c>
      <c r="G27" s="262">
        <f>0.5*ROUND(2*'(Tables)'!F1217,0)</f>
        <v>0</v>
      </c>
      <c r="H27" s="262">
        <f>0.5*ROUND(2*'(Tables)'!G1217,0)</f>
        <v>0</v>
      </c>
      <c r="I27" s="217">
        <f>H27</f>
        <v>0</v>
      </c>
      <c r="J27" s="262">
        <f>0.5*ROUND(2*'(Tables)'!H1217,0)</f>
        <v>0</v>
      </c>
      <c r="K27" s="262">
        <f>0.5*ROUND(2*'(Tables)'!I1217,0)</f>
        <v>0</v>
      </c>
      <c r="L27" s="262">
        <f>0.5*ROUND(2*'(Tables)'!J1217,0)</f>
        <v>0</v>
      </c>
      <c r="M27" s="217">
        <f>L27</f>
        <v>0</v>
      </c>
      <c r="N27" s="262">
        <f>0.5*ROUND(2*'(Tables)'!K1217,0)</f>
        <v>0</v>
      </c>
      <c r="O27" s="262">
        <f>0.5*ROUND(2*'(Tables)'!L1217,0)</f>
        <v>0</v>
      </c>
      <c r="P27" s="262">
        <f>0.5*ROUND(2*'(Tables)'!M1217,0)</f>
        <v>0</v>
      </c>
      <c r="Q27" s="217">
        <f>P27</f>
        <v>0</v>
      </c>
      <c r="R27" s="262">
        <f>0.5*ROUND(2*'(Tables)'!N1217,0)</f>
        <v>0</v>
      </c>
      <c r="S27" s="262">
        <f>0.5*ROUND(2*'(Tables)'!O1217,0)</f>
        <v>0</v>
      </c>
      <c r="T27" s="262">
        <f>0.5*ROUND(2*'(Tables)'!P1217,0)</f>
        <v>0</v>
      </c>
      <c r="U27" s="217">
        <f>T27</f>
        <v>0</v>
      </c>
      <c r="V27" s="262">
        <f>0.5*ROUND(2*'(Tables)'!Q1217,0)</f>
        <v>0</v>
      </c>
      <c r="W27" s="262">
        <f>0.5*ROUND(2*'(Tables)'!R1217,0)</f>
        <v>0</v>
      </c>
      <c r="X27" s="262">
        <f>0.5*ROUND(2*'(Tables)'!S1217,0)</f>
        <v>0</v>
      </c>
      <c r="Y27" s="217">
        <f>X27</f>
        <v>0</v>
      </c>
    </row>
    <row r="28" spans="1:25" ht="12.75" hidden="1" customHeight="1" outlineLevel="1" x14ac:dyDescent="0.2">
      <c r="A28" s="198" t="str">
        <f>"      "&amp;Labels!B394</f>
        <v xml:space="preserve">      Contributor</v>
      </c>
      <c r="B28" s="262">
        <f>0.5*ROUND(2*'(Tables)'!B1218,0)</f>
        <v>0</v>
      </c>
      <c r="C28" s="262">
        <f>0.5*ROUND(2*'(Tables)'!C1218,0)</f>
        <v>0</v>
      </c>
      <c r="D28" s="262">
        <f>0.5*ROUND(2*'(Tables)'!D1218,0)</f>
        <v>0</v>
      </c>
      <c r="E28" s="217">
        <f>D28</f>
        <v>0</v>
      </c>
      <c r="F28" s="262">
        <f>0.5*ROUND(2*'(Tables)'!E1218,0)</f>
        <v>0</v>
      </c>
      <c r="G28" s="262">
        <f>0.5*ROUND(2*'(Tables)'!F1218,0)</f>
        <v>0</v>
      </c>
      <c r="H28" s="262">
        <f>0.5*ROUND(2*'(Tables)'!G1218,0)</f>
        <v>0</v>
      </c>
      <c r="I28" s="217">
        <f>H28</f>
        <v>0</v>
      </c>
      <c r="J28" s="262">
        <f>0.5*ROUND(2*'(Tables)'!H1218,0)</f>
        <v>0</v>
      </c>
      <c r="K28" s="262">
        <f>0.5*ROUND(2*'(Tables)'!I1218,0)</f>
        <v>0</v>
      </c>
      <c r="L28" s="262">
        <f>0.5*ROUND(2*'(Tables)'!J1218,0)</f>
        <v>0</v>
      </c>
      <c r="M28" s="217">
        <f>L28</f>
        <v>0</v>
      </c>
      <c r="N28" s="262">
        <f>0.5*ROUND(2*'(Tables)'!K1218,0)</f>
        <v>0</v>
      </c>
      <c r="O28" s="262">
        <f>0.5*ROUND(2*'(Tables)'!L1218,0)</f>
        <v>0</v>
      </c>
      <c r="P28" s="262">
        <f>0.5*ROUND(2*'(Tables)'!M1218,0)</f>
        <v>0</v>
      </c>
      <c r="Q28" s="217">
        <f>P28</f>
        <v>0</v>
      </c>
      <c r="R28" s="262">
        <f>0.5*ROUND(2*'(Tables)'!N1218,0)</f>
        <v>0</v>
      </c>
      <c r="S28" s="262">
        <f>0.5*ROUND(2*'(Tables)'!O1218,0)</f>
        <v>0</v>
      </c>
      <c r="T28" s="262">
        <f>0.5*ROUND(2*'(Tables)'!P1218,0)</f>
        <v>0</v>
      </c>
      <c r="U28" s="217">
        <f>T28</f>
        <v>0</v>
      </c>
      <c r="V28" s="262">
        <f>0.5*ROUND(2*'(Tables)'!Q1218,0)</f>
        <v>0</v>
      </c>
      <c r="W28" s="262">
        <f>0.5*ROUND(2*'(Tables)'!R1218,0)</f>
        <v>0</v>
      </c>
      <c r="X28" s="262">
        <f>0.5*ROUND(2*'(Tables)'!S1218,0)</f>
        <v>0</v>
      </c>
      <c r="Y28" s="217">
        <f>X28</f>
        <v>0</v>
      </c>
    </row>
    <row r="29" spans="1:25" ht="12.75" hidden="1" customHeight="1" outlineLevel="1" x14ac:dyDescent="0.2">
      <c r="A29" s="188" t="str">
        <f>"      "&amp;Labels!C392</f>
        <v xml:space="preserve">      Total</v>
      </c>
      <c r="B29" s="166">
        <f>SUM(B27:B28)</f>
        <v>0</v>
      </c>
      <c r="C29" s="166">
        <f>SUM(C27:C28)</f>
        <v>0</v>
      </c>
      <c r="D29" s="166">
        <f>SUM(D27:D28)</f>
        <v>0</v>
      </c>
      <c r="E29" s="225">
        <f>SUM(D27:D28)</f>
        <v>0</v>
      </c>
      <c r="F29" s="166">
        <f>SUM(F27:F28)</f>
        <v>0</v>
      </c>
      <c r="G29" s="166">
        <f>SUM(G27:G28)</f>
        <v>0</v>
      </c>
      <c r="H29" s="166">
        <f>SUM(H27:H28)</f>
        <v>0</v>
      </c>
      <c r="I29" s="225">
        <f>SUM(H27:H28)</f>
        <v>0</v>
      </c>
      <c r="J29" s="166">
        <f>SUM(J27:J28)</f>
        <v>0</v>
      </c>
      <c r="K29" s="166">
        <f>SUM(K27:K28)</f>
        <v>0</v>
      </c>
      <c r="L29" s="166">
        <f>SUM(L27:L28)</f>
        <v>0</v>
      </c>
      <c r="M29" s="225">
        <f>SUM(L27:L28)</f>
        <v>0</v>
      </c>
      <c r="N29" s="166">
        <f>SUM(N27:N28)</f>
        <v>0</v>
      </c>
      <c r="O29" s="166">
        <f>SUM(O27:O28)</f>
        <v>0</v>
      </c>
      <c r="P29" s="166">
        <f>SUM(P27:P28)</f>
        <v>0</v>
      </c>
      <c r="Q29" s="225">
        <f>SUM(P27:P28)</f>
        <v>0</v>
      </c>
      <c r="R29" s="166">
        <f>SUM(R27:R28)</f>
        <v>0</v>
      </c>
      <c r="S29" s="166">
        <f>SUM(S27:S28)</f>
        <v>0</v>
      </c>
      <c r="T29" s="166">
        <f>SUM(T27:T28)</f>
        <v>0</v>
      </c>
      <c r="U29" s="225">
        <f>SUM(T27:T28)</f>
        <v>0</v>
      </c>
      <c r="V29" s="166">
        <f>SUM(V27:V28)</f>
        <v>0</v>
      </c>
      <c r="W29" s="166">
        <f>SUM(W27:W28)</f>
        <v>0</v>
      </c>
      <c r="X29" s="166">
        <f>SUM(X27:X28)</f>
        <v>0</v>
      </c>
      <c r="Y29" s="225">
        <f>SUM(X27:X28)</f>
        <v>0</v>
      </c>
    </row>
    <row r="30" spans="1:25" ht="12.75" hidden="1" customHeight="1" outlineLevel="1" x14ac:dyDescent="0.2">
      <c r="A30" s="191" t="str">
        <f>"   "&amp;Labels!C320</f>
        <v xml:space="preserve">   Total</v>
      </c>
      <c r="B30" s="216">
        <f>SUM(B25,B29)</f>
        <v>0</v>
      </c>
      <c r="C30" s="216">
        <f>SUM(C25,C29)</f>
        <v>0</v>
      </c>
      <c r="D30" s="216">
        <f>SUM(D25,D29)</f>
        <v>0</v>
      </c>
      <c r="E30" s="217">
        <f>SUM(D25,D29)</f>
        <v>0</v>
      </c>
      <c r="F30" s="216">
        <f>SUM(F25,F29)</f>
        <v>0</v>
      </c>
      <c r="G30" s="216">
        <f>SUM(G25,G29)</f>
        <v>0</v>
      </c>
      <c r="H30" s="216">
        <f>SUM(H25,H29)</f>
        <v>0</v>
      </c>
      <c r="I30" s="217">
        <f>SUM(H25,H29)</f>
        <v>0</v>
      </c>
      <c r="J30" s="216">
        <f>SUM(J25,J29)</f>
        <v>0</v>
      </c>
      <c r="K30" s="216">
        <f>SUM(K25,K29)</f>
        <v>0</v>
      </c>
      <c r="L30" s="216">
        <f>SUM(L25,L29)</f>
        <v>0</v>
      </c>
      <c r="M30" s="217">
        <f>SUM(L25,L29)</f>
        <v>0</v>
      </c>
      <c r="N30" s="216">
        <f>SUM(N25,N29)</f>
        <v>0</v>
      </c>
      <c r="O30" s="216">
        <f>SUM(O25,O29)</f>
        <v>0</v>
      </c>
      <c r="P30" s="216">
        <f>SUM(P25,P29)</f>
        <v>0</v>
      </c>
      <c r="Q30" s="217">
        <f>SUM(P25,P29)</f>
        <v>0</v>
      </c>
      <c r="R30" s="216">
        <f>SUM(R25,R29)</f>
        <v>0</v>
      </c>
      <c r="S30" s="216">
        <f>SUM(S25,S29)</f>
        <v>0</v>
      </c>
      <c r="T30" s="216">
        <f>SUM(T25,T29)</f>
        <v>0</v>
      </c>
      <c r="U30" s="217">
        <f>SUM(T25,T29)</f>
        <v>0</v>
      </c>
      <c r="V30" s="216">
        <f>SUM(V25,V29)</f>
        <v>0</v>
      </c>
      <c r="W30" s="216">
        <f>SUM(W25,W29)</f>
        <v>0</v>
      </c>
      <c r="X30" s="216">
        <f>SUM(X25,X29)</f>
        <v>0</v>
      </c>
      <c r="Y30" s="217">
        <f>SUM(X25,X29)</f>
        <v>0</v>
      </c>
    </row>
    <row r="31" spans="1:25" ht="12.75" hidden="1" customHeight="1" outlineLevel="1" x14ac:dyDescent="0.2">
      <c r="A31" s="198" t="str">
        <f>"      "&amp;Labels!B393</f>
        <v xml:space="preserve">      Manager</v>
      </c>
      <c r="B31" s="262">
        <f t="shared" ref="B31:D33" si="0">SUM(B23,B27)</f>
        <v>0</v>
      </c>
      <c r="C31" s="262">
        <f t="shared" si="0"/>
        <v>0</v>
      </c>
      <c r="D31" s="262">
        <f t="shared" si="0"/>
        <v>0</v>
      </c>
      <c r="E31" s="217">
        <f>SUM(D23,D27)</f>
        <v>0</v>
      </c>
      <c r="F31" s="262">
        <f t="shared" ref="F31:H33" si="1">SUM(F23,F27)</f>
        <v>0</v>
      </c>
      <c r="G31" s="262">
        <f t="shared" si="1"/>
        <v>0</v>
      </c>
      <c r="H31" s="262">
        <f t="shared" si="1"/>
        <v>0</v>
      </c>
      <c r="I31" s="217">
        <f>SUM(H23,H27)</f>
        <v>0</v>
      </c>
      <c r="J31" s="262">
        <f t="shared" ref="J31:L33" si="2">SUM(J23,J27)</f>
        <v>0</v>
      </c>
      <c r="K31" s="262">
        <f t="shared" si="2"/>
        <v>0</v>
      </c>
      <c r="L31" s="262">
        <f t="shared" si="2"/>
        <v>0</v>
      </c>
      <c r="M31" s="217">
        <f>SUM(L23,L27)</f>
        <v>0</v>
      </c>
      <c r="N31" s="262">
        <f t="shared" ref="N31:P33" si="3">SUM(N23,N27)</f>
        <v>0</v>
      </c>
      <c r="O31" s="262">
        <f t="shared" si="3"/>
        <v>0</v>
      </c>
      <c r="P31" s="262">
        <f t="shared" si="3"/>
        <v>0</v>
      </c>
      <c r="Q31" s="217">
        <f>SUM(P23,P27)</f>
        <v>0</v>
      </c>
      <c r="R31" s="262">
        <f t="shared" ref="R31:T33" si="4">SUM(R23,R27)</f>
        <v>0</v>
      </c>
      <c r="S31" s="262">
        <f t="shared" si="4"/>
        <v>0</v>
      </c>
      <c r="T31" s="262">
        <f t="shared" si="4"/>
        <v>0</v>
      </c>
      <c r="U31" s="217">
        <f>SUM(T23,T27)</f>
        <v>0</v>
      </c>
      <c r="V31" s="262">
        <f t="shared" ref="V31:X33" si="5">SUM(V23,V27)</f>
        <v>0</v>
      </c>
      <c r="W31" s="262">
        <f t="shared" si="5"/>
        <v>0</v>
      </c>
      <c r="X31" s="262">
        <f t="shared" si="5"/>
        <v>0</v>
      </c>
      <c r="Y31" s="217">
        <f>SUM(X23,X27)</f>
        <v>0</v>
      </c>
    </row>
    <row r="32" spans="1:25" ht="12.75" hidden="1" customHeight="1" outlineLevel="1" x14ac:dyDescent="0.2">
      <c r="A32" s="198" t="str">
        <f>"      "&amp;Labels!B394</f>
        <v xml:space="preserve">      Contributor</v>
      </c>
      <c r="B32" s="262">
        <f t="shared" si="0"/>
        <v>0</v>
      </c>
      <c r="C32" s="262">
        <f t="shared" si="0"/>
        <v>0</v>
      </c>
      <c r="D32" s="262">
        <f t="shared" si="0"/>
        <v>0</v>
      </c>
      <c r="E32" s="217">
        <f>SUM(D24,D28)</f>
        <v>0</v>
      </c>
      <c r="F32" s="262">
        <f t="shared" si="1"/>
        <v>0</v>
      </c>
      <c r="G32" s="262">
        <f t="shared" si="1"/>
        <v>0</v>
      </c>
      <c r="H32" s="262">
        <f t="shared" si="1"/>
        <v>0</v>
      </c>
      <c r="I32" s="217">
        <f>SUM(H24,H28)</f>
        <v>0</v>
      </c>
      <c r="J32" s="262">
        <f t="shared" si="2"/>
        <v>0</v>
      </c>
      <c r="K32" s="262">
        <f t="shared" si="2"/>
        <v>0</v>
      </c>
      <c r="L32" s="262">
        <f t="shared" si="2"/>
        <v>0</v>
      </c>
      <c r="M32" s="217">
        <f>SUM(L24,L28)</f>
        <v>0</v>
      </c>
      <c r="N32" s="262">
        <f t="shared" si="3"/>
        <v>0</v>
      </c>
      <c r="O32" s="262">
        <f t="shared" si="3"/>
        <v>0</v>
      </c>
      <c r="P32" s="262">
        <f t="shared" si="3"/>
        <v>0</v>
      </c>
      <c r="Q32" s="217">
        <f>SUM(P24,P28)</f>
        <v>0</v>
      </c>
      <c r="R32" s="262">
        <f t="shared" si="4"/>
        <v>0</v>
      </c>
      <c r="S32" s="262">
        <f t="shared" si="4"/>
        <v>0</v>
      </c>
      <c r="T32" s="262">
        <f t="shared" si="4"/>
        <v>0</v>
      </c>
      <c r="U32" s="217">
        <f>SUM(T24,T28)</f>
        <v>0</v>
      </c>
      <c r="V32" s="262">
        <f t="shared" si="5"/>
        <v>0</v>
      </c>
      <c r="W32" s="262">
        <f t="shared" si="5"/>
        <v>0</v>
      </c>
      <c r="X32" s="262">
        <f t="shared" si="5"/>
        <v>0</v>
      </c>
      <c r="Y32" s="217">
        <f>SUM(X24,X28)</f>
        <v>0</v>
      </c>
    </row>
    <row r="33" spans="1:25" ht="12.75" hidden="1" customHeight="1" outlineLevel="1" x14ac:dyDescent="0.2">
      <c r="A33" s="188" t="str">
        <f>"      "&amp;Labels!C392</f>
        <v xml:space="preserve">      Total</v>
      </c>
      <c r="B33" s="166">
        <f t="shared" si="0"/>
        <v>0</v>
      </c>
      <c r="C33" s="166">
        <f t="shared" si="0"/>
        <v>0</v>
      </c>
      <c r="D33" s="166">
        <f t="shared" si="0"/>
        <v>0</v>
      </c>
      <c r="E33" s="225">
        <f>SUM(D25,D29)</f>
        <v>0</v>
      </c>
      <c r="F33" s="166">
        <f t="shared" si="1"/>
        <v>0</v>
      </c>
      <c r="G33" s="166">
        <f t="shared" si="1"/>
        <v>0</v>
      </c>
      <c r="H33" s="166">
        <f t="shared" si="1"/>
        <v>0</v>
      </c>
      <c r="I33" s="225">
        <f>SUM(H25,H29)</f>
        <v>0</v>
      </c>
      <c r="J33" s="166">
        <f t="shared" si="2"/>
        <v>0</v>
      </c>
      <c r="K33" s="166">
        <f t="shared" si="2"/>
        <v>0</v>
      </c>
      <c r="L33" s="166">
        <f t="shared" si="2"/>
        <v>0</v>
      </c>
      <c r="M33" s="225">
        <f>SUM(L25,L29)</f>
        <v>0</v>
      </c>
      <c r="N33" s="166">
        <f t="shared" si="3"/>
        <v>0</v>
      </c>
      <c r="O33" s="166">
        <f t="shared" si="3"/>
        <v>0</v>
      </c>
      <c r="P33" s="166">
        <f t="shared" si="3"/>
        <v>0</v>
      </c>
      <c r="Q33" s="225">
        <f>SUM(P25,P29)</f>
        <v>0</v>
      </c>
      <c r="R33" s="166">
        <f t="shared" si="4"/>
        <v>0</v>
      </c>
      <c r="S33" s="166">
        <f t="shared" si="4"/>
        <v>0</v>
      </c>
      <c r="T33" s="166">
        <f t="shared" si="4"/>
        <v>0</v>
      </c>
      <c r="U33" s="225">
        <f>SUM(T25,T29)</f>
        <v>0</v>
      </c>
      <c r="V33" s="166">
        <f t="shared" si="5"/>
        <v>0</v>
      </c>
      <c r="W33" s="166">
        <f t="shared" si="5"/>
        <v>0</v>
      </c>
      <c r="X33" s="166">
        <f t="shared" si="5"/>
        <v>0</v>
      </c>
      <c r="Y33" s="225">
        <f>SUM(X25,X29)</f>
        <v>0</v>
      </c>
    </row>
    <row r="34" spans="1:25" ht="12.75" hidden="1" customHeight="1" outlineLevel="1" x14ac:dyDescent="0.2">
      <c r="A34" s="97"/>
      <c r="B34" s="6"/>
      <c r="C34" s="6"/>
      <c r="D34" s="6"/>
      <c r="E34" s="97"/>
      <c r="F34" s="6"/>
      <c r="G34" s="6"/>
      <c r="H34" s="6"/>
      <c r="I34" s="97"/>
      <c r="J34" s="6"/>
      <c r="K34" s="6"/>
      <c r="L34" s="6"/>
      <c r="M34" s="97"/>
      <c r="N34" s="6"/>
      <c r="O34" s="6"/>
      <c r="P34" s="6"/>
      <c r="Q34" s="97"/>
      <c r="R34" s="6"/>
      <c r="S34" s="6"/>
      <c r="T34" s="6"/>
      <c r="U34" s="97"/>
      <c r="V34" s="6"/>
      <c r="W34" s="6"/>
      <c r="X34" s="6"/>
      <c r="Y34" s="97"/>
    </row>
    <row r="35" spans="1:25" ht="12.75" hidden="1" customHeight="1" outlineLevel="1" x14ac:dyDescent="0.2">
      <c r="A35" s="191" t="str">
        <f>Labels!B259</f>
        <v>Support Staff Turnover</v>
      </c>
      <c r="B35" s="314"/>
      <c r="C35" s="314"/>
      <c r="D35" s="314"/>
      <c r="E35" s="315"/>
      <c r="F35" s="314"/>
      <c r="G35" s="314"/>
      <c r="H35" s="314"/>
      <c r="I35" s="315"/>
      <c r="J35" s="314"/>
      <c r="K35" s="314"/>
      <c r="L35" s="314"/>
      <c r="M35" s="315"/>
      <c r="N35" s="314"/>
      <c r="O35" s="314"/>
      <c r="P35" s="314"/>
      <c r="Q35" s="315"/>
      <c r="R35" s="314"/>
      <c r="S35" s="314"/>
      <c r="T35" s="314"/>
      <c r="U35" s="315"/>
      <c r="V35" s="314"/>
      <c r="W35" s="314"/>
      <c r="X35" s="314"/>
      <c r="Y35" s="315"/>
    </row>
    <row r="36" spans="1:25" ht="12.75" hidden="1" customHeight="1" outlineLevel="1" x14ac:dyDescent="0.2">
      <c r="A36" s="188" t="str">
        <f>"   "&amp;Labels!B321</f>
        <v xml:space="preserve">   Marketing</v>
      </c>
      <c r="B36" s="316"/>
      <c r="C36" s="316"/>
      <c r="D36" s="316"/>
      <c r="E36" s="317"/>
      <c r="F36" s="316"/>
      <c r="G36" s="316"/>
      <c r="H36" s="316"/>
      <c r="I36" s="317"/>
      <c r="J36" s="316"/>
      <c r="K36" s="316"/>
      <c r="L36" s="316"/>
      <c r="M36" s="317"/>
      <c r="N36" s="316"/>
      <c r="O36" s="316"/>
      <c r="P36" s="316"/>
      <c r="Q36" s="317"/>
      <c r="R36" s="316"/>
      <c r="S36" s="316"/>
      <c r="T36" s="316"/>
      <c r="U36" s="317"/>
      <c r="V36" s="316"/>
      <c r="W36" s="316"/>
      <c r="X36" s="316"/>
      <c r="Y36" s="317"/>
    </row>
    <row r="37" spans="1:25" ht="12.75" hidden="1" customHeight="1" outlineLevel="1" x14ac:dyDescent="0.2">
      <c r="A37" s="198" t="str">
        <f>"      "&amp;Labels!B393</f>
        <v xml:space="preserve">      Manager</v>
      </c>
      <c r="B37" s="329">
        <f>Inputs!F265/12*B23</f>
        <v>0</v>
      </c>
      <c r="C37" s="329">
        <f>Inputs!F265/12*C23</f>
        <v>0</v>
      </c>
      <c r="D37" s="329">
        <f>Inputs!F265/12*D23</f>
        <v>0</v>
      </c>
      <c r="E37" s="315">
        <f>SUM(B37:D37)</f>
        <v>0</v>
      </c>
      <c r="F37" s="329">
        <f>Inputs!F265/12*F23</f>
        <v>0</v>
      </c>
      <c r="G37" s="329">
        <f>Inputs!F265/12*G23</f>
        <v>0</v>
      </c>
      <c r="H37" s="329">
        <f>Inputs!F265/12*H23</f>
        <v>0</v>
      </c>
      <c r="I37" s="315">
        <f>SUM(F37:H37)</f>
        <v>0</v>
      </c>
      <c r="J37" s="329">
        <f>Inputs!F265/12*J23</f>
        <v>0</v>
      </c>
      <c r="K37" s="329">
        <f>Inputs!F265/12*K23</f>
        <v>0</v>
      </c>
      <c r="L37" s="329">
        <f>Inputs!F265/12*L23</f>
        <v>0</v>
      </c>
      <c r="M37" s="315">
        <f>SUM(J37:L37)</f>
        <v>0</v>
      </c>
      <c r="N37" s="329">
        <f>Inputs!F265/12*N23</f>
        <v>0</v>
      </c>
      <c r="O37" s="329">
        <f>Inputs!F265/12*O23</f>
        <v>0</v>
      </c>
      <c r="P37" s="329">
        <f>Inputs!F265/12*P23</f>
        <v>0</v>
      </c>
      <c r="Q37" s="315">
        <f>SUM(N37:P37)</f>
        <v>0</v>
      </c>
      <c r="R37" s="329">
        <f>Inputs!F265/12*R23</f>
        <v>0</v>
      </c>
      <c r="S37" s="329">
        <f>Inputs!F265/12*S23</f>
        <v>0</v>
      </c>
      <c r="T37" s="329">
        <f>Inputs!F265/12*T23</f>
        <v>0</v>
      </c>
      <c r="U37" s="315">
        <f>SUM(R37:T37)</f>
        <v>0</v>
      </c>
      <c r="V37" s="329">
        <f>Inputs!F265/12*V23</f>
        <v>0</v>
      </c>
      <c r="W37" s="329">
        <f>Inputs!F265/12*W23</f>
        <v>0</v>
      </c>
      <c r="X37" s="329">
        <f>Inputs!F265/12*X23</f>
        <v>0</v>
      </c>
      <c r="Y37" s="315">
        <f>SUM(V37:X37)</f>
        <v>0</v>
      </c>
    </row>
    <row r="38" spans="1:25" ht="12.75" hidden="1" customHeight="1" outlineLevel="1" x14ac:dyDescent="0.2">
      <c r="A38" s="198" t="str">
        <f>"      "&amp;Labels!B394</f>
        <v xml:space="preserve">      Contributor</v>
      </c>
      <c r="B38" s="329">
        <f>Inputs!F266/12*B24</f>
        <v>0</v>
      </c>
      <c r="C38" s="329">
        <f>Inputs!F266/12*C24</f>
        <v>0</v>
      </c>
      <c r="D38" s="329">
        <f>Inputs!F266/12*D24</f>
        <v>0</v>
      </c>
      <c r="E38" s="315">
        <f>SUM(B38:D38)</f>
        <v>0</v>
      </c>
      <c r="F38" s="329">
        <f>Inputs!F266/12*F24</f>
        <v>0</v>
      </c>
      <c r="G38" s="329">
        <f>Inputs!F266/12*G24</f>
        <v>0</v>
      </c>
      <c r="H38" s="329">
        <f>Inputs!F266/12*H24</f>
        <v>0</v>
      </c>
      <c r="I38" s="315">
        <f>SUM(F38:H38)</f>
        <v>0</v>
      </c>
      <c r="J38" s="329">
        <f>Inputs!F266/12*J24</f>
        <v>0</v>
      </c>
      <c r="K38" s="329">
        <f>Inputs!F266/12*K24</f>
        <v>0</v>
      </c>
      <c r="L38" s="329">
        <f>Inputs!F266/12*L24</f>
        <v>0</v>
      </c>
      <c r="M38" s="315">
        <f>SUM(J38:L38)</f>
        <v>0</v>
      </c>
      <c r="N38" s="329">
        <f>Inputs!F266/12*N24</f>
        <v>0</v>
      </c>
      <c r="O38" s="329">
        <f>Inputs!F266/12*O24</f>
        <v>0</v>
      </c>
      <c r="P38" s="329">
        <f>Inputs!F266/12*P24</f>
        <v>0</v>
      </c>
      <c r="Q38" s="315">
        <f>SUM(N38:P38)</f>
        <v>0</v>
      </c>
      <c r="R38" s="329">
        <f>Inputs!F266/12*R24</f>
        <v>0</v>
      </c>
      <c r="S38" s="329">
        <f>Inputs!F266/12*S24</f>
        <v>0</v>
      </c>
      <c r="T38" s="329">
        <f>Inputs!F266/12*T24</f>
        <v>0</v>
      </c>
      <c r="U38" s="315">
        <f>SUM(R38:T38)</f>
        <v>0</v>
      </c>
      <c r="V38" s="329">
        <f>Inputs!F266/12*V24</f>
        <v>0</v>
      </c>
      <c r="W38" s="329">
        <f>Inputs!F266/12*W24</f>
        <v>0</v>
      </c>
      <c r="X38" s="329">
        <f>Inputs!F266/12*X24</f>
        <v>0</v>
      </c>
      <c r="Y38" s="315">
        <f>SUM(V38:X38)</f>
        <v>0</v>
      </c>
    </row>
    <row r="39" spans="1:25" ht="12.75" hidden="1" customHeight="1" outlineLevel="1" x14ac:dyDescent="0.2">
      <c r="A39" s="188" t="str">
        <f>"      "&amp;Labels!C392</f>
        <v xml:space="preserve">      Total</v>
      </c>
      <c r="B39" s="316">
        <f>SUM(B37:B38)</f>
        <v>0</v>
      </c>
      <c r="C39" s="316">
        <f>SUM(C37:C38)</f>
        <v>0</v>
      </c>
      <c r="D39" s="316">
        <f>SUM(D37:D38)</f>
        <v>0</v>
      </c>
      <c r="E39" s="317">
        <f>SUM(B39:D39)</f>
        <v>0</v>
      </c>
      <c r="F39" s="316">
        <f>SUM(F37:F38)</f>
        <v>0</v>
      </c>
      <c r="G39" s="316">
        <f>SUM(G37:G38)</f>
        <v>0</v>
      </c>
      <c r="H39" s="316">
        <f>SUM(H37:H38)</f>
        <v>0</v>
      </c>
      <c r="I39" s="317">
        <f>SUM(F39:H39)</f>
        <v>0</v>
      </c>
      <c r="J39" s="316">
        <f>SUM(J37:J38)</f>
        <v>0</v>
      </c>
      <c r="K39" s="316">
        <f>SUM(K37:K38)</f>
        <v>0</v>
      </c>
      <c r="L39" s="316">
        <f>SUM(L37:L38)</f>
        <v>0</v>
      </c>
      <c r="M39" s="317">
        <f>SUM(J39:L39)</f>
        <v>0</v>
      </c>
      <c r="N39" s="316">
        <f>SUM(N37:N38)</f>
        <v>0</v>
      </c>
      <c r="O39" s="316">
        <f>SUM(O37:O38)</f>
        <v>0</v>
      </c>
      <c r="P39" s="316">
        <f>SUM(P37:P38)</f>
        <v>0</v>
      </c>
      <c r="Q39" s="317">
        <f>SUM(N39:P39)</f>
        <v>0</v>
      </c>
      <c r="R39" s="316">
        <f>SUM(R37:R38)</f>
        <v>0</v>
      </c>
      <c r="S39" s="316">
        <f>SUM(S37:S38)</f>
        <v>0</v>
      </c>
      <c r="T39" s="316">
        <f>SUM(T37:T38)</f>
        <v>0</v>
      </c>
      <c r="U39" s="317">
        <f>SUM(R39:T39)</f>
        <v>0</v>
      </c>
      <c r="V39" s="316">
        <f>SUM(V37:V38)</f>
        <v>0</v>
      </c>
      <c r="W39" s="316">
        <f>SUM(W37:W38)</f>
        <v>0</v>
      </c>
      <c r="X39" s="316">
        <f>SUM(X37:X38)</f>
        <v>0</v>
      </c>
      <c r="Y39" s="317">
        <f>SUM(V39:X39)</f>
        <v>0</v>
      </c>
    </row>
    <row r="40" spans="1:25" ht="12.75" hidden="1" customHeight="1" outlineLevel="1" x14ac:dyDescent="0.2">
      <c r="A40" s="188" t="str">
        <f>"   "&amp;Labels!B322</f>
        <v xml:space="preserve">   Sales</v>
      </c>
      <c r="B40" s="316"/>
      <c r="C40" s="316"/>
      <c r="D40" s="316"/>
      <c r="E40" s="317"/>
      <c r="F40" s="316"/>
      <c r="G40" s="316"/>
      <c r="H40" s="316"/>
      <c r="I40" s="317"/>
      <c r="J40" s="316"/>
      <c r="K40" s="316"/>
      <c r="L40" s="316"/>
      <c r="M40" s="317"/>
      <c r="N40" s="316"/>
      <c r="O40" s="316"/>
      <c r="P40" s="316"/>
      <c r="Q40" s="317"/>
      <c r="R40" s="316"/>
      <c r="S40" s="316"/>
      <c r="T40" s="316"/>
      <c r="U40" s="317"/>
      <c r="V40" s="316"/>
      <c r="W40" s="316"/>
      <c r="X40" s="316"/>
      <c r="Y40" s="317"/>
    </row>
    <row r="41" spans="1:25" ht="12.75" hidden="1" customHeight="1" outlineLevel="1" x14ac:dyDescent="0.2">
      <c r="A41" s="198" t="str">
        <f>"      "&amp;Labels!B393</f>
        <v xml:space="preserve">      Manager</v>
      </c>
      <c r="B41" s="329">
        <f>Inputs!F267/12*B27</f>
        <v>0</v>
      </c>
      <c r="C41" s="329">
        <f>Inputs!F267/12*C27</f>
        <v>0</v>
      </c>
      <c r="D41" s="329">
        <f>Inputs!F267/12*D27</f>
        <v>0</v>
      </c>
      <c r="E41" s="315">
        <f t="shared" ref="E41:E46" si="6">SUM(B41:D41)</f>
        <v>0</v>
      </c>
      <c r="F41" s="329">
        <f>Inputs!F267/12*F27</f>
        <v>0</v>
      </c>
      <c r="G41" s="329">
        <f>Inputs!F267/12*G27</f>
        <v>0</v>
      </c>
      <c r="H41" s="329">
        <f>Inputs!F267/12*H27</f>
        <v>0</v>
      </c>
      <c r="I41" s="315">
        <f t="shared" ref="I41:I46" si="7">SUM(F41:H41)</f>
        <v>0</v>
      </c>
      <c r="J41" s="329">
        <f>Inputs!F267/12*J27</f>
        <v>0</v>
      </c>
      <c r="K41" s="329">
        <f>Inputs!F267/12*K27</f>
        <v>0</v>
      </c>
      <c r="L41" s="329">
        <f>Inputs!F267/12*L27</f>
        <v>0</v>
      </c>
      <c r="M41" s="315">
        <f t="shared" ref="M41:M46" si="8">SUM(J41:L41)</f>
        <v>0</v>
      </c>
      <c r="N41" s="329">
        <f>Inputs!F267/12*N27</f>
        <v>0</v>
      </c>
      <c r="O41" s="329">
        <f>Inputs!F267/12*O27</f>
        <v>0</v>
      </c>
      <c r="P41" s="329">
        <f>Inputs!F267/12*P27</f>
        <v>0</v>
      </c>
      <c r="Q41" s="315">
        <f t="shared" ref="Q41:Q46" si="9">SUM(N41:P41)</f>
        <v>0</v>
      </c>
      <c r="R41" s="329">
        <f>Inputs!F267/12*R27</f>
        <v>0</v>
      </c>
      <c r="S41" s="329">
        <f>Inputs!F267/12*S27</f>
        <v>0</v>
      </c>
      <c r="T41" s="329">
        <f>Inputs!F267/12*T27</f>
        <v>0</v>
      </c>
      <c r="U41" s="315">
        <f t="shared" ref="U41:U46" si="10">SUM(R41:T41)</f>
        <v>0</v>
      </c>
      <c r="V41" s="329">
        <f>Inputs!F267/12*V27</f>
        <v>0</v>
      </c>
      <c r="W41" s="329">
        <f>Inputs!F267/12*W27</f>
        <v>0</v>
      </c>
      <c r="X41" s="329">
        <f>Inputs!F267/12*X27</f>
        <v>0</v>
      </c>
      <c r="Y41" s="315">
        <f t="shared" ref="Y41:Y46" si="11">SUM(V41:X41)</f>
        <v>0</v>
      </c>
    </row>
    <row r="42" spans="1:25" ht="12.75" hidden="1" customHeight="1" outlineLevel="1" x14ac:dyDescent="0.2">
      <c r="A42" s="198" t="str">
        <f>"      "&amp;Labels!B394</f>
        <v xml:space="preserve">      Contributor</v>
      </c>
      <c r="B42" s="329">
        <f>Inputs!F268/12*B28</f>
        <v>0</v>
      </c>
      <c r="C42" s="329">
        <f>Inputs!F268/12*C28</f>
        <v>0</v>
      </c>
      <c r="D42" s="329">
        <f>Inputs!F268/12*D28</f>
        <v>0</v>
      </c>
      <c r="E42" s="315">
        <f t="shared" si="6"/>
        <v>0</v>
      </c>
      <c r="F42" s="329">
        <f>Inputs!F268/12*F28</f>
        <v>0</v>
      </c>
      <c r="G42" s="329">
        <f>Inputs!F268/12*G28</f>
        <v>0</v>
      </c>
      <c r="H42" s="329">
        <f>Inputs!F268/12*H28</f>
        <v>0</v>
      </c>
      <c r="I42" s="315">
        <f t="shared" si="7"/>
        <v>0</v>
      </c>
      <c r="J42" s="329">
        <f>Inputs!F268/12*J28</f>
        <v>0</v>
      </c>
      <c r="K42" s="329">
        <f>Inputs!F268/12*K28</f>
        <v>0</v>
      </c>
      <c r="L42" s="329">
        <f>Inputs!F268/12*L28</f>
        <v>0</v>
      </c>
      <c r="M42" s="315">
        <f t="shared" si="8"/>
        <v>0</v>
      </c>
      <c r="N42" s="329">
        <f>Inputs!F268/12*N28</f>
        <v>0</v>
      </c>
      <c r="O42" s="329">
        <f>Inputs!F268/12*O28</f>
        <v>0</v>
      </c>
      <c r="P42" s="329">
        <f>Inputs!F268/12*P28</f>
        <v>0</v>
      </c>
      <c r="Q42" s="315">
        <f t="shared" si="9"/>
        <v>0</v>
      </c>
      <c r="R42" s="329">
        <f>Inputs!F268/12*R28</f>
        <v>0</v>
      </c>
      <c r="S42" s="329">
        <f>Inputs!F268/12*S28</f>
        <v>0</v>
      </c>
      <c r="T42" s="329">
        <f>Inputs!F268/12*T28</f>
        <v>0</v>
      </c>
      <c r="U42" s="315">
        <f t="shared" si="10"/>
        <v>0</v>
      </c>
      <c r="V42" s="329">
        <f>Inputs!F268/12*V28</f>
        <v>0</v>
      </c>
      <c r="W42" s="329">
        <f>Inputs!F268/12*W28</f>
        <v>0</v>
      </c>
      <c r="X42" s="329">
        <f>Inputs!F268/12*X28</f>
        <v>0</v>
      </c>
      <c r="Y42" s="315">
        <f t="shared" si="11"/>
        <v>0</v>
      </c>
    </row>
    <row r="43" spans="1:25" ht="12.75" hidden="1" customHeight="1" outlineLevel="1" x14ac:dyDescent="0.2">
      <c r="A43" s="188" t="str">
        <f>"      "&amp;Labels!C392</f>
        <v xml:space="preserve">      Total</v>
      </c>
      <c r="B43" s="316">
        <f>SUM(B41:B42)</f>
        <v>0</v>
      </c>
      <c r="C43" s="316">
        <f>SUM(C41:C42)</f>
        <v>0</v>
      </c>
      <c r="D43" s="316">
        <f>SUM(D41:D42)</f>
        <v>0</v>
      </c>
      <c r="E43" s="317">
        <f t="shared" si="6"/>
        <v>0</v>
      </c>
      <c r="F43" s="316">
        <f>SUM(F41:F42)</f>
        <v>0</v>
      </c>
      <c r="G43" s="316">
        <f>SUM(G41:G42)</f>
        <v>0</v>
      </c>
      <c r="H43" s="316">
        <f>SUM(H41:H42)</f>
        <v>0</v>
      </c>
      <c r="I43" s="317">
        <f t="shared" si="7"/>
        <v>0</v>
      </c>
      <c r="J43" s="316">
        <f>SUM(J41:J42)</f>
        <v>0</v>
      </c>
      <c r="K43" s="316">
        <f>SUM(K41:K42)</f>
        <v>0</v>
      </c>
      <c r="L43" s="316">
        <f>SUM(L41:L42)</f>
        <v>0</v>
      </c>
      <c r="M43" s="317">
        <f t="shared" si="8"/>
        <v>0</v>
      </c>
      <c r="N43" s="316">
        <f>SUM(N41:N42)</f>
        <v>0</v>
      </c>
      <c r="O43" s="316">
        <f>SUM(O41:O42)</f>
        <v>0</v>
      </c>
      <c r="P43" s="316">
        <f>SUM(P41:P42)</f>
        <v>0</v>
      </c>
      <c r="Q43" s="317">
        <f t="shared" si="9"/>
        <v>0</v>
      </c>
      <c r="R43" s="316">
        <f>SUM(R41:R42)</f>
        <v>0</v>
      </c>
      <c r="S43" s="316">
        <f>SUM(S41:S42)</f>
        <v>0</v>
      </c>
      <c r="T43" s="316">
        <f>SUM(T41:T42)</f>
        <v>0</v>
      </c>
      <c r="U43" s="317">
        <f t="shared" si="10"/>
        <v>0</v>
      </c>
      <c r="V43" s="316">
        <f>SUM(V41:V42)</f>
        <v>0</v>
      </c>
      <c r="W43" s="316">
        <f>SUM(W41:W42)</f>
        <v>0</v>
      </c>
      <c r="X43" s="316">
        <f>SUM(X41:X42)</f>
        <v>0</v>
      </c>
      <c r="Y43" s="317">
        <f t="shared" si="11"/>
        <v>0</v>
      </c>
    </row>
    <row r="44" spans="1:25" ht="12.75" hidden="1" customHeight="1" outlineLevel="1" x14ac:dyDescent="0.2">
      <c r="A44" s="191" t="str">
        <f>"   "&amp;Labels!C320</f>
        <v xml:space="preserve">   Total</v>
      </c>
      <c r="B44" s="314">
        <f>SUM(B39,B43)</f>
        <v>0</v>
      </c>
      <c r="C44" s="314">
        <f>SUM(C39,C43)</f>
        <v>0</v>
      </c>
      <c r="D44" s="314">
        <f>SUM(D39,D43)</f>
        <v>0</v>
      </c>
      <c r="E44" s="315">
        <f t="shared" si="6"/>
        <v>0</v>
      </c>
      <c r="F44" s="314">
        <f>SUM(F39,F43)</f>
        <v>0</v>
      </c>
      <c r="G44" s="314">
        <f>SUM(G39,G43)</f>
        <v>0</v>
      </c>
      <c r="H44" s="314">
        <f>SUM(H39,H43)</f>
        <v>0</v>
      </c>
      <c r="I44" s="315">
        <f t="shared" si="7"/>
        <v>0</v>
      </c>
      <c r="J44" s="314">
        <f>SUM(J39,J43)</f>
        <v>0</v>
      </c>
      <c r="K44" s="314">
        <f>SUM(K39,K43)</f>
        <v>0</v>
      </c>
      <c r="L44" s="314">
        <f>SUM(L39,L43)</f>
        <v>0</v>
      </c>
      <c r="M44" s="315">
        <f t="shared" si="8"/>
        <v>0</v>
      </c>
      <c r="N44" s="314">
        <f>SUM(N39,N43)</f>
        <v>0</v>
      </c>
      <c r="O44" s="314">
        <f>SUM(O39,O43)</f>
        <v>0</v>
      </c>
      <c r="P44" s="314">
        <f>SUM(P39,P43)</f>
        <v>0</v>
      </c>
      <c r="Q44" s="315">
        <f t="shared" si="9"/>
        <v>0</v>
      </c>
      <c r="R44" s="314">
        <f>SUM(R39,R43)</f>
        <v>0</v>
      </c>
      <c r="S44" s="314">
        <f>SUM(S39,S43)</f>
        <v>0</v>
      </c>
      <c r="T44" s="314">
        <f>SUM(T39,T43)</f>
        <v>0</v>
      </c>
      <c r="U44" s="315">
        <f t="shared" si="10"/>
        <v>0</v>
      </c>
      <c r="V44" s="314">
        <f>SUM(V39,V43)</f>
        <v>0</v>
      </c>
      <c r="W44" s="314">
        <f>SUM(W39,W43)</f>
        <v>0</v>
      </c>
      <c r="X44" s="314">
        <f>SUM(X39,X43)</f>
        <v>0</v>
      </c>
      <c r="Y44" s="315">
        <f t="shared" si="11"/>
        <v>0</v>
      </c>
    </row>
    <row r="45" spans="1:25" ht="12.75" hidden="1" customHeight="1" outlineLevel="1" x14ac:dyDescent="0.2">
      <c r="A45" s="198" t="str">
        <f>"      "&amp;Labels!B393</f>
        <v xml:space="preserve">      Manager</v>
      </c>
      <c r="B45" s="329">
        <f t="shared" ref="B45:D47" si="12">SUM(B37,B41)</f>
        <v>0</v>
      </c>
      <c r="C45" s="329">
        <f t="shared" si="12"/>
        <v>0</v>
      </c>
      <c r="D45" s="329">
        <f t="shared" si="12"/>
        <v>0</v>
      </c>
      <c r="E45" s="315">
        <f t="shared" si="6"/>
        <v>0</v>
      </c>
      <c r="F45" s="329">
        <f t="shared" ref="F45:H47" si="13">SUM(F37,F41)</f>
        <v>0</v>
      </c>
      <c r="G45" s="329">
        <f t="shared" si="13"/>
        <v>0</v>
      </c>
      <c r="H45" s="329">
        <f t="shared" si="13"/>
        <v>0</v>
      </c>
      <c r="I45" s="315">
        <f t="shared" si="7"/>
        <v>0</v>
      </c>
      <c r="J45" s="329">
        <f t="shared" ref="J45:L47" si="14">SUM(J37,J41)</f>
        <v>0</v>
      </c>
      <c r="K45" s="329">
        <f t="shared" si="14"/>
        <v>0</v>
      </c>
      <c r="L45" s="329">
        <f t="shared" si="14"/>
        <v>0</v>
      </c>
      <c r="M45" s="315">
        <f t="shared" si="8"/>
        <v>0</v>
      </c>
      <c r="N45" s="329">
        <f t="shared" ref="N45:P47" si="15">SUM(N37,N41)</f>
        <v>0</v>
      </c>
      <c r="O45" s="329">
        <f t="shared" si="15"/>
        <v>0</v>
      </c>
      <c r="P45" s="329">
        <f t="shared" si="15"/>
        <v>0</v>
      </c>
      <c r="Q45" s="315">
        <f t="shared" si="9"/>
        <v>0</v>
      </c>
      <c r="R45" s="329">
        <f t="shared" ref="R45:T47" si="16">SUM(R37,R41)</f>
        <v>0</v>
      </c>
      <c r="S45" s="329">
        <f t="shared" si="16"/>
        <v>0</v>
      </c>
      <c r="T45" s="329">
        <f t="shared" si="16"/>
        <v>0</v>
      </c>
      <c r="U45" s="315">
        <f t="shared" si="10"/>
        <v>0</v>
      </c>
      <c r="V45" s="329">
        <f t="shared" ref="V45:X47" si="17">SUM(V37,V41)</f>
        <v>0</v>
      </c>
      <c r="W45" s="329">
        <f t="shared" si="17"/>
        <v>0</v>
      </c>
      <c r="X45" s="329">
        <f t="shared" si="17"/>
        <v>0</v>
      </c>
      <c r="Y45" s="315">
        <f t="shared" si="11"/>
        <v>0</v>
      </c>
    </row>
    <row r="46" spans="1:25" ht="12.75" hidden="1" customHeight="1" outlineLevel="1" x14ac:dyDescent="0.2">
      <c r="A46" s="198" t="str">
        <f>"      "&amp;Labels!B394</f>
        <v xml:space="preserve">      Contributor</v>
      </c>
      <c r="B46" s="329">
        <f t="shared" si="12"/>
        <v>0</v>
      </c>
      <c r="C46" s="329">
        <f t="shared" si="12"/>
        <v>0</v>
      </c>
      <c r="D46" s="329">
        <f t="shared" si="12"/>
        <v>0</v>
      </c>
      <c r="E46" s="315">
        <f t="shared" si="6"/>
        <v>0</v>
      </c>
      <c r="F46" s="329">
        <f t="shared" si="13"/>
        <v>0</v>
      </c>
      <c r="G46" s="329">
        <f t="shared" si="13"/>
        <v>0</v>
      </c>
      <c r="H46" s="329">
        <f t="shared" si="13"/>
        <v>0</v>
      </c>
      <c r="I46" s="315">
        <f t="shared" si="7"/>
        <v>0</v>
      </c>
      <c r="J46" s="329">
        <f t="shared" si="14"/>
        <v>0</v>
      </c>
      <c r="K46" s="329">
        <f t="shared" si="14"/>
        <v>0</v>
      </c>
      <c r="L46" s="329">
        <f t="shared" si="14"/>
        <v>0</v>
      </c>
      <c r="M46" s="315">
        <f t="shared" si="8"/>
        <v>0</v>
      </c>
      <c r="N46" s="329">
        <f t="shared" si="15"/>
        <v>0</v>
      </c>
      <c r="O46" s="329">
        <f t="shared" si="15"/>
        <v>0</v>
      </c>
      <c r="P46" s="329">
        <f t="shared" si="15"/>
        <v>0</v>
      </c>
      <c r="Q46" s="315">
        <f t="shared" si="9"/>
        <v>0</v>
      </c>
      <c r="R46" s="329">
        <f t="shared" si="16"/>
        <v>0</v>
      </c>
      <c r="S46" s="329">
        <f t="shared" si="16"/>
        <v>0</v>
      </c>
      <c r="T46" s="329">
        <f t="shared" si="16"/>
        <v>0</v>
      </c>
      <c r="U46" s="315">
        <f t="shared" si="10"/>
        <v>0</v>
      </c>
      <c r="V46" s="329">
        <f t="shared" si="17"/>
        <v>0</v>
      </c>
      <c r="W46" s="329">
        <f t="shared" si="17"/>
        <v>0</v>
      </c>
      <c r="X46" s="329">
        <f t="shared" si="17"/>
        <v>0</v>
      </c>
      <c r="Y46" s="315">
        <f t="shared" si="11"/>
        <v>0</v>
      </c>
    </row>
    <row r="47" spans="1:25" ht="12.75" hidden="1" customHeight="1" outlineLevel="1" x14ac:dyDescent="0.2">
      <c r="A47" s="188" t="str">
        <f>"      "&amp;Labels!C392</f>
        <v xml:space="preserve">      Total</v>
      </c>
      <c r="B47" s="316">
        <f t="shared" si="12"/>
        <v>0</v>
      </c>
      <c r="C47" s="316">
        <f t="shared" si="12"/>
        <v>0</v>
      </c>
      <c r="D47" s="316">
        <f t="shared" si="12"/>
        <v>0</v>
      </c>
      <c r="E47" s="317">
        <f>SUM(B44:D44)</f>
        <v>0</v>
      </c>
      <c r="F47" s="316">
        <f t="shared" si="13"/>
        <v>0</v>
      </c>
      <c r="G47" s="316">
        <f t="shared" si="13"/>
        <v>0</v>
      </c>
      <c r="H47" s="316">
        <f t="shared" si="13"/>
        <v>0</v>
      </c>
      <c r="I47" s="317">
        <f>SUM(F44:H44)</f>
        <v>0</v>
      </c>
      <c r="J47" s="316">
        <f t="shared" si="14"/>
        <v>0</v>
      </c>
      <c r="K47" s="316">
        <f t="shared" si="14"/>
        <v>0</v>
      </c>
      <c r="L47" s="316">
        <f t="shared" si="14"/>
        <v>0</v>
      </c>
      <c r="M47" s="317">
        <f>SUM(J44:L44)</f>
        <v>0</v>
      </c>
      <c r="N47" s="316">
        <f t="shared" si="15"/>
        <v>0</v>
      </c>
      <c r="O47" s="316">
        <f t="shared" si="15"/>
        <v>0</v>
      </c>
      <c r="P47" s="316">
        <f t="shared" si="15"/>
        <v>0</v>
      </c>
      <c r="Q47" s="317">
        <f>SUM(N44:P44)</f>
        <v>0</v>
      </c>
      <c r="R47" s="316">
        <f t="shared" si="16"/>
        <v>0</v>
      </c>
      <c r="S47" s="316">
        <f t="shared" si="16"/>
        <v>0</v>
      </c>
      <c r="T47" s="316">
        <f t="shared" si="16"/>
        <v>0</v>
      </c>
      <c r="U47" s="317">
        <f>SUM(R44:T44)</f>
        <v>0</v>
      </c>
      <c r="V47" s="316">
        <f t="shared" si="17"/>
        <v>0</v>
      </c>
      <c r="W47" s="316">
        <f t="shared" si="17"/>
        <v>0</v>
      </c>
      <c r="X47" s="316">
        <f t="shared" si="17"/>
        <v>0</v>
      </c>
      <c r="Y47" s="317">
        <f>SUM(V44:X44)</f>
        <v>0</v>
      </c>
    </row>
    <row r="48" spans="1:25" ht="12.75" hidden="1" customHeight="1" outlineLevel="1" x14ac:dyDescent="0.2">
      <c r="A48" s="97"/>
      <c r="B48" s="6"/>
      <c r="C48" s="6"/>
      <c r="D48" s="6"/>
      <c r="E48" s="97"/>
      <c r="F48" s="6"/>
      <c r="G48" s="6"/>
      <c r="H48" s="6"/>
      <c r="I48" s="97"/>
      <c r="J48" s="6"/>
      <c r="K48" s="6"/>
      <c r="L48" s="6"/>
      <c r="M48" s="97"/>
      <c r="N48" s="6"/>
      <c r="O48" s="6"/>
      <c r="P48" s="6"/>
      <c r="Q48" s="97"/>
      <c r="R48" s="6"/>
      <c r="S48" s="6"/>
      <c r="T48" s="6"/>
      <c r="U48" s="97"/>
      <c r="V48" s="6"/>
      <c r="W48" s="6"/>
      <c r="X48" s="6"/>
      <c r="Y48" s="97"/>
    </row>
    <row r="49" spans="1:25" ht="12.75" hidden="1" customHeight="1" outlineLevel="1" x14ac:dyDescent="0.2">
      <c r="A49" s="191" t="str">
        <f>Labels!B257</f>
        <v>Support Staff Recruited</v>
      </c>
      <c r="B49" s="216"/>
      <c r="C49" s="216"/>
      <c r="D49" s="216"/>
      <c r="E49" s="217"/>
      <c r="F49" s="216"/>
      <c r="G49" s="216"/>
      <c r="H49" s="216"/>
      <c r="I49" s="217"/>
      <c r="J49" s="216"/>
      <c r="K49" s="216"/>
      <c r="L49" s="216"/>
      <c r="M49" s="217"/>
      <c r="N49" s="216"/>
      <c r="O49" s="216"/>
      <c r="P49" s="216"/>
      <c r="Q49" s="217"/>
      <c r="R49" s="216"/>
      <c r="S49" s="216"/>
      <c r="T49" s="216"/>
      <c r="U49" s="217"/>
      <c r="V49" s="216"/>
      <c r="W49" s="216"/>
      <c r="X49" s="216"/>
      <c r="Y49" s="217"/>
    </row>
    <row r="50" spans="1:25" ht="12.75" hidden="1" customHeight="1" outlineLevel="1" x14ac:dyDescent="0.2">
      <c r="A50" s="188" t="str">
        <f>"   "&amp;Labels!B321</f>
        <v xml:space="preserve">   Marketing</v>
      </c>
      <c r="B50" s="166"/>
      <c r="C50" s="166"/>
      <c r="D50" s="166"/>
      <c r="E50" s="225"/>
      <c r="F50" s="166"/>
      <c r="G50" s="166"/>
      <c r="H50" s="166"/>
      <c r="I50" s="225"/>
      <c r="J50" s="166"/>
      <c r="K50" s="166"/>
      <c r="L50" s="166"/>
      <c r="M50" s="225"/>
      <c r="N50" s="166"/>
      <c r="O50" s="166"/>
      <c r="P50" s="166"/>
      <c r="Q50" s="225"/>
      <c r="R50" s="166"/>
      <c r="S50" s="166"/>
      <c r="T50" s="166"/>
      <c r="U50" s="225"/>
      <c r="V50" s="166"/>
      <c r="W50" s="166"/>
      <c r="X50" s="166"/>
      <c r="Y50" s="225"/>
    </row>
    <row r="51" spans="1:25" ht="12.75" hidden="1" customHeight="1" outlineLevel="1" x14ac:dyDescent="0.2">
      <c r="A51" s="198" t="str">
        <f>"      "&amp;Labels!B393</f>
        <v xml:space="preserve">      Manager</v>
      </c>
      <c r="B51" s="262">
        <f>IF('(Tables)'!C12&lt;0.001+1/12,Inputs!G265*'(Tables)'!B1237,Inputs!H265*'(Tables)'!B1237)</f>
        <v>0</v>
      </c>
      <c r="C51" s="262">
        <f>IF('(Tables)'!D12&lt;0.001+1/12,Inputs!G265*'(Tables)'!C1237,Inputs!H265*'(Tables)'!C1237)</f>
        <v>0</v>
      </c>
      <c r="D51" s="262">
        <f>IF('(Tables)'!E12&lt;0.001+1/12,Inputs!G265*'(Tables)'!D1237,Inputs!H265*'(Tables)'!D1237)</f>
        <v>0</v>
      </c>
      <c r="E51" s="217">
        <f>SUM(B51:D51)</f>
        <v>0</v>
      </c>
      <c r="F51" s="262">
        <f>IF('(Tables)'!F12&lt;0.001+1/12,Inputs!G265*'(Tables)'!E1237,Inputs!H265*'(Tables)'!E1237)</f>
        <v>0</v>
      </c>
      <c r="G51" s="262">
        <f>IF('(Tables)'!G12&lt;0.001+1/12,Inputs!G265*'(Tables)'!F1237,Inputs!H265*'(Tables)'!F1237)</f>
        <v>0</v>
      </c>
      <c r="H51" s="262">
        <f>IF('(Tables)'!H12&lt;0.001+1/12,Inputs!G265*'(Tables)'!G1237,Inputs!H265*'(Tables)'!G1237)</f>
        <v>0</v>
      </c>
      <c r="I51" s="217">
        <f>SUM(F51:H51)</f>
        <v>0</v>
      </c>
      <c r="J51" s="262">
        <f>IF('(Tables)'!I12&lt;0.001+1/12,Inputs!G265*'(Tables)'!H1237,Inputs!H265*'(Tables)'!H1237)</f>
        <v>0</v>
      </c>
      <c r="K51" s="262">
        <f>IF('(Tables)'!J12&lt;0.001+1/12,Inputs!G265*'(Tables)'!I1237,Inputs!H265*'(Tables)'!I1237)</f>
        <v>0</v>
      </c>
      <c r="L51" s="262">
        <f>IF('(Tables)'!K12&lt;0.001+1/12,Inputs!G265*'(Tables)'!J1237,Inputs!H265*'(Tables)'!J1237)</f>
        <v>0</v>
      </c>
      <c r="M51" s="217">
        <f>SUM(J51:L51)</f>
        <v>0</v>
      </c>
      <c r="N51" s="262">
        <f>IF('(Tables)'!L12&lt;0.001+1/12,Inputs!G265*'(Tables)'!K1237,Inputs!H265*'(Tables)'!K1237)</f>
        <v>0</v>
      </c>
      <c r="O51" s="262">
        <f>IF('(Tables)'!M12&lt;0.001+1/12,Inputs!G265*'(Tables)'!L1237,Inputs!H265*'(Tables)'!L1237)</f>
        <v>0</v>
      </c>
      <c r="P51" s="262">
        <f>IF('(Tables)'!N12&lt;0.001+1/12,Inputs!G265*'(Tables)'!M1237,Inputs!H265*'(Tables)'!M1237)</f>
        <v>0</v>
      </c>
      <c r="Q51" s="217">
        <f>SUM(N51:P51)</f>
        <v>0</v>
      </c>
      <c r="R51" s="262">
        <f>IF('(Tables)'!O12&lt;0.001+1/12,Inputs!G265*'(Tables)'!N1237,Inputs!H265*'(Tables)'!N1237)</f>
        <v>0</v>
      </c>
      <c r="S51" s="262">
        <f>IF('(Tables)'!P12&lt;0.001+1/12,Inputs!G265*'(Tables)'!O1237,Inputs!H265*'(Tables)'!O1237)</f>
        <v>0</v>
      </c>
      <c r="T51" s="262">
        <f>IF('(Tables)'!Q12&lt;0.001+1/12,Inputs!G265*'(Tables)'!P1237,Inputs!H265*'(Tables)'!P1237)</f>
        <v>0</v>
      </c>
      <c r="U51" s="217">
        <f>SUM(R51:T51)</f>
        <v>0</v>
      </c>
      <c r="V51" s="262">
        <f>IF('(Tables)'!R12&lt;0.001+1/12,Inputs!G265*'(Tables)'!Q1237,Inputs!H265*'(Tables)'!Q1237)</f>
        <v>0</v>
      </c>
      <c r="W51" s="262">
        <f>IF('(Tables)'!S12&lt;0.001+1/12,Inputs!G265*'(Tables)'!R1237,Inputs!H265*'(Tables)'!R1237)</f>
        <v>0</v>
      </c>
      <c r="X51" s="262">
        <f>IF('(Tables)'!T12&lt;0.001+1/12,Inputs!G265*'(Tables)'!S1237,Inputs!H265*'(Tables)'!S1237)</f>
        <v>0</v>
      </c>
      <c r="Y51" s="217">
        <f>SUM(V51:X51)</f>
        <v>0</v>
      </c>
    </row>
    <row r="52" spans="1:25" ht="12.75" hidden="1" customHeight="1" outlineLevel="1" x14ac:dyDescent="0.2">
      <c r="A52" s="198" t="str">
        <f>"      "&amp;Labels!B394</f>
        <v xml:space="preserve">      Contributor</v>
      </c>
      <c r="B52" s="262">
        <f>IF('(Tables)'!C12&lt;0.001+1/12,Inputs!G266*'(Tables)'!B1238,Inputs!H266*'(Tables)'!B1238)</f>
        <v>0</v>
      </c>
      <c r="C52" s="262">
        <f>IF('(Tables)'!D12&lt;0.001+1/12,Inputs!G266*'(Tables)'!C1238,Inputs!H266*'(Tables)'!C1238)</f>
        <v>0</v>
      </c>
      <c r="D52" s="262">
        <f>IF('(Tables)'!E12&lt;0.001+1/12,Inputs!G266*'(Tables)'!D1238,Inputs!H266*'(Tables)'!D1238)</f>
        <v>0</v>
      </c>
      <c r="E52" s="217">
        <f>SUM(B52:D52)</f>
        <v>0</v>
      </c>
      <c r="F52" s="262">
        <f>IF('(Tables)'!F12&lt;0.001+1/12,Inputs!G266*'(Tables)'!E1238,Inputs!H266*'(Tables)'!E1238)</f>
        <v>0</v>
      </c>
      <c r="G52" s="262">
        <f>IF('(Tables)'!G12&lt;0.001+1/12,Inputs!G266*'(Tables)'!F1238,Inputs!H266*'(Tables)'!F1238)</f>
        <v>0</v>
      </c>
      <c r="H52" s="262">
        <f>IF('(Tables)'!H12&lt;0.001+1/12,Inputs!G266*'(Tables)'!G1238,Inputs!H266*'(Tables)'!G1238)</f>
        <v>0</v>
      </c>
      <c r="I52" s="217">
        <f>SUM(F52:H52)</f>
        <v>0</v>
      </c>
      <c r="J52" s="262">
        <f>IF('(Tables)'!I12&lt;0.001+1/12,Inputs!G266*'(Tables)'!H1238,Inputs!H266*'(Tables)'!H1238)</f>
        <v>0</v>
      </c>
      <c r="K52" s="262">
        <f>IF('(Tables)'!J12&lt;0.001+1/12,Inputs!G266*'(Tables)'!I1238,Inputs!H266*'(Tables)'!I1238)</f>
        <v>0</v>
      </c>
      <c r="L52" s="262">
        <f>IF('(Tables)'!K12&lt;0.001+1/12,Inputs!G266*'(Tables)'!J1238,Inputs!H266*'(Tables)'!J1238)</f>
        <v>0</v>
      </c>
      <c r="M52" s="217">
        <f>SUM(J52:L52)</f>
        <v>0</v>
      </c>
      <c r="N52" s="262">
        <f>IF('(Tables)'!L12&lt;0.001+1/12,Inputs!G266*'(Tables)'!K1238,Inputs!H266*'(Tables)'!K1238)</f>
        <v>0</v>
      </c>
      <c r="O52" s="262">
        <f>IF('(Tables)'!M12&lt;0.001+1/12,Inputs!G266*'(Tables)'!L1238,Inputs!H266*'(Tables)'!L1238)</f>
        <v>0</v>
      </c>
      <c r="P52" s="262">
        <f>IF('(Tables)'!N12&lt;0.001+1/12,Inputs!G266*'(Tables)'!M1238,Inputs!H266*'(Tables)'!M1238)</f>
        <v>0</v>
      </c>
      <c r="Q52" s="217">
        <f>SUM(N52:P52)</f>
        <v>0</v>
      </c>
      <c r="R52" s="262">
        <f>IF('(Tables)'!O12&lt;0.001+1/12,Inputs!G266*'(Tables)'!N1238,Inputs!H266*'(Tables)'!N1238)</f>
        <v>0</v>
      </c>
      <c r="S52" s="262">
        <f>IF('(Tables)'!P12&lt;0.001+1/12,Inputs!G266*'(Tables)'!O1238,Inputs!H266*'(Tables)'!O1238)</f>
        <v>0</v>
      </c>
      <c r="T52" s="262">
        <f>IF('(Tables)'!Q12&lt;0.001+1/12,Inputs!G266*'(Tables)'!P1238,Inputs!H266*'(Tables)'!P1238)</f>
        <v>0</v>
      </c>
      <c r="U52" s="217">
        <f>SUM(R52:T52)</f>
        <v>0</v>
      </c>
      <c r="V52" s="262">
        <f>IF('(Tables)'!R12&lt;0.001+1/12,Inputs!G266*'(Tables)'!Q1238,Inputs!H266*'(Tables)'!Q1238)</f>
        <v>0</v>
      </c>
      <c r="W52" s="262">
        <f>IF('(Tables)'!S12&lt;0.001+1/12,Inputs!G266*'(Tables)'!R1238,Inputs!H266*'(Tables)'!R1238)</f>
        <v>0</v>
      </c>
      <c r="X52" s="262">
        <f>IF('(Tables)'!T12&lt;0.001+1/12,Inputs!G266*'(Tables)'!S1238,Inputs!H266*'(Tables)'!S1238)</f>
        <v>0</v>
      </c>
      <c r="Y52" s="217">
        <f>SUM(V52:X52)</f>
        <v>0</v>
      </c>
    </row>
    <row r="53" spans="1:25" ht="12.75" hidden="1" customHeight="1" outlineLevel="1" x14ac:dyDescent="0.2">
      <c r="A53" s="188" t="str">
        <f>"      "&amp;Labels!C392</f>
        <v xml:space="preserve">      Total</v>
      </c>
      <c r="B53" s="166">
        <f>SUM(B51:B52)</f>
        <v>0</v>
      </c>
      <c r="C53" s="166">
        <f>SUM(C51:C52)</f>
        <v>0</v>
      </c>
      <c r="D53" s="166">
        <f>SUM(D51:D52)</f>
        <v>0</v>
      </c>
      <c r="E53" s="225">
        <f>SUM(B53:D53)</f>
        <v>0</v>
      </c>
      <c r="F53" s="166">
        <f>SUM(F51:F52)</f>
        <v>0</v>
      </c>
      <c r="G53" s="166">
        <f>SUM(G51:G52)</f>
        <v>0</v>
      </c>
      <c r="H53" s="166">
        <f>SUM(H51:H52)</f>
        <v>0</v>
      </c>
      <c r="I53" s="225">
        <f>SUM(F53:H53)</f>
        <v>0</v>
      </c>
      <c r="J53" s="166">
        <f>SUM(J51:J52)</f>
        <v>0</v>
      </c>
      <c r="K53" s="166">
        <f>SUM(K51:K52)</f>
        <v>0</v>
      </c>
      <c r="L53" s="166">
        <f>SUM(L51:L52)</f>
        <v>0</v>
      </c>
      <c r="M53" s="225">
        <f>SUM(J53:L53)</f>
        <v>0</v>
      </c>
      <c r="N53" s="166">
        <f>SUM(N51:N52)</f>
        <v>0</v>
      </c>
      <c r="O53" s="166">
        <f>SUM(O51:O52)</f>
        <v>0</v>
      </c>
      <c r="P53" s="166">
        <f>SUM(P51:P52)</f>
        <v>0</v>
      </c>
      <c r="Q53" s="225">
        <f>SUM(N53:P53)</f>
        <v>0</v>
      </c>
      <c r="R53" s="166">
        <f>SUM(R51:R52)</f>
        <v>0</v>
      </c>
      <c r="S53" s="166">
        <f>SUM(S51:S52)</f>
        <v>0</v>
      </c>
      <c r="T53" s="166">
        <f>SUM(T51:T52)</f>
        <v>0</v>
      </c>
      <c r="U53" s="225">
        <f>SUM(R53:T53)</f>
        <v>0</v>
      </c>
      <c r="V53" s="166">
        <f>SUM(V51:V52)</f>
        <v>0</v>
      </c>
      <c r="W53" s="166">
        <f>SUM(W51:W52)</f>
        <v>0</v>
      </c>
      <c r="X53" s="166">
        <f>SUM(X51:X52)</f>
        <v>0</v>
      </c>
      <c r="Y53" s="225">
        <f>SUM(V53:X53)</f>
        <v>0</v>
      </c>
    </row>
    <row r="54" spans="1:25" ht="12.75" hidden="1" customHeight="1" outlineLevel="1" x14ac:dyDescent="0.2">
      <c r="A54" s="188" t="str">
        <f>"   "&amp;Labels!B322</f>
        <v xml:space="preserve">   Sales</v>
      </c>
      <c r="B54" s="166"/>
      <c r="C54" s="166"/>
      <c r="D54" s="166"/>
      <c r="E54" s="225"/>
      <c r="F54" s="166"/>
      <c r="G54" s="166"/>
      <c r="H54" s="166"/>
      <c r="I54" s="225"/>
      <c r="J54" s="166"/>
      <c r="K54" s="166"/>
      <c r="L54" s="166"/>
      <c r="M54" s="225"/>
      <c r="N54" s="166"/>
      <c r="O54" s="166"/>
      <c r="P54" s="166"/>
      <c r="Q54" s="225"/>
      <c r="R54" s="166"/>
      <c r="S54" s="166"/>
      <c r="T54" s="166"/>
      <c r="U54" s="225"/>
      <c r="V54" s="166"/>
      <c r="W54" s="166"/>
      <c r="X54" s="166"/>
      <c r="Y54" s="225"/>
    </row>
    <row r="55" spans="1:25" ht="12.75" hidden="1" customHeight="1" outlineLevel="1" x14ac:dyDescent="0.2">
      <c r="A55" s="198" t="str">
        <f>"      "&amp;Labels!B393</f>
        <v xml:space="preserve">      Manager</v>
      </c>
      <c r="B55" s="262">
        <f>IF('(Tables)'!C12&lt;0.001+1/12,Inputs!G267*'(Tables)'!B1241,Inputs!H267*'(Tables)'!B1241)</f>
        <v>0</v>
      </c>
      <c r="C55" s="262">
        <f>IF('(Tables)'!D12&lt;0.001+1/12,Inputs!G267*'(Tables)'!C1241,Inputs!H267*'(Tables)'!C1241)</f>
        <v>0</v>
      </c>
      <c r="D55" s="262">
        <f>IF('(Tables)'!E12&lt;0.001+1/12,Inputs!G267*'(Tables)'!D1241,Inputs!H267*'(Tables)'!D1241)</f>
        <v>0</v>
      </c>
      <c r="E55" s="217">
        <f t="shared" ref="E55:E60" si="18">SUM(B55:D55)</f>
        <v>0</v>
      </c>
      <c r="F55" s="262">
        <f>IF('(Tables)'!F12&lt;0.001+1/12,Inputs!G267*'(Tables)'!E1241,Inputs!H267*'(Tables)'!E1241)</f>
        <v>0</v>
      </c>
      <c r="G55" s="262">
        <f>IF('(Tables)'!G12&lt;0.001+1/12,Inputs!G267*'(Tables)'!F1241,Inputs!H267*'(Tables)'!F1241)</f>
        <v>0</v>
      </c>
      <c r="H55" s="262">
        <f>IF('(Tables)'!H12&lt;0.001+1/12,Inputs!G267*'(Tables)'!G1241,Inputs!H267*'(Tables)'!G1241)</f>
        <v>0</v>
      </c>
      <c r="I55" s="217">
        <f t="shared" ref="I55:I60" si="19">SUM(F55:H55)</f>
        <v>0</v>
      </c>
      <c r="J55" s="262">
        <f>IF('(Tables)'!I12&lt;0.001+1/12,Inputs!G267*'(Tables)'!H1241,Inputs!H267*'(Tables)'!H1241)</f>
        <v>0</v>
      </c>
      <c r="K55" s="262">
        <f>IF('(Tables)'!J12&lt;0.001+1/12,Inputs!G267*'(Tables)'!I1241,Inputs!H267*'(Tables)'!I1241)</f>
        <v>0</v>
      </c>
      <c r="L55" s="262">
        <f>IF('(Tables)'!K12&lt;0.001+1/12,Inputs!G267*'(Tables)'!J1241,Inputs!H267*'(Tables)'!J1241)</f>
        <v>0</v>
      </c>
      <c r="M55" s="217">
        <f t="shared" ref="M55:M60" si="20">SUM(J55:L55)</f>
        <v>0</v>
      </c>
      <c r="N55" s="262">
        <f>IF('(Tables)'!L12&lt;0.001+1/12,Inputs!G267*'(Tables)'!K1241,Inputs!H267*'(Tables)'!K1241)</f>
        <v>0</v>
      </c>
      <c r="O55" s="262">
        <f>IF('(Tables)'!M12&lt;0.001+1/12,Inputs!G267*'(Tables)'!L1241,Inputs!H267*'(Tables)'!L1241)</f>
        <v>0</v>
      </c>
      <c r="P55" s="262">
        <f>IF('(Tables)'!N12&lt;0.001+1/12,Inputs!G267*'(Tables)'!M1241,Inputs!H267*'(Tables)'!M1241)</f>
        <v>0</v>
      </c>
      <c r="Q55" s="217">
        <f t="shared" ref="Q55:Q60" si="21">SUM(N55:P55)</f>
        <v>0</v>
      </c>
      <c r="R55" s="262">
        <f>IF('(Tables)'!O12&lt;0.001+1/12,Inputs!G267*'(Tables)'!N1241,Inputs!H267*'(Tables)'!N1241)</f>
        <v>0</v>
      </c>
      <c r="S55" s="262">
        <f>IF('(Tables)'!P12&lt;0.001+1/12,Inputs!G267*'(Tables)'!O1241,Inputs!H267*'(Tables)'!O1241)</f>
        <v>0</v>
      </c>
      <c r="T55" s="262">
        <f>IF('(Tables)'!Q12&lt;0.001+1/12,Inputs!G267*'(Tables)'!P1241,Inputs!H267*'(Tables)'!P1241)</f>
        <v>0</v>
      </c>
      <c r="U55" s="217">
        <f t="shared" ref="U55:U60" si="22">SUM(R55:T55)</f>
        <v>0</v>
      </c>
      <c r="V55" s="262">
        <f>IF('(Tables)'!R12&lt;0.001+1/12,Inputs!G267*'(Tables)'!Q1241,Inputs!H267*'(Tables)'!Q1241)</f>
        <v>0</v>
      </c>
      <c r="W55" s="262">
        <f>IF('(Tables)'!S12&lt;0.001+1/12,Inputs!G267*'(Tables)'!R1241,Inputs!H267*'(Tables)'!R1241)</f>
        <v>0</v>
      </c>
      <c r="X55" s="262">
        <f>IF('(Tables)'!T12&lt;0.001+1/12,Inputs!G267*'(Tables)'!S1241,Inputs!H267*'(Tables)'!S1241)</f>
        <v>0</v>
      </c>
      <c r="Y55" s="217">
        <f t="shared" ref="Y55:Y60" si="23">SUM(V55:X55)</f>
        <v>0</v>
      </c>
    </row>
    <row r="56" spans="1:25" ht="12.75" hidden="1" customHeight="1" outlineLevel="1" x14ac:dyDescent="0.2">
      <c r="A56" s="198" t="str">
        <f>"      "&amp;Labels!B394</f>
        <v xml:space="preserve">      Contributor</v>
      </c>
      <c r="B56" s="262">
        <f>IF('(Tables)'!C12&lt;0.001+1/12,Inputs!G268*'(Tables)'!B1242,Inputs!H268*'(Tables)'!B1242)</f>
        <v>0</v>
      </c>
      <c r="C56" s="262">
        <f>IF('(Tables)'!D12&lt;0.001+1/12,Inputs!G268*'(Tables)'!C1242,Inputs!H268*'(Tables)'!C1242)</f>
        <v>0</v>
      </c>
      <c r="D56" s="262">
        <f>IF('(Tables)'!E12&lt;0.001+1/12,Inputs!G268*'(Tables)'!D1242,Inputs!H268*'(Tables)'!D1242)</f>
        <v>0</v>
      </c>
      <c r="E56" s="217">
        <f t="shared" si="18"/>
        <v>0</v>
      </c>
      <c r="F56" s="262">
        <f>IF('(Tables)'!F12&lt;0.001+1/12,Inputs!G268*'(Tables)'!E1242,Inputs!H268*'(Tables)'!E1242)</f>
        <v>0</v>
      </c>
      <c r="G56" s="262">
        <f>IF('(Tables)'!G12&lt;0.001+1/12,Inputs!G268*'(Tables)'!F1242,Inputs!H268*'(Tables)'!F1242)</f>
        <v>0</v>
      </c>
      <c r="H56" s="262">
        <f>IF('(Tables)'!H12&lt;0.001+1/12,Inputs!G268*'(Tables)'!G1242,Inputs!H268*'(Tables)'!G1242)</f>
        <v>0</v>
      </c>
      <c r="I56" s="217">
        <f t="shared" si="19"/>
        <v>0</v>
      </c>
      <c r="J56" s="262">
        <f>IF('(Tables)'!I12&lt;0.001+1/12,Inputs!G268*'(Tables)'!H1242,Inputs!H268*'(Tables)'!H1242)</f>
        <v>0</v>
      </c>
      <c r="K56" s="262">
        <f>IF('(Tables)'!J12&lt;0.001+1/12,Inputs!G268*'(Tables)'!I1242,Inputs!H268*'(Tables)'!I1242)</f>
        <v>0</v>
      </c>
      <c r="L56" s="262">
        <f>IF('(Tables)'!K12&lt;0.001+1/12,Inputs!G268*'(Tables)'!J1242,Inputs!H268*'(Tables)'!J1242)</f>
        <v>0</v>
      </c>
      <c r="M56" s="217">
        <f t="shared" si="20"/>
        <v>0</v>
      </c>
      <c r="N56" s="262">
        <f>IF('(Tables)'!L12&lt;0.001+1/12,Inputs!G268*'(Tables)'!K1242,Inputs!H268*'(Tables)'!K1242)</f>
        <v>0</v>
      </c>
      <c r="O56" s="262">
        <f>IF('(Tables)'!M12&lt;0.001+1/12,Inputs!G268*'(Tables)'!L1242,Inputs!H268*'(Tables)'!L1242)</f>
        <v>0</v>
      </c>
      <c r="P56" s="262">
        <f>IF('(Tables)'!N12&lt;0.001+1/12,Inputs!G268*'(Tables)'!M1242,Inputs!H268*'(Tables)'!M1242)</f>
        <v>0</v>
      </c>
      <c r="Q56" s="217">
        <f t="shared" si="21"/>
        <v>0</v>
      </c>
      <c r="R56" s="262">
        <f>IF('(Tables)'!O12&lt;0.001+1/12,Inputs!G268*'(Tables)'!N1242,Inputs!H268*'(Tables)'!N1242)</f>
        <v>0</v>
      </c>
      <c r="S56" s="262">
        <f>IF('(Tables)'!P12&lt;0.001+1/12,Inputs!G268*'(Tables)'!O1242,Inputs!H268*'(Tables)'!O1242)</f>
        <v>0</v>
      </c>
      <c r="T56" s="262">
        <f>IF('(Tables)'!Q12&lt;0.001+1/12,Inputs!G268*'(Tables)'!P1242,Inputs!H268*'(Tables)'!P1242)</f>
        <v>0</v>
      </c>
      <c r="U56" s="217">
        <f t="shared" si="22"/>
        <v>0</v>
      </c>
      <c r="V56" s="262">
        <f>IF('(Tables)'!R12&lt;0.001+1/12,Inputs!G268*'(Tables)'!Q1242,Inputs!H268*'(Tables)'!Q1242)</f>
        <v>0</v>
      </c>
      <c r="W56" s="262">
        <f>IF('(Tables)'!S12&lt;0.001+1/12,Inputs!G268*'(Tables)'!R1242,Inputs!H268*'(Tables)'!R1242)</f>
        <v>0</v>
      </c>
      <c r="X56" s="262">
        <f>IF('(Tables)'!T12&lt;0.001+1/12,Inputs!G268*'(Tables)'!S1242,Inputs!H268*'(Tables)'!S1242)</f>
        <v>0</v>
      </c>
      <c r="Y56" s="217">
        <f t="shared" si="23"/>
        <v>0</v>
      </c>
    </row>
    <row r="57" spans="1:25" ht="12.75" hidden="1" customHeight="1" outlineLevel="1" x14ac:dyDescent="0.2">
      <c r="A57" s="188" t="str">
        <f>"      "&amp;Labels!C392</f>
        <v xml:space="preserve">      Total</v>
      </c>
      <c r="B57" s="166">
        <f>SUM(B55:B56)</f>
        <v>0</v>
      </c>
      <c r="C57" s="166">
        <f>SUM(C55:C56)</f>
        <v>0</v>
      </c>
      <c r="D57" s="166">
        <f>SUM(D55:D56)</f>
        <v>0</v>
      </c>
      <c r="E57" s="225">
        <f t="shared" si="18"/>
        <v>0</v>
      </c>
      <c r="F57" s="166">
        <f>SUM(F55:F56)</f>
        <v>0</v>
      </c>
      <c r="G57" s="166">
        <f>SUM(G55:G56)</f>
        <v>0</v>
      </c>
      <c r="H57" s="166">
        <f>SUM(H55:H56)</f>
        <v>0</v>
      </c>
      <c r="I57" s="225">
        <f t="shared" si="19"/>
        <v>0</v>
      </c>
      <c r="J57" s="166">
        <f>SUM(J55:J56)</f>
        <v>0</v>
      </c>
      <c r="K57" s="166">
        <f>SUM(K55:K56)</f>
        <v>0</v>
      </c>
      <c r="L57" s="166">
        <f>SUM(L55:L56)</f>
        <v>0</v>
      </c>
      <c r="M57" s="225">
        <f t="shared" si="20"/>
        <v>0</v>
      </c>
      <c r="N57" s="166">
        <f>SUM(N55:N56)</f>
        <v>0</v>
      </c>
      <c r="O57" s="166">
        <f>SUM(O55:O56)</f>
        <v>0</v>
      </c>
      <c r="P57" s="166">
        <f>SUM(P55:P56)</f>
        <v>0</v>
      </c>
      <c r="Q57" s="225">
        <f t="shared" si="21"/>
        <v>0</v>
      </c>
      <c r="R57" s="166">
        <f>SUM(R55:R56)</f>
        <v>0</v>
      </c>
      <c r="S57" s="166">
        <f>SUM(S55:S56)</f>
        <v>0</v>
      </c>
      <c r="T57" s="166">
        <f>SUM(T55:T56)</f>
        <v>0</v>
      </c>
      <c r="U57" s="225">
        <f t="shared" si="22"/>
        <v>0</v>
      </c>
      <c r="V57" s="166">
        <f>SUM(V55:V56)</f>
        <v>0</v>
      </c>
      <c r="W57" s="166">
        <f>SUM(W55:W56)</f>
        <v>0</v>
      </c>
      <c r="X57" s="166">
        <f>SUM(X55:X56)</f>
        <v>0</v>
      </c>
      <c r="Y57" s="225">
        <f t="shared" si="23"/>
        <v>0</v>
      </c>
    </row>
    <row r="58" spans="1:25" ht="12.75" hidden="1" customHeight="1" outlineLevel="1" x14ac:dyDescent="0.2">
      <c r="A58" s="191" t="str">
        <f>"   "&amp;Labels!C320</f>
        <v xml:space="preserve">   Total</v>
      </c>
      <c r="B58" s="216">
        <f>SUM(B53,B57)</f>
        <v>0</v>
      </c>
      <c r="C58" s="216">
        <f>SUM(C53,C57)</f>
        <v>0</v>
      </c>
      <c r="D58" s="216">
        <f>SUM(D53,D57)</f>
        <v>0</v>
      </c>
      <c r="E58" s="217">
        <f t="shared" si="18"/>
        <v>0</v>
      </c>
      <c r="F58" s="216">
        <f>SUM(F53,F57)</f>
        <v>0</v>
      </c>
      <c r="G58" s="216">
        <f>SUM(G53,G57)</f>
        <v>0</v>
      </c>
      <c r="H58" s="216">
        <f>SUM(H53,H57)</f>
        <v>0</v>
      </c>
      <c r="I58" s="217">
        <f t="shared" si="19"/>
        <v>0</v>
      </c>
      <c r="J58" s="216">
        <f>SUM(J53,J57)</f>
        <v>0</v>
      </c>
      <c r="K58" s="216">
        <f>SUM(K53,K57)</f>
        <v>0</v>
      </c>
      <c r="L58" s="216">
        <f>SUM(L53,L57)</f>
        <v>0</v>
      </c>
      <c r="M58" s="217">
        <f t="shared" si="20"/>
        <v>0</v>
      </c>
      <c r="N58" s="216">
        <f>SUM(N53,N57)</f>
        <v>0</v>
      </c>
      <c r="O58" s="216">
        <f>SUM(O53,O57)</f>
        <v>0</v>
      </c>
      <c r="P58" s="216">
        <f>SUM(P53,P57)</f>
        <v>0</v>
      </c>
      <c r="Q58" s="217">
        <f t="shared" si="21"/>
        <v>0</v>
      </c>
      <c r="R58" s="216">
        <f>SUM(R53,R57)</f>
        <v>0</v>
      </c>
      <c r="S58" s="216">
        <f>SUM(S53,S57)</f>
        <v>0</v>
      </c>
      <c r="T58" s="216">
        <f>SUM(T53,T57)</f>
        <v>0</v>
      </c>
      <c r="U58" s="217">
        <f t="shared" si="22"/>
        <v>0</v>
      </c>
      <c r="V58" s="216">
        <f>SUM(V53,V57)</f>
        <v>0</v>
      </c>
      <c r="W58" s="216">
        <f>SUM(W53,W57)</f>
        <v>0</v>
      </c>
      <c r="X58" s="216">
        <f>SUM(X53,X57)</f>
        <v>0</v>
      </c>
      <c r="Y58" s="217">
        <f t="shared" si="23"/>
        <v>0</v>
      </c>
    </row>
    <row r="59" spans="1:25" ht="12.75" hidden="1" customHeight="1" outlineLevel="1" x14ac:dyDescent="0.2">
      <c r="A59" s="198" t="str">
        <f>"      "&amp;Labels!B393</f>
        <v xml:space="preserve">      Manager</v>
      </c>
      <c r="B59" s="262">
        <f t="shared" ref="B59:D61" si="24">SUM(B51,B55)</f>
        <v>0</v>
      </c>
      <c r="C59" s="262">
        <f t="shared" si="24"/>
        <v>0</v>
      </c>
      <c r="D59" s="262">
        <f t="shared" si="24"/>
        <v>0</v>
      </c>
      <c r="E59" s="217">
        <f t="shared" si="18"/>
        <v>0</v>
      </c>
      <c r="F59" s="262">
        <f t="shared" ref="F59:H61" si="25">SUM(F51,F55)</f>
        <v>0</v>
      </c>
      <c r="G59" s="262">
        <f t="shared" si="25"/>
        <v>0</v>
      </c>
      <c r="H59" s="262">
        <f t="shared" si="25"/>
        <v>0</v>
      </c>
      <c r="I59" s="217">
        <f t="shared" si="19"/>
        <v>0</v>
      </c>
      <c r="J59" s="262">
        <f t="shared" ref="J59:L61" si="26">SUM(J51,J55)</f>
        <v>0</v>
      </c>
      <c r="K59" s="262">
        <f t="shared" si="26"/>
        <v>0</v>
      </c>
      <c r="L59" s="262">
        <f t="shared" si="26"/>
        <v>0</v>
      </c>
      <c r="M59" s="217">
        <f t="shared" si="20"/>
        <v>0</v>
      </c>
      <c r="N59" s="262">
        <f t="shared" ref="N59:P61" si="27">SUM(N51,N55)</f>
        <v>0</v>
      </c>
      <c r="O59" s="262">
        <f t="shared" si="27"/>
        <v>0</v>
      </c>
      <c r="P59" s="262">
        <f t="shared" si="27"/>
        <v>0</v>
      </c>
      <c r="Q59" s="217">
        <f t="shared" si="21"/>
        <v>0</v>
      </c>
      <c r="R59" s="262">
        <f t="shared" ref="R59:T61" si="28">SUM(R51,R55)</f>
        <v>0</v>
      </c>
      <c r="S59" s="262">
        <f t="shared" si="28"/>
        <v>0</v>
      </c>
      <c r="T59" s="262">
        <f t="shared" si="28"/>
        <v>0</v>
      </c>
      <c r="U59" s="217">
        <f t="shared" si="22"/>
        <v>0</v>
      </c>
      <c r="V59" s="262">
        <f t="shared" ref="V59:X61" si="29">SUM(V51,V55)</f>
        <v>0</v>
      </c>
      <c r="W59" s="262">
        <f t="shared" si="29"/>
        <v>0</v>
      </c>
      <c r="X59" s="262">
        <f t="shared" si="29"/>
        <v>0</v>
      </c>
      <c r="Y59" s="217">
        <f t="shared" si="23"/>
        <v>0</v>
      </c>
    </row>
    <row r="60" spans="1:25" ht="12.75" hidden="1" customHeight="1" outlineLevel="1" x14ac:dyDescent="0.2">
      <c r="A60" s="198" t="str">
        <f>"      "&amp;Labels!B394</f>
        <v xml:space="preserve">      Contributor</v>
      </c>
      <c r="B60" s="262">
        <f t="shared" si="24"/>
        <v>0</v>
      </c>
      <c r="C60" s="262">
        <f t="shared" si="24"/>
        <v>0</v>
      </c>
      <c r="D60" s="262">
        <f t="shared" si="24"/>
        <v>0</v>
      </c>
      <c r="E60" s="217">
        <f t="shared" si="18"/>
        <v>0</v>
      </c>
      <c r="F60" s="262">
        <f t="shared" si="25"/>
        <v>0</v>
      </c>
      <c r="G60" s="262">
        <f t="shared" si="25"/>
        <v>0</v>
      </c>
      <c r="H60" s="262">
        <f t="shared" si="25"/>
        <v>0</v>
      </c>
      <c r="I60" s="217">
        <f t="shared" si="19"/>
        <v>0</v>
      </c>
      <c r="J60" s="262">
        <f t="shared" si="26"/>
        <v>0</v>
      </c>
      <c r="K60" s="262">
        <f t="shared" si="26"/>
        <v>0</v>
      </c>
      <c r="L60" s="262">
        <f t="shared" si="26"/>
        <v>0</v>
      </c>
      <c r="M60" s="217">
        <f t="shared" si="20"/>
        <v>0</v>
      </c>
      <c r="N60" s="262">
        <f t="shared" si="27"/>
        <v>0</v>
      </c>
      <c r="O60" s="262">
        <f t="shared" si="27"/>
        <v>0</v>
      </c>
      <c r="P60" s="262">
        <f t="shared" si="27"/>
        <v>0</v>
      </c>
      <c r="Q60" s="217">
        <f t="shared" si="21"/>
        <v>0</v>
      </c>
      <c r="R60" s="262">
        <f t="shared" si="28"/>
        <v>0</v>
      </c>
      <c r="S60" s="262">
        <f t="shared" si="28"/>
        <v>0</v>
      </c>
      <c r="T60" s="262">
        <f t="shared" si="28"/>
        <v>0</v>
      </c>
      <c r="U60" s="217">
        <f t="shared" si="22"/>
        <v>0</v>
      </c>
      <c r="V60" s="262">
        <f t="shared" si="29"/>
        <v>0</v>
      </c>
      <c r="W60" s="262">
        <f t="shared" si="29"/>
        <v>0</v>
      </c>
      <c r="X60" s="262">
        <f t="shared" si="29"/>
        <v>0</v>
      </c>
      <c r="Y60" s="217">
        <f t="shared" si="23"/>
        <v>0</v>
      </c>
    </row>
    <row r="61" spans="1:25" ht="12.75" hidden="1" customHeight="1" outlineLevel="1" x14ac:dyDescent="0.2">
      <c r="A61" s="220" t="str">
        <f>"      "&amp;Labels!C392</f>
        <v xml:space="preserve">      Total</v>
      </c>
      <c r="B61" s="169">
        <f t="shared" si="24"/>
        <v>0</v>
      </c>
      <c r="C61" s="169">
        <f t="shared" si="24"/>
        <v>0</v>
      </c>
      <c r="D61" s="169">
        <f t="shared" si="24"/>
        <v>0</v>
      </c>
      <c r="E61" s="299">
        <f>SUM(B58:D58)</f>
        <v>0</v>
      </c>
      <c r="F61" s="169">
        <f t="shared" si="25"/>
        <v>0</v>
      </c>
      <c r="G61" s="169">
        <f t="shared" si="25"/>
        <v>0</v>
      </c>
      <c r="H61" s="169">
        <f t="shared" si="25"/>
        <v>0</v>
      </c>
      <c r="I61" s="299">
        <f>SUM(F58:H58)</f>
        <v>0</v>
      </c>
      <c r="J61" s="169">
        <f t="shared" si="26"/>
        <v>0</v>
      </c>
      <c r="K61" s="169">
        <f t="shared" si="26"/>
        <v>0</v>
      </c>
      <c r="L61" s="169">
        <f t="shared" si="26"/>
        <v>0</v>
      </c>
      <c r="M61" s="299">
        <f>SUM(J58:L58)</f>
        <v>0</v>
      </c>
      <c r="N61" s="169">
        <f t="shared" si="27"/>
        <v>0</v>
      </c>
      <c r="O61" s="169">
        <f t="shared" si="27"/>
        <v>0</v>
      </c>
      <c r="P61" s="169">
        <f t="shared" si="27"/>
        <v>0</v>
      </c>
      <c r="Q61" s="299">
        <f>SUM(N58:P58)</f>
        <v>0</v>
      </c>
      <c r="R61" s="169">
        <f t="shared" si="28"/>
        <v>0</v>
      </c>
      <c r="S61" s="169">
        <f t="shared" si="28"/>
        <v>0</v>
      </c>
      <c r="T61" s="169">
        <f t="shared" si="28"/>
        <v>0</v>
      </c>
      <c r="U61" s="299">
        <f>SUM(R58:T58)</f>
        <v>0</v>
      </c>
      <c r="V61" s="169">
        <f t="shared" si="29"/>
        <v>0</v>
      </c>
      <c r="W61" s="169">
        <f t="shared" si="29"/>
        <v>0</v>
      </c>
      <c r="X61" s="169">
        <f t="shared" si="29"/>
        <v>0</v>
      </c>
      <c r="Y61" s="299">
        <f>SUM(V58:X58)</f>
        <v>0</v>
      </c>
    </row>
    <row r="62" spans="1:25" ht="12.75" hidden="1" customHeight="1" outlineLevel="1" collapsed="1" x14ac:dyDescent="0.2"/>
    <row r="63" spans="1:25" ht="12.75" customHeight="1" collapsed="1" x14ac:dyDescent="0.2">
      <c r="A63" s="465" t="str">
        <f>"Support Staff Expense"</f>
        <v>Support Staff Expense</v>
      </c>
      <c r="B63" s="465"/>
    </row>
    <row r="64" spans="1:25" ht="12.75" hidden="1" customHeight="1" outlineLevel="1" x14ac:dyDescent="0.2">
      <c r="B64" s="9" t="str">
        <f>'(FnCalls 1)'!F41</f>
        <v>MMM 2010</v>
      </c>
      <c r="C64" s="10" t="str">
        <f>'(FnCalls 1)'!F42</f>
        <v>MMM 2010</v>
      </c>
      <c r="D64" s="10" t="str">
        <f>'(FnCalls 1)'!F43</f>
        <v>MMM 2010</v>
      </c>
      <c r="E64" s="181" t="str">
        <f>'(FnCalls 1)'!G41</f>
        <v>Q1 2010</v>
      </c>
      <c r="F64" s="10" t="str">
        <f>'(FnCalls 1)'!F44</f>
        <v>MMM 2010</v>
      </c>
      <c r="G64" s="10" t="str">
        <f>'(FnCalls 1)'!F45</f>
        <v>MMM 2010</v>
      </c>
      <c r="H64" s="10" t="str">
        <f>'(FnCalls 1)'!F46</f>
        <v>MMM 2010</v>
      </c>
      <c r="I64" s="181" t="str">
        <f>'(FnCalls 1)'!G44</f>
        <v>Q2 2010</v>
      </c>
      <c r="J64" s="10" t="str">
        <f>'(FnCalls 1)'!F47</f>
        <v>MMM 2010</v>
      </c>
      <c r="K64" s="10" t="str">
        <f>'(FnCalls 1)'!F48</f>
        <v>MMM 2010</v>
      </c>
      <c r="L64" s="10" t="str">
        <f>'(FnCalls 1)'!F49</f>
        <v>MMM 2010</v>
      </c>
      <c r="M64" s="181" t="str">
        <f>'(FnCalls 1)'!G47</f>
        <v>Q3 2010</v>
      </c>
      <c r="N64" s="10" t="str">
        <f>'(FnCalls 1)'!F50</f>
        <v>MMM 2010</v>
      </c>
      <c r="O64" s="10" t="str">
        <f>'(FnCalls 1)'!F51</f>
        <v>MMM 2010</v>
      </c>
      <c r="P64" s="10" t="str">
        <f>'(FnCalls 1)'!F52</f>
        <v>MMM 2010</v>
      </c>
      <c r="Q64" s="181" t="str">
        <f>'(FnCalls 1)'!G50</f>
        <v>Q4 2010</v>
      </c>
      <c r="R64" s="10" t="str">
        <f>'(FnCalls 1)'!F53</f>
        <v>MMM 2011</v>
      </c>
      <c r="S64" s="10" t="str">
        <f>'(FnCalls 1)'!F54</f>
        <v>MMM 2011</v>
      </c>
      <c r="T64" s="10" t="str">
        <f>'(FnCalls 1)'!F55</f>
        <v>MMM 2011</v>
      </c>
      <c r="U64" s="181" t="str">
        <f>'(FnCalls 1)'!G53</f>
        <v>Q1 2011</v>
      </c>
      <c r="V64" s="10" t="str">
        <f>'(FnCalls 1)'!F56</f>
        <v>MMM 2011</v>
      </c>
      <c r="W64" s="10" t="str">
        <f>'(FnCalls 1)'!F57</f>
        <v>MMM 2011</v>
      </c>
      <c r="X64" s="10" t="str">
        <f>'(FnCalls 1)'!F58</f>
        <v>MMM 2011</v>
      </c>
      <c r="Y64" s="181" t="str">
        <f>'(FnCalls 1)'!G56</f>
        <v>Q2 2011</v>
      </c>
    </row>
    <row r="65" spans="1:25" ht="12.75" hidden="1" customHeight="1" outlineLevel="1" x14ac:dyDescent="0.2">
      <c r="A65" s="182" t="str">
        <f>Labels!B254</f>
        <v>Support Staff Expense</v>
      </c>
      <c r="B65" s="183"/>
      <c r="C65" s="183"/>
      <c r="D65" s="183"/>
      <c r="E65" s="184"/>
      <c r="F65" s="183"/>
      <c r="G65" s="183"/>
      <c r="H65" s="183"/>
      <c r="I65" s="184"/>
      <c r="J65" s="183"/>
      <c r="K65" s="183"/>
      <c r="L65" s="183"/>
      <c r="M65" s="184"/>
      <c r="N65" s="183"/>
      <c r="O65" s="183"/>
      <c r="P65" s="183"/>
      <c r="Q65" s="184"/>
      <c r="R65" s="183"/>
      <c r="S65" s="183"/>
      <c r="T65" s="183"/>
      <c r="U65" s="184"/>
      <c r="V65" s="183"/>
      <c r="W65" s="183"/>
      <c r="X65" s="183"/>
      <c r="Y65" s="184"/>
    </row>
    <row r="66" spans="1:25" ht="12.75" hidden="1" customHeight="1" outlineLevel="1" x14ac:dyDescent="0.2">
      <c r="A66" s="188" t="str">
        <f>"   "&amp;Labels!B321</f>
        <v xml:space="preserve">   Marketing</v>
      </c>
      <c r="B66" s="196"/>
      <c r="C66" s="196"/>
      <c r="D66" s="196"/>
      <c r="E66" s="197"/>
      <c r="F66" s="196"/>
      <c r="G66" s="196"/>
      <c r="H66" s="196"/>
      <c r="I66" s="197"/>
      <c r="J66" s="196"/>
      <c r="K66" s="196"/>
      <c r="L66" s="196"/>
      <c r="M66" s="197"/>
      <c r="N66" s="196"/>
      <c r="O66" s="196"/>
      <c r="P66" s="196"/>
      <c r="Q66" s="197"/>
      <c r="R66" s="196"/>
      <c r="S66" s="196"/>
      <c r="T66" s="196"/>
      <c r="U66" s="197"/>
      <c r="V66" s="196"/>
      <c r="W66" s="196"/>
      <c r="X66" s="196"/>
      <c r="Y66" s="197"/>
    </row>
    <row r="67" spans="1:25" ht="12.75" hidden="1" customHeight="1" outlineLevel="1" x14ac:dyDescent="0.2">
      <c r="A67" s="198" t="str">
        <f>"      "&amp;Labels!B393</f>
        <v xml:space="preserve">      Manager</v>
      </c>
      <c r="B67" s="189">
        <f>B81*1+B81*Inputs!F244+B114*1+B114*Inputs!F244+B81*Inputs!F238+IF(Labels!B321="Sales",IF(B81&gt;0,'(Tables)'!B1384*B23*B95/B87*(1+Inputs!F244),0),0)</f>
        <v>0</v>
      </c>
      <c r="C67" s="189">
        <f>C81*1+C81*Inputs!G244+C114*1+C114*Inputs!G244+C81*Inputs!G238+IF(Labels!B321="Sales",IF(C81&gt;0,'(Tables)'!C1384*C23*C95/C87*(1+Inputs!G244),0),0)</f>
        <v>0</v>
      </c>
      <c r="D67" s="189">
        <f>D81*1+D81*Inputs!H244+D114*1+D114*Inputs!H244+D81*Inputs!H238+IF(Labels!B321="Sales",IF(D81&gt;0,'(Tables)'!D1384*D23*D95/D87*(1+Inputs!H244),0),0)</f>
        <v>0</v>
      </c>
      <c r="E67" s="190">
        <f>SUM(B67:D67)</f>
        <v>0</v>
      </c>
      <c r="F67" s="189">
        <f>F81*1+F81*Inputs!I244+F114*1+F114*Inputs!I244+F81*Inputs!I238+IF(Labels!B321="Sales",IF(F81&gt;0,'(Tables)'!E1384*F23*F95/F87*(1+Inputs!I244),0),0)</f>
        <v>0</v>
      </c>
      <c r="G67" s="189">
        <f>G81*1+G81*Inputs!J244+G114*1+G114*Inputs!J244+G81*Inputs!J238+IF(Labels!B321="Sales",IF(G81&gt;0,'(Tables)'!F1384*G23*G95/G87*(1+Inputs!J244),0),0)</f>
        <v>0</v>
      </c>
      <c r="H67" s="189">
        <f>H81*1+H81*Inputs!K244+H114*1+H114*Inputs!K244+H81*Inputs!K238+IF(Labels!B321="Sales",IF(H81&gt;0,'(Tables)'!G1384*H23*H95/H87*(1+Inputs!K244),0),0)</f>
        <v>0</v>
      </c>
      <c r="I67" s="190">
        <f>SUM(F67:H67)</f>
        <v>0</v>
      </c>
      <c r="J67" s="189">
        <f>J81*1+J81*Inputs!L244+J114*1+J114*Inputs!L244+J81*Inputs!L238+IF(Labels!B321="Sales",IF(J81&gt;0,'(Tables)'!H1384*J23*J95/J87*(1+Inputs!L244),0),0)</f>
        <v>0</v>
      </c>
      <c r="K67" s="189">
        <f>K81*1+K81*Inputs!M244+K114*1+K114*Inputs!M244+K81*Inputs!M238+IF(Labels!B321="Sales",IF(K81&gt;0,'(Tables)'!I1384*K23*K95/K87*(1+Inputs!M244),0),0)</f>
        <v>0</v>
      </c>
      <c r="L67" s="189">
        <f>L81*1+L81*Inputs!N244+L114*1+L114*Inputs!N244+L81*Inputs!N238+IF(Labels!B321="Sales",IF(L81&gt;0,'(Tables)'!J1384*L23*L95/L87*(1+Inputs!N244),0),0)</f>
        <v>0</v>
      </c>
      <c r="M67" s="190">
        <f>SUM(J67:L67)</f>
        <v>0</v>
      </c>
      <c r="N67" s="189">
        <f>N81*1+N81*Inputs!O244+N114*1+N114*Inputs!O244+N81*Inputs!O238+IF(Labels!B321="Sales",IF(N81&gt;0,'(Tables)'!K1384*N23*N95/N87*(1+Inputs!O244),0),0)</f>
        <v>0</v>
      </c>
      <c r="O67" s="189">
        <f>O81*1+O81*Inputs!P244+O114*1+O114*Inputs!P244+O81*Inputs!P238+IF(Labels!B321="Sales",IF(O81&gt;0,'(Tables)'!L1384*O23*O95/O87*(1+Inputs!P244),0),0)</f>
        <v>0</v>
      </c>
      <c r="P67" s="189">
        <f>P81*1+P81*Inputs!Q244+P114*1+P114*Inputs!Q244+P81*Inputs!Q238+IF(Labels!B321="Sales",IF(P81&gt;0,'(Tables)'!M1384*P23*P95/P87*(1+Inputs!Q244),0),0)</f>
        <v>0</v>
      </c>
      <c r="Q67" s="190">
        <f>SUM(N67:P67)</f>
        <v>0</v>
      </c>
      <c r="R67" s="189">
        <f>R81*1+R81*Inputs!R244+R114*1+R114*Inputs!R244+R81*Inputs!R238+IF(Labels!B321="Sales",IF(R81&gt;0,'(Tables)'!N1384*R23*R95/R87*(1+Inputs!R244),0),0)</f>
        <v>0</v>
      </c>
      <c r="S67" s="189">
        <f>S81*1+S81*Inputs!S244+S114*1+S114*Inputs!S244+S81*Inputs!S238+IF(Labels!B321="Sales",IF(S81&gt;0,'(Tables)'!O1384*S23*S95/S87*(1+Inputs!S244),0),0)</f>
        <v>0</v>
      </c>
      <c r="T67" s="189">
        <f>T81*1+T81*Inputs!T244+T114*1+T114*Inputs!T244+T81*Inputs!T238+IF(Labels!B321="Sales",IF(T81&gt;0,'(Tables)'!P1384*T23*T95/T87*(1+Inputs!T244),0),0)</f>
        <v>0</v>
      </c>
      <c r="U67" s="190">
        <f>SUM(R67:T67)</f>
        <v>0</v>
      </c>
      <c r="V67" s="189">
        <f>V81*1+V81*Inputs!U244+V114*1+V114*Inputs!U244+V81*Inputs!U238+IF(Labels!B321="Sales",IF(V81&gt;0,'(Tables)'!Q1384*V23*V95/V87*(1+Inputs!U244),0),0)</f>
        <v>0</v>
      </c>
      <c r="W67" s="189">
        <f>W81*1+W81*Inputs!V244+W114*1+W114*Inputs!V244+W81*Inputs!V238+IF(Labels!B321="Sales",IF(W81&gt;0,'(Tables)'!R1384*W23*W95/W87*(1+Inputs!V244),0),0)</f>
        <v>0</v>
      </c>
      <c r="X67" s="189">
        <f>X81*1+X81*Inputs!W244+X114*1+X114*Inputs!W244+X81*Inputs!W238+IF(Labels!B321="Sales",IF(X81&gt;0,'(Tables)'!S1384*X23*X95/X87*(1+Inputs!W244),0),0)</f>
        <v>0</v>
      </c>
      <c r="Y67" s="190">
        <f>SUM(V67:X67)</f>
        <v>0</v>
      </c>
    </row>
    <row r="68" spans="1:25" ht="12.75" hidden="1" customHeight="1" outlineLevel="1" x14ac:dyDescent="0.2">
      <c r="A68" s="198" t="str">
        <f>"      "&amp;Labels!B394</f>
        <v xml:space="preserve">      Contributor</v>
      </c>
      <c r="B68" s="189">
        <f>B82*1+B82*Inputs!F244+B115*1+B115*Inputs!F244+B82*Inputs!F238+IF(Labels!B321="Sales",IF(B82&gt;0,'(Tables)'!B1384*B24*B96/B87*(1+Inputs!F244),0),0)</f>
        <v>0</v>
      </c>
      <c r="C68" s="189">
        <f>C82*1+C82*Inputs!G244+C115*1+C115*Inputs!G244+C82*Inputs!G238+IF(Labels!B321="Sales",IF(C82&gt;0,'(Tables)'!C1384*C24*C96/C87*(1+Inputs!G244),0),0)</f>
        <v>0</v>
      </c>
      <c r="D68" s="189">
        <f>D82*1+D82*Inputs!H244+D115*1+D115*Inputs!H244+D82*Inputs!H238+IF(Labels!B321="Sales",IF(D82&gt;0,'(Tables)'!D1384*D24*D96/D87*(1+Inputs!H244),0),0)</f>
        <v>0</v>
      </c>
      <c r="E68" s="190">
        <f>SUM(B68:D68)</f>
        <v>0</v>
      </c>
      <c r="F68" s="189">
        <f>F82*1+F82*Inputs!I244+F115*1+F115*Inputs!I244+F82*Inputs!I238+IF(Labels!B321="Sales",IF(F82&gt;0,'(Tables)'!E1384*F24*F96/F87*(1+Inputs!I244),0),0)</f>
        <v>0</v>
      </c>
      <c r="G68" s="189">
        <f>G82*1+G82*Inputs!J244+G115*1+G115*Inputs!J244+G82*Inputs!J238+IF(Labels!B321="Sales",IF(G82&gt;0,'(Tables)'!F1384*G24*G96/G87*(1+Inputs!J244),0),0)</f>
        <v>0</v>
      </c>
      <c r="H68" s="189">
        <f>H82*1+H82*Inputs!K244+H115*1+H115*Inputs!K244+H82*Inputs!K238+IF(Labels!B321="Sales",IF(H82&gt;0,'(Tables)'!G1384*H24*H96/H87*(1+Inputs!K244),0),0)</f>
        <v>0</v>
      </c>
      <c r="I68" s="190">
        <f>SUM(F68:H68)</f>
        <v>0</v>
      </c>
      <c r="J68" s="189">
        <f>J82*1+J82*Inputs!L244+J115*1+J115*Inputs!L244+J82*Inputs!L238+IF(Labels!B321="Sales",IF(J82&gt;0,'(Tables)'!H1384*J24*J96/J87*(1+Inputs!L244),0),0)</f>
        <v>0</v>
      </c>
      <c r="K68" s="189">
        <f>K82*1+K82*Inputs!M244+K115*1+K115*Inputs!M244+K82*Inputs!M238+IF(Labels!B321="Sales",IF(K82&gt;0,'(Tables)'!I1384*K24*K96/K87*(1+Inputs!M244),0),0)</f>
        <v>0</v>
      </c>
      <c r="L68" s="189">
        <f>L82*1+L82*Inputs!N244+L115*1+L115*Inputs!N244+L82*Inputs!N238+IF(Labels!B321="Sales",IF(L82&gt;0,'(Tables)'!J1384*L24*L96/L87*(1+Inputs!N244),0),0)</f>
        <v>0</v>
      </c>
      <c r="M68" s="190">
        <f>SUM(J68:L68)</f>
        <v>0</v>
      </c>
      <c r="N68" s="189">
        <f>N82*1+N82*Inputs!O244+N115*1+N115*Inputs!O244+N82*Inputs!O238+IF(Labels!B321="Sales",IF(N82&gt;0,'(Tables)'!K1384*N24*N96/N87*(1+Inputs!O244),0),0)</f>
        <v>0</v>
      </c>
      <c r="O68" s="189">
        <f>O82*1+O82*Inputs!P244+O115*1+O115*Inputs!P244+O82*Inputs!P238+IF(Labels!B321="Sales",IF(O82&gt;0,'(Tables)'!L1384*O24*O96/O87*(1+Inputs!P244),0),0)</f>
        <v>0</v>
      </c>
      <c r="P68" s="189">
        <f>P82*1+P82*Inputs!Q244+P115*1+P115*Inputs!Q244+P82*Inputs!Q238+IF(Labels!B321="Sales",IF(P82&gt;0,'(Tables)'!M1384*P24*P96/P87*(1+Inputs!Q244),0),0)</f>
        <v>0</v>
      </c>
      <c r="Q68" s="190">
        <f>SUM(N68:P68)</f>
        <v>0</v>
      </c>
      <c r="R68" s="189">
        <f>R82*1+R82*Inputs!R244+R115*1+R115*Inputs!R244+R82*Inputs!R238+IF(Labels!B321="Sales",IF(R82&gt;0,'(Tables)'!N1384*R24*R96/R87*(1+Inputs!R244),0),0)</f>
        <v>0</v>
      </c>
      <c r="S68" s="189">
        <f>S82*1+S82*Inputs!S244+S115*1+S115*Inputs!S244+S82*Inputs!S238+IF(Labels!B321="Sales",IF(S82&gt;0,'(Tables)'!O1384*S24*S96/S87*(1+Inputs!S244),0),0)</f>
        <v>0</v>
      </c>
      <c r="T68" s="189">
        <f>T82*1+T82*Inputs!T244+T115*1+T115*Inputs!T244+T82*Inputs!T238+IF(Labels!B321="Sales",IF(T82&gt;0,'(Tables)'!P1384*T24*T96/T87*(1+Inputs!T244),0),0)</f>
        <v>0</v>
      </c>
      <c r="U68" s="190">
        <f>SUM(R68:T68)</f>
        <v>0</v>
      </c>
      <c r="V68" s="189">
        <f>V82*1+V82*Inputs!U244+V115*1+V115*Inputs!U244+V82*Inputs!U238+IF(Labels!B321="Sales",IF(V82&gt;0,'(Tables)'!Q1384*V24*V96/V87*(1+Inputs!U244),0),0)</f>
        <v>0</v>
      </c>
      <c r="W68" s="189">
        <f>W82*1+W82*Inputs!V244+W115*1+W115*Inputs!V244+W82*Inputs!V238+IF(Labels!B321="Sales",IF(W82&gt;0,'(Tables)'!R1384*W24*W96/W87*(1+Inputs!V244),0),0)</f>
        <v>0</v>
      </c>
      <c r="X68" s="189">
        <f>X82*1+X82*Inputs!W244+X115*1+X115*Inputs!W244+X82*Inputs!W238+IF(Labels!B321="Sales",IF(X82&gt;0,'(Tables)'!S1384*X24*X96/X87*(1+Inputs!W244),0),0)</f>
        <v>0</v>
      </c>
      <c r="Y68" s="190">
        <f>SUM(V68:X68)</f>
        <v>0</v>
      </c>
    </row>
    <row r="69" spans="1:25" ht="12.75" hidden="1" customHeight="1" outlineLevel="1" x14ac:dyDescent="0.2">
      <c r="A69" s="188" t="str">
        <f>"      "&amp;Labels!C392</f>
        <v xml:space="preserve">      Total</v>
      </c>
      <c r="B69" s="196">
        <f>SUM(B67:B68)</f>
        <v>0</v>
      </c>
      <c r="C69" s="196">
        <f>SUM(C67:C68)</f>
        <v>0</v>
      </c>
      <c r="D69" s="196">
        <f>SUM(D67:D68)</f>
        <v>0</v>
      </c>
      <c r="E69" s="197">
        <f>SUM(B69:D69)</f>
        <v>0</v>
      </c>
      <c r="F69" s="196">
        <f>SUM(F67:F68)</f>
        <v>0</v>
      </c>
      <c r="G69" s="196">
        <f>SUM(G67:G68)</f>
        <v>0</v>
      </c>
      <c r="H69" s="196">
        <f>SUM(H67:H68)</f>
        <v>0</v>
      </c>
      <c r="I69" s="197">
        <f>SUM(F69:H69)</f>
        <v>0</v>
      </c>
      <c r="J69" s="196">
        <f>SUM(J67:J68)</f>
        <v>0</v>
      </c>
      <c r="K69" s="196">
        <f>SUM(K67:K68)</f>
        <v>0</v>
      </c>
      <c r="L69" s="196">
        <f>SUM(L67:L68)</f>
        <v>0</v>
      </c>
      <c r="M69" s="197">
        <f>SUM(J69:L69)</f>
        <v>0</v>
      </c>
      <c r="N69" s="196">
        <f>SUM(N67:N68)</f>
        <v>0</v>
      </c>
      <c r="O69" s="196">
        <f>SUM(O67:O68)</f>
        <v>0</v>
      </c>
      <c r="P69" s="196">
        <f>SUM(P67:P68)</f>
        <v>0</v>
      </c>
      <c r="Q69" s="197">
        <f>SUM(N69:P69)</f>
        <v>0</v>
      </c>
      <c r="R69" s="196">
        <f>SUM(R67:R68)</f>
        <v>0</v>
      </c>
      <c r="S69" s="196">
        <f>SUM(S67:S68)</f>
        <v>0</v>
      </c>
      <c r="T69" s="196">
        <f>SUM(T67:T68)</f>
        <v>0</v>
      </c>
      <c r="U69" s="197">
        <f>SUM(R69:T69)</f>
        <v>0</v>
      </c>
      <c r="V69" s="196">
        <f>SUM(V67:V68)</f>
        <v>0</v>
      </c>
      <c r="W69" s="196">
        <f>SUM(W67:W68)</f>
        <v>0</v>
      </c>
      <c r="X69" s="196">
        <f>SUM(X67:X68)</f>
        <v>0</v>
      </c>
      <c r="Y69" s="197">
        <f>SUM(V69:X69)</f>
        <v>0</v>
      </c>
    </row>
    <row r="70" spans="1:25" ht="12.75" hidden="1" customHeight="1" outlineLevel="1" x14ac:dyDescent="0.2">
      <c r="A70" s="188" t="str">
        <f>"   "&amp;Labels!B322</f>
        <v xml:space="preserve">   Sales</v>
      </c>
      <c r="B70" s="196"/>
      <c r="C70" s="196"/>
      <c r="D70" s="196"/>
      <c r="E70" s="197"/>
      <c r="F70" s="196"/>
      <c r="G70" s="196"/>
      <c r="H70" s="196"/>
      <c r="I70" s="197"/>
      <c r="J70" s="196"/>
      <c r="K70" s="196"/>
      <c r="L70" s="196"/>
      <c r="M70" s="197"/>
      <c r="N70" s="196"/>
      <c r="O70" s="196"/>
      <c r="P70" s="196"/>
      <c r="Q70" s="197"/>
      <c r="R70" s="196"/>
      <c r="S70" s="196"/>
      <c r="T70" s="196"/>
      <c r="U70" s="197"/>
      <c r="V70" s="196"/>
      <c r="W70" s="196"/>
      <c r="X70" s="196"/>
      <c r="Y70" s="197"/>
    </row>
    <row r="71" spans="1:25" ht="12.75" hidden="1" customHeight="1" outlineLevel="1" x14ac:dyDescent="0.2">
      <c r="A71" s="198" t="str">
        <f>"      "&amp;Labels!B393</f>
        <v xml:space="preserve">      Manager</v>
      </c>
      <c r="B71" s="189">
        <f>B85*1+B85*Inputs!F244+B118*1+B118*Inputs!F244+B85*Inputs!F238+IF(Labels!B322="Sales",IF(B85&gt;0,'(Tables)'!B1384*B27*B99/B87*(1+Inputs!F244),0),0)</f>
        <v>0</v>
      </c>
      <c r="C71" s="189">
        <f>C85*1+C85*Inputs!G244+C118*1+C118*Inputs!G244+C85*Inputs!G238+IF(Labels!B322="Sales",IF(C85&gt;0,'(Tables)'!C1384*C27*C99/C87*(1+Inputs!G244),0),0)</f>
        <v>0</v>
      </c>
      <c r="D71" s="189">
        <f>D85*1+D85*Inputs!H244+D118*1+D118*Inputs!H244+D85*Inputs!H238+IF(Labels!B322="Sales",IF(D85&gt;0,'(Tables)'!D1384*D27*D99/D87*(1+Inputs!H244),0),0)</f>
        <v>0</v>
      </c>
      <c r="E71" s="190">
        <f t="shared" ref="E71:E76" si="30">SUM(B71:D71)</f>
        <v>0</v>
      </c>
      <c r="F71" s="189">
        <f>F85*1+F85*Inputs!I244+F118*1+F118*Inputs!I244+F85*Inputs!I238+IF(Labels!B322="Sales",IF(F85&gt;0,'(Tables)'!E1384*F27*F99/F87*(1+Inputs!I244),0),0)</f>
        <v>0</v>
      </c>
      <c r="G71" s="189">
        <f>G85*1+G85*Inputs!J244+G118*1+G118*Inputs!J244+G85*Inputs!J238+IF(Labels!B322="Sales",IF(G85&gt;0,'(Tables)'!F1384*G27*G99/G87*(1+Inputs!J244),0),0)</f>
        <v>0</v>
      </c>
      <c r="H71" s="189">
        <f>H85*1+H85*Inputs!K244+H118*1+H118*Inputs!K244+H85*Inputs!K238+IF(Labels!B322="Sales",IF(H85&gt;0,'(Tables)'!G1384*H27*H99/H87*(1+Inputs!K244),0),0)</f>
        <v>0</v>
      </c>
      <c r="I71" s="190">
        <f t="shared" ref="I71:I76" si="31">SUM(F71:H71)</f>
        <v>0</v>
      </c>
      <c r="J71" s="189">
        <f>J85*1+J85*Inputs!L244+J118*1+J118*Inputs!L244+J85*Inputs!L238+IF(Labels!B322="Sales",IF(J85&gt;0,'(Tables)'!H1384*J27*J99/J87*(1+Inputs!L244),0),0)</f>
        <v>0</v>
      </c>
      <c r="K71" s="189">
        <f>K85*1+K85*Inputs!M244+K118*1+K118*Inputs!M244+K85*Inputs!M238+IF(Labels!B322="Sales",IF(K85&gt;0,'(Tables)'!I1384*K27*K99/K87*(1+Inputs!M244),0),0)</f>
        <v>0</v>
      </c>
      <c r="L71" s="189">
        <f>L85*1+L85*Inputs!N244+L118*1+L118*Inputs!N244+L85*Inputs!N238+IF(Labels!B322="Sales",IF(L85&gt;0,'(Tables)'!J1384*L27*L99/L87*(1+Inputs!N244),0),0)</f>
        <v>0</v>
      </c>
      <c r="M71" s="190">
        <f t="shared" ref="M71:M76" si="32">SUM(J71:L71)</f>
        <v>0</v>
      </c>
      <c r="N71" s="189">
        <f>N85*1+N85*Inputs!O244+N118*1+N118*Inputs!O244+N85*Inputs!O238+IF(Labels!B322="Sales",IF(N85&gt;0,'(Tables)'!K1384*N27*N99/N87*(1+Inputs!O244),0),0)</f>
        <v>0</v>
      </c>
      <c r="O71" s="189">
        <f>O85*1+O85*Inputs!P244+O118*1+O118*Inputs!P244+O85*Inputs!P238+IF(Labels!B322="Sales",IF(O85&gt;0,'(Tables)'!L1384*O27*O99/O87*(1+Inputs!P244),0),0)</f>
        <v>0</v>
      </c>
      <c r="P71" s="189">
        <f>P85*1+P85*Inputs!Q244+P118*1+P118*Inputs!Q244+P85*Inputs!Q238+IF(Labels!B322="Sales",IF(P85&gt;0,'(Tables)'!M1384*P27*P99/P87*(1+Inputs!Q244),0),0)</f>
        <v>0</v>
      </c>
      <c r="Q71" s="190">
        <f t="shared" ref="Q71:Q76" si="33">SUM(N71:P71)</f>
        <v>0</v>
      </c>
      <c r="R71" s="189">
        <f>R85*1+R85*Inputs!R244+R118*1+R118*Inputs!R244+R85*Inputs!R238+IF(Labels!B322="Sales",IF(R85&gt;0,'(Tables)'!N1384*R27*R99/R87*(1+Inputs!R244),0),0)</f>
        <v>0</v>
      </c>
      <c r="S71" s="189">
        <f>S85*1+S85*Inputs!S244+S118*1+S118*Inputs!S244+S85*Inputs!S238+IF(Labels!B322="Sales",IF(S85&gt;0,'(Tables)'!O1384*S27*S99/S87*(1+Inputs!S244),0),0)</f>
        <v>0</v>
      </c>
      <c r="T71" s="189">
        <f>T85*1+T85*Inputs!T244+T118*1+T118*Inputs!T244+T85*Inputs!T238+IF(Labels!B322="Sales",IF(T85&gt;0,'(Tables)'!P1384*T27*T99/T87*(1+Inputs!T244),0),0)</f>
        <v>0</v>
      </c>
      <c r="U71" s="190">
        <f t="shared" ref="U71:U76" si="34">SUM(R71:T71)</f>
        <v>0</v>
      </c>
      <c r="V71" s="189">
        <f>V85*1+V85*Inputs!U244+V118*1+V118*Inputs!U244+V85*Inputs!U238+IF(Labels!B322="Sales",IF(V85&gt;0,'(Tables)'!Q1384*V27*V99/V87*(1+Inputs!U244),0),0)</f>
        <v>0</v>
      </c>
      <c r="W71" s="189">
        <f>W85*1+W85*Inputs!V244+W118*1+W118*Inputs!V244+W85*Inputs!V238+IF(Labels!B322="Sales",IF(W85&gt;0,'(Tables)'!R1384*W27*W99/W87*(1+Inputs!V244),0),0)</f>
        <v>0</v>
      </c>
      <c r="X71" s="189">
        <f>X85*1+X85*Inputs!W244+X118*1+X118*Inputs!W244+X85*Inputs!W238+IF(Labels!B322="Sales",IF(X85&gt;0,'(Tables)'!S1384*X27*X99/X87*(1+Inputs!W244),0),0)</f>
        <v>0</v>
      </c>
      <c r="Y71" s="190">
        <f t="shared" ref="Y71:Y76" si="35">SUM(V71:X71)</f>
        <v>0</v>
      </c>
    </row>
    <row r="72" spans="1:25" ht="12.75" hidden="1" customHeight="1" outlineLevel="1" x14ac:dyDescent="0.2">
      <c r="A72" s="198" t="str">
        <f>"      "&amp;Labels!B394</f>
        <v xml:space="preserve">      Contributor</v>
      </c>
      <c r="B72" s="189">
        <f>B86*1+B86*Inputs!F244+B119*1+B119*Inputs!F244+B86*Inputs!F238+IF(Labels!B322="Sales",IF(B86&gt;0,'(Tables)'!B1384*B28*B100/B87*(1+Inputs!F244),0),0)</f>
        <v>0</v>
      </c>
      <c r="C72" s="189">
        <f>C86*1+C86*Inputs!G244+C119*1+C119*Inputs!G244+C86*Inputs!G238+IF(Labels!B322="Sales",IF(C86&gt;0,'(Tables)'!C1384*C28*C100/C87*(1+Inputs!G244),0),0)</f>
        <v>0</v>
      </c>
      <c r="D72" s="189">
        <f>D86*1+D86*Inputs!H244+D119*1+D119*Inputs!H244+D86*Inputs!H238+IF(Labels!B322="Sales",IF(D86&gt;0,'(Tables)'!D1384*D28*D100/D87*(1+Inputs!H244),0),0)</f>
        <v>0</v>
      </c>
      <c r="E72" s="190">
        <f t="shared" si="30"/>
        <v>0</v>
      </c>
      <c r="F72" s="189">
        <f>F86*1+F86*Inputs!I244+F119*1+F119*Inputs!I244+F86*Inputs!I238+IF(Labels!B322="Sales",IF(F86&gt;0,'(Tables)'!E1384*F28*F100/F87*(1+Inputs!I244),0),0)</f>
        <v>0</v>
      </c>
      <c r="G72" s="189">
        <f>G86*1+G86*Inputs!J244+G119*1+G119*Inputs!J244+G86*Inputs!J238+IF(Labels!B322="Sales",IF(G86&gt;0,'(Tables)'!F1384*G28*G100/G87*(1+Inputs!J244),0),0)</f>
        <v>0</v>
      </c>
      <c r="H72" s="189">
        <f>H86*1+H86*Inputs!K244+H119*1+H119*Inputs!K244+H86*Inputs!K238+IF(Labels!B322="Sales",IF(H86&gt;0,'(Tables)'!G1384*H28*H100/H87*(1+Inputs!K244),0),0)</f>
        <v>0</v>
      </c>
      <c r="I72" s="190">
        <f t="shared" si="31"/>
        <v>0</v>
      </c>
      <c r="J72" s="189">
        <f>J86*1+J86*Inputs!L244+J119*1+J119*Inputs!L244+J86*Inputs!L238+IF(Labels!B322="Sales",IF(J86&gt;0,'(Tables)'!H1384*J28*J100/J87*(1+Inputs!L244),0),0)</f>
        <v>0</v>
      </c>
      <c r="K72" s="189">
        <f>K86*1+K86*Inputs!M244+K119*1+K119*Inputs!M244+K86*Inputs!M238+IF(Labels!B322="Sales",IF(K86&gt;0,'(Tables)'!I1384*K28*K100/K87*(1+Inputs!M244),0),0)</f>
        <v>0</v>
      </c>
      <c r="L72" s="189">
        <f>L86*1+L86*Inputs!N244+L119*1+L119*Inputs!N244+L86*Inputs!N238+IF(Labels!B322="Sales",IF(L86&gt;0,'(Tables)'!J1384*L28*L100/L87*(1+Inputs!N244),0),0)</f>
        <v>0</v>
      </c>
      <c r="M72" s="190">
        <f t="shared" si="32"/>
        <v>0</v>
      </c>
      <c r="N72" s="189">
        <f>N86*1+N86*Inputs!O244+N119*1+N119*Inputs!O244+N86*Inputs!O238+IF(Labels!B322="Sales",IF(N86&gt;0,'(Tables)'!K1384*N28*N100/N87*(1+Inputs!O244),0),0)</f>
        <v>0</v>
      </c>
      <c r="O72" s="189">
        <f>O86*1+O86*Inputs!P244+O119*1+O119*Inputs!P244+O86*Inputs!P238+IF(Labels!B322="Sales",IF(O86&gt;0,'(Tables)'!L1384*O28*O100/O87*(1+Inputs!P244),0),0)</f>
        <v>0</v>
      </c>
      <c r="P72" s="189">
        <f>P86*1+P86*Inputs!Q244+P119*1+P119*Inputs!Q244+P86*Inputs!Q238+IF(Labels!B322="Sales",IF(P86&gt;0,'(Tables)'!M1384*P28*P100/P87*(1+Inputs!Q244),0),0)</f>
        <v>0</v>
      </c>
      <c r="Q72" s="190">
        <f t="shared" si="33"/>
        <v>0</v>
      </c>
      <c r="R72" s="189">
        <f>R86*1+R86*Inputs!R244+R119*1+R119*Inputs!R244+R86*Inputs!R238+IF(Labels!B322="Sales",IF(R86&gt;0,'(Tables)'!N1384*R28*R100/R87*(1+Inputs!R244),0),0)</f>
        <v>0</v>
      </c>
      <c r="S72" s="189">
        <f>S86*1+S86*Inputs!S244+S119*1+S119*Inputs!S244+S86*Inputs!S238+IF(Labels!B322="Sales",IF(S86&gt;0,'(Tables)'!O1384*S28*S100/S87*(1+Inputs!S244),0),0)</f>
        <v>0</v>
      </c>
      <c r="T72" s="189">
        <f>T86*1+T86*Inputs!T244+T119*1+T119*Inputs!T244+T86*Inputs!T238+IF(Labels!B322="Sales",IF(T86&gt;0,'(Tables)'!P1384*T28*T100/T87*(1+Inputs!T244),0),0)</f>
        <v>0</v>
      </c>
      <c r="U72" s="190">
        <f t="shared" si="34"/>
        <v>0</v>
      </c>
      <c r="V72" s="189">
        <f>V86*1+V86*Inputs!U244+V119*1+V119*Inputs!U244+V86*Inputs!U238+IF(Labels!B322="Sales",IF(V86&gt;0,'(Tables)'!Q1384*V28*V100/V87*(1+Inputs!U244),0),0)</f>
        <v>0</v>
      </c>
      <c r="W72" s="189">
        <f>W86*1+W86*Inputs!V244+W119*1+W119*Inputs!V244+W86*Inputs!V238+IF(Labels!B322="Sales",IF(W86&gt;0,'(Tables)'!R1384*W28*W100/W87*(1+Inputs!V244),0),0)</f>
        <v>0</v>
      </c>
      <c r="X72" s="189">
        <f>X86*1+X86*Inputs!W244+X119*1+X119*Inputs!W244+X86*Inputs!W238+IF(Labels!B322="Sales",IF(X86&gt;0,'(Tables)'!S1384*X28*X100/X87*(1+Inputs!W244),0),0)</f>
        <v>0</v>
      </c>
      <c r="Y72" s="190">
        <f t="shared" si="35"/>
        <v>0</v>
      </c>
    </row>
    <row r="73" spans="1:25" ht="12.75" hidden="1" customHeight="1" outlineLevel="1" x14ac:dyDescent="0.2">
      <c r="A73" s="188" t="str">
        <f>"      "&amp;Labels!C392</f>
        <v xml:space="preserve">      Total</v>
      </c>
      <c r="B73" s="196">
        <f>SUM(B71:B72)</f>
        <v>0</v>
      </c>
      <c r="C73" s="196">
        <f>SUM(C71:C72)</f>
        <v>0</v>
      </c>
      <c r="D73" s="196">
        <f>SUM(D71:D72)</f>
        <v>0</v>
      </c>
      <c r="E73" s="197">
        <f t="shared" si="30"/>
        <v>0</v>
      </c>
      <c r="F73" s="196">
        <f>SUM(F71:F72)</f>
        <v>0</v>
      </c>
      <c r="G73" s="196">
        <f>SUM(G71:G72)</f>
        <v>0</v>
      </c>
      <c r="H73" s="196">
        <f>SUM(H71:H72)</f>
        <v>0</v>
      </c>
      <c r="I73" s="197">
        <f t="shared" si="31"/>
        <v>0</v>
      </c>
      <c r="J73" s="196">
        <f>SUM(J71:J72)</f>
        <v>0</v>
      </c>
      <c r="K73" s="196">
        <f>SUM(K71:K72)</f>
        <v>0</v>
      </c>
      <c r="L73" s="196">
        <f>SUM(L71:L72)</f>
        <v>0</v>
      </c>
      <c r="M73" s="197">
        <f t="shared" si="32"/>
        <v>0</v>
      </c>
      <c r="N73" s="196">
        <f>SUM(N71:N72)</f>
        <v>0</v>
      </c>
      <c r="O73" s="196">
        <f>SUM(O71:O72)</f>
        <v>0</v>
      </c>
      <c r="P73" s="196">
        <f>SUM(P71:P72)</f>
        <v>0</v>
      </c>
      <c r="Q73" s="197">
        <f t="shared" si="33"/>
        <v>0</v>
      </c>
      <c r="R73" s="196">
        <f>SUM(R71:R72)</f>
        <v>0</v>
      </c>
      <c r="S73" s="196">
        <f>SUM(S71:S72)</f>
        <v>0</v>
      </c>
      <c r="T73" s="196">
        <f>SUM(T71:T72)</f>
        <v>0</v>
      </c>
      <c r="U73" s="197">
        <f t="shared" si="34"/>
        <v>0</v>
      </c>
      <c r="V73" s="196">
        <f>SUM(V71:V72)</f>
        <v>0</v>
      </c>
      <c r="W73" s="196">
        <f>SUM(W71:W72)</f>
        <v>0</v>
      </c>
      <c r="X73" s="196">
        <f>SUM(X71:X72)</f>
        <v>0</v>
      </c>
      <c r="Y73" s="197">
        <f t="shared" si="35"/>
        <v>0</v>
      </c>
    </row>
    <row r="74" spans="1:25" ht="12.75" hidden="1" customHeight="1" outlineLevel="1" x14ac:dyDescent="0.2">
      <c r="A74" s="191" t="str">
        <f>"   "&amp;Labels!C320</f>
        <v xml:space="preserve">   Total</v>
      </c>
      <c r="B74" s="192">
        <f>SUM(B69,B73)</f>
        <v>0</v>
      </c>
      <c r="C74" s="192">
        <f>SUM(C69,C73)</f>
        <v>0</v>
      </c>
      <c r="D74" s="192">
        <f>SUM(D69,D73)</f>
        <v>0</v>
      </c>
      <c r="E74" s="190">
        <f t="shared" si="30"/>
        <v>0</v>
      </c>
      <c r="F74" s="192">
        <f>SUM(F69,F73)</f>
        <v>0</v>
      </c>
      <c r="G74" s="192">
        <f>SUM(G69,G73)</f>
        <v>0</v>
      </c>
      <c r="H74" s="192">
        <f>SUM(H69,H73)</f>
        <v>0</v>
      </c>
      <c r="I74" s="190">
        <f t="shared" si="31"/>
        <v>0</v>
      </c>
      <c r="J74" s="192">
        <f>SUM(J69,J73)</f>
        <v>0</v>
      </c>
      <c r="K74" s="192">
        <f>SUM(K69,K73)</f>
        <v>0</v>
      </c>
      <c r="L74" s="192">
        <f>SUM(L69,L73)</f>
        <v>0</v>
      </c>
      <c r="M74" s="190">
        <f t="shared" si="32"/>
        <v>0</v>
      </c>
      <c r="N74" s="192">
        <f>SUM(N69,N73)</f>
        <v>0</v>
      </c>
      <c r="O74" s="192">
        <f>SUM(O69,O73)</f>
        <v>0</v>
      </c>
      <c r="P74" s="192">
        <f>SUM(P69,P73)</f>
        <v>0</v>
      </c>
      <c r="Q74" s="190">
        <f t="shared" si="33"/>
        <v>0</v>
      </c>
      <c r="R74" s="192">
        <f>SUM(R69,R73)</f>
        <v>0</v>
      </c>
      <c r="S74" s="192">
        <f>SUM(S69,S73)</f>
        <v>0</v>
      </c>
      <c r="T74" s="192">
        <f>SUM(T69,T73)</f>
        <v>0</v>
      </c>
      <c r="U74" s="190">
        <f t="shared" si="34"/>
        <v>0</v>
      </c>
      <c r="V74" s="192">
        <f>SUM(V69,V73)</f>
        <v>0</v>
      </c>
      <c r="W74" s="192">
        <f>SUM(W69,W73)</f>
        <v>0</v>
      </c>
      <c r="X74" s="192">
        <f>SUM(X69,X73)</f>
        <v>0</v>
      </c>
      <c r="Y74" s="190">
        <f t="shared" si="35"/>
        <v>0</v>
      </c>
    </row>
    <row r="75" spans="1:25" ht="12.75" hidden="1" customHeight="1" outlineLevel="1" x14ac:dyDescent="0.2">
      <c r="A75" s="198" t="str">
        <f>"      "&amp;Labels!B393</f>
        <v xml:space="preserve">      Manager</v>
      </c>
      <c r="B75" s="189">
        <f t="shared" ref="B75:D77" si="36">SUM(B67,B71)</f>
        <v>0</v>
      </c>
      <c r="C75" s="189">
        <f t="shared" si="36"/>
        <v>0</v>
      </c>
      <c r="D75" s="189">
        <f t="shared" si="36"/>
        <v>0</v>
      </c>
      <c r="E75" s="190">
        <f t="shared" si="30"/>
        <v>0</v>
      </c>
      <c r="F75" s="189">
        <f t="shared" ref="F75:H77" si="37">SUM(F67,F71)</f>
        <v>0</v>
      </c>
      <c r="G75" s="189">
        <f t="shared" si="37"/>
        <v>0</v>
      </c>
      <c r="H75" s="189">
        <f t="shared" si="37"/>
        <v>0</v>
      </c>
      <c r="I75" s="190">
        <f t="shared" si="31"/>
        <v>0</v>
      </c>
      <c r="J75" s="189">
        <f t="shared" ref="J75:L77" si="38">SUM(J67,J71)</f>
        <v>0</v>
      </c>
      <c r="K75" s="189">
        <f t="shared" si="38"/>
        <v>0</v>
      </c>
      <c r="L75" s="189">
        <f t="shared" si="38"/>
        <v>0</v>
      </c>
      <c r="M75" s="190">
        <f t="shared" si="32"/>
        <v>0</v>
      </c>
      <c r="N75" s="189">
        <f t="shared" ref="N75:P77" si="39">SUM(N67,N71)</f>
        <v>0</v>
      </c>
      <c r="O75" s="189">
        <f t="shared" si="39"/>
        <v>0</v>
      </c>
      <c r="P75" s="189">
        <f t="shared" si="39"/>
        <v>0</v>
      </c>
      <c r="Q75" s="190">
        <f t="shared" si="33"/>
        <v>0</v>
      </c>
      <c r="R75" s="189">
        <f t="shared" ref="R75:T77" si="40">SUM(R67,R71)</f>
        <v>0</v>
      </c>
      <c r="S75" s="189">
        <f t="shared" si="40"/>
        <v>0</v>
      </c>
      <c r="T75" s="189">
        <f t="shared" si="40"/>
        <v>0</v>
      </c>
      <c r="U75" s="190">
        <f t="shared" si="34"/>
        <v>0</v>
      </c>
      <c r="V75" s="189">
        <f t="shared" ref="V75:X77" si="41">SUM(V67,V71)</f>
        <v>0</v>
      </c>
      <c r="W75" s="189">
        <f t="shared" si="41"/>
        <v>0</v>
      </c>
      <c r="X75" s="189">
        <f t="shared" si="41"/>
        <v>0</v>
      </c>
      <c r="Y75" s="190">
        <f t="shared" si="35"/>
        <v>0</v>
      </c>
    </row>
    <row r="76" spans="1:25" ht="12.75" hidden="1" customHeight="1" outlineLevel="1" x14ac:dyDescent="0.2">
      <c r="A76" s="198" t="str">
        <f>"      "&amp;Labels!B394</f>
        <v xml:space="preserve">      Contributor</v>
      </c>
      <c r="B76" s="189">
        <f t="shared" si="36"/>
        <v>0</v>
      </c>
      <c r="C76" s="189">
        <f t="shared" si="36"/>
        <v>0</v>
      </c>
      <c r="D76" s="189">
        <f t="shared" si="36"/>
        <v>0</v>
      </c>
      <c r="E76" s="190">
        <f t="shared" si="30"/>
        <v>0</v>
      </c>
      <c r="F76" s="189">
        <f t="shared" si="37"/>
        <v>0</v>
      </c>
      <c r="G76" s="189">
        <f t="shared" si="37"/>
        <v>0</v>
      </c>
      <c r="H76" s="189">
        <f t="shared" si="37"/>
        <v>0</v>
      </c>
      <c r="I76" s="190">
        <f t="shared" si="31"/>
        <v>0</v>
      </c>
      <c r="J76" s="189">
        <f t="shared" si="38"/>
        <v>0</v>
      </c>
      <c r="K76" s="189">
        <f t="shared" si="38"/>
        <v>0</v>
      </c>
      <c r="L76" s="189">
        <f t="shared" si="38"/>
        <v>0</v>
      </c>
      <c r="M76" s="190">
        <f t="shared" si="32"/>
        <v>0</v>
      </c>
      <c r="N76" s="189">
        <f t="shared" si="39"/>
        <v>0</v>
      </c>
      <c r="O76" s="189">
        <f t="shared" si="39"/>
        <v>0</v>
      </c>
      <c r="P76" s="189">
        <f t="shared" si="39"/>
        <v>0</v>
      </c>
      <c r="Q76" s="190">
        <f t="shared" si="33"/>
        <v>0</v>
      </c>
      <c r="R76" s="189">
        <f t="shared" si="40"/>
        <v>0</v>
      </c>
      <c r="S76" s="189">
        <f t="shared" si="40"/>
        <v>0</v>
      </c>
      <c r="T76" s="189">
        <f t="shared" si="40"/>
        <v>0</v>
      </c>
      <c r="U76" s="190">
        <f t="shared" si="34"/>
        <v>0</v>
      </c>
      <c r="V76" s="189">
        <f t="shared" si="41"/>
        <v>0</v>
      </c>
      <c r="W76" s="189">
        <f t="shared" si="41"/>
        <v>0</v>
      </c>
      <c r="X76" s="189">
        <f t="shared" si="41"/>
        <v>0</v>
      </c>
      <c r="Y76" s="190">
        <f t="shared" si="35"/>
        <v>0</v>
      </c>
    </row>
    <row r="77" spans="1:25" ht="12.75" hidden="1" customHeight="1" outlineLevel="1" x14ac:dyDescent="0.2">
      <c r="A77" s="188" t="str">
        <f>"      "&amp;Labels!C392</f>
        <v xml:space="preserve">      Total</v>
      </c>
      <c r="B77" s="196">
        <f t="shared" si="36"/>
        <v>0</v>
      </c>
      <c r="C77" s="196">
        <f t="shared" si="36"/>
        <v>0</v>
      </c>
      <c r="D77" s="196">
        <f t="shared" si="36"/>
        <v>0</v>
      </c>
      <c r="E77" s="197">
        <f>SUM(B74:D74)</f>
        <v>0</v>
      </c>
      <c r="F77" s="196">
        <f t="shared" si="37"/>
        <v>0</v>
      </c>
      <c r="G77" s="196">
        <f t="shared" si="37"/>
        <v>0</v>
      </c>
      <c r="H77" s="196">
        <f t="shared" si="37"/>
        <v>0</v>
      </c>
      <c r="I77" s="197">
        <f>SUM(F74:H74)</f>
        <v>0</v>
      </c>
      <c r="J77" s="196">
        <f t="shared" si="38"/>
        <v>0</v>
      </c>
      <c r="K77" s="196">
        <f t="shared" si="38"/>
        <v>0</v>
      </c>
      <c r="L77" s="196">
        <f t="shared" si="38"/>
        <v>0</v>
      </c>
      <c r="M77" s="197">
        <f>SUM(J74:L74)</f>
        <v>0</v>
      </c>
      <c r="N77" s="196">
        <f t="shared" si="39"/>
        <v>0</v>
      </c>
      <c r="O77" s="196">
        <f t="shared" si="39"/>
        <v>0</v>
      </c>
      <c r="P77" s="196">
        <f t="shared" si="39"/>
        <v>0</v>
      </c>
      <c r="Q77" s="197">
        <f>SUM(N74:P74)</f>
        <v>0</v>
      </c>
      <c r="R77" s="196">
        <f t="shared" si="40"/>
        <v>0</v>
      </c>
      <c r="S77" s="196">
        <f t="shared" si="40"/>
        <v>0</v>
      </c>
      <c r="T77" s="196">
        <f t="shared" si="40"/>
        <v>0</v>
      </c>
      <c r="U77" s="197">
        <f>SUM(R74:T74)</f>
        <v>0</v>
      </c>
      <c r="V77" s="196">
        <f t="shared" si="41"/>
        <v>0</v>
      </c>
      <c r="W77" s="196">
        <f t="shared" si="41"/>
        <v>0</v>
      </c>
      <c r="X77" s="196">
        <f t="shared" si="41"/>
        <v>0</v>
      </c>
      <c r="Y77" s="197">
        <f>SUM(V74:X74)</f>
        <v>0</v>
      </c>
    </row>
    <row r="78" spans="1:25" ht="12.75" hidden="1" customHeight="1" outlineLevel="1" x14ac:dyDescent="0.2">
      <c r="A78" s="97"/>
      <c r="B78" s="6"/>
      <c r="C78" s="6"/>
      <c r="D78" s="6"/>
      <c r="E78" s="97"/>
      <c r="F78" s="6"/>
      <c r="G78" s="6"/>
      <c r="H78" s="6"/>
      <c r="I78" s="97"/>
      <c r="J78" s="6"/>
      <c r="K78" s="6"/>
      <c r="L78" s="6"/>
      <c r="M78" s="97"/>
      <c r="N78" s="6"/>
      <c r="O78" s="6"/>
      <c r="P78" s="6"/>
      <c r="Q78" s="97"/>
      <c r="R78" s="6"/>
      <c r="S78" s="6"/>
      <c r="T78" s="6"/>
      <c r="U78" s="97"/>
      <c r="V78" s="6"/>
      <c r="W78" s="6"/>
      <c r="X78" s="6"/>
      <c r="Y78" s="97"/>
    </row>
    <row r="79" spans="1:25" ht="12.75" hidden="1" customHeight="1" outlineLevel="1" x14ac:dyDescent="0.2">
      <c r="A79" s="191" t="str">
        <f>Labels!B263</f>
        <v>Support Staff Wage Expense</v>
      </c>
      <c r="B79" s="192"/>
      <c r="C79" s="192"/>
      <c r="D79" s="192"/>
      <c r="E79" s="190"/>
      <c r="F79" s="192"/>
      <c r="G79" s="192"/>
      <c r="H79" s="192"/>
      <c r="I79" s="190"/>
      <c r="J79" s="192"/>
      <c r="K79" s="192"/>
      <c r="L79" s="192"/>
      <c r="M79" s="190"/>
      <c r="N79" s="192"/>
      <c r="O79" s="192"/>
      <c r="P79" s="192"/>
      <c r="Q79" s="190"/>
      <c r="R79" s="192"/>
      <c r="S79" s="192"/>
      <c r="T79" s="192"/>
      <c r="U79" s="190"/>
      <c r="V79" s="192"/>
      <c r="W79" s="192"/>
      <c r="X79" s="192"/>
      <c r="Y79" s="190"/>
    </row>
    <row r="80" spans="1:25" ht="12.75" hidden="1" customHeight="1" outlineLevel="1" x14ac:dyDescent="0.2">
      <c r="A80" s="188" t="str">
        <f>"   "&amp;Labels!B321</f>
        <v xml:space="preserve">   Marketing</v>
      </c>
      <c r="B80" s="196"/>
      <c r="C80" s="196"/>
      <c r="D80" s="196"/>
      <c r="E80" s="197"/>
      <c r="F80" s="196"/>
      <c r="G80" s="196"/>
      <c r="H80" s="196"/>
      <c r="I80" s="197"/>
      <c r="J80" s="196"/>
      <c r="K80" s="196"/>
      <c r="L80" s="196"/>
      <c r="M80" s="197"/>
      <c r="N80" s="196"/>
      <c r="O80" s="196"/>
      <c r="P80" s="196"/>
      <c r="Q80" s="197"/>
      <c r="R80" s="196"/>
      <c r="S80" s="196"/>
      <c r="T80" s="196"/>
      <c r="U80" s="197"/>
      <c r="V80" s="196"/>
      <c r="W80" s="196"/>
      <c r="X80" s="196"/>
      <c r="Y80" s="197"/>
    </row>
    <row r="81" spans="1:25" ht="12.75" hidden="1" customHeight="1" outlineLevel="1" x14ac:dyDescent="0.2">
      <c r="A81" s="198" t="str">
        <f>"      "&amp;Labels!B393</f>
        <v xml:space="preserve">      Manager</v>
      </c>
      <c r="B81" s="189">
        <f t="shared" ref="B81:D82" si="42">B23*B95</f>
        <v>0</v>
      </c>
      <c r="C81" s="189">
        <f t="shared" si="42"/>
        <v>0</v>
      </c>
      <c r="D81" s="189">
        <f t="shared" si="42"/>
        <v>0</v>
      </c>
      <c r="E81" s="190">
        <f>SUM(B81:D81)</f>
        <v>0</v>
      </c>
      <c r="F81" s="189">
        <f t="shared" ref="F81:H82" si="43">F23*F95</f>
        <v>0</v>
      </c>
      <c r="G81" s="189">
        <f t="shared" si="43"/>
        <v>0</v>
      </c>
      <c r="H81" s="189">
        <f t="shared" si="43"/>
        <v>0</v>
      </c>
      <c r="I81" s="190">
        <f>SUM(F81:H81)</f>
        <v>0</v>
      </c>
      <c r="J81" s="189">
        <f t="shared" ref="J81:L82" si="44">J23*J95</f>
        <v>0</v>
      </c>
      <c r="K81" s="189">
        <f t="shared" si="44"/>
        <v>0</v>
      </c>
      <c r="L81" s="189">
        <f t="shared" si="44"/>
        <v>0</v>
      </c>
      <c r="M81" s="190">
        <f>SUM(J81:L81)</f>
        <v>0</v>
      </c>
      <c r="N81" s="189">
        <f t="shared" ref="N81:P82" si="45">N23*N95</f>
        <v>0</v>
      </c>
      <c r="O81" s="189">
        <f t="shared" si="45"/>
        <v>0</v>
      </c>
      <c r="P81" s="189">
        <f t="shared" si="45"/>
        <v>0</v>
      </c>
      <c r="Q81" s="190">
        <f>SUM(N81:P81)</f>
        <v>0</v>
      </c>
      <c r="R81" s="189">
        <f t="shared" ref="R81:T82" si="46">R23*R95</f>
        <v>0</v>
      </c>
      <c r="S81" s="189">
        <f t="shared" si="46"/>
        <v>0</v>
      </c>
      <c r="T81" s="189">
        <f t="shared" si="46"/>
        <v>0</v>
      </c>
      <c r="U81" s="190">
        <f>SUM(R81:T81)</f>
        <v>0</v>
      </c>
      <c r="V81" s="189">
        <f t="shared" ref="V81:X82" si="47">V23*V95</f>
        <v>0</v>
      </c>
      <c r="W81" s="189">
        <f t="shared" si="47"/>
        <v>0</v>
      </c>
      <c r="X81" s="189">
        <f t="shared" si="47"/>
        <v>0</v>
      </c>
      <c r="Y81" s="190">
        <f>SUM(V81:X81)</f>
        <v>0</v>
      </c>
    </row>
    <row r="82" spans="1:25" ht="12.75" hidden="1" customHeight="1" outlineLevel="1" x14ac:dyDescent="0.2">
      <c r="A82" s="198" t="str">
        <f>"      "&amp;Labels!B394</f>
        <v xml:space="preserve">      Contributor</v>
      </c>
      <c r="B82" s="189">
        <f t="shared" si="42"/>
        <v>0</v>
      </c>
      <c r="C82" s="189">
        <f t="shared" si="42"/>
        <v>0</v>
      </c>
      <c r="D82" s="189">
        <f t="shared" si="42"/>
        <v>0</v>
      </c>
      <c r="E82" s="190">
        <f>SUM(B82:D82)</f>
        <v>0</v>
      </c>
      <c r="F82" s="189">
        <f t="shared" si="43"/>
        <v>0</v>
      </c>
      <c r="G82" s="189">
        <f t="shared" si="43"/>
        <v>0</v>
      </c>
      <c r="H82" s="189">
        <f t="shared" si="43"/>
        <v>0</v>
      </c>
      <c r="I82" s="190">
        <f>SUM(F82:H82)</f>
        <v>0</v>
      </c>
      <c r="J82" s="189">
        <f t="shared" si="44"/>
        <v>0</v>
      </c>
      <c r="K82" s="189">
        <f t="shared" si="44"/>
        <v>0</v>
      </c>
      <c r="L82" s="189">
        <f t="shared" si="44"/>
        <v>0</v>
      </c>
      <c r="M82" s="190">
        <f>SUM(J82:L82)</f>
        <v>0</v>
      </c>
      <c r="N82" s="189">
        <f t="shared" si="45"/>
        <v>0</v>
      </c>
      <c r="O82" s="189">
        <f t="shared" si="45"/>
        <v>0</v>
      </c>
      <c r="P82" s="189">
        <f t="shared" si="45"/>
        <v>0</v>
      </c>
      <c r="Q82" s="190">
        <f>SUM(N82:P82)</f>
        <v>0</v>
      </c>
      <c r="R82" s="189">
        <f t="shared" si="46"/>
        <v>0</v>
      </c>
      <c r="S82" s="189">
        <f t="shared" si="46"/>
        <v>0</v>
      </c>
      <c r="T82" s="189">
        <f t="shared" si="46"/>
        <v>0</v>
      </c>
      <c r="U82" s="190">
        <f>SUM(R82:T82)</f>
        <v>0</v>
      </c>
      <c r="V82" s="189">
        <f t="shared" si="47"/>
        <v>0</v>
      </c>
      <c r="W82" s="189">
        <f t="shared" si="47"/>
        <v>0</v>
      </c>
      <c r="X82" s="189">
        <f t="shared" si="47"/>
        <v>0</v>
      </c>
      <c r="Y82" s="190">
        <f>SUM(V82:X82)</f>
        <v>0</v>
      </c>
    </row>
    <row r="83" spans="1:25" ht="12.75" hidden="1" customHeight="1" outlineLevel="1" x14ac:dyDescent="0.2">
      <c r="A83" s="188" t="str">
        <f>"      "&amp;Labels!C392</f>
        <v xml:space="preserve">      Total</v>
      </c>
      <c r="B83" s="196">
        <f>SUM(B81:B82)</f>
        <v>0</v>
      </c>
      <c r="C83" s="196">
        <f>SUM(C81:C82)</f>
        <v>0</v>
      </c>
      <c r="D83" s="196">
        <f>SUM(D81:D82)</f>
        <v>0</v>
      </c>
      <c r="E83" s="197">
        <f>SUM(B83:D83)</f>
        <v>0</v>
      </c>
      <c r="F83" s="196">
        <f>SUM(F81:F82)</f>
        <v>0</v>
      </c>
      <c r="G83" s="196">
        <f>SUM(G81:G82)</f>
        <v>0</v>
      </c>
      <c r="H83" s="196">
        <f>SUM(H81:H82)</f>
        <v>0</v>
      </c>
      <c r="I83" s="197">
        <f>SUM(F83:H83)</f>
        <v>0</v>
      </c>
      <c r="J83" s="196">
        <f>SUM(J81:J82)</f>
        <v>0</v>
      </c>
      <c r="K83" s="196">
        <f>SUM(K81:K82)</f>
        <v>0</v>
      </c>
      <c r="L83" s="196">
        <f>SUM(L81:L82)</f>
        <v>0</v>
      </c>
      <c r="M83" s="197">
        <f>SUM(J83:L83)</f>
        <v>0</v>
      </c>
      <c r="N83" s="196">
        <f>SUM(N81:N82)</f>
        <v>0</v>
      </c>
      <c r="O83" s="196">
        <f>SUM(O81:O82)</f>
        <v>0</v>
      </c>
      <c r="P83" s="196">
        <f>SUM(P81:P82)</f>
        <v>0</v>
      </c>
      <c r="Q83" s="197">
        <f>SUM(N83:P83)</f>
        <v>0</v>
      </c>
      <c r="R83" s="196">
        <f>SUM(R81:R82)</f>
        <v>0</v>
      </c>
      <c r="S83" s="196">
        <f>SUM(S81:S82)</f>
        <v>0</v>
      </c>
      <c r="T83" s="196">
        <f>SUM(T81:T82)</f>
        <v>0</v>
      </c>
      <c r="U83" s="197">
        <f>SUM(R83:T83)</f>
        <v>0</v>
      </c>
      <c r="V83" s="196">
        <f>SUM(V81:V82)</f>
        <v>0</v>
      </c>
      <c r="W83" s="196">
        <f>SUM(W81:W82)</f>
        <v>0</v>
      </c>
      <c r="X83" s="196">
        <f>SUM(X81:X82)</f>
        <v>0</v>
      </c>
      <c r="Y83" s="197">
        <f>SUM(V83:X83)</f>
        <v>0</v>
      </c>
    </row>
    <row r="84" spans="1:25" ht="12.75" hidden="1" customHeight="1" outlineLevel="1" x14ac:dyDescent="0.2">
      <c r="A84" s="188" t="str">
        <f>"   "&amp;Labels!B322</f>
        <v xml:space="preserve">   Sales</v>
      </c>
      <c r="B84" s="196"/>
      <c r="C84" s="196"/>
      <c r="D84" s="196"/>
      <c r="E84" s="197"/>
      <c r="F84" s="196"/>
      <c r="G84" s="196"/>
      <c r="H84" s="196"/>
      <c r="I84" s="197"/>
      <c r="J84" s="196"/>
      <c r="K84" s="196"/>
      <c r="L84" s="196"/>
      <c r="M84" s="197"/>
      <c r="N84" s="196"/>
      <c r="O84" s="196"/>
      <c r="P84" s="196"/>
      <c r="Q84" s="197"/>
      <c r="R84" s="196"/>
      <c r="S84" s="196"/>
      <c r="T84" s="196"/>
      <c r="U84" s="197"/>
      <c r="V84" s="196"/>
      <c r="W84" s="196"/>
      <c r="X84" s="196"/>
      <c r="Y84" s="197"/>
    </row>
    <row r="85" spans="1:25" ht="12.75" hidden="1" customHeight="1" outlineLevel="1" x14ac:dyDescent="0.2">
      <c r="A85" s="198" t="str">
        <f>"      "&amp;Labels!B393</f>
        <v xml:space="preserve">      Manager</v>
      </c>
      <c r="B85" s="189">
        <f t="shared" ref="B85:D86" si="48">B27*B99</f>
        <v>0</v>
      </c>
      <c r="C85" s="189">
        <f t="shared" si="48"/>
        <v>0</v>
      </c>
      <c r="D85" s="189">
        <f t="shared" si="48"/>
        <v>0</v>
      </c>
      <c r="E85" s="190">
        <f t="shared" ref="E85:E90" si="49">SUM(B85:D85)</f>
        <v>0</v>
      </c>
      <c r="F85" s="189">
        <f t="shared" ref="F85:H86" si="50">F27*F99</f>
        <v>0</v>
      </c>
      <c r="G85" s="189">
        <f t="shared" si="50"/>
        <v>0</v>
      </c>
      <c r="H85" s="189">
        <f t="shared" si="50"/>
        <v>0</v>
      </c>
      <c r="I85" s="190">
        <f t="shared" ref="I85:I90" si="51">SUM(F85:H85)</f>
        <v>0</v>
      </c>
      <c r="J85" s="189">
        <f t="shared" ref="J85:L86" si="52">J27*J99</f>
        <v>0</v>
      </c>
      <c r="K85" s="189">
        <f t="shared" si="52"/>
        <v>0</v>
      </c>
      <c r="L85" s="189">
        <f t="shared" si="52"/>
        <v>0</v>
      </c>
      <c r="M85" s="190">
        <f t="shared" ref="M85:M90" si="53">SUM(J85:L85)</f>
        <v>0</v>
      </c>
      <c r="N85" s="189">
        <f t="shared" ref="N85:P86" si="54">N27*N99</f>
        <v>0</v>
      </c>
      <c r="O85" s="189">
        <f t="shared" si="54"/>
        <v>0</v>
      </c>
      <c r="P85" s="189">
        <f t="shared" si="54"/>
        <v>0</v>
      </c>
      <c r="Q85" s="190">
        <f t="shared" ref="Q85:Q90" si="55">SUM(N85:P85)</f>
        <v>0</v>
      </c>
      <c r="R85" s="189">
        <f t="shared" ref="R85:T86" si="56">R27*R99</f>
        <v>0</v>
      </c>
      <c r="S85" s="189">
        <f t="shared" si="56"/>
        <v>0</v>
      </c>
      <c r="T85" s="189">
        <f t="shared" si="56"/>
        <v>0</v>
      </c>
      <c r="U85" s="190">
        <f t="shared" ref="U85:U90" si="57">SUM(R85:T85)</f>
        <v>0</v>
      </c>
      <c r="V85" s="189">
        <f t="shared" ref="V85:X86" si="58">V27*V99</f>
        <v>0</v>
      </c>
      <c r="W85" s="189">
        <f t="shared" si="58"/>
        <v>0</v>
      </c>
      <c r="X85" s="189">
        <f t="shared" si="58"/>
        <v>0</v>
      </c>
      <c r="Y85" s="190">
        <f t="shared" ref="Y85:Y90" si="59">SUM(V85:X85)</f>
        <v>0</v>
      </c>
    </row>
    <row r="86" spans="1:25" ht="12.75" hidden="1" customHeight="1" outlineLevel="1" x14ac:dyDescent="0.2">
      <c r="A86" s="198" t="str">
        <f>"      "&amp;Labels!B394</f>
        <v xml:space="preserve">      Contributor</v>
      </c>
      <c r="B86" s="189">
        <f t="shared" si="48"/>
        <v>0</v>
      </c>
      <c r="C86" s="189">
        <f t="shared" si="48"/>
        <v>0</v>
      </c>
      <c r="D86" s="189">
        <f t="shared" si="48"/>
        <v>0</v>
      </c>
      <c r="E86" s="190">
        <f t="shared" si="49"/>
        <v>0</v>
      </c>
      <c r="F86" s="189">
        <f t="shared" si="50"/>
        <v>0</v>
      </c>
      <c r="G86" s="189">
        <f t="shared" si="50"/>
        <v>0</v>
      </c>
      <c r="H86" s="189">
        <f t="shared" si="50"/>
        <v>0</v>
      </c>
      <c r="I86" s="190">
        <f t="shared" si="51"/>
        <v>0</v>
      </c>
      <c r="J86" s="189">
        <f t="shared" si="52"/>
        <v>0</v>
      </c>
      <c r="K86" s="189">
        <f t="shared" si="52"/>
        <v>0</v>
      </c>
      <c r="L86" s="189">
        <f t="shared" si="52"/>
        <v>0</v>
      </c>
      <c r="M86" s="190">
        <f t="shared" si="53"/>
        <v>0</v>
      </c>
      <c r="N86" s="189">
        <f t="shared" si="54"/>
        <v>0</v>
      </c>
      <c r="O86" s="189">
        <f t="shared" si="54"/>
        <v>0</v>
      </c>
      <c r="P86" s="189">
        <f t="shared" si="54"/>
        <v>0</v>
      </c>
      <c r="Q86" s="190">
        <f t="shared" si="55"/>
        <v>0</v>
      </c>
      <c r="R86" s="189">
        <f t="shared" si="56"/>
        <v>0</v>
      </c>
      <c r="S86" s="189">
        <f t="shared" si="56"/>
        <v>0</v>
      </c>
      <c r="T86" s="189">
        <f t="shared" si="56"/>
        <v>0</v>
      </c>
      <c r="U86" s="190">
        <f t="shared" si="57"/>
        <v>0</v>
      </c>
      <c r="V86" s="189">
        <f t="shared" si="58"/>
        <v>0</v>
      </c>
      <c r="W86" s="189">
        <f t="shared" si="58"/>
        <v>0</v>
      </c>
      <c r="X86" s="189">
        <f t="shared" si="58"/>
        <v>0</v>
      </c>
      <c r="Y86" s="190">
        <f t="shared" si="59"/>
        <v>0</v>
      </c>
    </row>
    <row r="87" spans="1:25" ht="12.75" hidden="1" customHeight="1" outlineLevel="1" x14ac:dyDescent="0.2">
      <c r="A87" s="188" t="str">
        <f>"      "&amp;Labels!C392</f>
        <v xml:space="preserve">      Total</v>
      </c>
      <c r="B87" s="196">
        <f>SUM(B85:B86)</f>
        <v>0</v>
      </c>
      <c r="C87" s="196">
        <f>SUM(C85:C86)</f>
        <v>0</v>
      </c>
      <c r="D87" s="196">
        <f>SUM(D85:D86)</f>
        <v>0</v>
      </c>
      <c r="E87" s="197">
        <f t="shared" si="49"/>
        <v>0</v>
      </c>
      <c r="F87" s="196">
        <f>SUM(F85:F86)</f>
        <v>0</v>
      </c>
      <c r="G87" s="196">
        <f>SUM(G85:G86)</f>
        <v>0</v>
      </c>
      <c r="H87" s="196">
        <f>SUM(H85:H86)</f>
        <v>0</v>
      </c>
      <c r="I87" s="197">
        <f t="shared" si="51"/>
        <v>0</v>
      </c>
      <c r="J87" s="196">
        <f>SUM(J85:J86)</f>
        <v>0</v>
      </c>
      <c r="K87" s="196">
        <f>SUM(K85:K86)</f>
        <v>0</v>
      </c>
      <c r="L87" s="196">
        <f>SUM(L85:L86)</f>
        <v>0</v>
      </c>
      <c r="M87" s="197">
        <f t="shared" si="53"/>
        <v>0</v>
      </c>
      <c r="N87" s="196">
        <f>SUM(N85:N86)</f>
        <v>0</v>
      </c>
      <c r="O87" s="196">
        <f>SUM(O85:O86)</f>
        <v>0</v>
      </c>
      <c r="P87" s="196">
        <f>SUM(P85:P86)</f>
        <v>0</v>
      </c>
      <c r="Q87" s="197">
        <f t="shared" si="55"/>
        <v>0</v>
      </c>
      <c r="R87" s="196">
        <f>SUM(R85:R86)</f>
        <v>0</v>
      </c>
      <c r="S87" s="196">
        <f>SUM(S85:S86)</f>
        <v>0</v>
      </c>
      <c r="T87" s="196">
        <f>SUM(T85:T86)</f>
        <v>0</v>
      </c>
      <c r="U87" s="197">
        <f t="shared" si="57"/>
        <v>0</v>
      </c>
      <c r="V87" s="196">
        <f>SUM(V85:V86)</f>
        <v>0</v>
      </c>
      <c r="W87" s="196">
        <f>SUM(W85:W86)</f>
        <v>0</v>
      </c>
      <c r="X87" s="196">
        <f>SUM(X85:X86)</f>
        <v>0</v>
      </c>
      <c r="Y87" s="197">
        <f t="shared" si="59"/>
        <v>0</v>
      </c>
    </row>
    <row r="88" spans="1:25" ht="12.75" hidden="1" customHeight="1" outlineLevel="1" x14ac:dyDescent="0.2">
      <c r="A88" s="191" t="str">
        <f>"   "&amp;Labels!C320</f>
        <v xml:space="preserve">   Total</v>
      </c>
      <c r="B88" s="192">
        <f>SUM(B83,B87)</f>
        <v>0</v>
      </c>
      <c r="C88" s="192">
        <f>SUM(C83,C87)</f>
        <v>0</v>
      </c>
      <c r="D88" s="192">
        <f>SUM(D83,D87)</f>
        <v>0</v>
      </c>
      <c r="E88" s="190">
        <f t="shared" si="49"/>
        <v>0</v>
      </c>
      <c r="F88" s="192">
        <f>SUM(F83,F87)</f>
        <v>0</v>
      </c>
      <c r="G88" s="192">
        <f>SUM(G83,G87)</f>
        <v>0</v>
      </c>
      <c r="H88" s="192">
        <f>SUM(H83,H87)</f>
        <v>0</v>
      </c>
      <c r="I88" s="190">
        <f t="shared" si="51"/>
        <v>0</v>
      </c>
      <c r="J88" s="192">
        <f>SUM(J83,J87)</f>
        <v>0</v>
      </c>
      <c r="K88" s="192">
        <f>SUM(K83,K87)</f>
        <v>0</v>
      </c>
      <c r="L88" s="192">
        <f>SUM(L83,L87)</f>
        <v>0</v>
      </c>
      <c r="M88" s="190">
        <f t="shared" si="53"/>
        <v>0</v>
      </c>
      <c r="N88" s="192">
        <f>SUM(N83,N87)</f>
        <v>0</v>
      </c>
      <c r="O88" s="192">
        <f>SUM(O83,O87)</f>
        <v>0</v>
      </c>
      <c r="P88" s="192">
        <f>SUM(P83,P87)</f>
        <v>0</v>
      </c>
      <c r="Q88" s="190">
        <f t="shared" si="55"/>
        <v>0</v>
      </c>
      <c r="R88" s="192">
        <f>SUM(R83,R87)</f>
        <v>0</v>
      </c>
      <c r="S88" s="192">
        <f>SUM(S83,S87)</f>
        <v>0</v>
      </c>
      <c r="T88" s="192">
        <f>SUM(T83,T87)</f>
        <v>0</v>
      </c>
      <c r="U88" s="190">
        <f t="shared" si="57"/>
        <v>0</v>
      </c>
      <c r="V88" s="192">
        <f>SUM(V83,V87)</f>
        <v>0</v>
      </c>
      <c r="W88" s="192">
        <f>SUM(W83,W87)</f>
        <v>0</v>
      </c>
      <c r="X88" s="192">
        <f>SUM(X83,X87)</f>
        <v>0</v>
      </c>
      <c r="Y88" s="190">
        <f t="shared" si="59"/>
        <v>0</v>
      </c>
    </row>
    <row r="89" spans="1:25" ht="12.75" hidden="1" customHeight="1" outlineLevel="1" x14ac:dyDescent="0.2">
      <c r="A89" s="198" t="str">
        <f>"      "&amp;Labels!B393</f>
        <v xml:space="preserve">      Manager</v>
      </c>
      <c r="B89" s="189">
        <f t="shared" ref="B89:D91" si="60">SUM(B81,B85)</f>
        <v>0</v>
      </c>
      <c r="C89" s="189">
        <f t="shared" si="60"/>
        <v>0</v>
      </c>
      <c r="D89" s="189">
        <f t="shared" si="60"/>
        <v>0</v>
      </c>
      <c r="E89" s="190">
        <f t="shared" si="49"/>
        <v>0</v>
      </c>
      <c r="F89" s="189">
        <f t="shared" ref="F89:H91" si="61">SUM(F81,F85)</f>
        <v>0</v>
      </c>
      <c r="G89" s="189">
        <f t="shared" si="61"/>
        <v>0</v>
      </c>
      <c r="H89" s="189">
        <f t="shared" si="61"/>
        <v>0</v>
      </c>
      <c r="I89" s="190">
        <f t="shared" si="51"/>
        <v>0</v>
      </c>
      <c r="J89" s="189">
        <f t="shared" ref="J89:L91" si="62">SUM(J81,J85)</f>
        <v>0</v>
      </c>
      <c r="K89" s="189">
        <f t="shared" si="62"/>
        <v>0</v>
      </c>
      <c r="L89" s="189">
        <f t="shared" si="62"/>
        <v>0</v>
      </c>
      <c r="M89" s="190">
        <f t="shared" si="53"/>
        <v>0</v>
      </c>
      <c r="N89" s="189">
        <f t="shared" ref="N89:P91" si="63">SUM(N81,N85)</f>
        <v>0</v>
      </c>
      <c r="O89" s="189">
        <f t="shared" si="63"/>
        <v>0</v>
      </c>
      <c r="P89" s="189">
        <f t="shared" si="63"/>
        <v>0</v>
      </c>
      <c r="Q89" s="190">
        <f t="shared" si="55"/>
        <v>0</v>
      </c>
      <c r="R89" s="189">
        <f t="shared" ref="R89:T91" si="64">SUM(R81,R85)</f>
        <v>0</v>
      </c>
      <c r="S89" s="189">
        <f t="shared" si="64"/>
        <v>0</v>
      </c>
      <c r="T89" s="189">
        <f t="shared" si="64"/>
        <v>0</v>
      </c>
      <c r="U89" s="190">
        <f t="shared" si="57"/>
        <v>0</v>
      </c>
      <c r="V89" s="189">
        <f t="shared" ref="V89:X91" si="65">SUM(V81,V85)</f>
        <v>0</v>
      </c>
      <c r="W89" s="189">
        <f t="shared" si="65"/>
        <v>0</v>
      </c>
      <c r="X89" s="189">
        <f t="shared" si="65"/>
        <v>0</v>
      </c>
      <c r="Y89" s="190">
        <f t="shared" si="59"/>
        <v>0</v>
      </c>
    </row>
    <row r="90" spans="1:25" ht="12.75" hidden="1" customHeight="1" outlineLevel="1" x14ac:dyDescent="0.2">
      <c r="A90" s="198" t="str">
        <f>"      "&amp;Labels!B394</f>
        <v xml:space="preserve">      Contributor</v>
      </c>
      <c r="B90" s="189">
        <f t="shared" si="60"/>
        <v>0</v>
      </c>
      <c r="C90" s="189">
        <f t="shared" si="60"/>
        <v>0</v>
      </c>
      <c r="D90" s="189">
        <f t="shared" si="60"/>
        <v>0</v>
      </c>
      <c r="E90" s="190">
        <f t="shared" si="49"/>
        <v>0</v>
      </c>
      <c r="F90" s="189">
        <f t="shared" si="61"/>
        <v>0</v>
      </c>
      <c r="G90" s="189">
        <f t="shared" si="61"/>
        <v>0</v>
      </c>
      <c r="H90" s="189">
        <f t="shared" si="61"/>
        <v>0</v>
      </c>
      <c r="I90" s="190">
        <f t="shared" si="51"/>
        <v>0</v>
      </c>
      <c r="J90" s="189">
        <f t="shared" si="62"/>
        <v>0</v>
      </c>
      <c r="K90" s="189">
        <f t="shared" si="62"/>
        <v>0</v>
      </c>
      <c r="L90" s="189">
        <f t="shared" si="62"/>
        <v>0</v>
      </c>
      <c r="M90" s="190">
        <f t="shared" si="53"/>
        <v>0</v>
      </c>
      <c r="N90" s="189">
        <f t="shared" si="63"/>
        <v>0</v>
      </c>
      <c r="O90" s="189">
        <f t="shared" si="63"/>
        <v>0</v>
      </c>
      <c r="P90" s="189">
        <f t="shared" si="63"/>
        <v>0</v>
      </c>
      <c r="Q90" s="190">
        <f t="shared" si="55"/>
        <v>0</v>
      </c>
      <c r="R90" s="189">
        <f t="shared" si="64"/>
        <v>0</v>
      </c>
      <c r="S90" s="189">
        <f t="shared" si="64"/>
        <v>0</v>
      </c>
      <c r="T90" s="189">
        <f t="shared" si="64"/>
        <v>0</v>
      </c>
      <c r="U90" s="190">
        <f t="shared" si="57"/>
        <v>0</v>
      </c>
      <c r="V90" s="189">
        <f t="shared" si="65"/>
        <v>0</v>
      </c>
      <c r="W90" s="189">
        <f t="shared" si="65"/>
        <v>0</v>
      </c>
      <c r="X90" s="189">
        <f t="shared" si="65"/>
        <v>0</v>
      </c>
      <c r="Y90" s="190">
        <f t="shared" si="59"/>
        <v>0</v>
      </c>
    </row>
    <row r="91" spans="1:25" ht="12.75" hidden="1" customHeight="1" outlineLevel="1" x14ac:dyDescent="0.2">
      <c r="A91" s="188" t="str">
        <f>"      "&amp;Labels!C392</f>
        <v xml:space="preserve">      Total</v>
      </c>
      <c r="B91" s="196">
        <f t="shared" si="60"/>
        <v>0</v>
      </c>
      <c r="C91" s="196">
        <f t="shared" si="60"/>
        <v>0</v>
      </c>
      <c r="D91" s="196">
        <f t="shared" si="60"/>
        <v>0</v>
      </c>
      <c r="E91" s="197">
        <f>SUM(B88:D88)</f>
        <v>0</v>
      </c>
      <c r="F91" s="196">
        <f t="shared" si="61"/>
        <v>0</v>
      </c>
      <c r="G91" s="196">
        <f t="shared" si="61"/>
        <v>0</v>
      </c>
      <c r="H91" s="196">
        <f t="shared" si="61"/>
        <v>0</v>
      </c>
      <c r="I91" s="197">
        <f>SUM(F88:H88)</f>
        <v>0</v>
      </c>
      <c r="J91" s="196">
        <f t="shared" si="62"/>
        <v>0</v>
      </c>
      <c r="K91" s="196">
        <f t="shared" si="62"/>
        <v>0</v>
      </c>
      <c r="L91" s="196">
        <f t="shared" si="62"/>
        <v>0</v>
      </c>
      <c r="M91" s="197">
        <f>SUM(J88:L88)</f>
        <v>0</v>
      </c>
      <c r="N91" s="196">
        <f t="shared" si="63"/>
        <v>0</v>
      </c>
      <c r="O91" s="196">
        <f t="shared" si="63"/>
        <v>0</v>
      </c>
      <c r="P91" s="196">
        <f t="shared" si="63"/>
        <v>0</v>
      </c>
      <c r="Q91" s="197">
        <f>SUM(N88:P88)</f>
        <v>0</v>
      </c>
      <c r="R91" s="196">
        <f t="shared" si="64"/>
        <v>0</v>
      </c>
      <c r="S91" s="196">
        <f t="shared" si="64"/>
        <v>0</v>
      </c>
      <c r="T91" s="196">
        <f t="shared" si="64"/>
        <v>0</v>
      </c>
      <c r="U91" s="197">
        <f>SUM(R88:T88)</f>
        <v>0</v>
      </c>
      <c r="V91" s="196">
        <f t="shared" si="65"/>
        <v>0</v>
      </c>
      <c r="W91" s="196">
        <f t="shared" si="65"/>
        <v>0</v>
      </c>
      <c r="X91" s="196">
        <f t="shared" si="65"/>
        <v>0</v>
      </c>
      <c r="Y91" s="197">
        <f>SUM(V88:X88)</f>
        <v>0</v>
      </c>
    </row>
    <row r="92" spans="1:25" ht="12.75" hidden="1" customHeight="1" outlineLevel="1" x14ac:dyDescent="0.2">
      <c r="A92" s="97"/>
      <c r="B92" s="6"/>
      <c r="C92" s="6"/>
      <c r="D92" s="6"/>
      <c r="E92" s="97"/>
      <c r="F92" s="6"/>
      <c r="G92" s="6"/>
      <c r="H92" s="6"/>
      <c r="I92" s="97"/>
      <c r="J92" s="6"/>
      <c r="K92" s="6"/>
      <c r="L92" s="6"/>
      <c r="M92" s="97"/>
      <c r="N92" s="6"/>
      <c r="O92" s="6"/>
      <c r="P92" s="6"/>
      <c r="Q92" s="97"/>
      <c r="R92" s="6"/>
      <c r="S92" s="6"/>
      <c r="T92" s="6"/>
      <c r="U92" s="97"/>
      <c r="V92" s="6"/>
      <c r="W92" s="6"/>
      <c r="X92" s="6"/>
      <c r="Y92" s="97"/>
    </row>
    <row r="93" spans="1:25" ht="12.75" hidden="1" customHeight="1" outlineLevel="1" x14ac:dyDescent="0.2">
      <c r="A93" s="191" t="str">
        <f>Labels!B261</f>
        <v>Avg Support Staff Wage</v>
      </c>
      <c r="B93" s="192"/>
      <c r="C93" s="192"/>
      <c r="D93" s="192"/>
      <c r="E93" s="190"/>
      <c r="F93" s="192"/>
      <c r="G93" s="192"/>
      <c r="H93" s="192"/>
      <c r="I93" s="190"/>
      <c r="J93" s="192"/>
      <c r="K93" s="192"/>
      <c r="L93" s="192"/>
      <c r="M93" s="190"/>
      <c r="N93" s="192"/>
      <c r="O93" s="192"/>
      <c r="P93" s="192"/>
      <c r="Q93" s="190"/>
      <c r="R93" s="192"/>
      <c r="S93" s="192"/>
      <c r="T93" s="192"/>
      <c r="U93" s="190"/>
      <c r="V93" s="192"/>
      <c r="W93" s="192"/>
      <c r="X93" s="192"/>
      <c r="Y93" s="190"/>
    </row>
    <row r="94" spans="1:25" ht="12.75" hidden="1" customHeight="1" outlineLevel="1" x14ac:dyDescent="0.2">
      <c r="A94" s="188" t="str">
        <f>"   "&amp;Labels!B321</f>
        <v xml:space="preserve">   Marketing</v>
      </c>
      <c r="B94" s="196"/>
      <c r="C94" s="196"/>
      <c r="D94" s="196"/>
      <c r="E94" s="197"/>
      <c r="F94" s="196"/>
      <c r="G94" s="196"/>
      <c r="H94" s="196"/>
      <c r="I94" s="197"/>
      <c r="J94" s="196"/>
      <c r="K94" s="196"/>
      <c r="L94" s="196"/>
      <c r="M94" s="197"/>
      <c r="N94" s="196"/>
      <c r="O94" s="196"/>
      <c r="P94" s="196"/>
      <c r="Q94" s="197"/>
      <c r="R94" s="196"/>
      <c r="S94" s="196"/>
      <c r="T94" s="196"/>
      <c r="U94" s="197"/>
      <c r="V94" s="196"/>
      <c r="W94" s="196"/>
      <c r="X94" s="196"/>
      <c r="Y94" s="197"/>
    </row>
    <row r="95" spans="1:25" ht="12.75" hidden="1" customHeight="1" outlineLevel="1" x14ac:dyDescent="0.2">
      <c r="A95" s="198" t="str">
        <f>"      "&amp;Labels!B393</f>
        <v xml:space="preserve">      Manager</v>
      </c>
      <c r="B95" s="189">
        <f>IF('(Tables)'!C12&lt;0.001+1/12,Inputs!F226/12,(1+'(Tables)'!B1255)*0)</f>
        <v>6666.666666666667</v>
      </c>
      <c r="C95" s="189">
        <f>IF('(Tables)'!D12&lt;0.001+1/12,Inputs!F226/12,(1+'(Tables)'!C1255)*B95)</f>
        <v>6683.1084651486917</v>
      </c>
      <c r="D95" s="189">
        <f>IF('(Tables)'!E12&lt;0.001+1/12,Inputs!F226/12,(1+'(Tables)'!D1255)*C95)</f>
        <v>6699.5908135413147</v>
      </c>
      <c r="E95" s="190">
        <f>IF(D23=0,0,SUM(B81:D81)/D23)</f>
        <v>0</v>
      </c>
      <c r="F95" s="189">
        <f>IF('(Tables)'!F12&lt;0.001+1/12,Inputs!F226/12,(1+'(Tables)'!E1255)*D95)</f>
        <v>6716.1138118515555</v>
      </c>
      <c r="G95" s="189">
        <f>IF('(Tables)'!G12&lt;0.001+1/12,Inputs!F226/12,(1+'(Tables)'!F1255)*F95)</f>
        <v>6732.6775603330761</v>
      </c>
      <c r="H95" s="189">
        <f>IF('(Tables)'!H12&lt;0.001+1/12,Inputs!F226/12,(1+'(Tables)'!G1255)*G95)</f>
        <v>6749.2821594867928</v>
      </c>
      <c r="I95" s="190">
        <f>IF(H23=0,0,SUM(F81:H81)/H23)</f>
        <v>0</v>
      </c>
      <c r="J95" s="189">
        <f>IF('(Tables)'!I12&lt;0.001+1/12,Inputs!F226/12,(1+'(Tables)'!H1255)*H95)</f>
        <v>6765.9277100614836</v>
      </c>
      <c r="K95" s="189">
        <f>IF('(Tables)'!J12&lt;0.001+1/12,Inputs!F226/12,(1+'(Tables)'!I1255)*J95)</f>
        <v>6782.6143130544006</v>
      </c>
      <c r="L95" s="189">
        <f>IF('(Tables)'!K12&lt;0.001+1/12,Inputs!F226/12,(1+'(Tables)'!J1255)*K95)</f>
        <v>6799.3420697118809</v>
      </c>
      <c r="M95" s="190">
        <f>IF(L23=0,0,SUM(J81:L81)/L23)</f>
        <v>0</v>
      </c>
      <c r="N95" s="189">
        <f>IF('(Tables)'!L12&lt;0.001+1/12,Inputs!F226/12,(1+'(Tables)'!K1255)*L95)</f>
        <v>6816.1110815299644</v>
      </c>
      <c r="O95" s="189">
        <f>IF('(Tables)'!M12&lt;0.001+1/12,Inputs!F226/12,(1+'(Tables)'!L1255)*N95)</f>
        <v>6832.9214502550058</v>
      </c>
      <c r="P95" s="189">
        <f>IF('(Tables)'!N12&lt;0.001+1/12,Inputs!F226/12,(1+'(Tables)'!M1255)*O95)</f>
        <v>6849.7732778842956</v>
      </c>
      <c r="Q95" s="190">
        <f>IF(P23=0,0,SUM(N81:P81)/P23)</f>
        <v>0</v>
      </c>
      <c r="R95" s="189">
        <f>IF('(Tables)'!O12&lt;0.001+1/12,Inputs!F226/12,(1+'(Tables)'!N1255)*P95)</f>
        <v>6866.6666666666752</v>
      </c>
      <c r="S95" s="189">
        <f>IF('(Tables)'!P12&lt;0.001+1/12,Inputs!F226/12,(1+'(Tables)'!O1255)*R95)</f>
        <v>6883.6017191031606</v>
      </c>
      <c r="T95" s="189">
        <f>IF('(Tables)'!Q12&lt;0.001+1/12,Inputs!F226/12,(1+'(Tables)'!P1255)*S95)</f>
        <v>6900.5785379475628</v>
      </c>
      <c r="U95" s="190">
        <f>IF(T23=0,0,SUM(R81:T81)/T23)</f>
        <v>0</v>
      </c>
      <c r="V95" s="189">
        <f>IF('(Tables)'!R12&lt;0.001+1/12,Inputs!F226/12,(1+'(Tables)'!Q1255)*T95)</f>
        <v>6917.5972262071109</v>
      </c>
      <c r="W95" s="189">
        <f>IF('(Tables)'!S12&lt;0.001+1/12,Inputs!F226/12,(1+'(Tables)'!R1255)*V95)</f>
        <v>6934.6578871430775</v>
      </c>
      <c r="X95" s="189">
        <f>IF('(Tables)'!T12&lt;0.001+1/12,Inputs!F226/12,(1+'(Tables)'!S1255)*W95)</f>
        <v>6951.7606242714055</v>
      </c>
      <c r="Y95" s="190">
        <f>IF(X23=0,0,SUM(V81:X81)/X23)</f>
        <v>0</v>
      </c>
    </row>
    <row r="96" spans="1:25" ht="12.75" hidden="1" customHeight="1" outlineLevel="1" x14ac:dyDescent="0.2">
      <c r="A96" s="198" t="str">
        <f>"      "&amp;Labels!B394</f>
        <v xml:space="preserve">      Contributor</v>
      </c>
      <c r="B96" s="189">
        <f>IF('(Tables)'!C12&lt;0.001+1/12,Inputs!F227/12,(1+'(Tables)'!B1256)*0)</f>
        <v>6666.666666666667</v>
      </c>
      <c r="C96" s="189">
        <f>IF('(Tables)'!D12&lt;0.001+1/12,Inputs!F227/12,(1+'(Tables)'!C1256)*B96)</f>
        <v>6683.1084651486917</v>
      </c>
      <c r="D96" s="189">
        <f>IF('(Tables)'!E12&lt;0.001+1/12,Inputs!F227/12,(1+'(Tables)'!D1256)*C96)</f>
        <v>6699.5908135413147</v>
      </c>
      <c r="E96" s="190">
        <f>IF(D24=0,0,SUM(B82:D82)/D24)</f>
        <v>0</v>
      </c>
      <c r="F96" s="189">
        <f>IF('(Tables)'!F12&lt;0.001+1/12,Inputs!F227/12,(1+'(Tables)'!E1256)*D96)</f>
        <v>6716.1138118515555</v>
      </c>
      <c r="G96" s="189">
        <f>IF('(Tables)'!G12&lt;0.001+1/12,Inputs!F227/12,(1+'(Tables)'!F1256)*F96)</f>
        <v>6732.6775603330761</v>
      </c>
      <c r="H96" s="189">
        <f>IF('(Tables)'!H12&lt;0.001+1/12,Inputs!F227/12,(1+'(Tables)'!G1256)*G96)</f>
        <v>6749.2821594867928</v>
      </c>
      <c r="I96" s="190">
        <f>IF(H24=0,0,SUM(F82:H82)/H24)</f>
        <v>0</v>
      </c>
      <c r="J96" s="189">
        <f>IF('(Tables)'!I12&lt;0.001+1/12,Inputs!F227/12,(1+'(Tables)'!H1256)*H96)</f>
        <v>6765.9277100614836</v>
      </c>
      <c r="K96" s="189">
        <f>IF('(Tables)'!J12&lt;0.001+1/12,Inputs!F227/12,(1+'(Tables)'!I1256)*J96)</f>
        <v>6782.6143130544006</v>
      </c>
      <c r="L96" s="189">
        <f>IF('(Tables)'!K12&lt;0.001+1/12,Inputs!F227/12,(1+'(Tables)'!J1256)*K96)</f>
        <v>6799.3420697118809</v>
      </c>
      <c r="M96" s="190">
        <f>IF(L24=0,0,SUM(J82:L82)/L24)</f>
        <v>0</v>
      </c>
      <c r="N96" s="189">
        <f>IF('(Tables)'!L12&lt;0.001+1/12,Inputs!F227/12,(1+'(Tables)'!K1256)*L96)</f>
        <v>6816.1110815299644</v>
      </c>
      <c r="O96" s="189">
        <f>IF('(Tables)'!M12&lt;0.001+1/12,Inputs!F227/12,(1+'(Tables)'!L1256)*N96)</f>
        <v>6832.9214502550058</v>
      </c>
      <c r="P96" s="189">
        <f>IF('(Tables)'!N12&lt;0.001+1/12,Inputs!F227/12,(1+'(Tables)'!M1256)*O96)</f>
        <v>6849.7732778842956</v>
      </c>
      <c r="Q96" s="190">
        <f>IF(P24=0,0,SUM(N82:P82)/P24)</f>
        <v>0</v>
      </c>
      <c r="R96" s="189">
        <f>IF('(Tables)'!O12&lt;0.001+1/12,Inputs!F227/12,(1+'(Tables)'!N1256)*P96)</f>
        <v>6866.6666666666752</v>
      </c>
      <c r="S96" s="189">
        <f>IF('(Tables)'!P12&lt;0.001+1/12,Inputs!F227/12,(1+'(Tables)'!O1256)*R96)</f>
        <v>6883.6017191031606</v>
      </c>
      <c r="T96" s="189">
        <f>IF('(Tables)'!Q12&lt;0.001+1/12,Inputs!F227/12,(1+'(Tables)'!P1256)*S96)</f>
        <v>6900.5785379475628</v>
      </c>
      <c r="U96" s="190">
        <f>IF(T24=0,0,SUM(R82:T82)/T24)</f>
        <v>0</v>
      </c>
      <c r="V96" s="189">
        <f>IF('(Tables)'!R12&lt;0.001+1/12,Inputs!F227/12,(1+'(Tables)'!Q1256)*T96)</f>
        <v>6917.5972262071109</v>
      </c>
      <c r="W96" s="189">
        <f>IF('(Tables)'!S12&lt;0.001+1/12,Inputs!F227/12,(1+'(Tables)'!R1256)*V96)</f>
        <v>6934.6578871430775</v>
      </c>
      <c r="X96" s="189">
        <f>IF('(Tables)'!T12&lt;0.001+1/12,Inputs!F227/12,(1+'(Tables)'!S1256)*W96)</f>
        <v>6951.7606242714055</v>
      </c>
      <c r="Y96" s="190">
        <f>IF(X24=0,0,SUM(V82:X82)/X24)</f>
        <v>0</v>
      </c>
    </row>
    <row r="97" spans="1:25" ht="12.75" hidden="1" customHeight="1" outlineLevel="1" x14ac:dyDescent="0.2">
      <c r="A97" s="188" t="str">
        <f>"      "&amp;Labels!C392</f>
        <v xml:space="preserve">      Total</v>
      </c>
      <c r="B97" s="196">
        <f>IF(B8=0,0,B83/B8)</f>
        <v>0</v>
      </c>
      <c r="C97" s="196">
        <f>IF(C8=0,0,C83/C8)</f>
        <v>0</v>
      </c>
      <c r="D97" s="196">
        <f>IF(D8=0,0,D83/D8)</f>
        <v>0</v>
      </c>
      <c r="E97" s="197">
        <f>IF(D8=0,0,SUM(B83:D83)/D8)</f>
        <v>0</v>
      </c>
      <c r="F97" s="196">
        <f>IF(F8=0,0,F83/F8)</f>
        <v>0</v>
      </c>
      <c r="G97" s="196">
        <f>IF(G8=0,0,G83/G8)</f>
        <v>0</v>
      </c>
      <c r="H97" s="196">
        <f>IF(H8=0,0,H83/H8)</f>
        <v>0</v>
      </c>
      <c r="I97" s="197">
        <f>IF(H8=0,0,SUM(F83:H83)/H8)</f>
        <v>0</v>
      </c>
      <c r="J97" s="196">
        <f>IF(J8=0,0,J83/J8)</f>
        <v>0</v>
      </c>
      <c r="K97" s="196">
        <f>IF(K8=0,0,K83/K8)</f>
        <v>0</v>
      </c>
      <c r="L97" s="196">
        <f>IF(L8=0,0,L83/L8)</f>
        <v>0</v>
      </c>
      <c r="M97" s="197">
        <f>IF(L8=0,0,SUM(J83:L83)/L8)</f>
        <v>0</v>
      </c>
      <c r="N97" s="196">
        <f>IF(N8=0,0,N83/N8)</f>
        <v>0</v>
      </c>
      <c r="O97" s="196">
        <f>IF(O8=0,0,O83/O8)</f>
        <v>0</v>
      </c>
      <c r="P97" s="196">
        <f>IF(P8=0,0,P83/P8)</f>
        <v>0</v>
      </c>
      <c r="Q97" s="197">
        <f>IF(P8=0,0,SUM(N83:P83)/P8)</f>
        <v>0</v>
      </c>
      <c r="R97" s="196">
        <f>IF(R8=0,0,R83/R8)</f>
        <v>0</v>
      </c>
      <c r="S97" s="196">
        <f>IF(S8=0,0,S83/S8)</f>
        <v>0</v>
      </c>
      <c r="T97" s="196">
        <f>IF(T8=0,0,T83/T8)</f>
        <v>0</v>
      </c>
      <c r="U97" s="197">
        <f>IF(T8=0,0,SUM(R83:T83)/T8)</f>
        <v>0</v>
      </c>
      <c r="V97" s="196">
        <f>IF(V8=0,0,V83/V8)</f>
        <v>0</v>
      </c>
      <c r="W97" s="196">
        <f>IF(W8=0,0,W83/W8)</f>
        <v>0</v>
      </c>
      <c r="X97" s="196">
        <f>IF(X8=0,0,X83/X8)</f>
        <v>0</v>
      </c>
      <c r="Y97" s="197">
        <f>IF(X8=0,0,SUM(V83:X83)/X8)</f>
        <v>0</v>
      </c>
    </row>
    <row r="98" spans="1:25" ht="12.75" hidden="1" customHeight="1" outlineLevel="1" x14ac:dyDescent="0.2">
      <c r="A98" s="188" t="str">
        <f>"   "&amp;Labels!B322</f>
        <v xml:space="preserve">   Sales</v>
      </c>
      <c r="B98" s="196"/>
      <c r="C98" s="196"/>
      <c r="D98" s="196"/>
      <c r="E98" s="197"/>
      <c r="F98" s="196"/>
      <c r="G98" s="196"/>
      <c r="H98" s="196"/>
      <c r="I98" s="197"/>
      <c r="J98" s="196"/>
      <c r="K98" s="196"/>
      <c r="L98" s="196"/>
      <c r="M98" s="197"/>
      <c r="N98" s="196"/>
      <c r="O98" s="196"/>
      <c r="P98" s="196"/>
      <c r="Q98" s="197"/>
      <c r="R98" s="196"/>
      <c r="S98" s="196"/>
      <c r="T98" s="196"/>
      <c r="U98" s="197"/>
      <c r="V98" s="196"/>
      <c r="W98" s="196"/>
      <c r="X98" s="196"/>
      <c r="Y98" s="197"/>
    </row>
    <row r="99" spans="1:25" ht="12.75" hidden="1" customHeight="1" outlineLevel="1" x14ac:dyDescent="0.2">
      <c r="A99" s="198" t="str">
        <f>"      "&amp;Labels!B393</f>
        <v xml:space="preserve">      Manager</v>
      </c>
      <c r="B99" s="189">
        <f>IF('(Tables)'!C12&lt;0.001+1/12,Inputs!G226/12,(1+'(Tables)'!B1255)*0)</f>
        <v>6666.666666666667</v>
      </c>
      <c r="C99" s="189">
        <f>IF('(Tables)'!D12&lt;0.001+1/12,Inputs!G226/12,(1+'(Tables)'!C1255)*B99)</f>
        <v>6683.1084651486917</v>
      </c>
      <c r="D99" s="189">
        <f>IF('(Tables)'!E12&lt;0.001+1/12,Inputs!G226/12,(1+'(Tables)'!D1255)*C99)</f>
        <v>6699.5908135413147</v>
      </c>
      <c r="E99" s="190">
        <f>IF(D27=0,0,SUM(B85:D85)/D27)</f>
        <v>0</v>
      </c>
      <c r="F99" s="189">
        <f>IF('(Tables)'!F12&lt;0.001+1/12,Inputs!G226/12,(1+'(Tables)'!E1255)*D99)</f>
        <v>6716.1138118515555</v>
      </c>
      <c r="G99" s="189">
        <f>IF('(Tables)'!G12&lt;0.001+1/12,Inputs!G226/12,(1+'(Tables)'!F1255)*F99)</f>
        <v>6732.6775603330761</v>
      </c>
      <c r="H99" s="189">
        <f>IF('(Tables)'!H12&lt;0.001+1/12,Inputs!G226/12,(1+'(Tables)'!G1255)*G99)</f>
        <v>6749.2821594867928</v>
      </c>
      <c r="I99" s="190">
        <f>IF(H27=0,0,SUM(F85:H85)/H27)</f>
        <v>0</v>
      </c>
      <c r="J99" s="189">
        <f>IF('(Tables)'!I12&lt;0.001+1/12,Inputs!G226/12,(1+'(Tables)'!H1255)*H99)</f>
        <v>6765.9277100614836</v>
      </c>
      <c r="K99" s="189">
        <f>IF('(Tables)'!J12&lt;0.001+1/12,Inputs!G226/12,(1+'(Tables)'!I1255)*J99)</f>
        <v>6782.6143130544006</v>
      </c>
      <c r="L99" s="189">
        <f>IF('(Tables)'!K12&lt;0.001+1/12,Inputs!G226/12,(1+'(Tables)'!J1255)*K99)</f>
        <v>6799.3420697118809</v>
      </c>
      <c r="M99" s="190">
        <f>IF(L27=0,0,SUM(J85:L85)/L27)</f>
        <v>0</v>
      </c>
      <c r="N99" s="189">
        <f>IF('(Tables)'!L12&lt;0.001+1/12,Inputs!G226/12,(1+'(Tables)'!K1255)*L99)</f>
        <v>6816.1110815299644</v>
      </c>
      <c r="O99" s="189">
        <f>IF('(Tables)'!M12&lt;0.001+1/12,Inputs!G226/12,(1+'(Tables)'!L1255)*N99)</f>
        <v>6832.9214502550058</v>
      </c>
      <c r="P99" s="189">
        <f>IF('(Tables)'!N12&lt;0.001+1/12,Inputs!G226/12,(1+'(Tables)'!M1255)*O99)</f>
        <v>6849.7732778842956</v>
      </c>
      <c r="Q99" s="190">
        <f>IF(P27=0,0,SUM(N85:P85)/P27)</f>
        <v>0</v>
      </c>
      <c r="R99" s="189">
        <f>IF('(Tables)'!O12&lt;0.001+1/12,Inputs!G226/12,(1+'(Tables)'!N1255)*P99)</f>
        <v>6866.6666666666752</v>
      </c>
      <c r="S99" s="189">
        <f>IF('(Tables)'!P12&lt;0.001+1/12,Inputs!G226/12,(1+'(Tables)'!O1255)*R99)</f>
        <v>6883.6017191031606</v>
      </c>
      <c r="T99" s="189">
        <f>IF('(Tables)'!Q12&lt;0.001+1/12,Inputs!G226/12,(1+'(Tables)'!P1255)*S99)</f>
        <v>6900.5785379475628</v>
      </c>
      <c r="U99" s="190">
        <f>IF(T27=0,0,SUM(R85:T85)/T27)</f>
        <v>0</v>
      </c>
      <c r="V99" s="189">
        <f>IF('(Tables)'!R12&lt;0.001+1/12,Inputs!G226/12,(1+'(Tables)'!Q1255)*T99)</f>
        <v>6917.5972262071109</v>
      </c>
      <c r="W99" s="189">
        <f>IF('(Tables)'!S12&lt;0.001+1/12,Inputs!G226/12,(1+'(Tables)'!R1255)*V99)</f>
        <v>6934.6578871430775</v>
      </c>
      <c r="X99" s="189">
        <f>IF('(Tables)'!T12&lt;0.001+1/12,Inputs!G226/12,(1+'(Tables)'!S1255)*W99)</f>
        <v>6951.7606242714055</v>
      </c>
      <c r="Y99" s="190">
        <f>IF(X27=0,0,SUM(V85:X85)/X27)</f>
        <v>0</v>
      </c>
    </row>
    <row r="100" spans="1:25" ht="12.75" hidden="1" customHeight="1" outlineLevel="1" x14ac:dyDescent="0.2">
      <c r="A100" s="198" t="str">
        <f>"      "&amp;Labels!B394</f>
        <v xml:space="preserve">      Contributor</v>
      </c>
      <c r="B100" s="189">
        <f>IF('(Tables)'!C12&lt;0.001+1/12,Inputs!G227/12,(1+'(Tables)'!B1256)*0)</f>
        <v>6666.666666666667</v>
      </c>
      <c r="C100" s="189">
        <f>IF('(Tables)'!D12&lt;0.001+1/12,Inputs!G227/12,(1+'(Tables)'!C1256)*B100)</f>
        <v>6683.1084651486917</v>
      </c>
      <c r="D100" s="189">
        <f>IF('(Tables)'!E12&lt;0.001+1/12,Inputs!G227/12,(1+'(Tables)'!D1256)*C100)</f>
        <v>6699.5908135413147</v>
      </c>
      <c r="E100" s="190">
        <f>IF(D28=0,0,SUM(B86:D86)/D28)</f>
        <v>0</v>
      </c>
      <c r="F100" s="189">
        <f>IF('(Tables)'!F12&lt;0.001+1/12,Inputs!G227/12,(1+'(Tables)'!E1256)*D100)</f>
        <v>6716.1138118515555</v>
      </c>
      <c r="G100" s="189">
        <f>IF('(Tables)'!G12&lt;0.001+1/12,Inputs!G227/12,(1+'(Tables)'!F1256)*F100)</f>
        <v>6732.6775603330761</v>
      </c>
      <c r="H100" s="189">
        <f>IF('(Tables)'!H12&lt;0.001+1/12,Inputs!G227/12,(1+'(Tables)'!G1256)*G100)</f>
        <v>6749.2821594867928</v>
      </c>
      <c r="I100" s="190">
        <f>IF(H28=0,0,SUM(F86:H86)/H28)</f>
        <v>0</v>
      </c>
      <c r="J100" s="189">
        <f>IF('(Tables)'!I12&lt;0.001+1/12,Inputs!G227/12,(1+'(Tables)'!H1256)*H100)</f>
        <v>6765.9277100614836</v>
      </c>
      <c r="K100" s="189">
        <f>IF('(Tables)'!J12&lt;0.001+1/12,Inputs!G227/12,(1+'(Tables)'!I1256)*J100)</f>
        <v>6782.6143130544006</v>
      </c>
      <c r="L100" s="189">
        <f>IF('(Tables)'!K12&lt;0.001+1/12,Inputs!G227/12,(1+'(Tables)'!J1256)*K100)</f>
        <v>6799.3420697118809</v>
      </c>
      <c r="M100" s="190">
        <f>IF(L28=0,0,SUM(J86:L86)/L28)</f>
        <v>0</v>
      </c>
      <c r="N100" s="189">
        <f>IF('(Tables)'!L12&lt;0.001+1/12,Inputs!G227/12,(1+'(Tables)'!K1256)*L100)</f>
        <v>6816.1110815299644</v>
      </c>
      <c r="O100" s="189">
        <f>IF('(Tables)'!M12&lt;0.001+1/12,Inputs!G227/12,(1+'(Tables)'!L1256)*N100)</f>
        <v>6832.9214502550058</v>
      </c>
      <c r="P100" s="189">
        <f>IF('(Tables)'!N12&lt;0.001+1/12,Inputs!G227/12,(1+'(Tables)'!M1256)*O100)</f>
        <v>6849.7732778842956</v>
      </c>
      <c r="Q100" s="190">
        <f>IF(P28=0,0,SUM(N86:P86)/P28)</f>
        <v>0</v>
      </c>
      <c r="R100" s="189">
        <f>IF('(Tables)'!O12&lt;0.001+1/12,Inputs!G227/12,(1+'(Tables)'!N1256)*P100)</f>
        <v>6866.6666666666752</v>
      </c>
      <c r="S100" s="189">
        <f>IF('(Tables)'!P12&lt;0.001+1/12,Inputs!G227/12,(1+'(Tables)'!O1256)*R100)</f>
        <v>6883.6017191031606</v>
      </c>
      <c r="T100" s="189">
        <f>IF('(Tables)'!Q12&lt;0.001+1/12,Inputs!G227/12,(1+'(Tables)'!P1256)*S100)</f>
        <v>6900.5785379475628</v>
      </c>
      <c r="U100" s="190">
        <f>IF(T28=0,0,SUM(R86:T86)/T28)</f>
        <v>0</v>
      </c>
      <c r="V100" s="189">
        <f>IF('(Tables)'!R12&lt;0.001+1/12,Inputs!G227/12,(1+'(Tables)'!Q1256)*T100)</f>
        <v>6917.5972262071109</v>
      </c>
      <c r="W100" s="189">
        <f>IF('(Tables)'!S12&lt;0.001+1/12,Inputs!G227/12,(1+'(Tables)'!R1256)*V100)</f>
        <v>6934.6578871430775</v>
      </c>
      <c r="X100" s="189">
        <f>IF('(Tables)'!T12&lt;0.001+1/12,Inputs!G227/12,(1+'(Tables)'!S1256)*W100)</f>
        <v>6951.7606242714055</v>
      </c>
      <c r="Y100" s="190">
        <f>IF(X28=0,0,SUM(V86:X86)/X28)</f>
        <v>0</v>
      </c>
    </row>
    <row r="101" spans="1:25" ht="12.75" hidden="1" customHeight="1" outlineLevel="1" x14ac:dyDescent="0.2">
      <c r="A101" s="188" t="str">
        <f>"      "&amp;Labels!C392</f>
        <v xml:space="preserve">      Total</v>
      </c>
      <c r="B101" s="196">
        <f t="shared" ref="B101:D102" si="66">IF(B9=0,0,B87/B9)</f>
        <v>0</v>
      </c>
      <c r="C101" s="196">
        <f t="shared" si="66"/>
        <v>0</v>
      </c>
      <c r="D101" s="196">
        <f t="shared" si="66"/>
        <v>0</v>
      </c>
      <c r="E101" s="197">
        <f>IF(D9=0,0,SUM(B87:D87)/D9)</f>
        <v>0</v>
      </c>
      <c r="F101" s="196">
        <f t="shared" ref="F101:H102" si="67">IF(F9=0,0,F87/F9)</f>
        <v>0</v>
      </c>
      <c r="G101" s="196">
        <f t="shared" si="67"/>
        <v>0</v>
      </c>
      <c r="H101" s="196">
        <f t="shared" si="67"/>
        <v>0</v>
      </c>
      <c r="I101" s="197">
        <f>IF(H9=0,0,SUM(F87:H87)/H9)</f>
        <v>0</v>
      </c>
      <c r="J101" s="196">
        <f t="shared" ref="J101:L102" si="68">IF(J9=0,0,J87/J9)</f>
        <v>0</v>
      </c>
      <c r="K101" s="196">
        <f t="shared" si="68"/>
        <v>0</v>
      </c>
      <c r="L101" s="196">
        <f t="shared" si="68"/>
        <v>0</v>
      </c>
      <c r="M101" s="197">
        <f>IF(L9=0,0,SUM(J87:L87)/L9)</f>
        <v>0</v>
      </c>
      <c r="N101" s="196">
        <f t="shared" ref="N101:P102" si="69">IF(N9=0,0,N87/N9)</f>
        <v>0</v>
      </c>
      <c r="O101" s="196">
        <f t="shared" si="69"/>
        <v>0</v>
      </c>
      <c r="P101" s="196">
        <f t="shared" si="69"/>
        <v>0</v>
      </c>
      <c r="Q101" s="197">
        <f>IF(P9=0,0,SUM(N87:P87)/P9)</f>
        <v>0</v>
      </c>
      <c r="R101" s="196">
        <f t="shared" ref="R101:T102" si="70">IF(R9=0,0,R87/R9)</f>
        <v>0</v>
      </c>
      <c r="S101" s="196">
        <f t="shared" si="70"/>
        <v>0</v>
      </c>
      <c r="T101" s="196">
        <f t="shared" si="70"/>
        <v>0</v>
      </c>
      <c r="U101" s="197">
        <f>IF(T9=0,0,SUM(R87:T87)/T9)</f>
        <v>0</v>
      </c>
      <c r="V101" s="196">
        <f t="shared" ref="V101:X102" si="71">IF(V9=0,0,V87/V9)</f>
        <v>0</v>
      </c>
      <c r="W101" s="196">
        <f t="shared" si="71"/>
        <v>0</v>
      </c>
      <c r="X101" s="196">
        <f t="shared" si="71"/>
        <v>0</v>
      </c>
      <c r="Y101" s="197">
        <f>IF(X9=0,0,SUM(V87:X87)/X9)</f>
        <v>0</v>
      </c>
    </row>
    <row r="102" spans="1:25" ht="12.75" hidden="1" customHeight="1" outlineLevel="1" x14ac:dyDescent="0.2">
      <c r="A102" s="191" t="str">
        <f>"   "&amp;Labels!C320</f>
        <v xml:space="preserve">   Total</v>
      </c>
      <c r="B102" s="192">
        <f t="shared" si="66"/>
        <v>0</v>
      </c>
      <c r="C102" s="192">
        <f t="shared" si="66"/>
        <v>0</v>
      </c>
      <c r="D102" s="192">
        <f t="shared" si="66"/>
        <v>0</v>
      </c>
      <c r="E102" s="190">
        <f>IF(D10=0,0,SUM(B88:D88)/D10)</f>
        <v>0</v>
      </c>
      <c r="F102" s="192">
        <f t="shared" si="67"/>
        <v>0</v>
      </c>
      <c r="G102" s="192">
        <f t="shared" si="67"/>
        <v>0</v>
      </c>
      <c r="H102" s="192">
        <f t="shared" si="67"/>
        <v>0</v>
      </c>
      <c r="I102" s="190">
        <f>IF(H10=0,0,SUM(F88:H88)/H10)</f>
        <v>0</v>
      </c>
      <c r="J102" s="192">
        <f t="shared" si="68"/>
        <v>0</v>
      </c>
      <c r="K102" s="192">
        <f t="shared" si="68"/>
        <v>0</v>
      </c>
      <c r="L102" s="192">
        <f t="shared" si="68"/>
        <v>0</v>
      </c>
      <c r="M102" s="190">
        <f>IF(L10=0,0,SUM(J88:L88)/L10)</f>
        <v>0</v>
      </c>
      <c r="N102" s="192">
        <f t="shared" si="69"/>
        <v>0</v>
      </c>
      <c r="O102" s="192">
        <f t="shared" si="69"/>
        <v>0</v>
      </c>
      <c r="P102" s="192">
        <f t="shared" si="69"/>
        <v>0</v>
      </c>
      <c r="Q102" s="190">
        <f>IF(P10=0,0,SUM(N88:P88)/P10)</f>
        <v>0</v>
      </c>
      <c r="R102" s="192">
        <f t="shared" si="70"/>
        <v>0</v>
      </c>
      <c r="S102" s="192">
        <f t="shared" si="70"/>
        <v>0</v>
      </c>
      <c r="T102" s="192">
        <f t="shared" si="70"/>
        <v>0</v>
      </c>
      <c r="U102" s="190">
        <f>IF(T10=0,0,SUM(R88:T88)/T10)</f>
        <v>0</v>
      </c>
      <c r="V102" s="192">
        <f t="shared" si="71"/>
        <v>0</v>
      </c>
      <c r="W102" s="192">
        <f t="shared" si="71"/>
        <v>0</v>
      </c>
      <c r="X102" s="192">
        <f t="shared" si="71"/>
        <v>0</v>
      </c>
      <c r="Y102" s="190">
        <f>IF(X10=0,0,SUM(V88:X88)/X10)</f>
        <v>0</v>
      </c>
    </row>
    <row r="103" spans="1:25" ht="12.75" hidden="1" customHeight="1" outlineLevel="1" x14ac:dyDescent="0.2">
      <c r="A103" s="198" t="str">
        <f>"      "&amp;Labels!B393</f>
        <v xml:space="preserve">      Manager</v>
      </c>
      <c r="B103" s="189">
        <f t="shared" ref="B103:D104" si="72">IF(B31=0,0,B89/B31)</f>
        <v>0</v>
      </c>
      <c r="C103" s="189">
        <f t="shared" si="72"/>
        <v>0</v>
      </c>
      <c r="D103" s="189">
        <f t="shared" si="72"/>
        <v>0</v>
      </c>
      <c r="E103" s="190">
        <f>IF(D31=0,0,SUM(B89:D89)/D31)</f>
        <v>0</v>
      </c>
      <c r="F103" s="189">
        <f t="shared" ref="F103:H104" si="73">IF(F31=0,0,F89/F31)</f>
        <v>0</v>
      </c>
      <c r="G103" s="189">
        <f t="shared" si="73"/>
        <v>0</v>
      </c>
      <c r="H103" s="189">
        <f t="shared" si="73"/>
        <v>0</v>
      </c>
      <c r="I103" s="190">
        <f>IF(H31=0,0,SUM(F89:H89)/H31)</f>
        <v>0</v>
      </c>
      <c r="J103" s="189">
        <f t="shared" ref="J103:L104" si="74">IF(J31=0,0,J89/J31)</f>
        <v>0</v>
      </c>
      <c r="K103" s="189">
        <f t="shared" si="74"/>
        <v>0</v>
      </c>
      <c r="L103" s="189">
        <f t="shared" si="74"/>
        <v>0</v>
      </c>
      <c r="M103" s="190">
        <f>IF(L31=0,0,SUM(J89:L89)/L31)</f>
        <v>0</v>
      </c>
      <c r="N103" s="189">
        <f t="shared" ref="N103:P104" si="75">IF(N31=0,0,N89/N31)</f>
        <v>0</v>
      </c>
      <c r="O103" s="189">
        <f t="shared" si="75"/>
        <v>0</v>
      </c>
      <c r="P103" s="189">
        <f t="shared" si="75"/>
        <v>0</v>
      </c>
      <c r="Q103" s="190">
        <f>IF(P31=0,0,SUM(N89:P89)/P31)</f>
        <v>0</v>
      </c>
      <c r="R103" s="189">
        <f t="shared" ref="R103:T104" si="76">IF(R31=0,0,R89/R31)</f>
        <v>0</v>
      </c>
      <c r="S103" s="189">
        <f t="shared" si="76"/>
        <v>0</v>
      </c>
      <c r="T103" s="189">
        <f t="shared" si="76"/>
        <v>0</v>
      </c>
      <c r="U103" s="190">
        <f>IF(T31=0,0,SUM(R89:T89)/T31)</f>
        <v>0</v>
      </c>
      <c r="V103" s="189">
        <f t="shared" ref="V103:X104" si="77">IF(V31=0,0,V89/V31)</f>
        <v>0</v>
      </c>
      <c r="W103" s="189">
        <f t="shared" si="77"/>
        <v>0</v>
      </c>
      <c r="X103" s="189">
        <f t="shared" si="77"/>
        <v>0</v>
      </c>
      <c r="Y103" s="190">
        <f>IF(X31=0,0,SUM(V89:X89)/X31)</f>
        <v>0</v>
      </c>
    </row>
    <row r="104" spans="1:25" ht="12.75" hidden="1" customHeight="1" outlineLevel="1" x14ac:dyDescent="0.2">
      <c r="A104" s="198" t="str">
        <f>"      "&amp;Labels!B394</f>
        <v xml:space="preserve">      Contributor</v>
      </c>
      <c r="B104" s="189">
        <f t="shared" si="72"/>
        <v>0</v>
      </c>
      <c r="C104" s="189">
        <f t="shared" si="72"/>
        <v>0</v>
      </c>
      <c r="D104" s="189">
        <f t="shared" si="72"/>
        <v>0</v>
      </c>
      <c r="E104" s="190">
        <f>IF(D32=0,0,SUM(B90:D90)/D32)</f>
        <v>0</v>
      </c>
      <c r="F104" s="189">
        <f t="shared" si="73"/>
        <v>0</v>
      </c>
      <c r="G104" s="189">
        <f t="shared" si="73"/>
        <v>0</v>
      </c>
      <c r="H104" s="189">
        <f t="shared" si="73"/>
        <v>0</v>
      </c>
      <c r="I104" s="190">
        <f>IF(H32=0,0,SUM(F90:H90)/H32)</f>
        <v>0</v>
      </c>
      <c r="J104" s="189">
        <f t="shared" si="74"/>
        <v>0</v>
      </c>
      <c r="K104" s="189">
        <f t="shared" si="74"/>
        <v>0</v>
      </c>
      <c r="L104" s="189">
        <f t="shared" si="74"/>
        <v>0</v>
      </c>
      <c r="M104" s="190">
        <f>IF(L32=0,0,SUM(J90:L90)/L32)</f>
        <v>0</v>
      </c>
      <c r="N104" s="189">
        <f t="shared" si="75"/>
        <v>0</v>
      </c>
      <c r="O104" s="189">
        <f t="shared" si="75"/>
        <v>0</v>
      </c>
      <c r="P104" s="189">
        <f t="shared" si="75"/>
        <v>0</v>
      </c>
      <c r="Q104" s="190">
        <f>IF(P32=0,0,SUM(N90:P90)/P32)</f>
        <v>0</v>
      </c>
      <c r="R104" s="189">
        <f t="shared" si="76"/>
        <v>0</v>
      </c>
      <c r="S104" s="189">
        <f t="shared" si="76"/>
        <v>0</v>
      </c>
      <c r="T104" s="189">
        <f t="shared" si="76"/>
        <v>0</v>
      </c>
      <c r="U104" s="190">
        <f>IF(T32=0,0,SUM(R90:T90)/T32)</f>
        <v>0</v>
      </c>
      <c r="V104" s="189">
        <f t="shared" si="77"/>
        <v>0</v>
      </c>
      <c r="W104" s="189">
        <f t="shared" si="77"/>
        <v>0</v>
      </c>
      <c r="X104" s="189">
        <f t="shared" si="77"/>
        <v>0</v>
      </c>
      <c r="Y104" s="190">
        <f>IF(X32=0,0,SUM(V90:X90)/X32)</f>
        <v>0</v>
      </c>
    </row>
    <row r="105" spans="1:25" ht="12.75" hidden="1" customHeight="1" outlineLevel="1" x14ac:dyDescent="0.2">
      <c r="A105" s="188" t="str">
        <f>"      "&amp;Labels!C392</f>
        <v xml:space="preserve">      Total</v>
      </c>
      <c r="B105" s="196">
        <f>IF(B10=0,0,B88/B10)</f>
        <v>0</v>
      </c>
      <c r="C105" s="196">
        <f>IF(C10=0,0,C88/C10)</f>
        <v>0</v>
      </c>
      <c r="D105" s="196">
        <f>IF(D10=0,0,D88/D10)</f>
        <v>0</v>
      </c>
      <c r="E105" s="197">
        <f>IF(D10=0,0,SUM(B88:D88)/D10)</f>
        <v>0</v>
      </c>
      <c r="F105" s="196">
        <f>IF(F10=0,0,F88/F10)</f>
        <v>0</v>
      </c>
      <c r="G105" s="196">
        <f>IF(G10=0,0,G88/G10)</f>
        <v>0</v>
      </c>
      <c r="H105" s="196">
        <f>IF(H10=0,0,H88/H10)</f>
        <v>0</v>
      </c>
      <c r="I105" s="197">
        <f>IF(H10=0,0,SUM(F88:H88)/H10)</f>
        <v>0</v>
      </c>
      <c r="J105" s="196">
        <f>IF(J10=0,0,J88/J10)</f>
        <v>0</v>
      </c>
      <c r="K105" s="196">
        <f>IF(K10=0,0,K88/K10)</f>
        <v>0</v>
      </c>
      <c r="L105" s="196">
        <f>IF(L10=0,0,L88/L10)</f>
        <v>0</v>
      </c>
      <c r="M105" s="197">
        <f>IF(L10=0,0,SUM(J88:L88)/L10)</f>
        <v>0</v>
      </c>
      <c r="N105" s="196">
        <f>IF(N10=0,0,N88/N10)</f>
        <v>0</v>
      </c>
      <c r="O105" s="196">
        <f>IF(O10=0,0,O88/O10)</f>
        <v>0</v>
      </c>
      <c r="P105" s="196">
        <f>IF(P10=0,0,P88/P10)</f>
        <v>0</v>
      </c>
      <c r="Q105" s="197">
        <f>IF(P10=0,0,SUM(N88:P88)/P10)</f>
        <v>0</v>
      </c>
      <c r="R105" s="196">
        <f>IF(R10=0,0,R88/R10)</f>
        <v>0</v>
      </c>
      <c r="S105" s="196">
        <f>IF(S10=0,0,S88/S10)</f>
        <v>0</v>
      </c>
      <c r="T105" s="196">
        <f>IF(T10=0,0,T88/T10)</f>
        <v>0</v>
      </c>
      <c r="U105" s="197">
        <f>IF(T10=0,0,SUM(R88:T88)/T10)</f>
        <v>0</v>
      </c>
      <c r="V105" s="196">
        <f>IF(V10=0,0,V88/V10)</f>
        <v>0</v>
      </c>
      <c r="W105" s="196">
        <f>IF(W10=0,0,W88/W10)</f>
        <v>0</v>
      </c>
      <c r="X105" s="196">
        <f>IF(X10=0,0,X88/X10)</f>
        <v>0</v>
      </c>
      <c r="Y105" s="197">
        <f>IF(X10=0,0,SUM(V88:X88)/X10)</f>
        <v>0</v>
      </c>
    </row>
    <row r="106" spans="1:25" ht="12.75" hidden="1" customHeight="1" outlineLevel="1" x14ac:dyDescent="0.2">
      <c r="A106" s="97"/>
      <c r="B106" s="6"/>
      <c r="C106" s="6"/>
      <c r="D106" s="6"/>
      <c r="E106" s="97"/>
      <c r="F106" s="6"/>
      <c r="G106" s="6"/>
      <c r="H106" s="6"/>
      <c r="I106" s="97"/>
      <c r="J106" s="6"/>
      <c r="K106" s="6"/>
      <c r="L106" s="6"/>
      <c r="M106" s="97"/>
      <c r="N106" s="6"/>
      <c r="O106" s="6"/>
      <c r="P106" s="6"/>
      <c r="Q106" s="97"/>
      <c r="R106" s="6"/>
      <c r="S106" s="6"/>
      <c r="T106" s="6"/>
      <c r="U106" s="97"/>
      <c r="V106" s="6"/>
      <c r="W106" s="6"/>
      <c r="X106" s="6"/>
      <c r="Y106" s="97"/>
    </row>
    <row r="107" spans="1:25" ht="12.75" hidden="1" customHeight="1" outlineLevel="1" x14ac:dyDescent="0.2">
      <c r="A107" s="191" t="str">
        <f>Labels!B203</f>
        <v>Prof Salary increase %</v>
      </c>
      <c r="B107" s="211"/>
      <c r="C107" s="211"/>
      <c r="D107" s="211"/>
      <c r="E107" s="210"/>
      <c r="F107" s="211"/>
      <c r="G107" s="211"/>
      <c r="H107" s="211"/>
      <c r="I107" s="210"/>
      <c r="J107" s="211"/>
      <c r="K107" s="211"/>
      <c r="L107" s="211"/>
      <c r="M107" s="210"/>
      <c r="N107" s="211"/>
      <c r="O107" s="211"/>
      <c r="P107" s="211"/>
      <c r="Q107" s="210"/>
      <c r="R107" s="211"/>
      <c r="S107" s="211"/>
      <c r="T107" s="211"/>
      <c r="U107" s="210"/>
      <c r="V107" s="211"/>
      <c r="W107" s="211"/>
      <c r="X107" s="211"/>
      <c r="Y107" s="210"/>
    </row>
    <row r="108" spans="1:25" ht="12.75" hidden="1" customHeight="1" outlineLevel="1" x14ac:dyDescent="0.2">
      <c r="A108" s="188" t="str">
        <f>"   "&amp;Labels!B385</f>
        <v xml:space="preserve">   Prof Level 1</v>
      </c>
      <c r="B108" s="218">
        <f>Inputs!F212</f>
        <v>0.03</v>
      </c>
      <c r="C108" s="218">
        <f>Inputs!G212</f>
        <v>0.03</v>
      </c>
      <c r="D108" s="218">
        <f>Inputs!H212</f>
        <v>0.03</v>
      </c>
      <c r="E108" s="219">
        <f>(1+B108)^1*(1+C108)^1*(1+D108)^1-1</f>
        <v>9.2727000000000004E-2</v>
      </c>
      <c r="F108" s="218">
        <f>Inputs!I212</f>
        <v>0.03</v>
      </c>
      <c r="G108" s="218">
        <f>Inputs!J212</f>
        <v>0.03</v>
      </c>
      <c r="H108" s="218">
        <f>Inputs!K212</f>
        <v>0.03</v>
      </c>
      <c r="I108" s="219">
        <f>(1+F108)^1*(1+G108)^1*(1+H108)^1-1</f>
        <v>9.2727000000000004E-2</v>
      </c>
      <c r="J108" s="218">
        <f>Inputs!L212</f>
        <v>0.03</v>
      </c>
      <c r="K108" s="218">
        <f>Inputs!M212</f>
        <v>0.03</v>
      </c>
      <c r="L108" s="218">
        <f>Inputs!N212</f>
        <v>0.03</v>
      </c>
      <c r="M108" s="219">
        <f>(1+J108)^1*(1+K108)^1*(1+L108)^1-1</f>
        <v>9.2727000000000004E-2</v>
      </c>
      <c r="N108" s="218">
        <f>Inputs!O212</f>
        <v>0.03</v>
      </c>
      <c r="O108" s="218">
        <f>Inputs!P212</f>
        <v>0.03</v>
      </c>
      <c r="P108" s="218">
        <f>Inputs!Q212</f>
        <v>0.03</v>
      </c>
      <c r="Q108" s="219">
        <f>(1+N108)^1*(1+O108)^1*(1+P108)^1-1</f>
        <v>9.2727000000000004E-2</v>
      </c>
      <c r="R108" s="218">
        <f>Inputs!R212</f>
        <v>0.03</v>
      </c>
      <c r="S108" s="218">
        <f>Inputs!S212</f>
        <v>0.03</v>
      </c>
      <c r="T108" s="218">
        <f>Inputs!T212</f>
        <v>0.03</v>
      </c>
      <c r="U108" s="219">
        <f>(1+R108)^1*(1+S108)^1*(1+T108)^1-1</f>
        <v>9.2727000000000004E-2</v>
      </c>
      <c r="V108" s="218">
        <f>Inputs!U212</f>
        <v>0.03</v>
      </c>
      <c r="W108" s="218">
        <f>Inputs!V212</f>
        <v>0.03</v>
      </c>
      <c r="X108" s="218">
        <f>Inputs!W212</f>
        <v>0.03</v>
      </c>
      <c r="Y108" s="219">
        <f>(1+V108)^1*(1+W108)^1*(1+X108)^1-1</f>
        <v>9.2727000000000004E-2</v>
      </c>
    </row>
    <row r="109" spans="1:25" ht="12.75" hidden="1" customHeight="1" outlineLevel="1" x14ac:dyDescent="0.2">
      <c r="A109" s="188" t="str">
        <f>"   "&amp;Labels!B386</f>
        <v xml:space="preserve">   Prof Level 2</v>
      </c>
      <c r="B109" s="218">
        <f>Inputs!F213</f>
        <v>0.03</v>
      </c>
      <c r="C109" s="218">
        <f>Inputs!G213</f>
        <v>0.03</v>
      </c>
      <c r="D109" s="218">
        <f>Inputs!H213</f>
        <v>0.03</v>
      </c>
      <c r="E109" s="219">
        <f>(1+B109)^1*(1+C109)^1*(1+D109)^1-1</f>
        <v>9.2727000000000004E-2</v>
      </c>
      <c r="F109" s="218">
        <f>Inputs!I213</f>
        <v>0.03</v>
      </c>
      <c r="G109" s="218">
        <f>Inputs!J213</f>
        <v>0.03</v>
      </c>
      <c r="H109" s="218">
        <f>Inputs!K213</f>
        <v>0.03</v>
      </c>
      <c r="I109" s="219">
        <f>(1+F109)^1*(1+G109)^1*(1+H109)^1-1</f>
        <v>9.2727000000000004E-2</v>
      </c>
      <c r="J109" s="218">
        <f>Inputs!L213</f>
        <v>0.03</v>
      </c>
      <c r="K109" s="218">
        <f>Inputs!M213</f>
        <v>0.03</v>
      </c>
      <c r="L109" s="218">
        <f>Inputs!N213</f>
        <v>0.03</v>
      </c>
      <c r="M109" s="219">
        <f>(1+J109)^1*(1+K109)^1*(1+L109)^1-1</f>
        <v>9.2727000000000004E-2</v>
      </c>
      <c r="N109" s="218">
        <f>Inputs!O213</f>
        <v>0.03</v>
      </c>
      <c r="O109" s="218">
        <f>Inputs!P213</f>
        <v>0.03</v>
      </c>
      <c r="P109" s="218">
        <f>Inputs!Q213</f>
        <v>0.03</v>
      </c>
      <c r="Q109" s="219">
        <f>(1+N109)^1*(1+O109)^1*(1+P109)^1-1</f>
        <v>9.2727000000000004E-2</v>
      </c>
      <c r="R109" s="218">
        <f>Inputs!R213</f>
        <v>0.03</v>
      </c>
      <c r="S109" s="218">
        <f>Inputs!S213</f>
        <v>0.03</v>
      </c>
      <c r="T109" s="218">
        <f>Inputs!T213</f>
        <v>0.03</v>
      </c>
      <c r="U109" s="219">
        <f>(1+R109)^1*(1+S109)^1*(1+T109)^1-1</f>
        <v>9.2727000000000004E-2</v>
      </c>
      <c r="V109" s="218">
        <f>Inputs!U213</f>
        <v>0.03</v>
      </c>
      <c r="W109" s="218">
        <f>Inputs!V213</f>
        <v>0.03</v>
      </c>
      <c r="X109" s="218">
        <f>Inputs!W213</f>
        <v>0.03</v>
      </c>
      <c r="Y109" s="219">
        <f>(1+V109)^1*(1+W109)^1*(1+X109)^1-1</f>
        <v>9.2727000000000004E-2</v>
      </c>
    </row>
    <row r="110" spans="1:25" ht="12.75" hidden="1" customHeight="1" outlineLevel="1" x14ac:dyDescent="0.2">
      <c r="A110" s="191" t="str">
        <f>"   "&amp;Labels!C384</f>
        <v xml:space="preserve">   Total</v>
      </c>
      <c r="B110" s="211">
        <f>AVERAGE(B108:B109)</f>
        <v>0.03</v>
      </c>
      <c r="C110" s="211">
        <f>AVERAGE(C108:C109)</f>
        <v>0.03</v>
      </c>
      <c r="D110" s="211">
        <f>AVERAGE(D108:D109)</f>
        <v>0.03</v>
      </c>
      <c r="E110" s="210">
        <f>(1+B110)^1*(1+C110)^1*(1+D110)^1-1</f>
        <v>9.2727000000000004E-2</v>
      </c>
      <c r="F110" s="211">
        <f>AVERAGE(F108:F109)</f>
        <v>0.03</v>
      </c>
      <c r="G110" s="211">
        <f>AVERAGE(G108:G109)</f>
        <v>0.03</v>
      </c>
      <c r="H110" s="211">
        <f>AVERAGE(H108:H109)</f>
        <v>0.03</v>
      </c>
      <c r="I110" s="210">
        <f>(1+F110)^1*(1+G110)^1*(1+H110)^1-1</f>
        <v>9.2727000000000004E-2</v>
      </c>
      <c r="J110" s="211">
        <f>AVERAGE(J108:J109)</f>
        <v>0.03</v>
      </c>
      <c r="K110" s="211">
        <f>AVERAGE(K108:K109)</f>
        <v>0.03</v>
      </c>
      <c r="L110" s="211">
        <f>AVERAGE(L108:L109)</f>
        <v>0.03</v>
      </c>
      <c r="M110" s="210">
        <f>(1+J110)^1*(1+K110)^1*(1+L110)^1-1</f>
        <v>9.2727000000000004E-2</v>
      </c>
      <c r="N110" s="211">
        <f>AVERAGE(N108:N109)</f>
        <v>0.03</v>
      </c>
      <c r="O110" s="211">
        <f>AVERAGE(O108:O109)</f>
        <v>0.03</v>
      </c>
      <c r="P110" s="211">
        <f>AVERAGE(P108:P109)</f>
        <v>0.03</v>
      </c>
      <c r="Q110" s="210">
        <f>(1+N110)^1*(1+O110)^1*(1+P110)^1-1</f>
        <v>9.2727000000000004E-2</v>
      </c>
      <c r="R110" s="211">
        <f>AVERAGE(R108:R109)</f>
        <v>0.03</v>
      </c>
      <c r="S110" s="211">
        <f>AVERAGE(S108:S109)</f>
        <v>0.03</v>
      </c>
      <c r="T110" s="211">
        <f>AVERAGE(T108:T109)</f>
        <v>0.03</v>
      </c>
      <c r="U110" s="210">
        <f>(1+R110)^1*(1+S110)^1*(1+T110)^1-1</f>
        <v>9.2727000000000004E-2</v>
      </c>
      <c r="V110" s="211">
        <f>AVERAGE(V108:V109)</f>
        <v>0.03</v>
      </c>
      <c r="W110" s="211">
        <f>AVERAGE(W108:W109)</f>
        <v>0.03</v>
      </c>
      <c r="X110" s="211">
        <f>AVERAGE(X108:X109)</f>
        <v>0.03</v>
      </c>
      <c r="Y110" s="210">
        <f>(1+V110)^1*(1+W110)^1*(1+X110)^1-1</f>
        <v>9.2727000000000004E-2</v>
      </c>
    </row>
    <row r="111" spans="1:25" ht="12.75" hidden="1" customHeight="1" outlineLevel="1" x14ac:dyDescent="0.2">
      <c r="A111" s="97"/>
      <c r="B111" s="6"/>
      <c r="C111" s="6"/>
      <c r="D111" s="6"/>
      <c r="E111" s="97"/>
      <c r="F111" s="6"/>
      <c r="G111" s="6"/>
      <c r="H111" s="6"/>
      <c r="I111" s="97"/>
      <c r="J111" s="6"/>
      <c r="K111" s="6"/>
      <c r="L111" s="6"/>
      <c r="M111" s="97"/>
      <c r="N111" s="6"/>
      <c r="O111" s="6"/>
      <c r="P111" s="6"/>
      <c r="Q111" s="97"/>
      <c r="R111" s="6"/>
      <c r="S111" s="6"/>
      <c r="T111" s="6"/>
      <c r="U111" s="97"/>
      <c r="V111" s="6"/>
      <c r="W111" s="6"/>
      <c r="X111" s="6"/>
      <c r="Y111" s="97"/>
    </row>
    <row r="112" spans="1:25" ht="12.75" hidden="1" customHeight="1" outlineLevel="1" x14ac:dyDescent="0.2">
      <c r="A112" s="191" t="str">
        <f>Labels!B247</f>
        <v>Support Staff  Bonus</v>
      </c>
      <c r="B112" s="247"/>
      <c r="C112" s="247"/>
      <c r="D112" s="247"/>
      <c r="E112" s="205"/>
      <c r="F112" s="247"/>
      <c r="G112" s="247"/>
      <c r="H112" s="247"/>
      <c r="I112" s="205"/>
      <c r="J112" s="247"/>
      <c r="K112" s="247"/>
      <c r="L112" s="247"/>
      <c r="M112" s="205"/>
      <c r="N112" s="247"/>
      <c r="O112" s="247"/>
      <c r="P112" s="247"/>
      <c r="Q112" s="205"/>
      <c r="R112" s="247"/>
      <c r="S112" s="247"/>
      <c r="T112" s="247"/>
      <c r="U112" s="205"/>
      <c r="V112" s="247"/>
      <c r="W112" s="247"/>
      <c r="X112" s="247"/>
      <c r="Y112" s="205"/>
    </row>
    <row r="113" spans="1:25" ht="12.75" hidden="1" customHeight="1" outlineLevel="1" x14ac:dyDescent="0.2">
      <c r="A113" s="188" t="str">
        <f>"   "&amp;Labels!B321</f>
        <v xml:space="preserve">   Marketing</v>
      </c>
      <c r="B113" s="248"/>
      <c r="C113" s="248"/>
      <c r="D113" s="248"/>
      <c r="E113" s="249"/>
      <c r="F113" s="248"/>
      <c r="G113" s="248"/>
      <c r="H113" s="248"/>
      <c r="I113" s="249"/>
      <c r="J113" s="248"/>
      <c r="K113" s="248"/>
      <c r="L113" s="248"/>
      <c r="M113" s="249"/>
      <c r="N113" s="248"/>
      <c r="O113" s="248"/>
      <c r="P113" s="248"/>
      <c r="Q113" s="249"/>
      <c r="R113" s="248"/>
      <c r="S113" s="248"/>
      <c r="T113" s="248"/>
      <c r="U113" s="249"/>
      <c r="V113" s="248"/>
      <c r="W113" s="248"/>
      <c r="X113" s="248"/>
      <c r="Y113" s="249"/>
    </row>
    <row r="114" spans="1:25" ht="12.75" hidden="1" customHeight="1" outlineLevel="1" x14ac:dyDescent="0.2">
      <c r="A114" s="198" t="str">
        <f>"      "&amp;Labels!B393</f>
        <v xml:space="preserve">      Manager</v>
      </c>
      <c r="B114" s="204">
        <f>Inputs!F233*B81</f>
        <v>0</v>
      </c>
      <c r="C114" s="204">
        <f>Inputs!G233*C81</f>
        <v>0</v>
      </c>
      <c r="D114" s="204">
        <f>Inputs!H233*D81</f>
        <v>0</v>
      </c>
      <c r="E114" s="205">
        <f>SUM(B114:D114)</f>
        <v>0</v>
      </c>
      <c r="F114" s="204">
        <f>Inputs!I233*F81</f>
        <v>0</v>
      </c>
      <c r="G114" s="204">
        <f>Inputs!J233*G81</f>
        <v>0</v>
      </c>
      <c r="H114" s="204">
        <f>Inputs!K233*H81</f>
        <v>0</v>
      </c>
      <c r="I114" s="205">
        <f>SUM(F114:H114)</f>
        <v>0</v>
      </c>
      <c r="J114" s="204">
        <f>Inputs!L233*J81</f>
        <v>0</v>
      </c>
      <c r="K114" s="204">
        <f>Inputs!M233*K81</f>
        <v>0</v>
      </c>
      <c r="L114" s="204">
        <f>Inputs!N233*L81</f>
        <v>0</v>
      </c>
      <c r="M114" s="205">
        <f>SUM(J114:L114)</f>
        <v>0</v>
      </c>
      <c r="N114" s="204">
        <f>Inputs!O233*N81</f>
        <v>0</v>
      </c>
      <c r="O114" s="204">
        <f>Inputs!P233*O81</f>
        <v>0</v>
      </c>
      <c r="P114" s="204">
        <f>Inputs!Q233*P81</f>
        <v>0</v>
      </c>
      <c r="Q114" s="205">
        <f>SUM(N114:P114)</f>
        <v>0</v>
      </c>
      <c r="R114" s="204">
        <f>Inputs!R233*R81</f>
        <v>0</v>
      </c>
      <c r="S114" s="204">
        <f>Inputs!S233*S81</f>
        <v>0</v>
      </c>
      <c r="T114" s="204">
        <f>Inputs!T233*T81</f>
        <v>0</v>
      </c>
      <c r="U114" s="205">
        <f>SUM(R114:T114)</f>
        <v>0</v>
      </c>
      <c r="V114" s="204">
        <f>Inputs!U233*V81</f>
        <v>0</v>
      </c>
      <c r="W114" s="204">
        <f>Inputs!V233*W81</f>
        <v>0</v>
      </c>
      <c r="X114" s="204">
        <f>Inputs!W233*X81</f>
        <v>0</v>
      </c>
      <c r="Y114" s="205">
        <f>SUM(V114:X114)</f>
        <v>0</v>
      </c>
    </row>
    <row r="115" spans="1:25" ht="12.75" hidden="1" customHeight="1" outlineLevel="1" x14ac:dyDescent="0.2">
      <c r="A115" s="198" t="str">
        <f>"      "&amp;Labels!B394</f>
        <v xml:space="preserve">      Contributor</v>
      </c>
      <c r="B115" s="204">
        <f>Inputs!F234*B82</f>
        <v>0</v>
      </c>
      <c r="C115" s="204">
        <f>Inputs!G234*C82</f>
        <v>0</v>
      </c>
      <c r="D115" s="204">
        <f>Inputs!H234*D82</f>
        <v>0</v>
      </c>
      <c r="E115" s="205">
        <f>SUM(B115:D115)</f>
        <v>0</v>
      </c>
      <c r="F115" s="204">
        <f>Inputs!I234*F82</f>
        <v>0</v>
      </c>
      <c r="G115" s="204">
        <f>Inputs!J234*G82</f>
        <v>0</v>
      </c>
      <c r="H115" s="204">
        <f>Inputs!K234*H82</f>
        <v>0</v>
      </c>
      <c r="I115" s="205">
        <f>SUM(F115:H115)</f>
        <v>0</v>
      </c>
      <c r="J115" s="204">
        <f>Inputs!L234*J82</f>
        <v>0</v>
      </c>
      <c r="K115" s="204">
        <f>Inputs!M234*K82</f>
        <v>0</v>
      </c>
      <c r="L115" s="204">
        <f>Inputs!N234*L82</f>
        <v>0</v>
      </c>
      <c r="M115" s="205">
        <f>SUM(J115:L115)</f>
        <v>0</v>
      </c>
      <c r="N115" s="204">
        <f>Inputs!O234*N82</f>
        <v>0</v>
      </c>
      <c r="O115" s="204">
        <f>Inputs!P234*O82</f>
        <v>0</v>
      </c>
      <c r="P115" s="204">
        <f>Inputs!Q234*P82</f>
        <v>0</v>
      </c>
      <c r="Q115" s="205">
        <f>SUM(N115:P115)</f>
        <v>0</v>
      </c>
      <c r="R115" s="204">
        <f>Inputs!R234*R82</f>
        <v>0</v>
      </c>
      <c r="S115" s="204">
        <f>Inputs!S234*S82</f>
        <v>0</v>
      </c>
      <c r="T115" s="204">
        <f>Inputs!T234*T82</f>
        <v>0</v>
      </c>
      <c r="U115" s="205">
        <f>SUM(R115:T115)</f>
        <v>0</v>
      </c>
      <c r="V115" s="204">
        <f>Inputs!U234*V82</f>
        <v>0</v>
      </c>
      <c r="W115" s="204">
        <f>Inputs!V234*W82</f>
        <v>0</v>
      </c>
      <c r="X115" s="204">
        <f>Inputs!W234*X82</f>
        <v>0</v>
      </c>
      <c r="Y115" s="205">
        <f>SUM(V115:X115)</f>
        <v>0</v>
      </c>
    </row>
    <row r="116" spans="1:25" ht="12.75" hidden="1" customHeight="1" outlineLevel="1" x14ac:dyDescent="0.2">
      <c r="A116" s="188" t="str">
        <f>"      "&amp;Labels!C392</f>
        <v xml:space="preserve">      Total</v>
      </c>
      <c r="B116" s="248">
        <f>SUM(B114:B115)</f>
        <v>0</v>
      </c>
      <c r="C116" s="248">
        <f>SUM(C114:C115)</f>
        <v>0</v>
      </c>
      <c r="D116" s="248">
        <f>SUM(D114:D115)</f>
        <v>0</v>
      </c>
      <c r="E116" s="249">
        <f>SUM(B116:D116)</f>
        <v>0</v>
      </c>
      <c r="F116" s="248">
        <f>SUM(F114:F115)</f>
        <v>0</v>
      </c>
      <c r="G116" s="248">
        <f>SUM(G114:G115)</f>
        <v>0</v>
      </c>
      <c r="H116" s="248">
        <f>SUM(H114:H115)</f>
        <v>0</v>
      </c>
      <c r="I116" s="249">
        <f>SUM(F116:H116)</f>
        <v>0</v>
      </c>
      <c r="J116" s="248">
        <f>SUM(J114:J115)</f>
        <v>0</v>
      </c>
      <c r="K116" s="248">
        <f>SUM(K114:K115)</f>
        <v>0</v>
      </c>
      <c r="L116" s="248">
        <f>SUM(L114:L115)</f>
        <v>0</v>
      </c>
      <c r="M116" s="249">
        <f>SUM(J116:L116)</f>
        <v>0</v>
      </c>
      <c r="N116" s="248">
        <f>SUM(N114:N115)</f>
        <v>0</v>
      </c>
      <c r="O116" s="248">
        <f>SUM(O114:O115)</f>
        <v>0</v>
      </c>
      <c r="P116" s="248">
        <f>SUM(P114:P115)</f>
        <v>0</v>
      </c>
      <c r="Q116" s="249">
        <f>SUM(N116:P116)</f>
        <v>0</v>
      </c>
      <c r="R116" s="248">
        <f>SUM(R114:R115)</f>
        <v>0</v>
      </c>
      <c r="S116" s="248">
        <f>SUM(S114:S115)</f>
        <v>0</v>
      </c>
      <c r="T116" s="248">
        <f>SUM(T114:T115)</f>
        <v>0</v>
      </c>
      <c r="U116" s="249">
        <f>SUM(R116:T116)</f>
        <v>0</v>
      </c>
      <c r="V116" s="248">
        <f>SUM(V114:V115)</f>
        <v>0</v>
      </c>
      <c r="W116" s="248">
        <f>SUM(W114:W115)</f>
        <v>0</v>
      </c>
      <c r="X116" s="248">
        <f>SUM(X114:X115)</f>
        <v>0</v>
      </c>
      <c r="Y116" s="249">
        <f>SUM(V116:X116)</f>
        <v>0</v>
      </c>
    </row>
    <row r="117" spans="1:25" ht="12.75" hidden="1" customHeight="1" outlineLevel="1" x14ac:dyDescent="0.2">
      <c r="A117" s="188" t="str">
        <f>"   "&amp;Labels!B322</f>
        <v xml:space="preserve">   Sales</v>
      </c>
      <c r="B117" s="248"/>
      <c r="C117" s="248"/>
      <c r="D117" s="248"/>
      <c r="E117" s="249"/>
      <c r="F117" s="248"/>
      <c r="G117" s="248"/>
      <c r="H117" s="248"/>
      <c r="I117" s="249"/>
      <c r="J117" s="248"/>
      <c r="K117" s="248"/>
      <c r="L117" s="248"/>
      <c r="M117" s="249"/>
      <c r="N117" s="248"/>
      <c r="O117" s="248"/>
      <c r="P117" s="248"/>
      <c r="Q117" s="249"/>
      <c r="R117" s="248"/>
      <c r="S117" s="248"/>
      <c r="T117" s="248"/>
      <c r="U117" s="249"/>
      <c r="V117" s="248"/>
      <c r="W117" s="248"/>
      <c r="X117" s="248"/>
      <c r="Y117" s="249"/>
    </row>
    <row r="118" spans="1:25" ht="12.75" hidden="1" customHeight="1" outlineLevel="1" x14ac:dyDescent="0.2">
      <c r="A118" s="198" t="str">
        <f>"      "&amp;Labels!B393</f>
        <v xml:space="preserve">      Manager</v>
      </c>
      <c r="B118" s="204">
        <f>Inputs!F235*B85</f>
        <v>0</v>
      </c>
      <c r="C118" s="204">
        <f>Inputs!G235*C85</f>
        <v>0</v>
      </c>
      <c r="D118" s="204">
        <f>Inputs!H235*D85</f>
        <v>0</v>
      </c>
      <c r="E118" s="205">
        <f t="shared" ref="E118:E123" si="78">SUM(B118:D118)</f>
        <v>0</v>
      </c>
      <c r="F118" s="204">
        <f>Inputs!I235*F85</f>
        <v>0</v>
      </c>
      <c r="G118" s="204">
        <f>Inputs!J235*G85</f>
        <v>0</v>
      </c>
      <c r="H118" s="204">
        <f>Inputs!K235*H85</f>
        <v>0</v>
      </c>
      <c r="I118" s="205">
        <f t="shared" ref="I118:I123" si="79">SUM(F118:H118)</f>
        <v>0</v>
      </c>
      <c r="J118" s="204">
        <f>Inputs!L235*J85</f>
        <v>0</v>
      </c>
      <c r="K118" s="204">
        <f>Inputs!M235*K85</f>
        <v>0</v>
      </c>
      <c r="L118" s="204">
        <f>Inputs!N235*L85</f>
        <v>0</v>
      </c>
      <c r="M118" s="205">
        <f t="shared" ref="M118:M123" si="80">SUM(J118:L118)</f>
        <v>0</v>
      </c>
      <c r="N118" s="204">
        <f>Inputs!O235*N85</f>
        <v>0</v>
      </c>
      <c r="O118" s="204">
        <f>Inputs!P235*O85</f>
        <v>0</v>
      </c>
      <c r="P118" s="204">
        <f>Inputs!Q235*P85</f>
        <v>0</v>
      </c>
      <c r="Q118" s="205">
        <f t="shared" ref="Q118:Q123" si="81">SUM(N118:P118)</f>
        <v>0</v>
      </c>
      <c r="R118" s="204">
        <f>Inputs!R235*R85</f>
        <v>0</v>
      </c>
      <c r="S118" s="204">
        <f>Inputs!S235*S85</f>
        <v>0</v>
      </c>
      <c r="T118" s="204">
        <f>Inputs!T235*T85</f>
        <v>0</v>
      </c>
      <c r="U118" s="205">
        <f t="shared" ref="U118:U123" si="82">SUM(R118:T118)</f>
        <v>0</v>
      </c>
      <c r="V118" s="204">
        <f>Inputs!U235*V85</f>
        <v>0</v>
      </c>
      <c r="W118" s="204">
        <f>Inputs!V235*W85</f>
        <v>0</v>
      </c>
      <c r="X118" s="204">
        <f>Inputs!W235*X85</f>
        <v>0</v>
      </c>
      <c r="Y118" s="205">
        <f t="shared" ref="Y118:Y123" si="83">SUM(V118:X118)</f>
        <v>0</v>
      </c>
    </row>
    <row r="119" spans="1:25" ht="12.75" hidden="1" customHeight="1" outlineLevel="1" x14ac:dyDescent="0.2">
      <c r="A119" s="198" t="str">
        <f>"      "&amp;Labels!B394</f>
        <v xml:space="preserve">      Contributor</v>
      </c>
      <c r="B119" s="204">
        <f>Inputs!F236*B86</f>
        <v>0</v>
      </c>
      <c r="C119" s="204">
        <f>Inputs!G236*C86</f>
        <v>0</v>
      </c>
      <c r="D119" s="204">
        <f>Inputs!H236*D86</f>
        <v>0</v>
      </c>
      <c r="E119" s="205">
        <f t="shared" si="78"/>
        <v>0</v>
      </c>
      <c r="F119" s="204">
        <f>Inputs!I236*F86</f>
        <v>0</v>
      </c>
      <c r="G119" s="204">
        <f>Inputs!J236*G86</f>
        <v>0</v>
      </c>
      <c r="H119" s="204">
        <f>Inputs!K236*H86</f>
        <v>0</v>
      </c>
      <c r="I119" s="205">
        <f t="shared" si="79"/>
        <v>0</v>
      </c>
      <c r="J119" s="204">
        <f>Inputs!L236*J86</f>
        <v>0</v>
      </c>
      <c r="K119" s="204">
        <f>Inputs!M236*K86</f>
        <v>0</v>
      </c>
      <c r="L119" s="204">
        <f>Inputs!N236*L86</f>
        <v>0</v>
      </c>
      <c r="M119" s="205">
        <f t="shared" si="80"/>
        <v>0</v>
      </c>
      <c r="N119" s="204">
        <f>Inputs!O236*N86</f>
        <v>0</v>
      </c>
      <c r="O119" s="204">
        <f>Inputs!P236*O86</f>
        <v>0</v>
      </c>
      <c r="P119" s="204">
        <f>Inputs!Q236*P86</f>
        <v>0</v>
      </c>
      <c r="Q119" s="205">
        <f t="shared" si="81"/>
        <v>0</v>
      </c>
      <c r="R119" s="204">
        <f>Inputs!R236*R86</f>
        <v>0</v>
      </c>
      <c r="S119" s="204">
        <f>Inputs!S236*S86</f>
        <v>0</v>
      </c>
      <c r="T119" s="204">
        <f>Inputs!T236*T86</f>
        <v>0</v>
      </c>
      <c r="U119" s="205">
        <f t="shared" si="82"/>
        <v>0</v>
      </c>
      <c r="V119" s="204">
        <f>Inputs!U236*V86</f>
        <v>0</v>
      </c>
      <c r="W119" s="204">
        <f>Inputs!V236*W86</f>
        <v>0</v>
      </c>
      <c r="X119" s="204">
        <f>Inputs!W236*X86</f>
        <v>0</v>
      </c>
      <c r="Y119" s="205">
        <f t="shared" si="83"/>
        <v>0</v>
      </c>
    </row>
    <row r="120" spans="1:25" ht="12.75" hidden="1" customHeight="1" outlineLevel="1" x14ac:dyDescent="0.2">
      <c r="A120" s="188" t="str">
        <f>"      "&amp;Labels!C392</f>
        <v xml:space="preserve">      Total</v>
      </c>
      <c r="B120" s="248">
        <f>SUM(B118:B119)</f>
        <v>0</v>
      </c>
      <c r="C120" s="248">
        <f>SUM(C118:C119)</f>
        <v>0</v>
      </c>
      <c r="D120" s="248">
        <f>SUM(D118:D119)</f>
        <v>0</v>
      </c>
      <c r="E120" s="249">
        <f t="shared" si="78"/>
        <v>0</v>
      </c>
      <c r="F120" s="248">
        <f>SUM(F118:F119)</f>
        <v>0</v>
      </c>
      <c r="G120" s="248">
        <f>SUM(G118:G119)</f>
        <v>0</v>
      </c>
      <c r="H120" s="248">
        <f>SUM(H118:H119)</f>
        <v>0</v>
      </c>
      <c r="I120" s="249">
        <f t="shared" si="79"/>
        <v>0</v>
      </c>
      <c r="J120" s="248">
        <f>SUM(J118:J119)</f>
        <v>0</v>
      </c>
      <c r="K120" s="248">
        <f>SUM(K118:K119)</f>
        <v>0</v>
      </c>
      <c r="L120" s="248">
        <f>SUM(L118:L119)</f>
        <v>0</v>
      </c>
      <c r="M120" s="249">
        <f t="shared" si="80"/>
        <v>0</v>
      </c>
      <c r="N120" s="248">
        <f>SUM(N118:N119)</f>
        <v>0</v>
      </c>
      <c r="O120" s="248">
        <f>SUM(O118:O119)</f>
        <v>0</v>
      </c>
      <c r="P120" s="248">
        <f>SUM(P118:P119)</f>
        <v>0</v>
      </c>
      <c r="Q120" s="249">
        <f t="shared" si="81"/>
        <v>0</v>
      </c>
      <c r="R120" s="248">
        <f>SUM(R118:R119)</f>
        <v>0</v>
      </c>
      <c r="S120" s="248">
        <f>SUM(S118:S119)</f>
        <v>0</v>
      </c>
      <c r="T120" s="248">
        <f>SUM(T118:T119)</f>
        <v>0</v>
      </c>
      <c r="U120" s="249">
        <f t="shared" si="82"/>
        <v>0</v>
      </c>
      <c r="V120" s="248">
        <f>SUM(V118:V119)</f>
        <v>0</v>
      </c>
      <c r="W120" s="248">
        <f>SUM(W118:W119)</f>
        <v>0</v>
      </c>
      <c r="X120" s="248">
        <f>SUM(X118:X119)</f>
        <v>0</v>
      </c>
      <c r="Y120" s="249">
        <f t="shared" si="83"/>
        <v>0</v>
      </c>
    </row>
    <row r="121" spans="1:25" ht="12.75" hidden="1" customHeight="1" outlineLevel="1" x14ac:dyDescent="0.2">
      <c r="A121" s="191" t="str">
        <f>"   "&amp;Labels!C320</f>
        <v xml:space="preserve">   Total</v>
      </c>
      <c r="B121" s="247">
        <f>SUM(B116,B120)</f>
        <v>0</v>
      </c>
      <c r="C121" s="247">
        <f>SUM(C116,C120)</f>
        <v>0</v>
      </c>
      <c r="D121" s="247">
        <f>SUM(D116,D120)</f>
        <v>0</v>
      </c>
      <c r="E121" s="205">
        <f t="shared" si="78"/>
        <v>0</v>
      </c>
      <c r="F121" s="247">
        <f>SUM(F116,F120)</f>
        <v>0</v>
      </c>
      <c r="G121" s="247">
        <f>SUM(G116,G120)</f>
        <v>0</v>
      </c>
      <c r="H121" s="247">
        <f>SUM(H116,H120)</f>
        <v>0</v>
      </c>
      <c r="I121" s="205">
        <f t="shared" si="79"/>
        <v>0</v>
      </c>
      <c r="J121" s="247">
        <f>SUM(J116,J120)</f>
        <v>0</v>
      </c>
      <c r="K121" s="247">
        <f>SUM(K116,K120)</f>
        <v>0</v>
      </c>
      <c r="L121" s="247">
        <f>SUM(L116,L120)</f>
        <v>0</v>
      </c>
      <c r="M121" s="205">
        <f t="shared" si="80"/>
        <v>0</v>
      </c>
      <c r="N121" s="247">
        <f>SUM(N116,N120)</f>
        <v>0</v>
      </c>
      <c r="O121" s="247">
        <f>SUM(O116,O120)</f>
        <v>0</v>
      </c>
      <c r="P121" s="247">
        <f>SUM(P116,P120)</f>
        <v>0</v>
      </c>
      <c r="Q121" s="205">
        <f t="shared" si="81"/>
        <v>0</v>
      </c>
      <c r="R121" s="247">
        <f>SUM(R116,R120)</f>
        <v>0</v>
      </c>
      <c r="S121" s="247">
        <f>SUM(S116,S120)</f>
        <v>0</v>
      </c>
      <c r="T121" s="247">
        <f>SUM(T116,T120)</f>
        <v>0</v>
      </c>
      <c r="U121" s="205">
        <f t="shared" si="82"/>
        <v>0</v>
      </c>
      <c r="V121" s="247">
        <f>SUM(V116,V120)</f>
        <v>0</v>
      </c>
      <c r="W121" s="247">
        <f>SUM(W116,W120)</f>
        <v>0</v>
      </c>
      <c r="X121" s="247">
        <f>SUM(X116,X120)</f>
        <v>0</v>
      </c>
      <c r="Y121" s="205">
        <f t="shared" si="83"/>
        <v>0</v>
      </c>
    </row>
    <row r="122" spans="1:25" ht="12.75" hidden="1" customHeight="1" outlineLevel="1" x14ac:dyDescent="0.2">
      <c r="A122" s="198" t="str">
        <f>"      "&amp;Labels!B393</f>
        <v xml:space="preserve">      Manager</v>
      </c>
      <c r="B122" s="204">
        <f t="shared" ref="B122:D124" si="84">SUM(B114,B118)</f>
        <v>0</v>
      </c>
      <c r="C122" s="204">
        <f t="shared" si="84"/>
        <v>0</v>
      </c>
      <c r="D122" s="204">
        <f t="shared" si="84"/>
        <v>0</v>
      </c>
      <c r="E122" s="205">
        <f t="shared" si="78"/>
        <v>0</v>
      </c>
      <c r="F122" s="204">
        <f t="shared" ref="F122:H124" si="85">SUM(F114,F118)</f>
        <v>0</v>
      </c>
      <c r="G122" s="204">
        <f t="shared" si="85"/>
        <v>0</v>
      </c>
      <c r="H122" s="204">
        <f t="shared" si="85"/>
        <v>0</v>
      </c>
      <c r="I122" s="205">
        <f t="shared" si="79"/>
        <v>0</v>
      </c>
      <c r="J122" s="204">
        <f t="shared" ref="J122:L124" si="86">SUM(J114,J118)</f>
        <v>0</v>
      </c>
      <c r="K122" s="204">
        <f t="shared" si="86"/>
        <v>0</v>
      </c>
      <c r="L122" s="204">
        <f t="shared" si="86"/>
        <v>0</v>
      </c>
      <c r="M122" s="205">
        <f t="shared" si="80"/>
        <v>0</v>
      </c>
      <c r="N122" s="204">
        <f t="shared" ref="N122:P124" si="87">SUM(N114,N118)</f>
        <v>0</v>
      </c>
      <c r="O122" s="204">
        <f t="shared" si="87"/>
        <v>0</v>
      </c>
      <c r="P122" s="204">
        <f t="shared" si="87"/>
        <v>0</v>
      </c>
      <c r="Q122" s="205">
        <f t="shared" si="81"/>
        <v>0</v>
      </c>
      <c r="R122" s="204">
        <f t="shared" ref="R122:T124" si="88">SUM(R114,R118)</f>
        <v>0</v>
      </c>
      <c r="S122" s="204">
        <f t="shared" si="88"/>
        <v>0</v>
      </c>
      <c r="T122" s="204">
        <f t="shared" si="88"/>
        <v>0</v>
      </c>
      <c r="U122" s="205">
        <f t="shared" si="82"/>
        <v>0</v>
      </c>
      <c r="V122" s="204">
        <f t="shared" ref="V122:X124" si="89">SUM(V114,V118)</f>
        <v>0</v>
      </c>
      <c r="W122" s="204">
        <f t="shared" si="89"/>
        <v>0</v>
      </c>
      <c r="X122" s="204">
        <f t="shared" si="89"/>
        <v>0</v>
      </c>
      <c r="Y122" s="205">
        <f t="shared" si="83"/>
        <v>0</v>
      </c>
    </row>
    <row r="123" spans="1:25" ht="12.75" hidden="1" customHeight="1" outlineLevel="1" x14ac:dyDescent="0.2">
      <c r="A123" s="198" t="str">
        <f>"      "&amp;Labels!B394</f>
        <v xml:space="preserve">      Contributor</v>
      </c>
      <c r="B123" s="204">
        <f t="shared" si="84"/>
        <v>0</v>
      </c>
      <c r="C123" s="204">
        <f t="shared" si="84"/>
        <v>0</v>
      </c>
      <c r="D123" s="204">
        <f t="shared" si="84"/>
        <v>0</v>
      </c>
      <c r="E123" s="205">
        <f t="shared" si="78"/>
        <v>0</v>
      </c>
      <c r="F123" s="204">
        <f t="shared" si="85"/>
        <v>0</v>
      </c>
      <c r="G123" s="204">
        <f t="shared" si="85"/>
        <v>0</v>
      </c>
      <c r="H123" s="204">
        <f t="shared" si="85"/>
        <v>0</v>
      </c>
      <c r="I123" s="205">
        <f t="shared" si="79"/>
        <v>0</v>
      </c>
      <c r="J123" s="204">
        <f t="shared" si="86"/>
        <v>0</v>
      </c>
      <c r="K123" s="204">
        <f t="shared" si="86"/>
        <v>0</v>
      </c>
      <c r="L123" s="204">
        <f t="shared" si="86"/>
        <v>0</v>
      </c>
      <c r="M123" s="205">
        <f t="shared" si="80"/>
        <v>0</v>
      </c>
      <c r="N123" s="204">
        <f t="shared" si="87"/>
        <v>0</v>
      </c>
      <c r="O123" s="204">
        <f t="shared" si="87"/>
        <v>0</v>
      </c>
      <c r="P123" s="204">
        <f t="shared" si="87"/>
        <v>0</v>
      </c>
      <c r="Q123" s="205">
        <f t="shared" si="81"/>
        <v>0</v>
      </c>
      <c r="R123" s="204">
        <f t="shared" si="88"/>
        <v>0</v>
      </c>
      <c r="S123" s="204">
        <f t="shared" si="88"/>
        <v>0</v>
      </c>
      <c r="T123" s="204">
        <f t="shared" si="88"/>
        <v>0</v>
      </c>
      <c r="U123" s="205">
        <f t="shared" si="82"/>
        <v>0</v>
      </c>
      <c r="V123" s="204">
        <f t="shared" si="89"/>
        <v>0</v>
      </c>
      <c r="W123" s="204">
        <f t="shared" si="89"/>
        <v>0</v>
      </c>
      <c r="X123" s="204">
        <f t="shared" si="89"/>
        <v>0</v>
      </c>
      <c r="Y123" s="205">
        <f t="shared" si="83"/>
        <v>0</v>
      </c>
    </row>
    <row r="124" spans="1:25" ht="12.75" hidden="1" customHeight="1" outlineLevel="1" x14ac:dyDescent="0.2">
      <c r="A124" s="188" t="str">
        <f>"      "&amp;Labels!C392</f>
        <v xml:space="preserve">      Total</v>
      </c>
      <c r="B124" s="248">
        <f t="shared" si="84"/>
        <v>0</v>
      </c>
      <c r="C124" s="248">
        <f t="shared" si="84"/>
        <v>0</v>
      </c>
      <c r="D124" s="248">
        <f t="shared" si="84"/>
        <v>0</v>
      </c>
      <c r="E124" s="249">
        <f>SUM(B121:D121)</f>
        <v>0</v>
      </c>
      <c r="F124" s="248">
        <f t="shared" si="85"/>
        <v>0</v>
      </c>
      <c r="G124" s="248">
        <f t="shared" si="85"/>
        <v>0</v>
      </c>
      <c r="H124" s="248">
        <f t="shared" si="85"/>
        <v>0</v>
      </c>
      <c r="I124" s="249">
        <f>SUM(F121:H121)</f>
        <v>0</v>
      </c>
      <c r="J124" s="248">
        <f t="shared" si="86"/>
        <v>0</v>
      </c>
      <c r="K124" s="248">
        <f t="shared" si="86"/>
        <v>0</v>
      </c>
      <c r="L124" s="248">
        <f t="shared" si="86"/>
        <v>0</v>
      </c>
      <c r="M124" s="249">
        <f>SUM(J121:L121)</f>
        <v>0</v>
      </c>
      <c r="N124" s="248">
        <f t="shared" si="87"/>
        <v>0</v>
      </c>
      <c r="O124" s="248">
        <f t="shared" si="87"/>
        <v>0</v>
      </c>
      <c r="P124" s="248">
        <f t="shared" si="87"/>
        <v>0</v>
      </c>
      <c r="Q124" s="249">
        <f>SUM(N121:P121)</f>
        <v>0</v>
      </c>
      <c r="R124" s="248">
        <f t="shared" si="88"/>
        <v>0</v>
      </c>
      <c r="S124" s="248">
        <f t="shared" si="88"/>
        <v>0</v>
      </c>
      <c r="T124" s="248">
        <f t="shared" si="88"/>
        <v>0</v>
      </c>
      <c r="U124" s="249">
        <f>SUM(R121:T121)</f>
        <v>0</v>
      </c>
      <c r="V124" s="248">
        <f t="shared" si="89"/>
        <v>0</v>
      </c>
      <c r="W124" s="248">
        <f t="shared" si="89"/>
        <v>0</v>
      </c>
      <c r="X124" s="248">
        <f t="shared" si="89"/>
        <v>0</v>
      </c>
      <c r="Y124" s="249">
        <f>SUM(V121:X121)</f>
        <v>0</v>
      </c>
    </row>
    <row r="125" spans="1:25" ht="12.75" hidden="1" customHeight="1" outlineLevel="1" x14ac:dyDescent="0.2">
      <c r="A125" s="97"/>
      <c r="B125" s="6"/>
      <c r="C125" s="6"/>
      <c r="D125" s="6"/>
      <c r="E125" s="97"/>
      <c r="F125" s="6"/>
      <c r="G125" s="6"/>
      <c r="H125" s="6"/>
      <c r="I125" s="97"/>
      <c r="J125" s="6"/>
      <c r="K125" s="6"/>
      <c r="L125" s="6"/>
      <c r="M125" s="97"/>
      <c r="N125" s="6"/>
      <c r="O125" s="6"/>
      <c r="P125" s="6"/>
      <c r="Q125" s="97"/>
      <c r="R125" s="6"/>
      <c r="S125" s="6"/>
      <c r="T125" s="6"/>
      <c r="U125" s="97"/>
      <c r="V125" s="6"/>
      <c r="W125" s="6"/>
      <c r="X125" s="6"/>
      <c r="Y125" s="97"/>
    </row>
    <row r="126" spans="1:25" ht="12.75" hidden="1" customHeight="1" outlineLevel="1" x14ac:dyDescent="0.2">
      <c r="A126" s="191" t="str">
        <f>Labels!B258</f>
        <v>Support Staff Rel Exp</v>
      </c>
      <c r="B126" s="192"/>
      <c r="C126" s="192"/>
      <c r="D126" s="192"/>
      <c r="E126" s="190"/>
      <c r="F126" s="192"/>
      <c r="G126" s="192"/>
      <c r="H126" s="192"/>
      <c r="I126" s="190"/>
      <c r="J126" s="192"/>
      <c r="K126" s="192"/>
      <c r="L126" s="192"/>
      <c r="M126" s="190"/>
      <c r="N126" s="192"/>
      <c r="O126" s="192"/>
      <c r="P126" s="192"/>
      <c r="Q126" s="190"/>
      <c r="R126" s="192"/>
      <c r="S126" s="192"/>
      <c r="T126" s="192"/>
      <c r="U126" s="190"/>
      <c r="V126" s="192"/>
      <c r="W126" s="192"/>
      <c r="X126" s="192"/>
      <c r="Y126" s="190"/>
    </row>
    <row r="127" spans="1:25" ht="12.75" hidden="1" customHeight="1" outlineLevel="1" x14ac:dyDescent="0.2">
      <c r="A127" s="188" t="str">
        <f>"   "&amp;Labels!B321</f>
        <v xml:space="preserve">   Marketing</v>
      </c>
      <c r="B127" s="196"/>
      <c r="C127" s="196"/>
      <c r="D127" s="196"/>
      <c r="E127" s="197"/>
      <c r="F127" s="196"/>
      <c r="G127" s="196"/>
      <c r="H127" s="196"/>
      <c r="I127" s="197"/>
      <c r="J127" s="196"/>
      <c r="K127" s="196"/>
      <c r="L127" s="196"/>
      <c r="M127" s="197"/>
      <c r="N127" s="196"/>
      <c r="O127" s="196"/>
      <c r="P127" s="196"/>
      <c r="Q127" s="197"/>
      <c r="R127" s="196"/>
      <c r="S127" s="196"/>
      <c r="T127" s="196"/>
      <c r="U127" s="197"/>
      <c r="V127" s="196"/>
      <c r="W127" s="196"/>
      <c r="X127" s="196"/>
      <c r="Y127" s="197"/>
    </row>
    <row r="128" spans="1:25" ht="12.75" hidden="1" customHeight="1" outlineLevel="1" x14ac:dyDescent="0.2">
      <c r="A128" s="198" t="str">
        <f>"      "&amp;Labels!B330</f>
        <v xml:space="preserve">      Supplies</v>
      </c>
      <c r="B128" s="189">
        <f>OpExp!B148</f>
        <v>0</v>
      </c>
      <c r="C128" s="189">
        <f>OpExp!C148</f>
        <v>0</v>
      </c>
      <c r="D128" s="189">
        <f>OpExp!D148</f>
        <v>0</v>
      </c>
      <c r="E128" s="190">
        <f>SUM(B128:D128)</f>
        <v>0</v>
      </c>
      <c r="F128" s="189">
        <f>OpExp!F148</f>
        <v>0</v>
      </c>
      <c r="G128" s="189">
        <f>OpExp!G148</f>
        <v>0</v>
      </c>
      <c r="H128" s="189">
        <f>OpExp!H148</f>
        <v>0</v>
      </c>
      <c r="I128" s="190">
        <f>SUM(F128:H128)</f>
        <v>0</v>
      </c>
      <c r="J128" s="189">
        <f>OpExp!J148</f>
        <v>0</v>
      </c>
      <c r="K128" s="189">
        <f>OpExp!K148</f>
        <v>0</v>
      </c>
      <c r="L128" s="189">
        <f>OpExp!L148</f>
        <v>0</v>
      </c>
      <c r="M128" s="190">
        <f>SUM(J128:L128)</f>
        <v>0</v>
      </c>
      <c r="N128" s="189">
        <f>OpExp!N148</f>
        <v>0</v>
      </c>
      <c r="O128" s="189">
        <f>OpExp!O148</f>
        <v>0</v>
      </c>
      <c r="P128" s="189">
        <f>OpExp!P148</f>
        <v>0</v>
      </c>
      <c r="Q128" s="190">
        <f>SUM(N128:P128)</f>
        <v>0</v>
      </c>
      <c r="R128" s="189">
        <f>OpExp!R148</f>
        <v>0</v>
      </c>
      <c r="S128" s="189">
        <f>OpExp!S148</f>
        <v>0</v>
      </c>
      <c r="T128" s="189">
        <f>OpExp!T148</f>
        <v>0</v>
      </c>
      <c r="U128" s="190">
        <f>SUM(R128:T128)</f>
        <v>0</v>
      </c>
      <c r="V128" s="189">
        <f>OpExp!V148</f>
        <v>0</v>
      </c>
      <c r="W128" s="189">
        <f>OpExp!W148</f>
        <v>0</v>
      </c>
      <c r="X128" s="189">
        <f>OpExp!X148</f>
        <v>0</v>
      </c>
      <c r="Y128" s="190">
        <f>SUM(V128:X128)</f>
        <v>0</v>
      </c>
    </row>
    <row r="129" spans="1:25" ht="12.75" hidden="1" customHeight="1" outlineLevel="1" x14ac:dyDescent="0.2">
      <c r="A129" s="198" t="str">
        <f>"      "&amp;Labels!B331</f>
        <v xml:space="preserve">      Travel Entertain</v>
      </c>
      <c r="B129" s="189">
        <f>OpExp!B149</f>
        <v>0</v>
      </c>
      <c r="C129" s="189">
        <f>OpExp!C149</f>
        <v>0</v>
      </c>
      <c r="D129" s="189">
        <f>OpExp!D149</f>
        <v>0</v>
      </c>
      <c r="E129" s="190">
        <f>SUM(B129:D129)</f>
        <v>0</v>
      </c>
      <c r="F129" s="189">
        <f>OpExp!F149</f>
        <v>0</v>
      </c>
      <c r="G129" s="189">
        <f>OpExp!G149</f>
        <v>0</v>
      </c>
      <c r="H129" s="189">
        <f>OpExp!H149</f>
        <v>0</v>
      </c>
      <c r="I129" s="190">
        <f>SUM(F129:H129)</f>
        <v>0</v>
      </c>
      <c r="J129" s="189">
        <f>OpExp!J149</f>
        <v>0</v>
      </c>
      <c r="K129" s="189">
        <f>OpExp!K149</f>
        <v>0</v>
      </c>
      <c r="L129" s="189">
        <f>OpExp!L149</f>
        <v>0</v>
      </c>
      <c r="M129" s="190">
        <f>SUM(J129:L129)</f>
        <v>0</v>
      </c>
      <c r="N129" s="189">
        <f>OpExp!N149</f>
        <v>0</v>
      </c>
      <c r="O129" s="189">
        <f>OpExp!O149</f>
        <v>0</v>
      </c>
      <c r="P129" s="189">
        <f>OpExp!P149</f>
        <v>0</v>
      </c>
      <c r="Q129" s="190">
        <f>SUM(N129:P129)</f>
        <v>0</v>
      </c>
      <c r="R129" s="189">
        <f>OpExp!R149</f>
        <v>0</v>
      </c>
      <c r="S129" s="189">
        <f>OpExp!S149</f>
        <v>0</v>
      </c>
      <c r="T129" s="189">
        <f>OpExp!T149</f>
        <v>0</v>
      </c>
      <c r="U129" s="190">
        <f>SUM(R129:T129)</f>
        <v>0</v>
      </c>
      <c r="V129" s="189">
        <f>OpExp!V149</f>
        <v>0</v>
      </c>
      <c r="W129" s="189">
        <f>OpExp!W149</f>
        <v>0</v>
      </c>
      <c r="X129" s="189">
        <f>OpExp!X149</f>
        <v>0</v>
      </c>
      <c r="Y129" s="190">
        <f>SUM(V129:X129)</f>
        <v>0</v>
      </c>
    </row>
    <row r="130" spans="1:25" ht="12.75" hidden="1" customHeight="1" outlineLevel="1" x14ac:dyDescent="0.2">
      <c r="A130" s="198" t="str">
        <f>"      "&amp;Labels!B332</f>
        <v xml:space="preserve">      Other</v>
      </c>
      <c r="B130" s="189">
        <f>OpExp!B150</f>
        <v>0</v>
      </c>
      <c r="C130" s="189">
        <f>OpExp!C150</f>
        <v>0</v>
      </c>
      <c r="D130" s="189">
        <f>OpExp!D150</f>
        <v>0</v>
      </c>
      <c r="E130" s="190">
        <f>SUM(B130:D130)</f>
        <v>0</v>
      </c>
      <c r="F130" s="189">
        <f>OpExp!F150</f>
        <v>0</v>
      </c>
      <c r="G130" s="189">
        <f>OpExp!G150</f>
        <v>0</v>
      </c>
      <c r="H130" s="189">
        <f>OpExp!H150</f>
        <v>0</v>
      </c>
      <c r="I130" s="190">
        <f>SUM(F130:H130)</f>
        <v>0</v>
      </c>
      <c r="J130" s="189">
        <f>OpExp!J150</f>
        <v>0</v>
      </c>
      <c r="K130" s="189">
        <f>OpExp!K150</f>
        <v>0</v>
      </c>
      <c r="L130" s="189">
        <f>OpExp!L150</f>
        <v>0</v>
      </c>
      <c r="M130" s="190">
        <f>SUM(J130:L130)</f>
        <v>0</v>
      </c>
      <c r="N130" s="189">
        <f>OpExp!N150</f>
        <v>0</v>
      </c>
      <c r="O130" s="189">
        <f>OpExp!O150</f>
        <v>0</v>
      </c>
      <c r="P130" s="189">
        <f>OpExp!P150</f>
        <v>0</v>
      </c>
      <c r="Q130" s="190">
        <f>SUM(N130:P130)</f>
        <v>0</v>
      </c>
      <c r="R130" s="189">
        <f>OpExp!R150</f>
        <v>0</v>
      </c>
      <c r="S130" s="189">
        <f>OpExp!S150</f>
        <v>0</v>
      </c>
      <c r="T130" s="189">
        <f>OpExp!T150</f>
        <v>0</v>
      </c>
      <c r="U130" s="190">
        <f>SUM(R130:T130)</f>
        <v>0</v>
      </c>
      <c r="V130" s="189">
        <f>OpExp!V150</f>
        <v>0</v>
      </c>
      <c r="W130" s="189">
        <f>OpExp!W150</f>
        <v>0</v>
      </c>
      <c r="X130" s="189">
        <f>OpExp!X150</f>
        <v>0</v>
      </c>
      <c r="Y130" s="190">
        <f>SUM(V130:X130)</f>
        <v>0</v>
      </c>
    </row>
    <row r="131" spans="1:25" ht="12.75" hidden="1" customHeight="1" outlineLevel="1" x14ac:dyDescent="0.2">
      <c r="A131" s="188" t="str">
        <f>"      "&amp;Labels!C329</f>
        <v xml:space="preserve">      Total</v>
      </c>
      <c r="B131" s="196">
        <f>SUM(B128:B130)</f>
        <v>0</v>
      </c>
      <c r="C131" s="196">
        <f>SUM(C128:C130)</f>
        <v>0</v>
      </c>
      <c r="D131" s="196">
        <f>SUM(D128:D130)</f>
        <v>0</v>
      </c>
      <c r="E131" s="197">
        <f>SUM(B131:D131)</f>
        <v>0</v>
      </c>
      <c r="F131" s="196">
        <f>SUM(F128:F130)</f>
        <v>0</v>
      </c>
      <c r="G131" s="196">
        <f>SUM(G128:G130)</f>
        <v>0</v>
      </c>
      <c r="H131" s="196">
        <f>SUM(H128:H130)</f>
        <v>0</v>
      </c>
      <c r="I131" s="197">
        <f>SUM(F131:H131)</f>
        <v>0</v>
      </c>
      <c r="J131" s="196">
        <f>SUM(J128:J130)</f>
        <v>0</v>
      </c>
      <c r="K131" s="196">
        <f>SUM(K128:K130)</f>
        <v>0</v>
      </c>
      <c r="L131" s="196">
        <f>SUM(L128:L130)</f>
        <v>0</v>
      </c>
      <c r="M131" s="197">
        <f>SUM(J131:L131)</f>
        <v>0</v>
      </c>
      <c r="N131" s="196">
        <f>SUM(N128:N130)</f>
        <v>0</v>
      </c>
      <c r="O131" s="196">
        <f>SUM(O128:O130)</f>
        <v>0</v>
      </c>
      <c r="P131" s="196">
        <f>SUM(P128:P130)</f>
        <v>0</v>
      </c>
      <c r="Q131" s="197">
        <f>SUM(N131:P131)</f>
        <v>0</v>
      </c>
      <c r="R131" s="196">
        <f>SUM(R128:R130)</f>
        <v>0</v>
      </c>
      <c r="S131" s="196">
        <f>SUM(S128:S130)</f>
        <v>0</v>
      </c>
      <c r="T131" s="196">
        <f>SUM(T128:T130)</f>
        <v>0</v>
      </c>
      <c r="U131" s="197">
        <f>SUM(R131:T131)</f>
        <v>0</v>
      </c>
      <c r="V131" s="196">
        <f>SUM(V128:V130)</f>
        <v>0</v>
      </c>
      <c r="W131" s="196">
        <f>SUM(W128:W130)</f>
        <v>0</v>
      </c>
      <c r="X131" s="196">
        <f>SUM(X128:X130)</f>
        <v>0</v>
      </c>
      <c r="Y131" s="197">
        <f>SUM(V131:X131)</f>
        <v>0</v>
      </c>
    </row>
    <row r="132" spans="1:25" ht="12.75" hidden="1" customHeight="1" outlineLevel="1" x14ac:dyDescent="0.2">
      <c r="A132" s="188" t="str">
        <f>"   "&amp;Labels!B322</f>
        <v xml:space="preserve">   Sales</v>
      </c>
      <c r="B132" s="196"/>
      <c r="C132" s="196"/>
      <c r="D132" s="196"/>
      <c r="E132" s="197"/>
      <c r="F132" s="196"/>
      <c r="G132" s="196"/>
      <c r="H132" s="196"/>
      <c r="I132" s="197"/>
      <c r="J132" s="196"/>
      <c r="K132" s="196"/>
      <c r="L132" s="196"/>
      <c r="M132" s="197"/>
      <c r="N132" s="196"/>
      <c r="O132" s="196"/>
      <c r="P132" s="196"/>
      <c r="Q132" s="197"/>
      <c r="R132" s="196"/>
      <c r="S132" s="196"/>
      <c r="T132" s="196"/>
      <c r="U132" s="197"/>
      <c r="V132" s="196"/>
      <c r="W132" s="196"/>
      <c r="X132" s="196"/>
      <c r="Y132" s="197"/>
    </row>
    <row r="133" spans="1:25" ht="12.75" hidden="1" customHeight="1" outlineLevel="1" x14ac:dyDescent="0.2">
      <c r="A133" s="198" t="str">
        <f>"      "&amp;Labels!B330</f>
        <v xml:space="preserve">      Supplies</v>
      </c>
      <c r="B133" s="189">
        <f>OpExp!B153</f>
        <v>0</v>
      </c>
      <c r="C133" s="189">
        <f>OpExp!C153</f>
        <v>0</v>
      </c>
      <c r="D133" s="189">
        <f>OpExp!D153</f>
        <v>0</v>
      </c>
      <c r="E133" s="190">
        <f t="shared" ref="E133:E140" si="90">SUM(B133:D133)</f>
        <v>0</v>
      </c>
      <c r="F133" s="189">
        <f>OpExp!F153</f>
        <v>0</v>
      </c>
      <c r="G133" s="189">
        <f>OpExp!G153</f>
        <v>0</v>
      </c>
      <c r="H133" s="189">
        <f>OpExp!H153</f>
        <v>0</v>
      </c>
      <c r="I133" s="190">
        <f t="shared" ref="I133:I140" si="91">SUM(F133:H133)</f>
        <v>0</v>
      </c>
      <c r="J133" s="189">
        <f>OpExp!J153</f>
        <v>0</v>
      </c>
      <c r="K133" s="189">
        <f>OpExp!K153</f>
        <v>0</v>
      </c>
      <c r="L133" s="189">
        <f>OpExp!L153</f>
        <v>0</v>
      </c>
      <c r="M133" s="190">
        <f t="shared" ref="M133:M140" si="92">SUM(J133:L133)</f>
        <v>0</v>
      </c>
      <c r="N133" s="189">
        <f>OpExp!N153</f>
        <v>0</v>
      </c>
      <c r="O133" s="189">
        <f>OpExp!O153</f>
        <v>0</v>
      </c>
      <c r="P133" s="189">
        <f>OpExp!P153</f>
        <v>0</v>
      </c>
      <c r="Q133" s="190">
        <f t="shared" ref="Q133:Q140" si="93">SUM(N133:P133)</f>
        <v>0</v>
      </c>
      <c r="R133" s="189">
        <f>OpExp!R153</f>
        <v>0</v>
      </c>
      <c r="S133" s="189">
        <f>OpExp!S153</f>
        <v>0</v>
      </c>
      <c r="T133" s="189">
        <f>OpExp!T153</f>
        <v>0</v>
      </c>
      <c r="U133" s="190">
        <f t="shared" ref="U133:U140" si="94">SUM(R133:T133)</f>
        <v>0</v>
      </c>
      <c r="V133" s="189">
        <f>OpExp!V153</f>
        <v>0</v>
      </c>
      <c r="W133" s="189">
        <f>OpExp!W153</f>
        <v>0</v>
      </c>
      <c r="X133" s="189">
        <f>OpExp!X153</f>
        <v>0</v>
      </c>
      <c r="Y133" s="190">
        <f t="shared" ref="Y133:Y140" si="95">SUM(V133:X133)</f>
        <v>0</v>
      </c>
    </row>
    <row r="134" spans="1:25" ht="12.75" hidden="1" customHeight="1" outlineLevel="1" x14ac:dyDescent="0.2">
      <c r="A134" s="198" t="str">
        <f>"      "&amp;Labels!B331</f>
        <v xml:space="preserve">      Travel Entertain</v>
      </c>
      <c r="B134" s="189">
        <f>OpExp!B154</f>
        <v>0</v>
      </c>
      <c r="C134" s="189">
        <f>OpExp!C154</f>
        <v>0</v>
      </c>
      <c r="D134" s="189">
        <f>OpExp!D154</f>
        <v>0</v>
      </c>
      <c r="E134" s="190">
        <f t="shared" si="90"/>
        <v>0</v>
      </c>
      <c r="F134" s="189">
        <f>OpExp!F154</f>
        <v>0</v>
      </c>
      <c r="G134" s="189">
        <f>OpExp!G154</f>
        <v>0</v>
      </c>
      <c r="H134" s="189">
        <f>OpExp!H154</f>
        <v>0</v>
      </c>
      <c r="I134" s="190">
        <f t="shared" si="91"/>
        <v>0</v>
      </c>
      <c r="J134" s="189">
        <f>OpExp!J154</f>
        <v>0</v>
      </c>
      <c r="K134" s="189">
        <f>OpExp!K154</f>
        <v>0</v>
      </c>
      <c r="L134" s="189">
        <f>OpExp!L154</f>
        <v>0</v>
      </c>
      <c r="M134" s="190">
        <f t="shared" si="92"/>
        <v>0</v>
      </c>
      <c r="N134" s="189">
        <f>OpExp!N154</f>
        <v>0</v>
      </c>
      <c r="O134" s="189">
        <f>OpExp!O154</f>
        <v>0</v>
      </c>
      <c r="P134" s="189">
        <f>OpExp!P154</f>
        <v>0</v>
      </c>
      <c r="Q134" s="190">
        <f t="shared" si="93"/>
        <v>0</v>
      </c>
      <c r="R134" s="189">
        <f>OpExp!R154</f>
        <v>0</v>
      </c>
      <c r="S134" s="189">
        <f>OpExp!S154</f>
        <v>0</v>
      </c>
      <c r="T134" s="189">
        <f>OpExp!T154</f>
        <v>0</v>
      </c>
      <c r="U134" s="190">
        <f t="shared" si="94"/>
        <v>0</v>
      </c>
      <c r="V134" s="189">
        <f>OpExp!V154</f>
        <v>0</v>
      </c>
      <c r="W134" s="189">
        <f>OpExp!W154</f>
        <v>0</v>
      </c>
      <c r="X134" s="189">
        <f>OpExp!X154</f>
        <v>0</v>
      </c>
      <c r="Y134" s="190">
        <f t="shared" si="95"/>
        <v>0</v>
      </c>
    </row>
    <row r="135" spans="1:25" ht="12.75" hidden="1" customHeight="1" outlineLevel="1" x14ac:dyDescent="0.2">
      <c r="A135" s="198" t="str">
        <f>"      "&amp;Labels!B332</f>
        <v xml:space="preserve">      Other</v>
      </c>
      <c r="B135" s="189">
        <f>OpExp!B155</f>
        <v>0</v>
      </c>
      <c r="C135" s="189">
        <f>OpExp!C155</f>
        <v>0</v>
      </c>
      <c r="D135" s="189">
        <f>OpExp!D155</f>
        <v>0</v>
      </c>
      <c r="E135" s="190">
        <f t="shared" si="90"/>
        <v>0</v>
      </c>
      <c r="F135" s="189">
        <f>OpExp!F155</f>
        <v>0</v>
      </c>
      <c r="G135" s="189">
        <f>OpExp!G155</f>
        <v>0</v>
      </c>
      <c r="H135" s="189">
        <f>OpExp!H155</f>
        <v>0</v>
      </c>
      <c r="I135" s="190">
        <f t="shared" si="91"/>
        <v>0</v>
      </c>
      <c r="J135" s="189">
        <f>OpExp!J155</f>
        <v>0</v>
      </c>
      <c r="K135" s="189">
        <f>OpExp!K155</f>
        <v>0</v>
      </c>
      <c r="L135" s="189">
        <f>OpExp!L155</f>
        <v>0</v>
      </c>
      <c r="M135" s="190">
        <f t="shared" si="92"/>
        <v>0</v>
      </c>
      <c r="N135" s="189">
        <f>OpExp!N155</f>
        <v>0</v>
      </c>
      <c r="O135" s="189">
        <f>OpExp!O155</f>
        <v>0</v>
      </c>
      <c r="P135" s="189">
        <f>OpExp!P155</f>
        <v>0</v>
      </c>
      <c r="Q135" s="190">
        <f t="shared" si="93"/>
        <v>0</v>
      </c>
      <c r="R135" s="189">
        <f>OpExp!R155</f>
        <v>0</v>
      </c>
      <c r="S135" s="189">
        <f>OpExp!S155</f>
        <v>0</v>
      </c>
      <c r="T135" s="189">
        <f>OpExp!T155</f>
        <v>0</v>
      </c>
      <c r="U135" s="190">
        <f t="shared" si="94"/>
        <v>0</v>
      </c>
      <c r="V135" s="189">
        <f>OpExp!V155</f>
        <v>0</v>
      </c>
      <c r="W135" s="189">
        <f>OpExp!W155</f>
        <v>0</v>
      </c>
      <c r="X135" s="189">
        <f>OpExp!X155</f>
        <v>0</v>
      </c>
      <c r="Y135" s="190">
        <f t="shared" si="95"/>
        <v>0</v>
      </c>
    </row>
    <row r="136" spans="1:25" ht="12.75" hidden="1" customHeight="1" outlineLevel="1" x14ac:dyDescent="0.2">
      <c r="A136" s="188" t="str">
        <f>"      "&amp;Labels!C329</f>
        <v xml:space="preserve">      Total</v>
      </c>
      <c r="B136" s="196">
        <f>SUM(B133:B135)</f>
        <v>0</v>
      </c>
      <c r="C136" s="196">
        <f>SUM(C133:C135)</f>
        <v>0</v>
      </c>
      <c r="D136" s="196">
        <f>SUM(D133:D135)</f>
        <v>0</v>
      </c>
      <c r="E136" s="197">
        <f t="shared" si="90"/>
        <v>0</v>
      </c>
      <c r="F136" s="196">
        <f>SUM(F133:F135)</f>
        <v>0</v>
      </c>
      <c r="G136" s="196">
        <f>SUM(G133:G135)</f>
        <v>0</v>
      </c>
      <c r="H136" s="196">
        <f>SUM(H133:H135)</f>
        <v>0</v>
      </c>
      <c r="I136" s="197">
        <f t="shared" si="91"/>
        <v>0</v>
      </c>
      <c r="J136" s="196">
        <f>SUM(J133:J135)</f>
        <v>0</v>
      </c>
      <c r="K136" s="196">
        <f>SUM(K133:K135)</f>
        <v>0</v>
      </c>
      <c r="L136" s="196">
        <f>SUM(L133:L135)</f>
        <v>0</v>
      </c>
      <c r="M136" s="197">
        <f t="shared" si="92"/>
        <v>0</v>
      </c>
      <c r="N136" s="196">
        <f>SUM(N133:N135)</f>
        <v>0</v>
      </c>
      <c r="O136" s="196">
        <f>SUM(O133:O135)</f>
        <v>0</v>
      </c>
      <c r="P136" s="196">
        <f>SUM(P133:P135)</f>
        <v>0</v>
      </c>
      <c r="Q136" s="197">
        <f t="shared" si="93"/>
        <v>0</v>
      </c>
      <c r="R136" s="196">
        <f>SUM(R133:R135)</f>
        <v>0</v>
      </c>
      <c r="S136" s="196">
        <f>SUM(S133:S135)</f>
        <v>0</v>
      </c>
      <c r="T136" s="196">
        <f>SUM(T133:T135)</f>
        <v>0</v>
      </c>
      <c r="U136" s="197">
        <f t="shared" si="94"/>
        <v>0</v>
      </c>
      <c r="V136" s="196">
        <f>SUM(V133:V135)</f>
        <v>0</v>
      </c>
      <c r="W136" s="196">
        <f>SUM(W133:W135)</f>
        <v>0</v>
      </c>
      <c r="X136" s="196">
        <f>SUM(X133:X135)</f>
        <v>0</v>
      </c>
      <c r="Y136" s="197">
        <f t="shared" si="95"/>
        <v>0</v>
      </c>
    </row>
    <row r="137" spans="1:25" ht="12.75" hidden="1" customHeight="1" outlineLevel="1" x14ac:dyDescent="0.2">
      <c r="A137" s="191" t="str">
        <f>"   "&amp;Labels!C320</f>
        <v xml:space="preserve">   Total</v>
      </c>
      <c r="B137" s="192">
        <f>SUM(B131,B136)</f>
        <v>0</v>
      </c>
      <c r="C137" s="192">
        <f>SUM(C131,C136)</f>
        <v>0</v>
      </c>
      <c r="D137" s="192">
        <f>SUM(D131,D136)</f>
        <v>0</v>
      </c>
      <c r="E137" s="190">
        <f t="shared" si="90"/>
        <v>0</v>
      </c>
      <c r="F137" s="192">
        <f>SUM(F131,F136)</f>
        <v>0</v>
      </c>
      <c r="G137" s="192">
        <f>SUM(G131,G136)</f>
        <v>0</v>
      </c>
      <c r="H137" s="192">
        <f>SUM(H131,H136)</f>
        <v>0</v>
      </c>
      <c r="I137" s="190">
        <f t="shared" si="91"/>
        <v>0</v>
      </c>
      <c r="J137" s="192">
        <f>SUM(J131,J136)</f>
        <v>0</v>
      </c>
      <c r="K137" s="192">
        <f>SUM(K131,K136)</f>
        <v>0</v>
      </c>
      <c r="L137" s="192">
        <f>SUM(L131,L136)</f>
        <v>0</v>
      </c>
      <c r="M137" s="190">
        <f t="shared" si="92"/>
        <v>0</v>
      </c>
      <c r="N137" s="192">
        <f>SUM(N131,N136)</f>
        <v>0</v>
      </c>
      <c r="O137" s="192">
        <f>SUM(O131,O136)</f>
        <v>0</v>
      </c>
      <c r="P137" s="192">
        <f>SUM(P131,P136)</f>
        <v>0</v>
      </c>
      <c r="Q137" s="190">
        <f t="shared" si="93"/>
        <v>0</v>
      </c>
      <c r="R137" s="192">
        <f>SUM(R131,R136)</f>
        <v>0</v>
      </c>
      <c r="S137" s="192">
        <f>SUM(S131,S136)</f>
        <v>0</v>
      </c>
      <c r="T137" s="192">
        <f>SUM(T131,T136)</f>
        <v>0</v>
      </c>
      <c r="U137" s="190">
        <f t="shared" si="94"/>
        <v>0</v>
      </c>
      <c r="V137" s="192">
        <f>SUM(V131,V136)</f>
        <v>0</v>
      </c>
      <c r="W137" s="192">
        <f>SUM(W131,W136)</f>
        <v>0</v>
      </c>
      <c r="X137" s="192">
        <f>SUM(X131,X136)</f>
        <v>0</v>
      </c>
      <c r="Y137" s="190">
        <f t="shared" si="95"/>
        <v>0</v>
      </c>
    </row>
    <row r="138" spans="1:25" ht="12.75" hidden="1" customHeight="1" outlineLevel="1" x14ac:dyDescent="0.2">
      <c r="A138" s="198" t="str">
        <f>"      "&amp;Labels!B330</f>
        <v xml:space="preserve">      Supplies</v>
      </c>
      <c r="B138" s="189">
        <f t="shared" ref="B138:D141" si="96">SUM(B128,B133)</f>
        <v>0</v>
      </c>
      <c r="C138" s="189">
        <f t="shared" si="96"/>
        <v>0</v>
      </c>
      <c r="D138" s="189">
        <f t="shared" si="96"/>
        <v>0</v>
      </c>
      <c r="E138" s="190">
        <f t="shared" si="90"/>
        <v>0</v>
      </c>
      <c r="F138" s="189">
        <f t="shared" ref="F138:H141" si="97">SUM(F128,F133)</f>
        <v>0</v>
      </c>
      <c r="G138" s="189">
        <f t="shared" si="97"/>
        <v>0</v>
      </c>
      <c r="H138" s="189">
        <f t="shared" si="97"/>
        <v>0</v>
      </c>
      <c r="I138" s="190">
        <f t="shared" si="91"/>
        <v>0</v>
      </c>
      <c r="J138" s="189">
        <f t="shared" ref="J138:L141" si="98">SUM(J128,J133)</f>
        <v>0</v>
      </c>
      <c r="K138" s="189">
        <f t="shared" si="98"/>
        <v>0</v>
      </c>
      <c r="L138" s="189">
        <f t="shared" si="98"/>
        <v>0</v>
      </c>
      <c r="M138" s="190">
        <f t="shared" si="92"/>
        <v>0</v>
      </c>
      <c r="N138" s="189">
        <f t="shared" ref="N138:P141" si="99">SUM(N128,N133)</f>
        <v>0</v>
      </c>
      <c r="O138" s="189">
        <f t="shared" si="99"/>
        <v>0</v>
      </c>
      <c r="P138" s="189">
        <f t="shared" si="99"/>
        <v>0</v>
      </c>
      <c r="Q138" s="190">
        <f t="shared" si="93"/>
        <v>0</v>
      </c>
      <c r="R138" s="189">
        <f t="shared" ref="R138:T141" si="100">SUM(R128,R133)</f>
        <v>0</v>
      </c>
      <c r="S138" s="189">
        <f t="shared" si="100"/>
        <v>0</v>
      </c>
      <c r="T138" s="189">
        <f t="shared" si="100"/>
        <v>0</v>
      </c>
      <c r="U138" s="190">
        <f t="shared" si="94"/>
        <v>0</v>
      </c>
      <c r="V138" s="189">
        <f t="shared" ref="V138:X141" si="101">SUM(V128,V133)</f>
        <v>0</v>
      </c>
      <c r="W138" s="189">
        <f t="shared" si="101"/>
        <v>0</v>
      </c>
      <c r="X138" s="189">
        <f t="shared" si="101"/>
        <v>0</v>
      </c>
      <c r="Y138" s="190">
        <f t="shared" si="95"/>
        <v>0</v>
      </c>
    </row>
    <row r="139" spans="1:25" ht="12.75" hidden="1" customHeight="1" outlineLevel="1" x14ac:dyDescent="0.2">
      <c r="A139" s="198" t="str">
        <f>"      "&amp;Labels!B331</f>
        <v xml:space="preserve">      Travel Entertain</v>
      </c>
      <c r="B139" s="189">
        <f t="shared" si="96"/>
        <v>0</v>
      </c>
      <c r="C139" s="189">
        <f t="shared" si="96"/>
        <v>0</v>
      </c>
      <c r="D139" s="189">
        <f t="shared" si="96"/>
        <v>0</v>
      </c>
      <c r="E139" s="190">
        <f t="shared" si="90"/>
        <v>0</v>
      </c>
      <c r="F139" s="189">
        <f t="shared" si="97"/>
        <v>0</v>
      </c>
      <c r="G139" s="189">
        <f t="shared" si="97"/>
        <v>0</v>
      </c>
      <c r="H139" s="189">
        <f t="shared" si="97"/>
        <v>0</v>
      </c>
      <c r="I139" s="190">
        <f t="shared" si="91"/>
        <v>0</v>
      </c>
      <c r="J139" s="189">
        <f t="shared" si="98"/>
        <v>0</v>
      </c>
      <c r="K139" s="189">
        <f t="shared" si="98"/>
        <v>0</v>
      </c>
      <c r="L139" s="189">
        <f t="shared" si="98"/>
        <v>0</v>
      </c>
      <c r="M139" s="190">
        <f t="shared" si="92"/>
        <v>0</v>
      </c>
      <c r="N139" s="189">
        <f t="shared" si="99"/>
        <v>0</v>
      </c>
      <c r="O139" s="189">
        <f t="shared" si="99"/>
        <v>0</v>
      </c>
      <c r="P139" s="189">
        <f t="shared" si="99"/>
        <v>0</v>
      </c>
      <c r="Q139" s="190">
        <f t="shared" si="93"/>
        <v>0</v>
      </c>
      <c r="R139" s="189">
        <f t="shared" si="100"/>
        <v>0</v>
      </c>
      <c r="S139" s="189">
        <f t="shared" si="100"/>
        <v>0</v>
      </c>
      <c r="T139" s="189">
        <f t="shared" si="100"/>
        <v>0</v>
      </c>
      <c r="U139" s="190">
        <f t="shared" si="94"/>
        <v>0</v>
      </c>
      <c r="V139" s="189">
        <f t="shared" si="101"/>
        <v>0</v>
      </c>
      <c r="W139" s="189">
        <f t="shared" si="101"/>
        <v>0</v>
      </c>
      <c r="X139" s="189">
        <f t="shared" si="101"/>
        <v>0</v>
      </c>
      <c r="Y139" s="190">
        <f t="shared" si="95"/>
        <v>0</v>
      </c>
    </row>
    <row r="140" spans="1:25" ht="12.75" hidden="1" customHeight="1" outlineLevel="1" x14ac:dyDescent="0.2">
      <c r="A140" s="198" t="str">
        <f>"      "&amp;Labels!B332</f>
        <v xml:space="preserve">      Other</v>
      </c>
      <c r="B140" s="189">
        <f t="shared" si="96"/>
        <v>0</v>
      </c>
      <c r="C140" s="189">
        <f t="shared" si="96"/>
        <v>0</v>
      </c>
      <c r="D140" s="189">
        <f t="shared" si="96"/>
        <v>0</v>
      </c>
      <c r="E140" s="190">
        <f t="shared" si="90"/>
        <v>0</v>
      </c>
      <c r="F140" s="189">
        <f t="shared" si="97"/>
        <v>0</v>
      </c>
      <c r="G140" s="189">
        <f t="shared" si="97"/>
        <v>0</v>
      </c>
      <c r="H140" s="189">
        <f t="shared" si="97"/>
        <v>0</v>
      </c>
      <c r="I140" s="190">
        <f t="shared" si="91"/>
        <v>0</v>
      </c>
      <c r="J140" s="189">
        <f t="shared" si="98"/>
        <v>0</v>
      </c>
      <c r="K140" s="189">
        <f t="shared" si="98"/>
        <v>0</v>
      </c>
      <c r="L140" s="189">
        <f t="shared" si="98"/>
        <v>0</v>
      </c>
      <c r="M140" s="190">
        <f t="shared" si="92"/>
        <v>0</v>
      </c>
      <c r="N140" s="189">
        <f t="shared" si="99"/>
        <v>0</v>
      </c>
      <c r="O140" s="189">
        <f t="shared" si="99"/>
        <v>0</v>
      </c>
      <c r="P140" s="189">
        <f t="shared" si="99"/>
        <v>0</v>
      </c>
      <c r="Q140" s="190">
        <f t="shared" si="93"/>
        <v>0</v>
      </c>
      <c r="R140" s="189">
        <f t="shared" si="100"/>
        <v>0</v>
      </c>
      <c r="S140" s="189">
        <f t="shared" si="100"/>
        <v>0</v>
      </c>
      <c r="T140" s="189">
        <f t="shared" si="100"/>
        <v>0</v>
      </c>
      <c r="U140" s="190">
        <f t="shared" si="94"/>
        <v>0</v>
      </c>
      <c r="V140" s="189">
        <f t="shared" si="101"/>
        <v>0</v>
      </c>
      <c r="W140" s="189">
        <f t="shared" si="101"/>
        <v>0</v>
      </c>
      <c r="X140" s="189">
        <f t="shared" si="101"/>
        <v>0</v>
      </c>
      <c r="Y140" s="190">
        <f t="shared" si="95"/>
        <v>0</v>
      </c>
    </row>
    <row r="141" spans="1:25" ht="12.75" hidden="1" customHeight="1" outlineLevel="1" x14ac:dyDescent="0.2">
      <c r="A141" s="220" t="str">
        <f>"      "&amp;Labels!C329</f>
        <v xml:space="preserve">      Total</v>
      </c>
      <c r="B141" s="228">
        <f t="shared" si="96"/>
        <v>0</v>
      </c>
      <c r="C141" s="228">
        <f t="shared" si="96"/>
        <v>0</v>
      </c>
      <c r="D141" s="228">
        <f t="shared" si="96"/>
        <v>0</v>
      </c>
      <c r="E141" s="229">
        <f>SUM(B137:D137)</f>
        <v>0</v>
      </c>
      <c r="F141" s="228">
        <f t="shared" si="97"/>
        <v>0</v>
      </c>
      <c r="G141" s="228">
        <f t="shared" si="97"/>
        <v>0</v>
      </c>
      <c r="H141" s="228">
        <f t="shared" si="97"/>
        <v>0</v>
      </c>
      <c r="I141" s="229">
        <f>SUM(F137:H137)</f>
        <v>0</v>
      </c>
      <c r="J141" s="228">
        <f t="shared" si="98"/>
        <v>0</v>
      </c>
      <c r="K141" s="228">
        <f t="shared" si="98"/>
        <v>0</v>
      </c>
      <c r="L141" s="228">
        <f t="shared" si="98"/>
        <v>0</v>
      </c>
      <c r="M141" s="229">
        <f>SUM(J137:L137)</f>
        <v>0</v>
      </c>
      <c r="N141" s="228">
        <f t="shared" si="99"/>
        <v>0</v>
      </c>
      <c r="O141" s="228">
        <f t="shared" si="99"/>
        <v>0</v>
      </c>
      <c r="P141" s="228">
        <f t="shared" si="99"/>
        <v>0</v>
      </c>
      <c r="Q141" s="229">
        <f>SUM(N137:P137)</f>
        <v>0</v>
      </c>
      <c r="R141" s="228">
        <f t="shared" si="100"/>
        <v>0</v>
      </c>
      <c r="S141" s="228">
        <f t="shared" si="100"/>
        <v>0</v>
      </c>
      <c r="T141" s="228">
        <f t="shared" si="100"/>
        <v>0</v>
      </c>
      <c r="U141" s="229">
        <f>SUM(R137:T137)</f>
        <v>0</v>
      </c>
      <c r="V141" s="228">
        <f t="shared" si="101"/>
        <v>0</v>
      </c>
      <c r="W141" s="228">
        <f t="shared" si="101"/>
        <v>0</v>
      </c>
      <c r="X141" s="228">
        <f t="shared" si="101"/>
        <v>0</v>
      </c>
      <c r="Y141" s="229">
        <f>SUM(V137:X137)</f>
        <v>0</v>
      </c>
    </row>
    <row r="142" spans="1:25" ht="12.75" hidden="1" customHeight="1" outlineLevel="1" collapsed="1" x14ac:dyDescent="0.2"/>
    <row r="143" spans="1:25" ht="12.75" customHeight="1" collapsed="1" x14ac:dyDescent="0.2">
      <c r="A143" t="s">
        <v>3402</v>
      </c>
      <c r="B143" t="s">
        <v>3402</v>
      </c>
      <c r="C143" t="s">
        <v>3402</v>
      </c>
      <c r="D143" t="s">
        <v>3402</v>
      </c>
      <c r="E143" t="s">
        <v>3402</v>
      </c>
      <c r="F143" t="s">
        <v>3402</v>
      </c>
      <c r="G143" t="s">
        <v>3402</v>
      </c>
      <c r="H143" t="s">
        <v>3402</v>
      </c>
      <c r="I143" t="s">
        <v>3402</v>
      </c>
      <c r="J143" t="s">
        <v>3402</v>
      </c>
      <c r="K143" t="s">
        <v>3402</v>
      </c>
      <c r="L143" t="s">
        <v>3402</v>
      </c>
      <c r="M143" t="s">
        <v>3402</v>
      </c>
      <c r="N143" t="s">
        <v>3402</v>
      </c>
      <c r="O143" t="s">
        <v>3402</v>
      </c>
      <c r="P143" t="s">
        <v>3402</v>
      </c>
      <c r="Q143" t="s">
        <v>3402</v>
      </c>
      <c r="R143" t="s">
        <v>3402</v>
      </c>
      <c r="S143" t="s">
        <v>3402</v>
      </c>
      <c r="T143" t="s">
        <v>3402</v>
      </c>
      <c r="U143" t="s">
        <v>3402</v>
      </c>
      <c r="V143" t="s">
        <v>3402</v>
      </c>
      <c r="W143" t="s">
        <v>3402</v>
      </c>
      <c r="X143" t="s">
        <v>3402</v>
      </c>
      <c r="Y143" t="s">
        <v>3402</v>
      </c>
    </row>
  </sheetData>
  <mergeCells count="8">
    <mergeCell ref="A19:B19"/>
    <mergeCell ref="A63:B63"/>
    <mergeCell ref="A1:C1"/>
    <mergeCell ref="A2:C2"/>
    <mergeCell ref="A3:C3"/>
    <mergeCell ref="A4:C4"/>
    <mergeCell ref="A5:D5"/>
    <mergeCell ref="A17:B17"/>
  </mergeCells>
  <pageMargins left="0.25" right="0.25" top="0.5" bottom="0.5" header="0.5" footer="0.5"/>
  <pageSetup paperSize="9" fitToHeight="32767" orientation="landscape" horizontalDpi="300" verticalDpi="300"/>
  <headerFooter alignWithMargins="0"/>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pageSetUpPr fitToPage="1"/>
  </sheetPr>
  <dimension ref="A1:Y27"/>
  <sheetViews>
    <sheetView zoomScaleNormal="100" workbookViewId="0">
      <selection sqref="A1:C1"/>
    </sheetView>
  </sheetViews>
  <sheetFormatPr defaultRowHeight="12.75" customHeight="1" x14ac:dyDescent="0.2"/>
  <cols>
    <col min="1" max="1" width="25.28515625" customWidth="1"/>
    <col min="2" max="25" width="12.42578125" customWidth="1"/>
  </cols>
  <sheetData>
    <row r="1" spans="1:25" ht="12.75" customHeight="1" x14ac:dyDescent="0.2">
      <c r="A1" s="463" t="str">
        <f>Inputs!F7</f>
        <v xml:space="preserve"> </v>
      </c>
      <c r="B1" s="463"/>
      <c r="C1" s="463"/>
    </row>
    <row r="2" spans="1:25" ht="12.75" customHeight="1" x14ac:dyDescent="0.2">
      <c r="A2" s="463" t="e">
        <f>TEXT('(FnCalls 1)'!A41,"m/d/yyyy")&amp;" to "&amp;TEXT('(FnCalls 1)'!A59-1,"m/d/yyyy")</f>
        <v>#VALUE!</v>
      </c>
      <c r="B2" s="463"/>
      <c r="C2" s="463"/>
    </row>
    <row r="3" spans="1:25" ht="12.75" customHeight="1" x14ac:dyDescent="0.2">
      <c r="A3" s="463" t="str">
        <f>"Financial Expense and Income Tax"</f>
        <v>Financial Expense and Income Tax</v>
      </c>
      <c r="B3" s="463"/>
      <c r="C3" s="463"/>
    </row>
    <row r="4" spans="1:25" ht="12.75" customHeight="1" x14ac:dyDescent="0.2">
      <c r="A4" s="463" t="str">
        <f>" "</f>
        <v xml:space="preserve"> </v>
      </c>
      <c r="B4" s="463"/>
      <c r="C4" s="463"/>
    </row>
    <row r="5" spans="1:25" ht="12.75" customHeight="1" x14ac:dyDescent="0.2">
      <c r="A5" s="464" t="str">
        <f>"Financial Expense"</f>
        <v>Financial Expense</v>
      </c>
      <c r="B5" s="464"/>
    </row>
    <row r="6" spans="1:25" ht="12.75" customHeight="1" x14ac:dyDescent="0.2">
      <c r="A6" s="1" t="str">
        <f>" "</f>
        <v xml:space="preserve"> </v>
      </c>
    </row>
    <row r="7" spans="1:25" ht="12.75" customHeight="1" x14ac:dyDescent="0.2">
      <c r="B7" s="9" t="str">
        <f>'(FnCalls 1)'!F41</f>
        <v>MMM 2010</v>
      </c>
      <c r="C7" s="10" t="str">
        <f>'(FnCalls 1)'!F42</f>
        <v>MMM 2010</v>
      </c>
      <c r="D7" s="10" t="str">
        <f>'(FnCalls 1)'!F43</f>
        <v>MMM 2010</v>
      </c>
      <c r="E7" s="181" t="str">
        <f>'(FnCalls 1)'!G41</f>
        <v>Q1 2010</v>
      </c>
      <c r="F7" s="10" t="str">
        <f>'(FnCalls 1)'!F44</f>
        <v>MMM 2010</v>
      </c>
      <c r="G7" s="10" t="str">
        <f>'(FnCalls 1)'!F45</f>
        <v>MMM 2010</v>
      </c>
      <c r="H7" s="10" t="str">
        <f>'(FnCalls 1)'!F46</f>
        <v>MMM 2010</v>
      </c>
      <c r="I7" s="181" t="str">
        <f>'(FnCalls 1)'!G44</f>
        <v>Q2 2010</v>
      </c>
      <c r="J7" s="10" t="str">
        <f>'(FnCalls 1)'!F47</f>
        <v>MMM 2010</v>
      </c>
      <c r="K7" s="10" t="str">
        <f>'(FnCalls 1)'!F48</f>
        <v>MMM 2010</v>
      </c>
      <c r="L7" s="10" t="str">
        <f>'(FnCalls 1)'!F49</f>
        <v>MMM 2010</v>
      </c>
      <c r="M7" s="181" t="str">
        <f>'(FnCalls 1)'!G47</f>
        <v>Q3 2010</v>
      </c>
      <c r="N7" s="10" t="str">
        <f>'(FnCalls 1)'!F50</f>
        <v>MMM 2010</v>
      </c>
      <c r="O7" s="10" t="str">
        <f>'(FnCalls 1)'!F51</f>
        <v>MMM 2010</v>
      </c>
      <c r="P7" s="10" t="str">
        <f>'(FnCalls 1)'!F52</f>
        <v>MMM 2010</v>
      </c>
      <c r="Q7" s="181" t="str">
        <f>'(FnCalls 1)'!G50</f>
        <v>Q4 2010</v>
      </c>
      <c r="R7" s="10" t="str">
        <f>'(FnCalls 1)'!F53</f>
        <v>MMM 2011</v>
      </c>
      <c r="S7" s="10" t="str">
        <f>'(FnCalls 1)'!F54</f>
        <v>MMM 2011</v>
      </c>
      <c r="T7" s="10" t="str">
        <f>'(FnCalls 1)'!F55</f>
        <v>MMM 2011</v>
      </c>
      <c r="U7" s="181" t="str">
        <f>'(FnCalls 1)'!G53</f>
        <v>Q1 2011</v>
      </c>
      <c r="V7" s="10" t="str">
        <f>'(FnCalls 1)'!F56</f>
        <v>MMM 2011</v>
      </c>
      <c r="W7" s="10" t="str">
        <f>'(FnCalls 1)'!F57</f>
        <v>MMM 2011</v>
      </c>
      <c r="X7" s="10" t="str">
        <f>'(FnCalls 1)'!F58</f>
        <v>MMM 2011</v>
      </c>
      <c r="Y7" s="181" t="str">
        <f>'(FnCalls 1)'!G56</f>
        <v>Q2 2011</v>
      </c>
    </row>
    <row r="8" spans="1:25" ht="12.75" customHeight="1" x14ac:dyDescent="0.2">
      <c r="A8" s="97" t="str">
        <f>Labels!B94</f>
        <v>Financial Exp</v>
      </c>
      <c r="B8" s="201">
        <f>IncStmt!B23</f>
        <v>0</v>
      </c>
      <c r="C8" s="201">
        <f>IncStmt!C23</f>
        <v>0</v>
      </c>
      <c r="D8" s="201">
        <f>IncStmt!D23</f>
        <v>0</v>
      </c>
      <c r="E8" s="195">
        <f>SUM(B8:D8)</f>
        <v>0</v>
      </c>
      <c r="F8" s="201">
        <f>IncStmt!F23</f>
        <v>0</v>
      </c>
      <c r="G8" s="201">
        <f>IncStmt!G23</f>
        <v>0</v>
      </c>
      <c r="H8" s="201">
        <f>IncStmt!H23</f>
        <v>0</v>
      </c>
      <c r="I8" s="195">
        <f>SUM(F8:H8)</f>
        <v>0</v>
      </c>
      <c r="J8" s="201">
        <f>IncStmt!J23</f>
        <v>0</v>
      </c>
      <c r="K8" s="201">
        <f>IncStmt!K23</f>
        <v>0</v>
      </c>
      <c r="L8" s="201">
        <f>IncStmt!L23</f>
        <v>0</v>
      </c>
      <c r="M8" s="195">
        <f>SUM(J8:L8)</f>
        <v>0</v>
      </c>
      <c r="N8" s="201">
        <f>IncStmt!N23</f>
        <v>0</v>
      </c>
      <c r="O8" s="201">
        <f>IncStmt!O23</f>
        <v>0</v>
      </c>
      <c r="P8" s="201">
        <f>IncStmt!P23</f>
        <v>0</v>
      </c>
      <c r="Q8" s="195">
        <f>SUM(N8:P8)</f>
        <v>0</v>
      </c>
      <c r="R8" s="201">
        <f>IncStmt!R23</f>
        <v>0</v>
      </c>
      <c r="S8" s="201">
        <f>IncStmt!S23</f>
        <v>0</v>
      </c>
      <c r="T8" s="201">
        <f>IncStmt!T23</f>
        <v>0</v>
      </c>
      <c r="U8" s="195">
        <f>SUM(R8:T8)</f>
        <v>0</v>
      </c>
      <c r="V8" s="201">
        <f>IncStmt!V23</f>
        <v>0</v>
      </c>
      <c r="W8" s="201">
        <f>IncStmt!W23</f>
        <v>0</v>
      </c>
      <c r="X8" s="201">
        <f>IncStmt!X23</f>
        <v>0</v>
      </c>
      <c r="Y8" s="195">
        <f>SUM(V8:X8)</f>
        <v>0</v>
      </c>
    </row>
    <row r="10" spans="1:25" ht="12.75" customHeight="1" x14ac:dyDescent="0.2">
      <c r="A10" s="182" t="str">
        <f>Labels!B15</f>
        <v>Bad Debt Expense</v>
      </c>
      <c r="B10" s="202">
        <f>B11*Assets!C12</f>
        <v>0</v>
      </c>
      <c r="C10" s="202">
        <f>C11*Assets!D12</f>
        <v>0</v>
      </c>
      <c r="D10" s="202">
        <f>D11*Assets!E12</f>
        <v>0</v>
      </c>
      <c r="E10" s="184">
        <f>SUM(B10:D10)</f>
        <v>0</v>
      </c>
      <c r="F10" s="202">
        <f>F11*Assets!G12</f>
        <v>0</v>
      </c>
      <c r="G10" s="202">
        <f>G11*Assets!H12</f>
        <v>0</v>
      </c>
      <c r="H10" s="202">
        <f>H11*Assets!I12</f>
        <v>0</v>
      </c>
      <c r="I10" s="184">
        <f>SUM(F10:H10)</f>
        <v>0</v>
      </c>
      <c r="J10" s="202">
        <f>J11*Assets!K12</f>
        <v>0</v>
      </c>
      <c r="K10" s="202">
        <f>K11*Assets!L12</f>
        <v>0</v>
      </c>
      <c r="L10" s="202">
        <f>L11*Assets!M12</f>
        <v>0</v>
      </c>
      <c r="M10" s="184">
        <f>SUM(J10:L10)</f>
        <v>0</v>
      </c>
      <c r="N10" s="202">
        <f>N11*Assets!O12</f>
        <v>0</v>
      </c>
      <c r="O10" s="202">
        <f>O11*Assets!P12</f>
        <v>0</v>
      </c>
      <c r="P10" s="202">
        <f>P11*Assets!Q12</f>
        <v>0</v>
      </c>
      <c r="Q10" s="184">
        <f>SUM(N10:P10)</f>
        <v>0</v>
      </c>
      <c r="R10" s="202">
        <f>R11*Assets!S12</f>
        <v>0</v>
      </c>
      <c r="S10" s="202">
        <f>S11*Assets!T12</f>
        <v>0</v>
      </c>
      <c r="T10" s="202">
        <f>T11*Assets!U12</f>
        <v>0</v>
      </c>
      <c r="U10" s="184">
        <f>SUM(R10:T10)</f>
        <v>0</v>
      </c>
      <c r="V10" s="202">
        <f>V11*Assets!W12</f>
        <v>0</v>
      </c>
      <c r="W10" s="202">
        <f>W11*Assets!X12</f>
        <v>0</v>
      </c>
      <c r="X10" s="202">
        <f>X11*Assets!Y12</f>
        <v>0</v>
      </c>
      <c r="Y10" s="184">
        <f>SUM(V10:X10)</f>
        <v>0</v>
      </c>
    </row>
    <row r="11" spans="1:25" ht="12.75" customHeight="1" x14ac:dyDescent="0.2">
      <c r="A11" s="185" t="str">
        <f>Labels!B16</f>
        <v>Bad Debt %</v>
      </c>
      <c r="B11" s="330">
        <f>Inputs!F342</f>
        <v>0</v>
      </c>
      <c r="C11" s="330">
        <f>Inputs!G342</f>
        <v>0</v>
      </c>
      <c r="D11" s="330">
        <f>Inputs!H342</f>
        <v>0</v>
      </c>
      <c r="E11" s="187">
        <f>AVERAGE(B11:D11)</f>
        <v>0</v>
      </c>
      <c r="F11" s="330">
        <f>Inputs!I342</f>
        <v>0</v>
      </c>
      <c r="G11" s="330">
        <f>Inputs!J342</f>
        <v>0</v>
      </c>
      <c r="H11" s="330">
        <f>Inputs!K342</f>
        <v>0</v>
      </c>
      <c r="I11" s="187">
        <f>AVERAGE(F11:H11)</f>
        <v>0</v>
      </c>
      <c r="J11" s="330">
        <f>Inputs!L342</f>
        <v>0</v>
      </c>
      <c r="K11" s="330">
        <f>Inputs!M342</f>
        <v>0</v>
      </c>
      <c r="L11" s="330">
        <f>Inputs!N342</f>
        <v>0</v>
      </c>
      <c r="M11" s="187">
        <f>AVERAGE(J11:L11)</f>
        <v>0</v>
      </c>
      <c r="N11" s="330">
        <f>Inputs!O342</f>
        <v>0</v>
      </c>
      <c r="O11" s="330">
        <f>Inputs!P342</f>
        <v>0</v>
      </c>
      <c r="P11" s="330">
        <f>Inputs!Q342</f>
        <v>0</v>
      </c>
      <c r="Q11" s="187">
        <f>AVERAGE(N11:P11)</f>
        <v>0</v>
      </c>
      <c r="R11" s="330">
        <f>Inputs!R342</f>
        <v>0</v>
      </c>
      <c r="S11" s="330">
        <f>Inputs!S342</f>
        <v>0</v>
      </c>
      <c r="T11" s="330">
        <f>Inputs!T342</f>
        <v>0</v>
      </c>
      <c r="U11" s="187">
        <f>AVERAGE(R11:T11)</f>
        <v>0</v>
      </c>
      <c r="V11" s="330">
        <f>Inputs!U342</f>
        <v>0</v>
      </c>
      <c r="W11" s="330">
        <f>Inputs!V342</f>
        <v>0</v>
      </c>
      <c r="X11" s="330">
        <f>Inputs!W342</f>
        <v>0</v>
      </c>
      <c r="Y11" s="187">
        <f>AVERAGE(V11:X11)</f>
        <v>0</v>
      </c>
    </row>
    <row r="13" spans="1:25" ht="12.75" customHeight="1" x14ac:dyDescent="0.2">
      <c r="A13" s="182" t="str">
        <f>Labels!B106</f>
        <v>Net Interest Expense</v>
      </c>
      <c r="B13" s="202">
        <f>Inputs!F414*(1+B14)^(1/12)+Inputs!F414*(-1)+Inputs!G421*(1+B15)^(1/12)+Inputs!G421*(-1)+0-((1+B16)^(1/12)-1)*CFStmt!B6</f>
        <v>0</v>
      </c>
      <c r="C13" s="202">
        <f>Inputs!G414*(1+C14)^(1/12)+Inputs!G414*(-1)+Inputs!H421*(1+C15)^(1/12)+Inputs!H421*(-1)+0-((1+C16)^(1/12)-1)*CFStmt!C6</f>
        <v>0</v>
      </c>
      <c r="D13" s="202">
        <f>Inputs!H414*(1+D14)^(1/12)+Inputs!H414*(-1)+Inputs!I421*(1+D15)^(1/12)+Inputs!I421*(-1)+0-((1+D16)^(1/12)-1)*CFStmt!D6</f>
        <v>0</v>
      </c>
      <c r="E13" s="184">
        <f>SUM(B13:D13)</f>
        <v>0</v>
      </c>
      <c r="F13" s="202">
        <f>Inputs!I414*(1+F14)^(1/12)+Inputs!I414*(-1)+Inputs!J421*(1+F15)^(1/12)+Inputs!J421*(-1)+0-((1+F16)^(1/12)-1)*CFStmt!F6</f>
        <v>0</v>
      </c>
      <c r="G13" s="202">
        <f>Inputs!J414*(1+G14)^(1/12)+Inputs!J414*(-1)+Inputs!K421*(1+G15)^(1/12)+Inputs!K421*(-1)+0-((1+G16)^(1/12)-1)*CFStmt!G6</f>
        <v>0</v>
      </c>
      <c r="H13" s="202">
        <f>Inputs!K414*(1+H14)^(1/12)+Inputs!K414*(-1)+Inputs!L421*(1+H15)^(1/12)+Inputs!L421*(-1)+0-((1+H16)^(1/12)-1)*CFStmt!H6</f>
        <v>0</v>
      </c>
      <c r="I13" s="184">
        <f>SUM(F13:H13)</f>
        <v>0</v>
      </c>
      <c r="J13" s="202">
        <f>Inputs!L414*(1+J14)^(1/12)+Inputs!L414*(-1)+Inputs!M421*(1+J15)^(1/12)+Inputs!M421*(-1)+0-((1+J16)^(1/12)-1)*CFStmt!J6</f>
        <v>0</v>
      </c>
      <c r="K13" s="202">
        <f>Inputs!M414*(1+K14)^(1/12)+Inputs!M414*(-1)+Inputs!N421*(1+K15)^(1/12)+Inputs!N421*(-1)+0-((1+K16)^(1/12)-1)*CFStmt!K6</f>
        <v>0</v>
      </c>
      <c r="L13" s="202">
        <f>Inputs!N414*(1+L14)^(1/12)+Inputs!N414*(-1)+Inputs!O421*(1+L15)^(1/12)+Inputs!O421*(-1)+0-((1+L16)^(1/12)-1)*CFStmt!L6</f>
        <v>0</v>
      </c>
      <c r="M13" s="184">
        <f>SUM(J13:L13)</f>
        <v>0</v>
      </c>
      <c r="N13" s="202">
        <f>Inputs!O414*(1+N14)^(1/12)+Inputs!O414*(-1)+Inputs!P421*(1+N15)^(1/12)+Inputs!P421*(-1)+0-((1+N16)^(1/12)-1)*CFStmt!N6</f>
        <v>0</v>
      </c>
      <c r="O13" s="202">
        <f>Inputs!P414*(1+O14)^(1/12)+Inputs!P414*(-1)+Inputs!Q421*(1+O15)^(1/12)+Inputs!Q421*(-1)+0-((1+O16)^(1/12)-1)*CFStmt!O6</f>
        <v>0</v>
      </c>
      <c r="P13" s="202">
        <f>Inputs!Q414*(1+P14)^(1/12)+Inputs!Q414*(-1)+Inputs!R421*(1+P15)^(1/12)+Inputs!R421*(-1)+0-((1+P16)^(1/12)-1)*CFStmt!P6</f>
        <v>0</v>
      </c>
      <c r="Q13" s="184">
        <f>SUM(N13:P13)</f>
        <v>0</v>
      </c>
      <c r="R13" s="202">
        <f>Inputs!R414*(1+R14)^(1/12)+Inputs!R414*(-1)+Inputs!S421*(1+R15)^(1/12)+Inputs!S421*(-1)+0-((1+R16)^(1/12)-1)*CFStmt!R6</f>
        <v>0</v>
      </c>
      <c r="S13" s="202">
        <f>Inputs!S414*(1+S14)^(1/12)+Inputs!S414*(-1)+Inputs!T421*(1+S15)^(1/12)+Inputs!T421*(-1)+0-((1+S16)^(1/12)-1)*CFStmt!S6</f>
        <v>0</v>
      </c>
      <c r="T13" s="202">
        <f>Inputs!T414*(1+T14)^(1/12)+Inputs!T414*(-1)+Inputs!U421*(1+T15)^(1/12)+Inputs!U421*(-1)+0-((1+T16)^(1/12)-1)*CFStmt!T6</f>
        <v>0</v>
      </c>
      <c r="U13" s="184">
        <f>SUM(R13:T13)</f>
        <v>0</v>
      </c>
      <c r="V13" s="202">
        <f>Inputs!U414*(1+V14)^(1/12)+Inputs!U414*(-1)+Inputs!V421*(1+V15)^(1/12)+Inputs!V421*(-1)+0-((1+V16)^(1/12)-1)*CFStmt!V6</f>
        <v>0</v>
      </c>
      <c r="W13" s="202">
        <f>Inputs!V414*(1+W14)^(1/12)+Inputs!V414*(-1)+Inputs!W421*(1+W15)^(1/12)+Inputs!W421*(-1)+0-((1+W16)^(1/12)-1)*CFStmt!W6</f>
        <v>0</v>
      </c>
      <c r="X13" s="202">
        <f>Inputs!W414*(1+X14)^(1/12)+Inputs!W414*(-1)+Inputs!X421*(1+X15)^(1/12)+Inputs!X421*(-1)+0-((1+X16)^(1/12)-1)*CFStmt!X6</f>
        <v>0</v>
      </c>
      <c r="Y13" s="184">
        <f>SUM(V13:X13)</f>
        <v>0</v>
      </c>
    </row>
    <row r="14" spans="1:25" ht="12.75" customHeight="1" x14ac:dyDescent="0.2">
      <c r="A14" s="191" t="str">
        <f>Labels!B109</f>
        <v>Short Interest Rate (Yr)</v>
      </c>
      <c r="B14" s="209">
        <f>Inputs!F339</f>
        <v>0</v>
      </c>
      <c r="C14" s="209">
        <f>Inputs!G339</f>
        <v>0</v>
      </c>
      <c r="D14" s="209">
        <f>Inputs!H339</f>
        <v>0</v>
      </c>
      <c r="E14" s="210">
        <f>AVERAGE(B14:D14)</f>
        <v>0</v>
      </c>
      <c r="F14" s="209">
        <f>Inputs!I339</f>
        <v>0</v>
      </c>
      <c r="G14" s="209">
        <f>Inputs!J339</f>
        <v>0</v>
      </c>
      <c r="H14" s="209">
        <f>Inputs!K339</f>
        <v>0</v>
      </c>
      <c r="I14" s="210">
        <f>AVERAGE(F14:H14)</f>
        <v>0</v>
      </c>
      <c r="J14" s="209">
        <f>Inputs!L339</f>
        <v>0</v>
      </c>
      <c r="K14" s="209">
        <f>Inputs!M339</f>
        <v>0</v>
      </c>
      <c r="L14" s="209">
        <f>Inputs!N339</f>
        <v>0</v>
      </c>
      <c r="M14" s="210">
        <f>AVERAGE(J14:L14)</f>
        <v>0</v>
      </c>
      <c r="N14" s="209">
        <f>Inputs!O339</f>
        <v>0</v>
      </c>
      <c r="O14" s="209">
        <f>Inputs!P339</f>
        <v>0</v>
      </c>
      <c r="P14" s="209">
        <f>Inputs!Q339</f>
        <v>0</v>
      </c>
      <c r="Q14" s="210">
        <f>AVERAGE(N14:P14)</f>
        <v>0</v>
      </c>
      <c r="R14" s="209">
        <f>Inputs!R339</f>
        <v>0</v>
      </c>
      <c r="S14" s="209">
        <f>Inputs!S339</f>
        <v>0</v>
      </c>
      <c r="T14" s="209">
        <f>Inputs!T339</f>
        <v>0</v>
      </c>
      <c r="U14" s="210">
        <f>AVERAGE(R14:T14)</f>
        <v>0</v>
      </c>
      <c r="V14" s="209">
        <f>Inputs!U339</f>
        <v>0</v>
      </c>
      <c r="W14" s="209">
        <f>Inputs!V339</f>
        <v>0</v>
      </c>
      <c r="X14" s="209">
        <f>Inputs!W339</f>
        <v>0</v>
      </c>
      <c r="Y14" s="210">
        <f>AVERAGE(V14:X14)</f>
        <v>0</v>
      </c>
    </row>
    <row r="15" spans="1:25" ht="12.75" customHeight="1" x14ac:dyDescent="0.2">
      <c r="A15" s="191" t="str">
        <f>Labels!B108</f>
        <v>Long Interest Rate (Yr)</v>
      </c>
      <c r="B15" s="209">
        <f>Inputs!F340</f>
        <v>0</v>
      </c>
      <c r="C15" s="209">
        <f>Inputs!G340</f>
        <v>0</v>
      </c>
      <c r="D15" s="209">
        <f>Inputs!H340</f>
        <v>0</v>
      </c>
      <c r="E15" s="210">
        <f>AVERAGE(B15:D15)</f>
        <v>0</v>
      </c>
      <c r="F15" s="209">
        <f>Inputs!I340</f>
        <v>0</v>
      </c>
      <c r="G15" s="209">
        <f>Inputs!J340</f>
        <v>0</v>
      </c>
      <c r="H15" s="209">
        <f>Inputs!K340</f>
        <v>0</v>
      </c>
      <c r="I15" s="210">
        <f>AVERAGE(F15:H15)</f>
        <v>0</v>
      </c>
      <c r="J15" s="209">
        <f>Inputs!L340</f>
        <v>0</v>
      </c>
      <c r="K15" s="209">
        <f>Inputs!M340</f>
        <v>0</v>
      </c>
      <c r="L15" s="209">
        <f>Inputs!N340</f>
        <v>0</v>
      </c>
      <c r="M15" s="210">
        <f>AVERAGE(J15:L15)</f>
        <v>0</v>
      </c>
      <c r="N15" s="209">
        <f>Inputs!O340</f>
        <v>0</v>
      </c>
      <c r="O15" s="209">
        <f>Inputs!P340</f>
        <v>0</v>
      </c>
      <c r="P15" s="209">
        <f>Inputs!Q340</f>
        <v>0</v>
      </c>
      <c r="Q15" s="210">
        <f>AVERAGE(N15:P15)</f>
        <v>0</v>
      </c>
      <c r="R15" s="209">
        <f>Inputs!R340</f>
        <v>0</v>
      </c>
      <c r="S15" s="209">
        <f>Inputs!S340</f>
        <v>0</v>
      </c>
      <c r="T15" s="209">
        <f>Inputs!T340</f>
        <v>0</v>
      </c>
      <c r="U15" s="210">
        <f>AVERAGE(R15:T15)</f>
        <v>0</v>
      </c>
      <c r="V15" s="209">
        <f>Inputs!U340</f>
        <v>0</v>
      </c>
      <c r="W15" s="209">
        <f>Inputs!V340</f>
        <v>0</v>
      </c>
      <c r="X15" s="209">
        <f>Inputs!W340</f>
        <v>0</v>
      </c>
      <c r="Y15" s="210">
        <f>AVERAGE(V15:X15)</f>
        <v>0</v>
      </c>
    </row>
    <row r="16" spans="1:25" ht="12.75" customHeight="1" x14ac:dyDescent="0.2">
      <c r="A16" s="185" t="str">
        <f>Labels!B107</f>
        <v>Interest % Earned on Cash (Yr)</v>
      </c>
      <c r="B16" s="330">
        <f>Inputs!F341</f>
        <v>0</v>
      </c>
      <c r="C16" s="330">
        <f>Inputs!G341</f>
        <v>0</v>
      </c>
      <c r="D16" s="330">
        <f>Inputs!H341</f>
        <v>0</v>
      </c>
      <c r="E16" s="187">
        <f>AVERAGE(B16:D16)</f>
        <v>0</v>
      </c>
      <c r="F16" s="330">
        <f>Inputs!I341</f>
        <v>0</v>
      </c>
      <c r="G16" s="330">
        <f>Inputs!J341</f>
        <v>0</v>
      </c>
      <c r="H16" s="330">
        <f>Inputs!K341</f>
        <v>0</v>
      </c>
      <c r="I16" s="187">
        <f>AVERAGE(F16:H16)</f>
        <v>0</v>
      </c>
      <c r="J16" s="330">
        <f>Inputs!L341</f>
        <v>0</v>
      </c>
      <c r="K16" s="330">
        <f>Inputs!M341</f>
        <v>0</v>
      </c>
      <c r="L16" s="330">
        <f>Inputs!N341</f>
        <v>0</v>
      </c>
      <c r="M16" s="187">
        <f>AVERAGE(J16:L16)</f>
        <v>0</v>
      </c>
      <c r="N16" s="330">
        <f>Inputs!O341</f>
        <v>0</v>
      </c>
      <c r="O16" s="330">
        <f>Inputs!P341</f>
        <v>0</v>
      </c>
      <c r="P16" s="330">
        <f>Inputs!Q341</f>
        <v>0</v>
      </c>
      <c r="Q16" s="187">
        <f>AVERAGE(N16:P16)</f>
        <v>0</v>
      </c>
      <c r="R16" s="330">
        <f>Inputs!R341</f>
        <v>0</v>
      </c>
      <c r="S16" s="330">
        <f>Inputs!S341</f>
        <v>0</v>
      </c>
      <c r="T16" s="330">
        <f>Inputs!T341</f>
        <v>0</v>
      </c>
      <c r="U16" s="187">
        <f>AVERAGE(R16:T16)</f>
        <v>0</v>
      </c>
      <c r="V16" s="330">
        <f>Inputs!U341</f>
        <v>0</v>
      </c>
      <c r="W16" s="330">
        <f>Inputs!V341</f>
        <v>0</v>
      </c>
      <c r="X16" s="330">
        <f>Inputs!W341</f>
        <v>0</v>
      </c>
      <c r="Y16" s="187">
        <f>AVERAGE(V16:X16)</f>
        <v>0</v>
      </c>
    </row>
    <row r="19" spans="1:25" ht="12.75" customHeight="1" x14ac:dyDescent="0.2">
      <c r="A19" s="2" t="str">
        <f>"Income Tax"</f>
        <v>Income Tax</v>
      </c>
    </row>
    <row r="20" spans="1:25" ht="12.75" customHeight="1" x14ac:dyDescent="0.2">
      <c r="A20" s="1" t="str">
        <f>" "</f>
        <v xml:space="preserve"> </v>
      </c>
    </row>
    <row r="21" spans="1:25" ht="12.75" customHeight="1" x14ac:dyDescent="0.2">
      <c r="B21" s="9" t="str">
        <f>'(FnCalls 1)'!F41</f>
        <v>MMM 2010</v>
      </c>
      <c r="C21" s="10" t="str">
        <f>'(FnCalls 1)'!F42</f>
        <v>MMM 2010</v>
      </c>
      <c r="D21" s="10" t="str">
        <f>'(FnCalls 1)'!F43</f>
        <v>MMM 2010</v>
      </c>
      <c r="E21" s="181" t="str">
        <f>'(FnCalls 1)'!G41</f>
        <v>Q1 2010</v>
      </c>
      <c r="F21" s="10" t="str">
        <f>'(FnCalls 1)'!F44</f>
        <v>MMM 2010</v>
      </c>
      <c r="G21" s="10" t="str">
        <f>'(FnCalls 1)'!F45</f>
        <v>MMM 2010</v>
      </c>
      <c r="H21" s="10" t="str">
        <f>'(FnCalls 1)'!F46</f>
        <v>MMM 2010</v>
      </c>
      <c r="I21" s="181" t="str">
        <f>'(FnCalls 1)'!G44</f>
        <v>Q2 2010</v>
      </c>
      <c r="J21" s="10" t="str">
        <f>'(FnCalls 1)'!F47</f>
        <v>MMM 2010</v>
      </c>
      <c r="K21" s="10" t="str">
        <f>'(FnCalls 1)'!F48</f>
        <v>MMM 2010</v>
      </c>
      <c r="L21" s="10" t="str">
        <f>'(FnCalls 1)'!F49</f>
        <v>MMM 2010</v>
      </c>
      <c r="M21" s="181" t="str">
        <f>'(FnCalls 1)'!G47</f>
        <v>Q3 2010</v>
      </c>
      <c r="N21" s="10" t="str">
        <f>'(FnCalls 1)'!F50</f>
        <v>MMM 2010</v>
      </c>
      <c r="O21" s="10" t="str">
        <f>'(FnCalls 1)'!F51</f>
        <v>MMM 2010</v>
      </c>
      <c r="P21" s="10" t="str">
        <f>'(FnCalls 1)'!F52</f>
        <v>MMM 2010</v>
      </c>
      <c r="Q21" s="181" t="str">
        <f>'(FnCalls 1)'!G50</f>
        <v>Q4 2010</v>
      </c>
      <c r="R21" s="10" t="str">
        <f>'(FnCalls 1)'!F53</f>
        <v>MMM 2011</v>
      </c>
      <c r="S21" s="10" t="str">
        <f>'(FnCalls 1)'!F54</f>
        <v>MMM 2011</v>
      </c>
      <c r="T21" s="10" t="str">
        <f>'(FnCalls 1)'!F55</f>
        <v>MMM 2011</v>
      </c>
      <c r="U21" s="181" t="str">
        <f>'(FnCalls 1)'!G53</f>
        <v>Q1 2011</v>
      </c>
      <c r="V21" s="10" t="str">
        <f>'(FnCalls 1)'!F56</f>
        <v>MMM 2011</v>
      </c>
      <c r="W21" s="10" t="str">
        <f>'(FnCalls 1)'!F57</f>
        <v>MMM 2011</v>
      </c>
      <c r="X21" s="10" t="str">
        <f>'(FnCalls 1)'!F58</f>
        <v>MMM 2011</v>
      </c>
      <c r="Y21" s="181" t="str">
        <f>'(FnCalls 1)'!G56</f>
        <v>Q2 2011</v>
      </c>
    </row>
    <row r="22" spans="1:25" ht="12.75" customHeight="1" x14ac:dyDescent="0.2">
      <c r="A22" s="182" t="str">
        <f>Labels!B285</f>
        <v>Taxable Income</v>
      </c>
      <c r="B22" s="202">
        <f>MAX(0,IncStmt!B20-IncStmt!B24-B8-'(Tables)'!B1427)</f>
        <v>0</v>
      </c>
      <c r="C22" s="202">
        <f>MAX(0,IncStmt!C20-IncStmt!C24-C8-B25)</f>
        <v>0</v>
      </c>
      <c r="D22" s="202">
        <f>MAX(0,IncStmt!D20-IncStmt!D24-D8-C25)</f>
        <v>110000</v>
      </c>
      <c r="E22" s="184">
        <f>SUM(B22:D22)</f>
        <v>110000</v>
      </c>
      <c r="F22" s="202">
        <f>MAX(0,IncStmt!F20-IncStmt!F24-F8-D25)</f>
        <v>110000</v>
      </c>
      <c r="G22" s="202">
        <f>MAX(0,IncStmt!G20-IncStmt!G24-G8-F25)</f>
        <v>0</v>
      </c>
      <c r="H22" s="202">
        <f>MAX(0,IncStmt!H20-IncStmt!H24-H8-G25)</f>
        <v>80000</v>
      </c>
      <c r="I22" s="184">
        <f>SUM(F22:H22)</f>
        <v>190000</v>
      </c>
      <c r="J22" s="202">
        <f>MAX(0,IncStmt!J20-IncStmt!J24-J8-H25)</f>
        <v>51739.107028939994</v>
      </c>
      <c r="K22" s="202">
        <f>MAX(0,IncStmt!K20-IncStmt!K24-K8-J25)</f>
        <v>37504.112064300745</v>
      </c>
      <c r="L22" s="202">
        <f>MAX(0,IncStmt!L20-IncStmt!L24-L8-K25)</f>
        <v>0</v>
      </c>
      <c r="M22" s="184">
        <f>SUM(J22:L22)</f>
        <v>89243.219093240739</v>
      </c>
      <c r="N22" s="202">
        <f>MAX(0,IncStmt!N20-IncStmt!N24-N8-L25)</f>
        <v>0</v>
      </c>
      <c r="O22" s="202">
        <f>MAX(0,IncStmt!O20-IncStmt!O24-O8-N25)</f>
        <v>0</v>
      </c>
      <c r="P22" s="202">
        <f>MAX(0,IncStmt!P20-IncStmt!P24-P8-O25)</f>
        <v>0</v>
      </c>
      <c r="Q22" s="184">
        <f>SUM(N22:P22)</f>
        <v>0</v>
      </c>
      <c r="R22" s="202">
        <f>MAX(0,IncStmt!R20-IncStmt!R24-R8-P25)</f>
        <v>0</v>
      </c>
      <c r="S22" s="202">
        <f>MAX(0,IncStmt!S20-IncStmt!S24-S8-R25)</f>
        <v>0</v>
      </c>
      <c r="T22" s="202">
        <f>MAX(0,IncStmt!T20-IncStmt!T24-T8-S25)</f>
        <v>0</v>
      </c>
      <c r="U22" s="184">
        <f>SUM(R22:T22)</f>
        <v>0</v>
      </c>
      <c r="V22" s="202">
        <f>MAX(0,IncStmt!V20-IncStmt!V24-V8-T25)</f>
        <v>0</v>
      </c>
      <c r="W22" s="202">
        <f>MAX(0,IncStmt!W20-IncStmt!W24-W8-V25)</f>
        <v>0</v>
      </c>
      <c r="X22" s="202">
        <f>MAX(0,IncStmt!X20-IncStmt!X24-X8-W25)</f>
        <v>0</v>
      </c>
      <c r="Y22" s="184">
        <f>SUM(V22:X22)</f>
        <v>0</v>
      </c>
    </row>
    <row r="23" spans="1:25" ht="12.75" customHeight="1" x14ac:dyDescent="0.2">
      <c r="A23" s="191" t="str">
        <f>Labels!B104</f>
        <v>Income Tax</v>
      </c>
      <c r="B23" s="189">
        <f>IncStmt!B25</f>
        <v>0</v>
      </c>
      <c r="C23" s="189">
        <f>IncStmt!C25</f>
        <v>0</v>
      </c>
      <c r="D23" s="189">
        <f>IncStmt!D25</f>
        <v>0</v>
      </c>
      <c r="E23" s="190">
        <f>SUM(B23:D23)</f>
        <v>0</v>
      </c>
      <c r="F23" s="189">
        <f>IncStmt!F25</f>
        <v>0</v>
      </c>
      <c r="G23" s="189">
        <f>IncStmt!G25</f>
        <v>0</v>
      </c>
      <c r="H23" s="189">
        <f>IncStmt!H25</f>
        <v>0</v>
      </c>
      <c r="I23" s="190">
        <f>SUM(F23:H23)</f>
        <v>0</v>
      </c>
      <c r="J23" s="189">
        <f>IncStmt!J25</f>
        <v>0</v>
      </c>
      <c r="K23" s="189">
        <f>IncStmt!K25</f>
        <v>0</v>
      </c>
      <c r="L23" s="189">
        <f>IncStmt!L25</f>
        <v>0</v>
      </c>
      <c r="M23" s="190">
        <f>SUM(J23:L23)</f>
        <v>0</v>
      </c>
      <c r="N23" s="189">
        <f>IncStmt!N25</f>
        <v>0</v>
      </c>
      <c r="O23" s="189">
        <f>IncStmt!O25</f>
        <v>0</v>
      </c>
      <c r="P23" s="189">
        <f>IncStmt!P25</f>
        <v>0</v>
      </c>
      <c r="Q23" s="190">
        <f>SUM(N23:P23)</f>
        <v>0</v>
      </c>
      <c r="R23" s="189">
        <f>IncStmt!R25</f>
        <v>0</v>
      </c>
      <c r="S23" s="189">
        <f>IncStmt!S25</f>
        <v>0</v>
      </c>
      <c r="T23" s="189">
        <f>IncStmt!T25</f>
        <v>0</v>
      </c>
      <c r="U23" s="190">
        <f>SUM(R23:T23)</f>
        <v>0</v>
      </c>
      <c r="V23" s="189">
        <f>IncStmt!V25</f>
        <v>0</v>
      </c>
      <c r="W23" s="189">
        <f>IncStmt!W25</f>
        <v>0</v>
      </c>
      <c r="X23" s="189">
        <f>IncStmt!X25</f>
        <v>0</v>
      </c>
      <c r="Y23" s="190">
        <f>SUM(V23:X23)</f>
        <v>0</v>
      </c>
    </row>
    <row r="24" spans="1:25" ht="12.75" customHeight="1" x14ac:dyDescent="0.2">
      <c r="A24" s="191" t="str">
        <f>Labels!B105</f>
        <v>Income Tax Rate</v>
      </c>
      <c r="B24" s="209">
        <f>Inputs!F345</f>
        <v>0</v>
      </c>
      <c r="C24" s="209">
        <f>Inputs!G345</f>
        <v>0</v>
      </c>
      <c r="D24" s="209">
        <f>Inputs!H345</f>
        <v>0</v>
      </c>
      <c r="E24" s="210">
        <f>AVERAGE(B24:D24)</f>
        <v>0</v>
      </c>
      <c r="F24" s="209">
        <f>Inputs!I345</f>
        <v>0</v>
      </c>
      <c r="G24" s="209">
        <f>Inputs!J345</f>
        <v>0</v>
      </c>
      <c r="H24" s="209">
        <f>Inputs!K345</f>
        <v>0</v>
      </c>
      <c r="I24" s="210">
        <f>AVERAGE(F24:H24)</f>
        <v>0</v>
      </c>
      <c r="J24" s="209">
        <f>Inputs!L345</f>
        <v>0</v>
      </c>
      <c r="K24" s="209">
        <f>Inputs!M345</f>
        <v>0</v>
      </c>
      <c r="L24" s="209">
        <f>Inputs!N345</f>
        <v>0</v>
      </c>
      <c r="M24" s="210">
        <f>AVERAGE(J24:L24)</f>
        <v>0</v>
      </c>
      <c r="N24" s="209">
        <f>Inputs!O345</f>
        <v>0</v>
      </c>
      <c r="O24" s="209">
        <f>Inputs!P345</f>
        <v>0</v>
      </c>
      <c r="P24" s="209">
        <f>Inputs!Q345</f>
        <v>0</v>
      </c>
      <c r="Q24" s="210">
        <f>AVERAGE(N24:P24)</f>
        <v>0</v>
      </c>
      <c r="R24" s="209">
        <f>Inputs!R345</f>
        <v>0</v>
      </c>
      <c r="S24" s="209">
        <f>Inputs!S345</f>
        <v>0</v>
      </c>
      <c r="T24" s="209">
        <f>Inputs!T345</f>
        <v>0</v>
      </c>
      <c r="U24" s="210">
        <f>AVERAGE(R24:T24)</f>
        <v>0</v>
      </c>
      <c r="V24" s="209">
        <f>Inputs!U345</f>
        <v>0</v>
      </c>
      <c r="W24" s="209">
        <f>Inputs!V345</f>
        <v>0</v>
      </c>
      <c r="X24" s="209">
        <f>Inputs!W345</f>
        <v>0</v>
      </c>
      <c r="Y24" s="210">
        <f>AVERAGE(V24:X24)</f>
        <v>0</v>
      </c>
    </row>
    <row r="25" spans="1:25" ht="12.75" customHeight="1" x14ac:dyDescent="0.2">
      <c r="A25" s="185" t="str">
        <f>Labels!B120</f>
        <v>Loss Carry Forward</v>
      </c>
      <c r="B25" s="203">
        <f>'(Tables)'!B1427-(IncStmt!B20-IncStmt!B24-B8)+B22</f>
        <v>0</v>
      </c>
      <c r="C25" s="203">
        <f>B25-(IncStmt!C20-IncStmt!C24-C8)+C22</f>
        <v>0</v>
      </c>
      <c r="D25" s="203">
        <f>C25-(IncStmt!D20-IncStmt!D24-D8)+D22</f>
        <v>0</v>
      </c>
      <c r="E25" s="193">
        <f>D25</f>
        <v>0</v>
      </c>
      <c r="F25" s="203">
        <f>D25-(IncStmt!F20-IncStmt!F24-F8)+F22</f>
        <v>0</v>
      </c>
      <c r="G25" s="203">
        <f>F25-(IncStmt!G20-IncStmt!G24-G8)+G22</f>
        <v>0</v>
      </c>
      <c r="H25" s="203">
        <f>G25-(IncStmt!H20-IncStmt!H24-H8)+H22</f>
        <v>0</v>
      </c>
      <c r="I25" s="193">
        <f>H25</f>
        <v>0</v>
      </c>
      <c r="J25" s="203">
        <f>H25-(IncStmt!J20-IncStmt!J24-J8)+J22</f>
        <v>0</v>
      </c>
      <c r="K25" s="203">
        <f>J25-(IncStmt!K20-IncStmt!K24-K8)+K22</f>
        <v>0</v>
      </c>
      <c r="L25" s="203">
        <f>K25-(IncStmt!L20-IncStmt!L24-L8)+L22</f>
        <v>0</v>
      </c>
      <c r="M25" s="193">
        <f>L25</f>
        <v>0</v>
      </c>
      <c r="N25" s="203">
        <f>L25-(IncStmt!N20-IncStmt!N24-N8)+N22</f>
        <v>0</v>
      </c>
      <c r="O25" s="203">
        <f>N25-(IncStmt!O20-IncStmt!O24-O8)+O22</f>
        <v>0</v>
      </c>
      <c r="P25" s="203">
        <f>O25-(IncStmt!P20-IncStmt!P24-P8)+P22</f>
        <v>0</v>
      </c>
      <c r="Q25" s="193">
        <f>P25</f>
        <v>0</v>
      </c>
      <c r="R25" s="203">
        <f>P25-(IncStmt!R20-IncStmt!R24-R8)+R22</f>
        <v>0</v>
      </c>
      <c r="S25" s="203">
        <f>R25-(IncStmt!S20-IncStmt!S24-S8)+S22</f>
        <v>0</v>
      </c>
      <c r="T25" s="203">
        <f>S25-(IncStmt!T20-IncStmt!T24-T8)+T22</f>
        <v>0</v>
      </c>
      <c r="U25" s="193">
        <f>T25</f>
        <v>0</v>
      </c>
      <c r="V25" s="203">
        <f>T25-(IncStmt!V20-IncStmt!V24-V8)+V22</f>
        <v>0</v>
      </c>
      <c r="W25" s="203">
        <f>V25-(IncStmt!W20-IncStmt!W24-W8)+W22</f>
        <v>0</v>
      </c>
      <c r="X25" s="203">
        <f>W25-(IncStmt!X20-IncStmt!X24-X8)+X22</f>
        <v>0</v>
      </c>
      <c r="Y25" s="193">
        <f>X25</f>
        <v>0</v>
      </c>
    </row>
    <row r="27" spans="1:25" ht="12.75" customHeight="1" x14ac:dyDescent="0.2">
      <c r="A27" t="s">
        <v>3402</v>
      </c>
      <c r="B27" t="s">
        <v>3402</v>
      </c>
      <c r="C27" t="s">
        <v>3402</v>
      </c>
      <c r="D27" t="s">
        <v>3402</v>
      </c>
      <c r="E27" t="s">
        <v>3402</v>
      </c>
      <c r="F27" t="s">
        <v>3402</v>
      </c>
      <c r="G27" t="s">
        <v>3402</v>
      </c>
      <c r="H27" t="s">
        <v>3402</v>
      </c>
      <c r="I27" t="s">
        <v>3402</v>
      </c>
      <c r="J27" t="s">
        <v>3402</v>
      </c>
      <c r="K27" t="s">
        <v>3402</v>
      </c>
      <c r="L27" t="s">
        <v>3402</v>
      </c>
      <c r="M27" t="s">
        <v>3402</v>
      </c>
      <c r="N27" t="s">
        <v>3402</v>
      </c>
      <c r="O27" t="s">
        <v>3402</v>
      </c>
      <c r="P27" t="s">
        <v>3402</v>
      </c>
      <c r="Q27" t="s">
        <v>3402</v>
      </c>
      <c r="R27" t="s">
        <v>3402</v>
      </c>
      <c r="S27" t="s">
        <v>3402</v>
      </c>
      <c r="T27" t="s">
        <v>3402</v>
      </c>
      <c r="U27" t="s">
        <v>3402</v>
      </c>
      <c r="V27" t="s">
        <v>3402</v>
      </c>
      <c r="W27" t="s">
        <v>3402</v>
      </c>
      <c r="X27" t="s">
        <v>3402</v>
      </c>
      <c r="Y27" t="s">
        <v>3402</v>
      </c>
    </row>
  </sheetData>
  <mergeCells count="5">
    <mergeCell ref="A1:C1"/>
    <mergeCell ref="A2:C2"/>
    <mergeCell ref="A3:C3"/>
    <mergeCell ref="A4:C4"/>
    <mergeCell ref="A5:B5"/>
  </mergeCells>
  <pageMargins left="0.25" right="0.25" top="0.5" bottom="0.5" header="0.5" footer="0.5"/>
  <pageSetup paperSize="9" fitToHeight="32767" orientation="landscape" horizontalDpi="300" verticalDpi="300"/>
  <headerFooter alignWithMargins="0"/>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pageSetUpPr fitToPage="1"/>
  </sheetPr>
  <dimension ref="A1:Z94"/>
  <sheetViews>
    <sheetView zoomScaleNormal="100" workbookViewId="0">
      <selection sqref="A1:C1"/>
    </sheetView>
  </sheetViews>
  <sheetFormatPr defaultRowHeight="12.75" customHeight="1" outlineLevelRow="1" x14ac:dyDescent="0.2"/>
  <cols>
    <col min="1" max="1" width="22.7109375" customWidth="1"/>
    <col min="2" max="2" width="13.7109375" customWidth="1"/>
    <col min="3" max="3" width="14.7109375" customWidth="1"/>
    <col min="4" max="6" width="12.42578125" customWidth="1"/>
    <col min="7" max="7" width="14.85546875" customWidth="1"/>
    <col min="8" max="26" width="12.42578125" customWidth="1"/>
  </cols>
  <sheetData>
    <row r="1" spans="1:26" ht="12.75" customHeight="1" x14ac:dyDescent="0.2">
      <c r="A1" s="463" t="str">
        <f>Inputs!F7</f>
        <v xml:space="preserve"> </v>
      </c>
      <c r="B1" s="463"/>
      <c r="C1" s="463"/>
    </row>
    <row r="2" spans="1:26" ht="12.75" customHeight="1" x14ac:dyDescent="0.2">
      <c r="A2" s="463" t="e">
        <f>TEXT('(FnCalls 1)'!A41,"m/d/yyyy")&amp;" to "&amp;TEXT('(FnCalls 1)'!A59-1,"m/d/yyyy")</f>
        <v>#VALUE!</v>
      </c>
      <c r="B2" s="463"/>
      <c r="C2" s="463"/>
    </row>
    <row r="3" spans="1:26" ht="12.75" customHeight="1" x14ac:dyDescent="0.2">
      <c r="A3" s="463" t="str">
        <f>"Assets"</f>
        <v>Assets</v>
      </c>
      <c r="B3" s="463"/>
      <c r="C3" s="463"/>
    </row>
    <row r="4" spans="1:26" ht="12.75" customHeight="1" x14ac:dyDescent="0.2">
      <c r="A4" s="463" t="str">
        <f>""</f>
        <v/>
      </c>
      <c r="B4" s="463"/>
      <c r="C4" s="463"/>
    </row>
    <row r="5" spans="1:26" ht="12.75" customHeight="1" x14ac:dyDescent="0.2">
      <c r="A5" s="464" t="str">
        <f>"Short Term Assets"</f>
        <v>Short Term Assets</v>
      </c>
      <c r="B5" s="464"/>
    </row>
    <row r="6" spans="1:26" ht="12.75" customHeight="1" x14ac:dyDescent="0.2">
      <c r="A6" s="1" t="str">
        <f>""</f>
        <v/>
      </c>
    </row>
    <row r="7" spans="1:26" ht="12.75" customHeight="1" x14ac:dyDescent="0.2">
      <c r="B7" s="9" t="str">
        <f>'(FnCalls 1)'!F40</f>
        <v>MMM 2009</v>
      </c>
      <c r="C7" s="10" t="str">
        <f>'(FnCalls 1)'!F41</f>
        <v>MMM 2010</v>
      </c>
      <c r="D7" s="10" t="str">
        <f>'(FnCalls 1)'!F42</f>
        <v>MMM 2010</v>
      </c>
      <c r="E7" s="10" t="str">
        <f>'(FnCalls 1)'!F43</f>
        <v>MMM 2010</v>
      </c>
      <c r="F7" s="181" t="str">
        <f>'(FnCalls 1)'!G41</f>
        <v>Q1 2010</v>
      </c>
      <c r="G7" s="10" t="str">
        <f>'(FnCalls 1)'!F44</f>
        <v>MMM 2010</v>
      </c>
      <c r="H7" s="10" t="str">
        <f>'(FnCalls 1)'!F45</f>
        <v>MMM 2010</v>
      </c>
      <c r="I7" s="10" t="str">
        <f>'(FnCalls 1)'!F46</f>
        <v>MMM 2010</v>
      </c>
      <c r="J7" s="181" t="str">
        <f>'(FnCalls 1)'!G44</f>
        <v>Q2 2010</v>
      </c>
      <c r="K7" s="10" t="str">
        <f>'(FnCalls 1)'!F47</f>
        <v>MMM 2010</v>
      </c>
      <c r="L7" s="10" t="str">
        <f>'(FnCalls 1)'!F48</f>
        <v>MMM 2010</v>
      </c>
      <c r="M7" s="10" t="str">
        <f>'(FnCalls 1)'!F49</f>
        <v>MMM 2010</v>
      </c>
      <c r="N7" s="181" t="str">
        <f>'(FnCalls 1)'!G47</f>
        <v>Q3 2010</v>
      </c>
      <c r="O7" s="10" t="str">
        <f>'(FnCalls 1)'!F50</f>
        <v>MMM 2010</v>
      </c>
      <c r="P7" s="10" t="str">
        <f>'(FnCalls 1)'!F51</f>
        <v>MMM 2010</v>
      </c>
      <c r="Q7" s="10" t="str">
        <f>'(FnCalls 1)'!F52</f>
        <v>MMM 2010</v>
      </c>
      <c r="R7" s="181" t="str">
        <f>'(FnCalls 1)'!G50</f>
        <v>Q4 2010</v>
      </c>
      <c r="S7" s="10" t="str">
        <f>'(FnCalls 1)'!F53</f>
        <v>MMM 2011</v>
      </c>
      <c r="T7" s="10" t="str">
        <f>'(FnCalls 1)'!F54</f>
        <v>MMM 2011</v>
      </c>
      <c r="U7" s="10" t="str">
        <f>'(FnCalls 1)'!F55</f>
        <v>MMM 2011</v>
      </c>
      <c r="V7" s="181" t="str">
        <f>'(FnCalls 1)'!G53</f>
        <v>Q1 2011</v>
      </c>
      <c r="W7" s="10" t="str">
        <f>'(FnCalls 1)'!F56</f>
        <v>MMM 2011</v>
      </c>
      <c r="X7" s="10" t="str">
        <f>'(FnCalls 1)'!F57</f>
        <v>MMM 2011</v>
      </c>
      <c r="Y7" s="10" t="str">
        <f>'(FnCalls 1)'!F58</f>
        <v>MMM 2011</v>
      </c>
      <c r="Z7" s="181" t="str">
        <f>'(FnCalls 1)'!G56</f>
        <v>Q2 2011</v>
      </c>
    </row>
    <row r="8" spans="1:26" ht="12.75" customHeight="1" x14ac:dyDescent="0.2">
      <c r="A8" s="182" t="str">
        <f>Labels!B30</f>
        <v>Starting Cash</v>
      </c>
      <c r="B8" s="183"/>
      <c r="C8" s="183">
        <f>CFStmt!B6</f>
        <v>0</v>
      </c>
      <c r="D8" s="183">
        <f>CFStmt!C6</f>
        <v>0</v>
      </c>
      <c r="E8" s="183">
        <f>CFStmt!D6</f>
        <v>0</v>
      </c>
      <c r="F8" s="184">
        <f>CFStmt!B6</f>
        <v>0</v>
      </c>
      <c r="G8" s="183">
        <f>CFStmt!F6</f>
        <v>109112.90322580645</v>
      </c>
      <c r="H8" s="183">
        <f>CFStmt!G6</f>
        <v>112750</v>
      </c>
      <c r="I8" s="183">
        <f>CFStmt!H6</f>
        <v>220000</v>
      </c>
      <c r="J8" s="184">
        <f>CFStmt!F6</f>
        <v>109112.90322580645</v>
      </c>
      <c r="K8" s="183">
        <f>CFStmt!J6</f>
        <v>136000</v>
      </c>
      <c r="L8" s="183">
        <f>CFStmt!K6</f>
        <v>193029.42960958515</v>
      </c>
      <c r="M8" s="183">
        <f>CFStmt!L6</f>
        <v>230533.54167388589</v>
      </c>
      <c r="N8" s="184">
        <f>CFStmt!J6</f>
        <v>136000</v>
      </c>
      <c r="O8" s="183">
        <f>CFStmt!N6</f>
        <v>389243.21909324074</v>
      </c>
      <c r="P8" s="183">
        <f>CFStmt!O6</f>
        <v>389243.21909324074</v>
      </c>
      <c r="Q8" s="183">
        <f>CFStmt!P6</f>
        <v>389243.21909324074</v>
      </c>
      <c r="R8" s="184">
        <f>CFStmt!N6</f>
        <v>389243.21909324074</v>
      </c>
      <c r="S8" s="183">
        <f>CFStmt!R6</f>
        <v>389243.21909324074</v>
      </c>
      <c r="T8" s="183">
        <f>CFStmt!S6</f>
        <v>389243.21909324074</v>
      </c>
      <c r="U8" s="183">
        <f>CFStmt!T6</f>
        <v>389243.21909324074</v>
      </c>
      <c r="V8" s="184">
        <f>CFStmt!R6</f>
        <v>389243.21909324074</v>
      </c>
      <c r="W8" s="183">
        <f>CFStmt!V6</f>
        <v>389243.21909324074</v>
      </c>
      <c r="X8" s="183">
        <f>CFStmt!W6</f>
        <v>389243.21909324074</v>
      </c>
      <c r="Y8" s="183">
        <f>CFStmt!X6</f>
        <v>389243.21909324074</v>
      </c>
      <c r="Z8" s="184">
        <f>CFStmt!V6</f>
        <v>389243.21909324074</v>
      </c>
    </row>
    <row r="9" spans="1:26" ht="12.75" customHeight="1" x14ac:dyDescent="0.2">
      <c r="A9" s="191" t="str">
        <f>Labels!B18</f>
        <v>Ending Cash</v>
      </c>
      <c r="B9" s="192">
        <f>'(Tables)'!B1367+Inputs!F414</f>
        <v>0</v>
      </c>
      <c r="C9" s="192">
        <f>CFStmt!B26</f>
        <v>0</v>
      </c>
      <c r="D9" s="192">
        <f>CFStmt!C26</f>
        <v>0</v>
      </c>
      <c r="E9" s="192">
        <f>CFStmt!D26</f>
        <v>109112.90322580645</v>
      </c>
      <c r="F9" s="190">
        <f>CFStmt!D26</f>
        <v>109112.90322580645</v>
      </c>
      <c r="G9" s="192">
        <f>CFStmt!F26</f>
        <v>112750</v>
      </c>
      <c r="H9" s="192">
        <f>CFStmt!G26</f>
        <v>220000</v>
      </c>
      <c r="I9" s="192">
        <f>CFStmt!H26</f>
        <v>136000</v>
      </c>
      <c r="J9" s="190">
        <f>CFStmt!H26</f>
        <v>136000</v>
      </c>
      <c r="K9" s="192">
        <f>CFStmt!J26</f>
        <v>193029.42960958515</v>
      </c>
      <c r="L9" s="192">
        <f>CFStmt!K26</f>
        <v>230533.54167388589</v>
      </c>
      <c r="M9" s="192">
        <f>CFStmt!L26</f>
        <v>389243.21909324074</v>
      </c>
      <c r="N9" s="190">
        <f>CFStmt!L26</f>
        <v>389243.21909324074</v>
      </c>
      <c r="O9" s="192">
        <f>CFStmt!N26</f>
        <v>389243.21909324074</v>
      </c>
      <c r="P9" s="192">
        <f>CFStmt!O26</f>
        <v>389243.21909324074</v>
      </c>
      <c r="Q9" s="192">
        <f>CFStmt!P26</f>
        <v>389243.21909324074</v>
      </c>
      <c r="R9" s="190">
        <f>CFStmt!P26</f>
        <v>389243.21909324074</v>
      </c>
      <c r="S9" s="192">
        <f>CFStmt!R26</f>
        <v>389243.21909324074</v>
      </c>
      <c r="T9" s="192">
        <f>CFStmt!S26</f>
        <v>389243.21909324074</v>
      </c>
      <c r="U9" s="192">
        <f>CFStmt!T26</f>
        <v>389243.21909324074</v>
      </c>
      <c r="V9" s="190">
        <f>CFStmt!T26</f>
        <v>389243.21909324074</v>
      </c>
      <c r="W9" s="192">
        <f>CFStmt!V26</f>
        <v>389243.21909324074</v>
      </c>
      <c r="X9" s="192">
        <f>CFStmt!W26</f>
        <v>389243.21909324074</v>
      </c>
      <c r="Y9" s="192">
        <f>CFStmt!X26</f>
        <v>389243.21909324074</v>
      </c>
      <c r="Z9" s="190">
        <f>CFStmt!X26</f>
        <v>389243.21909324074</v>
      </c>
    </row>
    <row r="10" spans="1:26" ht="12.75" customHeight="1" x14ac:dyDescent="0.2">
      <c r="A10" s="185" t="str">
        <f>Labels!B31</f>
        <v>Cash Target Days</v>
      </c>
      <c r="B10" s="331"/>
      <c r="C10" s="331">
        <f>Inputs!F360</f>
        <v>30</v>
      </c>
      <c r="D10" s="331">
        <f>Inputs!G360</f>
        <v>30</v>
      </c>
      <c r="E10" s="331">
        <f>Inputs!H360</f>
        <v>30</v>
      </c>
      <c r="F10" s="332">
        <f>Inputs!H360</f>
        <v>30</v>
      </c>
      <c r="G10" s="331">
        <f>Inputs!I360</f>
        <v>30</v>
      </c>
      <c r="H10" s="331">
        <f>Inputs!J360</f>
        <v>30</v>
      </c>
      <c r="I10" s="331">
        <f>Inputs!K360</f>
        <v>30</v>
      </c>
      <c r="J10" s="332">
        <f>Inputs!K360</f>
        <v>30</v>
      </c>
      <c r="K10" s="331">
        <f>Inputs!L360</f>
        <v>30</v>
      </c>
      <c r="L10" s="331">
        <f>Inputs!M360</f>
        <v>30</v>
      </c>
      <c r="M10" s="331">
        <f>Inputs!N360</f>
        <v>30</v>
      </c>
      <c r="N10" s="332">
        <f>Inputs!N360</f>
        <v>30</v>
      </c>
      <c r="O10" s="331">
        <f>Inputs!O360</f>
        <v>30</v>
      </c>
      <c r="P10" s="331">
        <f>Inputs!P360</f>
        <v>30</v>
      </c>
      <c r="Q10" s="331">
        <f>Inputs!Q360</f>
        <v>30</v>
      </c>
      <c r="R10" s="332">
        <f>Inputs!Q360</f>
        <v>30</v>
      </c>
      <c r="S10" s="331">
        <f>Inputs!R360</f>
        <v>30</v>
      </c>
      <c r="T10" s="331">
        <f>Inputs!S360</f>
        <v>30</v>
      </c>
      <c r="U10" s="331">
        <f>Inputs!T360</f>
        <v>30</v>
      </c>
      <c r="V10" s="332">
        <f>Inputs!T360</f>
        <v>30</v>
      </c>
      <c r="W10" s="331">
        <f>Inputs!U360</f>
        <v>30</v>
      </c>
      <c r="X10" s="331">
        <f>Inputs!V360</f>
        <v>30</v>
      </c>
      <c r="Y10" s="331">
        <f>Inputs!W360</f>
        <v>30</v>
      </c>
      <c r="Z10" s="332">
        <f>Inputs!W360</f>
        <v>30</v>
      </c>
    </row>
    <row r="12" spans="1:26" ht="12.75" customHeight="1" x14ac:dyDescent="0.2">
      <c r="A12" s="182" t="str">
        <f>Labels!B11</f>
        <v>Accounts Receivable</v>
      </c>
      <c r="B12" s="183">
        <f>Inputs!F364</f>
        <v>0</v>
      </c>
      <c r="C12" s="183">
        <f>'(Compute)'!C699</f>
        <v>0</v>
      </c>
      <c r="D12" s="183">
        <f>'(Compute)'!D699</f>
        <v>0</v>
      </c>
      <c r="E12" s="183">
        <f>'(Compute)'!E699</f>
        <v>218225.80645161291</v>
      </c>
      <c r="F12" s="184">
        <f>E12</f>
        <v>218225.80645161291</v>
      </c>
      <c r="G12" s="183">
        <f>'(Compute)'!F699</f>
        <v>225500</v>
      </c>
      <c r="H12" s="183">
        <f>'(Compute)'!G699</f>
        <v>0</v>
      </c>
      <c r="I12" s="183">
        <f>'(Compute)'!H699</f>
        <v>164000</v>
      </c>
      <c r="J12" s="184">
        <f>I12</f>
        <v>164000</v>
      </c>
      <c r="K12" s="183">
        <f>'(Compute)'!I699</f>
        <v>158709.67741935485</v>
      </c>
      <c r="L12" s="183">
        <f>'(Compute)'!J699</f>
        <v>158709.67741935485</v>
      </c>
      <c r="M12" s="183">
        <f>'(Compute)'!K699</f>
        <v>0</v>
      </c>
      <c r="N12" s="184">
        <f>M12</f>
        <v>0</v>
      </c>
      <c r="O12" s="183">
        <f>'(Compute)'!L699</f>
        <v>0</v>
      </c>
      <c r="P12" s="183">
        <f>'(Compute)'!M699</f>
        <v>0</v>
      </c>
      <c r="Q12" s="183">
        <f>'(Compute)'!N699</f>
        <v>0</v>
      </c>
      <c r="R12" s="184">
        <f>Q12</f>
        <v>0</v>
      </c>
      <c r="S12" s="183">
        <f>'(Compute)'!O699</f>
        <v>0</v>
      </c>
      <c r="T12" s="183">
        <f>'(Compute)'!P699</f>
        <v>0</v>
      </c>
      <c r="U12" s="183">
        <f>'(Compute)'!Q699</f>
        <v>0</v>
      </c>
      <c r="V12" s="184">
        <f>U12</f>
        <v>0</v>
      </c>
      <c r="W12" s="183">
        <f>'(Compute)'!R699</f>
        <v>0</v>
      </c>
      <c r="X12" s="183">
        <f>'(Compute)'!S699</f>
        <v>0</v>
      </c>
      <c r="Y12" s="183">
        <f>'(Compute)'!T699</f>
        <v>0</v>
      </c>
      <c r="Z12" s="184">
        <f>Y12</f>
        <v>0</v>
      </c>
    </row>
    <row r="13" spans="1:26" ht="12.75" customHeight="1" x14ac:dyDescent="0.2">
      <c r="A13" s="185" t="str">
        <f>Labels!B10</f>
        <v>Accts Receivable Days</v>
      </c>
      <c r="B13" s="297"/>
      <c r="C13" s="297">
        <f>Inputs!F366</f>
        <v>60</v>
      </c>
      <c r="D13" s="297">
        <f>Inputs!G366</f>
        <v>60</v>
      </c>
      <c r="E13" s="297">
        <f>Inputs!H366</f>
        <v>60</v>
      </c>
      <c r="F13" s="298">
        <f>Inputs!H366</f>
        <v>60</v>
      </c>
      <c r="G13" s="297">
        <f>Inputs!I366</f>
        <v>60</v>
      </c>
      <c r="H13" s="297">
        <f>Inputs!J366</f>
        <v>60</v>
      </c>
      <c r="I13" s="297">
        <f>Inputs!K366</f>
        <v>60</v>
      </c>
      <c r="J13" s="298">
        <f>Inputs!K366</f>
        <v>60</v>
      </c>
      <c r="K13" s="297">
        <f>Inputs!L366</f>
        <v>60</v>
      </c>
      <c r="L13" s="297">
        <f>Inputs!M366</f>
        <v>60</v>
      </c>
      <c r="M13" s="297">
        <f>Inputs!N366</f>
        <v>60</v>
      </c>
      <c r="N13" s="298">
        <f>Inputs!N366</f>
        <v>60</v>
      </c>
      <c r="O13" s="297">
        <f>Inputs!O366</f>
        <v>60</v>
      </c>
      <c r="P13" s="297">
        <f>Inputs!P366</f>
        <v>60</v>
      </c>
      <c r="Q13" s="297">
        <f>Inputs!Q366</f>
        <v>60</v>
      </c>
      <c r="R13" s="298">
        <f>Inputs!Q366</f>
        <v>60</v>
      </c>
      <c r="S13" s="297">
        <f>Inputs!R366</f>
        <v>60</v>
      </c>
      <c r="T13" s="297">
        <f>Inputs!S366</f>
        <v>60</v>
      </c>
      <c r="U13" s="297">
        <f>Inputs!T366</f>
        <v>60</v>
      </c>
      <c r="V13" s="298">
        <f>Inputs!T366</f>
        <v>60</v>
      </c>
      <c r="W13" s="297">
        <f>Inputs!U366</f>
        <v>60</v>
      </c>
      <c r="X13" s="297">
        <f>Inputs!V366</f>
        <v>60</v>
      </c>
      <c r="Y13" s="297">
        <f>Inputs!W366</f>
        <v>60</v>
      </c>
      <c r="Z13" s="298">
        <f>Inputs!W366</f>
        <v>60</v>
      </c>
    </row>
    <row r="17" spans="1:26" ht="12.75" customHeight="1" x14ac:dyDescent="0.2">
      <c r="A17" s="464" t="str">
        <f>"Long Term Assets"</f>
        <v>Long Term Assets</v>
      </c>
      <c r="B17" s="464"/>
    </row>
    <row r="18" spans="1:26" ht="12.75" customHeight="1" x14ac:dyDescent="0.2">
      <c r="A18" s="1" t="str">
        <f>""</f>
        <v/>
      </c>
    </row>
    <row r="19" spans="1:26" ht="12.75" customHeight="1" x14ac:dyDescent="0.2">
      <c r="B19" s="9" t="str">
        <f>'(FnCalls 1)'!F40</f>
        <v>MMM 2009</v>
      </c>
      <c r="C19" s="10" t="str">
        <f>'(FnCalls 1)'!F41</f>
        <v>MMM 2010</v>
      </c>
      <c r="D19" s="10" t="str">
        <f>'(FnCalls 1)'!F42</f>
        <v>MMM 2010</v>
      </c>
      <c r="E19" s="10" t="str">
        <f>'(FnCalls 1)'!F43</f>
        <v>MMM 2010</v>
      </c>
      <c r="F19" s="181" t="str">
        <f>'(FnCalls 1)'!G41</f>
        <v>Q1 2010</v>
      </c>
      <c r="G19" s="10" t="str">
        <f>'(FnCalls 1)'!F44</f>
        <v>MMM 2010</v>
      </c>
      <c r="H19" s="10" t="str">
        <f>'(FnCalls 1)'!F45</f>
        <v>MMM 2010</v>
      </c>
      <c r="I19" s="10" t="str">
        <f>'(FnCalls 1)'!F46</f>
        <v>MMM 2010</v>
      </c>
      <c r="J19" s="181" t="str">
        <f>'(FnCalls 1)'!G44</f>
        <v>Q2 2010</v>
      </c>
      <c r="K19" s="10" t="str">
        <f>'(FnCalls 1)'!F47</f>
        <v>MMM 2010</v>
      </c>
      <c r="L19" s="10" t="str">
        <f>'(FnCalls 1)'!F48</f>
        <v>MMM 2010</v>
      </c>
      <c r="M19" s="10" t="str">
        <f>'(FnCalls 1)'!F49</f>
        <v>MMM 2010</v>
      </c>
      <c r="N19" s="181" t="str">
        <f>'(FnCalls 1)'!G47</f>
        <v>Q3 2010</v>
      </c>
      <c r="O19" s="10" t="str">
        <f>'(FnCalls 1)'!F50</f>
        <v>MMM 2010</v>
      </c>
      <c r="P19" s="10" t="str">
        <f>'(FnCalls 1)'!F51</f>
        <v>MMM 2010</v>
      </c>
      <c r="Q19" s="10" t="str">
        <f>'(FnCalls 1)'!F52</f>
        <v>MMM 2010</v>
      </c>
      <c r="R19" s="181" t="str">
        <f>'(FnCalls 1)'!G50</f>
        <v>Q4 2010</v>
      </c>
      <c r="S19" s="10" t="str">
        <f>'(FnCalls 1)'!F53</f>
        <v>MMM 2011</v>
      </c>
      <c r="T19" s="10" t="str">
        <f>'(FnCalls 1)'!F54</f>
        <v>MMM 2011</v>
      </c>
      <c r="U19" s="10" t="str">
        <f>'(FnCalls 1)'!F55</f>
        <v>MMM 2011</v>
      </c>
      <c r="V19" s="181" t="str">
        <f>'(FnCalls 1)'!G53</f>
        <v>Q1 2011</v>
      </c>
      <c r="W19" s="10" t="str">
        <f>'(FnCalls 1)'!F56</f>
        <v>MMM 2011</v>
      </c>
      <c r="X19" s="10" t="str">
        <f>'(FnCalls 1)'!F57</f>
        <v>MMM 2011</v>
      </c>
      <c r="Y19" s="10" t="str">
        <f>'(FnCalls 1)'!F58</f>
        <v>MMM 2011</v>
      </c>
      <c r="Z19" s="181" t="str">
        <f>'(FnCalls 1)'!G56</f>
        <v>Q2 2011</v>
      </c>
    </row>
    <row r="20" spans="1:26" ht="12.75" customHeight="1" x14ac:dyDescent="0.2">
      <c r="A20" s="182" t="str">
        <f>Labels!B118</f>
        <v>Long Term Assets</v>
      </c>
      <c r="B20" s="183">
        <f>B61+B33+B81</f>
        <v>0</v>
      </c>
      <c r="C20" s="183">
        <f>C61+C33+C81</f>
        <v>0</v>
      </c>
      <c r="D20" s="183">
        <f>D61+D33+D81</f>
        <v>0</v>
      </c>
      <c r="E20" s="183">
        <f>E61+E33+E81</f>
        <v>0</v>
      </c>
      <c r="F20" s="184">
        <f>E20</f>
        <v>0</v>
      </c>
      <c r="G20" s="183">
        <f>G61+G33+G81</f>
        <v>0</v>
      </c>
      <c r="H20" s="183">
        <f>H61+H33+H81</f>
        <v>0</v>
      </c>
      <c r="I20" s="183">
        <f>I61+I33+I81</f>
        <v>0</v>
      </c>
      <c r="J20" s="184">
        <f>I20</f>
        <v>0</v>
      </c>
      <c r="K20" s="183">
        <f>K61+K33+K81</f>
        <v>0</v>
      </c>
      <c r="L20" s="183">
        <f>L61+L33+L81</f>
        <v>0</v>
      </c>
      <c r="M20" s="183">
        <f>M61+M33+M81</f>
        <v>0</v>
      </c>
      <c r="N20" s="184">
        <f>M20</f>
        <v>0</v>
      </c>
      <c r="O20" s="183">
        <f>O61+O33+O81</f>
        <v>0</v>
      </c>
      <c r="P20" s="183">
        <f>P61+P33+P81</f>
        <v>0</v>
      </c>
      <c r="Q20" s="183">
        <f>Q61+Q33+Q81</f>
        <v>0</v>
      </c>
      <c r="R20" s="184">
        <f>Q20</f>
        <v>0</v>
      </c>
      <c r="S20" s="183">
        <f>S61+S33+S81</f>
        <v>0</v>
      </c>
      <c r="T20" s="183">
        <f>T61+T33+T81</f>
        <v>0</v>
      </c>
      <c r="U20" s="183">
        <f>U61+U33+U81</f>
        <v>0</v>
      </c>
      <c r="V20" s="184">
        <f>U20</f>
        <v>0</v>
      </c>
      <c r="W20" s="183">
        <f>W61+W33+W81</f>
        <v>0</v>
      </c>
      <c r="X20" s="183">
        <f>X61+X33+X81</f>
        <v>0</v>
      </c>
      <c r="Y20" s="183">
        <f>Y61+Y33+Y81</f>
        <v>0</v>
      </c>
      <c r="Z20" s="184">
        <f>Y20</f>
        <v>0</v>
      </c>
    </row>
    <row r="21" spans="1:26" ht="12.75" customHeight="1" x14ac:dyDescent="0.2">
      <c r="A21" s="191" t="str">
        <f>Labels!B117</f>
        <v>Long Asset Purch</v>
      </c>
      <c r="B21" s="192">
        <f>B66+B38</f>
        <v>0</v>
      </c>
      <c r="C21" s="192">
        <f>CFStmt!B21</f>
        <v>0</v>
      </c>
      <c r="D21" s="192">
        <f>CFStmt!C21</f>
        <v>0</v>
      </c>
      <c r="E21" s="192">
        <f>CFStmt!D21</f>
        <v>0</v>
      </c>
      <c r="F21" s="190">
        <f>SUM(C21:E21)</f>
        <v>0</v>
      </c>
      <c r="G21" s="192">
        <f>CFStmt!F21</f>
        <v>0</v>
      </c>
      <c r="H21" s="192">
        <f>CFStmt!G21</f>
        <v>0</v>
      </c>
      <c r="I21" s="192">
        <f>CFStmt!H21</f>
        <v>0</v>
      </c>
      <c r="J21" s="190">
        <f>SUM(G21:I21)</f>
        <v>0</v>
      </c>
      <c r="K21" s="192">
        <f>CFStmt!J21</f>
        <v>0</v>
      </c>
      <c r="L21" s="192">
        <f>CFStmt!K21</f>
        <v>0</v>
      </c>
      <c r="M21" s="192">
        <f>CFStmt!L21</f>
        <v>0</v>
      </c>
      <c r="N21" s="190">
        <f>SUM(K21:M21)</f>
        <v>0</v>
      </c>
      <c r="O21" s="192">
        <f>CFStmt!N21</f>
        <v>0</v>
      </c>
      <c r="P21" s="192">
        <f>CFStmt!O21</f>
        <v>0</v>
      </c>
      <c r="Q21" s="192">
        <f>CFStmt!P21</f>
        <v>0</v>
      </c>
      <c r="R21" s="190">
        <f>SUM(O21:Q21)</f>
        <v>0</v>
      </c>
      <c r="S21" s="192">
        <f>CFStmt!R21</f>
        <v>0</v>
      </c>
      <c r="T21" s="192">
        <f>CFStmt!S21</f>
        <v>0</v>
      </c>
      <c r="U21" s="192">
        <f>CFStmt!T21</f>
        <v>0</v>
      </c>
      <c r="V21" s="190">
        <f>SUM(S21:U21)</f>
        <v>0</v>
      </c>
      <c r="W21" s="192">
        <f>CFStmt!V21</f>
        <v>0</v>
      </c>
      <c r="X21" s="192">
        <f>CFStmt!W21</f>
        <v>0</v>
      </c>
      <c r="Y21" s="192">
        <f>CFStmt!X21</f>
        <v>0</v>
      </c>
      <c r="Z21" s="190">
        <f>SUM(W21:Y21)</f>
        <v>0</v>
      </c>
    </row>
    <row r="22" spans="1:26" ht="12.75" customHeight="1" x14ac:dyDescent="0.2">
      <c r="A22" s="185" t="str">
        <f>Labels!B54</f>
        <v>Depreciation</v>
      </c>
      <c r="B22" s="176"/>
      <c r="C22" s="176">
        <f>IncStmt!B24</f>
        <v>0</v>
      </c>
      <c r="D22" s="176">
        <f>IncStmt!C24</f>
        <v>0</v>
      </c>
      <c r="E22" s="176">
        <f>IncStmt!D24</f>
        <v>0</v>
      </c>
      <c r="F22" s="193">
        <f>SUM(C22:E22)</f>
        <v>0</v>
      </c>
      <c r="G22" s="176">
        <f>IncStmt!F24</f>
        <v>0</v>
      </c>
      <c r="H22" s="176">
        <f>IncStmt!G24</f>
        <v>0</v>
      </c>
      <c r="I22" s="176">
        <f>IncStmt!H24</f>
        <v>0</v>
      </c>
      <c r="J22" s="193">
        <f>SUM(G22:I22)</f>
        <v>0</v>
      </c>
      <c r="K22" s="176">
        <f>IncStmt!J24</f>
        <v>0</v>
      </c>
      <c r="L22" s="176">
        <f>IncStmt!K24</f>
        <v>0</v>
      </c>
      <c r="M22" s="176">
        <f>IncStmt!L24</f>
        <v>0</v>
      </c>
      <c r="N22" s="193">
        <f>SUM(K22:M22)</f>
        <v>0</v>
      </c>
      <c r="O22" s="176">
        <f>IncStmt!N24</f>
        <v>0</v>
      </c>
      <c r="P22" s="176">
        <f>IncStmt!O24</f>
        <v>0</v>
      </c>
      <c r="Q22" s="176">
        <f>IncStmt!P24</f>
        <v>0</v>
      </c>
      <c r="R22" s="193">
        <f>SUM(O22:Q22)</f>
        <v>0</v>
      </c>
      <c r="S22" s="176">
        <f>IncStmt!R24</f>
        <v>0</v>
      </c>
      <c r="T22" s="176">
        <f>IncStmt!S24</f>
        <v>0</v>
      </c>
      <c r="U22" s="176">
        <f>IncStmt!T24</f>
        <v>0</v>
      </c>
      <c r="V22" s="193">
        <f>SUM(S22:U22)</f>
        <v>0</v>
      </c>
      <c r="W22" s="176">
        <f>IncStmt!V24</f>
        <v>0</v>
      </c>
      <c r="X22" s="176">
        <f>IncStmt!W24</f>
        <v>0</v>
      </c>
      <c r="Y22" s="176">
        <f>IncStmt!X24</f>
        <v>0</v>
      </c>
      <c r="Z22" s="193">
        <f>SUM(W22:Y22)</f>
        <v>0</v>
      </c>
    </row>
    <row r="24" spans="1:26" ht="12.75" customHeight="1" collapsed="1" x14ac:dyDescent="0.2">
      <c r="A24" s="465" t="str">
        <f>"Tagged Assets"</f>
        <v>Tagged Assets</v>
      </c>
      <c r="B24" s="465"/>
    </row>
    <row r="25" spans="1:26" ht="12.75" hidden="1" customHeight="1" outlineLevel="1" x14ac:dyDescent="0.2">
      <c r="B25" s="9" t="str">
        <f>Labels!B274</f>
        <v>Asset Name</v>
      </c>
      <c r="C25" s="10" t="str">
        <f>Labels!B276</f>
        <v>Purch Date</v>
      </c>
      <c r="D25" s="10" t="str">
        <f>Labels!B269</f>
        <v>Initial Value</v>
      </c>
      <c r="E25" s="10" t="str">
        <f>Labels!B267</f>
        <v>Depr Method</v>
      </c>
      <c r="F25" s="10" t="str">
        <f>Labels!B271</f>
        <v>Depr Life (Yr)</v>
      </c>
      <c r="G25" s="10" t="str">
        <f>Labels!B273</f>
        <v>Physical Life (Yr)</v>
      </c>
      <c r="H25" s="11" t="str">
        <f>Labels!B278</f>
        <v>Salvage Value</v>
      </c>
    </row>
    <row r="26" spans="1:26" ht="12.75" hidden="1" customHeight="1" outlineLevel="1" x14ac:dyDescent="0.2">
      <c r="A26" s="182" t="str">
        <f>Labels!B306</f>
        <v>Building A</v>
      </c>
      <c r="B26" s="333" t="str">
        <f>Inputs!F373</f>
        <v>Tagged Asset 1</v>
      </c>
      <c r="C26" s="334">
        <f>Inputs!G373</f>
        <v>40725</v>
      </c>
      <c r="D26" s="239">
        <f>Inputs!H373</f>
        <v>0</v>
      </c>
      <c r="E26" s="333" t="str">
        <f>Inputs!I373</f>
        <v>SLN</v>
      </c>
      <c r="F26" s="212">
        <f>Inputs!J373</f>
        <v>10</v>
      </c>
      <c r="G26" s="212">
        <f>Inputs!K373</f>
        <v>10</v>
      </c>
      <c r="H26" s="335">
        <f>Inputs!L373</f>
        <v>0</v>
      </c>
    </row>
    <row r="27" spans="1:26" ht="12.75" hidden="1" customHeight="1" outlineLevel="1" x14ac:dyDescent="0.2">
      <c r="A27" s="185" t="str">
        <f>Labels!B307</f>
        <v>Building B</v>
      </c>
      <c r="B27" s="336" t="str">
        <f>Inputs!F374</f>
        <v>Tagged Asset 2</v>
      </c>
      <c r="C27" s="337">
        <f>Inputs!G374</f>
        <v>40725</v>
      </c>
      <c r="D27" s="338">
        <f>Inputs!H374</f>
        <v>0</v>
      </c>
      <c r="E27" s="336" t="str">
        <f>Inputs!I374</f>
        <v>SLN</v>
      </c>
      <c r="F27" s="214">
        <f>Inputs!J374</f>
        <v>10</v>
      </c>
      <c r="G27" s="214">
        <f>Inputs!K374</f>
        <v>10</v>
      </c>
      <c r="H27" s="339">
        <f>Inputs!L374</f>
        <v>0</v>
      </c>
    </row>
    <row r="28" spans="1:26" ht="12.75" hidden="1" customHeight="1" outlineLevel="1" x14ac:dyDescent="0.2"/>
    <row r="29" spans="1:26" ht="12.75" hidden="1" customHeight="1" outlineLevel="1" x14ac:dyDescent="0.2">
      <c r="B29" s="9" t="str">
        <f>'(FnCalls 1)'!F40</f>
        <v>MMM 2009</v>
      </c>
      <c r="C29" s="10" t="str">
        <f>'(FnCalls 1)'!F41</f>
        <v>MMM 2010</v>
      </c>
      <c r="D29" s="10" t="str">
        <f>'(FnCalls 1)'!F42</f>
        <v>MMM 2010</v>
      </c>
      <c r="E29" s="10" t="str">
        <f>'(FnCalls 1)'!F43</f>
        <v>MMM 2010</v>
      </c>
      <c r="F29" s="181" t="str">
        <f>'(FnCalls 1)'!G41</f>
        <v>Q1 2010</v>
      </c>
      <c r="G29" s="10" t="str">
        <f>'(FnCalls 1)'!F44</f>
        <v>MMM 2010</v>
      </c>
      <c r="H29" s="10" t="str">
        <f>'(FnCalls 1)'!F45</f>
        <v>MMM 2010</v>
      </c>
      <c r="I29" s="10" t="str">
        <f>'(FnCalls 1)'!F46</f>
        <v>MMM 2010</v>
      </c>
      <c r="J29" s="181" t="str">
        <f>'(FnCalls 1)'!G44</f>
        <v>Q2 2010</v>
      </c>
      <c r="K29" s="10" t="str">
        <f>'(FnCalls 1)'!F47</f>
        <v>MMM 2010</v>
      </c>
      <c r="L29" s="10" t="str">
        <f>'(FnCalls 1)'!F48</f>
        <v>MMM 2010</v>
      </c>
      <c r="M29" s="10" t="str">
        <f>'(FnCalls 1)'!F49</f>
        <v>MMM 2010</v>
      </c>
      <c r="N29" s="181" t="str">
        <f>'(FnCalls 1)'!G47</f>
        <v>Q3 2010</v>
      </c>
      <c r="O29" s="10" t="str">
        <f>'(FnCalls 1)'!F50</f>
        <v>MMM 2010</v>
      </c>
      <c r="P29" s="10" t="str">
        <f>'(FnCalls 1)'!F51</f>
        <v>MMM 2010</v>
      </c>
      <c r="Q29" s="10" t="str">
        <f>'(FnCalls 1)'!F52</f>
        <v>MMM 2010</v>
      </c>
      <c r="R29" s="181" t="str">
        <f>'(FnCalls 1)'!G50</f>
        <v>Q4 2010</v>
      </c>
      <c r="S29" s="10" t="str">
        <f>'(FnCalls 1)'!F53</f>
        <v>MMM 2011</v>
      </c>
      <c r="T29" s="10" t="str">
        <f>'(FnCalls 1)'!F54</f>
        <v>MMM 2011</v>
      </c>
      <c r="U29" s="10" t="str">
        <f>'(FnCalls 1)'!F55</f>
        <v>MMM 2011</v>
      </c>
      <c r="V29" s="181" t="str">
        <f>'(FnCalls 1)'!G53</f>
        <v>Q1 2011</v>
      </c>
      <c r="W29" s="10" t="str">
        <f>'(FnCalls 1)'!F56</f>
        <v>MMM 2011</v>
      </c>
      <c r="X29" s="10" t="str">
        <f>'(FnCalls 1)'!F57</f>
        <v>MMM 2011</v>
      </c>
      <c r="Y29" s="10" t="str">
        <f>'(FnCalls 1)'!F58</f>
        <v>MMM 2011</v>
      </c>
      <c r="Z29" s="181" t="str">
        <f>'(FnCalls 1)'!G56</f>
        <v>Q2 2011</v>
      </c>
    </row>
    <row r="30" spans="1:26" ht="12.75" hidden="1" customHeight="1" outlineLevel="1" x14ac:dyDescent="0.2">
      <c r="A30" s="182" t="str">
        <f>Labels!B279</f>
        <v>Tagged Assets</v>
      </c>
      <c r="B30" s="183"/>
      <c r="C30" s="183"/>
      <c r="D30" s="183"/>
      <c r="E30" s="183"/>
      <c r="F30" s="184"/>
      <c r="G30" s="183"/>
      <c r="H30" s="183"/>
      <c r="I30" s="183"/>
      <c r="J30" s="184"/>
      <c r="K30" s="183"/>
      <c r="L30" s="183"/>
      <c r="M30" s="183"/>
      <c r="N30" s="184"/>
      <c r="O30" s="183"/>
      <c r="P30" s="183"/>
      <c r="Q30" s="183"/>
      <c r="R30" s="184"/>
      <c r="S30" s="183"/>
      <c r="T30" s="183"/>
      <c r="U30" s="183"/>
      <c r="V30" s="184"/>
      <c r="W30" s="183"/>
      <c r="X30" s="183"/>
      <c r="Y30" s="183"/>
      <c r="Z30" s="184"/>
    </row>
    <row r="31" spans="1:26" ht="12.75" hidden="1" customHeight="1" outlineLevel="1" x14ac:dyDescent="0.2">
      <c r="A31" s="188" t="str">
        <f>"   "&amp;Labels!B306</f>
        <v xml:space="preserve">   Building A</v>
      </c>
      <c r="B31" s="189">
        <f>IF('(Tables)'!AK1397=-1,0,IF('(Tables)'!AK1397=0,D26,'(Tables)'!AJ1407-B41))-B46</f>
        <v>0</v>
      </c>
      <c r="C31" s="189">
        <f>IF('(Tables)'!AL1397=-1,0,IF('(Tables)'!AL1397=0,D26,B31-C41))-C46</f>
        <v>0</v>
      </c>
      <c r="D31" s="189">
        <f>IF('(Tables)'!AM1397=-1,0,IF('(Tables)'!AM1397=0,D26,C31-D41))-D46</f>
        <v>0</v>
      </c>
      <c r="E31" s="189">
        <f>IF('(Tables)'!AN1397=-1,0,IF('(Tables)'!AN1397=0,D26,D31-E41))-E46</f>
        <v>0</v>
      </c>
      <c r="F31" s="190">
        <f>SUM(C31:E31)</f>
        <v>0</v>
      </c>
      <c r="G31" s="189">
        <f>IF('(Tables)'!AO1397=-1,0,IF('(Tables)'!AO1397=0,D26,E31-G41))-G46</f>
        <v>0</v>
      </c>
      <c r="H31" s="189">
        <f>IF('(Tables)'!AP1397=-1,0,IF('(Tables)'!AP1397=0,D26,G31-H41))-H46</f>
        <v>0</v>
      </c>
      <c r="I31" s="189">
        <f>IF('(Tables)'!AQ1397=-1,0,IF('(Tables)'!AQ1397=0,D26,H31-I41))-I46</f>
        <v>0</v>
      </c>
      <c r="J31" s="190">
        <f>SUM(G31:I31)</f>
        <v>0</v>
      </c>
      <c r="K31" s="189">
        <f>IF('(Tables)'!AR1397=-1,0,IF('(Tables)'!AR1397=0,D26,I31-K41))-K46</f>
        <v>0</v>
      </c>
      <c r="L31" s="189">
        <f>IF('(Tables)'!AS1397=-1,0,IF('(Tables)'!AS1397=0,D26,K31-L41))-L46</f>
        <v>0</v>
      </c>
      <c r="M31" s="189">
        <f>IF('(Tables)'!AT1397=-1,0,IF('(Tables)'!AT1397=0,D26,L31-M41))-M46</f>
        <v>0</v>
      </c>
      <c r="N31" s="190">
        <f>SUM(K31:M31)</f>
        <v>0</v>
      </c>
      <c r="O31" s="189">
        <f>IF('(Tables)'!AU1397=-1,0,IF('(Tables)'!AU1397=0,D26,M31-O41))-O46</f>
        <v>0</v>
      </c>
      <c r="P31" s="189">
        <f>IF('(Tables)'!AV1397=-1,0,IF('(Tables)'!AV1397=0,D26,O31-P41))-P46</f>
        <v>0</v>
      </c>
      <c r="Q31" s="189">
        <f>IF('(Tables)'!AW1397=-1,0,IF('(Tables)'!AW1397=0,D26,P31-Q41))-Q46</f>
        <v>0</v>
      </c>
      <c r="R31" s="190">
        <f>SUM(O31:Q31)</f>
        <v>0</v>
      </c>
      <c r="S31" s="189">
        <f>IF('(Tables)'!AX1397=-1,0,IF('(Tables)'!AX1397=0,D26,Q31-S41))-S46</f>
        <v>0</v>
      </c>
      <c r="T31" s="189">
        <f>IF('(Tables)'!AY1397=-1,0,IF('(Tables)'!AY1397=0,D26,S31-T41))-T46</f>
        <v>0</v>
      </c>
      <c r="U31" s="189">
        <f>IF('(Tables)'!AZ1397=-1,0,IF('(Tables)'!AZ1397=0,D26,T31-U41))-U46</f>
        <v>0</v>
      </c>
      <c r="V31" s="190">
        <f>SUM(S31:U31)</f>
        <v>0</v>
      </c>
      <c r="W31" s="189">
        <f>IF('(Tables)'!BA1397=-1,0,IF('(Tables)'!BA1397=0,D26,U31-W41))-W46</f>
        <v>0</v>
      </c>
      <c r="X31" s="189">
        <f>IF('(Tables)'!BB1397=-1,0,IF('(Tables)'!BB1397=0,D26,W31-X41))-X46</f>
        <v>0</v>
      </c>
      <c r="Y31" s="189">
        <f>IF('(Tables)'!BC1397=-1,0,IF('(Tables)'!BC1397=0,D26,X31-Y41))-Y46</f>
        <v>0</v>
      </c>
      <c r="Z31" s="190">
        <f>SUM(W31:Y31)</f>
        <v>0</v>
      </c>
    </row>
    <row r="32" spans="1:26" ht="12.75" hidden="1" customHeight="1" outlineLevel="1" x14ac:dyDescent="0.2">
      <c r="A32" s="188" t="str">
        <f>"   "&amp;Labels!B307</f>
        <v xml:space="preserve">   Building B</v>
      </c>
      <c r="B32" s="189">
        <f>IF('(Tables)'!AK1398=-1,0,IF('(Tables)'!AK1398=0,D27,'(Tables)'!AJ1408-B42))-B47</f>
        <v>0</v>
      </c>
      <c r="C32" s="189">
        <f>IF('(Tables)'!AL1398=-1,0,IF('(Tables)'!AL1398=0,D27,B32-C42))-C47</f>
        <v>0</v>
      </c>
      <c r="D32" s="189">
        <f>IF('(Tables)'!AM1398=-1,0,IF('(Tables)'!AM1398=0,D27,C32-D42))-D47</f>
        <v>0</v>
      </c>
      <c r="E32" s="189">
        <f>IF('(Tables)'!AN1398=-1,0,IF('(Tables)'!AN1398=0,D27,D32-E42))-E47</f>
        <v>0</v>
      </c>
      <c r="F32" s="190">
        <f>SUM(C32:E32)</f>
        <v>0</v>
      </c>
      <c r="G32" s="189">
        <f>IF('(Tables)'!AO1398=-1,0,IF('(Tables)'!AO1398=0,D27,E32-G42))-G47</f>
        <v>0</v>
      </c>
      <c r="H32" s="189">
        <f>IF('(Tables)'!AP1398=-1,0,IF('(Tables)'!AP1398=0,D27,G32-H42))-H47</f>
        <v>0</v>
      </c>
      <c r="I32" s="189">
        <f>IF('(Tables)'!AQ1398=-1,0,IF('(Tables)'!AQ1398=0,D27,H32-I42))-I47</f>
        <v>0</v>
      </c>
      <c r="J32" s="190">
        <f>SUM(G32:I32)</f>
        <v>0</v>
      </c>
      <c r="K32" s="189">
        <f>IF('(Tables)'!AR1398=-1,0,IF('(Tables)'!AR1398=0,D27,I32-K42))-K47</f>
        <v>0</v>
      </c>
      <c r="L32" s="189">
        <f>IF('(Tables)'!AS1398=-1,0,IF('(Tables)'!AS1398=0,D27,K32-L42))-L47</f>
        <v>0</v>
      </c>
      <c r="M32" s="189">
        <f>IF('(Tables)'!AT1398=-1,0,IF('(Tables)'!AT1398=0,D27,L32-M42))-M47</f>
        <v>0</v>
      </c>
      <c r="N32" s="190">
        <f>SUM(K32:M32)</f>
        <v>0</v>
      </c>
      <c r="O32" s="189">
        <f>IF('(Tables)'!AU1398=-1,0,IF('(Tables)'!AU1398=0,D27,M32-O42))-O47</f>
        <v>0</v>
      </c>
      <c r="P32" s="189">
        <f>IF('(Tables)'!AV1398=-1,0,IF('(Tables)'!AV1398=0,D27,O32-P42))-P47</f>
        <v>0</v>
      </c>
      <c r="Q32" s="189">
        <f>IF('(Tables)'!AW1398=-1,0,IF('(Tables)'!AW1398=0,D27,P32-Q42))-Q47</f>
        <v>0</v>
      </c>
      <c r="R32" s="190">
        <f>SUM(O32:Q32)</f>
        <v>0</v>
      </c>
      <c r="S32" s="189">
        <f>IF('(Tables)'!AX1398=-1,0,IF('(Tables)'!AX1398=0,D27,Q32-S42))-S47</f>
        <v>0</v>
      </c>
      <c r="T32" s="189">
        <f>IF('(Tables)'!AY1398=-1,0,IF('(Tables)'!AY1398=0,D27,S32-T42))-T47</f>
        <v>0</v>
      </c>
      <c r="U32" s="189">
        <f>IF('(Tables)'!AZ1398=-1,0,IF('(Tables)'!AZ1398=0,D27,T32-U42))-U47</f>
        <v>0</v>
      </c>
      <c r="V32" s="190">
        <f>SUM(S32:U32)</f>
        <v>0</v>
      </c>
      <c r="W32" s="189">
        <f>IF('(Tables)'!BA1398=-1,0,IF('(Tables)'!BA1398=0,D27,U32-W42))-W47</f>
        <v>0</v>
      </c>
      <c r="X32" s="189">
        <f>IF('(Tables)'!BB1398=-1,0,IF('(Tables)'!BB1398=0,D27,W32-X42))-X47</f>
        <v>0</v>
      </c>
      <c r="Y32" s="189">
        <f>IF('(Tables)'!BC1398=-1,0,IF('(Tables)'!BC1398=0,D27,X32-Y42))-Y47</f>
        <v>0</v>
      </c>
      <c r="Z32" s="190">
        <f>SUM(W32:Y32)</f>
        <v>0</v>
      </c>
    </row>
    <row r="33" spans="1:26" ht="12.75" hidden="1" customHeight="1" outlineLevel="1" x14ac:dyDescent="0.2">
      <c r="A33" s="191" t="str">
        <f>"   "&amp;Labels!C305</f>
        <v xml:space="preserve">   Total</v>
      </c>
      <c r="B33" s="192">
        <f>SUM(B31:B32)</f>
        <v>0</v>
      </c>
      <c r="C33" s="192">
        <f>SUM(C31:C32)</f>
        <v>0</v>
      </c>
      <c r="D33" s="192">
        <f>SUM(D31:D32)</f>
        <v>0</v>
      </c>
      <c r="E33" s="192">
        <f>SUM(E31:E32)</f>
        <v>0</v>
      </c>
      <c r="F33" s="190">
        <f>SUM(C33:E33)</f>
        <v>0</v>
      </c>
      <c r="G33" s="192">
        <f>SUM(G31:G32)</f>
        <v>0</v>
      </c>
      <c r="H33" s="192">
        <f>SUM(H31:H32)</f>
        <v>0</v>
      </c>
      <c r="I33" s="192">
        <f>SUM(I31:I32)</f>
        <v>0</v>
      </c>
      <c r="J33" s="190">
        <f>SUM(G33:I33)</f>
        <v>0</v>
      </c>
      <c r="K33" s="192">
        <f>SUM(K31:K32)</f>
        <v>0</v>
      </c>
      <c r="L33" s="192">
        <f>SUM(L31:L32)</f>
        <v>0</v>
      </c>
      <c r="M33" s="192">
        <f>SUM(M31:M32)</f>
        <v>0</v>
      </c>
      <c r="N33" s="190">
        <f>SUM(K33:M33)</f>
        <v>0</v>
      </c>
      <c r="O33" s="192">
        <f>SUM(O31:O32)</f>
        <v>0</v>
      </c>
      <c r="P33" s="192">
        <f>SUM(P31:P32)</f>
        <v>0</v>
      </c>
      <c r="Q33" s="192">
        <f>SUM(Q31:Q32)</f>
        <v>0</v>
      </c>
      <c r="R33" s="190">
        <f>SUM(O33:Q33)</f>
        <v>0</v>
      </c>
      <c r="S33" s="192">
        <f>SUM(S31:S32)</f>
        <v>0</v>
      </c>
      <c r="T33" s="192">
        <f>SUM(T31:T32)</f>
        <v>0</v>
      </c>
      <c r="U33" s="192">
        <f>SUM(U31:U32)</f>
        <v>0</v>
      </c>
      <c r="V33" s="190">
        <f>SUM(S33:U33)</f>
        <v>0</v>
      </c>
      <c r="W33" s="192">
        <f>SUM(W31:W32)</f>
        <v>0</v>
      </c>
      <c r="X33" s="192">
        <f>SUM(X31:X32)</f>
        <v>0</v>
      </c>
      <c r="Y33" s="192">
        <f>SUM(Y31:Y32)</f>
        <v>0</v>
      </c>
      <c r="Z33" s="190">
        <f>SUM(W33:Y33)</f>
        <v>0</v>
      </c>
    </row>
    <row r="34" spans="1:26" ht="12.75" hidden="1" customHeight="1" outlineLevel="1" x14ac:dyDescent="0.2">
      <c r="A34" s="97"/>
      <c r="B34" s="6"/>
      <c r="C34" s="6"/>
      <c r="D34" s="6"/>
      <c r="E34" s="6"/>
      <c r="F34" s="97"/>
      <c r="G34" s="6"/>
      <c r="H34" s="6"/>
      <c r="I34" s="6"/>
      <c r="J34" s="97"/>
      <c r="K34" s="6"/>
      <c r="L34" s="6"/>
      <c r="M34" s="6"/>
      <c r="N34" s="97"/>
      <c r="O34" s="6"/>
      <c r="P34" s="6"/>
      <c r="Q34" s="6"/>
      <c r="R34" s="97"/>
      <c r="S34" s="6"/>
      <c r="T34" s="6"/>
      <c r="U34" s="6"/>
      <c r="V34" s="97"/>
      <c r="W34" s="6"/>
      <c r="X34" s="6"/>
      <c r="Y34" s="6"/>
      <c r="Z34" s="97"/>
    </row>
    <row r="35" spans="1:26" ht="12.75" hidden="1" customHeight="1" outlineLevel="1" x14ac:dyDescent="0.2">
      <c r="A35" s="191" t="str">
        <f>Labels!B275</f>
        <v>Tagged Asset Purch</v>
      </c>
      <c r="B35" s="192"/>
      <c r="C35" s="192"/>
      <c r="D35" s="192"/>
      <c r="E35" s="192"/>
      <c r="F35" s="190"/>
      <c r="G35" s="192"/>
      <c r="H35" s="192"/>
      <c r="I35" s="192"/>
      <c r="J35" s="190"/>
      <c r="K35" s="192"/>
      <c r="L35" s="192"/>
      <c r="M35" s="192"/>
      <c r="N35" s="190"/>
      <c r="O35" s="192"/>
      <c r="P35" s="192"/>
      <c r="Q35" s="192"/>
      <c r="R35" s="190"/>
      <c r="S35" s="192"/>
      <c r="T35" s="192"/>
      <c r="U35" s="192"/>
      <c r="V35" s="190"/>
      <c r="W35" s="192"/>
      <c r="X35" s="192"/>
      <c r="Y35" s="192"/>
      <c r="Z35" s="190"/>
    </row>
    <row r="36" spans="1:26" ht="12.75" hidden="1" customHeight="1" outlineLevel="1" x14ac:dyDescent="0.2">
      <c r="A36" s="188" t="str">
        <f>"   "&amp;Labels!B306</f>
        <v xml:space="preserve">   Building A</v>
      </c>
      <c r="B36" s="189">
        <f>IF(AND('(FnCalls 1)'!A40&lt;=C26,C26&lt;='(FnCalls 1)'!A41-1),D26,0)</f>
        <v>0</v>
      </c>
      <c r="C36" s="189">
        <f>IF(AND('(FnCalls 1)'!A41&lt;=C26,C26&lt;='(FnCalls 1)'!A42-1),D26,0)</f>
        <v>0</v>
      </c>
      <c r="D36" s="189">
        <f>IF(AND('(FnCalls 1)'!A42&lt;=C26,C26&lt;='(FnCalls 1)'!A43-1),D26,0)</f>
        <v>0</v>
      </c>
      <c r="E36" s="189">
        <f>IF(AND('(FnCalls 1)'!A43&lt;=C26,C26&lt;='(FnCalls 1)'!A44-1),D26,0)</f>
        <v>0</v>
      </c>
      <c r="F36" s="190">
        <f>SUM(C36:E36)</f>
        <v>0</v>
      </c>
      <c r="G36" s="189">
        <f>IF(AND('(FnCalls 1)'!A44&lt;=C26,C26&lt;='(FnCalls 1)'!A45-1),D26,0)</f>
        <v>0</v>
      </c>
      <c r="H36" s="189">
        <f>IF(AND('(FnCalls 1)'!A45&lt;=C26,C26&lt;='(FnCalls 1)'!A46-1),D26,0)</f>
        <v>0</v>
      </c>
      <c r="I36" s="189">
        <f>IF(AND('(FnCalls 1)'!A46&lt;=C26,C26&lt;='(FnCalls 1)'!A47-1),D26,0)</f>
        <v>0</v>
      </c>
      <c r="J36" s="190">
        <f>SUM(G36:I36)</f>
        <v>0</v>
      </c>
      <c r="K36" s="189">
        <f>IF(AND('(FnCalls 1)'!A47&lt;=C26,C26&lt;='(FnCalls 1)'!A48-1),D26,0)</f>
        <v>0</v>
      </c>
      <c r="L36" s="189">
        <f>IF(AND('(FnCalls 1)'!A48&lt;=C26,C26&lt;='(FnCalls 1)'!A49-1),D26,0)</f>
        <v>0</v>
      </c>
      <c r="M36" s="189">
        <f>IF(AND('(FnCalls 1)'!A49&lt;=C26,C26&lt;='(FnCalls 1)'!A50-1),D26,0)</f>
        <v>0</v>
      </c>
      <c r="N36" s="190">
        <f>SUM(K36:M36)</f>
        <v>0</v>
      </c>
      <c r="O36" s="189">
        <f>IF(AND('(FnCalls 1)'!A50&lt;=C26,C26&lt;='(FnCalls 1)'!A51-1),D26,0)</f>
        <v>0</v>
      </c>
      <c r="P36" s="189">
        <f>IF(AND('(FnCalls 1)'!A51&lt;=C26,C26&lt;='(FnCalls 1)'!A52-1),D26,0)</f>
        <v>0</v>
      </c>
      <c r="Q36" s="189">
        <f>IF(AND('(FnCalls 1)'!A52&lt;=C26,C26&lt;='(FnCalls 1)'!A53-1),D26,0)</f>
        <v>0</v>
      </c>
      <c r="R36" s="190">
        <f>SUM(O36:Q36)</f>
        <v>0</v>
      </c>
      <c r="S36" s="189">
        <f>IF(AND('(FnCalls 1)'!A53&lt;=C26,C26&lt;='(FnCalls 1)'!A54-1),D26,0)</f>
        <v>0</v>
      </c>
      <c r="T36" s="189">
        <f>IF(AND('(FnCalls 1)'!A54&lt;=C26,C26&lt;='(FnCalls 1)'!A55-1),D26,0)</f>
        <v>0</v>
      </c>
      <c r="U36" s="189">
        <f>IF(AND('(FnCalls 1)'!A55&lt;=C26,C26&lt;='(FnCalls 1)'!A56-1),D26,0)</f>
        <v>0</v>
      </c>
      <c r="V36" s="190">
        <f>SUM(S36:U36)</f>
        <v>0</v>
      </c>
      <c r="W36" s="189">
        <f>IF(AND('(FnCalls 1)'!A56&lt;=C26,C26&lt;='(FnCalls 1)'!A57-1),D26,0)</f>
        <v>0</v>
      </c>
      <c r="X36" s="189">
        <f>IF(AND('(FnCalls 1)'!A57&lt;=C26,C26&lt;='(FnCalls 1)'!A58-1),D26,0)</f>
        <v>0</v>
      </c>
      <c r="Y36" s="189">
        <f>IF(AND('(FnCalls 1)'!A58&lt;=C26,C26&lt;='(FnCalls 1)'!A59-1),D26,0)</f>
        <v>0</v>
      </c>
      <c r="Z36" s="190">
        <f>SUM(W36:Y36)</f>
        <v>0</v>
      </c>
    </row>
    <row r="37" spans="1:26" ht="12.75" hidden="1" customHeight="1" outlineLevel="1" x14ac:dyDescent="0.2">
      <c r="A37" s="188" t="str">
        <f>"   "&amp;Labels!B307</f>
        <v xml:space="preserve">   Building B</v>
      </c>
      <c r="B37" s="189">
        <f>IF(AND('(FnCalls 1)'!A40&lt;=C27,C27&lt;='(FnCalls 1)'!A41-1),D27,0)</f>
        <v>0</v>
      </c>
      <c r="C37" s="189">
        <f>IF(AND('(FnCalls 1)'!A41&lt;=C27,C27&lt;='(FnCalls 1)'!A42-1),D27,0)</f>
        <v>0</v>
      </c>
      <c r="D37" s="189">
        <f>IF(AND('(FnCalls 1)'!A42&lt;=C27,C27&lt;='(FnCalls 1)'!A43-1),D27,0)</f>
        <v>0</v>
      </c>
      <c r="E37" s="189">
        <f>IF(AND('(FnCalls 1)'!A43&lt;=C27,C27&lt;='(FnCalls 1)'!A44-1),D27,0)</f>
        <v>0</v>
      </c>
      <c r="F37" s="190">
        <f>SUM(C37:E37)</f>
        <v>0</v>
      </c>
      <c r="G37" s="189">
        <f>IF(AND('(FnCalls 1)'!A44&lt;=C27,C27&lt;='(FnCalls 1)'!A45-1),D27,0)</f>
        <v>0</v>
      </c>
      <c r="H37" s="189">
        <f>IF(AND('(FnCalls 1)'!A45&lt;=C27,C27&lt;='(FnCalls 1)'!A46-1),D27,0)</f>
        <v>0</v>
      </c>
      <c r="I37" s="189">
        <f>IF(AND('(FnCalls 1)'!A46&lt;=C27,C27&lt;='(FnCalls 1)'!A47-1),D27,0)</f>
        <v>0</v>
      </c>
      <c r="J37" s="190">
        <f>SUM(G37:I37)</f>
        <v>0</v>
      </c>
      <c r="K37" s="189">
        <f>IF(AND('(FnCalls 1)'!A47&lt;=C27,C27&lt;='(FnCalls 1)'!A48-1),D27,0)</f>
        <v>0</v>
      </c>
      <c r="L37" s="189">
        <f>IF(AND('(FnCalls 1)'!A48&lt;=C27,C27&lt;='(FnCalls 1)'!A49-1),D27,0)</f>
        <v>0</v>
      </c>
      <c r="M37" s="189">
        <f>IF(AND('(FnCalls 1)'!A49&lt;=C27,C27&lt;='(FnCalls 1)'!A50-1),D27,0)</f>
        <v>0</v>
      </c>
      <c r="N37" s="190">
        <f>SUM(K37:M37)</f>
        <v>0</v>
      </c>
      <c r="O37" s="189">
        <f>IF(AND('(FnCalls 1)'!A50&lt;=C27,C27&lt;='(FnCalls 1)'!A51-1),D27,0)</f>
        <v>0</v>
      </c>
      <c r="P37" s="189">
        <f>IF(AND('(FnCalls 1)'!A51&lt;=C27,C27&lt;='(FnCalls 1)'!A52-1),D27,0)</f>
        <v>0</v>
      </c>
      <c r="Q37" s="189">
        <f>IF(AND('(FnCalls 1)'!A52&lt;=C27,C27&lt;='(FnCalls 1)'!A53-1),D27,0)</f>
        <v>0</v>
      </c>
      <c r="R37" s="190">
        <f>SUM(O37:Q37)</f>
        <v>0</v>
      </c>
      <c r="S37" s="189">
        <f>IF(AND('(FnCalls 1)'!A53&lt;=C27,C27&lt;='(FnCalls 1)'!A54-1),D27,0)</f>
        <v>0</v>
      </c>
      <c r="T37" s="189">
        <f>IF(AND('(FnCalls 1)'!A54&lt;=C27,C27&lt;='(FnCalls 1)'!A55-1),D27,0)</f>
        <v>0</v>
      </c>
      <c r="U37" s="189">
        <f>IF(AND('(FnCalls 1)'!A55&lt;=C27,C27&lt;='(FnCalls 1)'!A56-1),D27,0)</f>
        <v>0</v>
      </c>
      <c r="V37" s="190">
        <f>SUM(S37:U37)</f>
        <v>0</v>
      </c>
      <c r="W37" s="189">
        <f>IF(AND('(FnCalls 1)'!A56&lt;=C27,C27&lt;='(FnCalls 1)'!A57-1),D27,0)</f>
        <v>0</v>
      </c>
      <c r="X37" s="189">
        <f>IF(AND('(FnCalls 1)'!A57&lt;=C27,C27&lt;='(FnCalls 1)'!A58-1),D27,0)</f>
        <v>0</v>
      </c>
      <c r="Y37" s="189">
        <f>IF(AND('(FnCalls 1)'!A58&lt;=C27,C27&lt;='(FnCalls 1)'!A59-1),D27,0)</f>
        <v>0</v>
      </c>
      <c r="Z37" s="190">
        <f>SUM(W37:Y37)</f>
        <v>0</v>
      </c>
    </row>
    <row r="38" spans="1:26" ht="12.75" hidden="1" customHeight="1" outlineLevel="1" x14ac:dyDescent="0.2">
      <c r="A38" s="191" t="str">
        <f>"   "&amp;Labels!C305</f>
        <v xml:space="preserve">   Total</v>
      </c>
      <c r="B38" s="192">
        <f>SUM(B36:B37)</f>
        <v>0</v>
      </c>
      <c r="C38" s="192">
        <f>SUM(C36:C37)</f>
        <v>0</v>
      </c>
      <c r="D38" s="192">
        <f>SUM(D36:D37)</f>
        <v>0</v>
      </c>
      <c r="E38" s="192">
        <f>SUM(E36:E37)</f>
        <v>0</v>
      </c>
      <c r="F38" s="190">
        <f>SUM(C38:E38)</f>
        <v>0</v>
      </c>
      <c r="G38" s="192">
        <f>SUM(G36:G37)</f>
        <v>0</v>
      </c>
      <c r="H38" s="192">
        <f>SUM(H36:H37)</f>
        <v>0</v>
      </c>
      <c r="I38" s="192">
        <f>SUM(I36:I37)</f>
        <v>0</v>
      </c>
      <c r="J38" s="190">
        <f>SUM(G38:I38)</f>
        <v>0</v>
      </c>
      <c r="K38" s="192">
        <f>SUM(K36:K37)</f>
        <v>0</v>
      </c>
      <c r="L38" s="192">
        <f>SUM(L36:L37)</f>
        <v>0</v>
      </c>
      <c r="M38" s="192">
        <f>SUM(M36:M37)</f>
        <v>0</v>
      </c>
      <c r="N38" s="190">
        <f>SUM(K38:M38)</f>
        <v>0</v>
      </c>
      <c r="O38" s="192">
        <f>SUM(O36:O37)</f>
        <v>0</v>
      </c>
      <c r="P38" s="192">
        <f>SUM(P36:P37)</f>
        <v>0</v>
      </c>
      <c r="Q38" s="192">
        <f>SUM(Q36:Q37)</f>
        <v>0</v>
      </c>
      <c r="R38" s="190">
        <f>SUM(O38:Q38)</f>
        <v>0</v>
      </c>
      <c r="S38" s="192">
        <f>SUM(S36:S37)</f>
        <v>0</v>
      </c>
      <c r="T38" s="192">
        <f>SUM(T36:T37)</f>
        <v>0</v>
      </c>
      <c r="U38" s="192">
        <f>SUM(U36:U37)</f>
        <v>0</v>
      </c>
      <c r="V38" s="190">
        <f>SUM(S38:U38)</f>
        <v>0</v>
      </c>
      <c r="W38" s="192">
        <f>SUM(W36:W37)</f>
        <v>0</v>
      </c>
      <c r="X38" s="192">
        <f>SUM(X36:X37)</f>
        <v>0</v>
      </c>
      <c r="Y38" s="192">
        <f>SUM(Y36:Y37)</f>
        <v>0</v>
      </c>
      <c r="Z38" s="190">
        <f>SUM(W38:Y38)</f>
        <v>0</v>
      </c>
    </row>
    <row r="39" spans="1:26" ht="12.75" hidden="1" customHeight="1" outlineLevel="1" x14ac:dyDescent="0.2">
      <c r="A39" s="97"/>
      <c r="B39" s="6"/>
      <c r="C39" s="6"/>
      <c r="D39" s="6"/>
      <c r="E39" s="6"/>
      <c r="F39" s="97"/>
      <c r="G39" s="6"/>
      <c r="H39" s="6"/>
      <c r="I39" s="6"/>
      <c r="J39" s="97"/>
      <c r="K39" s="6"/>
      <c r="L39" s="6"/>
      <c r="M39" s="6"/>
      <c r="N39" s="97"/>
      <c r="O39" s="6"/>
      <c r="P39" s="6"/>
      <c r="Q39" s="6"/>
      <c r="R39" s="97"/>
      <c r="S39" s="6"/>
      <c r="T39" s="6"/>
      <c r="U39" s="6"/>
      <c r="V39" s="97"/>
      <c r="W39" s="6"/>
      <c r="X39" s="6"/>
      <c r="Y39" s="6"/>
      <c r="Z39" s="97"/>
    </row>
    <row r="40" spans="1:26" ht="12.75" hidden="1" customHeight="1" outlineLevel="1" x14ac:dyDescent="0.2">
      <c r="A40" s="191" t="str">
        <f>Labels!B266</f>
        <v>Depreciation</v>
      </c>
      <c r="B40" s="192"/>
      <c r="C40" s="192"/>
      <c r="D40" s="192"/>
      <c r="E40" s="192"/>
      <c r="F40" s="190"/>
      <c r="G40" s="192"/>
      <c r="H40" s="192"/>
      <c r="I40" s="192"/>
      <c r="J40" s="190"/>
      <c r="K40" s="192"/>
      <c r="L40" s="192"/>
      <c r="M40" s="192"/>
      <c r="N40" s="190"/>
      <c r="O40" s="192"/>
      <c r="P40" s="192"/>
      <c r="Q40" s="192"/>
      <c r="R40" s="190"/>
      <c r="S40" s="192"/>
      <c r="T40" s="192"/>
      <c r="U40" s="192"/>
      <c r="V40" s="190"/>
      <c r="W40" s="192"/>
      <c r="X40" s="192"/>
      <c r="Y40" s="192"/>
      <c r="Z40" s="190"/>
    </row>
    <row r="41" spans="1:26" ht="12.75" hidden="1" customHeight="1" outlineLevel="1" x14ac:dyDescent="0.2">
      <c r="A41" s="188" t="str">
        <f>"   "&amp;Labels!B306</f>
        <v xml:space="preserve">   Building A</v>
      </c>
      <c r="B41" s="189">
        <f>IF('(Tables)'!AK1397&lt;=0,0,IF(E26="None",0,IF(E26="SYD",SYD(D26,H26,F26*12,'(Tables)'!AK1397),MIN('(Tables)'!AJ1407-H26,MAX(SLN(D26,H26,F26*12))))))</f>
        <v>0</v>
      </c>
      <c r="C41" s="189">
        <f>IF('(Tables)'!AL1397&lt;=0,0,IF(E26="None",0,IF(E26="SYD",SYD(D26,H26,F26*12,'(Tables)'!AL1397),MIN(B31-H26,MAX(SLN(D26,H26,F26*12))))))</f>
        <v>0</v>
      </c>
      <c r="D41" s="189">
        <f>IF('(Tables)'!AM1397&lt;=0,0,IF(E26="None",0,IF(E26="SYD",SYD(D26,H26,F26*12,'(Tables)'!AM1397),MIN(C31-H26,MAX(SLN(D26,H26,F26*12))))))</f>
        <v>0</v>
      </c>
      <c r="E41" s="189">
        <f>IF('(Tables)'!AN1397&lt;=0,0,IF(E26="None",0,IF(E26="SYD",SYD(D26,H26,F26*12,'(Tables)'!AN1397),MIN(D31-H26,MAX(SLN(D26,H26,F26*12))))))</f>
        <v>0</v>
      </c>
      <c r="F41" s="190">
        <f>SUM(C41:E41)</f>
        <v>0</v>
      </c>
      <c r="G41" s="189">
        <f>IF('(Tables)'!AO1397&lt;=0,0,IF(E26="None",0,IF(E26="SYD",SYD(D26,H26,F26*12,'(Tables)'!AO1397),MIN(E31-H26,MAX(SLN(D26,H26,F26*12))))))</f>
        <v>0</v>
      </c>
      <c r="H41" s="189">
        <f>IF('(Tables)'!AP1397&lt;=0,0,IF(E26="None",0,IF(E26="SYD",SYD(D26,H26,F26*12,'(Tables)'!AP1397),MIN(G31-H26,MAX(SLN(D26,H26,F26*12))))))</f>
        <v>0</v>
      </c>
      <c r="I41" s="189">
        <f>IF('(Tables)'!AQ1397&lt;=0,0,IF(E26="None",0,IF(E26="SYD",SYD(D26,H26,F26*12,'(Tables)'!AQ1397),MIN(H31-H26,MAX(SLN(D26,H26,F26*12))))))</f>
        <v>0</v>
      </c>
      <c r="J41" s="190">
        <f>SUM(G41:I41)</f>
        <v>0</v>
      </c>
      <c r="K41" s="189">
        <f>IF('(Tables)'!AR1397&lt;=0,0,IF(E26="None",0,IF(E26="SYD",SYD(D26,H26,F26*12,'(Tables)'!AR1397),MIN(I31-H26,MAX(SLN(D26,H26,F26*12))))))</f>
        <v>0</v>
      </c>
      <c r="L41" s="189">
        <f>IF('(Tables)'!AS1397&lt;=0,0,IF(E26="None",0,IF(E26="SYD",SYD(D26,H26,F26*12,'(Tables)'!AS1397),MIN(K31-H26,MAX(SLN(D26,H26,F26*12))))))</f>
        <v>0</v>
      </c>
      <c r="M41" s="189">
        <f>IF('(Tables)'!AT1397&lt;=0,0,IF(E26="None",0,IF(E26="SYD",SYD(D26,H26,F26*12,'(Tables)'!AT1397),MIN(L31-H26,MAX(SLN(D26,H26,F26*12))))))</f>
        <v>0</v>
      </c>
      <c r="N41" s="190">
        <f>SUM(K41:M41)</f>
        <v>0</v>
      </c>
      <c r="O41" s="189">
        <f>IF('(Tables)'!AU1397&lt;=0,0,IF(E26="None",0,IF(E26="SYD",SYD(D26,H26,F26*12,'(Tables)'!AU1397),MIN(M31-H26,MAX(SLN(D26,H26,F26*12))))))</f>
        <v>0</v>
      </c>
      <c r="P41" s="189">
        <f>IF('(Tables)'!AV1397&lt;=0,0,IF(E26="None",0,IF(E26="SYD",SYD(D26,H26,F26*12,'(Tables)'!AV1397),MIN(O31-H26,MAX(SLN(D26,H26,F26*12))))))</f>
        <v>0</v>
      </c>
      <c r="Q41" s="189">
        <f>IF('(Tables)'!AW1397&lt;=0,0,IF(E26="None",0,IF(E26="SYD",SYD(D26,H26,F26*12,'(Tables)'!AW1397),MIN(P31-H26,MAX(SLN(D26,H26,F26*12))))))</f>
        <v>0</v>
      </c>
      <c r="R41" s="190">
        <f>SUM(O41:Q41)</f>
        <v>0</v>
      </c>
      <c r="S41" s="189">
        <f>IF('(Tables)'!AX1397&lt;=0,0,IF(E26="None",0,IF(E26="SYD",SYD(D26,H26,F26*12,'(Tables)'!AX1397),MIN(Q31-H26,MAX(SLN(D26,H26,F26*12))))))</f>
        <v>0</v>
      </c>
      <c r="T41" s="189">
        <f>IF('(Tables)'!AY1397&lt;=0,0,IF(E26="None",0,IF(E26="SYD",SYD(D26,H26,F26*12,'(Tables)'!AY1397),MIN(S31-H26,MAX(SLN(D26,H26,F26*12))))))</f>
        <v>0</v>
      </c>
      <c r="U41" s="189">
        <f>IF('(Tables)'!AZ1397&lt;=0,0,IF(E26="None",0,IF(E26="SYD",SYD(D26,H26,F26*12,'(Tables)'!AZ1397),MIN(T31-H26,MAX(SLN(D26,H26,F26*12))))))</f>
        <v>0</v>
      </c>
      <c r="V41" s="190">
        <f>SUM(S41:U41)</f>
        <v>0</v>
      </c>
      <c r="W41" s="189">
        <f>IF('(Tables)'!BA1397&lt;=0,0,IF(E26="None",0,IF(E26="SYD",SYD(D26,H26,F26*12,'(Tables)'!BA1397),MIN(U31-H26,MAX(SLN(D26,H26,F26*12))))))</f>
        <v>0</v>
      </c>
      <c r="X41" s="189">
        <f>IF('(Tables)'!BB1397&lt;=0,0,IF(E26="None",0,IF(E26="SYD",SYD(D26,H26,F26*12,'(Tables)'!BB1397),MIN(W31-H26,MAX(SLN(D26,H26,F26*12))))))</f>
        <v>0</v>
      </c>
      <c r="Y41" s="189">
        <f>IF('(Tables)'!BC1397&lt;=0,0,IF(E26="None",0,IF(E26="SYD",SYD(D26,H26,F26*12,'(Tables)'!BC1397),MIN(X31-H26,MAX(SLN(D26,H26,F26*12))))))</f>
        <v>0</v>
      </c>
      <c r="Z41" s="190">
        <f>SUM(W41:Y41)</f>
        <v>0</v>
      </c>
    </row>
    <row r="42" spans="1:26" ht="12.75" hidden="1" customHeight="1" outlineLevel="1" x14ac:dyDescent="0.2">
      <c r="A42" s="188" t="str">
        <f>"   "&amp;Labels!B307</f>
        <v xml:space="preserve">   Building B</v>
      </c>
      <c r="B42" s="189">
        <f>IF('(Tables)'!AK1398&lt;=0,0,IF(E27="None",0,IF(E27="SYD",SYD(D27,H27,F27*12,'(Tables)'!AK1398),MIN('(Tables)'!AJ1408-H27,MAX(SLN(D27,H27,F27*12))))))</f>
        <v>0</v>
      </c>
      <c r="C42" s="189">
        <f>IF('(Tables)'!AL1398&lt;=0,0,IF(E27="None",0,IF(E27="SYD",SYD(D27,H27,F27*12,'(Tables)'!AL1398),MIN(B32-H27,MAX(SLN(D27,H27,F27*12))))))</f>
        <v>0</v>
      </c>
      <c r="D42" s="189">
        <f>IF('(Tables)'!AM1398&lt;=0,0,IF(E27="None",0,IF(E27="SYD",SYD(D27,H27,F27*12,'(Tables)'!AM1398),MIN(C32-H27,MAX(SLN(D27,H27,F27*12))))))</f>
        <v>0</v>
      </c>
      <c r="E42" s="189">
        <f>IF('(Tables)'!AN1398&lt;=0,0,IF(E27="None",0,IF(E27="SYD",SYD(D27,H27,F27*12,'(Tables)'!AN1398),MIN(D32-H27,MAX(SLN(D27,H27,F27*12))))))</f>
        <v>0</v>
      </c>
      <c r="F42" s="190">
        <f>SUM(C42:E42)</f>
        <v>0</v>
      </c>
      <c r="G42" s="189">
        <f>IF('(Tables)'!AO1398&lt;=0,0,IF(E27="None",0,IF(E27="SYD",SYD(D27,H27,F27*12,'(Tables)'!AO1398),MIN(E32-H27,MAX(SLN(D27,H27,F27*12))))))</f>
        <v>0</v>
      </c>
      <c r="H42" s="189">
        <f>IF('(Tables)'!AP1398&lt;=0,0,IF(E27="None",0,IF(E27="SYD",SYD(D27,H27,F27*12,'(Tables)'!AP1398),MIN(G32-H27,MAX(SLN(D27,H27,F27*12))))))</f>
        <v>0</v>
      </c>
      <c r="I42" s="189">
        <f>IF('(Tables)'!AQ1398&lt;=0,0,IF(E27="None",0,IF(E27="SYD",SYD(D27,H27,F27*12,'(Tables)'!AQ1398),MIN(H32-H27,MAX(SLN(D27,H27,F27*12))))))</f>
        <v>0</v>
      </c>
      <c r="J42" s="190">
        <f>SUM(G42:I42)</f>
        <v>0</v>
      </c>
      <c r="K42" s="189">
        <f>IF('(Tables)'!AR1398&lt;=0,0,IF(E27="None",0,IF(E27="SYD",SYD(D27,H27,F27*12,'(Tables)'!AR1398),MIN(I32-H27,MAX(SLN(D27,H27,F27*12))))))</f>
        <v>0</v>
      </c>
      <c r="L42" s="189">
        <f>IF('(Tables)'!AS1398&lt;=0,0,IF(E27="None",0,IF(E27="SYD",SYD(D27,H27,F27*12,'(Tables)'!AS1398),MIN(K32-H27,MAX(SLN(D27,H27,F27*12))))))</f>
        <v>0</v>
      </c>
      <c r="M42" s="189">
        <f>IF('(Tables)'!AT1398&lt;=0,0,IF(E27="None",0,IF(E27="SYD",SYD(D27,H27,F27*12,'(Tables)'!AT1398),MIN(L32-H27,MAX(SLN(D27,H27,F27*12))))))</f>
        <v>0</v>
      </c>
      <c r="N42" s="190">
        <f>SUM(K42:M42)</f>
        <v>0</v>
      </c>
      <c r="O42" s="189">
        <f>IF('(Tables)'!AU1398&lt;=0,0,IF(E27="None",0,IF(E27="SYD",SYD(D27,H27,F27*12,'(Tables)'!AU1398),MIN(M32-H27,MAX(SLN(D27,H27,F27*12))))))</f>
        <v>0</v>
      </c>
      <c r="P42" s="189">
        <f>IF('(Tables)'!AV1398&lt;=0,0,IF(E27="None",0,IF(E27="SYD",SYD(D27,H27,F27*12,'(Tables)'!AV1398),MIN(O32-H27,MAX(SLN(D27,H27,F27*12))))))</f>
        <v>0</v>
      </c>
      <c r="Q42" s="189">
        <f>IF('(Tables)'!AW1398&lt;=0,0,IF(E27="None",0,IF(E27="SYD",SYD(D27,H27,F27*12,'(Tables)'!AW1398),MIN(P32-H27,MAX(SLN(D27,H27,F27*12))))))</f>
        <v>0</v>
      </c>
      <c r="R42" s="190">
        <f>SUM(O42:Q42)</f>
        <v>0</v>
      </c>
      <c r="S42" s="189">
        <f>IF('(Tables)'!AX1398&lt;=0,0,IF(E27="None",0,IF(E27="SYD",SYD(D27,H27,F27*12,'(Tables)'!AX1398),MIN(Q32-H27,MAX(SLN(D27,H27,F27*12))))))</f>
        <v>0</v>
      </c>
      <c r="T42" s="189">
        <f>IF('(Tables)'!AY1398&lt;=0,0,IF(E27="None",0,IF(E27="SYD",SYD(D27,H27,F27*12,'(Tables)'!AY1398),MIN(S32-H27,MAX(SLN(D27,H27,F27*12))))))</f>
        <v>0</v>
      </c>
      <c r="U42" s="189">
        <f>IF('(Tables)'!AZ1398&lt;=0,0,IF(E27="None",0,IF(E27="SYD",SYD(D27,H27,F27*12,'(Tables)'!AZ1398),MIN(T32-H27,MAX(SLN(D27,H27,F27*12))))))</f>
        <v>0</v>
      </c>
      <c r="V42" s="190">
        <f>SUM(S42:U42)</f>
        <v>0</v>
      </c>
      <c r="W42" s="189">
        <f>IF('(Tables)'!BA1398&lt;=0,0,IF(E27="None",0,IF(E27="SYD",SYD(D27,H27,F27*12,'(Tables)'!BA1398),MIN(U32-H27,MAX(SLN(D27,H27,F27*12))))))</f>
        <v>0</v>
      </c>
      <c r="X42" s="189">
        <f>IF('(Tables)'!BB1398&lt;=0,0,IF(E27="None",0,IF(E27="SYD",SYD(D27,H27,F27*12,'(Tables)'!BB1398),MIN(W32-H27,MAX(SLN(D27,H27,F27*12))))))</f>
        <v>0</v>
      </c>
      <c r="Y42" s="189">
        <f>IF('(Tables)'!BC1398&lt;=0,0,IF(E27="None",0,IF(E27="SYD",SYD(D27,H27,F27*12,'(Tables)'!BC1398),MIN(X32-H27,MAX(SLN(D27,H27,F27*12))))))</f>
        <v>0</v>
      </c>
      <c r="Z42" s="190">
        <f>SUM(W42:Y42)</f>
        <v>0</v>
      </c>
    </row>
    <row r="43" spans="1:26" ht="12.75" hidden="1" customHeight="1" outlineLevel="1" x14ac:dyDescent="0.2">
      <c r="A43" s="191" t="str">
        <f>"   "&amp;Labels!C305</f>
        <v xml:space="preserve">   Total</v>
      </c>
      <c r="B43" s="192">
        <f>SUM(B41:B42)</f>
        <v>0</v>
      </c>
      <c r="C43" s="192">
        <f>SUM(C41:C42)</f>
        <v>0</v>
      </c>
      <c r="D43" s="192">
        <f>SUM(D41:D42)</f>
        <v>0</v>
      </c>
      <c r="E43" s="192">
        <f>SUM(E41:E42)</f>
        <v>0</v>
      </c>
      <c r="F43" s="190">
        <f>SUM(C43:E43)</f>
        <v>0</v>
      </c>
      <c r="G43" s="192">
        <f>SUM(G41:G42)</f>
        <v>0</v>
      </c>
      <c r="H43" s="192">
        <f>SUM(H41:H42)</f>
        <v>0</v>
      </c>
      <c r="I43" s="192">
        <f>SUM(I41:I42)</f>
        <v>0</v>
      </c>
      <c r="J43" s="190">
        <f>SUM(G43:I43)</f>
        <v>0</v>
      </c>
      <c r="K43" s="192">
        <f>SUM(K41:K42)</f>
        <v>0</v>
      </c>
      <c r="L43" s="192">
        <f>SUM(L41:L42)</f>
        <v>0</v>
      </c>
      <c r="M43" s="192">
        <f>SUM(M41:M42)</f>
        <v>0</v>
      </c>
      <c r="N43" s="190">
        <f>SUM(K43:M43)</f>
        <v>0</v>
      </c>
      <c r="O43" s="192">
        <f>SUM(O41:O42)</f>
        <v>0</v>
      </c>
      <c r="P43" s="192">
        <f>SUM(P41:P42)</f>
        <v>0</v>
      </c>
      <c r="Q43" s="192">
        <f>SUM(Q41:Q42)</f>
        <v>0</v>
      </c>
      <c r="R43" s="190">
        <f>SUM(O43:Q43)</f>
        <v>0</v>
      </c>
      <c r="S43" s="192">
        <f>SUM(S41:S42)</f>
        <v>0</v>
      </c>
      <c r="T43" s="192">
        <f>SUM(T41:T42)</f>
        <v>0</v>
      </c>
      <c r="U43" s="192">
        <f>SUM(U41:U42)</f>
        <v>0</v>
      </c>
      <c r="V43" s="190">
        <f>SUM(S43:U43)</f>
        <v>0</v>
      </c>
      <c r="W43" s="192">
        <f>SUM(W41:W42)</f>
        <v>0</v>
      </c>
      <c r="X43" s="192">
        <f>SUM(X41:X42)</f>
        <v>0</v>
      </c>
      <c r="Y43" s="192">
        <f>SUM(Y41:Y42)</f>
        <v>0</v>
      </c>
      <c r="Z43" s="190">
        <f>SUM(W43:Y43)</f>
        <v>0</v>
      </c>
    </row>
    <row r="44" spans="1:26" ht="12.75" hidden="1" customHeight="1" outlineLevel="1" x14ac:dyDescent="0.2">
      <c r="A44" s="97"/>
      <c r="B44" s="6"/>
      <c r="C44" s="6"/>
      <c r="D44" s="6"/>
      <c r="E44" s="6"/>
      <c r="F44" s="97"/>
      <c r="G44" s="6"/>
      <c r="H44" s="6"/>
      <c r="I44" s="6"/>
      <c r="J44" s="97"/>
      <c r="K44" s="6"/>
      <c r="L44" s="6"/>
      <c r="M44" s="6"/>
      <c r="N44" s="97"/>
      <c r="O44" s="6"/>
      <c r="P44" s="6"/>
      <c r="Q44" s="6"/>
      <c r="R44" s="97"/>
      <c r="S44" s="6"/>
      <c r="T44" s="6"/>
      <c r="U44" s="6"/>
      <c r="V44" s="97"/>
      <c r="W44" s="6"/>
      <c r="X44" s="6"/>
      <c r="Y44" s="6"/>
      <c r="Z44" s="97"/>
    </row>
    <row r="45" spans="1:26" ht="12.75" hidden="1" customHeight="1" outlineLevel="1" x14ac:dyDescent="0.2">
      <c r="A45" s="191" t="str">
        <f>Labels!B277</f>
        <v>Asset Salvage CF</v>
      </c>
      <c r="B45" s="192"/>
      <c r="C45" s="192"/>
      <c r="D45" s="192"/>
      <c r="E45" s="192"/>
      <c r="F45" s="190"/>
      <c r="G45" s="192"/>
      <c r="H45" s="192"/>
      <c r="I45" s="192"/>
      <c r="J45" s="190"/>
      <c r="K45" s="192"/>
      <c r="L45" s="192"/>
      <c r="M45" s="192"/>
      <c r="N45" s="190"/>
      <c r="O45" s="192"/>
      <c r="P45" s="192"/>
      <c r="Q45" s="192"/>
      <c r="R45" s="190"/>
      <c r="S45" s="192"/>
      <c r="T45" s="192"/>
      <c r="U45" s="192"/>
      <c r="V45" s="190"/>
      <c r="W45" s="192"/>
      <c r="X45" s="192"/>
      <c r="Y45" s="192"/>
      <c r="Z45" s="190"/>
    </row>
    <row r="46" spans="1:26" ht="12.75" hidden="1" customHeight="1" outlineLevel="1" x14ac:dyDescent="0.2">
      <c r="A46" s="188" t="str">
        <f>"   "&amp;Labels!B306</f>
        <v xml:space="preserve">   Building A</v>
      </c>
      <c r="B46" s="189">
        <f>IF(AND(DATE(YEAR('(FnCalls 1)'!A40),MONTH('(FnCalls 1)'!A40)+TRUNC((-'(Tables)'!B1417)),DAY('(FnCalls 1)'!A40))&lt;=C26,C26&lt;DATE(YEAR('(FnCalls 1)'!A40),MONTH('(FnCalls 1)'!A40)+TRUNC(1-'(Tables)'!B1417),DAY('(FnCalls 1)'!A40))),H26,0)</f>
        <v>0</v>
      </c>
      <c r="C46" s="189">
        <f>IF(AND(DATE(YEAR('(FnCalls 1)'!A41),MONTH('(FnCalls 1)'!A41)+TRUNC((-'(Tables)'!B1417)),DAY('(FnCalls 1)'!A41))&lt;=C26,C26&lt;DATE(YEAR('(FnCalls 1)'!A41),MONTH('(FnCalls 1)'!A41)+TRUNC(1-'(Tables)'!B1417),DAY('(FnCalls 1)'!A41))),H26,0)</f>
        <v>0</v>
      </c>
      <c r="D46" s="189">
        <f>IF(AND(DATE(YEAR('(FnCalls 1)'!A42),MONTH('(FnCalls 1)'!A42)+TRUNC((-'(Tables)'!B1417)),DAY('(FnCalls 1)'!A42))&lt;=C26,C26&lt;DATE(YEAR('(FnCalls 1)'!A42),MONTH('(FnCalls 1)'!A42)+TRUNC(1-'(Tables)'!B1417),DAY('(FnCalls 1)'!A42))),H26,0)</f>
        <v>0</v>
      </c>
      <c r="E46" s="189">
        <f>IF(AND(DATE(YEAR('(FnCalls 1)'!A43),MONTH('(FnCalls 1)'!A43)+TRUNC((-'(Tables)'!B1417)),DAY('(FnCalls 1)'!A43))&lt;=C26,C26&lt;DATE(YEAR('(FnCalls 1)'!A43),MONTH('(FnCalls 1)'!A43)+TRUNC(1-'(Tables)'!B1417),DAY('(FnCalls 1)'!A43))),H26,0)</f>
        <v>0</v>
      </c>
      <c r="F46" s="190">
        <f>SUM(C46:E46)</f>
        <v>0</v>
      </c>
      <c r="G46" s="189">
        <f>IF(AND(DATE(YEAR('(FnCalls 1)'!A44),MONTH('(FnCalls 1)'!A44)+TRUNC((-'(Tables)'!B1417)),DAY('(FnCalls 1)'!A44))&lt;=C26,C26&lt;DATE(YEAR('(FnCalls 1)'!A44),MONTH('(FnCalls 1)'!A44)+TRUNC(1-'(Tables)'!B1417),DAY('(FnCalls 1)'!A44))),H26,0)</f>
        <v>0</v>
      </c>
      <c r="H46" s="189">
        <f>IF(AND(DATE(YEAR('(FnCalls 1)'!A45),MONTH('(FnCalls 1)'!A45)+TRUNC((-'(Tables)'!B1417)),DAY('(FnCalls 1)'!A45))&lt;=C26,C26&lt;DATE(YEAR('(FnCalls 1)'!A45),MONTH('(FnCalls 1)'!A45)+TRUNC(1-'(Tables)'!B1417),DAY('(FnCalls 1)'!A45))),H26,0)</f>
        <v>0</v>
      </c>
      <c r="I46" s="189">
        <f>IF(AND(DATE(YEAR('(FnCalls 1)'!A46),MONTH('(FnCalls 1)'!A46)+TRUNC((-'(Tables)'!B1417)),DAY('(FnCalls 1)'!A46))&lt;=C26,C26&lt;DATE(YEAR('(FnCalls 1)'!A46),MONTH('(FnCalls 1)'!A46)+TRUNC(1-'(Tables)'!B1417),DAY('(FnCalls 1)'!A46))),H26,0)</f>
        <v>0</v>
      </c>
      <c r="J46" s="190">
        <f>SUM(G46:I46)</f>
        <v>0</v>
      </c>
      <c r="K46" s="189">
        <f>IF(AND(DATE(YEAR('(FnCalls 1)'!A47),MONTH('(FnCalls 1)'!A47)+TRUNC((-'(Tables)'!B1417)),DAY('(FnCalls 1)'!A47))&lt;=C26,C26&lt;DATE(YEAR('(FnCalls 1)'!A47),MONTH('(FnCalls 1)'!A47)+TRUNC(1-'(Tables)'!B1417),DAY('(FnCalls 1)'!A47))),H26,0)</f>
        <v>0</v>
      </c>
      <c r="L46" s="189">
        <f>IF(AND(DATE(YEAR('(FnCalls 1)'!A48),MONTH('(FnCalls 1)'!A48)+TRUNC((-'(Tables)'!B1417)),DAY('(FnCalls 1)'!A48))&lt;=C26,C26&lt;DATE(YEAR('(FnCalls 1)'!A48),MONTH('(FnCalls 1)'!A48)+TRUNC(1-'(Tables)'!B1417),DAY('(FnCalls 1)'!A48))),H26,0)</f>
        <v>0</v>
      </c>
      <c r="M46" s="189">
        <f>IF(AND(DATE(YEAR('(FnCalls 1)'!A49),MONTH('(FnCalls 1)'!A49)+TRUNC((-'(Tables)'!B1417)),DAY('(FnCalls 1)'!A49))&lt;=C26,C26&lt;DATE(YEAR('(FnCalls 1)'!A49),MONTH('(FnCalls 1)'!A49)+TRUNC(1-'(Tables)'!B1417),DAY('(FnCalls 1)'!A49))),H26,0)</f>
        <v>0</v>
      </c>
      <c r="N46" s="190">
        <f>SUM(K46:M46)</f>
        <v>0</v>
      </c>
      <c r="O46" s="189">
        <f>IF(AND(DATE(YEAR('(FnCalls 1)'!A50),MONTH('(FnCalls 1)'!A50)+TRUNC((-'(Tables)'!B1417)),DAY('(FnCalls 1)'!A50))&lt;=C26,C26&lt;DATE(YEAR('(FnCalls 1)'!A50),MONTH('(FnCalls 1)'!A50)+TRUNC(1-'(Tables)'!B1417),DAY('(FnCalls 1)'!A50))),H26,0)</f>
        <v>0</v>
      </c>
      <c r="P46" s="189">
        <f>IF(AND(DATE(YEAR('(FnCalls 1)'!A51),MONTH('(FnCalls 1)'!A51)+TRUNC((-'(Tables)'!B1417)),DAY('(FnCalls 1)'!A51))&lt;=C26,C26&lt;DATE(YEAR('(FnCalls 1)'!A51),MONTH('(FnCalls 1)'!A51)+TRUNC(1-'(Tables)'!B1417),DAY('(FnCalls 1)'!A51))),H26,0)</f>
        <v>0</v>
      </c>
      <c r="Q46" s="189">
        <f>IF(AND(DATE(YEAR('(FnCalls 1)'!A52),MONTH('(FnCalls 1)'!A52)+TRUNC((-'(Tables)'!B1417)),DAY('(FnCalls 1)'!A52))&lt;=C26,C26&lt;DATE(YEAR('(FnCalls 1)'!A52),MONTH('(FnCalls 1)'!A52)+TRUNC(1-'(Tables)'!B1417),DAY('(FnCalls 1)'!A52))),H26,0)</f>
        <v>0</v>
      </c>
      <c r="R46" s="190">
        <f>SUM(O46:Q46)</f>
        <v>0</v>
      </c>
      <c r="S46" s="189">
        <f>IF(AND(DATE(YEAR('(FnCalls 1)'!A53),MONTH('(FnCalls 1)'!A53)+TRUNC((-'(Tables)'!B1417)),DAY('(FnCalls 1)'!A53))&lt;=C26,C26&lt;DATE(YEAR('(FnCalls 1)'!A53),MONTH('(FnCalls 1)'!A53)+TRUNC(1-'(Tables)'!B1417),DAY('(FnCalls 1)'!A53))),H26,0)</f>
        <v>0</v>
      </c>
      <c r="T46" s="189">
        <f>IF(AND(DATE(YEAR('(FnCalls 1)'!A54),MONTH('(FnCalls 1)'!A54)+TRUNC((-'(Tables)'!B1417)),DAY('(FnCalls 1)'!A54))&lt;=C26,C26&lt;DATE(YEAR('(FnCalls 1)'!A54),MONTH('(FnCalls 1)'!A54)+TRUNC(1-'(Tables)'!B1417),DAY('(FnCalls 1)'!A54))),H26,0)</f>
        <v>0</v>
      </c>
      <c r="U46" s="189">
        <f>IF(AND(DATE(YEAR('(FnCalls 1)'!A55),MONTH('(FnCalls 1)'!A55)+TRUNC((-'(Tables)'!B1417)),DAY('(FnCalls 1)'!A55))&lt;=C26,C26&lt;DATE(YEAR('(FnCalls 1)'!A55),MONTH('(FnCalls 1)'!A55)+TRUNC(1-'(Tables)'!B1417),DAY('(FnCalls 1)'!A55))),H26,0)</f>
        <v>0</v>
      </c>
      <c r="V46" s="190">
        <f>SUM(S46:U46)</f>
        <v>0</v>
      </c>
      <c r="W46" s="189">
        <f>IF(AND(DATE(YEAR('(FnCalls 1)'!A56),MONTH('(FnCalls 1)'!A56)+TRUNC((-'(Tables)'!B1417)),DAY('(FnCalls 1)'!A56))&lt;=C26,C26&lt;DATE(YEAR('(FnCalls 1)'!A56),MONTH('(FnCalls 1)'!A56)+TRUNC(1-'(Tables)'!B1417),DAY('(FnCalls 1)'!A56))),H26,0)</f>
        <v>0</v>
      </c>
      <c r="X46" s="189">
        <f>IF(AND(DATE(YEAR('(FnCalls 1)'!A57),MONTH('(FnCalls 1)'!A57)+TRUNC((-'(Tables)'!B1417)),DAY('(FnCalls 1)'!A57))&lt;=C26,C26&lt;DATE(YEAR('(FnCalls 1)'!A57),MONTH('(FnCalls 1)'!A57)+TRUNC(1-'(Tables)'!B1417),DAY('(FnCalls 1)'!A57))),H26,0)</f>
        <v>0</v>
      </c>
      <c r="Y46" s="189">
        <f>IF(AND(DATE(YEAR('(FnCalls 1)'!A58),MONTH('(FnCalls 1)'!A58)+TRUNC((-'(Tables)'!B1417)),DAY('(FnCalls 1)'!A58))&lt;=C26,C26&lt;DATE(YEAR('(FnCalls 1)'!A58),MONTH('(FnCalls 1)'!A58)+TRUNC(1-'(Tables)'!B1417),DAY('(FnCalls 1)'!A58))),H26,0)</f>
        <v>0</v>
      </c>
      <c r="Z46" s="190">
        <f>SUM(W46:Y46)</f>
        <v>0</v>
      </c>
    </row>
    <row r="47" spans="1:26" ht="12.75" hidden="1" customHeight="1" outlineLevel="1" x14ac:dyDescent="0.2">
      <c r="A47" s="188" t="str">
        <f>"   "&amp;Labels!B307</f>
        <v xml:space="preserve">   Building B</v>
      </c>
      <c r="B47" s="189">
        <f>IF(AND(DATE(YEAR('(FnCalls 1)'!A40),MONTH('(FnCalls 1)'!A40)+TRUNC((-'(Tables)'!B1418)),DAY('(FnCalls 1)'!A40))&lt;=C27,C27&lt;DATE(YEAR('(FnCalls 1)'!A40),MONTH('(FnCalls 1)'!A40)+TRUNC(1-'(Tables)'!B1418),DAY('(FnCalls 1)'!A40))),H27,0)</f>
        <v>0</v>
      </c>
      <c r="C47" s="189">
        <f>IF(AND(DATE(YEAR('(FnCalls 1)'!A41),MONTH('(FnCalls 1)'!A41)+TRUNC((-'(Tables)'!B1418)),DAY('(FnCalls 1)'!A41))&lt;=C27,C27&lt;DATE(YEAR('(FnCalls 1)'!A41),MONTH('(FnCalls 1)'!A41)+TRUNC(1-'(Tables)'!B1418),DAY('(FnCalls 1)'!A41))),H27,0)</f>
        <v>0</v>
      </c>
      <c r="D47" s="189">
        <f>IF(AND(DATE(YEAR('(FnCalls 1)'!A42),MONTH('(FnCalls 1)'!A42)+TRUNC((-'(Tables)'!B1418)),DAY('(FnCalls 1)'!A42))&lt;=C27,C27&lt;DATE(YEAR('(FnCalls 1)'!A42),MONTH('(FnCalls 1)'!A42)+TRUNC(1-'(Tables)'!B1418),DAY('(FnCalls 1)'!A42))),H27,0)</f>
        <v>0</v>
      </c>
      <c r="E47" s="189">
        <f>IF(AND(DATE(YEAR('(FnCalls 1)'!A43),MONTH('(FnCalls 1)'!A43)+TRUNC((-'(Tables)'!B1418)),DAY('(FnCalls 1)'!A43))&lt;=C27,C27&lt;DATE(YEAR('(FnCalls 1)'!A43),MONTH('(FnCalls 1)'!A43)+TRUNC(1-'(Tables)'!B1418),DAY('(FnCalls 1)'!A43))),H27,0)</f>
        <v>0</v>
      </c>
      <c r="F47" s="190">
        <f>SUM(C47:E47)</f>
        <v>0</v>
      </c>
      <c r="G47" s="189">
        <f>IF(AND(DATE(YEAR('(FnCalls 1)'!A44),MONTH('(FnCalls 1)'!A44)+TRUNC((-'(Tables)'!B1418)),DAY('(FnCalls 1)'!A44))&lt;=C27,C27&lt;DATE(YEAR('(FnCalls 1)'!A44),MONTH('(FnCalls 1)'!A44)+TRUNC(1-'(Tables)'!B1418),DAY('(FnCalls 1)'!A44))),H27,0)</f>
        <v>0</v>
      </c>
      <c r="H47" s="189">
        <f>IF(AND(DATE(YEAR('(FnCalls 1)'!A45),MONTH('(FnCalls 1)'!A45)+TRUNC((-'(Tables)'!B1418)),DAY('(FnCalls 1)'!A45))&lt;=C27,C27&lt;DATE(YEAR('(FnCalls 1)'!A45),MONTH('(FnCalls 1)'!A45)+TRUNC(1-'(Tables)'!B1418),DAY('(FnCalls 1)'!A45))),H27,0)</f>
        <v>0</v>
      </c>
      <c r="I47" s="189">
        <f>IF(AND(DATE(YEAR('(FnCalls 1)'!A46),MONTH('(FnCalls 1)'!A46)+TRUNC((-'(Tables)'!B1418)),DAY('(FnCalls 1)'!A46))&lt;=C27,C27&lt;DATE(YEAR('(FnCalls 1)'!A46),MONTH('(FnCalls 1)'!A46)+TRUNC(1-'(Tables)'!B1418),DAY('(FnCalls 1)'!A46))),H27,0)</f>
        <v>0</v>
      </c>
      <c r="J47" s="190">
        <f>SUM(G47:I47)</f>
        <v>0</v>
      </c>
      <c r="K47" s="189">
        <f>IF(AND(DATE(YEAR('(FnCalls 1)'!A47),MONTH('(FnCalls 1)'!A47)+TRUNC((-'(Tables)'!B1418)),DAY('(FnCalls 1)'!A47))&lt;=C27,C27&lt;DATE(YEAR('(FnCalls 1)'!A47),MONTH('(FnCalls 1)'!A47)+TRUNC(1-'(Tables)'!B1418),DAY('(FnCalls 1)'!A47))),H27,0)</f>
        <v>0</v>
      </c>
      <c r="L47" s="189">
        <f>IF(AND(DATE(YEAR('(FnCalls 1)'!A48),MONTH('(FnCalls 1)'!A48)+TRUNC((-'(Tables)'!B1418)),DAY('(FnCalls 1)'!A48))&lt;=C27,C27&lt;DATE(YEAR('(FnCalls 1)'!A48),MONTH('(FnCalls 1)'!A48)+TRUNC(1-'(Tables)'!B1418),DAY('(FnCalls 1)'!A48))),H27,0)</f>
        <v>0</v>
      </c>
      <c r="M47" s="189">
        <f>IF(AND(DATE(YEAR('(FnCalls 1)'!A49),MONTH('(FnCalls 1)'!A49)+TRUNC((-'(Tables)'!B1418)),DAY('(FnCalls 1)'!A49))&lt;=C27,C27&lt;DATE(YEAR('(FnCalls 1)'!A49),MONTH('(FnCalls 1)'!A49)+TRUNC(1-'(Tables)'!B1418),DAY('(FnCalls 1)'!A49))),H27,0)</f>
        <v>0</v>
      </c>
      <c r="N47" s="190">
        <f>SUM(K47:M47)</f>
        <v>0</v>
      </c>
      <c r="O47" s="189">
        <f>IF(AND(DATE(YEAR('(FnCalls 1)'!A50),MONTH('(FnCalls 1)'!A50)+TRUNC((-'(Tables)'!B1418)),DAY('(FnCalls 1)'!A50))&lt;=C27,C27&lt;DATE(YEAR('(FnCalls 1)'!A50),MONTH('(FnCalls 1)'!A50)+TRUNC(1-'(Tables)'!B1418),DAY('(FnCalls 1)'!A50))),H27,0)</f>
        <v>0</v>
      </c>
      <c r="P47" s="189">
        <f>IF(AND(DATE(YEAR('(FnCalls 1)'!A51),MONTH('(FnCalls 1)'!A51)+TRUNC((-'(Tables)'!B1418)),DAY('(FnCalls 1)'!A51))&lt;=C27,C27&lt;DATE(YEAR('(FnCalls 1)'!A51),MONTH('(FnCalls 1)'!A51)+TRUNC(1-'(Tables)'!B1418),DAY('(FnCalls 1)'!A51))),H27,0)</f>
        <v>0</v>
      </c>
      <c r="Q47" s="189">
        <f>IF(AND(DATE(YEAR('(FnCalls 1)'!A52),MONTH('(FnCalls 1)'!A52)+TRUNC((-'(Tables)'!B1418)),DAY('(FnCalls 1)'!A52))&lt;=C27,C27&lt;DATE(YEAR('(FnCalls 1)'!A52),MONTH('(FnCalls 1)'!A52)+TRUNC(1-'(Tables)'!B1418),DAY('(FnCalls 1)'!A52))),H27,0)</f>
        <v>0</v>
      </c>
      <c r="R47" s="190">
        <f>SUM(O47:Q47)</f>
        <v>0</v>
      </c>
      <c r="S47" s="189">
        <f>IF(AND(DATE(YEAR('(FnCalls 1)'!A53),MONTH('(FnCalls 1)'!A53)+TRUNC((-'(Tables)'!B1418)),DAY('(FnCalls 1)'!A53))&lt;=C27,C27&lt;DATE(YEAR('(FnCalls 1)'!A53),MONTH('(FnCalls 1)'!A53)+TRUNC(1-'(Tables)'!B1418),DAY('(FnCalls 1)'!A53))),H27,0)</f>
        <v>0</v>
      </c>
      <c r="T47" s="189">
        <f>IF(AND(DATE(YEAR('(FnCalls 1)'!A54),MONTH('(FnCalls 1)'!A54)+TRUNC((-'(Tables)'!B1418)),DAY('(FnCalls 1)'!A54))&lt;=C27,C27&lt;DATE(YEAR('(FnCalls 1)'!A54),MONTH('(FnCalls 1)'!A54)+TRUNC(1-'(Tables)'!B1418),DAY('(FnCalls 1)'!A54))),H27,0)</f>
        <v>0</v>
      </c>
      <c r="U47" s="189">
        <f>IF(AND(DATE(YEAR('(FnCalls 1)'!A55),MONTH('(FnCalls 1)'!A55)+TRUNC((-'(Tables)'!B1418)),DAY('(FnCalls 1)'!A55))&lt;=C27,C27&lt;DATE(YEAR('(FnCalls 1)'!A55),MONTH('(FnCalls 1)'!A55)+TRUNC(1-'(Tables)'!B1418),DAY('(FnCalls 1)'!A55))),H27,0)</f>
        <v>0</v>
      </c>
      <c r="V47" s="190">
        <f>SUM(S47:U47)</f>
        <v>0</v>
      </c>
      <c r="W47" s="189">
        <f>IF(AND(DATE(YEAR('(FnCalls 1)'!A56),MONTH('(FnCalls 1)'!A56)+TRUNC((-'(Tables)'!B1418)),DAY('(FnCalls 1)'!A56))&lt;=C27,C27&lt;DATE(YEAR('(FnCalls 1)'!A56),MONTH('(FnCalls 1)'!A56)+TRUNC(1-'(Tables)'!B1418),DAY('(FnCalls 1)'!A56))),H27,0)</f>
        <v>0</v>
      </c>
      <c r="X47" s="189">
        <f>IF(AND(DATE(YEAR('(FnCalls 1)'!A57),MONTH('(FnCalls 1)'!A57)+TRUNC((-'(Tables)'!B1418)),DAY('(FnCalls 1)'!A57))&lt;=C27,C27&lt;DATE(YEAR('(FnCalls 1)'!A57),MONTH('(FnCalls 1)'!A57)+TRUNC(1-'(Tables)'!B1418),DAY('(FnCalls 1)'!A57))),H27,0)</f>
        <v>0</v>
      </c>
      <c r="Y47" s="189">
        <f>IF(AND(DATE(YEAR('(FnCalls 1)'!A58),MONTH('(FnCalls 1)'!A58)+TRUNC((-'(Tables)'!B1418)),DAY('(FnCalls 1)'!A58))&lt;=C27,C27&lt;DATE(YEAR('(FnCalls 1)'!A58),MONTH('(FnCalls 1)'!A58)+TRUNC(1-'(Tables)'!B1418),DAY('(FnCalls 1)'!A58))),H27,0)</f>
        <v>0</v>
      </c>
      <c r="Z47" s="190">
        <f>SUM(W47:Y47)</f>
        <v>0</v>
      </c>
    </row>
    <row r="48" spans="1:26" ht="12.75" hidden="1" customHeight="1" outlineLevel="1" x14ac:dyDescent="0.2">
      <c r="A48" s="185" t="str">
        <f>"   "&amp;Labels!C305</f>
        <v xml:space="preserve">   Total</v>
      </c>
      <c r="B48" s="176">
        <f>SUM(B46:B47)</f>
        <v>0</v>
      </c>
      <c r="C48" s="176">
        <f>SUM(C46:C47)</f>
        <v>0</v>
      </c>
      <c r="D48" s="176">
        <f>SUM(D46:D47)</f>
        <v>0</v>
      </c>
      <c r="E48" s="176">
        <f>SUM(E46:E47)</f>
        <v>0</v>
      </c>
      <c r="F48" s="193">
        <f>SUM(C48:E48)</f>
        <v>0</v>
      </c>
      <c r="G48" s="176">
        <f>SUM(G46:G47)</f>
        <v>0</v>
      </c>
      <c r="H48" s="176">
        <f>SUM(H46:H47)</f>
        <v>0</v>
      </c>
      <c r="I48" s="176">
        <f>SUM(I46:I47)</f>
        <v>0</v>
      </c>
      <c r="J48" s="193">
        <f>SUM(G48:I48)</f>
        <v>0</v>
      </c>
      <c r="K48" s="176">
        <f>SUM(K46:K47)</f>
        <v>0</v>
      </c>
      <c r="L48" s="176">
        <f>SUM(L46:L47)</f>
        <v>0</v>
      </c>
      <c r="M48" s="176">
        <f>SUM(M46:M47)</f>
        <v>0</v>
      </c>
      <c r="N48" s="193">
        <f>SUM(K48:M48)</f>
        <v>0</v>
      </c>
      <c r="O48" s="176">
        <f>SUM(O46:O47)</f>
        <v>0</v>
      </c>
      <c r="P48" s="176">
        <f>SUM(P46:P47)</f>
        <v>0</v>
      </c>
      <c r="Q48" s="176">
        <f>SUM(Q46:Q47)</f>
        <v>0</v>
      </c>
      <c r="R48" s="193">
        <f>SUM(O48:Q48)</f>
        <v>0</v>
      </c>
      <c r="S48" s="176">
        <f>SUM(S46:S47)</f>
        <v>0</v>
      </c>
      <c r="T48" s="176">
        <f>SUM(T46:T47)</f>
        <v>0</v>
      </c>
      <c r="U48" s="176">
        <f>SUM(U46:U47)</f>
        <v>0</v>
      </c>
      <c r="V48" s="193">
        <f>SUM(S48:U48)</f>
        <v>0</v>
      </c>
      <c r="W48" s="176">
        <f>SUM(W46:W47)</f>
        <v>0</v>
      </c>
      <c r="X48" s="176">
        <f>SUM(X46:X47)</f>
        <v>0</v>
      </c>
      <c r="Y48" s="176">
        <f>SUM(Y46:Y47)</f>
        <v>0</v>
      </c>
      <c r="Z48" s="193">
        <f>SUM(W48:Y48)</f>
        <v>0</v>
      </c>
    </row>
    <row r="49" spans="1:26" ht="12.75" hidden="1" customHeight="1" outlineLevel="1" x14ac:dyDescent="0.2"/>
    <row r="50" spans="1:26" ht="12.75" hidden="1" customHeight="1" outlineLevel="1" collapsed="1" x14ac:dyDescent="0.2"/>
    <row r="51" spans="1:26" ht="12.75" customHeight="1" collapsed="1" x14ac:dyDescent="0.2">
      <c r="A51" s="465" t="str">
        <f>"Untagged Assets"</f>
        <v>Untagged Assets</v>
      </c>
      <c r="B51" s="465"/>
    </row>
    <row r="52" spans="1:26" ht="12.75" hidden="1" customHeight="1" outlineLevel="1" x14ac:dyDescent="0.2">
      <c r="A52" s="1" t="str">
        <f>""</f>
        <v/>
      </c>
    </row>
    <row r="53" spans="1:26" ht="12.75" hidden="1" customHeight="1" outlineLevel="1" x14ac:dyDescent="0.2">
      <c r="B53" s="9" t="str">
        <f>Labels!B290</f>
        <v>Asset Type</v>
      </c>
      <c r="C53" s="11" t="str">
        <f>Labels!B289</f>
        <v>Deprec Life (Yrs)</v>
      </c>
    </row>
    <row r="54" spans="1:26" ht="12.75" hidden="1" customHeight="1" outlineLevel="1" x14ac:dyDescent="0.2">
      <c r="A54" s="182" t="str">
        <f>Labels!B306</f>
        <v>Building A</v>
      </c>
      <c r="B54" s="333" t="str">
        <f>Inputs!F379</f>
        <v>Tagged Asset 1</v>
      </c>
      <c r="C54" s="150">
        <f>AVERAGE('(Tables)'!B1328:B1329)</f>
        <v>9</v>
      </c>
    </row>
    <row r="55" spans="1:26" ht="12.75" hidden="1" customHeight="1" outlineLevel="1" x14ac:dyDescent="0.2">
      <c r="A55" s="185" t="str">
        <f>Labels!B307</f>
        <v>Building B</v>
      </c>
      <c r="B55" s="336" t="str">
        <f>Inputs!F380</f>
        <v>Tagged Asset 2</v>
      </c>
      <c r="C55" s="151">
        <f>AVERAGE('(Tables)'!B1328:B1329)</f>
        <v>9</v>
      </c>
    </row>
    <row r="56" spans="1:26" ht="12.75" hidden="1" customHeight="1" outlineLevel="1" x14ac:dyDescent="0.2"/>
    <row r="57" spans="1:26" ht="12.75" hidden="1" customHeight="1" outlineLevel="1" x14ac:dyDescent="0.2">
      <c r="B57" s="9" t="str">
        <f>'(FnCalls 1)'!F40</f>
        <v>MMM 2009</v>
      </c>
      <c r="C57" s="10" t="str">
        <f>'(FnCalls 1)'!F41</f>
        <v>MMM 2010</v>
      </c>
      <c r="D57" s="10" t="str">
        <f>'(FnCalls 1)'!F42</f>
        <v>MMM 2010</v>
      </c>
      <c r="E57" s="10" t="str">
        <f>'(FnCalls 1)'!F43</f>
        <v>MMM 2010</v>
      </c>
      <c r="F57" s="181" t="str">
        <f>'(FnCalls 1)'!G41</f>
        <v>Q1 2010</v>
      </c>
      <c r="G57" s="10" t="str">
        <f>'(FnCalls 1)'!F44</f>
        <v>MMM 2010</v>
      </c>
      <c r="H57" s="10" t="str">
        <f>'(FnCalls 1)'!F45</f>
        <v>MMM 2010</v>
      </c>
      <c r="I57" s="10" t="str">
        <f>'(FnCalls 1)'!F46</f>
        <v>MMM 2010</v>
      </c>
      <c r="J57" s="181" t="str">
        <f>'(FnCalls 1)'!G44</f>
        <v>Q2 2010</v>
      </c>
      <c r="K57" s="10" t="str">
        <f>'(FnCalls 1)'!F47</f>
        <v>MMM 2010</v>
      </c>
      <c r="L57" s="10" t="str">
        <f>'(FnCalls 1)'!F48</f>
        <v>MMM 2010</v>
      </c>
      <c r="M57" s="10" t="str">
        <f>'(FnCalls 1)'!F49</f>
        <v>MMM 2010</v>
      </c>
      <c r="N57" s="181" t="str">
        <f>'(FnCalls 1)'!G47</f>
        <v>Q3 2010</v>
      </c>
      <c r="O57" s="10" t="str">
        <f>'(FnCalls 1)'!F50</f>
        <v>MMM 2010</v>
      </c>
      <c r="P57" s="10" t="str">
        <f>'(FnCalls 1)'!F51</f>
        <v>MMM 2010</v>
      </c>
      <c r="Q57" s="10" t="str">
        <f>'(FnCalls 1)'!F52</f>
        <v>MMM 2010</v>
      </c>
      <c r="R57" s="181" t="str">
        <f>'(FnCalls 1)'!G50</f>
        <v>Q4 2010</v>
      </c>
      <c r="S57" s="10" t="str">
        <f>'(FnCalls 1)'!F53</f>
        <v>MMM 2011</v>
      </c>
      <c r="T57" s="10" t="str">
        <f>'(FnCalls 1)'!F54</f>
        <v>MMM 2011</v>
      </c>
      <c r="U57" s="10" t="str">
        <f>'(FnCalls 1)'!F55</f>
        <v>MMM 2011</v>
      </c>
      <c r="V57" s="181" t="str">
        <f>'(FnCalls 1)'!G53</f>
        <v>Q1 2011</v>
      </c>
      <c r="W57" s="10" t="str">
        <f>'(FnCalls 1)'!F56</f>
        <v>MMM 2011</v>
      </c>
      <c r="X57" s="10" t="str">
        <f>'(FnCalls 1)'!F57</f>
        <v>MMM 2011</v>
      </c>
      <c r="Y57" s="10" t="str">
        <f>'(FnCalls 1)'!F58</f>
        <v>MMM 2011</v>
      </c>
      <c r="Z57" s="181" t="str">
        <f>'(FnCalls 1)'!G56</f>
        <v>Q2 2011</v>
      </c>
    </row>
    <row r="58" spans="1:26" ht="12.75" hidden="1" customHeight="1" outlineLevel="1" x14ac:dyDescent="0.2">
      <c r="A58" s="182" t="str">
        <f>Labels!B294</f>
        <v>Untagged Assets</v>
      </c>
      <c r="B58" s="183"/>
      <c r="C58" s="183"/>
      <c r="D58" s="183"/>
      <c r="E58" s="183"/>
      <c r="F58" s="184"/>
      <c r="G58" s="183"/>
      <c r="H58" s="183"/>
      <c r="I58" s="183"/>
      <c r="J58" s="184"/>
      <c r="K58" s="183"/>
      <c r="L58" s="183"/>
      <c r="M58" s="183"/>
      <c r="N58" s="184"/>
      <c r="O58" s="183"/>
      <c r="P58" s="183"/>
      <c r="Q58" s="183"/>
      <c r="R58" s="184"/>
      <c r="S58" s="183"/>
      <c r="T58" s="183"/>
      <c r="U58" s="183"/>
      <c r="V58" s="184"/>
      <c r="W58" s="183"/>
      <c r="X58" s="183"/>
      <c r="Y58" s="183"/>
      <c r="Z58" s="184"/>
    </row>
    <row r="59" spans="1:26" ht="12.75" hidden="1" customHeight="1" outlineLevel="1" x14ac:dyDescent="0.2">
      <c r="A59" s="188" t="str">
        <f>"   "&amp;Labels!B408</f>
        <v xml:space="preserve">   Furniture</v>
      </c>
      <c r="B59" s="189">
        <f>0+B64</f>
        <v>0</v>
      </c>
      <c r="C59" s="189">
        <f t="shared" ref="C59:E60" si="0">B59-C69+C64</f>
        <v>0</v>
      </c>
      <c r="D59" s="189">
        <f t="shared" si="0"/>
        <v>0</v>
      </c>
      <c r="E59" s="189">
        <f t="shared" si="0"/>
        <v>0</v>
      </c>
      <c r="F59" s="190">
        <f>E59</f>
        <v>0</v>
      </c>
      <c r="G59" s="189">
        <f>E59-G69+G64</f>
        <v>0</v>
      </c>
      <c r="H59" s="189">
        <f>G59-H69+H64</f>
        <v>0</v>
      </c>
      <c r="I59" s="189">
        <f>H59-I69+I64</f>
        <v>0</v>
      </c>
      <c r="J59" s="190">
        <f>I59</f>
        <v>0</v>
      </c>
      <c r="K59" s="189">
        <f>I59-K69+K64</f>
        <v>0</v>
      </c>
      <c r="L59" s="189">
        <f>K59-L69+L64</f>
        <v>0</v>
      </c>
      <c r="M59" s="189">
        <f>L59-M69+M64</f>
        <v>0</v>
      </c>
      <c r="N59" s="190">
        <f>M59</f>
        <v>0</v>
      </c>
      <c r="O59" s="189">
        <f>M59-O69+O64</f>
        <v>0</v>
      </c>
      <c r="P59" s="189">
        <f>O59-P69+P64</f>
        <v>0</v>
      </c>
      <c r="Q59" s="189">
        <f>P59-Q69+Q64</f>
        <v>0</v>
      </c>
      <c r="R59" s="190">
        <f>Q59</f>
        <v>0</v>
      </c>
      <c r="S59" s="189">
        <f>Q59-S69+S64</f>
        <v>0</v>
      </c>
      <c r="T59" s="189">
        <f>S59-T69+T64</f>
        <v>0</v>
      </c>
      <c r="U59" s="189">
        <f>T59-U69+U64</f>
        <v>0</v>
      </c>
      <c r="V59" s="190">
        <f>U59</f>
        <v>0</v>
      </c>
      <c r="W59" s="189">
        <f>U59-W69+W64</f>
        <v>0</v>
      </c>
      <c r="X59" s="189">
        <f>W59-X69+X64</f>
        <v>0</v>
      </c>
      <c r="Y59" s="189">
        <f>X59-Y69+Y64</f>
        <v>0</v>
      </c>
      <c r="Z59" s="190">
        <f>Y59</f>
        <v>0</v>
      </c>
    </row>
    <row r="60" spans="1:26" ht="12.75" hidden="1" customHeight="1" outlineLevel="1" x14ac:dyDescent="0.2">
      <c r="A60" s="188" t="str">
        <f>"   "&amp;Labels!B409</f>
        <v xml:space="preserve">   Office Equip</v>
      </c>
      <c r="B60" s="189">
        <f>0+B65</f>
        <v>0</v>
      </c>
      <c r="C60" s="189">
        <f t="shared" si="0"/>
        <v>0</v>
      </c>
      <c r="D60" s="189">
        <f t="shared" si="0"/>
        <v>0</v>
      </c>
      <c r="E60" s="189">
        <f t="shared" si="0"/>
        <v>0</v>
      </c>
      <c r="F60" s="190">
        <f>E60</f>
        <v>0</v>
      </c>
      <c r="G60" s="189">
        <f>E60-G70+G65</f>
        <v>0</v>
      </c>
      <c r="H60" s="189">
        <f>G60-H70+H65</f>
        <v>0</v>
      </c>
      <c r="I60" s="189">
        <f>H60-I70+I65</f>
        <v>0</v>
      </c>
      <c r="J60" s="190">
        <f>I60</f>
        <v>0</v>
      </c>
      <c r="K60" s="189">
        <f>I60-K70+K65</f>
        <v>0</v>
      </c>
      <c r="L60" s="189">
        <f>K60-L70+L65</f>
        <v>0</v>
      </c>
      <c r="M60" s="189">
        <f>L60-M70+M65</f>
        <v>0</v>
      </c>
      <c r="N60" s="190">
        <f>M60</f>
        <v>0</v>
      </c>
      <c r="O60" s="189">
        <f>M60-O70+O65</f>
        <v>0</v>
      </c>
      <c r="P60" s="189">
        <f>O60-P70+P65</f>
        <v>0</v>
      </c>
      <c r="Q60" s="189">
        <f>P60-Q70+Q65</f>
        <v>0</v>
      </c>
      <c r="R60" s="190">
        <f>Q60</f>
        <v>0</v>
      </c>
      <c r="S60" s="189">
        <f>Q60-S70+S65</f>
        <v>0</v>
      </c>
      <c r="T60" s="189">
        <f>S60-T70+T65</f>
        <v>0</v>
      </c>
      <c r="U60" s="189">
        <f>T60-U70+U65</f>
        <v>0</v>
      </c>
      <c r="V60" s="190">
        <f>U60</f>
        <v>0</v>
      </c>
      <c r="W60" s="189">
        <f>U60-W70+W65</f>
        <v>0</v>
      </c>
      <c r="X60" s="189">
        <f>W60-X70+X65</f>
        <v>0</v>
      </c>
      <c r="Y60" s="189">
        <f>X60-Y70+Y65</f>
        <v>0</v>
      </c>
      <c r="Z60" s="190">
        <f>Y60</f>
        <v>0</v>
      </c>
    </row>
    <row r="61" spans="1:26" ht="12.75" hidden="1" customHeight="1" outlineLevel="1" x14ac:dyDescent="0.2">
      <c r="A61" s="191" t="str">
        <f>"   "&amp;Labels!C407</f>
        <v xml:space="preserve">   Total</v>
      </c>
      <c r="B61" s="192">
        <f>SUM(B59:B60)</f>
        <v>0</v>
      </c>
      <c r="C61" s="192">
        <f>SUM(C59:C60)</f>
        <v>0</v>
      </c>
      <c r="D61" s="192">
        <f>SUM(D59:D60)</f>
        <v>0</v>
      </c>
      <c r="E61" s="192">
        <f>SUM(E59:E60)</f>
        <v>0</v>
      </c>
      <c r="F61" s="190">
        <f>SUM(E59:E60)</f>
        <v>0</v>
      </c>
      <c r="G61" s="192">
        <f>SUM(G59:G60)</f>
        <v>0</v>
      </c>
      <c r="H61" s="192">
        <f>SUM(H59:H60)</f>
        <v>0</v>
      </c>
      <c r="I61" s="192">
        <f>SUM(I59:I60)</f>
        <v>0</v>
      </c>
      <c r="J61" s="190">
        <f>SUM(I59:I60)</f>
        <v>0</v>
      </c>
      <c r="K61" s="192">
        <f>SUM(K59:K60)</f>
        <v>0</v>
      </c>
      <c r="L61" s="192">
        <f>SUM(L59:L60)</f>
        <v>0</v>
      </c>
      <c r="M61" s="192">
        <f>SUM(M59:M60)</f>
        <v>0</v>
      </c>
      <c r="N61" s="190">
        <f>SUM(M59:M60)</f>
        <v>0</v>
      </c>
      <c r="O61" s="192">
        <f>SUM(O59:O60)</f>
        <v>0</v>
      </c>
      <c r="P61" s="192">
        <f>SUM(P59:P60)</f>
        <v>0</v>
      </c>
      <c r="Q61" s="192">
        <f>SUM(Q59:Q60)</f>
        <v>0</v>
      </c>
      <c r="R61" s="190">
        <f>SUM(Q59:Q60)</f>
        <v>0</v>
      </c>
      <c r="S61" s="192">
        <f>SUM(S59:S60)</f>
        <v>0</v>
      </c>
      <c r="T61" s="192">
        <f>SUM(T59:T60)</f>
        <v>0</v>
      </c>
      <c r="U61" s="192">
        <f>SUM(U59:U60)</f>
        <v>0</v>
      </c>
      <c r="V61" s="190">
        <f>SUM(U59:U60)</f>
        <v>0</v>
      </c>
      <c r="W61" s="192">
        <f>SUM(W59:W60)</f>
        <v>0</v>
      </c>
      <c r="X61" s="192">
        <f>SUM(X59:X60)</f>
        <v>0</v>
      </c>
      <c r="Y61" s="192">
        <f>SUM(Y59:Y60)</f>
        <v>0</v>
      </c>
      <c r="Z61" s="190">
        <f>SUM(Y59:Y60)</f>
        <v>0</v>
      </c>
    </row>
    <row r="62" spans="1:26" ht="12.75" hidden="1" customHeight="1" outlineLevel="1" x14ac:dyDescent="0.2">
      <c r="A62" s="97"/>
      <c r="B62" s="6"/>
      <c r="C62" s="6"/>
      <c r="D62" s="6"/>
      <c r="E62" s="6"/>
      <c r="F62" s="97"/>
      <c r="G62" s="6"/>
      <c r="H62" s="6"/>
      <c r="I62" s="6"/>
      <c r="J62" s="97"/>
      <c r="K62" s="6"/>
      <c r="L62" s="6"/>
      <c r="M62" s="6"/>
      <c r="N62" s="97"/>
      <c r="O62" s="6"/>
      <c r="P62" s="6"/>
      <c r="Q62" s="6"/>
      <c r="R62" s="97"/>
      <c r="S62" s="6"/>
      <c r="T62" s="6"/>
      <c r="U62" s="6"/>
      <c r="V62" s="97"/>
      <c r="W62" s="6"/>
      <c r="X62" s="6"/>
      <c r="Y62" s="6"/>
      <c r="Z62" s="97"/>
    </row>
    <row r="63" spans="1:26" ht="12.75" hidden="1" customHeight="1" outlineLevel="1" x14ac:dyDescent="0.2">
      <c r="A63" s="191" t="str">
        <f>Labels!B291</f>
        <v>Untagged Asset Purch</v>
      </c>
      <c r="B63" s="192"/>
      <c r="C63" s="192"/>
      <c r="D63" s="192"/>
      <c r="E63" s="192"/>
      <c r="F63" s="190"/>
      <c r="G63" s="192"/>
      <c r="H63" s="192"/>
      <c r="I63" s="192"/>
      <c r="J63" s="190"/>
      <c r="K63" s="192"/>
      <c r="L63" s="192"/>
      <c r="M63" s="192"/>
      <c r="N63" s="190"/>
      <c r="O63" s="192"/>
      <c r="P63" s="192"/>
      <c r="Q63" s="192"/>
      <c r="R63" s="190"/>
      <c r="S63" s="192"/>
      <c r="T63" s="192"/>
      <c r="U63" s="192"/>
      <c r="V63" s="190"/>
      <c r="W63" s="192"/>
      <c r="X63" s="192"/>
      <c r="Y63" s="192"/>
      <c r="Z63" s="190"/>
    </row>
    <row r="64" spans="1:26" ht="12.75" hidden="1" customHeight="1" outlineLevel="1" x14ac:dyDescent="0.2">
      <c r="A64" s="188" t="str">
        <f>"   "&amp;Labels!B408</f>
        <v xml:space="preserve">   Furniture</v>
      </c>
      <c r="B64" s="189">
        <f>Inputs!F383</f>
        <v>0</v>
      </c>
      <c r="C64" s="189">
        <f>'(Compute)'!C108+'(Compute)'!C149+'(Compute)'!C190+'(Compute)'!C231+'(Compute)'!C272+'(Compute)'!C313</f>
        <v>0</v>
      </c>
      <c r="D64" s="189">
        <f>'(Compute)'!D108+'(Compute)'!D149+'(Compute)'!D190+'(Compute)'!D231+'(Compute)'!D272+'(Compute)'!D313</f>
        <v>0</v>
      </c>
      <c r="E64" s="189">
        <f>'(Compute)'!E108+'(Compute)'!E149+'(Compute)'!E190+'(Compute)'!E231+'(Compute)'!E272+'(Compute)'!E313</f>
        <v>0</v>
      </c>
      <c r="F64" s="190">
        <f>SUM(C64:E64)</f>
        <v>0</v>
      </c>
      <c r="G64" s="189">
        <f>'(Compute)'!F108+'(Compute)'!F149+'(Compute)'!F190+'(Compute)'!F231+'(Compute)'!F272+'(Compute)'!F313</f>
        <v>0</v>
      </c>
      <c r="H64" s="189">
        <f>'(Compute)'!G108+'(Compute)'!G149+'(Compute)'!G190+'(Compute)'!G231+'(Compute)'!G272+'(Compute)'!G313</f>
        <v>0</v>
      </c>
      <c r="I64" s="189">
        <f>'(Compute)'!H108+'(Compute)'!H149+'(Compute)'!H190+'(Compute)'!H231+'(Compute)'!H272+'(Compute)'!H313</f>
        <v>0</v>
      </c>
      <c r="J64" s="190">
        <f>SUM(G64:I64)</f>
        <v>0</v>
      </c>
      <c r="K64" s="189">
        <f>'(Compute)'!I108+'(Compute)'!I149+'(Compute)'!I190+'(Compute)'!I231+'(Compute)'!I272+'(Compute)'!I313</f>
        <v>0</v>
      </c>
      <c r="L64" s="189">
        <f>'(Compute)'!J108+'(Compute)'!J149+'(Compute)'!J190+'(Compute)'!J231+'(Compute)'!J272+'(Compute)'!J313</f>
        <v>0</v>
      </c>
      <c r="M64" s="189">
        <f>'(Compute)'!K108+'(Compute)'!K149+'(Compute)'!K190+'(Compute)'!K231+'(Compute)'!K272+'(Compute)'!K313</f>
        <v>0</v>
      </c>
      <c r="N64" s="190">
        <f>SUM(K64:M64)</f>
        <v>0</v>
      </c>
      <c r="O64" s="189">
        <f>'(Compute)'!L108+'(Compute)'!L149+'(Compute)'!L190+'(Compute)'!L231+'(Compute)'!L272+'(Compute)'!L313</f>
        <v>0</v>
      </c>
      <c r="P64" s="189">
        <f>'(Compute)'!M108+'(Compute)'!M149+'(Compute)'!M190+'(Compute)'!M231+'(Compute)'!M272+'(Compute)'!M313</f>
        <v>0</v>
      </c>
      <c r="Q64" s="189">
        <f>'(Compute)'!N108+'(Compute)'!N149+'(Compute)'!N190+'(Compute)'!N231+'(Compute)'!N272+'(Compute)'!N313</f>
        <v>0</v>
      </c>
      <c r="R64" s="190">
        <f>SUM(O64:Q64)</f>
        <v>0</v>
      </c>
      <c r="S64" s="189">
        <f>'(Compute)'!O108+'(Compute)'!O149+'(Compute)'!O190+'(Compute)'!O231+'(Compute)'!O272+'(Compute)'!O313</f>
        <v>0</v>
      </c>
      <c r="T64" s="189">
        <f>'(Compute)'!P108+'(Compute)'!P149+'(Compute)'!P190+'(Compute)'!P231+'(Compute)'!P272+'(Compute)'!P313</f>
        <v>0</v>
      </c>
      <c r="U64" s="189">
        <f>'(Compute)'!Q108+'(Compute)'!Q149+'(Compute)'!Q190+'(Compute)'!Q231+'(Compute)'!Q272+'(Compute)'!Q313</f>
        <v>0</v>
      </c>
      <c r="V64" s="190">
        <f>SUM(S64:U64)</f>
        <v>0</v>
      </c>
      <c r="W64" s="189">
        <f>'(Compute)'!R108+'(Compute)'!R149+'(Compute)'!R190+'(Compute)'!R231+'(Compute)'!R272+'(Compute)'!R313</f>
        <v>0</v>
      </c>
      <c r="X64" s="189">
        <f>'(Compute)'!S108+'(Compute)'!S149+'(Compute)'!S190+'(Compute)'!S231+'(Compute)'!S272+'(Compute)'!S313</f>
        <v>0</v>
      </c>
      <c r="Y64" s="189">
        <f>'(Compute)'!T108+'(Compute)'!T149+'(Compute)'!T190+'(Compute)'!T231+'(Compute)'!T272+'(Compute)'!T313</f>
        <v>0</v>
      </c>
      <c r="Z64" s="190">
        <f>SUM(W64:Y64)</f>
        <v>0</v>
      </c>
    </row>
    <row r="65" spans="1:26" ht="12.75" hidden="1" customHeight="1" outlineLevel="1" x14ac:dyDescent="0.2">
      <c r="A65" s="188" t="str">
        <f>"   "&amp;Labels!B409</f>
        <v xml:space="preserve">   Office Equip</v>
      </c>
      <c r="B65" s="189">
        <f>Inputs!G383</f>
        <v>0</v>
      </c>
      <c r="C65" s="189">
        <f>'(Compute)'!C121+'(Compute)'!C162+'(Compute)'!C203+'(Compute)'!C244+'(Compute)'!C285+'(Compute)'!C326</f>
        <v>0</v>
      </c>
      <c r="D65" s="189">
        <f>'(Compute)'!D121+'(Compute)'!D162+'(Compute)'!D203+'(Compute)'!D244+'(Compute)'!D285+'(Compute)'!D326</f>
        <v>0</v>
      </c>
      <c r="E65" s="189">
        <f>'(Compute)'!E121+'(Compute)'!E162+'(Compute)'!E203+'(Compute)'!E244+'(Compute)'!E285+'(Compute)'!E326</f>
        <v>0</v>
      </c>
      <c r="F65" s="190">
        <f>SUM(C65:E65)</f>
        <v>0</v>
      </c>
      <c r="G65" s="189">
        <f>'(Compute)'!F121+'(Compute)'!F162+'(Compute)'!F203+'(Compute)'!F244+'(Compute)'!F285+'(Compute)'!F326</f>
        <v>0</v>
      </c>
      <c r="H65" s="189">
        <f>'(Compute)'!G121+'(Compute)'!G162+'(Compute)'!G203+'(Compute)'!G244+'(Compute)'!G285+'(Compute)'!G326</f>
        <v>0</v>
      </c>
      <c r="I65" s="189">
        <f>'(Compute)'!H121+'(Compute)'!H162+'(Compute)'!H203+'(Compute)'!H244+'(Compute)'!H285+'(Compute)'!H326</f>
        <v>0</v>
      </c>
      <c r="J65" s="190">
        <f>SUM(G65:I65)</f>
        <v>0</v>
      </c>
      <c r="K65" s="189">
        <f>'(Compute)'!I121+'(Compute)'!I162+'(Compute)'!I203+'(Compute)'!I244+'(Compute)'!I285+'(Compute)'!I326</f>
        <v>0</v>
      </c>
      <c r="L65" s="189">
        <f>'(Compute)'!J121+'(Compute)'!J162+'(Compute)'!J203+'(Compute)'!J244+'(Compute)'!J285+'(Compute)'!J326</f>
        <v>0</v>
      </c>
      <c r="M65" s="189">
        <f>'(Compute)'!K121+'(Compute)'!K162+'(Compute)'!K203+'(Compute)'!K244+'(Compute)'!K285+'(Compute)'!K326</f>
        <v>0</v>
      </c>
      <c r="N65" s="190">
        <f>SUM(K65:M65)</f>
        <v>0</v>
      </c>
      <c r="O65" s="189">
        <f>'(Compute)'!L121+'(Compute)'!L162+'(Compute)'!L203+'(Compute)'!L244+'(Compute)'!L285+'(Compute)'!L326</f>
        <v>0</v>
      </c>
      <c r="P65" s="189">
        <f>'(Compute)'!M121+'(Compute)'!M162+'(Compute)'!M203+'(Compute)'!M244+'(Compute)'!M285+'(Compute)'!M326</f>
        <v>0</v>
      </c>
      <c r="Q65" s="189">
        <f>'(Compute)'!N121+'(Compute)'!N162+'(Compute)'!N203+'(Compute)'!N244+'(Compute)'!N285+'(Compute)'!N326</f>
        <v>0</v>
      </c>
      <c r="R65" s="190">
        <f>SUM(O65:Q65)</f>
        <v>0</v>
      </c>
      <c r="S65" s="189">
        <f>'(Compute)'!O121+'(Compute)'!O162+'(Compute)'!O203+'(Compute)'!O244+'(Compute)'!O285+'(Compute)'!O326</f>
        <v>0</v>
      </c>
      <c r="T65" s="189">
        <f>'(Compute)'!P121+'(Compute)'!P162+'(Compute)'!P203+'(Compute)'!P244+'(Compute)'!P285+'(Compute)'!P326</f>
        <v>0</v>
      </c>
      <c r="U65" s="189">
        <f>'(Compute)'!Q121+'(Compute)'!Q162+'(Compute)'!Q203+'(Compute)'!Q244+'(Compute)'!Q285+'(Compute)'!Q326</f>
        <v>0</v>
      </c>
      <c r="V65" s="190">
        <f>SUM(S65:U65)</f>
        <v>0</v>
      </c>
      <c r="W65" s="189">
        <f>'(Compute)'!R121+'(Compute)'!R162+'(Compute)'!R203+'(Compute)'!R244+'(Compute)'!R285+'(Compute)'!R326</f>
        <v>0</v>
      </c>
      <c r="X65" s="189">
        <f>'(Compute)'!S121+'(Compute)'!S162+'(Compute)'!S203+'(Compute)'!S244+'(Compute)'!S285+'(Compute)'!S326</f>
        <v>0</v>
      </c>
      <c r="Y65" s="189">
        <f>'(Compute)'!T121+'(Compute)'!T162+'(Compute)'!T203+'(Compute)'!T244+'(Compute)'!T285+'(Compute)'!T326</f>
        <v>0</v>
      </c>
      <c r="Z65" s="190">
        <f>SUM(W65:Y65)</f>
        <v>0</v>
      </c>
    </row>
    <row r="66" spans="1:26" ht="12.75" hidden="1" customHeight="1" outlineLevel="1" x14ac:dyDescent="0.2">
      <c r="A66" s="191" t="str">
        <f>"   "&amp;Labels!C407</f>
        <v xml:space="preserve">   Total</v>
      </c>
      <c r="B66" s="192">
        <f>SUM(B64:B65)</f>
        <v>0</v>
      </c>
      <c r="C66" s="192">
        <f>SUM(C64:C65)</f>
        <v>0</v>
      </c>
      <c r="D66" s="192">
        <f>SUM(D64:D65)</f>
        <v>0</v>
      </c>
      <c r="E66" s="192">
        <f>SUM(E64:E65)</f>
        <v>0</v>
      </c>
      <c r="F66" s="190">
        <f>SUM(C66:E66)</f>
        <v>0</v>
      </c>
      <c r="G66" s="192">
        <f>SUM(G64:G65)</f>
        <v>0</v>
      </c>
      <c r="H66" s="192">
        <f>SUM(H64:H65)</f>
        <v>0</v>
      </c>
      <c r="I66" s="192">
        <f>SUM(I64:I65)</f>
        <v>0</v>
      </c>
      <c r="J66" s="190">
        <f>SUM(G66:I66)</f>
        <v>0</v>
      </c>
      <c r="K66" s="192">
        <f>SUM(K64:K65)</f>
        <v>0</v>
      </c>
      <c r="L66" s="192">
        <f>SUM(L64:L65)</f>
        <v>0</v>
      </c>
      <c r="M66" s="192">
        <f>SUM(M64:M65)</f>
        <v>0</v>
      </c>
      <c r="N66" s="190">
        <f>SUM(K66:M66)</f>
        <v>0</v>
      </c>
      <c r="O66" s="192">
        <f>SUM(O64:O65)</f>
        <v>0</v>
      </c>
      <c r="P66" s="192">
        <f>SUM(P64:P65)</f>
        <v>0</v>
      </c>
      <c r="Q66" s="192">
        <f>SUM(Q64:Q65)</f>
        <v>0</v>
      </c>
      <c r="R66" s="190">
        <f>SUM(O66:Q66)</f>
        <v>0</v>
      </c>
      <c r="S66" s="192">
        <f>SUM(S64:S65)</f>
        <v>0</v>
      </c>
      <c r="T66" s="192">
        <f>SUM(T64:T65)</f>
        <v>0</v>
      </c>
      <c r="U66" s="192">
        <f>SUM(U64:U65)</f>
        <v>0</v>
      </c>
      <c r="V66" s="190">
        <f>SUM(S66:U66)</f>
        <v>0</v>
      </c>
      <c r="W66" s="192">
        <f>SUM(W64:W65)</f>
        <v>0</v>
      </c>
      <c r="X66" s="192">
        <f>SUM(X64:X65)</f>
        <v>0</v>
      </c>
      <c r="Y66" s="192">
        <f>SUM(Y64:Y65)</f>
        <v>0</v>
      </c>
      <c r="Z66" s="190">
        <f>SUM(W66:Y66)</f>
        <v>0</v>
      </c>
    </row>
    <row r="67" spans="1:26" ht="12.75" hidden="1" customHeight="1" outlineLevel="1" x14ac:dyDescent="0.2">
      <c r="A67" s="97"/>
      <c r="B67" s="6"/>
      <c r="C67" s="6"/>
      <c r="D67" s="6"/>
      <c r="E67" s="6"/>
      <c r="F67" s="97"/>
      <c r="G67" s="6"/>
      <c r="H67" s="6"/>
      <c r="I67" s="6"/>
      <c r="J67" s="97"/>
      <c r="K67" s="6"/>
      <c r="L67" s="6"/>
      <c r="M67" s="6"/>
      <c r="N67" s="97"/>
      <c r="O67" s="6"/>
      <c r="P67" s="6"/>
      <c r="Q67" s="6"/>
      <c r="R67" s="97"/>
      <c r="S67" s="6"/>
      <c r="T67" s="6"/>
      <c r="U67" s="6"/>
      <c r="V67" s="97"/>
      <c r="W67" s="6"/>
      <c r="X67" s="6"/>
      <c r="Y67" s="6"/>
      <c r="Z67" s="97"/>
    </row>
    <row r="68" spans="1:26" ht="12.75" hidden="1" customHeight="1" outlineLevel="1" x14ac:dyDescent="0.2">
      <c r="A68" s="191" t="str">
        <f>Labels!B288</f>
        <v>Untagged Asset Deprec</v>
      </c>
      <c r="B68" s="192"/>
      <c r="C68" s="192"/>
      <c r="D68" s="192"/>
      <c r="E68" s="192"/>
      <c r="F68" s="190"/>
      <c r="G68" s="192"/>
      <c r="H68" s="192"/>
      <c r="I68" s="192"/>
      <c r="J68" s="190"/>
      <c r="K68" s="192"/>
      <c r="L68" s="192"/>
      <c r="M68" s="192"/>
      <c r="N68" s="190"/>
      <c r="O68" s="192"/>
      <c r="P68" s="192"/>
      <c r="Q68" s="192"/>
      <c r="R68" s="190"/>
      <c r="S68" s="192"/>
      <c r="T68" s="192"/>
      <c r="U68" s="192"/>
      <c r="V68" s="190"/>
      <c r="W68" s="192"/>
      <c r="X68" s="192"/>
      <c r="Y68" s="192"/>
      <c r="Z68" s="190"/>
    </row>
    <row r="69" spans="1:26" ht="12.75" hidden="1" customHeight="1" outlineLevel="1" x14ac:dyDescent="0.2">
      <c r="A69" s="188" t="str">
        <f>"   "&amp;Labels!B408</f>
        <v xml:space="preserve">   Furniture</v>
      </c>
      <c r="B69" s="189"/>
      <c r="C69" s="189">
        <f>MAX(0,B59/(12*'(Tables)'!B1328)+'(Tables)'!B1387*(1-1/(12*'(Tables)'!B1328))^(12*'(Tables)'!B1328))</f>
        <v>0</v>
      </c>
      <c r="D69" s="189">
        <f>MAX(0,C59/(12*'(Tables)'!B1328)+'(Tables)'!C1387*(1-1/(12*'(Tables)'!B1328))^(12*'(Tables)'!B1328))</f>
        <v>0</v>
      </c>
      <c r="E69" s="189">
        <f>MAX(0,D59/(12*'(Tables)'!B1328)+'(Tables)'!D1387*(1-1/(12*'(Tables)'!B1328))^(12*'(Tables)'!B1328))</f>
        <v>0</v>
      </c>
      <c r="F69" s="190">
        <f>SUM(C69:E69)</f>
        <v>0</v>
      </c>
      <c r="G69" s="189">
        <f>MAX(0,E59/(12*'(Tables)'!B1328)+'(Tables)'!E1387*(1-1/(12*'(Tables)'!B1328))^(12*'(Tables)'!B1328))</f>
        <v>0</v>
      </c>
      <c r="H69" s="189">
        <f>MAX(0,G59/(12*'(Tables)'!B1328)+'(Tables)'!F1387*(1-1/(12*'(Tables)'!B1328))^(12*'(Tables)'!B1328))</f>
        <v>0</v>
      </c>
      <c r="I69" s="189">
        <f>MAX(0,H59/(12*'(Tables)'!B1328)+'(Tables)'!G1387*(1-1/(12*'(Tables)'!B1328))^(12*'(Tables)'!B1328))</f>
        <v>0</v>
      </c>
      <c r="J69" s="190">
        <f>SUM(G69:I69)</f>
        <v>0</v>
      </c>
      <c r="K69" s="189">
        <f>MAX(0,I59/(12*'(Tables)'!B1328)+'(Tables)'!H1387*(1-1/(12*'(Tables)'!B1328))^(12*'(Tables)'!B1328))</f>
        <v>0</v>
      </c>
      <c r="L69" s="189">
        <f>MAX(0,K59/(12*'(Tables)'!B1328)+'(Tables)'!I1387*(1-1/(12*'(Tables)'!B1328))^(12*'(Tables)'!B1328))</f>
        <v>0</v>
      </c>
      <c r="M69" s="189">
        <f>MAX(0,L59/(12*'(Tables)'!B1328)+'(Tables)'!J1387*(1-1/(12*'(Tables)'!B1328))^(12*'(Tables)'!B1328))</f>
        <v>0</v>
      </c>
      <c r="N69" s="190">
        <f>SUM(K69:M69)</f>
        <v>0</v>
      </c>
      <c r="O69" s="189">
        <f>MAX(0,M59/(12*'(Tables)'!B1328)+'(Tables)'!K1387*(1-1/(12*'(Tables)'!B1328))^(12*'(Tables)'!B1328))</f>
        <v>0</v>
      </c>
      <c r="P69" s="189">
        <f>MAX(0,O59/(12*'(Tables)'!B1328)+'(Tables)'!L1387*(1-1/(12*'(Tables)'!B1328))^(12*'(Tables)'!B1328))</f>
        <v>0</v>
      </c>
      <c r="Q69" s="189">
        <f>MAX(0,P59/(12*'(Tables)'!B1328)+'(Tables)'!M1387*(1-1/(12*'(Tables)'!B1328))^(12*'(Tables)'!B1328))</f>
        <v>0</v>
      </c>
      <c r="R69" s="190">
        <f>SUM(O69:Q69)</f>
        <v>0</v>
      </c>
      <c r="S69" s="189">
        <f>MAX(0,Q59/(12*'(Tables)'!B1328)+'(Tables)'!N1387*(1-1/(12*'(Tables)'!B1328))^(12*'(Tables)'!B1328))</f>
        <v>0</v>
      </c>
      <c r="T69" s="189">
        <f>MAX(0,S59/(12*'(Tables)'!B1328)+'(Tables)'!O1387*(1-1/(12*'(Tables)'!B1328))^(12*'(Tables)'!B1328))</f>
        <v>0</v>
      </c>
      <c r="U69" s="189">
        <f>MAX(0,T59/(12*'(Tables)'!B1328)+'(Tables)'!P1387*(1-1/(12*'(Tables)'!B1328))^(12*'(Tables)'!B1328))</f>
        <v>0</v>
      </c>
      <c r="V69" s="190">
        <f>SUM(S69:U69)</f>
        <v>0</v>
      </c>
      <c r="W69" s="189">
        <f>MAX(0,U59/(12*'(Tables)'!B1328)+'(Tables)'!Q1387*(1-1/(12*'(Tables)'!B1328))^(12*'(Tables)'!B1328))</f>
        <v>0</v>
      </c>
      <c r="X69" s="189">
        <f>MAX(0,W59/(12*'(Tables)'!B1328)+'(Tables)'!R1387*(1-1/(12*'(Tables)'!B1328))^(12*'(Tables)'!B1328))</f>
        <v>0</v>
      </c>
      <c r="Y69" s="189">
        <f>MAX(0,X59/(12*'(Tables)'!B1328)+'(Tables)'!S1387*(1-1/(12*'(Tables)'!B1328))^(12*'(Tables)'!B1328))</f>
        <v>0</v>
      </c>
      <c r="Z69" s="190">
        <f>SUM(W69:Y69)</f>
        <v>0</v>
      </c>
    </row>
    <row r="70" spans="1:26" ht="12.75" hidden="1" customHeight="1" outlineLevel="1" x14ac:dyDescent="0.2">
      <c r="A70" s="188" t="str">
        <f>"   "&amp;Labels!B409</f>
        <v xml:space="preserve">   Office Equip</v>
      </c>
      <c r="B70" s="189"/>
      <c r="C70" s="189">
        <f>MAX(0,B60/(12*'(Tables)'!B1329)+'(Tables)'!B1388*(1-1/(12*'(Tables)'!B1329))^(12*'(Tables)'!B1329))</f>
        <v>0</v>
      </c>
      <c r="D70" s="189">
        <f>MAX(0,C60/(12*'(Tables)'!B1329)+'(Tables)'!C1388*(1-1/(12*'(Tables)'!B1329))^(12*'(Tables)'!B1329))</f>
        <v>0</v>
      </c>
      <c r="E70" s="189">
        <f>MAX(0,D60/(12*'(Tables)'!B1329)+'(Tables)'!D1388*(1-1/(12*'(Tables)'!B1329))^(12*'(Tables)'!B1329))</f>
        <v>0</v>
      </c>
      <c r="F70" s="190">
        <f>SUM(C70:E70)</f>
        <v>0</v>
      </c>
      <c r="G70" s="189">
        <f>MAX(0,E60/(12*'(Tables)'!B1329)+'(Tables)'!E1388*(1-1/(12*'(Tables)'!B1329))^(12*'(Tables)'!B1329))</f>
        <v>0</v>
      </c>
      <c r="H70" s="189">
        <f>MAX(0,G60/(12*'(Tables)'!B1329)+'(Tables)'!F1388*(1-1/(12*'(Tables)'!B1329))^(12*'(Tables)'!B1329))</f>
        <v>0</v>
      </c>
      <c r="I70" s="189">
        <f>MAX(0,H60/(12*'(Tables)'!B1329)+'(Tables)'!G1388*(1-1/(12*'(Tables)'!B1329))^(12*'(Tables)'!B1329))</f>
        <v>0</v>
      </c>
      <c r="J70" s="190">
        <f>SUM(G70:I70)</f>
        <v>0</v>
      </c>
      <c r="K70" s="189">
        <f>MAX(0,I60/(12*'(Tables)'!B1329)+'(Tables)'!H1388*(1-1/(12*'(Tables)'!B1329))^(12*'(Tables)'!B1329))</f>
        <v>0</v>
      </c>
      <c r="L70" s="189">
        <f>MAX(0,K60/(12*'(Tables)'!B1329)+'(Tables)'!I1388*(1-1/(12*'(Tables)'!B1329))^(12*'(Tables)'!B1329))</f>
        <v>0</v>
      </c>
      <c r="M70" s="189">
        <f>MAX(0,L60/(12*'(Tables)'!B1329)+'(Tables)'!J1388*(1-1/(12*'(Tables)'!B1329))^(12*'(Tables)'!B1329))</f>
        <v>0</v>
      </c>
      <c r="N70" s="190">
        <f>SUM(K70:M70)</f>
        <v>0</v>
      </c>
      <c r="O70" s="189">
        <f>MAX(0,M60/(12*'(Tables)'!B1329)+'(Tables)'!K1388*(1-1/(12*'(Tables)'!B1329))^(12*'(Tables)'!B1329))</f>
        <v>0</v>
      </c>
      <c r="P70" s="189">
        <f>MAX(0,O60/(12*'(Tables)'!B1329)+'(Tables)'!L1388*(1-1/(12*'(Tables)'!B1329))^(12*'(Tables)'!B1329))</f>
        <v>0</v>
      </c>
      <c r="Q70" s="189">
        <f>MAX(0,P60/(12*'(Tables)'!B1329)+'(Tables)'!M1388*(1-1/(12*'(Tables)'!B1329))^(12*'(Tables)'!B1329))</f>
        <v>0</v>
      </c>
      <c r="R70" s="190">
        <f>SUM(O70:Q70)</f>
        <v>0</v>
      </c>
      <c r="S70" s="189">
        <f>MAX(0,Q60/(12*'(Tables)'!B1329)+'(Tables)'!N1388*(1-1/(12*'(Tables)'!B1329))^(12*'(Tables)'!B1329))</f>
        <v>0</v>
      </c>
      <c r="T70" s="189">
        <f>MAX(0,S60/(12*'(Tables)'!B1329)+'(Tables)'!O1388*(1-1/(12*'(Tables)'!B1329))^(12*'(Tables)'!B1329))</f>
        <v>0</v>
      </c>
      <c r="U70" s="189">
        <f>MAX(0,T60/(12*'(Tables)'!B1329)+'(Tables)'!P1388*(1-1/(12*'(Tables)'!B1329))^(12*'(Tables)'!B1329))</f>
        <v>0</v>
      </c>
      <c r="V70" s="190">
        <f>SUM(S70:U70)</f>
        <v>0</v>
      </c>
      <c r="W70" s="189">
        <f>MAX(0,U60/(12*'(Tables)'!B1329)+'(Tables)'!Q1388*(1-1/(12*'(Tables)'!B1329))^(12*'(Tables)'!B1329))</f>
        <v>0</v>
      </c>
      <c r="X70" s="189">
        <f>MAX(0,W60/(12*'(Tables)'!B1329)+'(Tables)'!R1388*(1-1/(12*'(Tables)'!B1329))^(12*'(Tables)'!B1329))</f>
        <v>0</v>
      </c>
      <c r="Y70" s="189">
        <f>MAX(0,X60/(12*'(Tables)'!B1329)+'(Tables)'!S1388*(1-1/(12*'(Tables)'!B1329))^(12*'(Tables)'!B1329))</f>
        <v>0</v>
      </c>
      <c r="Z70" s="190">
        <f>SUM(W70:Y70)</f>
        <v>0</v>
      </c>
    </row>
    <row r="71" spans="1:26" ht="12.75" hidden="1" customHeight="1" outlineLevel="1" x14ac:dyDescent="0.2">
      <c r="A71" s="185" t="str">
        <f>"   "&amp;Labels!C407</f>
        <v xml:space="preserve">   Total</v>
      </c>
      <c r="B71" s="176"/>
      <c r="C71" s="176">
        <f>SUM(C69:C70)</f>
        <v>0</v>
      </c>
      <c r="D71" s="176">
        <f>SUM(D69:D70)</f>
        <v>0</v>
      </c>
      <c r="E71" s="176">
        <f>SUM(E69:E70)</f>
        <v>0</v>
      </c>
      <c r="F71" s="193">
        <f>SUM(C71:E71)</f>
        <v>0</v>
      </c>
      <c r="G71" s="176">
        <f>SUM(G69:G70)</f>
        <v>0</v>
      </c>
      <c r="H71" s="176">
        <f>SUM(H69:H70)</f>
        <v>0</v>
      </c>
      <c r="I71" s="176">
        <f>SUM(I69:I70)</f>
        <v>0</v>
      </c>
      <c r="J71" s="193">
        <f>SUM(G71:I71)</f>
        <v>0</v>
      </c>
      <c r="K71" s="176">
        <f>SUM(K69:K70)</f>
        <v>0</v>
      </c>
      <c r="L71" s="176">
        <f>SUM(L69:L70)</f>
        <v>0</v>
      </c>
      <c r="M71" s="176">
        <f>SUM(M69:M70)</f>
        <v>0</v>
      </c>
      <c r="N71" s="193">
        <f>SUM(K71:M71)</f>
        <v>0</v>
      </c>
      <c r="O71" s="176">
        <f>SUM(O69:O70)</f>
        <v>0</v>
      </c>
      <c r="P71" s="176">
        <f>SUM(P69:P70)</f>
        <v>0</v>
      </c>
      <c r="Q71" s="176">
        <f>SUM(Q69:Q70)</f>
        <v>0</v>
      </c>
      <c r="R71" s="193">
        <f>SUM(O71:Q71)</f>
        <v>0</v>
      </c>
      <c r="S71" s="176">
        <f>SUM(S69:S70)</f>
        <v>0</v>
      </c>
      <c r="T71" s="176">
        <f>SUM(T69:T70)</f>
        <v>0</v>
      </c>
      <c r="U71" s="176">
        <f>SUM(U69:U70)</f>
        <v>0</v>
      </c>
      <c r="V71" s="193">
        <f>SUM(S71:U71)</f>
        <v>0</v>
      </c>
      <c r="W71" s="176">
        <f>SUM(W69:W70)</f>
        <v>0</v>
      </c>
      <c r="X71" s="176">
        <f>SUM(X69:X70)</f>
        <v>0</v>
      </c>
      <c r="Y71" s="176">
        <f>SUM(Y69:Y70)</f>
        <v>0</v>
      </c>
      <c r="Z71" s="193">
        <f>SUM(W71:Y71)</f>
        <v>0</v>
      </c>
    </row>
    <row r="72" spans="1:26" ht="12.75" hidden="1" customHeight="1" outlineLevel="1" x14ac:dyDescent="0.2"/>
    <row r="73" spans="1:26" ht="12.75" hidden="1" customHeight="1" outlineLevel="1" collapsed="1" x14ac:dyDescent="0.2"/>
    <row r="74" spans="1:26" ht="12.75" customHeight="1" collapsed="1" x14ac:dyDescent="0.2"/>
    <row r="75" spans="1:26" ht="12.75" customHeight="1" collapsed="1" x14ac:dyDescent="0.2">
      <c r="A75" s="465" t="str">
        <f>"Capitalized Development"</f>
        <v>Capitalized Development</v>
      </c>
      <c r="B75" s="465"/>
    </row>
    <row r="76" spans="1:26" ht="12.75" hidden="1" customHeight="1" outlineLevel="1" x14ac:dyDescent="0.2">
      <c r="A76" s="1" t="str">
        <f>""</f>
        <v/>
      </c>
    </row>
    <row r="77" spans="1:26" ht="12.75" hidden="1" customHeight="1" outlineLevel="1" x14ac:dyDescent="0.2">
      <c r="B77" s="9" t="str">
        <f>'(FnCalls 1)'!F40</f>
        <v>MMM 2009</v>
      </c>
      <c r="C77" s="10" t="str">
        <f>'(FnCalls 1)'!F41</f>
        <v>MMM 2010</v>
      </c>
      <c r="D77" s="10" t="str">
        <f>'(FnCalls 1)'!F42</f>
        <v>MMM 2010</v>
      </c>
      <c r="E77" s="10" t="str">
        <f>'(FnCalls 1)'!F43</f>
        <v>MMM 2010</v>
      </c>
      <c r="F77" s="181" t="str">
        <f>'(FnCalls 1)'!G41</f>
        <v>Q1 2010</v>
      </c>
      <c r="G77" s="10" t="str">
        <f>'(FnCalls 1)'!F44</f>
        <v>MMM 2010</v>
      </c>
      <c r="H77" s="10" t="str">
        <f>'(FnCalls 1)'!F45</f>
        <v>MMM 2010</v>
      </c>
      <c r="I77" s="10" t="str">
        <f>'(FnCalls 1)'!F46</f>
        <v>MMM 2010</v>
      </c>
      <c r="J77" s="181" t="str">
        <f>'(FnCalls 1)'!G44</f>
        <v>Q2 2010</v>
      </c>
      <c r="K77" s="10" t="str">
        <f>'(FnCalls 1)'!F47</f>
        <v>MMM 2010</v>
      </c>
      <c r="L77" s="10" t="str">
        <f>'(FnCalls 1)'!F48</f>
        <v>MMM 2010</v>
      </c>
      <c r="M77" s="10" t="str">
        <f>'(FnCalls 1)'!F49</f>
        <v>MMM 2010</v>
      </c>
      <c r="N77" s="181" t="str">
        <f>'(FnCalls 1)'!G47</f>
        <v>Q3 2010</v>
      </c>
      <c r="O77" s="10" t="str">
        <f>'(FnCalls 1)'!F50</f>
        <v>MMM 2010</v>
      </c>
      <c r="P77" s="10" t="str">
        <f>'(FnCalls 1)'!F51</f>
        <v>MMM 2010</v>
      </c>
      <c r="Q77" s="10" t="str">
        <f>'(FnCalls 1)'!F52</f>
        <v>MMM 2010</v>
      </c>
      <c r="R77" s="181" t="str">
        <f>'(FnCalls 1)'!G50</f>
        <v>Q4 2010</v>
      </c>
      <c r="S77" s="10" t="str">
        <f>'(FnCalls 1)'!F53</f>
        <v>MMM 2011</v>
      </c>
      <c r="T77" s="10" t="str">
        <f>'(FnCalls 1)'!F54</f>
        <v>MMM 2011</v>
      </c>
      <c r="U77" s="10" t="str">
        <f>'(FnCalls 1)'!F55</f>
        <v>MMM 2011</v>
      </c>
      <c r="V77" s="181" t="str">
        <f>'(FnCalls 1)'!G53</f>
        <v>Q1 2011</v>
      </c>
      <c r="W77" s="10" t="str">
        <f>'(FnCalls 1)'!F56</f>
        <v>MMM 2011</v>
      </c>
      <c r="X77" s="10" t="str">
        <f>'(FnCalls 1)'!F57</f>
        <v>MMM 2011</v>
      </c>
      <c r="Y77" s="10" t="str">
        <f>'(FnCalls 1)'!F58</f>
        <v>MMM 2011</v>
      </c>
      <c r="Z77" s="181" t="str">
        <f>'(FnCalls 1)'!G56</f>
        <v>Q2 2011</v>
      </c>
    </row>
    <row r="78" spans="1:26" ht="12.75" hidden="1" customHeight="1" outlineLevel="1" x14ac:dyDescent="0.2">
      <c r="A78" s="182" t="str">
        <f>Labels!B55</f>
        <v>Cap'd Development (Asset)</v>
      </c>
      <c r="B78" s="183"/>
      <c r="C78" s="183"/>
      <c r="D78" s="183"/>
      <c r="E78" s="183"/>
      <c r="F78" s="184"/>
      <c r="G78" s="183"/>
      <c r="H78" s="183"/>
      <c r="I78" s="183"/>
      <c r="J78" s="184"/>
      <c r="K78" s="183"/>
      <c r="L78" s="183"/>
      <c r="M78" s="183"/>
      <c r="N78" s="184"/>
      <c r="O78" s="183"/>
      <c r="P78" s="183"/>
      <c r="Q78" s="183"/>
      <c r="R78" s="184"/>
      <c r="S78" s="183"/>
      <c r="T78" s="183"/>
      <c r="U78" s="183"/>
      <c r="V78" s="184"/>
      <c r="W78" s="183"/>
      <c r="X78" s="183"/>
      <c r="Y78" s="183"/>
      <c r="Z78" s="184"/>
    </row>
    <row r="79" spans="1:26" ht="12.75" hidden="1" customHeight="1" outlineLevel="1" x14ac:dyDescent="0.2">
      <c r="A79" s="188" t="str">
        <f>"   "&amp;Labels!B381</f>
        <v xml:space="preserve">   Practice 1</v>
      </c>
      <c r="B79" s="189">
        <f>Inputs!F391</f>
        <v>0</v>
      </c>
      <c r="C79" s="189">
        <f t="shared" ref="C79:E80" si="1">B79-C89+C84</f>
        <v>0</v>
      </c>
      <c r="D79" s="189">
        <f t="shared" si="1"/>
        <v>0</v>
      </c>
      <c r="E79" s="189">
        <f t="shared" si="1"/>
        <v>0</v>
      </c>
      <c r="F79" s="190">
        <f>E79</f>
        <v>0</v>
      </c>
      <c r="G79" s="189">
        <f>E79-G89+G84</f>
        <v>0</v>
      </c>
      <c r="H79" s="189">
        <f>G79-H89+H84</f>
        <v>0</v>
      </c>
      <c r="I79" s="189">
        <f>H79-I89+I84</f>
        <v>0</v>
      </c>
      <c r="J79" s="190">
        <f>I79</f>
        <v>0</v>
      </c>
      <c r="K79" s="189">
        <f>I79-K89+K84</f>
        <v>0</v>
      </c>
      <c r="L79" s="189">
        <f>K79-L89+L84</f>
        <v>0</v>
      </c>
      <c r="M79" s="189">
        <f>L79-M89+M84</f>
        <v>0</v>
      </c>
      <c r="N79" s="190">
        <f>M79</f>
        <v>0</v>
      </c>
      <c r="O79" s="189">
        <f>M79-O89+O84</f>
        <v>0</v>
      </c>
      <c r="P79" s="189">
        <f>O79-P89+P84</f>
        <v>0</v>
      </c>
      <c r="Q79" s="189">
        <f>P79-Q89+Q84</f>
        <v>0</v>
      </c>
      <c r="R79" s="190">
        <f>Q79</f>
        <v>0</v>
      </c>
      <c r="S79" s="189">
        <f>Q79-S89+S84</f>
        <v>0</v>
      </c>
      <c r="T79" s="189">
        <f>S79-T89+T84</f>
        <v>0</v>
      </c>
      <c r="U79" s="189">
        <f>T79-U89+U84</f>
        <v>0</v>
      </c>
      <c r="V79" s="190">
        <f>U79</f>
        <v>0</v>
      </c>
      <c r="W79" s="189">
        <f>U79-W89+W84</f>
        <v>0</v>
      </c>
      <c r="X79" s="189">
        <f>W79-X89+X84</f>
        <v>0</v>
      </c>
      <c r="Y79" s="189">
        <f>X79-Y89+Y84</f>
        <v>0</v>
      </c>
      <c r="Z79" s="190">
        <f>Y79</f>
        <v>0</v>
      </c>
    </row>
    <row r="80" spans="1:26" ht="12.75" hidden="1" customHeight="1" outlineLevel="1" x14ac:dyDescent="0.2">
      <c r="A80" s="188" t="str">
        <f>"   "&amp;Labels!B382</f>
        <v xml:space="preserve">   Practice 2</v>
      </c>
      <c r="B80" s="189">
        <f>Inputs!F392</f>
        <v>0</v>
      </c>
      <c r="C80" s="189">
        <f t="shared" si="1"/>
        <v>0</v>
      </c>
      <c r="D80" s="189">
        <f t="shared" si="1"/>
        <v>0</v>
      </c>
      <c r="E80" s="189">
        <f t="shared" si="1"/>
        <v>0</v>
      </c>
      <c r="F80" s="190">
        <f>E80</f>
        <v>0</v>
      </c>
      <c r="G80" s="189">
        <f>E80-G90+G85</f>
        <v>0</v>
      </c>
      <c r="H80" s="189">
        <f>G80-H90+H85</f>
        <v>0</v>
      </c>
      <c r="I80" s="189">
        <f>H80-I90+I85</f>
        <v>0</v>
      </c>
      <c r="J80" s="190">
        <f>I80</f>
        <v>0</v>
      </c>
      <c r="K80" s="189">
        <f>I80-K90+K85</f>
        <v>0</v>
      </c>
      <c r="L80" s="189">
        <f>K80-L90+L85</f>
        <v>0</v>
      </c>
      <c r="M80" s="189">
        <f>L80-M90+M85</f>
        <v>0</v>
      </c>
      <c r="N80" s="190">
        <f>M80</f>
        <v>0</v>
      </c>
      <c r="O80" s="189">
        <f>M80-O90+O85</f>
        <v>0</v>
      </c>
      <c r="P80" s="189">
        <f>O80-P90+P85</f>
        <v>0</v>
      </c>
      <c r="Q80" s="189">
        <f>P80-Q90+Q85</f>
        <v>0</v>
      </c>
      <c r="R80" s="190">
        <f>Q80</f>
        <v>0</v>
      </c>
      <c r="S80" s="189">
        <f>Q80-S90+S85</f>
        <v>0</v>
      </c>
      <c r="T80" s="189">
        <f>S80-T90+T85</f>
        <v>0</v>
      </c>
      <c r="U80" s="189">
        <f>T80-U90+U85</f>
        <v>0</v>
      </c>
      <c r="V80" s="190">
        <f>U80</f>
        <v>0</v>
      </c>
      <c r="W80" s="189">
        <f>U80-W90+W85</f>
        <v>0</v>
      </c>
      <c r="X80" s="189">
        <f>W80-X90+X85</f>
        <v>0</v>
      </c>
      <c r="Y80" s="189">
        <f>X80-Y90+Y85</f>
        <v>0</v>
      </c>
      <c r="Z80" s="190">
        <f>Y80</f>
        <v>0</v>
      </c>
    </row>
    <row r="81" spans="1:26" ht="12.75" hidden="1" customHeight="1" outlineLevel="1" x14ac:dyDescent="0.2">
      <c r="A81" s="191" t="str">
        <f>"   "&amp;Labels!C380</f>
        <v xml:space="preserve">   Total</v>
      </c>
      <c r="B81" s="192">
        <f>SUM(B79:B80)</f>
        <v>0</v>
      </c>
      <c r="C81" s="192">
        <f>SUM(C79:C80)</f>
        <v>0</v>
      </c>
      <c r="D81" s="192">
        <f>SUM(D79:D80)</f>
        <v>0</v>
      </c>
      <c r="E81" s="192">
        <f>SUM(E79:E80)</f>
        <v>0</v>
      </c>
      <c r="F81" s="190">
        <f>SUM(E79:E80)</f>
        <v>0</v>
      </c>
      <c r="G81" s="192">
        <f>SUM(G79:G80)</f>
        <v>0</v>
      </c>
      <c r="H81" s="192">
        <f>SUM(H79:H80)</f>
        <v>0</v>
      </c>
      <c r="I81" s="192">
        <f>SUM(I79:I80)</f>
        <v>0</v>
      </c>
      <c r="J81" s="190">
        <f>SUM(I79:I80)</f>
        <v>0</v>
      </c>
      <c r="K81" s="192">
        <f>SUM(K79:K80)</f>
        <v>0</v>
      </c>
      <c r="L81" s="192">
        <f>SUM(L79:L80)</f>
        <v>0</v>
      </c>
      <c r="M81" s="192">
        <f>SUM(M79:M80)</f>
        <v>0</v>
      </c>
      <c r="N81" s="190">
        <f>SUM(M79:M80)</f>
        <v>0</v>
      </c>
      <c r="O81" s="192">
        <f>SUM(O79:O80)</f>
        <v>0</v>
      </c>
      <c r="P81" s="192">
        <f>SUM(P79:P80)</f>
        <v>0</v>
      </c>
      <c r="Q81" s="192">
        <f>SUM(Q79:Q80)</f>
        <v>0</v>
      </c>
      <c r="R81" s="190">
        <f>SUM(Q79:Q80)</f>
        <v>0</v>
      </c>
      <c r="S81" s="192">
        <f>SUM(S79:S80)</f>
        <v>0</v>
      </c>
      <c r="T81" s="192">
        <f>SUM(T79:T80)</f>
        <v>0</v>
      </c>
      <c r="U81" s="192">
        <f>SUM(U79:U80)</f>
        <v>0</v>
      </c>
      <c r="V81" s="190">
        <f>SUM(U79:U80)</f>
        <v>0</v>
      </c>
      <c r="W81" s="192">
        <f>SUM(W79:W80)</f>
        <v>0</v>
      </c>
      <c r="X81" s="192">
        <f>SUM(X79:X80)</f>
        <v>0</v>
      </c>
      <c r="Y81" s="192">
        <f>SUM(Y79:Y80)</f>
        <v>0</v>
      </c>
      <c r="Z81" s="190">
        <f>SUM(Y79:Y80)</f>
        <v>0</v>
      </c>
    </row>
    <row r="82" spans="1:26" ht="12.75" hidden="1" customHeight="1" outlineLevel="1" x14ac:dyDescent="0.2">
      <c r="A82" s="97"/>
      <c r="B82" s="6"/>
      <c r="C82" s="6"/>
      <c r="D82" s="6"/>
      <c r="E82" s="6"/>
      <c r="F82" s="97"/>
      <c r="G82" s="6"/>
      <c r="H82" s="6"/>
      <c r="I82" s="6"/>
      <c r="J82" s="97"/>
      <c r="K82" s="6"/>
      <c r="L82" s="6"/>
      <c r="M82" s="6"/>
      <c r="N82" s="97"/>
      <c r="O82" s="6"/>
      <c r="P82" s="6"/>
      <c r="Q82" s="6"/>
      <c r="R82" s="97"/>
      <c r="S82" s="6"/>
      <c r="T82" s="6"/>
      <c r="U82" s="6"/>
      <c r="V82" s="97"/>
      <c r="W82" s="6"/>
      <c r="X82" s="6"/>
      <c r="Y82" s="6"/>
      <c r="Z82" s="97"/>
    </row>
    <row r="83" spans="1:26" ht="12.75" hidden="1" customHeight="1" outlineLevel="1" x14ac:dyDescent="0.2">
      <c r="A83" s="191" t="str">
        <f>Labels!B59</f>
        <v>New Cap'd Development</v>
      </c>
      <c r="B83" s="247"/>
      <c r="C83" s="247"/>
      <c r="D83" s="247"/>
      <c r="E83" s="247"/>
      <c r="F83" s="205"/>
      <c r="G83" s="247"/>
      <c r="H83" s="247"/>
      <c r="I83" s="247"/>
      <c r="J83" s="205"/>
      <c r="K83" s="247"/>
      <c r="L83" s="247"/>
      <c r="M83" s="247"/>
      <c r="N83" s="205"/>
      <c r="O83" s="247"/>
      <c r="P83" s="247"/>
      <c r="Q83" s="247"/>
      <c r="R83" s="205"/>
      <c r="S83" s="247"/>
      <c r="T83" s="247"/>
      <c r="U83" s="247"/>
      <c r="V83" s="205"/>
      <c r="W83" s="247"/>
      <c r="X83" s="247"/>
      <c r="Y83" s="247"/>
      <c r="Z83" s="205"/>
    </row>
    <row r="84" spans="1:26" ht="12.75" hidden="1" customHeight="1" outlineLevel="1" x14ac:dyDescent="0.2">
      <c r="A84" s="188" t="str">
        <f>"   "&amp;Labels!B381</f>
        <v xml:space="preserve">   Practice 1</v>
      </c>
      <c r="B84" s="204">
        <f>0</f>
        <v>0</v>
      </c>
      <c r="C84" s="204">
        <f>OpExp!B69</f>
        <v>0</v>
      </c>
      <c r="D84" s="204">
        <f>OpExp!C69</f>
        <v>0</v>
      </c>
      <c r="E84" s="204">
        <f>OpExp!D69</f>
        <v>0</v>
      </c>
      <c r="F84" s="205">
        <f>SUM(C84:E84)</f>
        <v>0</v>
      </c>
      <c r="G84" s="204">
        <f>OpExp!F69</f>
        <v>0</v>
      </c>
      <c r="H84" s="204">
        <f>OpExp!G69</f>
        <v>0</v>
      </c>
      <c r="I84" s="204">
        <f>OpExp!H69</f>
        <v>0</v>
      </c>
      <c r="J84" s="205">
        <f>SUM(G84:I84)</f>
        <v>0</v>
      </c>
      <c r="K84" s="204">
        <f>OpExp!J69</f>
        <v>0</v>
      </c>
      <c r="L84" s="204">
        <f>OpExp!K69</f>
        <v>0</v>
      </c>
      <c r="M84" s="204">
        <f>OpExp!L69</f>
        <v>0</v>
      </c>
      <c r="N84" s="205">
        <f>SUM(K84:M84)</f>
        <v>0</v>
      </c>
      <c r="O84" s="204">
        <f>OpExp!N69</f>
        <v>0</v>
      </c>
      <c r="P84" s="204">
        <f>OpExp!O69</f>
        <v>0</v>
      </c>
      <c r="Q84" s="204">
        <f>OpExp!P69</f>
        <v>0</v>
      </c>
      <c r="R84" s="205">
        <f>SUM(O84:Q84)</f>
        <v>0</v>
      </c>
      <c r="S84" s="204">
        <f>OpExp!R69</f>
        <v>0</v>
      </c>
      <c r="T84" s="204">
        <f>OpExp!S69</f>
        <v>0</v>
      </c>
      <c r="U84" s="204">
        <f>OpExp!T69</f>
        <v>0</v>
      </c>
      <c r="V84" s="205">
        <f>SUM(S84:U84)</f>
        <v>0</v>
      </c>
      <c r="W84" s="204">
        <f>OpExp!V69</f>
        <v>0</v>
      </c>
      <c r="X84" s="204">
        <f>OpExp!W69</f>
        <v>0</v>
      </c>
      <c r="Y84" s="204">
        <f>OpExp!X69</f>
        <v>0</v>
      </c>
      <c r="Z84" s="205">
        <f>SUM(W84:Y84)</f>
        <v>0</v>
      </c>
    </row>
    <row r="85" spans="1:26" ht="12.75" hidden="1" customHeight="1" outlineLevel="1" x14ac:dyDescent="0.2">
      <c r="A85" s="188" t="str">
        <f>"   "&amp;Labels!B382</f>
        <v xml:space="preserve">   Practice 2</v>
      </c>
      <c r="B85" s="204">
        <f>0</f>
        <v>0</v>
      </c>
      <c r="C85" s="204">
        <f>OpExp!B70</f>
        <v>0</v>
      </c>
      <c r="D85" s="204">
        <f>OpExp!C70</f>
        <v>0</v>
      </c>
      <c r="E85" s="204">
        <f>OpExp!D70</f>
        <v>0</v>
      </c>
      <c r="F85" s="205">
        <f>SUM(C85:E85)</f>
        <v>0</v>
      </c>
      <c r="G85" s="204">
        <f>OpExp!F70</f>
        <v>0</v>
      </c>
      <c r="H85" s="204">
        <f>OpExp!G70</f>
        <v>0</v>
      </c>
      <c r="I85" s="204">
        <f>OpExp!H70</f>
        <v>0</v>
      </c>
      <c r="J85" s="205">
        <f>SUM(G85:I85)</f>
        <v>0</v>
      </c>
      <c r="K85" s="204">
        <f>OpExp!J70</f>
        <v>0</v>
      </c>
      <c r="L85" s="204">
        <f>OpExp!K70</f>
        <v>0</v>
      </c>
      <c r="M85" s="204">
        <f>OpExp!L70</f>
        <v>0</v>
      </c>
      <c r="N85" s="205">
        <f>SUM(K85:M85)</f>
        <v>0</v>
      </c>
      <c r="O85" s="204">
        <f>OpExp!N70</f>
        <v>0</v>
      </c>
      <c r="P85" s="204">
        <f>OpExp!O70</f>
        <v>0</v>
      </c>
      <c r="Q85" s="204">
        <f>OpExp!P70</f>
        <v>0</v>
      </c>
      <c r="R85" s="205">
        <f>SUM(O85:Q85)</f>
        <v>0</v>
      </c>
      <c r="S85" s="204">
        <f>OpExp!R70</f>
        <v>0</v>
      </c>
      <c r="T85" s="204">
        <f>OpExp!S70</f>
        <v>0</v>
      </c>
      <c r="U85" s="204">
        <f>OpExp!T70</f>
        <v>0</v>
      </c>
      <c r="V85" s="205">
        <f>SUM(S85:U85)</f>
        <v>0</v>
      </c>
      <c r="W85" s="204">
        <f>OpExp!V70</f>
        <v>0</v>
      </c>
      <c r="X85" s="204">
        <f>OpExp!W70</f>
        <v>0</v>
      </c>
      <c r="Y85" s="204">
        <f>OpExp!X70</f>
        <v>0</v>
      </c>
      <c r="Z85" s="205">
        <f>SUM(W85:Y85)</f>
        <v>0</v>
      </c>
    </row>
    <row r="86" spans="1:26" ht="12.75" hidden="1" customHeight="1" outlineLevel="1" x14ac:dyDescent="0.2">
      <c r="A86" s="191" t="str">
        <f>"   "&amp;Labels!C380</f>
        <v xml:space="preserve">   Total</v>
      </c>
      <c r="B86" s="247">
        <f>SUM(B84:B85)</f>
        <v>0</v>
      </c>
      <c r="C86" s="247">
        <f>SUM(C84:C85)</f>
        <v>0</v>
      </c>
      <c r="D86" s="247">
        <f>SUM(D84:D85)</f>
        <v>0</v>
      </c>
      <c r="E86" s="247">
        <f>SUM(E84:E85)</f>
        <v>0</v>
      </c>
      <c r="F86" s="205">
        <f>SUM(C86:E86)</f>
        <v>0</v>
      </c>
      <c r="G86" s="247">
        <f>SUM(G84:G85)</f>
        <v>0</v>
      </c>
      <c r="H86" s="247">
        <f>SUM(H84:H85)</f>
        <v>0</v>
      </c>
      <c r="I86" s="247">
        <f>SUM(I84:I85)</f>
        <v>0</v>
      </c>
      <c r="J86" s="205">
        <f>SUM(G86:I86)</f>
        <v>0</v>
      </c>
      <c r="K86" s="247">
        <f>SUM(K84:K85)</f>
        <v>0</v>
      </c>
      <c r="L86" s="247">
        <f>SUM(L84:L85)</f>
        <v>0</v>
      </c>
      <c r="M86" s="247">
        <f>SUM(M84:M85)</f>
        <v>0</v>
      </c>
      <c r="N86" s="205">
        <f>SUM(K86:M86)</f>
        <v>0</v>
      </c>
      <c r="O86" s="247">
        <f>SUM(O84:O85)</f>
        <v>0</v>
      </c>
      <c r="P86" s="247">
        <f>SUM(P84:P85)</f>
        <v>0</v>
      </c>
      <c r="Q86" s="247">
        <f>SUM(Q84:Q85)</f>
        <v>0</v>
      </c>
      <c r="R86" s="205">
        <f>SUM(O86:Q86)</f>
        <v>0</v>
      </c>
      <c r="S86" s="247">
        <f>SUM(S84:S85)</f>
        <v>0</v>
      </c>
      <c r="T86" s="247">
        <f>SUM(T84:T85)</f>
        <v>0</v>
      </c>
      <c r="U86" s="247">
        <f>SUM(U84:U85)</f>
        <v>0</v>
      </c>
      <c r="V86" s="205">
        <f>SUM(S86:U86)</f>
        <v>0</v>
      </c>
      <c r="W86" s="247">
        <f>SUM(W84:W85)</f>
        <v>0</v>
      </c>
      <c r="X86" s="247">
        <f>SUM(X84:X85)</f>
        <v>0</v>
      </c>
      <c r="Y86" s="247">
        <f>SUM(Y84:Y85)</f>
        <v>0</v>
      </c>
      <c r="Z86" s="205">
        <f>SUM(W86:Y86)</f>
        <v>0</v>
      </c>
    </row>
    <row r="87" spans="1:26" ht="12.75" hidden="1" customHeight="1" outlineLevel="1" x14ac:dyDescent="0.2">
      <c r="A87" s="97"/>
      <c r="B87" s="6"/>
      <c r="C87" s="6"/>
      <c r="D87" s="6"/>
      <c r="E87" s="6"/>
      <c r="F87" s="97"/>
      <c r="G87" s="6"/>
      <c r="H87" s="6"/>
      <c r="I87" s="6"/>
      <c r="J87" s="97"/>
      <c r="K87" s="6"/>
      <c r="L87" s="6"/>
      <c r="M87" s="6"/>
      <c r="N87" s="97"/>
      <c r="O87" s="6"/>
      <c r="P87" s="6"/>
      <c r="Q87" s="6"/>
      <c r="R87" s="97"/>
      <c r="S87" s="6"/>
      <c r="T87" s="6"/>
      <c r="U87" s="6"/>
      <c r="V87" s="97"/>
      <c r="W87" s="6"/>
      <c r="X87" s="6"/>
      <c r="Y87" s="6"/>
      <c r="Z87" s="97"/>
    </row>
    <row r="88" spans="1:26" ht="12.75" hidden="1" customHeight="1" outlineLevel="1" x14ac:dyDescent="0.2">
      <c r="A88" s="191" t="str">
        <f>Labels!B56</f>
        <v>Capitalized Dev Deprec</v>
      </c>
      <c r="B88" s="192"/>
      <c r="C88" s="192"/>
      <c r="D88" s="192"/>
      <c r="E88" s="192"/>
      <c r="F88" s="190"/>
      <c r="G88" s="192"/>
      <c r="H88" s="192"/>
      <c r="I88" s="192"/>
      <c r="J88" s="190"/>
      <c r="K88" s="192"/>
      <c r="L88" s="192"/>
      <c r="M88" s="192"/>
      <c r="N88" s="190"/>
      <c r="O88" s="192"/>
      <c r="P88" s="192"/>
      <c r="Q88" s="192"/>
      <c r="R88" s="190"/>
      <c r="S88" s="192"/>
      <c r="T88" s="192"/>
      <c r="U88" s="192"/>
      <c r="V88" s="190"/>
      <c r="W88" s="192"/>
      <c r="X88" s="192"/>
      <c r="Y88" s="192"/>
      <c r="Z88" s="190"/>
    </row>
    <row r="89" spans="1:26" ht="12.75" hidden="1" customHeight="1" outlineLevel="1" x14ac:dyDescent="0.2">
      <c r="A89" s="188" t="str">
        <f>"   "&amp;Labels!B381</f>
        <v xml:space="preserve">   Practice 1</v>
      </c>
      <c r="B89" s="189"/>
      <c r="C89" s="189">
        <f>MAX(0,B79/(12*Inputs!J391)+'(Tables)'!B1422*(1-1/(12*Inputs!J391))^(12*Inputs!J391))</f>
        <v>0</v>
      </c>
      <c r="D89" s="189">
        <f>MAX(0,C79/(12*Inputs!J391)+'(Tables)'!C1422*(1-1/(12*Inputs!J391))^(12*Inputs!J391))</f>
        <v>0</v>
      </c>
      <c r="E89" s="189">
        <f>MAX(0,D79/(12*Inputs!J391)+'(Tables)'!D1422*(1-1/(12*Inputs!J391))^(12*Inputs!J391))</f>
        <v>0</v>
      </c>
      <c r="F89" s="190">
        <f>SUM(C89:E89)</f>
        <v>0</v>
      </c>
      <c r="G89" s="189">
        <f>MAX(0,E79/(12*Inputs!J391)+'(Tables)'!E1422*(1-1/(12*Inputs!J391))^(12*Inputs!J391))</f>
        <v>0</v>
      </c>
      <c r="H89" s="189">
        <f>MAX(0,G79/(12*Inputs!J391)+'(Tables)'!F1422*(1-1/(12*Inputs!J391))^(12*Inputs!J391))</f>
        <v>0</v>
      </c>
      <c r="I89" s="189">
        <f>MAX(0,H79/(12*Inputs!J391)+'(Tables)'!G1422*(1-1/(12*Inputs!J391))^(12*Inputs!J391))</f>
        <v>0</v>
      </c>
      <c r="J89" s="190">
        <f>SUM(G89:I89)</f>
        <v>0</v>
      </c>
      <c r="K89" s="189">
        <f>MAX(0,I79/(12*Inputs!J391)+'(Tables)'!H1422*(1-1/(12*Inputs!J391))^(12*Inputs!J391))</f>
        <v>0</v>
      </c>
      <c r="L89" s="189">
        <f>MAX(0,K79/(12*Inputs!J391)+'(Tables)'!I1422*(1-1/(12*Inputs!J391))^(12*Inputs!J391))</f>
        <v>0</v>
      </c>
      <c r="M89" s="189">
        <f>MAX(0,L79/(12*Inputs!J391)+'(Tables)'!J1422*(1-1/(12*Inputs!J391))^(12*Inputs!J391))</f>
        <v>0</v>
      </c>
      <c r="N89" s="190">
        <f>SUM(K89:M89)</f>
        <v>0</v>
      </c>
      <c r="O89" s="189">
        <f>MAX(0,M79/(12*Inputs!J391)+'(Tables)'!K1422*(1-1/(12*Inputs!J391))^(12*Inputs!J391))</f>
        <v>0</v>
      </c>
      <c r="P89" s="189">
        <f>MAX(0,O79/(12*Inputs!J391)+'(Tables)'!L1422*(1-1/(12*Inputs!J391))^(12*Inputs!J391))</f>
        <v>0</v>
      </c>
      <c r="Q89" s="189">
        <f>MAX(0,P79/(12*Inputs!J391)+'(Tables)'!M1422*(1-1/(12*Inputs!J391))^(12*Inputs!J391))</f>
        <v>0</v>
      </c>
      <c r="R89" s="190">
        <f>SUM(O89:Q89)</f>
        <v>0</v>
      </c>
      <c r="S89" s="189">
        <f>MAX(0,Q79/(12*Inputs!J391)+'(Tables)'!N1422*(1-1/(12*Inputs!J391))^(12*Inputs!J391))</f>
        <v>0</v>
      </c>
      <c r="T89" s="189">
        <f>MAX(0,S79/(12*Inputs!J391)+'(Tables)'!O1422*(1-1/(12*Inputs!J391))^(12*Inputs!J391))</f>
        <v>0</v>
      </c>
      <c r="U89" s="189">
        <f>MAX(0,T79/(12*Inputs!J391)+'(Tables)'!P1422*(1-1/(12*Inputs!J391))^(12*Inputs!J391))</f>
        <v>0</v>
      </c>
      <c r="V89" s="190">
        <f>SUM(S89:U89)</f>
        <v>0</v>
      </c>
      <c r="W89" s="189">
        <f>MAX(0,U79/(12*Inputs!J391)+'(Tables)'!Q1422*(1-1/(12*Inputs!J391))^(12*Inputs!J391))</f>
        <v>0</v>
      </c>
      <c r="X89" s="189">
        <f>MAX(0,W79/(12*Inputs!J391)+'(Tables)'!R1422*(1-1/(12*Inputs!J391))^(12*Inputs!J391))</f>
        <v>0</v>
      </c>
      <c r="Y89" s="189">
        <f>MAX(0,X79/(12*Inputs!J391)+'(Tables)'!S1422*(1-1/(12*Inputs!J391))^(12*Inputs!J391))</f>
        <v>0</v>
      </c>
      <c r="Z89" s="190">
        <f>SUM(W89:Y89)</f>
        <v>0</v>
      </c>
    </row>
    <row r="90" spans="1:26" ht="12.75" hidden="1" customHeight="1" outlineLevel="1" x14ac:dyDescent="0.2">
      <c r="A90" s="188" t="str">
        <f>"   "&amp;Labels!B382</f>
        <v xml:space="preserve">   Practice 2</v>
      </c>
      <c r="B90" s="189"/>
      <c r="C90" s="189">
        <f>MAX(0,B80/(12*Inputs!J392)+'(Tables)'!B1423*(1-1/(12*Inputs!J392))^(12*Inputs!J392))</f>
        <v>0</v>
      </c>
      <c r="D90" s="189">
        <f>MAX(0,C80/(12*Inputs!J392)+'(Tables)'!C1423*(1-1/(12*Inputs!J392))^(12*Inputs!J392))</f>
        <v>0</v>
      </c>
      <c r="E90" s="189">
        <f>MAX(0,D80/(12*Inputs!J392)+'(Tables)'!D1423*(1-1/(12*Inputs!J392))^(12*Inputs!J392))</f>
        <v>0</v>
      </c>
      <c r="F90" s="190">
        <f>SUM(C90:E90)</f>
        <v>0</v>
      </c>
      <c r="G90" s="189">
        <f>MAX(0,E80/(12*Inputs!J392)+'(Tables)'!E1423*(1-1/(12*Inputs!J392))^(12*Inputs!J392))</f>
        <v>0</v>
      </c>
      <c r="H90" s="189">
        <f>MAX(0,G80/(12*Inputs!J392)+'(Tables)'!F1423*(1-1/(12*Inputs!J392))^(12*Inputs!J392))</f>
        <v>0</v>
      </c>
      <c r="I90" s="189">
        <f>MAX(0,H80/(12*Inputs!J392)+'(Tables)'!G1423*(1-1/(12*Inputs!J392))^(12*Inputs!J392))</f>
        <v>0</v>
      </c>
      <c r="J90" s="190">
        <f>SUM(G90:I90)</f>
        <v>0</v>
      </c>
      <c r="K90" s="189">
        <f>MAX(0,I80/(12*Inputs!J392)+'(Tables)'!H1423*(1-1/(12*Inputs!J392))^(12*Inputs!J392))</f>
        <v>0</v>
      </c>
      <c r="L90" s="189">
        <f>MAX(0,K80/(12*Inputs!J392)+'(Tables)'!I1423*(1-1/(12*Inputs!J392))^(12*Inputs!J392))</f>
        <v>0</v>
      </c>
      <c r="M90" s="189">
        <f>MAX(0,L80/(12*Inputs!J392)+'(Tables)'!J1423*(1-1/(12*Inputs!J392))^(12*Inputs!J392))</f>
        <v>0</v>
      </c>
      <c r="N90" s="190">
        <f>SUM(K90:M90)</f>
        <v>0</v>
      </c>
      <c r="O90" s="189">
        <f>MAX(0,M80/(12*Inputs!J392)+'(Tables)'!K1423*(1-1/(12*Inputs!J392))^(12*Inputs!J392))</f>
        <v>0</v>
      </c>
      <c r="P90" s="189">
        <f>MAX(0,O80/(12*Inputs!J392)+'(Tables)'!L1423*(1-1/(12*Inputs!J392))^(12*Inputs!J392))</f>
        <v>0</v>
      </c>
      <c r="Q90" s="189">
        <f>MAX(0,P80/(12*Inputs!J392)+'(Tables)'!M1423*(1-1/(12*Inputs!J392))^(12*Inputs!J392))</f>
        <v>0</v>
      </c>
      <c r="R90" s="190">
        <f>SUM(O90:Q90)</f>
        <v>0</v>
      </c>
      <c r="S90" s="189">
        <f>MAX(0,Q80/(12*Inputs!J392)+'(Tables)'!N1423*(1-1/(12*Inputs!J392))^(12*Inputs!J392))</f>
        <v>0</v>
      </c>
      <c r="T90" s="189">
        <f>MAX(0,S80/(12*Inputs!J392)+'(Tables)'!O1423*(1-1/(12*Inputs!J392))^(12*Inputs!J392))</f>
        <v>0</v>
      </c>
      <c r="U90" s="189">
        <f>MAX(0,T80/(12*Inputs!J392)+'(Tables)'!P1423*(1-1/(12*Inputs!J392))^(12*Inputs!J392))</f>
        <v>0</v>
      </c>
      <c r="V90" s="190">
        <f>SUM(S90:U90)</f>
        <v>0</v>
      </c>
      <c r="W90" s="189">
        <f>MAX(0,U80/(12*Inputs!J392)+'(Tables)'!Q1423*(1-1/(12*Inputs!J392))^(12*Inputs!J392))</f>
        <v>0</v>
      </c>
      <c r="X90" s="189">
        <f>MAX(0,W80/(12*Inputs!J392)+'(Tables)'!R1423*(1-1/(12*Inputs!J392))^(12*Inputs!J392))</f>
        <v>0</v>
      </c>
      <c r="Y90" s="189">
        <f>MAX(0,X80/(12*Inputs!J392)+'(Tables)'!S1423*(1-1/(12*Inputs!J392))^(12*Inputs!J392))</f>
        <v>0</v>
      </c>
      <c r="Z90" s="190">
        <f>SUM(W90:Y90)</f>
        <v>0</v>
      </c>
    </row>
    <row r="91" spans="1:26" ht="12.75" hidden="1" customHeight="1" outlineLevel="1" x14ac:dyDescent="0.2">
      <c r="A91" s="185" t="str">
        <f>"   "&amp;Labels!C380</f>
        <v xml:space="preserve">   Total</v>
      </c>
      <c r="B91" s="176"/>
      <c r="C91" s="176">
        <f>SUM(C89:C90)</f>
        <v>0</v>
      </c>
      <c r="D91" s="176">
        <f>SUM(D89:D90)</f>
        <v>0</v>
      </c>
      <c r="E91" s="176">
        <f>SUM(E89:E90)</f>
        <v>0</v>
      </c>
      <c r="F91" s="193">
        <f>SUM(C91:E91)</f>
        <v>0</v>
      </c>
      <c r="G91" s="176">
        <f>SUM(G89:G90)</f>
        <v>0</v>
      </c>
      <c r="H91" s="176">
        <f>SUM(H89:H90)</f>
        <v>0</v>
      </c>
      <c r="I91" s="176">
        <f>SUM(I89:I90)</f>
        <v>0</v>
      </c>
      <c r="J91" s="193">
        <f>SUM(G91:I91)</f>
        <v>0</v>
      </c>
      <c r="K91" s="176">
        <f>SUM(K89:K90)</f>
        <v>0</v>
      </c>
      <c r="L91" s="176">
        <f>SUM(L89:L90)</f>
        <v>0</v>
      </c>
      <c r="M91" s="176">
        <f>SUM(M89:M90)</f>
        <v>0</v>
      </c>
      <c r="N91" s="193">
        <f>SUM(K91:M91)</f>
        <v>0</v>
      </c>
      <c r="O91" s="176">
        <f>SUM(O89:O90)</f>
        <v>0</v>
      </c>
      <c r="P91" s="176">
        <f>SUM(P89:P90)</f>
        <v>0</v>
      </c>
      <c r="Q91" s="176">
        <f>SUM(Q89:Q90)</f>
        <v>0</v>
      </c>
      <c r="R91" s="193">
        <f>SUM(O91:Q91)</f>
        <v>0</v>
      </c>
      <c r="S91" s="176">
        <f>SUM(S89:S90)</f>
        <v>0</v>
      </c>
      <c r="T91" s="176">
        <f>SUM(T89:T90)</f>
        <v>0</v>
      </c>
      <c r="U91" s="176">
        <f>SUM(U89:U90)</f>
        <v>0</v>
      </c>
      <c r="V91" s="193">
        <f>SUM(S91:U91)</f>
        <v>0</v>
      </c>
      <c r="W91" s="176">
        <f>SUM(W89:W90)</f>
        <v>0</v>
      </c>
      <c r="X91" s="176">
        <f>SUM(X89:X90)</f>
        <v>0</v>
      </c>
      <c r="Y91" s="176">
        <f>SUM(Y89:Y90)</f>
        <v>0</v>
      </c>
      <c r="Z91" s="193">
        <f>SUM(W91:Y91)</f>
        <v>0</v>
      </c>
    </row>
    <row r="92" spans="1:26" ht="12.75" hidden="1" customHeight="1" outlineLevel="1" x14ac:dyDescent="0.2"/>
    <row r="93" spans="1:26" ht="12.75" hidden="1" customHeight="1" outlineLevel="1" collapsed="1" x14ac:dyDescent="0.2">
      <c r="A93" t="s">
        <v>3402</v>
      </c>
      <c r="B93" t="s">
        <v>3402</v>
      </c>
      <c r="C93" t="s">
        <v>3402</v>
      </c>
      <c r="D93" t="s">
        <v>3402</v>
      </c>
      <c r="E93" t="s">
        <v>3402</v>
      </c>
      <c r="F93" t="s">
        <v>3402</v>
      </c>
      <c r="G93" t="s">
        <v>3402</v>
      </c>
      <c r="H93" t="s">
        <v>3402</v>
      </c>
      <c r="I93" t="s">
        <v>3402</v>
      </c>
      <c r="J93" t="s">
        <v>3402</v>
      </c>
      <c r="K93" t="s">
        <v>3402</v>
      </c>
      <c r="L93" t="s">
        <v>3402</v>
      </c>
      <c r="M93" t="s">
        <v>3402</v>
      </c>
      <c r="N93" t="s">
        <v>3402</v>
      </c>
      <c r="O93" t="s">
        <v>3402</v>
      </c>
      <c r="P93" t="s">
        <v>3402</v>
      </c>
      <c r="Q93" t="s">
        <v>3402</v>
      </c>
      <c r="R93" t="s">
        <v>3402</v>
      </c>
      <c r="S93" t="s">
        <v>3402</v>
      </c>
      <c r="T93" t="s">
        <v>3402</v>
      </c>
      <c r="U93" t="s">
        <v>3402</v>
      </c>
      <c r="V93" t="s">
        <v>3402</v>
      </c>
      <c r="W93" t="s">
        <v>3402</v>
      </c>
      <c r="X93" t="s">
        <v>3402</v>
      </c>
      <c r="Y93" t="s">
        <v>3402</v>
      </c>
      <c r="Z93" t="s">
        <v>3402</v>
      </c>
    </row>
    <row r="94" spans="1:26" ht="12.75" customHeight="1" collapsed="1" x14ac:dyDescent="0.2"/>
  </sheetData>
  <mergeCells count="9">
    <mergeCell ref="A24:B24"/>
    <mergeCell ref="A51:B51"/>
    <mergeCell ref="A75:B75"/>
    <mergeCell ref="A1:C1"/>
    <mergeCell ref="A2:C2"/>
    <mergeCell ref="A3:C3"/>
    <mergeCell ref="A4:C4"/>
    <mergeCell ref="A5:B5"/>
    <mergeCell ref="A17:B17"/>
  </mergeCells>
  <pageMargins left="0.25" right="0.25" top="0.5" bottom="0.5" header="0.5" footer="0.5"/>
  <pageSetup paperSize="9" fitToHeight="32767" orientation="landscape" horizontalDpi="300" verticalDpi="300"/>
  <headerFooter alignWithMargins="0"/>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pageSetUpPr fitToPage="1"/>
  </sheetPr>
  <dimension ref="A1:Z28"/>
  <sheetViews>
    <sheetView zoomScaleNormal="100" workbookViewId="0">
      <selection sqref="A1:C1"/>
    </sheetView>
  </sheetViews>
  <sheetFormatPr defaultRowHeight="12.75" customHeight="1" x14ac:dyDescent="0.2"/>
  <cols>
    <col min="1" max="1" width="16.85546875" customWidth="1"/>
    <col min="2" max="26" width="12.42578125" customWidth="1"/>
  </cols>
  <sheetData>
    <row r="1" spans="1:26" ht="12.75" customHeight="1" x14ac:dyDescent="0.2">
      <c r="A1" s="463" t="str">
        <f>Inputs!F7</f>
        <v xml:space="preserve"> </v>
      </c>
      <c r="B1" s="463"/>
      <c r="C1" s="463"/>
    </row>
    <row r="2" spans="1:26" ht="12.75" customHeight="1" x14ac:dyDescent="0.2">
      <c r="A2" s="463" t="e">
        <f>TEXT('(FnCalls 1)'!A41,"m/d/yyyy")&amp;" to "&amp;TEXT('(FnCalls 1)'!A59-1,"m/d/yyyy")</f>
        <v>#VALUE!</v>
      </c>
      <c r="B2" s="463"/>
      <c r="C2" s="463"/>
    </row>
    <row r="3" spans="1:26" ht="12.75" customHeight="1" x14ac:dyDescent="0.2">
      <c r="A3" s="463" t="str">
        <f>"Liabilities"</f>
        <v>Liabilities</v>
      </c>
      <c r="B3" s="463"/>
      <c r="C3" s="463"/>
    </row>
    <row r="4" spans="1:26" ht="12.75" customHeight="1" x14ac:dyDescent="0.2">
      <c r="A4" s="463" t="str">
        <f>""</f>
        <v/>
      </c>
      <c r="B4" s="463"/>
      <c r="C4" s="463"/>
    </row>
    <row r="5" spans="1:26" ht="12.75" customHeight="1" x14ac:dyDescent="0.2">
      <c r="A5" s="464" t="str">
        <f>"Short Term Liabilities"</f>
        <v>Short Term Liabilities</v>
      </c>
      <c r="B5" s="464"/>
    </row>
    <row r="6" spans="1:26" ht="12.75" customHeight="1" x14ac:dyDescent="0.2">
      <c r="A6" s="1" t="str">
        <f>""</f>
        <v/>
      </c>
    </row>
    <row r="7" spans="1:26" ht="12.75" customHeight="1" x14ac:dyDescent="0.2">
      <c r="B7" s="9" t="str">
        <f>'(FnCalls 1)'!F40</f>
        <v>MMM 2009</v>
      </c>
      <c r="C7" s="10" t="str">
        <f>'(FnCalls 1)'!F41</f>
        <v>MMM 2010</v>
      </c>
      <c r="D7" s="10" t="str">
        <f>'(FnCalls 1)'!F42</f>
        <v>MMM 2010</v>
      </c>
      <c r="E7" s="10" t="str">
        <f>'(FnCalls 1)'!F43</f>
        <v>MMM 2010</v>
      </c>
      <c r="F7" s="181" t="str">
        <f>'(FnCalls 1)'!G41</f>
        <v>Q1 2010</v>
      </c>
      <c r="G7" s="10" t="str">
        <f>'(FnCalls 1)'!F44</f>
        <v>MMM 2010</v>
      </c>
      <c r="H7" s="10" t="str">
        <f>'(FnCalls 1)'!F45</f>
        <v>MMM 2010</v>
      </c>
      <c r="I7" s="10" t="str">
        <f>'(FnCalls 1)'!F46</f>
        <v>MMM 2010</v>
      </c>
      <c r="J7" s="181" t="str">
        <f>'(FnCalls 1)'!G44</f>
        <v>Q2 2010</v>
      </c>
      <c r="K7" s="10" t="str">
        <f>'(FnCalls 1)'!F47</f>
        <v>MMM 2010</v>
      </c>
      <c r="L7" s="10" t="str">
        <f>'(FnCalls 1)'!F48</f>
        <v>MMM 2010</v>
      </c>
      <c r="M7" s="10" t="str">
        <f>'(FnCalls 1)'!F49</f>
        <v>MMM 2010</v>
      </c>
      <c r="N7" s="181" t="str">
        <f>'(FnCalls 1)'!G47</f>
        <v>Q3 2010</v>
      </c>
      <c r="O7" s="10" t="str">
        <f>'(FnCalls 1)'!F50</f>
        <v>MMM 2010</v>
      </c>
      <c r="P7" s="10" t="str">
        <f>'(FnCalls 1)'!F51</f>
        <v>MMM 2010</v>
      </c>
      <c r="Q7" s="10" t="str">
        <f>'(FnCalls 1)'!F52</f>
        <v>MMM 2010</v>
      </c>
      <c r="R7" s="181" t="str">
        <f>'(FnCalls 1)'!G50</f>
        <v>Q4 2010</v>
      </c>
      <c r="S7" s="10" t="str">
        <f>'(FnCalls 1)'!F53</f>
        <v>MMM 2011</v>
      </c>
      <c r="T7" s="10" t="str">
        <f>'(FnCalls 1)'!F54</f>
        <v>MMM 2011</v>
      </c>
      <c r="U7" s="10" t="str">
        <f>'(FnCalls 1)'!F55</f>
        <v>MMM 2011</v>
      </c>
      <c r="V7" s="181" t="str">
        <f>'(FnCalls 1)'!G53</f>
        <v>Q1 2011</v>
      </c>
      <c r="W7" s="10" t="str">
        <f>'(FnCalls 1)'!F56</f>
        <v>MMM 2011</v>
      </c>
      <c r="X7" s="10" t="str">
        <f>'(FnCalls 1)'!F57</f>
        <v>MMM 2011</v>
      </c>
      <c r="Y7" s="10" t="str">
        <f>'(FnCalls 1)'!F58</f>
        <v>MMM 2011</v>
      </c>
      <c r="Z7" s="181" t="str">
        <f>'(FnCalls 1)'!G56</f>
        <v>Q2 2011</v>
      </c>
    </row>
    <row r="8" spans="1:26" ht="12.75" customHeight="1" x14ac:dyDescent="0.2">
      <c r="A8" s="182" t="str">
        <f>Labels!B8</f>
        <v>Accts Payable</v>
      </c>
      <c r="B8" s="183"/>
      <c r="C8" s="183"/>
      <c r="D8" s="183"/>
      <c r="E8" s="183"/>
      <c r="F8" s="184"/>
      <c r="G8" s="183"/>
      <c r="H8" s="183"/>
      <c r="I8" s="183"/>
      <c r="J8" s="184"/>
      <c r="K8" s="183"/>
      <c r="L8" s="183"/>
      <c r="M8" s="183"/>
      <c r="N8" s="184"/>
      <c r="O8" s="183"/>
      <c r="P8" s="183"/>
      <c r="Q8" s="183"/>
      <c r="R8" s="184"/>
      <c r="S8" s="183"/>
      <c r="T8" s="183"/>
      <c r="U8" s="183"/>
      <c r="V8" s="184"/>
      <c r="W8" s="183"/>
      <c r="X8" s="183"/>
      <c r="Y8" s="183"/>
      <c r="Z8" s="184"/>
    </row>
    <row r="9" spans="1:26" ht="12.75" customHeight="1" x14ac:dyDescent="0.2">
      <c r="A9" s="188" t="str">
        <f>"   "&amp;Labels!B301</f>
        <v xml:space="preserve">   Vendor Payables</v>
      </c>
      <c r="B9" s="189">
        <f>Inputs!F406</f>
        <v>0</v>
      </c>
      <c r="C9" s="189">
        <f>Inputs!G410*1/('(FnCalls 1)'!A42-'(FnCalls 1)'!A41)*OpExp!B175</f>
        <v>0</v>
      </c>
      <c r="D9" s="189">
        <f>Inputs!H410*1/('(FnCalls 1)'!A43-'(FnCalls 1)'!A42)*OpExp!C175</f>
        <v>0</v>
      </c>
      <c r="E9" s="189">
        <f>Inputs!I410*1/('(FnCalls 1)'!A44-'(FnCalls 1)'!A43)*OpExp!D175</f>
        <v>0</v>
      </c>
      <c r="F9" s="190">
        <f>E9</f>
        <v>0</v>
      </c>
      <c r="G9" s="189">
        <f>Inputs!J410*1/('(FnCalls 1)'!A45-'(FnCalls 1)'!A44)*OpExp!F175</f>
        <v>0</v>
      </c>
      <c r="H9" s="189">
        <f>Inputs!K410*1/('(FnCalls 1)'!A46-'(FnCalls 1)'!A45)*OpExp!G175</f>
        <v>0</v>
      </c>
      <c r="I9" s="189">
        <f>Inputs!L410*1/('(FnCalls 1)'!A47-'(FnCalls 1)'!A46)*OpExp!H175</f>
        <v>0</v>
      </c>
      <c r="J9" s="190">
        <f>I9</f>
        <v>0</v>
      </c>
      <c r="K9" s="189">
        <f>Inputs!M410*1/('(FnCalls 1)'!A48-'(FnCalls 1)'!A47)*OpExp!J175</f>
        <v>0</v>
      </c>
      <c r="L9" s="189">
        <f>Inputs!N410*1/('(FnCalls 1)'!A49-'(FnCalls 1)'!A48)*OpExp!K175</f>
        <v>0</v>
      </c>
      <c r="M9" s="189">
        <f>Inputs!O410*1/('(FnCalls 1)'!A50-'(FnCalls 1)'!A49)*OpExp!L175</f>
        <v>0</v>
      </c>
      <c r="N9" s="190">
        <f>M9</f>
        <v>0</v>
      </c>
      <c r="O9" s="189">
        <f>Inputs!P410*1/('(FnCalls 1)'!A51-'(FnCalls 1)'!A50)*OpExp!N175</f>
        <v>0</v>
      </c>
      <c r="P9" s="189">
        <f>Inputs!Q410*1/('(FnCalls 1)'!A52-'(FnCalls 1)'!A51)*OpExp!O175</f>
        <v>0</v>
      </c>
      <c r="Q9" s="189">
        <f>Inputs!R410*1/('(FnCalls 1)'!A53-'(FnCalls 1)'!A52)*OpExp!P175</f>
        <v>0</v>
      </c>
      <c r="R9" s="190">
        <f>Q9</f>
        <v>0</v>
      </c>
      <c r="S9" s="189">
        <f>Inputs!S410*1/('(FnCalls 1)'!A54-'(FnCalls 1)'!A53)*OpExp!R175</f>
        <v>0</v>
      </c>
      <c r="T9" s="189">
        <f>Inputs!T410*1/('(FnCalls 1)'!A55-'(FnCalls 1)'!A54)*OpExp!S175</f>
        <v>0</v>
      </c>
      <c r="U9" s="189">
        <f>Inputs!U410*1/('(FnCalls 1)'!A56-'(FnCalls 1)'!A55)*OpExp!T175</f>
        <v>0</v>
      </c>
      <c r="V9" s="190">
        <f>U9</f>
        <v>0</v>
      </c>
      <c r="W9" s="189">
        <f>Inputs!V410*1/('(FnCalls 1)'!A57-'(FnCalls 1)'!A56)*OpExp!V175</f>
        <v>0</v>
      </c>
      <c r="X9" s="189">
        <f>Inputs!W410*1/('(FnCalls 1)'!A58-'(FnCalls 1)'!A57)*OpExp!W175</f>
        <v>0</v>
      </c>
      <c r="Y9" s="189">
        <f>Inputs!X410*1/('(FnCalls 1)'!A59-'(FnCalls 1)'!A58)*OpExp!X175</f>
        <v>0</v>
      </c>
      <c r="Z9" s="190">
        <f>Y9</f>
        <v>0</v>
      </c>
    </row>
    <row r="10" spans="1:26" ht="12.75" customHeight="1" x14ac:dyDescent="0.2">
      <c r="A10" s="188" t="str">
        <f>"   "&amp;Labels!B302</f>
        <v xml:space="preserve">   Payroll Payables</v>
      </c>
      <c r="B10" s="189">
        <f>Inputs!F407</f>
        <v>0</v>
      </c>
      <c r="C10" s="189">
        <f>Inputs!G411*1/('(FnCalls 1)'!A42-'(FnCalls 1)'!A41)*OpExp!B176</f>
        <v>0</v>
      </c>
      <c r="D10" s="189">
        <f>Inputs!H411*1/('(FnCalls 1)'!A43-'(FnCalls 1)'!A42)*OpExp!C176</f>
        <v>0</v>
      </c>
      <c r="E10" s="189">
        <f>Inputs!I411*1/('(FnCalls 1)'!A44-'(FnCalls 1)'!A43)*OpExp!D176</f>
        <v>0</v>
      </c>
      <c r="F10" s="190">
        <f>E10</f>
        <v>0</v>
      </c>
      <c r="G10" s="189">
        <f>Inputs!J411*1/('(FnCalls 1)'!A45-'(FnCalls 1)'!A44)*OpExp!F176</f>
        <v>0</v>
      </c>
      <c r="H10" s="189">
        <f>Inputs!K411*1/('(FnCalls 1)'!A46-'(FnCalls 1)'!A45)*OpExp!G176</f>
        <v>0</v>
      </c>
      <c r="I10" s="189">
        <f>Inputs!L411*1/('(FnCalls 1)'!A47-'(FnCalls 1)'!A46)*OpExp!H176</f>
        <v>0</v>
      </c>
      <c r="J10" s="190">
        <f>I10</f>
        <v>0</v>
      </c>
      <c r="K10" s="189">
        <f>Inputs!M411*1/('(FnCalls 1)'!A48-'(FnCalls 1)'!A47)*OpExp!J176</f>
        <v>0</v>
      </c>
      <c r="L10" s="189">
        <f>Inputs!N411*1/('(FnCalls 1)'!A49-'(FnCalls 1)'!A48)*OpExp!K176</f>
        <v>0</v>
      </c>
      <c r="M10" s="189">
        <f>Inputs!O411*1/('(FnCalls 1)'!A50-'(FnCalls 1)'!A49)*OpExp!L176</f>
        <v>0</v>
      </c>
      <c r="N10" s="190">
        <f>M10</f>
        <v>0</v>
      </c>
      <c r="O10" s="189">
        <f>Inputs!P411*1/('(FnCalls 1)'!A51-'(FnCalls 1)'!A50)*OpExp!N176</f>
        <v>0</v>
      </c>
      <c r="P10" s="189">
        <f>Inputs!Q411*1/('(FnCalls 1)'!A52-'(FnCalls 1)'!A51)*OpExp!O176</f>
        <v>0</v>
      </c>
      <c r="Q10" s="189">
        <f>Inputs!R411*1/('(FnCalls 1)'!A53-'(FnCalls 1)'!A52)*OpExp!P176</f>
        <v>0</v>
      </c>
      <c r="R10" s="190">
        <f>Q10</f>
        <v>0</v>
      </c>
      <c r="S10" s="189">
        <f>Inputs!S411*1/('(FnCalls 1)'!A54-'(FnCalls 1)'!A53)*OpExp!R176</f>
        <v>0</v>
      </c>
      <c r="T10" s="189">
        <f>Inputs!T411*1/('(FnCalls 1)'!A55-'(FnCalls 1)'!A54)*OpExp!S176</f>
        <v>0</v>
      </c>
      <c r="U10" s="189">
        <f>Inputs!U411*1/('(FnCalls 1)'!A56-'(FnCalls 1)'!A55)*OpExp!T176</f>
        <v>0</v>
      </c>
      <c r="V10" s="190">
        <f>U10</f>
        <v>0</v>
      </c>
      <c r="W10" s="189">
        <f>Inputs!V411*1/('(FnCalls 1)'!A57-'(FnCalls 1)'!A56)*OpExp!V176</f>
        <v>0</v>
      </c>
      <c r="X10" s="189">
        <f>Inputs!W411*1/('(FnCalls 1)'!A58-'(FnCalls 1)'!A57)*OpExp!W176</f>
        <v>0</v>
      </c>
      <c r="Y10" s="189">
        <f>Inputs!X411*1/('(FnCalls 1)'!A59-'(FnCalls 1)'!A58)*OpExp!X176</f>
        <v>0</v>
      </c>
      <c r="Z10" s="190">
        <f>Y10</f>
        <v>0</v>
      </c>
    </row>
    <row r="11" spans="1:26" ht="12.75" customHeight="1" x14ac:dyDescent="0.2">
      <c r="A11" s="188" t="str">
        <f>"   "&amp;Labels!B303</f>
        <v xml:space="preserve">   Taxes Payable</v>
      </c>
      <c r="B11" s="189">
        <f>Inputs!F408</f>
        <v>0</v>
      </c>
      <c r="C11" s="189">
        <f>Inputs!G412*1/('(FnCalls 1)'!A42-'(FnCalls 1)'!A41)*OpExp!B177</f>
        <v>0</v>
      </c>
      <c r="D11" s="189">
        <f>Inputs!H412*1/('(FnCalls 1)'!A43-'(FnCalls 1)'!A42)*OpExp!C177</f>
        <v>0</v>
      </c>
      <c r="E11" s="189">
        <f>Inputs!I412*1/('(FnCalls 1)'!A44-'(FnCalls 1)'!A43)*OpExp!D177</f>
        <v>0</v>
      </c>
      <c r="F11" s="190">
        <f>E11</f>
        <v>0</v>
      </c>
      <c r="G11" s="189">
        <f>Inputs!J412*1/('(FnCalls 1)'!A45-'(FnCalls 1)'!A44)*OpExp!F177</f>
        <v>0</v>
      </c>
      <c r="H11" s="189">
        <f>Inputs!K412*1/('(FnCalls 1)'!A46-'(FnCalls 1)'!A45)*OpExp!G177</f>
        <v>0</v>
      </c>
      <c r="I11" s="189">
        <f>Inputs!L412*1/('(FnCalls 1)'!A47-'(FnCalls 1)'!A46)*OpExp!H177</f>
        <v>0</v>
      </c>
      <c r="J11" s="190">
        <f>I11</f>
        <v>0</v>
      </c>
      <c r="K11" s="189">
        <f>Inputs!M412*1/('(FnCalls 1)'!A48-'(FnCalls 1)'!A47)*OpExp!J177</f>
        <v>0</v>
      </c>
      <c r="L11" s="189">
        <f>Inputs!N412*1/('(FnCalls 1)'!A49-'(FnCalls 1)'!A48)*OpExp!K177</f>
        <v>0</v>
      </c>
      <c r="M11" s="189">
        <f>Inputs!O412*1/('(FnCalls 1)'!A50-'(FnCalls 1)'!A49)*OpExp!L177</f>
        <v>0</v>
      </c>
      <c r="N11" s="190">
        <f>M11</f>
        <v>0</v>
      </c>
      <c r="O11" s="189">
        <f>Inputs!P412*1/('(FnCalls 1)'!A51-'(FnCalls 1)'!A50)*OpExp!N177</f>
        <v>0</v>
      </c>
      <c r="P11" s="189">
        <f>Inputs!Q412*1/('(FnCalls 1)'!A52-'(FnCalls 1)'!A51)*OpExp!O177</f>
        <v>0</v>
      </c>
      <c r="Q11" s="189">
        <f>Inputs!R412*1/('(FnCalls 1)'!A53-'(FnCalls 1)'!A52)*OpExp!P177</f>
        <v>0</v>
      </c>
      <c r="R11" s="190">
        <f>Q11</f>
        <v>0</v>
      </c>
      <c r="S11" s="189">
        <f>Inputs!S412*1/('(FnCalls 1)'!A54-'(FnCalls 1)'!A53)*OpExp!R177</f>
        <v>0</v>
      </c>
      <c r="T11" s="189">
        <f>Inputs!T412*1/('(FnCalls 1)'!A55-'(FnCalls 1)'!A54)*OpExp!S177</f>
        <v>0</v>
      </c>
      <c r="U11" s="189">
        <f>Inputs!U412*1/('(FnCalls 1)'!A56-'(FnCalls 1)'!A55)*OpExp!T177</f>
        <v>0</v>
      </c>
      <c r="V11" s="190">
        <f>U11</f>
        <v>0</v>
      </c>
      <c r="W11" s="189">
        <f>Inputs!V412*1/('(FnCalls 1)'!A57-'(FnCalls 1)'!A56)*OpExp!V177</f>
        <v>0</v>
      </c>
      <c r="X11" s="189">
        <f>Inputs!W412*1/('(FnCalls 1)'!A58-'(FnCalls 1)'!A57)*OpExp!W177</f>
        <v>0</v>
      </c>
      <c r="Y11" s="189">
        <f>Inputs!X412*1/('(FnCalls 1)'!A59-'(FnCalls 1)'!A58)*OpExp!X177</f>
        <v>0</v>
      </c>
      <c r="Z11" s="190">
        <f>Y11</f>
        <v>0</v>
      </c>
    </row>
    <row r="12" spans="1:26" ht="12.75" customHeight="1" x14ac:dyDescent="0.2">
      <c r="A12" s="191" t="str">
        <f>"   "&amp;Labels!C300</f>
        <v xml:space="preserve">   Total</v>
      </c>
      <c r="B12" s="192">
        <f>SUM(B9:B11)</f>
        <v>0</v>
      </c>
      <c r="C12" s="192">
        <f>SUM(C9:C11)</f>
        <v>0</v>
      </c>
      <c r="D12" s="192">
        <f>SUM(D9:D11)</f>
        <v>0</v>
      </c>
      <c r="E12" s="192">
        <f>SUM(E9:E11)</f>
        <v>0</v>
      </c>
      <c r="F12" s="190">
        <f>SUM(E9:E11)</f>
        <v>0</v>
      </c>
      <c r="G12" s="192">
        <f>SUM(G9:G11)</f>
        <v>0</v>
      </c>
      <c r="H12" s="192">
        <f>SUM(H9:H11)</f>
        <v>0</v>
      </c>
      <c r="I12" s="192">
        <f>SUM(I9:I11)</f>
        <v>0</v>
      </c>
      <c r="J12" s="190">
        <f>SUM(I9:I11)</f>
        <v>0</v>
      </c>
      <c r="K12" s="192">
        <f>SUM(K9:K11)</f>
        <v>0</v>
      </c>
      <c r="L12" s="192">
        <f>SUM(L9:L11)</f>
        <v>0</v>
      </c>
      <c r="M12" s="192">
        <f>SUM(M9:M11)</f>
        <v>0</v>
      </c>
      <c r="N12" s="190">
        <f>SUM(M9:M11)</f>
        <v>0</v>
      </c>
      <c r="O12" s="192">
        <f>SUM(O9:O11)</f>
        <v>0</v>
      </c>
      <c r="P12" s="192">
        <f>SUM(P9:P11)</f>
        <v>0</v>
      </c>
      <c r="Q12" s="192">
        <f>SUM(Q9:Q11)</f>
        <v>0</v>
      </c>
      <c r="R12" s="190">
        <f>SUM(Q9:Q11)</f>
        <v>0</v>
      </c>
      <c r="S12" s="192">
        <f>SUM(S9:S11)</f>
        <v>0</v>
      </c>
      <c r="T12" s="192">
        <f>SUM(T9:T11)</f>
        <v>0</v>
      </c>
      <c r="U12" s="192">
        <f>SUM(U9:U11)</f>
        <v>0</v>
      </c>
      <c r="V12" s="190">
        <f>SUM(U9:U11)</f>
        <v>0</v>
      </c>
      <c r="W12" s="192">
        <f>SUM(W9:W11)</f>
        <v>0</v>
      </c>
      <c r="X12" s="192">
        <f>SUM(X9:X11)</f>
        <v>0</v>
      </c>
      <c r="Y12" s="192">
        <f>SUM(Y9:Y11)</f>
        <v>0</v>
      </c>
      <c r="Z12" s="190">
        <f>SUM(Y9:Y11)</f>
        <v>0</v>
      </c>
    </row>
    <row r="13" spans="1:26" ht="12.75" customHeight="1" x14ac:dyDescent="0.2">
      <c r="A13" s="97"/>
      <c r="B13" s="6"/>
      <c r="C13" s="6"/>
      <c r="D13" s="6"/>
      <c r="E13" s="6"/>
      <c r="F13" s="97"/>
      <c r="G13" s="6"/>
      <c r="H13" s="6"/>
      <c r="I13" s="6"/>
      <c r="J13" s="97"/>
      <c r="K13" s="6"/>
      <c r="L13" s="6"/>
      <c r="M13" s="6"/>
      <c r="N13" s="97"/>
      <c r="O13" s="6"/>
      <c r="P13" s="6"/>
      <c r="Q13" s="6"/>
      <c r="R13" s="97"/>
      <c r="S13" s="6"/>
      <c r="T13" s="6"/>
      <c r="U13" s="6"/>
      <c r="V13" s="97"/>
      <c r="W13" s="6"/>
      <c r="X13" s="6"/>
      <c r="Y13" s="6"/>
      <c r="Z13" s="97"/>
    </row>
    <row r="14" spans="1:26" ht="12.75" customHeight="1" x14ac:dyDescent="0.2">
      <c r="A14" s="191" t="str">
        <f>Labels!B6</f>
        <v>Accts Payable Days</v>
      </c>
      <c r="B14" s="216"/>
      <c r="C14" s="216"/>
      <c r="D14" s="216"/>
      <c r="E14" s="216"/>
      <c r="F14" s="217"/>
      <c r="G14" s="216"/>
      <c r="H14" s="216"/>
      <c r="I14" s="216"/>
      <c r="J14" s="217"/>
      <c r="K14" s="216"/>
      <c r="L14" s="216"/>
      <c r="M14" s="216"/>
      <c r="N14" s="217"/>
      <c r="O14" s="216"/>
      <c r="P14" s="216"/>
      <c r="Q14" s="216"/>
      <c r="R14" s="217"/>
      <c r="S14" s="216"/>
      <c r="T14" s="216"/>
      <c r="U14" s="216"/>
      <c r="V14" s="217"/>
      <c r="W14" s="216"/>
      <c r="X14" s="216"/>
      <c r="Y14" s="216"/>
      <c r="Z14" s="217"/>
    </row>
    <row r="15" spans="1:26" ht="12.75" customHeight="1" x14ac:dyDescent="0.2">
      <c r="A15" s="188" t="str">
        <f>"   "&amp;Labels!B301</f>
        <v xml:space="preserve">   Vendor Payables</v>
      </c>
      <c r="B15" s="262"/>
      <c r="C15" s="262">
        <f>IF(OpExp!B175=0,0,C9/(1/('(FnCalls 1)'!A42-'(FnCalls 1)'!A41))/OpExp!B175)</f>
        <v>0</v>
      </c>
      <c r="D15" s="262">
        <f>IF(OpExp!C175=0,0,D9/(1/('(FnCalls 1)'!A43-'(FnCalls 1)'!A42))/OpExp!C175)</f>
        <v>0</v>
      </c>
      <c r="E15" s="262">
        <f>IF(OpExp!D175=0,0,E9/(1/('(FnCalls 1)'!A44-'(FnCalls 1)'!A43))/OpExp!D175)</f>
        <v>0</v>
      </c>
      <c r="F15" s="217">
        <f>IF(SUM(OpExp!B175:D175)=0,0,E9/(1/('(FnCalls 1)'!A44-'(FnCalls 1)'!A41))/SUM(OpExp!B175:D175))</f>
        <v>0</v>
      </c>
      <c r="G15" s="262">
        <f>IF(OpExp!F175=0,0,G9/(1/('(FnCalls 1)'!A45-'(FnCalls 1)'!A44))/OpExp!F175)</f>
        <v>0</v>
      </c>
      <c r="H15" s="262">
        <f>IF(OpExp!G175=0,0,H9/(1/('(FnCalls 1)'!A46-'(FnCalls 1)'!A45))/OpExp!G175)</f>
        <v>0</v>
      </c>
      <c r="I15" s="262">
        <f>IF(OpExp!H175=0,0,I9/(1/('(FnCalls 1)'!A47-'(FnCalls 1)'!A46))/OpExp!H175)</f>
        <v>0</v>
      </c>
      <c r="J15" s="217">
        <f>IF(SUM(OpExp!F175:H175)=0,0,I9/(1/('(FnCalls 1)'!A47-'(FnCalls 1)'!A44))/SUM(OpExp!F175:H175))</f>
        <v>0</v>
      </c>
      <c r="K15" s="262">
        <f>IF(OpExp!J175=0,0,K9/(1/('(FnCalls 1)'!A48-'(FnCalls 1)'!A47))/OpExp!J175)</f>
        <v>0</v>
      </c>
      <c r="L15" s="262">
        <f>IF(OpExp!K175=0,0,L9/(1/('(FnCalls 1)'!A49-'(FnCalls 1)'!A48))/OpExp!K175)</f>
        <v>0</v>
      </c>
      <c r="M15" s="262">
        <f>IF(OpExp!L175=0,0,M9/(1/('(FnCalls 1)'!A50-'(FnCalls 1)'!A49))/OpExp!L175)</f>
        <v>0</v>
      </c>
      <c r="N15" s="217">
        <f>IF(SUM(OpExp!J175:L175)=0,0,M9/(1/('(FnCalls 1)'!A50-'(FnCalls 1)'!A47))/SUM(OpExp!J175:L175))</f>
        <v>0</v>
      </c>
      <c r="O15" s="262">
        <f>IF(OpExp!N175=0,0,O9/(1/('(FnCalls 1)'!A51-'(FnCalls 1)'!A50))/OpExp!N175)</f>
        <v>0</v>
      </c>
      <c r="P15" s="262">
        <f>IF(OpExp!O175=0,0,P9/(1/('(FnCalls 1)'!A52-'(FnCalls 1)'!A51))/OpExp!O175)</f>
        <v>0</v>
      </c>
      <c r="Q15" s="262">
        <f>IF(OpExp!P175=0,0,Q9/(1/('(FnCalls 1)'!A53-'(FnCalls 1)'!A52))/OpExp!P175)</f>
        <v>0</v>
      </c>
      <c r="R15" s="217">
        <f>IF(SUM(OpExp!N175:P175)=0,0,Q9/(1/('(FnCalls 1)'!A53-'(FnCalls 1)'!A50))/SUM(OpExp!N175:P175))</f>
        <v>0</v>
      </c>
      <c r="S15" s="262">
        <f>IF(OpExp!R175=0,0,S9/(1/('(FnCalls 1)'!A54-'(FnCalls 1)'!A53))/OpExp!R175)</f>
        <v>0</v>
      </c>
      <c r="T15" s="262">
        <f>IF(OpExp!S175=0,0,T9/(1/('(FnCalls 1)'!A55-'(FnCalls 1)'!A54))/OpExp!S175)</f>
        <v>0</v>
      </c>
      <c r="U15" s="262">
        <f>IF(OpExp!T175=0,0,U9/(1/('(FnCalls 1)'!A56-'(FnCalls 1)'!A55))/OpExp!T175)</f>
        <v>0</v>
      </c>
      <c r="V15" s="217">
        <f>IF(SUM(OpExp!R175:T175)=0,0,U9/(1/('(FnCalls 1)'!A56-'(FnCalls 1)'!A53))/SUM(OpExp!R175:T175))</f>
        <v>0</v>
      </c>
      <c r="W15" s="262">
        <f>IF(OpExp!V175=0,0,W9/(1/('(FnCalls 1)'!A57-'(FnCalls 1)'!A56))/OpExp!V175)</f>
        <v>0</v>
      </c>
      <c r="X15" s="262">
        <f>IF(OpExp!W175=0,0,X9/(1/('(FnCalls 1)'!A58-'(FnCalls 1)'!A57))/OpExp!W175)</f>
        <v>0</v>
      </c>
      <c r="Y15" s="262">
        <f>IF(OpExp!X175=0,0,Y9/(1/('(FnCalls 1)'!A59-'(FnCalls 1)'!A58))/OpExp!X175)</f>
        <v>0</v>
      </c>
      <c r="Z15" s="217">
        <f>IF(SUM(OpExp!V175:X175)=0,0,Y9/(1/('(FnCalls 1)'!A59-'(FnCalls 1)'!A56))/SUM(OpExp!V175:X175))</f>
        <v>0</v>
      </c>
    </row>
    <row r="16" spans="1:26" ht="12.75" customHeight="1" x14ac:dyDescent="0.2">
      <c r="A16" s="188" t="str">
        <f>"   "&amp;Labels!B302</f>
        <v xml:space="preserve">   Payroll Payables</v>
      </c>
      <c r="B16" s="262"/>
      <c r="C16" s="262">
        <f>IF(OpExp!B176=0,0,C10/(1/('(FnCalls 1)'!A42-'(FnCalls 1)'!A41))/OpExp!B176)</f>
        <v>0</v>
      </c>
      <c r="D16" s="262">
        <f>IF(OpExp!C176=0,0,D10/(1/('(FnCalls 1)'!A43-'(FnCalls 1)'!A42))/OpExp!C176)</f>
        <v>0</v>
      </c>
      <c r="E16" s="262">
        <f>IF(OpExp!D176=0,0,E10/(1/('(FnCalls 1)'!A44-'(FnCalls 1)'!A43))/OpExp!D176)</f>
        <v>0</v>
      </c>
      <c r="F16" s="217">
        <f>IF(SUM(OpExp!B176:D176)=0,0,E10/(1/('(FnCalls 1)'!A44-'(FnCalls 1)'!A41))/SUM(OpExp!B176:D176))</f>
        <v>0</v>
      </c>
      <c r="G16" s="262">
        <f>IF(OpExp!F176=0,0,G10/(1/('(FnCalls 1)'!A45-'(FnCalls 1)'!A44))/OpExp!F176)</f>
        <v>0</v>
      </c>
      <c r="H16" s="262">
        <f>IF(OpExp!G176=0,0,H10/(1/('(FnCalls 1)'!A46-'(FnCalls 1)'!A45))/OpExp!G176)</f>
        <v>0</v>
      </c>
      <c r="I16" s="262">
        <f>IF(OpExp!H176=0,0,I10/(1/('(FnCalls 1)'!A47-'(FnCalls 1)'!A46))/OpExp!H176)</f>
        <v>0</v>
      </c>
      <c r="J16" s="217">
        <f>IF(SUM(OpExp!F176:H176)=0,0,I10/(1/('(FnCalls 1)'!A47-'(FnCalls 1)'!A44))/SUM(OpExp!F176:H176))</f>
        <v>0</v>
      </c>
      <c r="K16" s="262">
        <f>IF(OpExp!J176=0,0,K10/(1/('(FnCalls 1)'!A48-'(FnCalls 1)'!A47))/OpExp!J176)</f>
        <v>0</v>
      </c>
      <c r="L16" s="262">
        <f>IF(OpExp!K176=0,0,L10/(1/('(FnCalls 1)'!A49-'(FnCalls 1)'!A48))/OpExp!K176)</f>
        <v>0</v>
      </c>
      <c r="M16" s="262">
        <f>IF(OpExp!L176=0,0,M10/(1/('(FnCalls 1)'!A50-'(FnCalls 1)'!A49))/OpExp!L176)</f>
        <v>0</v>
      </c>
      <c r="N16" s="217">
        <f>IF(SUM(OpExp!J176:L176)=0,0,M10/(1/('(FnCalls 1)'!A50-'(FnCalls 1)'!A47))/SUM(OpExp!J176:L176))</f>
        <v>0</v>
      </c>
      <c r="O16" s="262">
        <f>IF(OpExp!N176=0,0,O10/(1/('(FnCalls 1)'!A51-'(FnCalls 1)'!A50))/OpExp!N176)</f>
        <v>0</v>
      </c>
      <c r="P16" s="262">
        <f>IF(OpExp!O176=0,0,P10/(1/('(FnCalls 1)'!A52-'(FnCalls 1)'!A51))/OpExp!O176)</f>
        <v>0</v>
      </c>
      <c r="Q16" s="262">
        <f>IF(OpExp!P176=0,0,Q10/(1/('(FnCalls 1)'!A53-'(FnCalls 1)'!A52))/OpExp!P176)</f>
        <v>0</v>
      </c>
      <c r="R16" s="217">
        <f>IF(SUM(OpExp!N176:P176)=0,0,Q10/(1/('(FnCalls 1)'!A53-'(FnCalls 1)'!A50))/SUM(OpExp!N176:P176))</f>
        <v>0</v>
      </c>
      <c r="S16" s="262">
        <f>IF(OpExp!R176=0,0,S10/(1/('(FnCalls 1)'!A54-'(FnCalls 1)'!A53))/OpExp!R176)</f>
        <v>0</v>
      </c>
      <c r="T16" s="262">
        <f>IF(OpExp!S176=0,0,T10/(1/('(FnCalls 1)'!A55-'(FnCalls 1)'!A54))/OpExp!S176)</f>
        <v>0</v>
      </c>
      <c r="U16" s="262">
        <f>IF(OpExp!T176=0,0,U10/(1/('(FnCalls 1)'!A56-'(FnCalls 1)'!A55))/OpExp!T176)</f>
        <v>0</v>
      </c>
      <c r="V16" s="217">
        <f>IF(SUM(OpExp!R176:T176)=0,0,U10/(1/('(FnCalls 1)'!A56-'(FnCalls 1)'!A53))/SUM(OpExp!R176:T176))</f>
        <v>0</v>
      </c>
      <c r="W16" s="262">
        <f>IF(OpExp!V176=0,0,W10/(1/('(FnCalls 1)'!A57-'(FnCalls 1)'!A56))/OpExp!V176)</f>
        <v>0</v>
      </c>
      <c r="X16" s="262">
        <f>IF(OpExp!W176=0,0,X10/(1/('(FnCalls 1)'!A58-'(FnCalls 1)'!A57))/OpExp!W176)</f>
        <v>0</v>
      </c>
      <c r="Y16" s="262">
        <f>IF(OpExp!X176=0,0,Y10/(1/('(FnCalls 1)'!A59-'(FnCalls 1)'!A58))/OpExp!X176)</f>
        <v>0</v>
      </c>
      <c r="Z16" s="217">
        <f>IF(SUM(OpExp!V176:X176)=0,0,Y10/(1/('(FnCalls 1)'!A59-'(FnCalls 1)'!A56))/SUM(OpExp!V176:X176))</f>
        <v>0</v>
      </c>
    </row>
    <row r="17" spans="1:26" ht="12.75" customHeight="1" x14ac:dyDescent="0.2">
      <c r="A17" s="188" t="str">
        <f>"   "&amp;Labels!B303</f>
        <v xml:space="preserve">   Taxes Payable</v>
      </c>
      <c r="B17" s="262"/>
      <c r="C17" s="262">
        <f>IF(OpExp!B177=0,0,C11/(1/('(FnCalls 1)'!A42-'(FnCalls 1)'!A41))/OpExp!B177)</f>
        <v>0</v>
      </c>
      <c r="D17" s="262">
        <f>IF(OpExp!C177=0,0,D11/(1/('(FnCalls 1)'!A43-'(FnCalls 1)'!A42))/OpExp!C177)</f>
        <v>0</v>
      </c>
      <c r="E17" s="262">
        <f>IF(OpExp!D177=0,0,E11/(1/('(FnCalls 1)'!A44-'(FnCalls 1)'!A43))/OpExp!D177)</f>
        <v>0</v>
      </c>
      <c r="F17" s="217">
        <f>IF(SUM(OpExp!B177:D177)=0,0,E11/(1/('(FnCalls 1)'!A44-'(FnCalls 1)'!A41))/SUM(OpExp!B177:D177))</f>
        <v>0</v>
      </c>
      <c r="G17" s="262">
        <f>IF(OpExp!F177=0,0,G11/(1/('(FnCalls 1)'!A45-'(FnCalls 1)'!A44))/OpExp!F177)</f>
        <v>0</v>
      </c>
      <c r="H17" s="262">
        <f>IF(OpExp!G177=0,0,H11/(1/('(FnCalls 1)'!A46-'(FnCalls 1)'!A45))/OpExp!G177)</f>
        <v>0</v>
      </c>
      <c r="I17" s="262">
        <f>IF(OpExp!H177=0,0,I11/(1/('(FnCalls 1)'!A47-'(FnCalls 1)'!A46))/OpExp!H177)</f>
        <v>0</v>
      </c>
      <c r="J17" s="217">
        <f>IF(SUM(OpExp!F177:H177)=0,0,I11/(1/('(FnCalls 1)'!A47-'(FnCalls 1)'!A44))/SUM(OpExp!F177:H177))</f>
        <v>0</v>
      </c>
      <c r="K17" s="262">
        <f>IF(OpExp!J177=0,0,K11/(1/('(FnCalls 1)'!A48-'(FnCalls 1)'!A47))/OpExp!J177)</f>
        <v>0</v>
      </c>
      <c r="L17" s="262">
        <f>IF(OpExp!K177=0,0,L11/(1/('(FnCalls 1)'!A49-'(FnCalls 1)'!A48))/OpExp!K177)</f>
        <v>0</v>
      </c>
      <c r="M17" s="262">
        <f>IF(OpExp!L177=0,0,M11/(1/('(FnCalls 1)'!A50-'(FnCalls 1)'!A49))/OpExp!L177)</f>
        <v>0</v>
      </c>
      <c r="N17" s="217">
        <f>IF(SUM(OpExp!J177:L177)=0,0,M11/(1/('(FnCalls 1)'!A50-'(FnCalls 1)'!A47))/SUM(OpExp!J177:L177))</f>
        <v>0</v>
      </c>
      <c r="O17" s="262">
        <f>IF(OpExp!N177=0,0,O11/(1/('(FnCalls 1)'!A51-'(FnCalls 1)'!A50))/OpExp!N177)</f>
        <v>0</v>
      </c>
      <c r="P17" s="262">
        <f>IF(OpExp!O177=0,0,P11/(1/('(FnCalls 1)'!A52-'(FnCalls 1)'!A51))/OpExp!O177)</f>
        <v>0</v>
      </c>
      <c r="Q17" s="262">
        <f>IF(OpExp!P177=0,0,Q11/(1/('(FnCalls 1)'!A53-'(FnCalls 1)'!A52))/OpExp!P177)</f>
        <v>0</v>
      </c>
      <c r="R17" s="217">
        <f>IF(SUM(OpExp!N177:P177)=0,0,Q11/(1/('(FnCalls 1)'!A53-'(FnCalls 1)'!A50))/SUM(OpExp!N177:P177))</f>
        <v>0</v>
      </c>
      <c r="S17" s="262">
        <f>IF(OpExp!R177=0,0,S11/(1/('(FnCalls 1)'!A54-'(FnCalls 1)'!A53))/OpExp!R177)</f>
        <v>0</v>
      </c>
      <c r="T17" s="262">
        <f>IF(OpExp!S177=0,0,T11/(1/('(FnCalls 1)'!A55-'(FnCalls 1)'!A54))/OpExp!S177)</f>
        <v>0</v>
      </c>
      <c r="U17" s="262">
        <f>IF(OpExp!T177=0,0,U11/(1/('(FnCalls 1)'!A56-'(FnCalls 1)'!A55))/OpExp!T177)</f>
        <v>0</v>
      </c>
      <c r="V17" s="217">
        <f>IF(SUM(OpExp!R177:T177)=0,0,U11/(1/('(FnCalls 1)'!A56-'(FnCalls 1)'!A53))/SUM(OpExp!R177:T177))</f>
        <v>0</v>
      </c>
      <c r="W17" s="262">
        <f>IF(OpExp!V177=0,0,W11/(1/('(FnCalls 1)'!A57-'(FnCalls 1)'!A56))/OpExp!V177)</f>
        <v>0</v>
      </c>
      <c r="X17" s="262">
        <f>IF(OpExp!W177=0,0,X11/(1/('(FnCalls 1)'!A58-'(FnCalls 1)'!A57))/OpExp!W177)</f>
        <v>0</v>
      </c>
      <c r="Y17" s="262">
        <f>IF(OpExp!X177=0,0,Y11/(1/('(FnCalls 1)'!A59-'(FnCalls 1)'!A58))/OpExp!X177)</f>
        <v>0</v>
      </c>
      <c r="Z17" s="217">
        <f>IF(SUM(OpExp!V177:X177)=0,0,Y11/(1/('(FnCalls 1)'!A59-'(FnCalls 1)'!A56))/SUM(OpExp!V177:X177))</f>
        <v>0</v>
      </c>
    </row>
    <row r="18" spans="1:26" ht="12.75" customHeight="1" x14ac:dyDescent="0.2">
      <c r="A18" s="191" t="str">
        <f>"   "&amp;Labels!C300</f>
        <v xml:space="preserve">   Total</v>
      </c>
      <c r="B18" s="216"/>
      <c r="C18" s="216">
        <f>IF(OpExp!B178=0,0,C12/(1/('(FnCalls 1)'!A42-'(FnCalls 1)'!A41))/OpExp!B178)</f>
        <v>0</v>
      </c>
      <c r="D18" s="216">
        <f>IF(OpExp!C178=0,0,D12/(1/('(FnCalls 1)'!A43-'(FnCalls 1)'!A42))/OpExp!C178)</f>
        <v>0</v>
      </c>
      <c r="E18" s="216">
        <f>IF(OpExp!D178=0,0,E12/(1/('(FnCalls 1)'!A44-'(FnCalls 1)'!A43))/OpExp!D178)</f>
        <v>0</v>
      </c>
      <c r="F18" s="217">
        <f>IF(SUM(OpExp!B178:D178)=0,0,E12/(1/('(FnCalls 1)'!A44-'(FnCalls 1)'!A41))/SUM(OpExp!B178:D178))</f>
        <v>0</v>
      </c>
      <c r="G18" s="216">
        <f>IF(OpExp!F178=0,0,G12/(1/('(FnCalls 1)'!A45-'(FnCalls 1)'!A44))/OpExp!F178)</f>
        <v>0</v>
      </c>
      <c r="H18" s="216">
        <f>IF(OpExp!G178=0,0,H12/(1/('(FnCalls 1)'!A46-'(FnCalls 1)'!A45))/OpExp!G178)</f>
        <v>0</v>
      </c>
      <c r="I18" s="216">
        <f>IF(OpExp!H178=0,0,I12/(1/('(FnCalls 1)'!A47-'(FnCalls 1)'!A46))/OpExp!H178)</f>
        <v>0</v>
      </c>
      <c r="J18" s="217">
        <f>IF(SUM(OpExp!F178:H178)=0,0,I12/(1/('(FnCalls 1)'!A47-'(FnCalls 1)'!A44))/SUM(OpExp!F178:H178))</f>
        <v>0</v>
      </c>
      <c r="K18" s="216">
        <f>IF(OpExp!J178=0,0,K12/(1/('(FnCalls 1)'!A48-'(FnCalls 1)'!A47))/OpExp!J178)</f>
        <v>0</v>
      </c>
      <c r="L18" s="216">
        <f>IF(OpExp!K178=0,0,L12/(1/('(FnCalls 1)'!A49-'(FnCalls 1)'!A48))/OpExp!K178)</f>
        <v>0</v>
      </c>
      <c r="M18" s="216">
        <f>IF(OpExp!L178=0,0,M12/(1/('(FnCalls 1)'!A50-'(FnCalls 1)'!A49))/OpExp!L178)</f>
        <v>0</v>
      </c>
      <c r="N18" s="217">
        <f>IF(SUM(OpExp!J178:L178)=0,0,M12/(1/('(FnCalls 1)'!A50-'(FnCalls 1)'!A47))/SUM(OpExp!J178:L178))</f>
        <v>0</v>
      </c>
      <c r="O18" s="216">
        <f>IF(OpExp!N178=0,0,O12/(1/('(FnCalls 1)'!A51-'(FnCalls 1)'!A50))/OpExp!N178)</f>
        <v>0</v>
      </c>
      <c r="P18" s="216">
        <f>IF(OpExp!O178=0,0,P12/(1/('(FnCalls 1)'!A52-'(FnCalls 1)'!A51))/OpExp!O178)</f>
        <v>0</v>
      </c>
      <c r="Q18" s="216">
        <f>IF(OpExp!P178=0,0,Q12/(1/('(FnCalls 1)'!A53-'(FnCalls 1)'!A52))/OpExp!P178)</f>
        <v>0</v>
      </c>
      <c r="R18" s="217">
        <f>IF(SUM(OpExp!N178:P178)=0,0,Q12/(1/('(FnCalls 1)'!A53-'(FnCalls 1)'!A50))/SUM(OpExp!N178:P178))</f>
        <v>0</v>
      </c>
      <c r="S18" s="216">
        <f>IF(OpExp!R178=0,0,S12/(1/('(FnCalls 1)'!A54-'(FnCalls 1)'!A53))/OpExp!R178)</f>
        <v>0</v>
      </c>
      <c r="T18" s="216">
        <f>IF(OpExp!S178=0,0,T12/(1/('(FnCalls 1)'!A55-'(FnCalls 1)'!A54))/OpExp!S178)</f>
        <v>0</v>
      </c>
      <c r="U18" s="216">
        <f>IF(OpExp!T178=0,0,U12/(1/('(FnCalls 1)'!A56-'(FnCalls 1)'!A55))/OpExp!T178)</f>
        <v>0</v>
      </c>
      <c r="V18" s="217">
        <f>IF(SUM(OpExp!R178:T178)=0,0,U12/(1/('(FnCalls 1)'!A56-'(FnCalls 1)'!A53))/SUM(OpExp!R178:T178))</f>
        <v>0</v>
      </c>
      <c r="W18" s="216">
        <f>IF(OpExp!V178=0,0,W12/(1/('(FnCalls 1)'!A57-'(FnCalls 1)'!A56))/OpExp!V178)</f>
        <v>0</v>
      </c>
      <c r="X18" s="216">
        <f>IF(OpExp!W178=0,0,X12/(1/('(FnCalls 1)'!A58-'(FnCalls 1)'!A57))/OpExp!W178)</f>
        <v>0</v>
      </c>
      <c r="Y18" s="216">
        <f>IF(OpExp!X178=0,0,Y12/(1/('(FnCalls 1)'!A59-'(FnCalls 1)'!A58))/OpExp!X178)</f>
        <v>0</v>
      </c>
      <c r="Z18" s="217">
        <f>IF(SUM(OpExp!V178:X178)=0,0,Y12/(1/('(FnCalls 1)'!A59-'(FnCalls 1)'!A56))/SUM(OpExp!V178:X178))</f>
        <v>0</v>
      </c>
    </row>
    <row r="19" spans="1:26" ht="12.75" customHeight="1" x14ac:dyDescent="0.2">
      <c r="A19" s="97"/>
      <c r="B19" s="6"/>
      <c r="C19" s="6"/>
      <c r="D19" s="6"/>
      <c r="E19" s="6"/>
      <c r="F19" s="97"/>
      <c r="G19" s="6"/>
      <c r="H19" s="6"/>
      <c r="I19" s="6"/>
      <c r="J19" s="97"/>
      <c r="K19" s="6"/>
      <c r="L19" s="6"/>
      <c r="M19" s="6"/>
      <c r="N19" s="97"/>
      <c r="O19" s="6"/>
      <c r="P19" s="6"/>
      <c r="Q19" s="6"/>
      <c r="R19" s="97"/>
      <c r="S19" s="6"/>
      <c r="T19" s="6"/>
      <c r="U19" s="6"/>
      <c r="V19" s="97"/>
      <c r="W19" s="6"/>
      <c r="X19" s="6"/>
      <c r="Y19" s="6"/>
      <c r="Z19" s="97"/>
    </row>
    <row r="20" spans="1:26" ht="12.75" customHeight="1" x14ac:dyDescent="0.2">
      <c r="A20" s="185" t="str">
        <f>Labels!B245</f>
        <v>Short Term Debt</v>
      </c>
      <c r="B20" s="176">
        <f>Inputs!F414</f>
        <v>0</v>
      </c>
      <c r="C20" s="176">
        <f>Inputs!G414</f>
        <v>0</v>
      </c>
      <c r="D20" s="176">
        <f>Inputs!H414</f>
        <v>0</v>
      </c>
      <c r="E20" s="176">
        <f>Inputs!I414</f>
        <v>217338.70967741936</v>
      </c>
      <c r="F20" s="193">
        <f>Inputs!I414</f>
        <v>217338.70967741936</v>
      </c>
      <c r="G20" s="176">
        <f>Inputs!J414</f>
        <v>118250</v>
      </c>
      <c r="H20" s="176">
        <f>Inputs!K414</f>
        <v>0</v>
      </c>
      <c r="I20" s="176">
        <f>Inputs!L414</f>
        <v>0</v>
      </c>
      <c r="J20" s="193">
        <f>Inputs!L414</f>
        <v>0</v>
      </c>
      <c r="K20" s="176">
        <f>Inputs!M414</f>
        <v>0</v>
      </c>
      <c r="L20" s="176">
        <f>Inputs!N414</f>
        <v>0</v>
      </c>
      <c r="M20" s="176">
        <f>Inputs!O414</f>
        <v>0</v>
      </c>
      <c r="N20" s="193">
        <f>Inputs!O414</f>
        <v>0</v>
      </c>
      <c r="O20" s="176">
        <f>Inputs!P414</f>
        <v>0</v>
      </c>
      <c r="P20" s="176">
        <f>Inputs!Q414</f>
        <v>0</v>
      </c>
      <c r="Q20" s="176">
        <f>Inputs!R414</f>
        <v>0</v>
      </c>
      <c r="R20" s="193">
        <f>Inputs!R414</f>
        <v>0</v>
      </c>
      <c r="S20" s="176">
        <f>Inputs!S414</f>
        <v>0</v>
      </c>
      <c r="T20" s="176">
        <f>Inputs!T414</f>
        <v>0</v>
      </c>
      <c r="U20" s="176">
        <f>Inputs!U414</f>
        <v>0</v>
      </c>
      <c r="V20" s="193">
        <f>Inputs!U414</f>
        <v>0</v>
      </c>
      <c r="W20" s="176">
        <f>Inputs!V414</f>
        <v>0</v>
      </c>
      <c r="X20" s="176">
        <f>Inputs!W414</f>
        <v>0</v>
      </c>
      <c r="Y20" s="176">
        <f>Inputs!X414</f>
        <v>0</v>
      </c>
      <c r="Z20" s="193">
        <f>Inputs!X414</f>
        <v>0</v>
      </c>
    </row>
    <row r="23" spans="1:26" ht="12.75" customHeight="1" x14ac:dyDescent="0.2">
      <c r="A23" s="464" t="str">
        <f>"Long Term Liabilities"</f>
        <v>Long Term Liabilities</v>
      </c>
      <c r="B23" s="464"/>
    </row>
    <row r="24" spans="1:26" ht="12.75" customHeight="1" x14ac:dyDescent="0.2">
      <c r="A24" s="1" t="str">
        <f>""</f>
        <v/>
      </c>
    </row>
    <row r="25" spans="1:26" ht="12.75" customHeight="1" x14ac:dyDescent="0.2">
      <c r="B25" s="9" t="str">
        <f>'(FnCalls 1)'!F40</f>
        <v>MMM 2009</v>
      </c>
      <c r="C25" s="10" t="str">
        <f>'(FnCalls 1)'!F41</f>
        <v>MMM 2010</v>
      </c>
      <c r="D25" s="10" t="str">
        <f>'(FnCalls 1)'!F42</f>
        <v>MMM 2010</v>
      </c>
      <c r="E25" s="10" t="str">
        <f>'(FnCalls 1)'!F43</f>
        <v>MMM 2010</v>
      </c>
      <c r="F25" s="181" t="str">
        <f>'(FnCalls 1)'!G41</f>
        <v>Q1 2010</v>
      </c>
      <c r="G25" s="10" t="str">
        <f>'(FnCalls 1)'!F44</f>
        <v>MMM 2010</v>
      </c>
      <c r="H25" s="10" t="str">
        <f>'(FnCalls 1)'!F45</f>
        <v>MMM 2010</v>
      </c>
      <c r="I25" s="10" t="str">
        <f>'(FnCalls 1)'!F46</f>
        <v>MMM 2010</v>
      </c>
      <c r="J25" s="181" t="str">
        <f>'(FnCalls 1)'!G44</f>
        <v>Q2 2010</v>
      </c>
      <c r="K25" s="10" t="str">
        <f>'(FnCalls 1)'!F47</f>
        <v>MMM 2010</v>
      </c>
      <c r="L25" s="10" t="str">
        <f>'(FnCalls 1)'!F48</f>
        <v>MMM 2010</v>
      </c>
      <c r="M25" s="10" t="str">
        <f>'(FnCalls 1)'!F49</f>
        <v>MMM 2010</v>
      </c>
      <c r="N25" s="181" t="str">
        <f>'(FnCalls 1)'!G47</f>
        <v>Q3 2010</v>
      </c>
      <c r="O25" s="10" t="str">
        <f>'(FnCalls 1)'!F50</f>
        <v>MMM 2010</v>
      </c>
      <c r="P25" s="10" t="str">
        <f>'(FnCalls 1)'!F51</f>
        <v>MMM 2010</v>
      </c>
      <c r="Q25" s="10" t="str">
        <f>'(FnCalls 1)'!F52</f>
        <v>MMM 2010</v>
      </c>
      <c r="R25" s="181" t="str">
        <f>'(FnCalls 1)'!G50</f>
        <v>Q4 2010</v>
      </c>
      <c r="S25" s="10" t="str">
        <f>'(FnCalls 1)'!F53</f>
        <v>MMM 2011</v>
      </c>
      <c r="T25" s="10" t="str">
        <f>'(FnCalls 1)'!F54</f>
        <v>MMM 2011</v>
      </c>
      <c r="U25" s="10" t="str">
        <f>'(FnCalls 1)'!F55</f>
        <v>MMM 2011</v>
      </c>
      <c r="V25" s="181" t="str">
        <f>'(FnCalls 1)'!G53</f>
        <v>Q1 2011</v>
      </c>
      <c r="W25" s="10" t="str">
        <f>'(FnCalls 1)'!F56</f>
        <v>MMM 2011</v>
      </c>
      <c r="X25" s="10" t="str">
        <f>'(FnCalls 1)'!F57</f>
        <v>MMM 2011</v>
      </c>
      <c r="Y25" s="10" t="str">
        <f>'(FnCalls 1)'!F58</f>
        <v>MMM 2011</v>
      </c>
      <c r="Z25" s="181" t="str">
        <f>'(FnCalls 1)'!G56</f>
        <v>Q2 2011</v>
      </c>
    </row>
    <row r="26" spans="1:26" ht="12.75" customHeight="1" x14ac:dyDescent="0.2">
      <c r="A26" s="97" t="str">
        <f>Labels!B119</f>
        <v>Long Term Loans</v>
      </c>
      <c r="B26" s="194">
        <f>Inputs!F421</f>
        <v>0</v>
      </c>
      <c r="C26" s="194">
        <f>Inputs!G421</f>
        <v>0</v>
      </c>
      <c r="D26" s="194">
        <f>Inputs!H421</f>
        <v>0</v>
      </c>
      <c r="E26" s="194">
        <f>Inputs!I421</f>
        <v>0</v>
      </c>
      <c r="F26" s="195">
        <f>Inputs!I421</f>
        <v>0</v>
      </c>
      <c r="G26" s="194">
        <f>Inputs!J421</f>
        <v>0</v>
      </c>
      <c r="H26" s="194">
        <f>Inputs!K421</f>
        <v>0</v>
      </c>
      <c r="I26" s="194">
        <f>Inputs!L421</f>
        <v>0</v>
      </c>
      <c r="J26" s="195">
        <f>Inputs!L421</f>
        <v>0</v>
      </c>
      <c r="K26" s="194">
        <f>Inputs!M421</f>
        <v>0</v>
      </c>
      <c r="L26" s="194">
        <f>Inputs!N421</f>
        <v>0</v>
      </c>
      <c r="M26" s="194">
        <f>Inputs!O421</f>
        <v>0</v>
      </c>
      <c r="N26" s="195">
        <f>Inputs!O421</f>
        <v>0</v>
      </c>
      <c r="O26" s="194">
        <f>Inputs!P421</f>
        <v>0</v>
      </c>
      <c r="P26" s="194">
        <f>Inputs!Q421</f>
        <v>0</v>
      </c>
      <c r="Q26" s="194">
        <f>Inputs!R421</f>
        <v>0</v>
      </c>
      <c r="R26" s="195">
        <f>Inputs!R421</f>
        <v>0</v>
      </c>
      <c r="S26" s="194">
        <f>Inputs!S421</f>
        <v>0</v>
      </c>
      <c r="T26" s="194">
        <f>Inputs!T421</f>
        <v>0</v>
      </c>
      <c r="U26" s="194">
        <f>Inputs!U421</f>
        <v>0</v>
      </c>
      <c r="V26" s="195">
        <f>Inputs!U421</f>
        <v>0</v>
      </c>
      <c r="W26" s="194">
        <f>Inputs!V421</f>
        <v>0</v>
      </c>
      <c r="X26" s="194">
        <f>Inputs!W421</f>
        <v>0</v>
      </c>
      <c r="Y26" s="194">
        <f>Inputs!X421</f>
        <v>0</v>
      </c>
      <c r="Z26" s="195">
        <f>Inputs!X421</f>
        <v>0</v>
      </c>
    </row>
    <row r="28" spans="1:26" ht="12.75" customHeight="1" x14ac:dyDescent="0.2">
      <c r="A28" t="s">
        <v>3402</v>
      </c>
      <c r="B28" t="s">
        <v>3402</v>
      </c>
      <c r="C28" t="s">
        <v>3402</v>
      </c>
      <c r="D28" t="s">
        <v>3402</v>
      </c>
      <c r="E28" t="s">
        <v>3402</v>
      </c>
      <c r="F28" t="s">
        <v>3402</v>
      </c>
      <c r="G28" t="s">
        <v>3402</v>
      </c>
      <c r="H28" t="s">
        <v>3402</v>
      </c>
      <c r="I28" t="s">
        <v>3402</v>
      </c>
      <c r="J28" t="s">
        <v>3402</v>
      </c>
      <c r="K28" t="s">
        <v>3402</v>
      </c>
      <c r="L28" t="s">
        <v>3402</v>
      </c>
      <c r="M28" t="s">
        <v>3402</v>
      </c>
      <c r="N28" t="s">
        <v>3402</v>
      </c>
      <c r="O28" t="s">
        <v>3402</v>
      </c>
      <c r="P28" t="s">
        <v>3402</v>
      </c>
      <c r="Q28" t="s">
        <v>3402</v>
      </c>
      <c r="R28" t="s">
        <v>3402</v>
      </c>
      <c r="S28" t="s">
        <v>3402</v>
      </c>
      <c r="T28" t="s">
        <v>3402</v>
      </c>
      <c r="U28" t="s">
        <v>3402</v>
      </c>
      <c r="V28" t="s">
        <v>3402</v>
      </c>
      <c r="W28" t="s">
        <v>3402</v>
      </c>
      <c r="X28" t="s">
        <v>3402</v>
      </c>
      <c r="Y28" t="s">
        <v>3402</v>
      </c>
      <c r="Z28" t="s">
        <v>3402</v>
      </c>
    </row>
  </sheetData>
  <mergeCells count="6">
    <mergeCell ref="A23:B23"/>
    <mergeCell ref="A1:C1"/>
    <mergeCell ref="A2:C2"/>
    <mergeCell ref="A3:C3"/>
    <mergeCell ref="A4:C4"/>
    <mergeCell ref="A5:B5"/>
  </mergeCells>
  <pageMargins left="0.25" right="0.25" top="0.5" bottom="0.5" header="0.5" footer="0.5"/>
  <pageSetup paperSize="9" fitToHeight="32767" orientation="landscape" horizontalDpi="300" verticalDpi="300"/>
  <headerFooter alignWithMargins="0"/>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pageSetUpPr fitToPage="1"/>
  </sheetPr>
  <dimension ref="A1:Z19"/>
  <sheetViews>
    <sheetView zoomScaleNormal="100" workbookViewId="0">
      <selection sqref="A1:C1"/>
    </sheetView>
  </sheetViews>
  <sheetFormatPr defaultRowHeight="12.75" customHeight="1" x14ac:dyDescent="0.2"/>
  <cols>
    <col min="1" max="1" width="17.28515625" customWidth="1"/>
    <col min="2" max="26" width="12.42578125" customWidth="1"/>
  </cols>
  <sheetData>
    <row r="1" spans="1:26" ht="12.75" customHeight="1" x14ac:dyDescent="0.2">
      <c r="A1" s="463" t="str">
        <f>Inputs!F7</f>
        <v xml:space="preserve"> </v>
      </c>
      <c r="B1" s="463"/>
      <c r="C1" s="463"/>
    </row>
    <row r="2" spans="1:26" ht="12.75" customHeight="1" x14ac:dyDescent="0.2">
      <c r="A2" s="463" t="e">
        <f>TEXT('(FnCalls 1)'!A41,"m/d/yyyy")&amp;" to "&amp;TEXT('(FnCalls 1)'!A59-1,"m/d/yyyy")</f>
        <v>#VALUE!</v>
      </c>
      <c r="B2" s="463"/>
      <c r="C2" s="463"/>
    </row>
    <row r="3" spans="1:26" ht="12.75" customHeight="1" x14ac:dyDescent="0.2">
      <c r="A3" s="463" t="str">
        <f>"Owners Equity"</f>
        <v>Owners Equity</v>
      </c>
      <c r="B3" s="463"/>
      <c r="C3" s="463"/>
    </row>
    <row r="4" spans="1:26" ht="12.75" customHeight="1" x14ac:dyDescent="0.2">
      <c r="A4" s="463" t="str">
        <f>""</f>
        <v/>
      </c>
      <c r="B4" s="463"/>
      <c r="C4" s="463"/>
    </row>
    <row r="5" spans="1:26" ht="12.75" customHeight="1" x14ac:dyDescent="0.2">
      <c r="B5" s="9" t="str">
        <f>'(FnCalls 1)'!F40</f>
        <v>MMM 2009</v>
      </c>
      <c r="C5" s="10" t="str">
        <f>'(FnCalls 1)'!F41</f>
        <v>MMM 2010</v>
      </c>
      <c r="D5" s="10" t="str">
        <f>'(FnCalls 1)'!F42</f>
        <v>MMM 2010</v>
      </c>
      <c r="E5" s="10" t="str">
        <f>'(FnCalls 1)'!F43</f>
        <v>MMM 2010</v>
      </c>
      <c r="F5" s="181" t="str">
        <f>'(FnCalls 1)'!G41</f>
        <v>Q1 2010</v>
      </c>
      <c r="G5" s="10" t="str">
        <f>'(FnCalls 1)'!F44</f>
        <v>MMM 2010</v>
      </c>
      <c r="H5" s="10" t="str">
        <f>'(FnCalls 1)'!F45</f>
        <v>MMM 2010</v>
      </c>
      <c r="I5" s="10" t="str">
        <f>'(FnCalls 1)'!F46</f>
        <v>MMM 2010</v>
      </c>
      <c r="J5" s="181" t="str">
        <f>'(FnCalls 1)'!G44</f>
        <v>Q2 2010</v>
      </c>
      <c r="K5" s="10" t="str">
        <f>'(FnCalls 1)'!F47</f>
        <v>MMM 2010</v>
      </c>
      <c r="L5" s="10" t="str">
        <f>'(FnCalls 1)'!F48</f>
        <v>MMM 2010</v>
      </c>
      <c r="M5" s="10" t="str">
        <f>'(FnCalls 1)'!F49</f>
        <v>MMM 2010</v>
      </c>
      <c r="N5" s="181" t="str">
        <f>'(FnCalls 1)'!G47</f>
        <v>Q3 2010</v>
      </c>
      <c r="O5" s="10" t="str">
        <f>'(FnCalls 1)'!F50</f>
        <v>MMM 2010</v>
      </c>
      <c r="P5" s="10" t="str">
        <f>'(FnCalls 1)'!F51</f>
        <v>MMM 2010</v>
      </c>
      <c r="Q5" s="10" t="str">
        <f>'(FnCalls 1)'!F52</f>
        <v>MMM 2010</v>
      </c>
      <c r="R5" s="181" t="str">
        <f>'(FnCalls 1)'!G50</f>
        <v>Q4 2010</v>
      </c>
      <c r="S5" s="10" t="str">
        <f>'(FnCalls 1)'!F53</f>
        <v>MMM 2011</v>
      </c>
      <c r="T5" s="10" t="str">
        <f>'(FnCalls 1)'!F54</f>
        <v>MMM 2011</v>
      </c>
      <c r="U5" s="10" t="str">
        <f>'(FnCalls 1)'!F55</f>
        <v>MMM 2011</v>
      </c>
      <c r="V5" s="181" t="str">
        <f>'(FnCalls 1)'!G53</f>
        <v>Q1 2011</v>
      </c>
      <c r="W5" s="10" t="str">
        <f>'(FnCalls 1)'!F56</f>
        <v>MMM 2011</v>
      </c>
      <c r="X5" s="10" t="str">
        <f>'(FnCalls 1)'!F57</f>
        <v>MMM 2011</v>
      </c>
      <c r="Y5" s="10" t="str">
        <f>'(FnCalls 1)'!F58</f>
        <v>MMM 2011</v>
      </c>
      <c r="Z5" s="181" t="str">
        <f>'(FnCalls 1)'!G56</f>
        <v>Q2 2011</v>
      </c>
    </row>
    <row r="6" spans="1:26" ht="12.75" customHeight="1" x14ac:dyDescent="0.2">
      <c r="A6" s="182" t="str">
        <f>Labels!B91</f>
        <v>Equity</v>
      </c>
      <c r="B6" s="183"/>
      <c r="C6" s="183"/>
      <c r="D6" s="183"/>
      <c r="E6" s="183"/>
      <c r="F6" s="184"/>
      <c r="G6" s="183"/>
      <c r="H6" s="183"/>
      <c r="I6" s="183"/>
      <c r="J6" s="184"/>
      <c r="K6" s="183"/>
      <c r="L6" s="183"/>
      <c r="M6" s="183"/>
      <c r="N6" s="184"/>
      <c r="O6" s="183"/>
      <c r="P6" s="183"/>
      <c r="Q6" s="183"/>
      <c r="R6" s="184"/>
      <c r="S6" s="183"/>
      <c r="T6" s="183"/>
      <c r="U6" s="183"/>
      <c r="V6" s="184"/>
      <c r="W6" s="183"/>
      <c r="X6" s="183"/>
      <c r="Y6" s="183"/>
      <c r="Z6" s="184"/>
    </row>
    <row r="7" spans="1:26" ht="12.75" customHeight="1" x14ac:dyDescent="0.2">
      <c r="A7" s="188" t="str">
        <f>"   "&amp;Labels!B349</f>
        <v xml:space="preserve">   Paid in Capital</v>
      </c>
      <c r="B7" s="189">
        <f>BalSht!B27</f>
        <v>0</v>
      </c>
      <c r="C7" s="189">
        <f>BalSht!C27</f>
        <v>0</v>
      </c>
      <c r="D7" s="189">
        <f>BalSht!D27</f>
        <v>0</v>
      </c>
      <c r="E7" s="189">
        <f>BalSht!E27</f>
        <v>0</v>
      </c>
      <c r="F7" s="190">
        <f>BalSht!E27</f>
        <v>0</v>
      </c>
      <c r="G7" s="189">
        <f>BalSht!G27</f>
        <v>0</v>
      </c>
      <c r="H7" s="189">
        <f>BalSht!H27</f>
        <v>0</v>
      </c>
      <c r="I7" s="189">
        <f>BalSht!I27</f>
        <v>0</v>
      </c>
      <c r="J7" s="190">
        <f>BalSht!I27</f>
        <v>0</v>
      </c>
      <c r="K7" s="189">
        <f>BalSht!K27</f>
        <v>0</v>
      </c>
      <c r="L7" s="189">
        <f>BalSht!L27</f>
        <v>0</v>
      </c>
      <c r="M7" s="189">
        <f>BalSht!M27</f>
        <v>0</v>
      </c>
      <c r="N7" s="190">
        <f>BalSht!M27</f>
        <v>0</v>
      </c>
      <c r="O7" s="189">
        <f>BalSht!O27</f>
        <v>0</v>
      </c>
      <c r="P7" s="189">
        <f>BalSht!P27</f>
        <v>0</v>
      </c>
      <c r="Q7" s="189">
        <f>BalSht!Q27</f>
        <v>0</v>
      </c>
      <c r="R7" s="190">
        <f>BalSht!Q27</f>
        <v>0</v>
      </c>
      <c r="S7" s="189">
        <f>BalSht!S27</f>
        <v>0</v>
      </c>
      <c r="T7" s="189">
        <f>BalSht!T27</f>
        <v>0</v>
      </c>
      <c r="U7" s="189">
        <f>BalSht!U27</f>
        <v>0</v>
      </c>
      <c r="V7" s="190">
        <f>BalSht!U27</f>
        <v>0</v>
      </c>
      <c r="W7" s="189">
        <f>BalSht!W27</f>
        <v>0</v>
      </c>
      <c r="X7" s="189">
        <f>BalSht!X27</f>
        <v>0</v>
      </c>
      <c r="Y7" s="189">
        <f>BalSht!Y27</f>
        <v>0</v>
      </c>
      <c r="Z7" s="190">
        <f>BalSht!Y27</f>
        <v>0</v>
      </c>
    </row>
    <row r="8" spans="1:26" ht="12.75" customHeight="1" x14ac:dyDescent="0.2">
      <c r="A8" s="188" t="str">
        <f>"   "&amp;Labels!B350</f>
        <v xml:space="preserve">   Retained Earnings</v>
      </c>
      <c r="B8" s="189">
        <f>BalSht!B28</f>
        <v>0</v>
      </c>
      <c r="C8" s="189">
        <f>BalSht!C28</f>
        <v>0</v>
      </c>
      <c r="D8" s="189">
        <f>BalSht!D28</f>
        <v>0</v>
      </c>
      <c r="E8" s="189">
        <f>BalSht!E28</f>
        <v>110000</v>
      </c>
      <c r="F8" s="190">
        <f>BalSht!E28</f>
        <v>110000</v>
      </c>
      <c r="G8" s="189">
        <f>BalSht!G28</f>
        <v>220000</v>
      </c>
      <c r="H8" s="189">
        <f>BalSht!H28</f>
        <v>220000</v>
      </c>
      <c r="I8" s="189">
        <f>BalSht!I28</f>
        <v>300000</v>
      </c>
      <c r="J8" s="190">
        <f>BalSht!I28</f>
        <v>300000</v>
      </c>
      <c r="K8" s="189">
        <f>BalSht!K28</f>
        <v>351739.10702893999</v>
      </c>
      <c r="L8" s="189">
        <f>BalSht!L28</f>
        <v>389243.21909324074</v>
      </c>
      <c r="M8" s="189">
        <f>BalSht!M28</f>
        <v>389243.21909324074</v>
      </c>
      <c r="N8" s="190">
        <f>BalSht!M28</f>
        <v>389243.21909324074</v>
      </c>
      <c r="O8" s="189">
        <f>BalSht!O28</f>
        <v>389243.21909324074</v>
      </c>
      <c r="P8" s="189">
        <f>BalSht!P28</f>
        <v>389243.21909324074</v>
      </c>
      <c r="Q8" s="189">
        <f>BalSht!Q28</f>
        <v>389243.21909324074</v>
      </c>
      <c r="R8" s="190">
        <f>BalSht!Q28</f>
        <v>389243.21909324074</v>
      </c>
      <c r="S8" s="189">
        <f>BalSht!S28</f>
        <v>389243.21909324074</v>
      </c>
      <c r="T8" s="189">
        <f>BalSht!T28</f>
        <v>389243.21909324074</v>
      </c>
      <c r="U8" s="189">
        <f>BalSht!U28</f>
        <v>389243.21909324074</v>
      </c>
      <c r="V8" s="190">
        <f>BalSht!U28</f>
        <v>389243.21909324074</v>
      </c>
      <c r="W8" s="189">
        <f>BalSht!W28</f>
        <v>389243.21909324074</v>
      </c>
      <c r="X8" s="189">
        <f>BalSht!X28</f>
        <v>389243.21909324074</v>
      </c>
      <c r="Y8" s="189">
        <f>BalSht!Y28</f>
        <v>389243.21909324074</v>
      </c>
      <c r="Z8" s="190">
        <f>BalSht!Y28</f>
        <v>389243.21909324074</v>
      </c>
    </row>
    <row r="9" spans="1:26" ht="12.75" customHeight="1" x14ac:dyDescent="0.2">
      <c r="A9" s="191" t="str">
        <f>"   "&amp;Labels!C348</f>
        <v xml:space="preserve">   Total</v>
      </c>
      <c r="B9" s="192">
        <f>SUM(B7:B8)</f>
        <v>0</v>
      </c>
      <c r="C9" s="192">
        <f>SUM(C7:C8)</f>
        <v>0</v>
      </c>
      <c r="D9" s="192">
        <f>SUM(D7:D8)</f>
        <v>0</v>
      </c>
      <c r="E9" s="192">
        <f>SUM(E7:E8)</f>
        <v>110000</v>
      </c>
      <c r="F9" s="190">
        <f>SUM(E7:E8)</f>
        <v>110000</v>
      </c>
      <c r="G9" s="192">
        <f>SUM(G7:G8)</f>
        <v>220000</v>
      </c>
      <c r="H9" s="192">
        <f>SUM(H7:H8)</f>
        <v>220000</v>
      </c>
      <c r="I9" s="192">
        <f>SUM(I7:I8)</f>
        <v>300000</v>
      </c>
      <c r="J9" s="190">
        <f>SUM(I7:I8)</f>
        <v>300000</v>
      </c>
      <c r="K9" s="192">
        <f>SUM(K7:K8)</f>
        <v>351739.10702893999</v>
      </c>
      <c r="L9" s="192">
        <f>SUM(L7:L8)</f>
        <v>389243.21909324074</v>
      </c>
      <c r="M9" s="192">
        <f>SUM(M7:M8)</f>
        <v>389243.21909324074</v>
      </c>
      <c r="N9" s="190">
        <f>SUM(M7:M8)</f>
        <v>389243.21909324074</v>
      </c>
      <c r="O9" s="192">
        <f>SUM(O7:O8)</f>
        <v>389243.21909324074</v>
      </c>
      <c r="P9" s="192">
        <f>SUM(P7:P8)</f>
        <v>389243.21909324074</v>
      </c>
      <c r="Q9" s="192">
        <f>SUM(Q7:Q8)</f>
        <v>389243.21909324074</v>
      </c>
      <c r="R9" s="190">
        <f>SUM(Q7:Q8)</f>
        <v>389243.21909324074</v>
      </c>
      <c r="S9" s="192">
        <f>SUM(S7:S8)</f>
        <v>389243.21909324074</v>
      </c>
      <c r="T9" s="192">
        <f>SUM(T7:T8)</f>
        <v>389243.21909324074</v>
      </c>
      <c r="U9" s="192">
        <f>SUM(U7:U8)</f>
        <v>389243.21909324074</v>
      </c>
      <c r="V9" s="190">
        <f>SUM(U7:U8)</f>
        <v>389243.21909324074</v>
      </c>
      <c r="W9" s="192">
        <f>SUM(W7:W8)</f>
        <v>389243.21909324074</v>
      </c>
      <c r="X9" s="192">
        <f>SUM(X7:X8)</f>
        <v>389243.21909324074</v>
      </c>
      <c r="Y9" s="192">
        <f>SUM(Y7:Y8)</f>
        <v>389243.21909324074</v>
      </c>
      <c r="Z9" s="190">
        <f>SUM(Y7:Y8)</f>
        <v>389243.21909324074</v>
      </c>
    </row>
    <row r="10" spans="1:26" ht="12.75" customHeight="1" x14ac:dyDescent="0.2">
      <c r="A10" s="97"/>
      <c r="B10" s="6"/>
      <c r="C10" s="6"/>
      <c r="D10" s="6"/>
      <c r="E10" s="6"/>
      <c r="F10" s="97"/>
      <c r="G10" s="6"/>
      <c r="H10" s="6"/>
      <c r="I10" s="6"/>
      <c r="J10" s="97"/>
      <c r="K10" s="6"/>
      <c r="L10" s="6"/>
      <c r="M10" s="6"/>
      <c r="N10" s="97"/>
      <c r="O10" s="6"/>
      <c r="P10" s="6"/>
      <c r="Q10" s="6"/>
      <c r="R10" s="97"/>
      <c r="S10" s="6"/>
      <c r="T10" s="6"/>
      <c r="U10" s="6"/>
      <c r="V10" s="97"/>
      <c r="W10" s="6"/>
      <c r="X10" s="6"/>
      <c r="Y10" s="6"/>
      <c r="Z10" s="97"/>
    </row>
    <row r="11" spans="1:26" ht="12.75" customHeight="1" x14ac:dyDescent="0.2">
      <c r="A11" s="185" t="str">
        <f>Labels!B128</f>
        <v>Net Stock Issue</v>
      </c>
      <c r="B11" s="176">
        <f>Inputs!F430</f>
        <v>0</v>
      </c>
      <c r="C11" s="176">
        <f>Inputs!G430</f>
        <v>0</v>
      </c>
      <c r="D11" s="176">
        <f>Inputs!H430</f>
        <v>0</v>
      </c>
      <c r="E11" s="176">
        <f>Inputs!I430</f>
        <v>0</v>
      </c>
      <c r="F11" s="193">
        <f>SUM(C11:E11)</f>
        <v>0</v>
      </c>
      <c r="G11" s="176">
        <f>Inputs!J430</f>
        <v>0</v>
      </c>
      <c r="H11" s="176">
        <f>Inputs!K430</f>
        <v>0</v>
      </c>
      <c r="I11" s="176">
        <f>Inputs!L430</f>
        <v>0</v>
      </c>
      <c r="J11" s="193">
        <f>SUM(G11:I11)</f>
        <v>0</v>
      </c>
      <c r="K11" s="176">
        <f>Inputs!M430</f>
        <v>0</v>
      </c>
      <c r="L11" s="176">
        <f>Inputs!N430</f>
        <v>0</v>
      </c>
      <c r="M11" s="176">
        <f>Inputs!O430</f>
        <v>0</v>
      </c>
      <c r="N11" s="193">
        <f>SUM(K11:M11)</f>
        <v>0</v>
      </c>
      <c r="O11" s="176">
        <f>Inputs!P430</f>
        <v>0</v>
      </c>
      <c r="P11" s="176">
        <f>Inputs!Q430</f>
        <v>0</v>
      </c>
      <c r="Q11" s="176">
        <f>Inputs!R430</f>
        <v>0</v>
      </c>
      <c r="R11" s="193">
        <f>SUM(O11:Q11)</f>
        <v>0</v>
      </c>
      <c r="S11" s="176">
        <f>Inputs!S430</f>
        <v>0</v>
      </c>
      <c r="T11" s="176">
        <f>Inputs!T430</f>
        <v>0</v>
      </c>
      <c r="U11" s="176">
        <f>Inputs!U430</f>
        <v>0</v>
      </c>
      <c r="V11" s="193">
        <f>SUM(S11:U11)</f>
        <v>0</v>
      </c>
      <c r="W11" s="176">
        <f>Inputs!V430</f>
        <v>0</v>
      </c>
      <c r="X11" s="176">
        <f>Inputs!W430</f>
        <v>0</v>
      </c>
      <c r="Y11" s="176">
        <f>Inputs!X430</f>
        <v>0</v>
      </c>
      <c r="Z11" s="193">
        <f>SUM(W11:Y11)</f>
        <v>0</v>
      </c>
    </row>
    <row r="13" spans="1:26" ht="12.75" customHeight="1" x14ac:dyDescent="0.2">
      <c r="A13" s="182" t="str">
        <f>Labels!B64</f>
        <v>Dividend</v>
      </c>
      <c r="B13" s="183"/>
      <c r="C13" s="183">
        <f>Inputs!G432</f>
        <v>0</v>
      </c>
      <c r="D13" s="183">
        <f>Inputs!H432</f>
        <v>0</v>
      </c>
      <c r="E13" s="183">
        <f>Inputs!I432</f>
        <v>0</v>
      </c>
      <c r="F13" s="184">
        <f>SUM(C13:E13)</f>
        <v>0</v>
      </c>
      <c r="G13" s="183">
        <f>Inputs!J432</f>
        <v>0</v>
      </c>
      <c r="H13" s="183">
        <f>Inputs!K432</f>
        <v>0</v>
      </c>
      <c r="I13" s="183">
        <f>Inputs!L432</f>
        <v>0</v>
      </c>
      <c r="J13" s="184">
        <f>SUM(G13:I13)</f>
        <v>0</v>
      </c>
      <c r="K13" s="183">
        <f>Inputs!M432</f>
        <v>0</v>
      </c>
      <c r="L13" s="183">
        <f>Inputs!N432</f>
        <v>0</v>
      </c>
      <c r="M13" s="183">
        <f>Inputs!O432</f>
        <v>0</v>
      </c>
      <c r="N13" s="184">
        <f>SUM(K13:M13)</f>
        <v>0</v>
      </c>
      <c r="O13" s="183">
        <f>Inputs!P432</f>
        <v>0</v>
      </c>
      <c r="P13" s="183">
        <f>Inputs!Q432</f>
        <v>0</v>
      </c>
      <c r="Q13" s="183">
        <f>Inputs!R432</f>
        <v>0</v>
      </c>
      <c r="R13" s="184">
        <f>SUM(O13:Q13)</f>
        <v>0</v>
      </c>
      <c r="S13" s="183">
        <f>Inputs!S432</f>
        <v>0</v>
      </c>
      <c r="T13" s="183">
        <f>Inputs!T432</f>
        <v>0</v>
      </c>
      <c r="U13" s="183">
        <f>Inputs!U432</f>
        <v>0</v>
      </c>
      <c r="V13" s="184">
        <f>SUM(S13:U13)</f>
        <v>0</v>
      </c>
      <c r="W13" s="183">
        <f>Inputs!V432</f>
        <v>0</v>
      </c>
      <c r="X13" s="183">
        <f>Inputs!W432</f>
        <v>0</v>
      </c>
      <c r="Y13" s="183">
        <f>Inputs!X432</f>
        <v>0</v>
      </c>
      <c r="Z13" s="184">
        <f>SUM(W13:Y13)</f>
        <v>0</v>
      </c>
    </row>
    <row r="14" spans="1:26" ht="12.75" customHeight="1" x14ac:dyDescent="0.2">
      <c r="A14" s="185" t="str">
        <f>Labels!B65</f>
        <v>Dividend Yield</v>
      </c>
      <c r="B14" s="186"/>
      <c r="C14" s="186">
        <f>RatioRpt!B33</f>
        <v>0</v>
      </c>
      <c r="D14" s="186">
        <f>RatioRpt!C33</f>
        <v>0</v>
      </c>
      <c r="E14" s="186">
        <f>RatioRpt!D33</f>
        <v>0</v>
      </c>
      <c r="F14" s="187">
        <f>0</f>
        <v>0</v>
      </c>
      <c r="G14" s="186">
        <f>RatioRpt!F33</f>
        <v>0</v>
      </c>
      <c r="H14" s="186">
        <f>RatioRpt!G33</f>
        <v>0</v>
      </c>
      <c r="I14" s="186">
        <f>RatioRpt!H33</f>
        <v>0</v>
      </c>
      <c r="J14" s="187">
        <f>0</f>
        <v>0</v>
      </c>
      <c r="K14" s="186">
        <f>RatioRpt!J33</f>
        <v>0</v>
      </c>
      <c r="L14" s="186">
        <f>RatioRpt!K33</f>
        <v>0</v>
      </c>
      <c r="M14" s="186">
        <f>RatioRpt!L33</f>
        <v>0</v>
      </c>
      <c r="N14" s="187">
        <f>0</f>
        <v>0</v>
      </c>
      <c r="O14" s="186">
        <f>RatioRpt!N33</f>
        <v>0</v>
      </c>
      <c r="P14" s="186">
        <f>RatioRpt!O33</f>
        <v>0</v>
      </c>
      <c r="Q14" s="186" t="str">
        <f>RatioRpt!P33</f>
        <v xml:space="preserve"> </v>
      </c>
      <c r="R14" s="187" t="str">
        <f>IF(ISERROR(SUM(O13:Q13)/Value!P6)," ",SUM(O13:Q13)/Value!P6)</f>
        <v xml:space="preserve"> </v>
      </c>
      <c r="S14" s="186" t="str">
        <f>RatioRpt!R33</f>
        <v xml:space="preserve"> </v>
      </c>
      <c r="T14" s="186" t="str">
        <f>RatioRpt!S33</f>
        <v xml:space="preserve"> </v>
      </c>
      <c r="U14" s="186" t="str">
        <f>RatioRpt!T33</f>
        <v xml:space="preserve"> </v>
      </c>
      <c r="V14" s="187" t="str">
        <f>IF(ISERROR(SUM(S13:U13)/Value!T6)," ",SUM(S13:U13)/Value!T6)</f>
        <v xml:space="preserve"> </v>
      </c>
      <c r="W14" s="186" t="str">
        <f>RatioRpt!V33</f>
        <v xml:space="preserve"> </v>
      </c>
      <c r="X14" s="186" t="str">
        <f>RatioRpt!W33</f>
        <v xml:space="preserve"> </v>
      </c>
      <c r="Y14" s="186" t="str">
        <f>RatioRpt!X33</f>
        <v xml:space="preserve"> </v>
      </c>
      <c r="Z14" s="187" t="str">
        <f>IF(ISERROR(SUM(W13:Y13)/Value!X6)," ",SUM(W13:Y13)/Value!X6)</f>
        <v xml:space="preserve"> </v>
      </c>
    </row>
    <row r="16" spans="1:26" ht="12.75" customHeight="1" x14ac:dyDescent="0.2">
      <c r="A16" s="182" t="str">
        <f>Labels!B114</f>
        <v>IRR Model Time (Yr)</v>
      </c>
      <c r="B16" s="208">
        <f>RatioRpt!B35</f>
        <v>3145.5570913601168</v>
      </c>
    </row>
    <row r="17" spans="1:26" ht="12.75" customHeight="1" x14ac:dyDescent="0.2">
      <c r="A17" s="185" t="str">
        <f>Labels!B115</f>
        <v>IRR with Tail (Yr)</v>
      </c>
      <c r="B17" s="187">
        <f>RatioRpt!B36</f>
        <v>3145.5570913601168</v>
      </c>
    </row>
    <row r="19" spans="1:26" ht="12.75" customHeight="1" x14ac:dyDescent="0.2">
      <c r="A19" t="s">
        <v>3402</v>
      </c>
      <c r="B19" t="s">
        <v>3402</v>
      </c>
      <c r="C19" t="s">
        <v>3402</v>
      </c>
      <c r="D19" t="s">
        <v>3402</v>
      </c>
      <c r="E19" t="s">
        <v>3402</v>
      </c>
      <c r="F19" t="s">
        <v>3402</v>
      </c>
      <c r="G19" t="s">
        <v>3402</v>
      </c>
      <c r="H19" t="s">
        <v>3402</v>
      </c>
      <c r="I19" t="s">
        <v>3402</v>
      </c>
      <c r="J19" t="s">
        <v>3402</v>
      </c>
      <c r="K19" t="s">
        <v>3402</v>
      </c>
      <c r="L19" t="s">
        <v>3402</v>
      </c>
      <c r="M19" t="s">
        <v>3402</v>
      </c>
      <c r="N19" t="s">
        <v>3402</v>
      </c>
      <c r="O19" t="s">
        <v>3402</v>
      </c>
      <c r="P19" t="s">
        <v>3402</v>
      </c>
      <c r="Q19" t="s">
        <v>3402</v>
      </c>
      <c r="R19" t="s">
        <v>3402</v>
      </c>
      <c r="S19" t="s">
        <v>3402</v>
      </c>
      <c r="T19" t="s">
        <v>3402</v>
      </c>
      <c r="U19" t="s">
        <v>3402</v>
      </c>
      <c r="V19" t="s">
        <v>3402</v>
      </c>
      <c r="W19" t="s">
        <v>3402</v>
      </c>
      <c r="X19" t="s">
        <v>3402</v>
      </c>
      <c r="Y19" t="s">
        <v>3402</v>
      </c>
      <c r="Z19" t="s">
        <v>3402</v>
      </c>
    </row>
  </sheetData>
  <mergeCells count="4">
    <mergeCell ref="A1:C1"/>
    <mergeCell ref="A2:C2"/>
    <mergeCell ref="A3:C3"/>
    <mergeCell ref="A4:C4"/>
  </mergeCells>
  <pageMargins left="0.25" right="0.25" top="0.5" bottom="0.5" header="0.5" footer="0.5"/>
  <pageSetup paperSize="9" fitToHeight="32767" orientation="landscape" horizontalDpi="300" verticalDpi="300"/>
  <headerFooter alignWithMargins="0"/>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heetViews>
  <sheetFormatPr defaultColWidth="9.140625" defaultRowHeight="12.75" x14ac:dyDescent="0.2"/>
  <sheetData>
    <row r="1" ht="12.75" customHeight="1" x14ac:dyDescent="0.2"/>
  </sheetData>
  <printOptions horizontalCentered="1"/>
  <pageMargins left="0.25" right="0.25" top="0.5" bottom="0.5" header="0.25" footer="0.25"/>
  <pageSetup orientation="landscape"/>
  <headerFooter scaleWithDoc="0" alignWithMargins="0">
    <oddFooter>&amp;C</oddFooter>
  </headerFooter>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pageSetUpPr fitToPage="1"/>
  </sheetPr>
  <dimension ref="A1:Y20"/>
  <sheetViews>
    <sheetView zoomScaleNormal="100" workbookViewId="0">
      <selection sqref="A1:C1"/>
    </sheetView>
  </sheetViews>
  <sheetFormatPr defaultRowHeight="12.75" customHeight="1" x14ac:dyDescent="0.2"/>
  <cols>
    <col min="1" max="1" width="19.140625" customWidth="1"/>
    <col min="2" max="25" width="12.42578125" customWidth="1"/>
  </cols>
  <sheetData>
    <row r="1" spans="1:25" ht="12.75" customHeight="1" x14ac:dyDescent="0.2">
      <c r="A1" s="463" t="str">
        <f>Inputs!F7</f>
        <v xml:space="preserve"> </v>
      </c>
      <c r="B1" s="463"/>
      <c r="C1" s="463"/>
    </row>
    <row r="2" spans="1:25" ht="12.75" customHeight="1" x14ac:dyDescent="0.2">
      <c r="A2" s="463" t="e">
        <f>TEXT('(FnCalls 1)'!A41,"m/d/yyyy")&amp;" to "&amp;TEXT('(FnCalls 1)'!A59-1,"m/d/yyyy")</f>
        <v>#VALUE!</v>
      </c>
      <c r="B2" s="463"/>
      <c r="C2" s="463"/>
    </row>
    <row r="3" spans="1:25" ht="12.75" customHeight="1" x14ac:dyDescent="0.2">
      <c r="A3" s="463" t="str">
        <f>"Valuation"</f>
        <v>Valuation</v>
      </c>
      <c r="B3" s="463"/>
      <c r="C3" s="463"/>
    </row>
    <row r="4" spans="1:25" ht="12.75" customHeight="1" x14ac:dyDescent="0.2">
      <c r="A4" s="463" t="str">
        <f>""</f>
        <v/>
      </c>
      <c r="B4" s="463"/>
      <c r="C4" s="463"/>
    </row>
    <row r="5" spans="1:25" ht="12.75" customHeight="1" x14ac:dyDescent="0.2">
      <c r="B5" s="9" t="str">
        <f>'(FnCalls 1)'!F41</f>
        <v>MMM 2010</v>
      </c>
      <c r="C5" s="10" t="str">
        <f>'(FnCalls 1)'!F42</f>
        <v>MMM 2010</v>
      </c>
      <c r="D5" s="10" t="str">
        <f>'(FnCalls 1)'!F43</f>
        <v>MMM 2010</v>
      </c>
      <c r="E5" s="181" t="str">
        <f>'(FnCalls 1)'!G41</f>
        <v>Q1 2010</v>
      </c>
      <c r="F5" s="10" t="str">
        <f>'(FnCalls 1)'!F44</f>
        <v>MMM 2010</v>
      </c>
      <c r="G5" s="10" t="str">
        <f>'(FnCalls 1)'!F45</f>
        <v>MMM 2010</v>
      </c>
      <c r="H5" s="10" t="str">
        <f>'(FnCalls 1)'!F46</f>
        <v>MMM 2010</v>
      </c>
      <c r="I5" s="181" t="str">
        <f>'(FnCalls 1)'!G44</f>
        <v>Q2 2010</v>
      </c>
      <c r="J5" s="10" t="str">
        <f>'(FnCalls 1)'!F47</f>
        <v>MMM 2010</v>
      </c>
      <c r="K5" s="10" t="str">
        <f>'(FnCalls 1)'!F48</f>
        <v>MMM 2010</v>
      </c>
      <c r="L5" s="10" t="str">
        <f>'(FnCalls 1)'!F49</f>
        <v>MMM 2010</v>
      </c>
      <c r="M5" s="181" t="str">
        <f>'(FnCalls 1)'!G47</f>
        <v>Q3 2010</v>
      </c>
      <c r="N5" s="10" t="str">
        <f>'(FnCalls 1)'!F50</f>
        <v>MMM 2010</v>
      </c>
      <c r="O5" s="10" t="str">
        <f>'(FnCalls 1)'!F51</f>
        <v>MMM 2010</v>
      </c>
      <c r="P5" s="10" t="str">
        <f>'(FnCalls 1)'!F52</f>
        <v>MMM 2010</v>
      </c>
      <c r="Q5" s="181" t="str">
        <f>'(FnCalls 1)'!G50</f>
        <v>Q4 2010</v>
      </c>
      <c r="R5" s="10" t="str">
        <f>'(FnCalls 1)'!F53</f>
        <v>MMM 2011</v>
      </c>
      <c r="S5" s="10" t="str">
        <f>'(FnCalls 1)'!F54</f>
        <v>MMM 2011</v>
      </c>
      <c r="T5" s="10" t="str">
        <f>'(FnCalls 1)'!F55</f>
        <v>MMM 2011</v>
      </c>
      <c r="U5" s="181" t="str">
        <f>'(FnCalls 1)'!G53</f>
        <v>Q1 2011</v>
      </c>
      <c r="V5" s="10" t="str">
        <f>'(FnCalls 1)'!F56</f>
        <v>MMM 2011</v>
      </c>
      <c r="W5" s="10" t="str">
        <f>'(FnCalls 1)'!F57</f>
        <v>MMM 2011</v>
      </c>
      <c r="X5" s="10" t="str">
        <f>'(FnCalls 1)'!F58</f>
        <v>MMM 2011</v>
      </c>
      <c r="Y5" s="181" t="str">
        <f>'(FnCalls 1)'!G56</f>
        <v>Q2 2011</v>
      </c>
    </row>
    <row r="6" spans="1:25" ht="12.75" customHeight="1" x14ac:dyDescent="0.2">
      <c r="A6" s="182" t="str">
        <f>Labels!B295</f>
        <v>Valuation (equity)</v>
      </c>
      <c r="B6" s="202">
        <f>'(Tables)'!C1450+C6/(1+C17)</f>
        <v>389243.21909324068</v>
      </c>
      <c r="C6" s="202">
        <f>'(Tables)'!D1450+D6/(1+D17)</f>
        <v>389243.21909324068</v>
      </c>
      <c r="D6" s="202">
        <f>'(Tables)'!E1450+F6/(1+F17)</f>
        <v>280130.31586743426</v>
      </c>
      <c r="E6" s="184">
        <f>D6</f>
        <v>280130.31586743426</v>
      </c>
      <c r="F6" s="202">
        <f>'(Tables)'!F1450+G6/(1+G17)</f>
        <v>276493.21909324074</v>
      </c>
      <c r="G6" s="202">
        <f>'(Tables)'!G1450+H6/(1+H17)</f>
        <v>169243.21909324074</v>
      </c>
      <c r="H6" s="202">
        <f>'(Tables)'!H1450+J6/(1+J17)</f>
        <v>253243.21909324074</v>
      </c>
      <c r="I6" s="184">
        <f>H6</f>
        <v>253243.21909324074</v>
      </c>
      <c r="J6" s="202">
        <f>'(Tables)'!I1450+K6/(1+K17)</f>
        <v>196213.78948365559</v>
      </c>
      <c r="K6" s="202">
        <f>'(Tables)'!J1450+L6/(1+L17)</f>
        <v>158709.67741935485</v>
      </c>
      <c r="L6" s="202">
        <f>'(Tables)'!K1450+N6/(1+N17)</f>
        <v>0</v>
      </c>
      <c r="M6" s="184">
        <f>L6</f>
        <v>0</v>
      </c>
      <c r="N6" s="202">
        <f>'(Tables)'!L1450+O6/(1+O17)</f>
        <v>0</v>
      </c>
      <c r="O6" s="202">
        <f>'(Tables)'!M1450+P6/(1+P17)</f>
        <v>0</v>
      </c>
      <c r="P6" s="202">
        <f>'(Tables)'!N1450+R6/(1+R17)</f>
        <v>0</v>
      </c>
      <c r="Q6" s="184">
        <f>P6</f>
        <v>0</v>
      </c>
      <c r="R6" s="202">
        <f>'(Tables)'!O1450+S6/(1+S17)</f>
        <v>0</v>
      </c>
      <c r="S6" s="202">
        <f>'(Tables)'!P1450+T6/(1+T17)</f>
        <v>0</v>
      </c>
      <c r="T6" s="202">
        <f>'(Tables)'!Q1450+V6/(1+V17)</f>
        <v>0</v>
      </c>
      <c r="U6" s="184">
        <f>T6</f>
        <v>0</v>
      </c>
      <c r="V6" s="202">
        <f>'(Tables)'!R1450+W6/(1+W17)</f>
        <v>0</v>
      </c>
      <c r="W6" s="202">
        <f>'(Tables)'!S1450+X6/(1+X17)</f>
        <v>0</v>
      </c>
      <c r="X6" s="202">
        <f>'(Tables)'!S1453*B11</f>
        <v>0</v>
      </c>
      <c r="Y6" s="184">
        <f>X6</f>
        <v>0</v>
      </c>
    </row>
    <row r="7" spans="1:25" ht="12.75" customHeight="1" x14ac:dyDescent="0.2">
      <c r="A7" s="97"/>
      <c r="B7" s="6"/>
      <c r="C7" s="6"/>
      <c r="D7" s="6"/>
      <c r="E7" s="97"/>
      <c r="F7" s="6"/>
      <c r="G7" s="6"/>
      <c r="H7" s="6"/>
      <c r="I7" s="97"/>
      <c r="J7" s="6"/>
      <c r="K7" s="6"/>
      <c r="L7" s="6"/>
      <c r="M7" s="97"/>
      <c r="N7" s="6"/>
      <c r="O7" s="6"/>
      <c r="P7" s="6"/>
      <c r="Q7" s="97"/>
      <c r="R7" s="6"/>
      <c r="S7" s="6"/>
      <c r="T7" s="6"/>
      <c r="U7" s="97"/>
      <c r="V7" s="6"/>
      <c r="W7" s="6"/>
      <c r="X7" s="6"/>
      <c r="Y7" s="97"/>
    </row>
    <row r="8" spans="1:25" ht="12.75" customHeight="1" x14ac:dyDescent="0.2">
      <c r="A8" s="185" t="str">
        <f>Labels!B22</f>
        <v>Equity Cash Flow</v>
      </c>
      <c r="B8" s="203">
        <f>CFStmt!B28+Inputs!G432-Inputs!G430</f>
        <v>0</v>
      </c>
      <c r="C8" s="203">
        <f>CFStmt!C28+Inputs!H432-Inputs!H430</f>
        <v>0</v>
      </c>
      <c r="D8" s="203">
        <f>CFStmt!D28+Inputs!I432-Inputs!I430</f>
        <v>109112.90322580645</v>
      </c>
      <c r="E8" s="193">
        <f>SUM(B8:D8)</f>
        <v>109112.90322580645</v>
      </c>
      <c r="F8" s="203">
        <f>CFStmt!F28+Inputs!J432-Inputs!J430</f>
        <v>3637.0967741935456</v>
      </c>
      <c r="G8" s="203">
        <f>CFStmt!G28+Inputs!K432-Inputs!K430</f>
        <v>107250</v>
      </c>
      <c r="H8" s="203">
        <f>CFStmt!H28+Inputs!L432-Inputs!L430</f>
        <v>-84000</v>
      </c>
      <c r="I8" s="193">
        <f>SUM(F8:H8)</f>
        <v>26887.096774193546</v>
      </c>
      <c r="J8" s="203">
        <f>CFStmt!J28+Inputs!M432-Inputs!M430</f>
        <v>57029.429609585146</v>
      </c>
      <c r="K8" s="203">
        <f>CFStmt!K28+Inputs!N432-Inputs!N430</f>
        <v>37504.112064300745</v>
      </c>
      <c r="L8" s="203">
        <f>CFStmt!L28+Inputs!O432-Inputs!O430</f>
        <v>158709.67741935485</v>
      </c>
      <c r="M8" s="193">
        <f>SUM(J8:L8)</f>
        <v>253243.21909324074</v>
      </c>
      <c r="N8" s="203">
        <f>CFStmt!N28+Inputs!P432-Inputs!P430</f>
        <v>0</v>
      </c>
      <c r="O8" s="203">
        <f>CFStmt!O28+Inputs!Q432-Inputs!Q430</f>
        <v>0</v>
      </c>
      <c r="P8" s="203">
        <f>CFStmt!P28+Inputs!R432-Inputs!R430</f>
        <v>0</v>
      </c>
      <c r="Q8" s="193">
        <f>SUM(N8:P8)</f>
        <v>0</v>
      </c>
      <c r="R8" s="203">
        <f>CFStmt!R28+Inputs!S432-Inputs!S430</f>
        <v>0</v>
      </c>
      <c r="S8" s="203">
        <f>CFStmt!S28+Inputs!T432-Inputs!T430</f>
        <v>0</v>
      </c>
      <c r="T8" s="203">
        <f>CFStmt!T28+Inputs!U432-Inputs!U430</f>
        <v>0</v>
      </c>
      <c r="U8" s="193">
        <f>SUM(R8:T8)</f>
        <v>0</v>
      </c>
      <c r="V8" s="203">
        <f>CFStmt!V28+Inputs!V432-Inputs!V430</f>
        <v>0</v>
      </c>
      <c r="W8" s="203">
        <f>CFStmt!W28+Inputs!W432-Inputs!W430</f>
        <v>0</v>
      </c>
      <c r="X8" s="203">
        <f>CFStmt!X28+Inputs!X432-Inputs!X430</f>
        <v>0</v>
      </c>
      <c r="Y8" s="193">
        <f>SUM(V8:X8)</f>
        <v>0</v>
      </c>
    </row>
    <row r="10" spans="1:25" ht="12.75" customHeight="1" x14ac:dyDescent="0.2">
      <c r="A10" s="2" t="str">
        <f>"Future Tail"</f>
        <v>Future Tail</v>
      </c>
    </row>
    <row r="11" spans="1:25" ht="12.75" customHeight="1" x14ac:dyDescent="0.2">
      <c r="A11" s="182" t="str">
        <f>Labels!B282</f>
        <v>Tail Future Value</v>
      </c>
      <c r="B11" s="184">
        <f>IF('(Tables)'!B1456-'(Tables)'!B1459=0,0,AVERAGE(J8:L8,N8:P8,R8:T8,V8:X8)*(1+B12)/('(Tables)'!B1456-'(Tables)'!B1459))</f>
        <v>0</v>
      </c>
    </row>
    <row r="12" spans="1:25" ht="12.75" customHeight="1" x14ac:dyDescent="0.2">
      <c r="A12" s="191" t="str">
        <f>Labels!B284</f>
        <v>Tail Growth Rate (Yr)</v>
      </c>
      <c r="B12" s="210">
        <f>Inputs!F440</f>
        <v>0</v>
      </c>
    </row>
    <row r="13" spans="1:25" ht="12.75" customHeight="1" x14ac:dyDescent="0.2">
      <c r="A13" s="185" t="str">
        <f>Labels!B281</f>
        <v>Tail Discount Rate (Yr)</v>
      </c>
      <c r="B13" s="187">
        <f>Inputs!F441</f>
        <v>0</v>
      </c>
    </row>
    <row r="15" spans="1:25" ht="12.75" customHeight="1" x14ac:dyDescent="0.2">
      <c r="A15" s="464" t="str">
        <f>"Discount Factors"</f>
        <v>Discount Factors</v>
      </c>
      <c r="B15" s="464"/>
    </row>
    <row r="16" spans="1:25" ht="12.75" customHeight="1" x14ac:dyDescent="0.2">
      <c r="B16" s="9" t="str">
        <f>'(FnCalls 1)'!F41</f>
        <v>MMM 2010</v>
      </c>
      <c r="C16" s="10" t="str">
        <f>'(FnCalls 1)'!F42</f>
        <v>MMM 2010</v>
      </c>
      <c r="D16" s="10" t="str">
        <f>'(FnCalls 1)'!F43</f>
        <v>MMM 2010</v>
      </c>
      <c r="E16" s="181" t="str">
        <f>'(FnCalls 1)'!G41</f>
        <v>Q1 2010</v>
      </c>
      <c r="F16" s="10" t="str">
        <f>'(FnCalls 1)'!F44</f>
        <v>MMM 2010</v>
      </c>
      <c r="G16" s="10" t="str">
        <f>'(FnCalls 1)'!F45</f>
        <v>MMM 2010</v>
      </c>
      <c r="H16" s="10" t="str">
        <f>'(FnCalls 1)'!F46</f>
        <v>MMM 2010</v>
      </c>
      <c r="I16" s="181" t="str">
        <f>'(FnCalls 1)'!G44</f>
        <v>Q2 2010</v>
      </c>
      <c r="J16" s="10" t="str">
        <f>'(FnCalls 1)'!F47</f>
        <v>MMM 2010</v>
      </c>
      <c r="K16" s="10" t="str">
        <f>'(FnCalls 1)'!F48</f>
        <v>MMM 2010</v>
      </c>
      <c r="L16" s="10" t="str">
        <f>'(FnCalls 1)'!F49</f>
        <v>MMM 2010</v>
      </c>
      <c r="M16" s="181" t="str">
        <f>'(FnCalls 1)'!G47</f>
        <v>Q3 2010</v>
      </c>
      <c r="N16" s="10" t="str">
        <f>'(FnCalls 1)'!F50</f>
        <v>MMM 2010</v>
      </c>
      <c r="O16" s="10" t="str">
        <f>'(FnCalls 1)'!F51</f>
        <v>MMM 2010</v>
      </c>
      <c r="P16" s="10" t="str">
        <f>'(FnCalls 1)'!F52</f>
        <v>MMM 2010</v>
      </c>
      <c r="Q16" s="181" t="str">
        <f>'(FnCalls 1)'!G50</f>
        <v>Q4 2010</v>
      </c>
      <c r="R16" s="10" t="str">
        <f>'(FnCalls 1)'!F53</f>
        <v>MMM 2011</v>
      </c>
      <c r="S16" s="10" t="str">
        <f>'(FnCalls 1)'!F54</f>
        <v>MMM 2011</v>
      </c>
      <c r="T16" s="10" t="str">
        <f>'(FnCalls 1)'!F55</f>
        <v>MMM 2011</v>
      </c>
      <c r="U16" s="181" t="str">
        <f>'(FnCalls 1)'!G53</f>
        <v>Q1 2011</v>
      </c>
      <c r="V16" s="10" t="str">
        <f>'(FnCalls 1)'!F56</f>
        <v>MMM 2011</v>
      </c>
      <c r="W16" s="10" t="str">
        <f>'(FnCalls 1)'!F57</f>
        <v>MMM 2011</v>
      </c>
      <c r="X16" s="10" t="str">
        <f>'(FnCalls 1)'!F58</f>
        <v>MMM 2011</v>
      </c>
      <c r="Y16" s="181" t="str">
        <f>'(FnCalls 1)'!G56</f>
        <v>Q2 2011</v>
      </c>
    </row>
    <row r="17" spans="1:25" ht="12.75" customHeight="1" x14ac:dyDescent="0.2">
      <c r="A17" s="182" t="str">
        <f>Labels!B62</f>
        <v>Discount Rate</v>
      </c>
      <c r="B17" s="340">
        <f>IF("Direct"="Direct",(1+Inputs!F348)^(1/12)-1,IF("Direct"="CAPM",(1+(0+0*0)*(1-RatioRpt!B34)+Inputs!F340*(1-Inputs!F345)*RatioRpt!B34)^(1/12)-1,0))</f>
        <v>0</v>
      </c>
      <c r="C17" s="340">
        <f>IF("Direct"="Direct",(1+Inputs!G348)^(1/12)-1,IF("Direct"="CAPM",(1+(0+0*0)*(1-RatioRpt!C34)+Inputs!G340*(1-Inputs!G345)*RatioRpt!C34)^(1/12)-1,0))</f>
        <v>0</v>
      </c>
      <c r="D17" s="340">
        <f>IF("Direct"="Direct",(1+Inputs!H348)^(1/12)-1,IF("Direct"="CAPM",(1+(0+0*0)*(1-RatioRpt!D34)+Inputs!H340*(1-Inputs!H345)*RatioRpt!D34)^(1/12)-1,0))</f>
        <v>0</v>
      </c>
      <c r="E17" s="208">
        <f>AVERAGE(B17:D17)</f>
        <v>0</v>
      </c>
      <c r="F17" s="340">
        <f>IF("Direct"="Direct",(1+Inputs!I348)^(1/12)-1,IF("Direct"="CAPM",(1+(0+0*0)*(1-RatioRpt!F34)+Inputs!I340*(1-Inputs!I345)*RatioRpt!F34)^(1/12)-1,0))</f>
        <v>0</v>
      </c>
      <c r="G17" s="340">
        <f>IF("Direct"="Direct",(1+Inputs!J348)^(1/12)-1,IF("Direct"="CAPM",(1+(0+0*0)*(1-RatioRpt!G34)+Inputs!J340*(1-Inputs!J345)*RatioRpt!G34)^(1/12)-1,0))</f>
        <v>0</v>
      </c>
      <c r="H17" s="340">
        <f>IF("Direct"="Direct",(1+Inputs!K348)^(1/12)-1,IF("Direct"="CAPM",(1+(0+0*0)*(1-RatioRpt!H34)+Inputs!K340*(1-Inputs!K345)*RatioRpt!H34)^(1/12)-1,0))</f>
        <v>0</v>
      </c>
      <c r="I17" s="208">
        <f>AVERAGE(F17:H17)</f>
        <v>0</v>
      </c>
      <c r="J17" s="340">
        <f>IF("Direct"="Direct",(1+Inputs!L348)^(1/12)-1,IF("Direct"="CAPM",(1+(0+0*0)*(1-RatioRpt!J34)+Inputs!L340*(1-Inputs!L345)*RatioRpt!J34)^(1/12)-1,0))</f>
        <v>0</v>
      </c>
      <c r="K17" s="340">
        <f>IF("Direct"="Direct",(1+Inputs!M348)^(1/12)-1,IF("Direct"="CAPM",(1+(0+0*0)*(1-RatioRpt!K34)+Inputs!M340*(1-Inputs!M345)*RatioRpt!K34)^(1/12)-1,0))</f>
        <v>0</v>
      </c>
      <c r="L17" s="340">
        <f>IF("Direct"="Direct",(1+Inputs!N348)^(1/12)-1,IF("Direct"="CAPM",(1+(0+0*0)*(1-RatioRpt!L34)+Inputs!N340*(1-Inputs!N345)*RatioRpt!L34)^(1/12)-1,0))</f>
        <v>0</v>
      </c>
      <c r="M17" s="208">
        <f>AVERAGE(J17:L17)</f>
        <v>0</v>
      </c>
      <c r="N17" s="340">
        <f>IF("Direct"="Direct",(1+Inputs!O348)^(1/12)-1,IF("Direct"="CAPM",(1+(0+0*0)*(1-RatioRpt!N34)+Inputs!O340*(1-Inputs!O345)*RatioRpt!N34)^(1/12)-1,0))</f>
        <v>0</v>
      </c>
      <c r="O17" s="340">
        <f>IF("Direct"="Direct",(1+Inputs!P348)^(1/12)-1,IF("Direct"="CAPM",(1+(0+0*0)*(1-RatioRpt!O34)+Inputs!P340*(1-Inputs!P345)*RatioRpt!O34)^(1/12)-1,0))</f>
        <v>0</v>
      </c>
      <c r="P17" s="340">
        <f>IF("Direct"="Direct",(1+Inputs!Q348)^(1/12)-1,IF("Direct"="CAPM",(1+(0+0*0)*(1-RatioRpt!P34)+Inputs!Q340*(1-Inputs!Q345)*RatioRpt!P34)^(1/12)-1,0))</f>
        <v>0</v>
      </c>
      <c r="Q17" s="208">
        <f>AVERAGE(N17:P17)</f>
        <v>0</v>
      </c>
      <c r="R17" s="340">
        <f>IF("Direct"="Direct",(1+Inputs!R348)^(1/12)-1,IF("Direct"="CAPM",(1+(0+0*0)*(1-RatioRpt!R34)+Inputs!R340*(1-Inputs!R345)*RatioRpt!R34)^(1/12)-1,0))</f>
        <v>0</v>
      </c>
      <c r="S17" s="340">
        <f>IF("Direct"="Direct",(1+Inputs!S348)^(1/12)-1,IF("Direct"="CAPM",(1+(0+0*0)*(1-RatioRpt!S34)+Inputs!S340*(1-Inputs!S345)*RatioRpt!S34)^(1/12)-1,0))</f>
        <v>0</v>
      </c>
      <c r="T17" s="340">
        <f>IF("Direct"="Direct",(1+Inputs!T348)^(1/12)-1,IF("Direct"="CAPM",(1+(0+0*0)*(1-RatioRpt!T34)+Inputs!T340*(1-Inputs!T345)*RatioRpt!T34)^(1/12)-1,0))</f>
        <v>0</v>
      </c>
      <c r="U17" s="208">
        <f>AVERAGE(R17:T17)</f>
        <v>0</v>
      </c>
      <c r="V17" s="340">
        <f>IF("Direct"="Direct",(1+Inputs!U348)^(1/12)-1,IF("Direct"="CAPM",(1+(0+0*0)*(1-RatioRpt!V34)+Inputs!U340*(1-Inputs!U345)*RatioRpt!V34)^(1/12)-1,0))</f>
        <v>0</v>
      </c>
      <c r="W17" s="340">
        <f>IF("Direct"="Direct",(1+Inputs!V348)^(1/12)-1,IF("Direct"="CAPM",(1+(0+0*0)*(1-RatioRpt!W34)+Inputs!V340*(1-Inputs!V345)*RatioRpt!W34)^(1/12)-1,0))</f>
        <v>0</v>
      </c>
      <c r="X17" s="340">
        <f>IF("Direct"="Direct",(1+Inputs!W348)^(1/12)-1,IF("Direct"="CAPM",(1+(0+0*0)*(1-RatioRpt!X34)+Inputs!W340*(1-Inputs!W345)*RatioRpt!X34)^(1/12)-1,0))</f>
        <v>0</v>
      </c>
      <c r="Y17" s="208">
        <f>AVERAGE(V17:X17)</f>
        <v>0</v>
      </c>
    </row>
    <row r="18" spans="1:25" ht="12.75" customHeight="1" x14ac:dyDescent="0.2">
      <c r="A18" s="185" t="str">
        <f>Labels!B61</f>
        <v>Discount Factor</v>
      </c>
      <c r="B18" s="341">
        <f>'(Tables)'!B1496*(1+B17)</f>
        <v>1</v>
      </c>
      <c r="C18" s="341">
        <f>B18*(1+C17)</f>
        <v>1</v>
      </c>
      <c r="D18" s="341">
        <f>C18*(1+D17)</f>
        <v>1</v>
      </c>
      <c r="E18" s="215">
        <f>D18</f>
        <v>1</v>
      </c>
      <c r="F18" s="341">
        <f>D18*(1+F17)</f>
        <v>1</v>
      </c>
      <c r="G18" s="341">
        <f>F18*(1+G17)</f>
        <v>1</v>
      </c>
      <c r="H18" s="341">
        <f>G18*(1+H17)</f>
        <v>1</v>
      </c>
      <c r="I18" s="215">
        <f>H18</f>
        <v>1</v>
      </c>
      <c r="J18" s="341">
        <f>H18*(1+J17)</f>
        <v>1</v>
      </c>
      <c r="K18" s="341">
        <f>J18*(1+K17)</f>
        <v>1</v>
      </c>
      <c r="L18" s="341">
        <f>K18*(1+L17)</f>
        <v>1</v>
      </c>
      <c r="M18" s="215">
        <f>L18</f>
        <v>1</v>
      </c>
      <c r="N18" s="341">
        <f>L18*(1+N17)</f>
        <v>1</v>
      </c>
      <c r="O18" s="341">
        <f>N18*(1+O17)</f>
        <v>1</v>
      </c>
      <c r="P18" s="341">
        <f>O18*(1+P17)</f>
        <v>1</v>
      </c>
      <c r="Q18" s="215">
        <f>P18</f>
        <v>1</v>
      </c>
      <c r="R18" s="341">
        <f>P18*(1+R17)</f>
        <v>1</v>
      </c>
      <c r="S18" s="341">
        <f>R18*(1+S17)</f>
        <v>1</v>
      </c>
      <c r="T18" s="341">
        <f>S18*(1+T17)</f>
        <v>1</v>
      </c>
      <c r="U18" s="215">
        <f>T18</f>
        <v>1</v>
      </c>
      <c r="V18" s="341">
        <f>T18*(1+V17)</f>
        <v>1</v>
      </c>
      <c r="W18" s="341">
        <f>V18*(1+W17)</f>
        <v>1</v>
      </c>
      <c r="X18" s="341">
        <f>W18*(1+X17)</f>
        <v>1</v>
      </c>
      <c r="Y18" s="215">
        <f>X18</f>
        <v>1</v>
      </c>
    </row>
    <row r="20" spans="1:25" ht="12.75" customHeight="1" x14ac:dyDescent="0.2">
      <c r="A20" t="s">
        <v>3402</v>
      </c>
      <c r="B20" t="s">
        <v>3402</v>
      </c>
      <c r="C20" t="s">
        <v>3402</v>
      </c>
      <c r="D20" t="s">
        <v>3402</v>
      </c>
      <c r="E20" t="s">
        <v>3402</v>
      </c>
      <c r="F20" t="s">
        <v>3402</v>
      </c>
      <c r="G20" t="s">
        <v>3402</v>
      </c>
      <c r="H20" t="s">
        <v>3402</v>
      </c>
      <c r="I20" t="s">
        <v>3402</v>
      </c>
      <c r="J20" t="s">
        <v>3402</v>
      </c>
      <c r="K20" t="s">
        <v>3402</v>
      </c>
      <c r="L20" t="s">
        <v>3402</v>
      </c>
      <c r="M20" t="s">
        <v>3402</v>
      </c>
      <c r="N20" t="s">
        <v>3402</v>
      </c>
      <c r="O20" t="s">
        <v>3402</v>
      </c>
      <c r="P20" t="s">
        <v>3402</v>
      </c>
      <c r="Q20" t="s">
        <v>3402</v>
      </c>
      <c r="R20" t="s">
        <v>3402</v>
      </c>
      <c r="S20" t="s">
        <v>3402</v>
      </c>
      <c r="T20" t="s">
        <v>3402</v>
      </c>
      <c r="U20" t="s">
        <v>3402</v>
      </c>
      <c r="V20" t="s">
        <v>3402</v>
      </c>
      <c r="W20" t="s">
        <v>3402</v>
      </c>
      <c r="X20" t="s">
        <v>3402</v>
      </c>
      <c r="Y20" t="s">
        <v>3402</v>
      </c>
    </row>
  </sheetData>
  <mergeCells count="5">
    <mergeCell ref="A1:C1"/>
    <mergeCell ref="A2:C2"/>
    <mergeCell ref="A3:C3"/>
    <mergeCell ref="A4:C4"/>
    <mergeCell ref="A15:B15"/>
  </mergeCells>
  <pageMargins left="0.25" right="0.25" top="0.5" bottom="0.5" header="0.5" footer="0.5"/>
  <pageSetup paperSize="9" fitToHeight="32767" orientation="landscape" horizontalDpi="300" verticalDpi="300"/>
  <headerFooter alignWithMargins="0"/>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pageSetUpPr fitToPage="1"/>
  </sheetPr>
  <dimension ref="A1:E622"/>
  <sheetViews>
    <sheetView zoomScaleNormal="100" workbookViewId="0">
      <selection activeCell="A2" sqref="A2:C2"/>
    </sheetView>
  </sheetViews>
  <sheetFormatPr defaultRowHeight="12.75" customHeight="1" x14ac:dyDescent="0.2"/>
  <cols>
    <col min="1" max="1" width="38.28515625" customWidth="1"/>
    <col min="2" max="2" width="28" customWidth="1"/>
    <col min="3" max="3" width="48" customWidth="1"/>
    <col min="4" max="4" width="12.42578125" customWidth="1"/>
    <col min="5" max="5" width="255.7109375" customWidth="1"/>
  </cols>
  <sheetData>
    <row r="1" spans="1:5" ht="12.75" customHeight="1" x14ac:dyDescent="0.2">
      <c r="A1" s="463" t="str">
        <f>Inputs!F7</f>
        <v xml:space="preserve"> </v>
      </c>
      <c r="B1" s="463"/>
      <c r="C1" s="463"/>
    </row>
    <row r="2" spans="1:5" ht="12.75" customHeight="1" x14ac:dyDescent="0.2">
      <c r="A2" s="463" t="e">
        <f>TEXT('(FnCalls 1)'!A41,"m/d/yyyy")&amp;" to "&amp;TEXT('(FnCalls 1)'!A59-1,"m/d/yyyy")</f>
        <v>#VALUE!</v>
      </c>
      <c r="B2" s="463"/>
      <c r="C2" s="463"/>
    </row>
    <row r="3" spans="1:5" ht="12.75" customHeight="1" x14ac:dyDescent="0.2">
      <c r="A3" s="463" t="str">
        <f>"Model Formulas"</f>
        <v>Model Formulas</v>
      </c>
      <c r="B3" s="463"/>
      <c r="C3" s="463"/>
    </row>
    <row r="4" spans="1:5" ht="12.75" customHeight="1" x14ac:dyDescent="0.2">
      <c r="A4" s="463" t="str">
        <f>""</f>
        <v/>
      </c>
      <c r="B4" s="463"/>
      <c r="C4" s="463"/>
    </row>
    <row r="5" spans="1:5" ht="12.75" customHeight="1" x14ac:dyDescent="0.2">
      <c r="A5" s="342" t="s">
        <v>1192</v>
      </c>
      <c r="B5" s="342" t="s">
        <v>616</v>
      </c>
      <c r="C5" s="342" t="s">
        <v>397</v>
      </c>
      <c r="D5" s="342"/>
      <c r="E5" s="342" t="s">
        <v>822</v>
      </c>
    </row>
    <row r="6" spans="1:5" ht="12.75" customHeight="1" x14ac:dyDescent="0.2">
      <c r="A6" s="343" t="s">
        <v>2685</v>
      </c>
      <c r="B6" s="343" t="str">
        <f>Labels!B6</f>
        <v>Accts Payable Days</v>
      </c>
      <c r="C6" s="344" t="s">
        <v>2377</v>
      </c>
      <c r="D6" s="345" t="s">
        <v>24</v>
      </c>
      <c r="E6" s="346" t="s">
        <v>4337</v>
      </c>
    </row>
    <row r="7" spans="1:5" ht="12.75" customHeight="1" x14ac:dyDescent="0.2">
      <c r="A7" s="6"/>
      <c r="B7" s="6"/>
      <c r="C7" s="347"/>
      <c r="D7" s="348"/>
      <c r="E7" s="6"/>
    </row>
    <row r="8" spans="1:5" ht="12.75" customHeight="1" x14ac:dyDescent="0.2">
      <c r="A8" s="343" t="s">
        <v>5021</v>
      </c>
      <c r="B8" s="343" t="str">
        <f>Labels!B7</f>
        <v>Accts Pay Targ Days</v>
      </c>
      <c r="C8" s="344" t="s">
        <v>2377</v>
      </c>
      <c r="D8" s="345" t="s">
        <v>1162</v>
      </c>
      <c r="E8" s="346" t="s">
        <v>4963</v>
      </c>
    </row>
    <row r="9" spans="1:5" ht="12.75" customHeight="1" x14ac:dyDescent="0.2">
      <c r="A9" s="6"/>
      <c r="B9" s="6"/>
      <c r="C9" s="347"/>
      <c r="D9" s="348"/>
      <c r="E9" s="6"/>
    </row>
    <row r="10" spans="1:5" ht="12.75" customHeight="1" x14ac:dyDescent="0.2">
      <c r="A10" s="343" t="s">
        <v>253</v>
      </c>
      <c r="B10" s="343" t="str">
        <f>Labels!B8</f>
        <v>Accts Payable</v>
      </c>
      <c r="C10" s="344" t="s">
        <v>2377</v>
      </c>
      <c r="D10" s="345" t="s">
        <v>1162</v>
      </c>
      <c r="E10" s="346" t="s">
        <v>2993</v>
      </c>
    </row>
    <row r="11" spans="1:5" ht="12.75" customHeight="1" x14ac:dyDescent="0.2">
      <c r="A11" s="6"/>
      <c r="B11" s="6"/>
      <c r="C11" s="347"/>
      <c r="D11" s="348"/>
      <c r="E11" s="6"/>
    </row>
    <row r="12" spans="1:5" ht="12.75" customHeight="1" x14ac:dyDescent="0.2">
      <c r="A12" s="343" t="s">
        <v>5887</v>
      </c>
      <c r="B12" s="343" t="str">
        <f>Labels!B9</f>
        <v>Initial Accts Payable</v>
      </c>
      <c r="C12" s="344"/>
      <c r="D12" s="345"/>
      <c r="E12" s="346"/>
    </row>
    <row r="13" spans="1:5" ht="12.75" customHeight="1" x14ac:dyDescent="0.2">
      <c r="A13" s="6"/>
      <c r="B13" s="6"/>
      <c r="C13" s="347"/>
      <c r="D13" s="348"/>
      <c r="E13" s="6"/>
    </row>
    <row r="14" spans="1:5" ht="12.75" customHeight="1" x14ac:dyDescent="0.2">
      <c r="A14" s="343" t="s">
        <v>2662</v>
      </c>
      <c r="B14" s="343" t="str">
        <f>Labels!B10</f>
        <v>Accts Receivable Days</v>
      </c>
      <c r="C14" s="344" t="s">
        <v>79</v>
      </c>
      <c r="D14" s="345" t="s">
        <v>1162</v>
      </c>
      <c r="E14" s="346" t="s">
        <v>3247</v>
      </c>
    </row>
    <row r="15" spans="1:5" ht="12.75" customHeight="1" x14ac:dyDescent="0.2">
      <c r="A15" s="6"/>
      <c r="B15" s="6"/>
      <c r="C15" s="347"/>
      <c r="D15" s="348"/>
      <c r="E15" s="6"/>
    </row>
    <row r="16" spans="1:5" ht="12.75" customHeight="1" x14ac:dyDescent="0.2">
      <c r="A16" s="343" t="s">
        <v>4816</v>
      </c>
      <c r="B16" s="343" t="str">
        <f>Labels!B11</f>
        <v>Accounts Receivable</v>
      </c>
      <c r="C16" s="344" t="s">
        <v>79</v>
      </c>
      <c r="D16" s="345" t="s">
        <v>1162</v>
      </c>
      <c r="E16" s="346" t="s">
        <v>1216</v>
      </c>
    </row>
    <row r="17" spans="1:5" ht="12.75" customHeight="1" x14ac:dyDescent="0.2">
      <c r="A17" s="6"/>
      <c r="B17" s="6"/>
      <c r="C17" s="347"/>
      <c r="D17" s="348"/>
      <c r="E17" s="6"/>
    </row>
    <row r="18" spans="1:5" ht="12.75" customHeight="1" x14ac:dyDescent="0.2">
      <c r="A18" s="343" t="s">
        <v>4222</v>
      </c>
      <c r="B18" s="343" t="str">
        <f>Labels!B12</f>
        <v>Initial Accts Receivable</v>
      </c>
      <c r="C18" s="344"/>
      <c r="D18" s="345"/>
      <c r="E18" s="346"/>
    </row>
    <row r="19" spans="1:5" ht="12.75" customHeight="1" x14ac:dyDescent="0.2">
      <c r="A19" s="6"/>
      <c r="B19" s="6"/>
      <c r="C19" s="347"/>
      <c r="D19" s="348"/>
      <c r="E19" s="6"/>
    </row>
    <row r="20" spans="1:5" ht="12.75" customHeight="1" x14ac:dyDescent="0.2">
      <c r="A20" s="343" t="s">
        <v>3575</v>
      </c>
      <c r="B20" s="343" t="str">
        <f>Labels!B13</f>
        <v>Asset Turnover</v>
      </c>
      <c r="C20" s="344" t="s">
        <v>79</v>
      </c>
      <c r="D20" s="345" t="s">
        <v>24</v>
      </c>
      <c r="E20" s="346" t="s">
        <v>1629</v>
      </c>
    </row>
    <row r="21" spans="1:5" ht="12.75" customHeight="1" x14ac:dyDescent="0.2">
      <c r="A21" s="6"/>
      <c r="B21" s="6"/>
      <c r="C21" s="347"/>
      <c r="D21" s="348"/>
      <c r="E21" s="6"/>
    </row>
    <row r="22" spans="1:5" ht="12.75" customHeight="1" x14ac:dyDescent="0.2">
      <c r="A22" s="343" t="s">
        <v>4300</v>
      </c>
      <c r="B22" s="343" t="str">
        <f>Labels!B14</f>
        <v>Assets</v>
      </c>
      <c r="C22" s="344" t="s">
        <v>2463</v>
      </c>
      <c r="D22" s="345" t="s">
        <v>1162</v>
      </c>
      <c r="E22" s="346" t="s">
        <v>2954</v>
      </c>
    </row>
    <row r="23" spans="1:5" ht="12.75" customHeight="1" x14ac:dyDescent="0.2">
      <c r="A23" s="343"/>
      <c r="B23" s="343"/>
      <c r="C23" s="344" t="s">
        <v>1260</v>
      </c>
      <c r="D23" s="345" t="s">
        <v>1162</v>
      </c>
      <c r="E23" s="346" t="s">
        <v>4776</v>
      </c>
    </row>
    <row r="24" spans="1:5" ht="12.75" customHeight="1" x14ac:dyDescent="0.2">
      <c r="A24" s="343"/>
      <c r="B24" s="343"/>
      <c r="C24" s="344" t="s">
        <v>855</v>
      </c>
      <c r="D24" s="345" t="s">
        <v>1162</v>
      </c>
      <c r="E24" s="346" t="s">
        <v>2015</v>
      </c>
    </row>
    <row r="25" spans="1:5" ht="12.75" customHeight="1" x14ac:dyDescent="0.2">
      <c r="A25" s="343"/>
      <c r="B25" s="343"/>
      <c r="C25" s="344" t="s">
        <v>1819</v>
      </c>
      <c r="D25" s="345" t="s">
        <v>1162</v>
      </c>
      <c r="E25" s="346" t="s">
        <v>4816</v>
      </c>
    </row>
    <row r="26" spans="1:5" ht="12.75" customHeight="1" x14ac:dyDescent="0.2">
      <c r="A26" s="6"/>
      <c r="B26" s="6"/>
      <c r="C26" s="347"/>
      <c r="D26" s="348"/>
      <c r="E26" s="6"/>
    </row>
    <row r="27" spans="1:5" ht="12.75" customHeight="1" x14ac:dyDescent="0.2">
      <c r="A27" s="343" t="s">
        <v>2657</v>
      </c>
      <c r="B27" s="343" t="str">
        <f>Labels!B15</f>
        <v>Bad Debt Expense</v>
      </c>
      <c r="C27" s="344" t="s">
        <v>79</v>
      </c>
      <c r="D27" s="345" t="s">
        <v>1162</v>
      </c>
      <c r="E27" s="346" t="s">
        <v>594</v>
      </c>
    </row>
    <row r="28" spans="1:5" ht="12.75" customHeight="1" x14ac:dyDescent="0.2">
      <c r="A28" s="6"/>
      <c r="B28" s="6"/>
      <c r="C28" s="347"/>
      <c r="D28" s="348"/>
      <c r="E28" s="6"/>
    </row>
    <row r="29" spans="1:5" ht="12.75" customHeight="1" x14ac:dyDescent="0.2">
      <c r="A29" s="343" t="s">
        <v>1032</v>
      </c>
      <c r="B29" s="343" t="str">
        <f>Labels!B16</f>
        <v>Bad Debt %</v>
      </c>
      <c r="C29" s="344" t="s">
        <v>79</v>
      </c>
      <c r="D29" s="345" t="s">
        <v>1162</v>
      </c>
      <c r="E29" s="346" t="s">
        <v>1246</v>
      </c>
    </row>
    <row r="30" spans="1:5" ht="12.75" customHeight="1" x14ac:dyDescent="0.2">
      <c r="A30" s="6"/>
      <c r="B30" s="6"/>
      <c r="C30" s="347"/>
      <c r="D30" s="348"/>
      <c r="E30" s="6"/>
    </row>
    <row r="31" spans="1:5" ht="12.75" customHeight="1" x14ac:dyDescent="0.2">
      <c r="A31" s="343" t="s">
        <v>4533</v>
      </c>
      <c r="B31" s="343" t="str">
        <f>Labels!B17</f>
        <v>Balance Check</v>
      </c>
      <c r="C31" s="344" t="s">
        <v>79</v>
      </c>
      <c r="D31" s="345" t="s">
        <v>1162</v>
      </c>
      <c r="E31" s="346" t="s">
        <v>3951</v>
      </c>
    </row>
    <row r="32" spans="1:5" ht="12.75" customHeight="1" x14ac:dyDescent="0.2">
      <c r="A32" s="6"/>
      <c r="B32" s="6"/>
      <c r="C32" s="347"/>
      <c r="D32" s="348"/>
      <c r="E32" s="6"/>
    </row>
    <row r="33" spans="1:5" ht="12.75" customHeight="1" x14ac:dyDescent="0.2">
      <c r="A33" s="343" t="s">
        <v>2015</v>
      </c>
      <c r="B33" s="343" t="str">
        <f>Labels!B18</f>
        <v>Ending Cash</v>
      </c>
      <c r="C33" s="344" t="s">
        <v>79</v>
      </c>
      <c r="D33" s="345" t="s">
        <v>1162</v>
      </c>
      <c r="E33" s="346" t="s">
        <v>3456</v>
      </c>
    </row>
    <row r="34" spans="1:5" ht="12.75" customHeight="1" x14ac:dyDescent="0.2">
      <c r="A34" s="6"/>
      <c r="B34" s="6"/>
      <c r="C34" s="347"/>
      <c r="D34" s="348"/>
      <c r="E34" s="6"/>
    </row>
    <row r="35" spans="1:5" ht="12.75" customHeight="1" x14ac:dyDescent="0.2">
      <c r="A35" s="343" t="s">
        <v>3469</v>
      </c>
      <c r="B35" s="343" t="str">
        <f>Labels!B19</f>
        <v>Cash Flow</v>
      </c>
      <c r="C35" s="344" t="s">
        <v>79</v>
      </c>
      <c r="D35" s="345" t="s">
        <v>1162</v>
      </c>
      <c r="E35" s="346" t="s">
        <v>1776</v>
      </c>
    </row>
    <row r="36" spans="1:5" ht="12.75" customHeight="1" x14ac:dyDescent="0.2">
      <c r="A36" s="6"/>
      <c r="B36" s="6"/>
      <c r="C36" s="347"/>
      <c r="D36" s="348"/>
      <c r="E36" s="6"/>
    </row>
    <row r="37" spans="1:5" ht="12.75" customHeight="1" x14ac:dyDescent="0.2">
      <c r="A37" s="343" t="s">
        <v>316</v>
      </c>
      <c r="B37" s="343" t="str">
        <f>Labels!B20</f>
        <v>Cash Flow Check</v>
      </c>
      <c r="C37" s="344" t="s">
        <v>79</v>
      </c>
      <c r="D37" s="345" t="s">
        <v>1162</v>
      </c>
      <c r="E37" s="346" t="s">
        <v>4509</v>
      </c>
    </row>
    <row r="38" spans="1:5" ht="12.75" customHeight="1" x14ac:dyDescent="0.2">
      <c r="A38" s="6"/>
      <c r="B38" s="6"/>
      <c r="C38" s="347"/>
      <c r="D38" s="348"/>
      <c r="E38" s="6"/>
    </row>
    <row r="39" spans="1:5" ht="12.75" customHeight="1" x14ac:dyDescent="0.2">
      <c r="A39" s="343" t="s">
        <v>4380</v>
      </c>
      <c r="B39" s="343" t="str">
        <f>Labels!B21</f>
        <v>Expected Equity Cash Flow</v>
      </c>
      <c r="C39" s="344" t="s">
        <v>79</v>
      </c>
      <c r="D39" s="345" t="s">
        <v>1162</v>
      </c>
      <c r="E39" s="346" t="s">
        <v>2186</v>
      </c>
    </row>
    <row r="40" spans="1:5" ht="12.75" customHeight="1" x14ac:dyDescent="0.2">
      <c r="A40" s="6"/>
      <c r="B40" s="6"/>
      <c r="C40" s="347"/>
      <c r="D40" s="348"/>
      <c r="E40" s="6"/>
    </row>
    <row r="41" spans="1:5" ht="12.75" customHeight="1" x14ac:dyDescent="0.2">
      <c r="A41" s="343" t="s">
        <v>1271</v>
      </c>
      <c r="B41" s="343" t="str">
        <f>Labels!B22</f>
        <v>Equity Cash Flow</v>
      </c>
      <c r="C41" s="344" t="s">
        <v>79</v>
      </c>
      <c r="D41" s="345" t="s">
        <v>1162</v>
      </c>
      <c r="E41" s="346" t="s">
        <v>4260</v>
      </c>
    </row>
    <row r="42" spans="1:5" ht="12.75" customHeight="1" x14ac:dyDescent="0.2">
      <c r="A42" s="6"/>
      <c r="B42" s="6"/>
      <c r="C42" s="347"/>
      <c r="D42" s="348"/>
      <c r="E42" s="6"/>
    </row>
    <row r="43" spans="1:5" ht="12.75" customHeight="1" x14ac:dyDescent="0.2">
      <c r="A43" s="343" t="s">
        <v>4297</v>
      </c>
      <c r="B43" s="343" t="str">
        <f>Labels!B23</f>
        <v>Cash Flow Expectation Factor</v>
      </c>
      <c r="C43" s="344" t="s">
        <v>79</v>
      </c>
      <c r="D43" s="345" t="s">
        <v>1162</v>
      </c>
      <c r="E43" s="346" t="s">
        <v>2637</v>
      </c>
    </row>
    <row r="44" spans="1:5" ht="12.75" customHeight="1" x14ac:dyDescent="0.2">
      <c r="A44" s="6"/>
      <c r="B44" s="6"/>
      <c r="C44" s="347"/>
      <c r="D44" s="348"/>
      <c r="E44" s="6"/>
    </row>
    <row r="45" spans="1:5" ht="12.75" customHeight="1" x14ac:dyDescent="0.2">
      <c r="A45" s="343" t="s">
        <v>4270</v>
      </c>
      <c r="B45" s="343" t="str">
        <f>Labels!B24</f>
        <v>Cash Flow Expect Factor Future</v>
      </c>
      <c r="C45" s="344" t="s">
        <v>79</v>
      </c>
      <c r="D45" s="345" t="s">
        <v>1162</v>
      </c>
      <c r="E45" s="346" t="s">
        <v>4722</v>
      </c>
    </row>
    <row r="46" spans="1:5" ht="12.75" customHeight="1" x14ac:dyDescent="0.2">
      <c r="A46" s="6"/>
      <c r="B46" s="6"/>
      <c r="C46" s="347"/>
      <c r="D46" s="348"/>
      <c r="E46" s="6"/>
    </row>
    <row r="47" spans="1:5" ht="12.75" customHeight="1" x14ac:dyDescent="0.2">
      <c r="A47" s="343" t="s">
        <v>4330</v>
      </c>
      <c r="B47" s="343" t="str">
        <f>Labels!B25</f>
        <v>Operating Cash Flow</v>
      </c>
      <c r="C47" s="344" t="s">
        <v>79</v>
      </c>
      <c r="D47" s="345" t="s">
        <v>1162</v>
      </c>
      <c r="E47" s="346" t="s">
        <v>4289</v>
      </c>
    </row>
    <row r="48" spans="1:5" ht="12.75" customHeight="1" x14ac:dyDescent="0.2">
      <c r="A48" s="6"/>
      <c r="B48" s="6"/>
      <c r="C48" s="347"/>
      <c r="D48" s="348"/>
      <c r="E48" s="6"/>
    </row>
    <row r="49" spans="1:5" ht="12.75" customHeight="1" x14ac:dyDescent="0.2">
      <c r="A49" s="343" t="s">
        <v>5377</v>
      </c>
      <c r="B49" s="343" t="str">
        <f>Labels!B26</f>
        <v>Expected Operating Cash Flow</v>
      </c>
      <c r="C49" s="344" t="s">
        <v>79</v>
      </c>
      <c r="D49" s="345" t="s">
        <v>1162</v>
      </c>
      <c r="E49" s="346" t="s">
        <v>3038</v>
      </c>
    </row>
    <row r="50" spans="1:5" ht="12.75" customHeight="1" x14ac:dyDescent="0.2">
      <c r="A50" s="6"/>
      <c r="B50" s="6"/>
      <c r="C50" s="347"/>
      <c r="D50" s="348"/>
      <c r="E50" s="6"/>
    </row>
    <row r="51" spans="1:5" ht="12.75" customHeight="1" x14ac:dyDescent="0.2">
      <c r="A51" s="343" t="s">
        <v>2194</v>
      </c>
      <c r="B51" s="343" t="str">
        <f>Labels!B27</f>
        <v>Initial_Cash</v>
      </c>
      <c r="C51" s="344"/>
      <c r="D51" s="345"/>
      <c r="E51" s="346"/>
    </row>
    <row r="52" spans="1:5" ht="12.75" customHeight="1" x14ac:dyDescent="0.2">
      <c r="A52" s="6"/>
      <c r="B52" s="6"/>
      <c r="C52" s="347"/>
      <c r="D52" s="348"/>
      <c r="E52" s="6"/>
    </row>
    <row r="53" spans="1:5" ht="12.75" customHeight="1" x14ac:dyDescent="0.2">
      <c r="A53" s="343" t="s">
        <v>1469</v>
      </c>
      <c r="B53" s="343" t="str">
        <f>Labels!B28</f>
        <v>Cash No Short Debt</v>
      </c>
      <c r="C53" s="344" t="s">
        <v>79</v>
      </c>
      <c r="D53" s="345" t="s">
        <v>1162</v>
      </c>
      <c r="E53" s="346" t="s">
        <v>0</v>
      </c>
    </row>
    <row r="54" spans="1:5" ht="12.75" customHeight="1" x14ac:dyDescent="0.2">
      <c r="A54" s="6"/>
      <c r="B54" s="6"/>
      <c r="C54" s="347"/>
      <c r="D54" s="348"/>
      <c r="E54" s="6"/>
    </row>
    <row r="55" spans="1:5" ht="12.75" customHeight="1" x14ac:dyDescent="0.2">
      <c r="A55" s="343" t="s">
        <v>2643</v>
      </c>
      <c r="B55" s="343" t="str">
        <f>Labels!B29</f>
        <v>Total Sources of Cash</v>
      </c>
      <c r="C55" s="344" t="s">
        <v>79</v>
      </c>
      <c r="D55" s="345" t="s">
        <v>1162</v>
      </c>
      <c r="E55" s="346" t="s">
        <v>270</v>
      </c>
    </row>
    <row r="56" spans="1:5" ht="12.75" customHeight="1" x14ac:dyDescent="0.2">
      <c r="A56" s="6"/>
      <c r="B56" s="6"/>
      <c r="C56" s="347"/>
      <c r="D56" s="348"/>
      <c r="E56" s="6"/>
    </row>
    <row r="57" spans="1:5" ht="12.75" customHeight="1" x14ac:dyDescent="0.2">
      <c r="A57" s="343" t="s">
        <v>3972</v>
      </c>
      <c r="B57" s="343" t="str">
        <f>Labels!B30</f>
        <v>Starting Cash</v>
      </c>
      <c r="C57" s="344" t="s">
        <v>79</v>
      </c>
      <c r="D57" s="345" t="s">
        <v>1162</v>
      </c>
      <c r="E57" s="346" t="s">
        <v>53</v>
      </c>
    </row>
    <row r="58" spans="1:5" ht="12.75" customHeight="1" x14ac:dyDescent="0.2">
      <c r="A58" s="6"/>
      <c r="B58" s="6"/>
      <c r="C58" s="347"/>
      <c r="D58" s="348"/>
      <c r="E58" s="6"/>
    </row>
    <row r="59" spans="1:5" ht="12.75" customHeight="1" x14ac:dyDescent="0.2">
      <c r="A59" s="343" t="s">
        <v>4843</v>
      </c>
      <c r="B59" s="343" t="str">
        <f>Labels!B31</f>
        <v>Cash Target Days</v>
      </c>
      <c r="C59" s="344" t="s">
        <v>79</v>
      </c>
      <c r="D59" s="345" t="s">
        <v>1162</v>
      </c>
      <c r="E59" s="346" t="s">
        <v>4963</v>
      </c>
    </row>
    <row r="60" spans="1:5" ht="12.75" customHeight="1" x14ac:dyDescent="0.2">
      <c r="A60" s="6"/>
      <c r="B60" s="6"/>
      <c r="C60" s="347"/>
      <c r="D60" s="348"/>
      <c r="E60" s="6"/>
    </row>
    <row r="61" spans="1:5" ht="12.75" customHeight="1" x14ac:dyDescent="0.2">
      <c r="A61" s="343" t="s">
        <v>5523</v>
      </c>
      <c r="B61" s="343" t="str">
        <f>Labels!B32</f>
        <v>Total Uses of Cash</v>
      </c>
      <c r="C61" s="344" t="s">
        <v>79</v>
      </c>
      <c r="D61" s="345" t="s">
        <v>1162</v>
      </c>
      <c r="E61" s="346" t="s">
        <v>1287</v>
      </c>
    </row>
    <row r="62" spans="1:5" ht="12.75" customHeight="1" x14ac:dyDescent="0.2">
      <c r="A62" s="6"/>
      <c r="B62" s="6"/>
      <c r="C62" s="347"/>
      <c r="D62" s="348"/>
      <c r="E62" s="6"/>
    </row>
    <row r="63" spans="1:5" ht="12.75" customHeight="1" x14ac:dyDescent="0.2">
      <c r="A63" s="343" t="s">
        <v>696</v>
      </c>
      <c r="B63" s="343" t="str">
        <f>Labels!B33</f>
        <v>Channels_Dim</v>
      </c>
      <c r="C63" s="344" t="s">
        <v>415</v>
      </c>
      <c r="D63" s="345" t="s">
        <v>1162</v>
      </c>
      <c r="E63" s="346" t="s">
        <v>1995</v>
      </c>
    </row>
    <row r="64" spans="1:5" ht="12.75" customHeight="1" x14ac:dyDescent="0.2">
      <c r="A64" s="6"/>
      <c r="B64" s="6"/>
      <c r="C64" s="347"/>
      <c r="D64" s="348"/>
      <c r="E64" s="6"/>
    </row>
    <row r="65" spans="1:5" ht="12.75" customHeight="1" x14ac:dyDescent="0.2">
      <c r="A65" s="343" t="s">
        <v>364</v>
      </c>
      <c r="B65" s="343" t="str">
        <f>Labels!B34</f>
        <v>Chg Accts Pay</v>
      </c>
      <c r="C65" s="344" t="s">
        <v>79</v>
      </c>
      <c r="D65" s="345" t="s">
        <v>1162</v>
      </c>
      <c r="E65" s="346" t="s">
        <v>1214</v>
      </c>
    </row>
    <row r="66" spans="1:5" ht="12.75" customHeight="1" x14ac:dyDescent="0.2">
      <c r="A66" s="6"/>
      <c r="B66" s="6"/>
      <c r="C66" s="347"/>
      <c r="D66" s="348"/>
      <c r="E66" s="6"/>
    </row>
    <row r="67" spans="1:5" ht="12.75" customHeight="1" x14ac:dyDescent="0.2">
      <c r="A67" s="343" t="s">
        <v>4639</v>
      </c>
      <c r="B67" s="343" t="str">
        <f>Labels!B35</f>
        <v>Chg Accts Rec</v>
      </c>
      <c r="C67" s="344" t="s">
        <v>79</v>
      </c>
      <c r="D67" s="345" t="s">
        <v>1162</v>
      </c>
      <c r="E67" s="346" t="s">
        <v>5433</v>
      </c>
    </row>
    <row r="68" spans="1:5" ht="12.75" customHeight="1" x14ac:dyDescent="0.2">
      <c r="A68" s="6"/>
      <c r="B68" s="6"/>
      <c r="C68" s="347"/>
      <c r="D68" s="348"/>
      <c r="E68" s="6"/>
    </row>
    <row r="69" spans="1:5" ht="12.75" customHeight="1" x14ac:dyDescent="0.2">
      <c r="A69" s="343" t="s">
        <v>5223</v>
      </c>
      <c r="B69" s="343" t="str">
        <f>Labels!B36</f>
        <v>Chg Bond Principal</v>
      </c>
      <c r="C69" s="344" t="s">
        <v>3580</v>
      </c>
      <c r="D69" s="345" t="s">
        <v>1162</v>
      </c>
      <c r="E69" s="346" t="s">
        <v>4014</v>
      </c>
    </row>
    <row r="70" spans="1:5" ht="12.75" customHeight="1" x14ac:dyDescent="0.2">
      <c r="A70" s="6"/>
      <c r="B70" s="6"/>
      <c r="C70" s="347"/>
      <c r="D70" s="348"/>
      <c r="E70" s="6"/>
    </row>
    <row r="71" spans="1:5" ht="12.75" customHeight="1" x14ac:dyDescent="0.2">
      <c r="A71" s="343" t="s">
        <v>4987</v>
      </c>
      <c r="B71" s="343" t="str">
        <f>Labels!B37</f>
        <v>Chg Bond Principal</v>
      </c>
      <c r="C71" s="344" t="s">
        <v>3580</v>
      </c>
      <c r="D71" s="345" t="s">
        <v>1162</v>
      </c>
      <c r="E71" s="346" t="s">
        <v>5223</v>
      </c>
    </row>
    <row r="72" spans="1:5" ht="12.75" customHeight="1" x14ac:dyDescent="0.2">
      <c r="A72" s="6"/>
      <c r="B72" s="6"/>
      <c r="C72" s="347"/>
      <c r="D72" s="348"/>
      <c r="E72" s="6"/>
    </row>
    <row r="73" spans="1:5" ht="12.75" customHeight="1" x14ac:dyDescent="0.2">
      <c r="A73" s="343" t="s">
        <v>4865</v>
      </c>
      <c r="B73" s="343" t="str">
        <f>Labels!B38</f>
        <v>Chg Supplies Inventory</v>
      </c>
      <c r="C73" s="344" t="s">
        <v>79</v>
      </c>
      <c r="D73" s="345" t="s">
        <v>1162</v>
      </c>
      <c r="E73" s="346" t="s">
        <v>241</v>
      </c>
    </row>
    <row r="74" spans="1:5" ht="12.75" customHeight="1" x14ac:dyDescent="0.2">
      <c r="A74" s="6"/>
      <c r="B74" s="6"/>
      <c r="C74" s="347"/>
      <c r="D74" s="348"/>
      <c r="E74" s="6"/>
    </row>
    <row r="75" spans="1:5" ht="12.75" customHeight="1" x14ac:dyDescent="0.2">
      <c r="A75" s="343" t="s">
        <v>1621</v>
      </c>
      <c r="B75" s="343" t="str">
        <f>Labels!B39</f>
        <v>Chg Long Debt</v>
      </c>
      <c r="C75" s="344" t="s">
        <v>79</v>
      </c>
      <c r="D75" s="345" t="s">
        <v>1162</v>
      </c>
      <c r="E75" s="346" t="s">
        <v>809</v>
      </c>
    </row>
    <row r="76" spans="1:5" ht="12.75" customHeight="1" x14ac:dyDescent="0.2">
      <c r="A76" s="6"/>
      <c r="B76" s="6"/>
      <c r="C76" s="347"/>
      <c r="D76" s="348"/>
      <c r="E76" s="6"/>
    </row>
    <row r="77" spans="1:5" ht="12.75" customHeight="1" x14ac:dyDescent="0.2">
      <c r="A77" s="343" t="s">
        <v>5369</v>
      </c>
      <c r="B77" s="343" t="str">
        <f>Labels!B40</f>
        <v>Chg Short Debt</v>
      </c>
      <c r="C77" s="344" t="s">
        <v>79</v>
      </c>
      <c r="D77" s="345" t="s">
        <v>1162</v>
      </c>
      <c r="E77" s="346" t="s">
        <v>4183</v>
      </c>
    </row>
    <row r="78" spans="1:5" ht="12.75" customHeight="1" x14ac:dyDescent="0.2">
      <c r="A78" s="6"/>
      <c r="B78" s="6"/>
      <c r="C78" s="347"/>
      <c r="D78" s="348"/>
      <c r="E78" s="6"/>
    </row>
    <row r="79" spans="1:5" ht="12.75" customHeight="1" x14ac:dyDescent="0.2">
      <c r="A79" s="343" t="s">
        <v>5683</v>
      </c>
      <c r="B79" s="343" t="str">
        <f>Labels!B41</f>
        <v>Company Name</v>
      </c>
      <c r="C79" s="344"/>
      <c r="D79" s="345"/>
      <c r="E79" s="346"/>
    </row>
    <row r="80" spans="1:5" ht="12.75" customHeight="1" x14ac:dyDescent="0.2">
      <c r="A80" s="6"/>
      <c r="B80" s="6"/>
      <c r="C80" s="347"/>
      <c r="D80" s="348"/>
      <c r="E80" s="6"/>
    </row>
    <row r="81" spans="1:5" ht="12.75" customHeight="1" x14ac:dyDescent="0.2">
      <c r="A81" s="343" t="s">
        <v>2551</v>
      </c>
      <c r="B81" s="343" t="str">
        <f>Labels!B42</f>
        <v>Cost of Services</v>
      </c>
      <c r="C81" s="344" t="s">
        <v>5514</v>
      </c>
      <c r="D81" s="345" t="s">
        <v>1162</v>
      </c>
      <c r="E81" s="346" t="s">
        <v>4294</v>
      </c>
    </row>
    <row r="82" spans="1:5" ht="12.75" customHeight="1" x14ac:dyDescent="0.2">
      <c r="A82" s="343"/>
      <c r="B82" s="343"/>
      <c r="C82" s="344" t="s">
        <v>2948</v>
      </c>
      <c r="D82" s="345" t="s">
        <v>1162</v>
      </c>
      <c r="E82" s="346" t="s">
        <v>106</v>
      </c>
    </row>
    <row r="83" spans="1:5" ht="12.75" customHeight="1" x14ac:dyDescent="0.2">
      <c r="A83" s="343"/>
      <c r="B83" s="343"/>
      <c r="C83" s="344" t="s">
        <v>4611</v>
      </c>
      <c r="D83" s="345" t="s">
        <v>1162</v>
      </c>
      <c r="E83" s="346" t="s">
        <v>4750</v>
      </c>
    </row>
    <row r="84" spans="1:5" ht="12.75" customHeight="1" x14ac:dyDescent="0.2">
      <c r="A84" s="6"/>
      <c r="B84" s="6"/>
      <c r="C84" s="347"/>
      <c r="D84" s="348"/>
      <c r="E84" s="6"/>
    </row>
    <row r="85" spans="1:5" ht="12.75" customHeight="1" x14ac:dyDescent="0.2">
      <c r="A85" s="343" t="s">
        <v>4001</v>
      </c>
      <c r="B85" s="343" t="str">
        <f>Labels!B43</f>
        <v>Cost of Services</v>
      </c>
      <c r="C85" s="344" t="s">
        <v>4761</v>
      </c>
      <c r="D85" s="345" t="s">
        <v>1162</v>
      </c>
      <c r="E85" s="346" t="s">
        <v>4750</v>
      </c>
    </row>
    <row r="86" spans="1:5" ht="12.75" customHeight="1" x14ac:dyDescent="0.2">
      <c r="A86" s="343"/>
      <c r="B86" s="343"/>
      <c r="C86" s="344" t="s">
        <v>5043</v>
      </c>
      <c r="D86" s="345" t="s">
        <v>1162</v>
      </c>
      <c r="E86" s="346" t="s">
        <v>106</v>
      </c>
    </row>
    <row r="87" spans="1:5" ht="12.75" customHeight="1" x14ac:dyDescent="0.2">
      <c r="A87" s="343"/>
      <c r="B87" s="343"/>
      <c r="C87" s="344" t="s">
        <v>1681</v>
      </c>
      <c r="D87" s="345" t="s">
        <v>1162</v>
      </c>
      <c r="E87" s="346" t="s">
        <v>1632</v>
      </c>
    </row>
    <row r="88" spans="1:5" ht="12.75" customHeight="1" x14ac:dyDescent="0.2">
      <c r="A88" s="6"/>
      <c r="B88" s="6"/>
      <c r="C88" s="347"/>
      <c r="D88" s="348"/>
      <c r="E88" s="6"/>
    </row>
    <row r="89" spans="1:5" ht="12.75" customHeight="1" x14ac:dyDescent="0.2">
      <c r="A89" s="343" t="s">
        <v>106</v>
      </c>
      <c r="B89" s="343" t="str">
        <f>Labels!B44</f>
        <v xml:space="preserve">Cost of Services - Staff </v>
      </c>
      <c r="C89" s="344" t="s">
        <v>1503</v>
      </c>
      <c r="D89" s="345" t="s">
        <v>1162</v>
      </c>
      <c r="E89" s="346" t="s">
        <v>4174</v>
      </c>
    </row>
    <row r="90" spans="1:5" ht="12.75" customHeight="1" x14ac:dyDescent="0.2">
      <c r="A90" s="6"/>
      <c r="B90" s="6"/>
      <c r="C90" s="347"/>
      <c r="D90" s="348"/>
      <c r="E90" s="6"/>
    </row>
    <row r="91" spans="1:5" ht="12.75" customHeight="1" x14ac:dyDescent="0.2">
      <c r="A91" s="343" t="s">
        <v>388</v>
      </c>
      <c r="B91" s="343" t="str">
        <f>Labels!B45</f>
        <v>Cost of Services - Staff</v>
      </c>
      <c r="C91" s="344" t="s">
        <v>1503</v>
      </c>
      <c r="D91" s="345" t="s">
        <v>1162</v>
      </c>
      <c r="E91" s="346" t="s">
        <v>4174</v>
      </c>
    </row>
    <row r="92" spans="1:5" ht="12.75" customHeight="1" x14ac:dyDescent="0.2">
      <c r="A92" s="6"/>
      <c r="B92" s="6"/>
      <c r="C92" s="347"/>
      <c r="D92" s="348"/>
      <c r="E92" s="6"/>
    </row>
    <row r="93" spans="1:5" ht="12.75" customHeight="1" x14ac:dyDescent="0.2">
      <c r="A93" s="343" t="s">
        <v>4750</v>
      </c>
      <c r="B93" s="343" t="str">
        <f>Labels!B46</f>
        <v xml:space="preserve">Cost of Services - Supplies </v>
      </c>
      <c r="C93" s="344" t="s">
        <v>5087</v>
      </c>
      <c r="D93" s="345" t="s">
        <v>1162</v>
      </c>
      <c r="E93" s="346" t="s">
        <v>5396</v>
      </c>
    </row>
    <row r="94" spans="1:5" ht="12.75" customHeight="1" x14ac:dyDescent="0.2">
      <c r="A94" s="6"/>
      <c r="B94" s="6"/>
      <c r="C94" s="347"/>
      <c r="D94" s="348"/>
      <c r="E94" s="6"/>
    </row>
    <row r="95" spans="1:5" ht="12.75" customHeight="1" x14ac:dyDescent="0.2">
      <c r="A95" s="343" t="s">
        <v>3931</v>
      </c>
      <c r="B95" s="343" t="str">
        <f>Labels!B47</f>
        <v xml:space="preserve">Cost of Services - Supplies </v>
      </c>
      <c r="C95" s="344" t="s">
        <v>5087</v>
      </c>
      <c r="D95" s="345" t="s">
        <v>1162</v>
      </c>
      <c r="E95" s="346" t="s">
        <v>5396</v>
      </c>
    </row>
    <row r="96" spans="1:5" ht="12.75" customHeight="1" x14ac:dyDescent="0.2">
      <c r="A96" s="6"/>
      <c r="B96" s="6"/>
      <c r="C96" s="347"/>
      <c r="D96" s="348"/>
      <c r="E96" s="6"/>
    </row>
    <row r="97" spans="1:5" ht="12.75" customHeight="1" x14ac:dyDescent="0.2">
      <c r="A97" s="343" t="s">
        <v>703</v>
      </c>
      <c r="B97" s="343" t="str">
        <f>Labels!B48</f>
        <v>Cost of Supplies / Hr</v>
      </c>
      <c r="C97" s="344" t="s">
        <v>5087</v>
      </c>
      <c r="D97" s="345" t="s">
        <v>1162</v>
      </c>
      <c r="E97" s="346" t="s">
        <v>1246</v>
      </c>
    </row>
    <row r="98" spans="1:5" ht="12.75" customHeight="1" x14ac:dyDescent="0.2">
      <c r="A98" s="6"/>
      <c r="B98" s="6"/>
      <c r="C98" s="347"/>
      <c r="D98" s="348"/>
      <c r="E98" s="6"/>
    </row>
    <row r="99" spans="1:5" ht="12.75" customHeight="1" x14ac:dyDescent="0.2">
      <c r="A99" s="343" t="s">
        <v>4294</v>
      </c>
      <c r="B99" s="343" t="str">
        <f>Labels!B49</f>
        <v>Travel &amp; Entertainment</v>
      </c>
      <c r="C99" s="344" t="s">
        <v>986</v>
      </c>
      <c r="D99" s="345" t="s">
        <v>1162</v>
      </c>
      <c r="E99" s="346" t="s">
        <v>5630</v>
      </c>
    </row>
    <row r="100" spans="1:5" ht="12.75" customHeight="1" x14ac:dyDescent="0.2">
      <c r="A100" s="6"/>
      <c r="B100" s="6"/>
      <c r="C100" s="347"/>
      <c r="D100" s="348"/>
      <c r="E100" s="6"/>
    </row>
    <row r="101" spans="1:5" ht="12.75" customHeight="1" x14ac:dyDescent="0.2">
      <c r="A101" s="343" t="s">
        <v>1632</v>
      </c>
      <c r="B101" s="343" t="str">
        <f>Labels!B50</f>
        <v>Travel and Entertainment</v>
      </c>
      <c r="C101" s="344" t="s">
        <v>986</v>
      </c>
      <c r="D101" s="345" t="s">
        <v>1162</v>
      </c>
      <c r="E101" s="346" t="s">
        <v>5630</v>
      </c>
    </row>
    <row r="102" spans="1:5" ht="12.75" customHeight="1" x14ac:dyDescent="0.2">
      <c r="A102" s="6"/>
      <c r="B102" s="6"/>
      <c r="C102" s="347"/>
      <c r="D102" s="348"/>
      <c r="E102" s="6"/>
    </row>
    <row r="103" spans="1:5" ht="12.75" customHeight="1" x14ac:dyDescent="0.2">
      <c r="A103" s="343" t="s">
        <v>639</v>
      </c>
      <c r="B103" s="343" t="str">
        <f>Labels!B51</f>
        <v>Travel &amp; Entertainment / Hr</v>
      </c>
      <c r="C103" s="344" t="s">
        <v>986</v>
      </c>
      <c r="D103" s="345" t="s">
        <v>1162</v>
      </c>
      <c r="E103" s="346" t="s">
        <v>1246</v>
      </c>
    </row>
    <row r="104" spans="1:5" ht="12.75" customHeight="1" x14ac:dyDescent="0.2">
      <c r="A104" s="6"/>
      <c r="B104" s="6"/>
      <c r="C104" s="347"/>
      <c r="D104" s="348"/>
      <c r="E104" s="6"/>
    </row>
    <row r="105" spans="1:5" ht="12.75" customHeight="1" x14ac:dyDescent="0.2">
      <c r="A105" s="343" t="s">
        <v>2645</v>
      </c>
      <c r="B105" s="343" t="str">
        <f>Labels!B52</f>
        <v>Current Ratio</v>
      </c>
      <c r="C105" s="344" t="s">
        <v>79</v>
      </c>
      <c r="D105" s="345" t="s">
        <v>24</v>
      </c>
      <c r="E105" s="346" t="s">
        <v>1478</v>
      </c>
    </row>
    <row r="106" spans="1:5" ht="12.75" customHeight="1" x14ac:dyDescent="0.2">
      <c r="A106" s="6"/>
      <c r="B106" s="6"/>
      <c r="C106" s="347"/>
      <c r="D106" s="348"/>
      <c r="E106" s="6"/>
    </row>
    <row r="107" spans="1:5" ht="12.75" customHeight="1" x14ac:dyDescent="0.2">
      <c r="A107" s="343" t="s">
        <v>4640</v>
      </c>
      <c r="B107" s="343" t="str">
        <f>Labels!B53</f>
        <v>Debt Ratio</v>
      </c>
      <c r="C107" s="344" t="s">
        <v>79</v>
      </c>
      <c r="D107" s="345" t="s">
        <v>24</v>
      </c>
      <c r="E107" s="346" t="s">
        <v>2254</v>
      </c>
    </row>
    <row r="108" spans="1:5" ht="12.75" customHeight="1" x14ac:dyDescent="0.2">
      <c r="A108" s="6"/>
      <c r="B108" s="6"/>
      <c r="C108" s="347"/>
      <c r="D108" s="348"/>
      <c r="E108" s="6"/>
    </row>
    <row r="109" spans="1:5" ht="12.75" customHeight="1" x14ac:dyDescent="0.2">
      <c r="A109" s="343" t="s">
        <v>3039</v>
      </c>
      <c r="B109" s="343" t="str">
        <f>Labels!B54</f>
        <v>Depreciation</v>
      </c>
      <c r="C109" s="344" t="s">
        <v>79</v>
      </c>
      <c r="D109" s="345" t="s">
        <v>1162</v>
      </c>
      <c r="E109" s="346" t="s">
        <v>2968</v>
      </c>
    </row>
    <row r="110" spans="1:5" ht="12.75" customHeight="1" x14ac:dyDescent="0.2">
      <c r="A110" s="6"/>
      <c r="B110" s="6"/>
      <c r="C110" s="347"/>
      <c r="D110" s="348"/>
      <c r="E110" s="6"/>
    </row>
    <row r="111" spans="1:5" ht="12.75" customHeight="1" x14ac:dyDescent="0.2">
      <c r="A111" s="343" t="s">
        <v>1122</v>
      </c>
      <c r="B111" s="343" t="str">
        <f>Labels!B55</f>
        <v>Cap'd Development (Asset)</v>
      </c>
      <c r="C111" s="344" t="s">
        <v>5752</v>
      </c>
      <c r="D111" s="345" t="s">
        <v>1162</v>
      </c>
      <c r="E111" s="346" t="s">
        <v>1347</v>
      </c>
    </row>
    <row r="112" spans="1:5" ht="12.75" customHeight="1" x14ac:dyDescent="0.2">
      <c r="A112" s="6"/>
      <c r="B112" s="6"/>
      <c r="C112" s="347"/>
      <c r="D112" s="348"/>
      <c r="E112" s="6"/>
    </row>
    <row r="113" spans="1:5" ht="12.75" customHeight="1" x14ac:dyDescent="0.2">
      <c r="A113" s="343" t="s">
        <v>3468</v>
      </c>
      <c r="B113" s="343" t="str">
        <f>Labels!B56</f>
        <v>Capitalized Dev Deprec</v>
      </c>
      <c r="C113" s="344" t="s">
        <v>5752</v>
      </c>
      <c r="D113" s="345" t="s">
        <v>1162</v>
      </c>
      <c r="E113" s="346" t="s">
        <v>2208</v>
      </c>
    </row>
    <row r="114" spans="1:5" ht="12.75" customHeight="1" x14ac:dyDescent="0.2">
      <c r="A114" s="6"/>
      <c r="B114" s="6"/>
      <c r="C114" s="347"/>
      <c r="D114" s="348"/>
      <c r="E114" s="6"/>
    </row>
    <row r="115" spans="1:5" ht="12.75" customHeight="1" x14ac:dyDescent="0.2">
      <c r="A115" s="343" t="s">
        <v>945</v>
      </c>
      <c r="B115" s="343" t="str">
        <f>Labels!B57</f>
        <v>Initial Cap'd Development</v>
      </c>
      <c r="C115" s="344"/>
      <c r="D115" s="345"/>
      <c r="E115" s="346"/>
    </row>
    <row r="116" spans="1:5" ht="12.75" customHeight="1" x14ac:dyDescent="0.2">
      <c r="A116" s="6"/>
      <c r="B116" s="6"/>
      <c r="C116" s="347"/>
      <c r="D116" s="348"/>
      <c r="E116" s="6"/>
    </row>
    <row r="117" spans="1:5" ht="12.75" customHeight="1" x14ac:dyDescent="0.2">
      <c r="A117" s="343" t="s">
        <v>1062</v>
      </c>
      <c r="B117" s="343" t="str">
        <f>Labels!B58</f>
        <v>Cap'd Dev Life (Yrs)</v>
      </c>
      <c r="C117" s="344"/>
      <c r="D117" s="345"/>
      <c r="E117" s="346"/>
    </row>
    <row r="118" spans="1:5" ht="12.75" customHeight="1" x14ac:dyDescent="0.2">
      <c r="A118" s="6"/>
      <c r="B118" s="6"/>
      <c r="C118" s="347"/>
      <c r="D118" s="348"/>
      <c r="E118" s="6"/>
    </row>
    <row r="119" spans="1:5" ht="12.75" customHeight="1" x14ac:dyDescent="0.2">
      <c r="A119" s="343" t="s">
        <v>4220</v>
      </c>
      <c r="B119" s="343" t="str">
        <f>Labels!B59</f>
        <v>New Cap'd Development</v>
      </c>
      <c r="C119" s="344" t="s">
        <v>5752</v>
      </c>
      <c r="D119" s="345" t="s">
        <v>1162</v>
      </c>
      <c r="E119" s="346" t="s">
        <v>4550</v>
      </c>
    </row>
    <row r="120" spans="1:5" ht="12.75" customHeight="1" x14ac:dyDescent="0.2">
      <c r="A120" s="6"/>
      <c r="B120" s="6"/>
      <c r="C120" s="347"/>
      <c r="D120" s="348"/>
      <c r="E120" s="6"/>
    </row>
    <row r="121" spans="1:5" ht="12.75" customHeight="1" x14ac:dyDescent="0.2">
      <c r="A121" s="343" t="s">
        <v>3810</v>
      </c>
      <c r="B121" s="343" t="str">
        <f>Labels!B60</f>
        <v>Cap'd Dev Period Lagged</v>
      </c>
      <c r="C121" s="344" t="s">
        <v>5752</v>
      </c>
      <c r="D121" s="345" t="s">
        <v>1162</v>
      </c>
      <c r="E121" s="346" t="s">
        <v>3047</v>
      </c>
    </row>
    <row r="122" spans="1:5" ht="12.75" customHeight="1" x14ac:dyDescent="0.2">
      <c r="A122" s="6"/>
      <c r="B122" s="6"/>
      <c r="C122" s="347"/>
      <c r="D122" s="348"/>
      <c r="E122" s="6"/>
    </row>
    <row r="123" spans="1:5" ht="12.75" customHeight="1" x14ac:dyDescent="0.2">
      <c r="A123" s="343" t="s">
        <v>4710</v>
      </c>
      <c r="B123" s="343" t="str">
        <f>Labels!B61</f>
        <v>Discount Factor</v>
      </c>
      <c r="C123" s="344" t="s">
        <v>79</v>
      </c>
      <c r="D123" s="345" t="s">
        <v>1162</v>
      </c>
      <c r="E123" s="346" t="s">
        <v>5056</v>
      </c>
    </row>
    <row r="124" spans="1:5" ht="12.75" customHeight="1" x14ac:dyDescent="0.2">
      <c r="A124" s="6"/>
      <c r="B124" s="6"/>
      <c r="C124" s="347"/>
      <c r="D124" s="348"/>
      <c r="E124" s="6"/>
    </row>
    <row r="125" spans="1:5" ht="12.75" customHeight="1" x14ac:dyDescent="0.2">
      <c r="A125" s="343" t="s">
        <v>3626</v>
      </c>
      <c r="B125" s="343" t="str">
        <f>Labels!B62</f>
        <v>Discount Rate</v>
      </c>
      <c r="C125" s="344" t="s">
        <v>79</v>
      </c>
      <c r="D125" s="345" t="s">
        <v>1162</v>
      </c>
      <c r="E125" s="346" t="s">
        <v>5632</v>
      </c>
    </row>
    <row r="126" spans="1:5" ht="12.75" customHeight="1" x14ac:dyDescent="0.2">
      <c r="A126" s="6"/>
      <c r="B126" s="6"/>
      <c r="C126" s="347"/>
      <c r="D126" s="348"/>
      <c r="E126" s="6"/>
    </row>
    <row r="127" spans="1:5" ht="12.75" customHeight="1" x14ac:dyDescent="0.2">
      <c r="A127" s="343" t="s">
        <v>3105</v>
      </c>
      <c r="B127" s="343" t="str">
        <f>Labels!B63</f>
        <v>Discount Rate Direct (Yr)</v>
      </c>
      <c r="C127" s="344" t="s">
        <v>79</v>
      </c>
      <c r="D127" s="345" t="s">
        <v>1162</v>
      </c>
      <c r="E127" s="346" t="s">
        <v>1246</v>
      </c>
    </row>
    <row r="128" spans="1:5" ht="12.75" customHeight="1" x14ac:dyDescent="0.2">
      <c r="A128" s="6"/>
      <c r="B128" s="6"/>
      <c r="C128" s="347"/>
      <c r="D128" s="348"/>
      <c r="E128" s="6"/>
    </row>
    <row r="129" spans="1:5" ht="12.75" customHeight="1" x14ac:dyDescent="0.2">
      <c r="A129" s="343" t="s">
        <v>451</v>
      </c>
      <c r="B129" s="343" t="str">
        <f>Labels!B64</f>
        <v>Dividend</v>
      </c>
      <c r="C129" s="344" t="s">
        <v>79</v>
      </c>
      <c r="D129" s="345" t="s">
        <v>1162</v>
      </c>
      <c r="E129" s="346" t="s">
        <v>3940</v>
      </c>
    </row>
    <row r="130" spans="1:5" ht="12.75" customHeight="1" x14ac:dyDescent="0.2">
      <c r="A130" s="6"/>
      <c r="B130" s="6"/>
      <c r="C130" s="347"/>
      <c r="D130" s="348"/>
      <c r="E130" s="6"/>
    </row>
    <row r="131" spans="1:5" ht="12.75" customHeight="1" x14ac:dyDescent="0.2">
      <c r="A131" s="343" t="s">
        <v>4175</v>
      </c>
      <c r="B131" s="343" t="str">
        <f>Labels!B65</f>
        <v>Dividend Yield</v>
      </c>
      <c r="C131" s="344" t="s">
        <v>79</v>
      </c>
      <c r="D131" s="345" t="s">
        <v>24</v>
      </c>
      <c r="E131" s="346" t="s">
        <v>5665</v>
      </c>
    </row>
    <row r="132" spans="1:5" ht="12.75" customHeight="1" x14ac:dyDescent="0.2">
      <c r="A132" s="6"/>
      <c r="B132" s="6"/>
      <c r="C132" s="347"/>
      <c r="D132" s="348"/>
      <c r="E132" s="6"/>
    </row>
    <row r="133" spans="1:5" ht="12.75" customHeight="1" x14ac:dyDescent="0.2">
      <c r="A133" s="343" t="s">
        <v>762</v>
      </c>
      <c r="B133" s="343" t="str">
        <f>Labels!B66</f>
        <v>Billings</v>
      </c>
      <c r="C133" s="344" t="s">
        <v>3815</v>
      </c>
      <c r="D133" s="345" t="s">
        <v>1162</v>
      </c>
      <c r="E133" s="346" t="s">
        <v>3024</v>
      </c>
    </row>
    <row r="134" spans="1:5" ht="12.75" customHeight="1" x14ac:dyDescent="0.2">
      <c r="A134" s="6"/>
      <c r="B134" s="6"/>
      <c r="C134" s="347"/>
      <c r="D134" s="348"/>
      <c r="E134" s="6"/>
    </row>
    <row r="135" spans="1:5" ht="12.75" customHeight="1" x14ac:dyDescent="0.2">
      <c r="A135" s="343" t="s">
        <v>1801</v>
      </c>
      <c r="B135" s="343" t="str">
        <f>Labels!B67</f>
        <v>Billings</v>
      </c>
      <c r="C135" s="344" t="s">
        <v>5337</v>
      </c>
      <c r="D135" s="345" t="s">
        <v>1162</v>
      </c>
      <c r="E135" s="346" t="s">
        <v>77</v>
      </c>
    </row>
    <row r="136" spans="1:5" ht="12.75" customHeight="1" x14ac:dyDescent="0.2">
      <c r="A136" s="6"/>
      <c r="B136" s="6"/>
      <c r="C136" s="347"/>
      <c r="D136" s="348"/>
      <c r="E136" s="6"/>
    </row>
    <row r="137" spans="1:5" ht="12.75" customHeight="1" x14ac:dyDescent="0.2">
      <c r="A137" s="343" t="s">
        <v>339</v>
      </c>
      <c r="B137" s="343" t="str">
        <f>Labels!B68</f>
        <v>Sales Channel</v>
      </c>
      <c r="C137" s="344" t="s">
        <v>19</v>
      </c>
      <c r="D137" s="345" t="s">
        <v>1162</v>
      </c>
      <c r="E137" s="346" t="s">
        <v>81</v>
      </c>
    </row>
    <row r="138" spans="1:5" ht="12.75" customHeight="1" x14ac:dyDescent="0.2">
      <c r="A138" s="6"/>
      <c r="B138" s="6"/>
      <c r="C138" s="347"/>
      <c r="D138" s="348"/>
      <c r="E138" s="6"/>
    </row>
    <row r="139" spans="1:5" ht="12.75" customHeight="1" x14ac:dyDescent="0.2">
      <c r="A139" s="343" t="s">
        <v>1804</v>
      </c>
      <c r="B139" s="343" t="str">
        <f>Labels!B69</f>
        <v>Cost - Staff</v>
      </c>
      <c r="C139" s="344" t="s">
        <v>3815</v>
      </c>
      <c r="D139" s="345" t="s">
        <v>1162</v>
      </c>
      <c r="E139" s="346" t="s">
        <v>4803</v>
      </c>
    </row>
    <row r="140" spans="1:5" ht="12.75" customHeight="1" x14ac:dyDescent="0.2">
      <c r="A140" s="6"/>
      <c r="B140" s="6"/>
      <c r="C140" s="347"/>
      <c r="D140" s="348"/>
      <c r="E140" s="6"/>
    </row>
    <row r="141" spans="1:5" ht="12.75" customHeight="1" x14ac:dyDescent="0.2">
      <c r="A141" s="343" t="s">
        <v>189</v>
      </c>
      <c r="B141" s="343" t="str">
        <f>Labels!B70</f>
        <v>Cost - Supplies</v>
      </c>
      <c r="C141" s="344" t="s">
        <v>534</v>
      </c>
      <c r="D141" s="345" t="s">
        <v>1162</v>
      </c>
      <c r="E141" s="346" t="s">
        <v>4838</v>
      </c>
    </row>
    <row r="142" spans="1:5" ht="12.75" customHeight="1" x14ac:dyDescent="0.2">
      <c r="A142" s="6"/>
      <c r="B142" s="6"/>
      <c r="C142" s="347"/>
      <c r="D142" s="348"/>
      <c r="E142" s="6"/>
    </row>
    <row r="143" spans="1:5" ht="12.75" customHeight="1" x14ac:dyDescent="0.2">
      <c r="A143" s="343" t="s">
        <v>2163</v>
      </c>
      <c r="B143" s="343" t="str">
        <f>Labels!B71</f>
        <v>Cost - Travel &amp; Entertain</v>
      </c>
      <c r="C143" s="344" t="s">
        <v>534</v>
      </c>
      <c r="D143" s="345" t="s">
        <v>1162</v>
      </c>
      <c r="E143" s="346" t="s">
        <v>384</v>
      </c>
    </row>
    <row r="144" spans="1:5" ht="12.75" customHeight="1" x14ac:dyDescent="0.2">
      <c r="A144" s="6"/>
      <c r="B144" s="6"/>
      <c r="C144" s="347"/>
      <c r="D144" s="348"/>
      <c r="E144" s="6"/>
    </row>
    <row r="145" spans="1:5" ht="12.75" customHeight="1" x14ac:dyDescent="0.2">
      <c r="A145" s="343" t="s">
        <v>3595</v>
      </c>
      <c r="B145" s="343" t="str">
        <f>Labels!B72</f>
        <v>Engage Discount %</v>
      </c>
      <c r="C145" s="344" t="s">
        <v>19</v>
      </c>
      <c r="D145" s="345" t="s">
        <v>42</v>
      </c>
      <c r="E145" s="346" t="s">
        <v>2954</v>
      </c>
    </row>
    <row r="146" spans="1:5" ht="12.75" customHeight="1" x14ac:dyDescent="0.2">
      <c r="A146" s="343"/>
      <c r="B146" s="343"/>
      <c r="C146" s="344"/>
      <c r="D146" s="345" t="s">
        <v>1162</v>
      </c>
      <c r="E146" s="346" t="s">
        <v>1246</v>
      </c>
    </row>
    <row r="147" spans="1:5" ht="12.75" customHeight="1" x14ac:dyDescent="0.2">
      <c r="A147" s="6"/>
      <c r="B147" s="6"/>
      <c r="C147" s="347"/>
      <c r="D147" s="348"/>
      <c r="E147" s="6"/>
    </row>
    <row r="148" spans="1:5" ht="12.75" customHeight="1" x14ac:dyDescent="0.2">
      <c r="A148" s="343" t="s">
        <v>121</v>
      </c>
      <c r="B148" s="343" t="str">
        <f>Labels!B73</f>
        <v>Duration</v>
      </c>
      <c r="C148" s="344" t="s">
        <v>19</v>
      </c>
      <c r="D148" s="345" t="s">
        <v>1162</v>
      </c>
      <c r="E148" s="346" t="s">
        <v>740</v>
      </c>
    </row>
    <row r="149" spans="1:5" ht="12.75" customHeight="1" x14ac:dyDescent="0.2">
      <c r="A149" s="6"/>
      <c r="B149" s="6"/>
      <c r="C149" s="347"/>
      <c r="D149" s="348"/>
      <c r="E149" s="6"/>
    </row>
    <row r="150" spans="1:5" ht="12.75" customHeight="1" x14ac:dyDescent="0.2">
      <c r="A150" s="343" t="s">
        <v>4407</v>
      </c>
      <c r="B150" s="343" t="str">
        <f>Labels!B74</f>
        <v>Gross Margin</v>
      </c>
      <c r="C150" s="344" t="s">
        <v>3815</v>
      </c>
      <c r="D150" s="345" t="s">
        <v>1162</v>
      </c>
      <c r="E150" s="346" t="s">
        <v>2367</v>
      </c>
    </row>
    <row r="151" spans="1:5" ht="12.75" customHeight="1" x14ac:dyDescent="0.2">
      <c r="A151" s="6"/>
      <c r="B151" s="6"/>
      <c r="C151" s="347"/>
      <c r="D151" s="348"/>
      <c r="E151" s="6"/>
    </row>
    <row r="152" spans="1:5" ht="12.75" customHeight="1" x14ac:dyDescent="0.2">
      <c r="A152" s="343" t="s">
        <v>5460</v>
      </c>
      <c r="B152" s="343" t="str">
        <f>Labels!B75</f>
        <v>Gross Margin %</v>
      </c>
      <c r="C152" s="344" t="s">
        <v>3815</v>
      </c>
      <c r="D152" s="345" t="s">
        <v>1162</v>
      </c>
      <c r="E152" s="346" t="s">
        <v>1649</v>
      </c>
    </row>
    <row r="153" spans="1:5" ht="12.75" customHeight="1" x14ac:dyDescent="0.2">
      <c r="A153" s="6"/>
      <c r="B153" s="6"/>
      <c r="C153" s="347"/>
      <c r="D153" s="348"/>
      <c r="E153" s="6"/>
    </row>
    <row r="154" spans="1:5" ht="12.75" customHeight="1" x14ac:dyDescent="0.2">
      <c r="A154" s="343" t="s">
        <v>964</v>
      </c>
      <c r="B154" s="343" t="str">
        <f>Labels!B76</f>
        <v>Staff Hrs Applied</v>
      </c>
      <c r="C154" s="344" t="s">
        <v>3815</v>
      </c>
      <c r="D154" s="345" t="s">
        <v>1162</v>
      </c>
      <c r="E154" s="346" t="s">
        <v>5731</v>
      </c>
    </row>
    <row r="155" spans="1:5" ht="12.75" customHeight="1" x14ac:dyDescent="0.2">
      <c r="A155" s="6"/>
      <c r="B155" s="6"/>
      <c r="C155" s="347"/>
      <c r="D155" s="348"/>
      <c r="E155" s="6"/>
    </row>
    <row r="156" spans="1:5" ht="12.75" customHeight="1" x14ac:dyDescent="0.2">
      <c r="A156" s="343" t="s">
        <v>3414</v>
      </c>
      <c r="B156" s="343" t="str">
        <f>Labels!B77</f>
        <v>Staff Hrs Applied</v>
      </c>
      <c r="C156" s="344" t="s">
        <v>3457</v>
      </c>
      <c r="D156" s="345" t="s">
        <v>1162</v>
      </c>
      <c r="E156" s="346" t="s">
        <v>3378</v>
      </c>
    </row>
    <row r="157" spans="1:5" ht="12.75" customHeight="1" x14ac:dyDescent="0.2">
      <c r="A157" s="6"/>
      <c r="B157" s="6"/>
      <c r="C157" s="347"/>
      <c r="D157" s="348"/>
      <c r="E157" s="6"/>
    </row>
    <row r="158" spans="1:5" ht="12.75" customHeight="1" x14ac:dyDescent="0.2">
      <c r="A158" s="343" t="s">
        <v>3788</v>
      </c>
      <c r="B158" s="343" t="str">
        <f>Labels!B78</f>
        <v>Prof Staff Hrs Applied</v>
      </c>
      <c r="C158" s="344" t="s">
        <v>5549</v>
      </c>
      <c r="D158" s="345" t="s">
        <v>1162</v>
      </c>
      <c r="E158" s="346" t="s">
        <v>964</v>
      </c>
    </row>
    <row r="159" spans="1:5" ht="12.75" customHeight="1" x14ac:dyDescent="0.2">
      <c r="A159" s="6"/>
      <c r="B159" s="6"/>
      <c r="C159" s="347"/>
      <c r="D159" s="348"/>
      <c r="E159" s="6"/>
    </row>
    <row r="160" spans="1:5" ht="12.75" customHeight="1" x14ac:dyDescent="0.2">
      <c r="A160" s="343" t="s">
        <v>1810</v>
      </c>
      <c r="B160" s="343" t="str">
        <f>Labels!B79</f>
        <v>Hours Billed</v>
      </c>
      <c r="C160" s="344" t="s">
        <v>3815</v>
      </c>
      <c r="D160" s="345" t="s">
        <v>1162</v>
      </c>
      <c r="E160" s="346" t="s">
        <v>4219</v>
      </c>
    </row>
    <row r="161" spans="1:5" ht="12.75" customHeight="1" x14ac:dyDescent="0.2">
      <c r="A161" s="6"/>
      <c r="B161" s="6"/>
      <c r="C161" s="347"/>
      <c r="D161" s="348"/>
      <c r="E161" s="6"/>
    </row>
    <row r="162" spans="1:5" ht="12.75" customHeight="1" x14ac:dyDescent="0.2">
      <c r="A162" s="343" t="s">
        <v>5826</v>
      </c>
      <c r="B162" s="343" t="str">
        <f>Labels!B80</f>
        <v>Staff Hrs Billed</v>
      </c>
      <c r="C162" s="344" t="s">
        <v>5337</v>
      </c>
      <c r="D162" s="345" t="s">
        <v>1162</v>
      </c>
      <c r="E162" s="346" t="s">
        <v>4365</v>
      </c>
    </row>
    <row r="163" spans="1:5" ht="12.75" customHeight="1" x14ac:dyDescent="0.2">
      <c r="A163" s="6"/>
      <c r="B163" s="6"/>
      <c r="C163" s="347"/>
      <c r="D163" s="348"/>
      <c r="E163" s="6"/>
    </row>
    <row r="164" spans="1:5" ht="12.75" customHeight="1" x14ac:dyDescent="0.2">
      <c r="A164" s="343" t="s">
        <v>3512</v>
      </c>
      <c r="B164" s="343" t="str">
        <f>Labels!B81</f>
        <v>Staff Hrs Billed</v>
      </c>
      <c r="C164" s="344" t="s">
        <v>5337</v>
      </c>
      <c r="D164" s="345" t="s">
        <v>1162</v>
      </c>
      <c r="E164" s="346" t="s">
        <v>5682</v>
      </c>
    </row>
    <row r="165" spans="1:5" ht="12.75" customHeight="1" x14ac:dyDescent="0.2">
      <c r="A165" s="6"/>
      <c r="B165" s="6"/>
      <c r="C165" s="347"/>
      <c r="D165" s="348"/>
      <c r="E165" s="6"/>
    </row>
    <row r="166" spans="1:5" ht="12.75" customHeight="1" x14ac:dyDescent="0.2">
      <c r="A166" s="343" t="s">
        <v>968</v>
      </c>
      <c r="B166" s="343" t="str">
        <f>Labels!B82</f>
        <v>Applied Hours % Billed</v>
      </c>
      <c r="C166" s="344"/>
      <c r="D166" s="345"/>
      <c r="E166" s="346"/>
    </row>
    <row r="167" spans="1:5" ht="12.75" customHeight="1" x14ac:dyDescent="0.2">
      <c r="A167" s="6"/>
      <c r="B167" s="6"/>
      <c r="C167" s="347"/>
      <c r="D167" s="348"/>
      <c r="E167" s="6"/>
    </row>
    <row r="168" spans="1:5" ht="12.75" customHeight="1" x14ac:dyDescent="0.2">
      <c r="A168" s="343" t="s">
        <v>4890</v>
      </c>
      <c r="B168" s="343" t="str">
        <f>Labels!B83</f>
        <v>Staff Hrs Applied, Unbilled</v>
      </c>
      <c r="C168" s="344" t="s">
        <v>3815</v>
      </c>
      <c r="D168" s="345" t="s">
        <v>1162</v>
      </c>
      <c r="E168" s="346" t="s">
        <v>2121</v>
      </c>
    </row>
    <row r="169" spans="1:5" ht="12.75" customHeight="1" x14ac:dyDescent="0.2">
      <c r="A169" s="6"/>
      <c r="B169" s="6"/>
      <c r="C169" s="347"/>
      <c r="D169" s="348"/>
      <c r="E169" s="6"/>
    </row>
    <row r="170" spans="1:5" ht="12.75" customHeight="1" x14ac:dyDescent="0.2">
      <c r="A170" s="343" t="s">
        <v>2155</v>
      </c>
      <c r="B170" s="343" t="str">
        <f>Labels!B84</f>
        <v>Labor Share %</v>
      </c>
      <c r="C170" s="344" t="s">
        <v>3815</v>
      </c>
      <c r="D170" s="345" t="s">
        <v>24</v>
      </c>
      <c r="E170" s="346" t="s">
        <v>2571</v>
      </c>
    </row>
    <row r="171" spans="1:5" ht="12.75" customHeight="1" x14ac:dyDescent="0.2">
      <c r="A171" s="6"/>
      <c r="B171" s="6"/>
      <c r="C171" s="347"/>
      <c r="D171" s="348"/>
      <c r="E171" s="6"/>
    </row>
    <row r="172" spans="1:5" ht="12.75" customHeight="1" x14ac:dyDescent="0.2">
      <c r="A172" s="343" t="s">
        <v>1022</v>
      </c>
      <c r="B172" s="343" t="str">
        <f>Labels!B85</f>
        <v>Labor Ramp</v>
      </c>
      <c r="C172" s="344" t="s">
        <v>3608</v>
      </c>
      <c r="D172" s="345" t="s">
        <v>1162</v>
      </c>
      <c r="E172" s="346" t="s">
        <v>2954</v>
      </c>
    </row>
    <row r="173" spans="1:5" ht="12.75" customHeight="1" x14ac:dyDescent="0.2">
      <c r="A173" s="6"/>
      <c r="B173" s="6"/>
      <c r="C173" s="347"/>
      <c r="D173" s="348"/>
      <c r="E173" s="6"/>
    </row>
    <row r="174" spans="1:5" ht="12.75" customHeight="1" x14ac:dyDescent="0.2">
      <c r="A174" s="343" t="s">
        <v>3607</v>
      </c>
      <c r="B174" s="343" t="str">
        <f>Labels!B86</f>
        <v>Revenue at Nominal Fees</v>
      </c>
      <c r="C174" s="344" t="s">
        <v>3815</v>
      </c>
      <c r="D174" s="345" t="s">
        <v>1162</v>
      </c>
      <c r="E174" s="346" t="s">
        <v>5487</v>
      </c>
    </row>
    <row r="175" spans="1:5" ht="12.75" customHeight="1" x14ac:dyDescent="0.2">
      <c r="A175" s="6"/>
      <c r="B175" s="6"/>
      <c r="C175" s="347"/>
      <c r="D175" s="348"/>
      <c r="E175" s="6"/>
    </row>
    <row r="176" spans="1:5" ht="12.75" customHeight="1" x14ac:dyDescent="0.2">
      <c r="A176" s="343" t="s">
        <v>5335</v>
      </c>
      <c r="B176" s="343" t="str">
        <f>Labels!B87</f>
        <v>Size (Hrs)</v>
      </c>
      <c r="C176" s="344" t="s">
        <v>19</v>
      </c>
      <c r="D176" s="345" t="s">
        <v>1162</v>
      </c>
      <c r="E176" s="346" t="s">
        <v>5160</v>
      </c>
    </row>
    <row r="177" spans="1:5" ht="12.75" customHeight="1" x14ac:dyDescent="0.2">
      <c r="A177" s="6"/>
      <c r="B177" s="6"/>
      <c r="C177" s="347"/>
      <c r="D177" s="348"/>
      <c r="E177" s="6"/>
    </row>
    <row r="178" spans="1:5" ht="12.75" customHeight="1" x14ac:dyDescent="0.2">
      <c r="A178" s="343" t="s">
        <v>713</v>
      </c>
      <c r="B178" s="343" t="str">
        <f>Labels!B88</f>
        <v>Start Time Period</v>
      </c>
      <c r="C178" s="344" t="s">
        <v>19</v>
      </c>
      <c r="D178" s="345" t="s">
        <v>1162</v>
      </c>
      <c r="E178" s="346" t="s">
        <v>1393</v>
      </c>
    </row>
    <row r="179" spans="1:5" ht="12.75" customHeight="1" x14ac:dyDescent="0.2">
      <c r="A179" s="6"/>
      <c r="B179" s="6"/>
      <c r="C179" s="347"/>
      <c r="D179" s="348"/>
      <c r="E179" s="6"/>
    </row>
    <row r="180" spans="1:5" ht="12.75" customHeight="1" x14ac:dyDescent="0.2">
      <c r="A180" s="343" t="s">
        <v>466</v>
      </c>
      <c r="B180" s="343" t="str">
        <f>Labels!B89</f>
        <v>Engage Time</v>
      </c>
      <c r="C180" s="344" t="s">
        <v>466</v>
      </c>
      <c r="D180" s="345" t="s">
        <v>1162</v>
      </c>
      <c r="E180" s="346" t="s">
        <v>3364</v>
      </c>
    </row>
    <row r="181" spans="1:5" ht="12.75" customHeight="1" x14ac:dyDescent="0.2">
      <c r="A181" s="6"/>
      <c r="B181" s="6"/>
      <c r="C181" s="347"/>
      <c r="D181" s="348"/>
      <c r="E181" s="6"/>
    </row>
    <row r="182" spans="1:5" ht="12.75" customHeight="1" x14ac:dyDescent="0.2">
      <c r="A182" s="343" t="s">
        <v>441</v>
      </c>
      <c r="B182" s="343" t="str">
        <f>Labels!B90</f>
        <v>Engage Types</v>
      </c>
      <c r="C182" s="344" t="s">
        <v>5805</v>
      </c>
      <c r="D182" s="345" t="s">
        <v>1162</v>
      </c>
      <c r="E182" s="346" t="s">
        <v>3501</v>
      </c>
    </row>
    <row r="183" spans="1:5" ht="12.75" customHeight="1" x14ac:dyDescent="0.2">
      <c r="A183" s="6"/>
      <c r="B183" s="6"/>
      <c r="C183" s="347"/>
      <c r="D183" s="348"/>
      <c r="E183" s="6"/>
    </row>
    <row r="184" spans="1:5" ht="12.75" customHeight="1" x14ac:dyDescent="0.2">
      <c r="A184" s="343" t="s">
        <v>1830</v>
      </c>
      <c r="B184" s="343" t="str">
        <f>Labels!B91</f>
        <v>Equity</v>
      </c>
      <c r="C184" s="344" t="s">
        <v>5642</v>
      </c>
      <c r="D184" s="345" t="s">
        <v>1162</v>
      </c>
      <c r="E184" s="346" t="s">
        <v>1166</v>
      </c>
    </row>
    <row r="185" spans="1:5" ht="12.75" customHeight="1" x14ac:dyDescent="0.2">
      <c r="A185" s="343"/>
      <c r="B185" s="343"/>
      <c r="C185" s="344" t="s">
        <v>2385</v>
      </c>
      <c r="D185" s="345" t="s">
        <v>1162</v>
      </c>
      <c r="E185" s="346" t="s">
        <v>1158</v>
      </c>
    </row>
    <row r="186" spans="1:5" ht="12.75" customHeight="1" x14ac:dyDescent="0.2">
      <c r="A186" s="6"/>
      <c r="B186" s="6"/>
      <c r="C186" s="347"/>
      <c r="D186" s="348"/>
      <c r="E186" s="6"/>
    </row>
    <row r="187" spans="1:5" ht="12.75" customHeight="1" x14ac:dyDescent="0.2">
      <c r="A187" s="343" t="s">
        <v>3397</v>
      </c>
      <c r="B187" s="343" t="str">
        <f>Labels!B92</f>
        <v>Other Facilities Exp (Yr)</v>
      </c>
      <c r="C187" s="344" t="s">
        <v>79</v>
      </c>
      <c r="D187" s="345" t="s">
        <v>1162</v>
      </c>
      <c r="E187" s="346" t="s">
        <v>1246</v>
      </c>
    </row>
    <row r="188" spans="1:5" ht="12.75" customHeight="1" x14ac:dyDescent="0.2">
      <c r="A188" s="6"/>
      <c r="B188" s="6"/>
      <c r="C188" s="347"/>
      <c r="D188" s="348"/>
      <c r="E188" s="6"/>
    </row>
    <row r="189" spans="1:5" ht="12.75" customHeight="1" x14ac:dyDescent="0.2">
      <c r="A189" s="343" t="s">
        <v>3326</v>
      </c>
      <c r="B189" s="343" t="str">
        <f>Labels!B93</f>
        <v>Facilities &amp; Utilities Exp</v>
      </c>
      <c r="C189" s="344" t="s">
        <v>5686</v>
      </c>
      <c r="D189" s="345" t="s">
        <v>1162</v>
      </c>
      <c r="E189" s="346" t="s">
        <v>3405</v>
      </c>
    </row>
    <row r="190" spans="1:5" ht="12.75" customHeight="1" x14ac:dyDescent="0.2">
      <c r="A190" s="6"/>
      <c r="B190" s="6"/>
      <c r="C190" s="347"/>
      <c r="D190" s="348"/>
      <c r="E190" s="6"/>
    </row>
    <row r="191" spans="1:5" ht="12.75" customHeight="1" x14ac:dyDescent="0.2">
      <c r="A191" s="343" t="s">
        <v>2232</v>
      </c>
      <c r="B191" s="343" t="str">
        <f>Labels!B94</f>
        <v>Financial Exp</v>
      </c>
      <c r="C191" s="344" t="s">
        <v>79</v>
      </c>
      <c r="D191" s="345" t="s">
        <v>1162</v>
      </c>
      <c r="E191" s="346" t="s">
        <v>4206</v>
      </c>
    </row>
    <row r="192" spans="1:5" ht="12.75" customHeight="1" x14ac:dyDescent="0.2">
      <c r="A192" s="6"/>
      <c r="B192" s="6"/>
      <c r="C192" s="347"/>
      <c r="D192" s="348"/>
      <c r="E192" s="6"/>
    </row>
    <row r="193" spans="1:5" ht="12.75" customHeight="1" x14ac:dyDescent="0.2">
      <c r="A193" s="343" t="s">
        <v>3698</v>
      </c>
      <c r="B193" s="343" t="str">
        <f>Labels!B95</f>
        <v>G &amp; A Exp Constants</v>
      </c>
      <c r="C193" s="344"/>
      <c r="D193" s="345"/>
      <c r="E193" s="346"/>
    </row>
    <row r="194" spans="1:5" ht="12.75" customHeight="1" x14ac:dyDescent="0.2">
      <c r="A194" s="6"/>
      <c r="B194" s="6"/>
      <c r="C194" s="347"/>
      <c r="D194" s="348"/>
      <c r="E194" s="6"/>
    </row>
    <row r="195" spans="1:5" ht="12.75" customHeight="1" x14ac:dyDescent="0.2">
      <c r="A195" s="343" t="s">
        <v>1086</v>
      </c>
      <c r="B195" s="343" t="str">
        <f>Labels!B96</f>
        <v>G&amp;A Exp Ratio</v>
      </c>
      <c r="C195" s="344" t="s">
        <v>79</v>
      </c>
      <c r="D195" s="345" t="s">
        <v>1162</v>
      </c>
      <c r="E195" s="346" t="s">
        <v>251</v>
      </c>
    </row>
    <row r="196" spans="1:5" ht="12.75" customHeight="1" x14ac:dyDescent="0.2">
      <c r="A196" s="6"/>
      <c r="B196" s="6"/>
      <c r="C196" s="347"/>
      <c r="D196" s="348"/>
      <c r="E196" s="6"/>
    </row>
    <row r="197" spans="1:5" ht="12.75" customHeight="1" x14ac:dyDescent="0.2">
      <c r="A197" s="343" t="s">
        <v>400</v>
      </c>
      <c r="B197" s="343" t="str">
        <f>Labels!B97</f>
        <v>Gen &amp; Admin Exp</v>
      </c>
      <c r="C197" s="344" t="s">
        <v>4493</v>
      </c>
      <c r="D197" s="345" t="s">
        <v>1162</v>
      </c>
      <c r="E197" s="346" t="s">
        <v>2164</v>
      </c>
    </row>
    <row r="198" spans="1:5" ht="12.75" customHeight="1" x14ac:dyDescent="0.2">
      <c r="A198" s="6"/>
      <c r="B198" s="6"/>
      <c r="C198" s="347"/>
      <c r="D198" s="348"/>
      <c r="E198" s="6"/>
    </row>
    <row r="199" spans="1:5" ht="12.75" customHeight="1" x14ac:dyDescent="0.2">
      <c r="A199" s="343" t="s">
        <v>3963</v>
      </c>
      <c r="B199" s="343" t="str">
        <f>Labels!B98</f>
        <v>Gross Margin</v>
      </c>
      <c r="C199" s="344" t="s">
        <v>986</v>
      </c>
      <c r="D199" s="345" t="s">
        <v>1162</v>
      </c>
      <c r="E199" s="346" t="s">
        <v>4679</v>
      </c>
    </row>
    <row r="200" spans="1:5" ht="12.75" customHeight="1" x14ac:dyDescent="0.2">
      <c r="A200" s="6"/>
      <c r="B200" s="6"/>
      <c r="C200" s="347"/>
      <c r="D200" s="348"/>
      <c r="E200" s="6"/>
    </row>
    <row r="201" spans="1:5" ht="12.75" customHeight="1" x14ac:dyDescent="0.2">
      <c r="A201" s="343" t="s">
        <v>1589</v>
      </c>
      <c r="B201" s="343" t="str">
        <f>Labels!B99</f>
        <v>Gross Margin</v>
      </c>
      <c r="C201" s="344" t="s">
        <v>986</v>
      </c>
      <c r="D201" s="345" t="s">
        <v>1162</v>
      </c>
      <c r="E201" s="346" t="s">
        <v>4679</v>
      </c>
    </row>
    <row r="202" spans="1:5" ht="12.75" customHeight="1" x14ac:dyDescent="0.2">
      <c r="A202" s="6"/>
      <c r="B202" s="6"/>
      <c r="C202" s="347"/>
      <c r="D202" s="348"/>
      <c r="E202" s="6"/>
    </row>
    <row r="203" spans="1:5" ht="12.75" customHeight="1" x14ac:dyDescent="0.2">
      <c r="A203" s="343" t="s">
        <v>5913</v>
      </c>
      <c r="B203" s="343" t="str">
        <f>Labels!B100</f>
        <v>Gross Margin %</v>
      </c>
      <c r="C203" s="344" t="s">
        <v>986</v>
      </c>
      <c r="D203" s="345" t="s">
        <v>24</v>
      </c>
      <c r="E203" s="346" t="s">
        <v>746</v>
      </c>
    </row>
    <row r="204" spans="1:5" ht="12.75" customHeight="1" x14ac:dyDescent="0.2">
      <c r="A204" s="6"/>
      <c r="B204" s="6"/>
      <c r="C204" s="347"/>
      <c r="D204" s="348"/>
      <c r="E204" s="6"/>
    </row>
    <row r="205" spans="1:5" ht="12.75" customHeight="1" x14ac:dyDescent="0.2">
      <c r="A205" s="343" t="s">
        <v>1105</v>
      </c>
      <c r="B205" s="343" t="str">
        <f>Labels!B101</f>
        <v>Gross Margin %</v>
      </c>
      <c r="C205" s="344" t="s">
        <v>986</v>
      </c>
      <c r="D205" s="345" t="s">
        <v>24</v>
      </c>
      <c r="E205" s="346" t="s">
        <v>746</v>
      </c>
    </row>
    <row r="206" spans="1:5" ht="12.75" customHeight="1" x14ac:dyDescent="0.2">
      <c r="A206" s="6"/>
      <c r="B206" s="6"/>
      <c r="C206" s="347"/>
      <c r="D206" s="348"/>
      <c r="E206" s="6"/>
    </row>
    <row r="207" spans="1:5" ht="12.75" customHeight="1" x14ac:dyDescent="0.2">
      <c r="A207" s="343" t="s">
        <v>5351</v>
      </c>
      <c r="B207" s="343" t="str">
        <f>Labels!B102</f>
        <v>Ident Engage Channel</v>
      </c>
      <c r="C207" s="344" t="s">
        <v>2209</v>
      </c>
      <c r="D207" s="345" t="s">
        <v>1162</v>
      </c>
      <c r="E207" s="346" t="s">
        <v>2093</v>
      </c>
    </row>
    <row r="208" spans="1:5" ht="12.75" customHeight="1" x14ac:dyDescent="0.2">
      <c r="A208" s="6"/>
      <c r="B208" s="6"/>
      <c r="C208" s="347"/>
      <c r="D208" s="348"/>
      <c r="E208" s="6"/>
    </row>
    <row r="209" spans="1:5" ht="12.75" customHeight="1" x14ac:dyDescent="0.2">
      <c r="A209" s="343" t="s">
        <v>422</v>
      </c>
      <c r="B209" s="343" t="str">
        <f>Labels!B103</f>
        <v>Ident Engage Practice Area</v>
      </c>
      <c r="C209" s="344" t="s">
        <v>1534</v>
      </c>
      <c r="D209" s="345" t="s">
        <v>1162</v>
      </c>
      <c r="E209" s="346" t="s">
        <v>5589</v>
      </c>
    </row>
    <row r="210" spans="1:5" ht="12.75" customHeight="1" x14ac:dyDescent="0.2">
      <c r="A210" s="6"/>
      <c r="B210" s="6"/>
      <c r="C210" s="347"/>
      <c r="D210" s="348"/>
      <c r="E210" s="6"/>
    </row>
    <row r="211" spans="1:5" ht="12.75" customHeight="1" x14ac:dyDescent="0.2">
      <c r="A211" s="343" t="s">
        <v>774</v>
      </c>
      <c r="B211" s="343" t="str">
        <f>Labels!B104</f>
        <v>Income Tax</v>
      </c>
      <c r="C211" s="344" t="s">
        <v>79</v>
      </c>
      <c r="D211" s="345" t="s">
        <v>1162</v>
      </c>
      <c r="E211" s="346" t="s">
        <v>3495</v>
      </c>
    </row>
    <row r="212" spans="1:5" ht="12.75" customHeight="1" x14ac:dyDescent="0.2">
      <c r="A212" s="6"/>
      <c r="B212" s="6"/>
      <c r="C212" s="347"/>
      <c r="D212" s="348"/>
      <c r="E212" s="6"/>
    </row>
    <row r="213" spans="1:5" ht="12.75" customHeight="1" x14ac:dyDescent="0.2">
      <c r="A213" s="343" t="s">
        <v>826</v>
      </c>
      <c r="B213" s="343" t="str">
        <f>Labels!B105</f>
        <v>Income Tax Rate</v>
      </c>
      <c r="C213" s="344" t="s">
        <v>79</v>
      </c>
      <c r="D213" s="345" t="s">
        <v>1162</v>
      </c>
      <c r="E213" s="346" t="s">
        <v>1246</v>
      </c>
    </row>
    <row r="214" spans="1:5" ht="12.75" customHeight="1" x14ac:dyDescent="0.2">
      <c r="A214" s="6"/>
      <c r="B214" s="6"/>
      <c r="C214" s="347"/>
      <c r="D214" s="348"/>
      <c r="E214" s="6"/>
    </row>
    <row r="215" spans="1:5" ht="12.75" customHeight="1" x14ac:dyDescent="0.2">
      <c r="A215" s="343" t="s">
        <v>5468</v>
      </c>
      <c r="B215" s="343" t="str">
        <f>Labels!B106</f>
        <v>Net Interest Expense</v>
      </c>
      <c r="C215" s="344" t="s">
        <v>79</v>
      </c>
      <c r="D215" s="345" t="s">
        <v>1162</v>
      </c>
      <c r="E215" s="346" t="s">
        <v>3102</v>
      </c>
    </row>
    <row r="216" spans="1:5" ht="12.75" customHeight="1" x14ac:dyDescent="0.2">
      <c r="A216" s="6"/>
      <c r="B216" s="6"/>
      <c r="C216" s="347"/>
      <c r="D216" s="348"/>
      <c r="E216" s="6"/>
    </row>
    <row r="217" spans="1:5" ht="12.75" customHeight="1" x14ac:dyDescent="0.2">
      <c r="A217" s="343" t="s">
        <v>4829</v>
      </c>
      <c r="B217" s="343" t="str">
        <f>Labels!B107</f>
        <v>Interest % Earned on Cash (Yr)</v>
      </c>
      <c r="C217" s="344" t="s">
        <v>79</v>
      </c>
      <c r="D217" s="345" t="s">
        <v>1162</v>
      </c>
      <c r="E217" s="346" t="s">
        <v>1246</v>
      </c>
    </row>
    <row r="218" spans="1:5" ht="12.75" customHeight="1" x14ac:dyDescent="0.2">
      <c r="A218" s="6"/>
      <c r="B218" s="6"/>
      <c r="C218" s="347"/>
      <c r="D218" s="348"/>
      <c r="E218" s="6"/>
    </row>
    <row r="219" spans="1:5" ht="12.75" customHeight="1" x14ac:dyDescent="0.2">
      <c r="A219" s="343" t="s">
        <v>71</v>
      </c>
      <c r="B219" s="343" t="str">
        <f>Labels!B108</f>
        <v>Long Interest Rate (Yr)</v>
      </c>
      <c r="C219" s="344" t="s">
        <v>79</v>
      </c>
      <c r="D219" s="345" t="s">
        <v>1162</v>
      </c>
      <c r="E219" s="346" t="s">
        <v>1246</v>
      </c>
    </row>
    <row r="220" spans="1:5" ht="12.75" customHeight="1" x14ac:dyDescent="0.2">
      <c r="A220" s="6"/>
      <c r="B220" s="6"/>
      <c r="C220" s="347"/>
      <c r="D220" s="348"/>
      <c r="E220" s="6"/>
    </row>
    <row r="221" spans="1:5" ht="12.75" customHeight="1" x14ac:dyDescent="0.2">
      <c r="A221" s="343" t="s">
        <v>3220</v>
      </c>
      <c r="B221" s="343" t="str">
        <f>Labels!B109</f>
        <v>Short Interest Rate (Yr)</v>
      </c>
      <c r="C221" s="344" t="s">
        <v>79</v>
      </c>
      <c r="D221" s="345" t="s">
        <v>1162</v>
      </c>
      <c r="E221" s="346" t="s">
        <v>1246</v>
      </c>
    </row>
    <row r="222" spans="1:5" ht="12.75" customHeight="1" x14ac:dyDescent="0.2">
      <c r="A222" s="6"/>
      <c r="B222" s="6"/>
      <c r="C222" s="347"/>
      <c r="D222" s="348"/>
      <c r="E222" s="6"/>
    </row>
    <row r="223" spans="1:5" ht="12.75" customHeight="1" x14ac:dyDescent="0.2">
      <c r="A223" s="343" t="s">
        <v>4243</v>
      </c>
      <c r="B223" s="343" t="str">
        <f>Labels!B110</f>
        <v>IRR Cash Flow no Tail</v>
      </c>
      <c r="C223" s="344" t="s">
        <v>79</v>
      </c>
      <c r="D223" s="345" t="s">
        <v>1162</v>
      </c>
      <c r="E223" s="346" t="s">
        <v>788</v>
      </c>
    </row>
    <row r="224" spans="1:5" ht="12.75" customHeight="1" x14ac:dyDescent="0.2">
      <c r="A224" s="6"/>
      <c r="B224" s="6"/>
      <c r="C224" s="347"/>
      <c r="D224" s="348"/>
      <c r="E224" s="6"/>
    </row>
    <row r="225" spans="1:5" ht="12.75" customHeight="1" x14ac:dyDescent="0.2">
      <c r="A225" s="343" t="s">
        <v>4862</v>
      </c>
      <c r="B225" s="343" t="str">
        <f>Labels!B111</f>
        <v>IRR Cash Flow w Tail</v>
      </c>
      <c r="C225" s="344" t="s">
        <v>79</v>
      </c>
      <c r="D225" s="345" t="s">
        <v>1162</v>
      </c>
      <c r="E225" s="346" t="s">
        <v>3537</v>
      </c>
    </row>
    <row r="226" spans="1:5" ht="12.75" customHeight="1" x14ac:dyDescent="0.2">
      <c r="A226" s="6"/>
      <c r="B226" s="6"/>
      <c r="C226" s="347"/>
      <c r="D226" s="348"/>
      <c r="E226" s="6"/>
    </row>
    <row r="227" spans="1:5" ht="12.75" customHeight="1" x14ac:dyDescent="0.2">
      <c r="A227" s="343" t="s">
        <v>5675</v>
      </c>
      <c r="B227" s="343" t="str">
        <f>Labels!B112</f>
        <v>IRR Guess Model Time (Yr)</v>
      </c>
      <c r="C227" s="344"/>
      <c r="D227" s="345"/>
      <c r="E227" s="346"/>
    </row>
    <row r="228" spans="1:5" ht="12.75" customHeight="1" x14ac:dyDescent="0.2">
      <c r="A228" s="6"/>
      <c r="B228" s="6"/>
      <c r="C228" s="347"/>
      <c r="D228" s="348"/>
      <c r="E228" s="6"/>
    </row>
    <row r="229" spans="1:5" ht="12.75" customHeight="1" x14ac:dyDescent="0.2">
      <c r="A229" s="343" t="s">
        <v>2175</v>
      </c>
      <c r="B229" s="343" t="str">
        <f>Labels!B113</f>
        <v>IRR Guess w Tail (Yr)</v>
      </c>
      <c r="C229" s="344"/>
      <c r="D229" s="345"/>
      <c r="E229" s="346"/>
    </row>
    <row r="230" spans="1:5" ht="12.75" customHeight="1" x14ac:dyDescent="0.2">
      <c r="A230" s="6"/>
      <c r="B230" s="6"/>
      <c r="C230" s="347"/>
      <c r="D230" s="348"/>
      <c r="E230" s="6"/>
    </row>
    <row r="231" spans="1:5" ht="12.75" customHeight="1" x14ac:dyDescent="0.2">
      <c r="A231" s="343" t="s">
        <v>4636</v>
      </c>
      <c r="B231" s="343" t="str">
        <f>Labels!B114</f>
        <v>IRR Model Time (Yr)</v>
      </c>
      <c r="C231" s="344" t="s">
        <v>79</v>
      </c>
      <c r="D231" s="345" t="s">
        <v>1162</v>
      </c>
      <c r="E231" s="346" t="s">
        <v>5435</v>
      </c>
    </row>
    <row r="232" spans="1:5" ht="12.75" customHeight="1" x14ac:dyDescent="0.2">
      <c r="A232" s="6"/>
      <c r="B232" s="6"/>
      <c r="C232" s="347"/>
      <c r="D232" s="348"/>
      <c r="E232" s="6"/>
    </row>
    <row r="233" spans="1:5" ht="12.75" customHeight="1" x14ac:dyDescent="0.2">
      <c r="A233" s="343" t="s">
        <v>1161</v>
      </c>
      <c r="B233" s="343" t="str">
        <f>Labels!B115</f>
        <v>IRR with Tail (Yr)</v>
      </c>
      <c r="C233" s="344" t="s">
        <v>79</v>
      </c>
      <c r="D233" s="345" t="s">
        <v>1162</v>
      </c>
      <c r="E233" s="346" t="s">
        <v>5478</v>
      </c>
    </row>
    <row r="234" spans="1:5" ht="12.75" customHeight="1" x14ac:dyDescent="0.2">
      <c r="A234" s="6"/>
      <c r="B234" s="6"/>
      <c r="C234" s="347"/>
      <c r="D234" s="348"/>
      <c r="E234" s="6"/>
    </row>
    <row r="235" spans="1:5" ht="12.75" customHeight="1" x14ac:dyDescent="0.2">
      <c r="A235" s="343" t="s">
        <v>5368</v>
      </c>
      <c r="B235" s="343" t="str">
        <f>Labels!B116</f>
        <v>Liabilities</v>
      </c>
      <c r="C235" s="344" t="s">
        <v>2308</v>
      </c>
      <c r="D235" s="345" t="s">
        <v>1162</v>
      </c>
      <c r="E235" s="346" t="s">
        <v>3937</v>
      </c>
    </row>
    <row r="236" spans="1:5" ht="12.75" customHeight="1" x14ac:dyDescent="0.2">
      <c r="A236" s="343"/>
      <c r="B236" s="343"/>
      <c r="C236" s="344" t="s">
        <v>525</v>
      </c>
      <c r="D236" s="345" t="s">
        <v>1162</v>
      </c>
      <c r="E236" s="346" t="s">
        <v>253</v>
      </c>
    </row>
    <row r="237" spans="1:5" ht="12.75" customHeight="1" x14ac:dyDescent="0.2">
      <c r="A237" s="343"/>
      <c r="B237" s="343"/>
      <c r="C237" s="344" t="s">
        <v>2513</v>
      </c>
      <c r="D237" s="345" t="s">
        <v>1162</v>
      </c>
      <c r="E237" s="346" t="s">
        <v>1940</v>
      </c>
    </row>
    <row r="238" spans="1:5" ht="12.75" customHeight="1" x14ac:dyDescent="0.2">
      <c r="A238" s="343"/>
      <c r="B238" s="343"/>
      <c r="C238" s="344" t="s">
        <v>1574</v>
      </c>
      <c r="D238" s="345" t="s">
        <v>1162</v>
      </c>
      <c r="E238" s="346" t="s">
        <v>2954</v>
      </c>
    </row>
    <row r="239" spans="1:5" ht="12.75" customHeight="1" x14ac:dyDescent="0.2">
      <c r="A239" s="6"/>
      <c r="B239" s="6"/>
      <c r="C239" s="347"/>
      <c r="D239" s="348"/>
      <c r="E239" s="6"/>
    </row>
    <row r="240" spans="1:5" ht="12.75" customHeight="1" x14ac:dyDescent="0.2">
      <c r="A240" s="343" t="s">
        <v>229</v>
      </c>
      <c r="B240" s="343" t="str">
        <f>Labels!B117</f>
        <v>Long Asset Purch</v>
      </c>
      <c r="C240" s="344" t="s">
        <v>79</v>
      </c>
      <c r="D240" s="345" t="s">
        <v>1162</v>
      </c>
      <c r="E240" s="346" t="s">
        <v>2392</v>
      </c>
    </row>
    <row r="241" spans="1:5" ht="12.75" customHeight="1" x14ac:dyDescent="0.2">
      <c r="A241" s="6"/>
      <c r="B241" s="6"/>
      <c r="C241" s="347"/>
      <c r="D241" s="348"/>
      <c r="E241" s="6"/>
    </row>
    <row r="242" spans="1:5" ht="12.75" customHeight="1" x14ac:dyDescent="0.2">
      <c r="A242" s="343" t="s">
        <v>4776</v>
      </c>
      <c r="B242" s="343" t="str">
        <f>Labels!B118</f>
        <v>Long Term Assets</v>
      </c>
      <c r="C242" s="344" t="s">
        <v>79</v>
      </c>
      <c r="D242" s="345" t="s">
        <v>1162</v>
      </c>
      <c r="E242" s="346" t="s">
        <v>3561</v>
      </c>
    </row>
    <row r="243" spans="1:5" ht="12.75" customHeight="1" x14ac:dyDescent="0.2">
      <c r="A243" s="6"/>
      <c r="B243" s="6"/>
      <c r="C243" s="347"/>
      <c r="D243" s="348"/>
      <c r="E243" s="6"/>
    </row>
    <row r="244" spans="1:5" ht="12.75" customHeight="1" x14ac:dyDescent="0.2">
      <c r="A244" s="343" t="s">
        <v>3937</v>
      </c>
      <c r="B244" s="343" t="str">
        <f>Labels!B119</f>
        <v>Long Term Loans</v>
      </c>
      <c r="C244" s="344" t="s">
        <v>79</v>
      </c>
      <c r="D244" s="345" t="s">
        <v>1162</v>
      </c>
      <c r="E244" s="346" t="s">
        <v>1246</v>
      </c>
    </row>
    <row r="245" spans="1:5" ht="12.75" customHeight="1" x14ac:dyDescent="0.2">
      <c r="A245" s="6"/>
      <c r="B245" s="6"/>
      <c r="C245" s="347"/>
      <c r="D245" s="348"/>
      <c r="E245" s="6"/>
    </row>
    <row r="246" spans="1:5" ht="12.75" customHeight="1" x14ac:dyDescent="0.2">
      <c r="A246" s="343" t="s">
        <v>5566</v>
      </c>
      <c r="B246" s="343" t="str">
        <f>Labels!B120</f>
        <v>Loss Carry Forward</v>
      </c>
      <c r="C246" s="344" t="s">
        <v>79</v>
      </c>
      <c r="D246" s="345" t="s">
        <v>1162</v>
      </c>
      <c r="E246" s="346" t="s">
        <v>3866</v>
      </c>
    </row>
    <row r="247" spans="1:5" ht="12.75" customHeight="1" x14ac:dyDescent="0.2">
      <c r="A247" s="6"/>
      <c r="B247" s="6"/>
      <c r="C247" s="347"/>
      <c r="D247" s="348"/>
      <c r="E247" s="6"/>
    </row>
    <row r="248" spans="1:5" ht="12.75" customHeight="1" x14ac:dyDescent="0.2">
      <c r="A248" s="343" t="s">
        <v>3396</v>
      </c>
      <c r="B248" s="343" t="str">
        <f>Labels!B121</f>
        <v>Mktg Exp Ratio</v>
      </c>
      <c r="C248" s="344" t="s">
        <v>79</v>
      </c>
      <c r="D248" s="345" t="s">
        <v>1162</v>
      </c>
      <c r="E248" s="346" t="s">
        <v>1367</v>
      </c>
    </row>
    <row r="249" spans="1:5" ht="12.75" customHeight="1" x14ac:dyDescent="0.2">
      <c r="A249" s="6"/>
      <c r="B249" s="6"/>
      <c r="C249" s="347"/>
      <c r="D249" s="348"/>
      <c r="E249" s="6"/>
    </row>
    <row r="250" spans="1:5" ht="12.75" customHeight="1" x14ac:dyDescent="0.2">
      <c r="A250" s="343" t="s">
        <v>1904</v>
      </c>
      <c r="B250" s="343" t="str">
        <f>Labels!B122</f>
        <v>Mktg Expense</v>
      </c>
      <c r="C250" s="344" t="s">
        <v>79</v>
      </c>
      <c r="D250" s="345" t="s">
        <v>1162</v>
      </c>
      <c r="E250" s="346" t="s">
        <v>4445</v>
      </c>
    </row>
    <row r="251" spans="1:5" ht="12.75" customHeight="1" x14ac:dyDescent="0.2">
      <c r="A251" s="6"/>
      <c r="B251" s="6"/>
      <c r="C251" s="347"/>
      <c r="D251" s="348"/>
      <c r="E251" s="6"/>
    </row>
    <row r="252" spans="1:5" ht="12.75" customHeight="1" x14ac:dyDescent="0.2">
      <c r="A252" s="343" t="s">
        <v>610</v>
      </c>
      <c r="B252" s="343" t="str">
        <f>Labels!B123</f>
        <v>Mktg Pgms Early Cutover</v>
      </c>
      <c r="C252" s="344" t="s">
        <v>79</v>
      </c>
      <c r="D252" s="345" t="s">
        <v>1162</v>
      </c>
      <c r="E252" s="346" t="s">
        <v>31</v>
      </c>
    </row>
    <row r="253" spans="1:5" ht="12.75" customHeight="1" x14ac:dyDescent="0.2">
      <c r="A253" s="6"/>
      <c r="B253" s="6"/>
      <c r="C253" s="347"/>
      <c r="D253" s="348"/>
      <c r="E253" s="6"/>
    </row>
    <row r="254" spans="1:5" ht="12.75" customHeight="1" x14ac:dyDescent="0.2">
      <c r="A254" s="343" t="s">
        <v>5088</v>
      </c>
      <c r="B254" s="343" t="str">
        <f>Labels!B124</f>
        <v>Mktg Programs Exp</v>
      </c>
      <c r="C254" s="344" t="s">
        <v>705</v>
      </c>
      <c r="D254" s="345" t="s">
        <v>1162</v>
      </c>
      <c r="E254" s="346" t="s">
        <v>2258</v>
      </c>
    </row>
    <row r="255" spans="1:5" ht="12.75" customHeight="1" x14ac:dyDescent="0.2">
      <c r="A255" s="6"/>
      <c r="B255" s="6"/>
      <c r="C255" s="347"/>
      <c r="D255" s="348"/>
      <c r="E255" s="6"/>
    </row>
    <row r="256" spans="1:5" ht="12.75" customHeight="1" x14ac:dyDescent="0.2">
      <c r="A256" s="343" t="s">
        <v>3936</v>
      </c>
      <c r="B256" s="343" t="str">
        <f>Labels!B125</f>
        <v>Mktg Pgms Exp Early</v>
      </c>
      <c r="C256" s="344" t="s">
        <v>705</v>
      </c>
      <c r="D256" s="345" t="s">
        <v>1162</v>
      </c>
      <c r="E256" s="346" t="s">
        <v>4768</v>
      </c>
    </row>
    <row r="257" spans="1:5" ht="12.75" customHeight="1" x14ac:dyDescent="0.2">
      <c r="A257" s="6"/>
      <c r="B257" s="6"/>
      <c r="C257" s="347"/>
      <c r="D257" s="348"/>
      <c r="E257" s="6"/>
    </row>
    <row r="258" spans="1:5" ht="12.75" customHeight="1" x14ac:dyDescent="0.2">
      <c r="A258" s="343" t="s">
        <v>2334</v>
      </c>
      <c r="B258" s="343" t="str">
        <f>Labels!B126</f>
        <v>Mktg Prog K</v>
      </c>
      <c r="C258" s="344"/>
      <c r="D258" s="345"/>
      <c r="E258" s="346"/>
    </row>
    <row r="259" spans="1:5" ht="12.75" customHeight="1" x14ac:dyDescent="0.2">
      <c r="A259" s="6"/>
      <c r="B259" s="6"/>
      <c r="C259" s="347"/>
      <c r="D259" s="348"/>
      <c r="E259" s="6"/>
    </row>
    <row r="260" spans="1:5" ht="12.75" customHeight="1" x14ac:dyDescent="0.2">
      <c r="A260" s="343" t="s">
        <v>3417</v>
      </c>
      <c r="B260" s="343" t="str">
        <f>Labels!B127</f>
        <v>Net Income</v>
      </c>
      <c r="C260" s="344" t="s">
        <v>79</v>
      </c>
      <c r="D260" s="345" t="s">
        <v>1162</v>
      </c>
      <c r="E260" s="346" t="s">
        <v>5710</v>
      </c>
    </row>
    <row r="261" spans="1:5" ht="12.75" customHeight="1" x14ac:dyDescent="0.2">
      <c r="A261" s="6"/>
      <c r="B261" s="6"/>
      <c r="C261" s="347"/>
      <c r="D261" s="348"/>
      <c r="E261" s="6"/>
    </row>
    <row r="262" spans="1:5" ht="12.75" customHeight="1" x14ac:dyDescent="0.2">
      <c r="A262" s="343" t="s">
        <v>3634</v>
      </c>
      <c r="B262" s="343" t="str">
        <f>Labels!B128</f>
        <v>Net Stock Issue</v>
      </c>
      <c r="C262" s="344" t="s">
        <v>79</v>
      </c>
      <c r="D262" s="345" t="s">
        <v>1162</v>
      </c>
      <c r="E262" s="346" t="s">
        <v>2954</v>
      </c>
    </row>
    <row r="263" spans="1:5" ht="12.75" customHeight="1" x14ac:dyDescent="0.2">
      <c r="A263" s="6"/>
      <c r="B263" s="6"/>
      <c r="C263" s="347"/>
      <c r="D263" s="348"/>
      <c r="E263" s="6"/>
    </row>
    <row r="264" spans="1:5" ht="12.75" customHeight="1" x14ac:dyDescent="0.2">
      <c r="A264" s="343" t="s">
        <v>2599</v>
      </c>
      <c r="B264" s="343" t="str">
        <f>Labels!B129</f>
        <v>Net Stock Issue</v>
      </c>
      <c r="C264" s="344" t="s">
        <v>79</v>
      </c>
      <c r="D264" s="345" t="s">
        <v>1162</v>
      </c>
      <c r="E264" s="346" t="s">
        <v>3634</v>
      </c>
    </row>
    <row r="265" spans="1:5" ht="12.75" customHeight="1" x14ac:dyDescent="0.2">
      <c r="A265" s="6"/>
      <c r="B265" s="6"/>
      <c r="C265" s="347"/>
      <c r="D265" s="348"/>
      <c r="E265" s="6"/>
    </row>
    <row r="266" spans="1:5" ht="12.75" customHeight="1" x14ac:dyDescent="0.2">
      <c r="A266" s="343" t="s">
        <v>111</v>
      </c>
      <c r="B266" s="343" t="str">
        <f>Labels!B130</f>
        <v>Office Maint ($/sqf/Yr)</v>
      </c>
      <c r="C266" s="344" t="s">
        <v>79</v>
      </c>
      <c r="D266" s="345" t="s">
        <v>1162</v>
      </c>
      <c r="E266" s="346" t="s">
        <v>1246</v>
      </c>
    </row>
    <row r="267" spans="1:5" ht="12.75" customHeight="1" x14ac:dyDescent="0.2">
      <c r="A267" s="6"/>
      <c r="B267" s="6"/>
      <c r="C267" s="347"/>
      <c r="D267" s="348"/>
      <c r="E267" s="6"/>
    </row>
    <row r="268" spans="1:5" ht="12.75" customHeight="1" x14ac:dyDescent="0.2">
      <c r="A268" s="343" t="s">
        <v>2183</v>
      </c>
      <c r="B268" s="343" t="str">
        <f>Labels!B131</f>
        <v>Office Rent ($/sqf/Yr)</v>
      </c>
      <c r="C268" s="344" t="s">
        <v>79</v>
      </c>
      <c r="D268" s="345" t="s">
        <v>1162</v>
      </c>
      <c r="E268" s="346" t="s">
        <v>1246</v>
      </c>
    </row>
    <row r="269" spans="1:5" ht="12.75" customHeight="1" x14ac:dyDescent="0.2">
      <c r="A269" s="6"/>
      <c r="B269" s="6"/>
      <c r="C269" s="347"/>
      <c r="D269" s="348"/>
      <c r="E269" s="6"/>
    </row>
    <row r="270" spans="1:5" ht="12.75" customHeight="1" x14ac:dyDescent="0.2">
      <c r="A270" s="343" t="s">
        <v>3738</v>
      </c>
      <c r="B270" s="343" t="str">
        <f>Labels!B132</f>
        <v>Office Space (Ksqf/Person)</v>
      </c>
      <c r="C270" s="344" t="s">
        <v>79</v>
      </c>
      <c r="D270" s="345" t="s">
        <v>1162</v>
      </c>
      <c r="E270" s="346" t="s">
        <v>1246</v>
      </c>
    </row>
    <row r="271" spans="1:5" ht="12.75" customHeight="1" x14ac:dyDescent="0.2">
      <c r="A271" s="6"/>
      <c r="B271" s="6"/>
      <c r="C271" s="347"/>
      <c r="D271" s="348"/>
      <c r="E271" s="6"/>
    </row>
    <row r="272" spans="1:5" ht="12.75" customHeight="1" x14ac:dyDescent="0.2">
      <c r="A272" s="343" t="s">
        <v>3239</v>
      </c>
      <c r="B272" s="343" t="str">
        <f>Labels!B133</f>
        <v>Office Utilities ($/sqf/Yr)</v>
      </c>
      <c r="C272" s="344" t="s">
        <v>79</v>
      </c>
      <c r="D272" s="345" t="s">
        <v>1162</v>
      </c>
      <c r="E272" s="346" t="s">
        <v>1246</v>
      </c>
    </row>
    <row r="273" spans="1:5" ht="12.75" customHeight="1" x14ac:dyDescent="0.2">
      <c r="A273" s="6"/>
      <c r="B273" s="6"/>
      <c r="C273" s="347"/>
      <c r="D273" s="348"/>
      <c r="E273" s="6"/>
    </row>
    <row r="274" spans="1:5" ht="12.75" customHeight="1" x14ac:dyDescent="0.2">
      <c r="A274" s="343" t="s">
        <v>5450</v>
      </c>
      <c r="B274" s="343" t="str">
        <f>Labels!B134</f>
        <v>Oper Exp Ratio</v>
      </c>
      <c r="C274" s="344" t="s">
        <v>79</v>
      </c>
      <c r="D274" s="345" t="s">
        <v>1162</v>
      </c>
      <c r="E274" s="346" t="s">
        <v>2539</v>
      </c>
    </row>
    <row r="275" spans="1:5" ht="12.75" customHeight="1" x14ac:dyDescent="0.2">
      <c r="A275" s="6"/>
      <c r="B275" s="6"/>
      <c r="C275" s="347"/>
      <c r="D275" s="348"/>
      <c r="E275" s="6"/>
    </row>
    <row r="276" spans="1:5" ht="12.75" customHeight="1" x14ac:dyDescent="0.2">
      <c r="A276" s="343" t="s">
        <v>2057</v>
      </c>
      <c r="B276" s="343" t="str">
        <f>Labels!B135</f>
        <v>Operating Expense</v>
      </c>
      <c r="C276" s="344" t="s">
        <v>3459</v>
      </c>
      <c r="D276" s="345" t="s">
        <v>1162</v>
      </c>
      <c r="E276" s="346" t="s">
        <v>1868</v>
      </c>
    </row>
    <row r="277" spans="1:5" ht="12.75" customHeight="1" x14ac:dyDescent="0.2">
      <c r="A277" s="343"/>
      <c r="B277" s="343"/>
      <c r="C277" s="344" t="s">
        <v>5558</v>
      </c>
      <c r="D277" s="345" t="s">
        <v>1162</v>
      </c>
      <c r="E277" s="346" t="s">
        <v>1437</v>
      </c>
    </row>
    <row r="278" spans="1:5" ht="12.75" customHeight="1" x14ac:dyDescent="0.2">
      <c r="A278" s="343"/>
      <c r="B278" s="343"/>
      <c r="C278" s="344" t="s">
        <v>5190</v>
      </c>
      <c r="D278" s="345" t="s">
        <v>1162</v>
      </c>
      <c r="E278" s="346" t="s">
        <v>22</v>
      </c>
    </row>
    <row r="279" spans="1:5" ht="12.75" customHeight="1" x14ac:dyDescent="0.2">
      <c r="A279" s="343"/>
      <c r="B279" s="343"/>
      <c r="C279" s="344" t="s">
        <v>1691</v>
      </c>
      <c r="D279" s="345" t="s">
        <v>1162</v>
      </c>
      <c r="E279" s="346" t="s">
        <v>953</v>
      </c>
    </row>
    <row r="280" spans="1:5" ht="12.75" customHeight="1" x14ac:dyDescent="0.2">
      <c r="A280" s="343"/>
      <c r="B280" s="343"/>
      <c r="C280" s="344" t="s">
        <v>2849</v>
      </c>
      <c r="D280" s="345" t="s">
        <v>1162</v>
      </c>
      <c r="E280" s="346" t="s">
        <v>3673</v>
      </c>
    </row>
    <row r="281" spans="1:5" ht="12.75" customHeight="1" x14ac:dyDescent="0.2">
      <c r="A281" s="343"/>
      <c r="B281" s="343"/>
      <c r="C281" s="344" t="s">
        <v>4822</v>
      </c>
      <c r="D281" s="345" t="s">
        <v>1162</v>
      </c>
      <c r="E281" s="346" t="s">
        <v>3571</v>
      </c>
    </row>
    <row r="282" spans="1:5" ht="12.75" customHeight="1" x14ac:dyDescent="0.2">
      <c r="A282" s="6"/>
      <c r="B282" s="6"/>
      <c r="C282" s="347"/>
      <c r="D282" s="348"/>
      <c r="E282" s="6"/>
    </row>
    <row r="283" spans="1:5" ht="12.75" customHeight="1" x14ac:dyDescent="0.2">
      <c r="A283" s="343" t="s">
        <v>5777</v>
      </c>
      <c r="B283" s="343" t="str">
        <f>Labels!B136</f>
        <v>Operating Margin</v>
      </c>
      <c r="C283" s="344" t="s">
        <v>79</v>
      </c>
      <c r="D283" s="345" t="s">
        <v>1162</v>
      </c>
      <c r="E283" s="346" t="s">
        <v>3724</v>
      </c>
    </row>
    <row r="284" spans="1:5" ht="12.75" customHeight="1" x14ac:dyDescent="0.2">
      <c r="A284" s="6"/>
      <c r="B284" s="6"/>
      <c r="C284" s="347"/>
      <c r="D284" s="348"/>
      <c r="E284" s="6"/>
    </row>
    <row r="285" spans="1:5" ht="12.75" customHeight="1" x14ac:dyDescent="0.2">
      <c r="A285" s="343" t="s">
        <v>952</v>
      </c>
      <c r="B285" s="343" t="str">
        <f>Labels!B137</f>
        <v>Operating Margin %</v>
      </c>
      <c r="C285" s="344" t="s">
        <v>79</v>
      </c>
      <c r="D285" s="345" t="s">
        <v>24</v>
      </c>
      <c r="E285" s="346" t="s">
        <v>85</v>
      </c>
    </row>
    <row r="286" spans="1:5" ht="12.75" customHeight="1" x14ac:dyDescent="0.2">
      <c r="A286" s="6"/>
      <c r="B286" s="6"/>
      <c r="C286" s="347"/>
      <c r="D286" s="348"/>
      <c r="E286" s="6"/>
    </row>
    <row r="287" spans="1:5" ht="12.75" customHeight="1" x14ac:dyDescent="0.2">
      <c r="A287" s="343" t="s">
        <v>2871</v>
      </c>
      <c r="B287" s="343" t="str">
        <f>Labels!B138</f>
        <v>Order Backlog</v>
      </c>
      <c r="C287" s="344" t="s">
        <v>986</v>
      </c>
      <c r="D287" s="345" t="s">
        <v>1162</v>
      </c>
      <c r="E287" s="346" t="s">
        <v>5348</v>
      </c>
    </row>
    <row r="288" spans="1:5" ht="12.75" customHeight="1" x14ac:dyDescent="0.2">
      <c r="A288" s="6"/>
      <c r="B288" s="6"/>
      <c r="C288" s="347"/>
      <c r="D288" s="348"/>
      <c r="E288" s="6"/>
    </row>
    <row r="289" spans="1:5" ht="12.75" customHeight="1" x14ac:dyDescent="0.2">
      <c r="A289" s="343" t="s">
        <v>3694</v>
      </c>
      <c r="B289" s="343" t="str">
        <f>Labels!B139</f>
        <v>Order Backlog (Hrs)</v>
      </c>
      <c r="C289" s="344" t="s">
        <v>986</v>
      </c>
      <c r="D289" s="345" t="s">
        <v>1162</v>
      </c>
      <c r="E289" s="346" t="s">
        <v>1102</v>
      </c>
    </row>
    <row r="290" spans="1:5" ht="12.75" customHeight="1" x14ac:dyDescent="0.2">
      <c r="A290" s="6"/>
      <c r="B290" s="6"/>
      <c r="C290" s="347"/>
      <c r="D290" s="348"/>
      <c r="E290" s="6"/>
    </row>
    <row r="291" spans="1:5" ht="12.75" customHeight="1" x14ac:dyDescent="0.2">
      <c r="A291" s="343" t="s">
        <v>1228</v>
      </c>
      <c r="B291" s="343" t="str">
        <f>Labels!B140</f>
        <v>Backlog (Hrs)</v>
      </c>
      <c r="C291" s="344" t="s">
        <v>986</v>
      </c>
      <c r="D291" s="345" t="s">
        <v>1162</v>
      </c>
      <c r="E291" s="346" t="s">
        <v>2448</v>
      </c>
    </row>
    <row r="292" spans="1:5" ht="12.75" customHeight="1" x14ac:dyDescent="0.2">
      <c r="A292" s="6"/>
      <c r="B292" s="6"/>
      <c r="C292" s="347"/>
      <c r="D292" s="348"/>
      <c r="E292" s="6"/>
    </row>
    <row r="293" spans="1:5" ht="12.75" customHeight="1" x14ac:dyDescent="0.2">
      <c r="A293" s="343" t="s">
        <v>4635</v>
      </c>
      <c r="B293" s="343" t="str">
        <f>Labels!B141</f>
        <v>Orders Filled</v>
      </c>
      <c r="C293" s="344" t="s">
        <v>986</v>
      </c>
      <c r="D293" s="345" t="s">
        <v>1162</v>
      </c>
      <c r="E293" s="346" t="s">
        <v>3517</v>
      </c>
    </row>
    <row r="294" spans="1:5" ht="12.75" customHeight="1" x14ac:dyDescent="0.2">
      <c r="A294" s="6"/>
      <c r="B294" s="6"/>
      <c r="C294" s="347"/>
      <c r="D294" s="348"/>
      <c r="E294" s="6"/>
    </row>
    <row r="295" spans="1:5" ht="12.75" customHeight="1" x14ac:dyDescent="0.2">
      <c r="A295" s="343" t="s">
        <v>4610</v>
      </c>
      <c r="B295" s="343" t="str">
        <f>Labels!B142</f>
        <v>Orders (Billed Hrs)</v>
      </c>
      <c r="C295" s="344" t="s">
        <v>986</v>
      </c>
      <c r="D295" s="345" t="s">
        <v>1162</v>
      </c>
      <c r="E295" s="346" t="s">
        <v>1827</v>
      </c>
    </row>
    <row r="296" spans="1:5" ht="12.75" customHeight="1" x14ac:dyDescent="0.2">
      <c r="A296" s="6"/>
      <c r="B296" s="6"/>
      <c r="C296" s="347"/>
      <c r="D296" s="348"/>
      <c r="E296" s="6"/>
    </row>
    <row r="297" spans="1:5" ht="12.75" customHeight="1" x14ac:dyDescent="0.2">
      <c r="A297" s="343" t="s">
        <v>2695</v>
      </c>
      <c r="B297" s="343" t="str">
        <f>Labels!B143</f>
        <v>Backlog Filled Hrs%</v>
      </c>
      <c r="C297" s="344" t="s">
        <v>986</v>
      </c>
      <c r="D297" s="345" t="s">
        <v>1162</v>
      </c>
      <c r="E297" s="346" t="s">
        <v>3157</v>
      </c>
    </row>
    <row r="298" spans="1:5" ht="12.75" customHeight="1" x14ac:dyDescent="0.2">
      <c r="A298" s="6"/>
      <c r="B298" s="6"/>
      <c r="C298" s="347"/>
      <c r="D298" s="348"/>
      <c r="E298" s="6"/>
    </row>
    <row r="299" spans="1:5" ht="12.75" customHeight="1" x14ac:dyDescent="0.2">
      <c r="A299" s="343" t="s">
        <v>2172</v>
      </c>
      <c r="B299" s="343" t="str">
        <f>Labels!B144</f>
        <v>Orders Filled (Hrs)</v>
      </c>
      <c r="C299" s="344" t="s">
        <v>5549</v>
      </c>
      <c r="D299" s="345" t="s">
        <v>1162</v>
      </c>
      <c r="E299" s="346" t="s">
        <v>1827</v>
      </c>
    </row>
    <row r="300" spans="1:5" ht="12.75" customHeight="1" x14ac:dyDescent="0.2">
      <c r="A300" s="6"/>
      <c r="B300" s="6"/>
      <c r="C300" s="347"/>
      <c r="D300" s="348"/>
      <c r="E300" s="6"/>
    </row>
    <row r="301" spans="1:5" ht="12.75" customHeight="1" x14ac:dyDescent="0.2">
      <c r="A301" s="343" t="s">
        <v>475</v>
      </c>
      <c r="B301" s="343" t="str">
        <f>Labels!B145</f>
        <v>Orders Filled (Hrs)</v>
      </c>
      <c r="C301" s="344" t="s">
        <v>986</v>
      </c>
      <c r="D301" s="345" t="s">
        <v>1162</v>
      </c>
      <c r="E301" s="346" t="s">
        <v>4150</v>
      </c>
    </row>
    <row r="302" spans="1:5" ht="12.75" customHeight="1" x14ac:dyDescent="0.2">
      <c r="A302" s="6"/>
      <c r="B302" s="6"/>
      <c r="C302" s="347"/>
      <c r="D302" s="348"/>
      <c r="E302" s="6"/>
    </row>
    <row r="303" spans="1:5" ht="12.75" customHeight="1" x14ac:dyDescent="0.2">
      <c r="A303" s="343" t="s">
        <v>1158</v>
      </c>
      <c r="B303" s="343" t="str">
        <f>Labels!B146</f>
        <v>Paid in Capital</v>
      </c>
      <c r="C303" s="344" t="s">
        <v>79</v>
      </c>
      <c r="D303" s="345" t="s">
        <v>1162</v>
      </c>
      <c r="E303" s="346" t="s">
        <v>3802</v>
      </c>
    </row>
    <row r="304" spans="1:5" ht="12.75" customHeight="1" x14ac:dyDescent="0.2">
      <c r="A304" s="6"/>
      <c r="B304" s="6"/>
      <c r="C304" s="347"/>
      <c r="D304" s="348"/>
      <c r="E304" s="6"/>
    </row>
    <row r="305" spans="1:5" ht="12.75" customHeight="1" x14ac:dyDescent="0.2">
      <c r="A305" s="343" t="s">
        <v>5555</v>
      </c>
      <c r="B305" s="343" t="str">
        <f>Labels!B147</f>
        <v>Per Prof Staff Exp (Yr)</v>
      </c>
      <c r="C305" s="344" t="s">
        <v>701</v>
      </c>
      <c r="D305" s="345" t="s">
        <v>1162</v>
      </c>
      <c r="E305" s="346" t="s">
        <v>1246</v>
      </c>
    </row>
    <row r="306" spans="1:5" ht="12.75" customHeight="1" x14ac:dyDescent="0.2">
      <c r="A306" s="343"/>
      <c r="B306" s="343"/>
      <c r="C306" s="344"/>
      <c r="D306" s="345" t="s">
        <v>24</v>
      </c>
      <c r="E306" s="346" t="s">
        <v>137</v>
      </c>
    </row>
    <row r="307" spans="1:5" ht="12.75" customHeight="1" x14ac:dyDescent="0.2">
      <c r="A307" s="6"/>
      <c r="B307" s="6"/>
      <c r="C307" s="347"/>
      <c r="D307" s="348"/>
      <c r="E307" s="6"/>
    </row>
    <row r="308" spans="1:5" ht="12.75" customHeight="1" x14ac:dyDescent="0.2">
      <c r="A308" s="343" t="s">
        <v>2388</v>
      </c>
      <c r="B308" s="343" t="str">
        <f>Labels!B148</f>
        <v>Per Sup Staff Exp (Yr)</v>
      </c>
      <c r="C308" s="344" t="s">
        <v>2018</v>
      </c>
      <c r="D308" s="345" t="s">
        <v>1162</v>
      </c>
      <c r="E308" s="346" t="s">
        <v>1246</v>
      </c>
    </row>
    <row r="309" spans="1:5" ht="12.75" customHeight="1" x14ac:dyDescent="0.2">
      <c r="A309" s="343"/>
      <c r="B309" s="343"/>
      <c r="C309" s="344"/>
      <c r="D309" s="345" t="s">
        <v>24</v>
      </c>
      <c r="E309" s="346" t="s">
        <v>2253</v>
      </c>
    </row>
    <row r="310" spans="1:5" ht="12.75" customHeight="1" x14ac:dyDescent="0.2">
      <c r="A310" s="6"/>
      <c r="B310" s="6"/>
      <c r="C310" s="347"/>
      <c r="D310" s="348"/>
      <c r="E310" s="6"/>
    </row>
    <row r="311" spans="1:5" ht="12.75" customHeight="1" x14ac:dyDescent="0.2">
      <c r="A311" s="343" t="s">
        <v>5708</v>
      </c>
      <c r="B311" s="343" t="str">
        <f>Labels!B149</f>
        <v>Practice Area</v>
      </c>
      <c r="C311" s="344"/>
      <c r="D311" s="345"/>
      <c r="E311" s="346"/>
    </row>
    <row r="312" spans="1:5" ht="12.75" customHeight="1" x14ac:dyDescent="0.2">
      <c r="A312" s="6"/>
      <c r="B312" s="6"/>
      <c r="C312" s="347"/>
      <c r="D312" s="348"/>
      <c r="E312" s="6"/>
    </row>
    <row r="313" spans="1:5" ht="12.75" customHeight="1" x14ac:dyDescent="0.2">
      <c r="A313" s="343" t="s">
        <v>2834</v>
      </c>
      <c r="B313" s="343" t="str">
        <f>Labels!B150</f>
        <v>Practice Dev % Capitalized</v>
      </c>
      <c r="C313" s="344" t="s">
        <v>5752</v>
      </c>
      <c r="D313" s="345" t="s">
        <v>1162</v>
      </c>
      <c r="E313" s="346" t="s">
        <v>1246</v>
      </c>
    </row>
    <row r="314" spans="1:5" ht="12.75" customHeight="1" x14ac:dyDescent="0.2">
      <c r="A314" s="6"/>
      <c r="B314" s="6"/>
      <c r="C314" s="347"/>
      <c r="D314" s="348"/>
      <c r="E314" s="6"/>
    </row>
    <row r="315" spans="1:5" ht="12.75" customHeight="1" x14ac:dyDescent="0.2">
      <c r="A315" s="343" t="s">
        <v>2601</v>
      </c>
      <c r="B315" s="343" t="str">
        <f>Labels!B151</f>
        <v>Practice Dev % Rev</v>
      </c>
      <c r="C315" s="344" t="s">
        <v>5752</v>
      </c>
      <c r="D315" s="345" t="s">
        <v>1162</v>
      </c>
      <c r="E315" s="346" t="s">
        <v>2710</v>
      </c>
    </row>
    <row r="316" spans="1:5" ht="12.75" customHeight="1" x14ac:dyDescent="0.2">
      <c r="A316" s="6"/>
      <c r="B316" s="6"/>
      <c r="C316" s="347"/>
      <c r="D316" s="348"/>
      <c r="E316" s="6"/>
    </row>
    <row r="317" spans="1:5" ht="12.75" customHeight="1" x14ac:dyDescent="0.2">
      <c r="A317" s="343" t="s">
        <v>5217</v>
      </c>
      <c r="B317" s="343" t="str">
        <f>Labels!B152</f>
        <v>Practice Dev Prof Spending</v>
      </c>
      <c r="C317" s="344" t="s">
        <v>3139</v>
      </c>
      <c r="D317" s="345" t="s">
        <v>1162</v>
      </c>
      <c r="E317" s="346" t="s">
        <v>4553</v>
      </c>
    </row>
    <row r="318" spans="1:5" ht="12.75" customHeight="1" x14ac:dyDescent="0.2">
      <c r="A318" s="6"/>
      <c r="B318" s="6"/>
      <c r="C318" s="347"/>
      <c r="D318" s="348"/>
      <c r="E318" s="6"/>
    </row>
    <row r="319" spans="1:5" ht="12.75" customHeight="1" x14ac:dyDescent="0.2">
      <c r="A319" s="343" t="s">
        <v>3562</v>
      </c>
      <c r="B319" s="343" t="str">
        <f>Labels!B153</f>
        <v>Practice Dev Prof Staff Count</v>
      </c>
      <c r="C319" s="344" t="s">
        <v>3139</v>
      </c>
      <c r="D319" s="345" t="s">
        <v>1162</v>
      </c>
      <c r="E319" s="346" t="s">
        <v>1246</v>
      </c>
    </row>
    <row r="320" spans="1:5" ht="12.75" customHeight="1" x14ac:dyDescent="0.2">
      <c r="A320" s="6"/>
      <c r="B320" s="6"/>
      <c r="C320" s="347"/>
      <c r="D320" s="348"/>
      <c r="E320" s="6"/>
    </row>
    <row r="321" spans="1:5" ht="12.75" customHeight="1" x14ac:dyDescent="0.2">
      <c r="A321" s="343" t="s">
        <v>3068</v>
      </c>
      <c r="B321" s="343" t="str">
        <f>Labels!B154</f>
        <v>Practice Dev Prof Staff Hrs</v>
      </c>
      <c r="C321" s="344" t="s">
        <v>3139</v>
      </c>
      <c r="D321" s="345" t="s">
        <v>1162</v>
      </c>
      <c r="E321" s="346" t="s">
        <v>298</v>
      </c>
    </row>
    <row r="322" spans="1:5" ht="12.75" customHeight="1" x14ac:dyDescent="0.2">
      <c r="A322" s="6"/>
      <c r="B322" s="6"/>
      <c r="C322" s="347"/>
      <c r="D322" s="348"/>
      <c r="E322" s="6"/>
    </row>
    <row r="323" spans="1:5" ht="12.75" customHeight="1" x14ac:dyDescent="0.2">
      <c r="A323" s="343" t="s">
        <v>3728</v>
      </c>
      <c r="B323" s="343" t="str">
        <f>Labels!B155</f>
        <v>Practice Development</v>
      </c>
      <c r="C323" s="344" t="s">
        <v>5752</v>
      </c>
      <c r="D323" s="345" t="s">
        <v>1162</v>
      </c>
      <c r="E323" s="346" t="s">
        <v>3056</v>
      </c>
    </row>
    <row r="324" spans="1:5" ht="12.75" customHeight="1" x14ac:dyDescent="0.2">
      <c r="A324" s="6"/>
      <c r="B324" s="6"/>
      <c r="C324" s="347"/>
      <c r="D324" s="348"/>
      <c r="E324" s="6"/>
    </row>
    <row r="325" spans="1:5" ht="12.75" customHeight="1" x14ac:dyDescent="0.2">
      <c r="A325" s="343" t="s">
        <v>5816</v>
      </c>
      <c r="B325" s="343" t="str">
        <f>Labels!B156</f>
        <v>Practice Dev Sup Staff Spend</v>
      </c>
      <c r="C325" s="344" t="s">
        <v>5291</v>
      </c>
      <c r="D325" s="345" t="s">
        <v>1162</v>
      </c>
      <c r="E325" s="346" t="s">
        <v>201</v>
      </c>
    </row>
    <row r="326" spans="1:5" ht="12.75" customHeight="1" x14ac:dyDescent="0.2">
      <c r="A326" s="6"/>
      <c r="B326" s="6"/>
      <c r="C326" s="347"/>
      <c r="D326" s="348"/>
      <c r="E326" s="6"/>
    </row>
    <row r="327" spans="1:5" ht="12.75" customHeight="1" x14ac:dyDescent="0.2">
      <c r="A327" s="343" t="s">
        <v>3835</v>
      </c>
      <c r="B327" s="343" t="str">
        <f>Labels!B157</f>
        <v>Practice Dev Sup Staff Count</v>
      </c>
      <c r="C327" s="344" t="s">
        <v>5291</v>
      </c>
      <c r="D327" s="345" t="s">
        <v>1162</v>
      </c>
      <c r="E327" s="346" t="s">
        <v>1246</v>
      </c>
    </row>
    <row r="328" spans="1:5" ht="12.75" customHeight="1" x14ac:dyDescent="0.2">
      <c r="A328" s="6"/>
      <c r="B328" s="6"/>
      <c r="C328" s="347"/>
      <c r="D328" s="348"/>
      <c r="E328" s="6"/>
    </row>
    <row r="329" spans="1:5" ht="12.75" customHeight="1" x14ac:dyDescent="0.2">
      <c r="A329" s="343" t="s">
        <v>2701</v>
      </c>
      <c r="B329" s="343" t="str">
        <f>Labels!B158</f>
        <v>Price Book Multiple</v>
      </c>
      <c r="C329" s="344" t="s">
        <v>79</v>
      </c>
      <c r="D329" s="345" t="s">
        <v>24</v>
      </c>
      <c r="E329" s="346" t="s">
        <v>2576</v>
      </c>
    </row>
    <row r="330" spans="1:5" ht="12.75" customHeight="1" x14ac:dyDescent="0.2">
      <c r="A330" s="6"/>
      <c r="B330" s="6"/>
      <c r="C330" s="347"/>
      <c r="D330" s="348"/>
      <c r="E330" s="6"/>
    </row>
    <row r="331" spans="1:5" ht="12.75" customHeight="1" x14ac:dyDescent="0.2">
      <c r="A331" s="343" t="s">
        <v>1706</v>
      </c>
      <c r="B331" s="343" t="str">
        <f>Labels!B159</f>
        <v>Price Earnings Ratio</v>
      </c>
      <c r="C331" s="344" t="s">
        <v>79</v>
      </c>
      <c r="D331" s="345" t="s">
        <v>1162</v>
      </c>
      <c r="E331" s="346" t="s">
        <v>4687</v>
      </c>
    </row>
    <row r="332" spans="1:5" ht="12.75" customHeight="1" x14ac:dyDescent="0.2">
      <c r="A332" s="6"/>
      <c r="B332" s="6"/>
      <c r="C332" s="347"/>
      <c r="D332" s="348"/>
      <c r="E332" s="6"/>
    </row>
    <row r="333" spans="1:5" ht="12.75" customHeight="1" x14ac:dyDescent="0.2">
      <c r="A333" s="343" t="s">
        <v>3878</v>
      </c>
      <c r="B333" s="343" t="str">
        <f>Labels!B160</f>
        <v>Price/Sales Ratio</v>
      </c>
      <c r="C333" s="344" t="s">
        <v>79</v>
      </c>
      <c r="D333" s="345" t="s">
        <v>1162</v>
      </c>
      <c r="E333" s="346" t="s">
        <v>5185</v>
      </c>
    </row>
    <row r="334" spans="1:5" ht="12.75" customHeight="1" x14ac:dyDescent="0.2">
      <c r="A334" s="6"/>
      <c r="B334" s="6"/>
      <c r="C334" s="347"/>
      <c r="D334" s="348"/>
      <c r="E334" s="6"/>
    </row>
    <row r="335" spans="1:5" ht="12.75" customHeight="1" x14ac:dyDescent="0.2">
      <c r="A335" s="343" t="s">
        <v>4209</v>
      </c>
      <c r="B335" s="343" t="str">
        <f>Labels!B161</f>
        <v>Billing Rate Discount %</v>
      </c>
      <c r="C335" s="344" t="s">
        <v>3139</v>
      </c>
      <c r="D335" s="345" t="s">
        <v>42</v>
      </c>
      <c r="E335" s="346" t="s">
        <v>2954</v>
      </c>
    </row>
    <row r="336" spans="1:5" ht="12.75" customHeight="1" x14ac:dyDescent="0.2">
      <c r="A336" s="343"/>
      <c r="B336" s="343"/>
      <c r="C336" s="344"/>
      <c r="D336" s="345" t="s">
        <v>1162</v>
      </c>
      <c r="E336" s="346" t="s">
        <v>1246</v>
      </c>
    </row>
    <row r="337" spans="1:5" ht="12.75" customHeight="1" x14ac:dyDescent="0.2">
      <c r="A337" s="343"/>
      <c r="B337" s="343"/>
      <c r="C337" s="344"/>
      <c r="D337" s="345" t="s">
        <v>24</v>
      </c>
      <c r="E337" s="346" t="s">
        <v>1962</v>
      </c>
    </row>
    <row r="338" spans="1:5" ht="12.75" customHeight="1" x14ac:dyDescent="0.2">
      <c r="A338" s="6"/>
      <c r="B338" s="6"/>
      <c r="C338" s="347"/>
      <c r="D338" s="348"/>
      <c r="E338" s="6"/>
    </row>
    <row r="339" spans="1:5" ht="12.75" customHeight="1" x14ac:dyDescent="0.2">
      <c r="A339" s="343" t="s">
        <v>4168</v>
      </c>
      <c r="B339" s="343" t="str">
        <f>Labels!B162</f>
        <v>Average Billing Rates</v>
      </c>
      <c r="C339" s="344" t="s">
        <v>3139</v>
      </c>
      <c r="D339" s="345" t="s">
        <v>1162</v>
      </c>
      <c r="E339" s="346" t="s">
        <v>4389</v>
      </c>
    </row>
    <row r="340" spans="1:5" ht="12.75" customHeight="1" x14ac:dyDescent="0.2">
      <c r="A340" s="343"/>
      <c r="B340" s="343"/>
      <c r="C340" s="344"/>
      <c r="D340" s="345" t="s">
        <v>24</v>
      </c>
      <c r="E340" s="346" t="s">
        <v>3933</v>
      </c>
    </row>
    <row r="341" spans="1:5" ht="12.75" customHeight="1" x14ac:dyDescent="0.2">
      <c r="A341" s="6"/>
      <c r="B341" s="6"/>
      <c r="C341" s="347"/>
      <c r="D341" s="348"/>
      <c r="E341" s="6"/>
    </row>
    <row r="342" spans="1:5" ht="12.75" customHeight="1" x14ac:dyDescent="0.2">
      <c r="A342" s="343" t="s">
        <v>1636</v>
      </c>
      <c r="B342" s="343" t="str">
        <f>Labels!B163</f>
        <v>Billing Rates (Nominal )</v>
      </c>
      <c r="C342" s="344" t="s">
        <v>3139</v>
      </c>
      <c r="D342" s="345" t="s">
        <v>1162</v>
      </c>
      <c r="E342" s="346" t="s">
        <v>4800</v>
      </c>
    </row>
    <row r="343" spans="1:5" ht="12.75" customHeight="1" x14ac:dyDescent="0.2">
      <c r="A343" s="343"/>
      <c r="B343" s="343"/>
      <c r="C343" s="344"/>
      <c r="D343" s="345" t="s">
        <v>24</v>
      </c>
      <c r="E343" s="346" t="s">
        <v>5613</v>
      </c>
    </row>
    <row r="344" spans="1:5" ht="12.75" customHeight="1" x14ac:dyDescent="0.2">
      <c r="A344" s="6"/>
      <c r="B344" s="6"/>
      <c r="C344" s="347"/>
      <c r="D344" s="348"/>
      <c r="E344" s="6"/>
    </row>
    <row r="345" spans="1:5" ht="12.75" customHeight="1" x14ac:dyDescent="0.2">
      <c r="A345" s="343" t="s">
        <v>1024</v>
      </c>
      <c r="B345" s="343" t="str">
        <f>Labels!B164</f>
        <v>Prof Staff Benefits %</v>
      </c>
      <c r="C345" s="344" t="s">
        <v>5549</v>
      </c>
      <c r="D345" s="345" t="s">
        <v>1162</v>
      </c>
      <c r="E345" s="346" t="s">
        <v>4335</v>
      </c>
    </row>
    <row r="346" spans="1:5" ht="12.75" customHeight="1" x14ac:dyDescent="0.2">
      <c r="A346" s="6"/>
      <c r="B346" s="6"/>
      <c r="C346" s="347"/>
      <c r="D346" s="348"/>
      <c r="E346" s="6"/>
    </row>
    <row r="347" spans="1:5" ht="12.75" customHeight="1" x14ac:dyDescent="0.2">
      <c r="A347" s="343" t="s">
        <v>2369</v>
      </c>
      <c r="B347" s="343" t="str">
        <f>Labels!B165</f>
        <v>Professional Staff Billings</v>
      </c>
      <c r="C347" s="344" t="s">
        <v>986</v>
      </c>
      <c r="D347" s="345" t="s">
        <v>1162</v>
      </c>
      <c r="E347" s="346" t="s">
        <v>1750</v>
      </c>
    </row>
    <row r="348" spans="1:5" ht="12.75" customHeight="1" x14ac:dyDescent="0.2">
      <c r="A348" s="6"/>
      <c r="B348" s="6"/>
      <c r="C348" s="347"/>
      <c r="D348" s="348"/>
      <c r="E348" s="6"/>
    </row>
    <row r="349" spans="1:5" ht="12.75" customHeight="1" x14ac:dyDescent="0.2">
      <c r="A349" s="343" t="s">
        <v>5801</v>
      </c>
      <c r="B349" s="343" t="str">
        <f>Labels!B166</f>
        <v>Billings at Nominal Fees</v>
      </c>
      <c r="C349" s="344" t="s">
        <v>986</v>
      </c>
      <c r="D349" s="345" t="s">
        <v>1162</v>
      </c>
      <c r="E349" s="346" t="s">
        <v>515</v>
      </c>
    </row>
    <row r="350" spans="1:5" ht="12.75" customHeight="1" x14ac:dyDescent="0.2">
      <c r="A350" s="6"/>
      <c r="B350" s="6"/>
      <c r="C350" s="347"/>
      <c r="D350" s="348"/>
      <c r="E350" s="6"/>
    </row>
    <row r="351" spans="1:5" ht="12.75" customHeight="1" x14ac:dyDescent="0.2">
      <c r="A351" s="343" t="s">
        <v>2828</v>
      </c>
      <c r="B351" s="343" t="str">
        <f>Labels!B167</f>
        <v>Professional Staff Bonus</v>
      </c>
      <c r="C351" s="344" t="s">
        <v>402</v>
      </c>
      <c r="D351" s="345" t="s">
        <v>1162</v>
      </c>
      <c r="E351" s="346" t="s">
        <v>2314</v>
      </c>
    </row>
    <row r="352" spans="1:5" ht="12.75" customHeight="1" x14ac:dyDescent="0.2">
      <c r="A352" s="6"/>
      <c r="B352" s="6"/>
      <c r="C352" s="347"/>
      <c r="D352" s="348"/>
      <c r="E352" s="6"/>
    </row>
    <row r="353" spans="1:5" ht="12.75" customHeight="1" x14ac:dyDescent="0.2">
      <c r="A353" s="343" t="s">
        <v>3202</v>
      </c>
      <c r="B353" s="343" t="str">
        <f>Labels!B168</f>
        <v>Prof Staff Bonus %</v>
      </c>
      <c r="C353" s="344" t="s">
        <v>402</v>
      </c>
      <c r="D353" s="345" t="s">
        <v>1162</v>
      </c>
      <c r="E353" s="346" t="s">
        <v>1246</v>
      </c>
    </row>
    <row r="354" spans="1:5" ht="12.75" customHeight="1" x14ac:dyDescent="0.2">
      <c r="A354" s="6"/>
      <c r="B354" s="6"/>
      <c r="C354" s="347"/>
      <c r="D354" s="348"/>
      <c r="E354" s="6"/>
    </row>
    <row r="355" spans="1:5" ht="12.75" customHeight="1" x14ac:dyDescent="0.2">
      <c r="A355" s="343" t="s">
        <v>3918</v>
      </c>
      <c r="B355" s="343" t="str">
        <f>Labels!B169</f>
        <v>Prof Staff Cost</v>
      </c>
      <c r="C355" s="344" t="s">
        <v>402</v>
      </c>
      <c r="D355" s="345" t="s">
        <v>1162</v>
      </c>
      <c r="E355" s="346" t="s">
        <v>1956</v>
      </c>
    </row>
    <row r="356" spans="1:5" ht="12.75" customHeight="1" x14ac:dyDescent="0.2">
      <c r="A356" s="6"/>
      <c r="B356" s="6"/>
      <c r="C356" s="347"/>
      <c r="D356" s="348"/>
      <c r="E356" s="6"/>
    </row>
    <row r="357" spans="1:5" ht="12.75" customHeight="1" x14ac:dyDescent="0.2">
      <c r="A357" s="343" t="s">
        <v>5629</v>
      </c>
      <c r="B357" s="343" t="str">
        <f>Labels!B170</f>
        <v>Prof Staff Cost Applied</v>
      </c>
      <c r="C357" s="344" t="s">
        <v>402</v>
      </c>
      <c r="D357" s="345" t="s">
        <v>1162</v>
      </c>
      <c r="E357" s="346" t="s">
        <v>5666</v>
      </c>
    </row>
    <row r="358" spans="1:5" ht="12.75" customHeight="1" x14ac:dyDescent="0.2">
      <c r="A358" s="6"/>
      <c r="B358" s="6"/>
      <c r="C358" s="347"/>
      <c r="D358" s="348"/>
      <c r="E358" s="6"/>
    </row>
    <row r="359" spans="1:5" ht="12.75" customHeight="1" x14ac:dyDescent="0.2">
      <c r="A359" s="343" t="s">
        <v>3111</v>
      </c>
      <c r="B359" s="343" t="str">
        <f>Labels!B171</f>
        <v>Prof Staff Cost Engagements</v>
      </c>
      <c r="C359" s="344" t="s">
        <v>1503</v>
      </c>
      <c r="D359" s="345" t="s">
        <v>1162</v>
      </c>
      <c r="E359" s="346" t="s">
        <v>4174</v>
      </c>
    </row>
    <row r="360" spans="1:5" ht="12.75" customHeight="1" x14ac:dyDescent="0.2">
      <c r="A360" s="6"/>
      <c r="B360" s="6"/>
      <c r="C360" s="347"/>
      <c r="D360" s="348"/>
      <c r="E360" s="6"/>
    </row>
    <row r="361" spans="1:5" ht="12.75" customHeight="1" x14ac:dyDescent="0.2">
      <c r="A361" s="343" t="s">
        <v>3844</v>
      </c>
      <c r="B361" s="343" t="str">
        <f>Labels!B172</f>
        <v>Professional Staf Cost/Hr</v>
      </c>
      <c r="C361" s="344" t="s">
        <v>402</v>
      </c>
      <c r="D361" s="345" t="s">
        <v>24</v>
      </c>
      <c r="E361" s="346" t="s">
        <v>5864</v>
      </c>
    </row>
    <row r="362" spans="1:5" ht="12.75" customHeight="1" x14ac:dyDescent="0.2">
      <c r="A362" s="6"/>
      <c r="B362" s="6"/>
      <c r="C362" s="347"/>
      <c r="D362" s="348"/>
      <c r="E362" s="6"/>
    </row>
    <row r="363" spans="1:5" ht="12.75" customHeight="1" x14ac:dyDescent="0.2">
      <c r="A363" s="343" t="s">
        <v>5208</v>
      </c>
      <c r="B363" s="343" t="str">
        <f>Labels!B173</f>
        <v>Prof Staff Cost Unapplied</v>
      </c>
      <c r="C363" s="344" t="s">
        <v>402</v>
      </c>
      <c r="D363" s="345" t="s">
        <v>1162</v>
      </c>
      <c r="E363" s="346" t="s">
        <v>5666</v>
      </c>
    </row>
    <row r="364" spans="1:5" ht="12.75" customHeight="1" x14ac:dyDescent="0.2">
      <c r="A364" s="6"/>
      <c r="B364" s="6"/>
      <c r="C364" s="347"/>
      <c r="D364" s="348"/>
      <c r="E364" s="6"/>
    </row>
    <row r="365" spans="1:5" ht="12.75" customHeight="1" x14ac:dyDescent="0.2">
      <c r="A365" s="343" t="s">
        <v>2266</v>
      </c>
      <c r="B365" s="343" t="str">
        <f>Labels!B174</f>
        <v>Prof Staff Cost Unbilled</v>
      </c>
      <c r="C365" s="344" t="s">
        <v>402</v>
      </c>
      <c r="D365" s="345" t="s">
        <v>1162</v>
      </c>
      <c r="E365" s="346" t="s">
        <v>1185</v>
      </c>
    </row>
    <row r="366" spans="1:5" ht="12.75" customHeight="1" x14ac:dyDescent="0.2">
      <c r="A366" s="6"/>
      <c r="B366" s="6"/>
      <c r="C366" s="347"/>
      <c r="D366" s="348"/>
      <c r="E366" s="6"/>
    </row>
    <row r="367" spans="1:5" ht="12.75" customHeight="1" x14ac:dyDescent="0.2">
      <c r="A367" s="343" t="s">
        <v>1282</v>
      </c>
      <c r="B367" s="343" t="str">
        <f>Labels!B175</f>
        <v>Professional Staff Count</v>
      </c>
      <c r="C367" s="344" t="s">
        <v>402</v>
      </c>
      <c r="D367" s="345" t="s">
        <v>1162</v>
      </c>
      <c r="E367" s="346" t="s">
        <v>570</v>
      </c>
    </row>
    <row r="368" spans="1:5" ht="12.75" customHeight="1" x14ac:dyDescent="0.2">
      <c r="A368" s="6"/>
      <c r="B368" s="6"/>
      <c r="C368" s="347"/>
      <c r="D368" s="348"/>
      <c r="E368" s="6"/>
    </row>
    <row r="369" spans="1:5" ht="12.75" customHeight="1" x14ac:dyDescent="0.2">
      <c r="A369" s="343" t="s">
        <v>5695</v>
      </c>
      <c r="B369" s="343" t="str">
        <f>Labels!B176</f>
        <v>Prof Staff Count Cutover</v>
      </c>
      <c r="C369" s="344" t="s">
        <v>79</v>
      </c>
      <c r="D369" s="345" t="s">
        <v>1162</v>
      </c>
      <c r="E369" s="346" t="s">
        <v>2577</v>
      </c>
    </row>
    <row r="370" spans="1:5" ht="12.75" customHeight="1" x14ac:dyDescent="0.2">
      <c r="A370" s="6"/>
      <c r="B370" s="6"/>
      <c r="C370" s="347"/>
      <c r="D370" s="348"/>
      <c r="E370" s="6"/>
    </row>
    <row r="371" spans="1:5" ht="12.75" customHeight="1" x14ac:dyDescent="0.2">
      <c r="A371" s="343" t="s">
        <v>4099</v>
      </c>
      <c r="B371" s="343" t="str">
        <f>Labels!B177</f>
        <v>Prof_Staff Count Early</v>
      </c>
      <c r="C371" s="344" t="s">
        <v>3139</v>
      </c>
      <c r="D371" s="345" t="s">
        <v>1162</v>
      </c>
      <c r="E371" s="346" t="s">
        <v>1246</v>
      </c>
    </row>
    <row r="372" spans="1:5" ht="12.75" customHeight="1" x14ac:dyDescent="0.2">
      <c r="A372" s="6"/>
      <c r="B372" s="6"/>
      <c r="C372" s="347"/>
      <c r="D372" s="348"/>
      <c r="E372" s="6"/>
    </row>
    <row r="373" spans="1:5" ht="12.75" customHeight="1" x14ac:dyDescent="0.2">
      <c r="A373" s="343" t="s">
        <v>3755</v>
      </c>
      <c r="B373" s="343" t="str">
        <f>Labels!B178</f>
        <v>Professional Staff Count</v>
      </c>
      <c r="C373" s="344" t="s">
        <v>79</v>
      </c>
      <c r="D373" s="345" t="s">
        <v>1162</v>
      </c>
      <c r="E373" s="346" t="s">
        <v>1282</v>
      </c>
    </row>
    <row r="374" spans="1:5" ht="12.75" customHeight="1" x14ac:dyDescent="0.2">
      <c r="A374" s="6"/>
      <c r="B374" s="6"/>
      <c r="C374" s="347"/>
      <c r="D374" s="348"/>
      <c r="E374" s="6"/>
    </row>
    <row r="375" spans="1:5" ht="12.75" customHeight="1" x14ac:dyDescent="0.2">
      <c r="A375" s="343" t="s">
        <v>1761</v>
      </c>
      <c r="B375" s="343" t="str">
        <f>Labels!B179</f>
        <v>Professional Staff Count1</v>
      </c>
      <c r="C375" s="344" t="s">
        <v>402</v>
      </c>
      <c r="D375" s="345" t="s">
        <v>1162</v>
      </c>
      <c r="E375" s="346" t="s">
        <v>3020</v>
      </c>
    </row>
    <row r="376" spans="1:5" ht="12.75" customHeight="1" x14ac:dyDescent="0.2">
      <c r="A376" s="6"/>
      <c r="B376" s="6"/>
      <c r="C376" s="347"/>
      <c r="D376" s="348"/>
      <c r="E376" s="6"/>
    </row>
    <row r="377" spans="1:5" ht="12.75" customHeight="1" x14ac:dyDescent="0.2">
      <c r="A377" s="343" t="s">
        <v>315</v>
      </c>
      <c r="B377" s="343" t="str">
        <f>Labels!B180</f>
        <v>Prof Staff Hours Applied</v>
      </c>
      <c r="C377" s="344" t="s">
        <v>402</v>
      </c>
      <c r="D377" s="345" t="s">
        <v>1162</v>
      </c>
      <c r="E377" s="346" t="s">
        <v>4377</v>
      </c>
    </row>
    <row r="378" spans="1:5" ht="12.75" customHeight="1" x14ac:dyDescent="0.2">
      <c r="A378" s="6"/>
      <c r="B378" s="6"/>
      <c r="C378" s="347"/>
      <c r="D378" s="348"/>
      <c r="E378" s="6"/>
    </row>
    <row r="379" spans="1:5" ht="12.75" customHeight="1" x14ac:dyDescent="0.2">
      <c r="A379" s="343" t="s">
        <v>5075</v>
      </c>
      <c r="B379" s="343" t="str">
        <f>Labels!B181</f>
        <v>Prof Staff Hrs Applied</v>
      </c>
      <c r="C379" s="344" t="s">
        <v>5549</v>
      </c>
      <c r="D379" s="345" t="s">
        <v>1162</v>
      </c>
      <c r="E379" s="346" t="s">
        <v>315</v>
      </c>
    </row>
    <row r="380" spans="1:5" ht="12.75" customHeight="1" x14ac:dyDescent="0.2">
      <c r="A380" s="6"/>
      <c r="B380" s="6"/>
      <c r="C380" s="347"/>
      <c r="D380" s="348"/>
      <c r="E380" s="6"/>
    </row>
    <row r="381" spans="1:5" ht="12.75" customHeight="1" x14ac:dyDescent="0.2">
      <c r="A381" s="343" t="s">
        <v>5676</v>
      </c>
      <c r="B381" s="343" t="str">
        <f>Labels!B182</f>
        <v>Prof Staff Hours Billed</v>
      </c>
      <c r="C381" s="344" t="s">
        <v>986</v>
      </c>
      <c r="D381" s="345" t="s">
        <v>1162</v>
      </c>
      <c r="E381" s="346" t="s">
        <v>1744</v>
      </c>
    </row>
    <row r="382" spans="1:5" ht="12.75" customHeight="1" x14ac:dyDescent="0.2">
      <c r="A382" s="6"/>
      <c r="B382" s="6"/>
      <c r="C382" s="347"/>
      <c r="D382" s="348"/>
      <c r="E382" s="6"/>
    </row>
    <row r="383" spans="1:5" ht="12.75" customHeight="1" x14ac:dyDescent="0.2">
      <c r="A383" s="343" t="s">
        <v>473</v>
      </c>
      <c r="B383" s="343" t="str">
        <f>Labels!B183</f>
        <v>Prof Staff Hours Billed</v>
      </c>
      <c r="C383" s="344" t="s">
        <v>986</v>
      </c>
      <c r="D383" s="345" t="s">
        <v>1162</v>
      </c>
      <c r="E383" s="346" t="s">
        <v>1744</v>
      </c>
    </row>
    <row r="384" spans="1:5" ht="12.75" customHeight="1" x14ac:dyDescent="0.2">
      <c r="A384" s="6"/>
      <c r="B384" s="6"/>
      <c r="C384" s="347"/>
      <c r="D384" s="348"/>
      <c r="E384" s="6"/>
    </row>
    <row r="385" spans="1:5" ht="12.75" customHeight="1" x14ac:dyDescent="0.2">
      <c r="A385" s="343" t="s">
        <v>5750</v>
      </c>
      <c r="B385" s="343" t="str">
        <f>Labels!B184</f>
        <v>Billed Hours Growth</v>
      </c>
      <c r="C385" s="344" t="s">
        <v>986</v>
      </c>
      <c r="D385" s="345" t="s">
        <v>24</v>
      </c>
      <c r="E385" s="346" t="s">
        <v>2366</v>
      </c>
    </row>
    <row r="386" spans="1:5" ht="12.75" customHeight="1" x14ac:dyDescent="0.2">
      <c r="A386" s="6"/>
      <c r="B386" s="6"/>
      <c r="C386" s="347"/>
      <c r="D386" s="348"/>
      <c r="E386" s="6"/>
    </row>
    <row r="387" spans="1:5" ht="12.75" customHeight="1" x14ac:dyDescent="0.2">
      <c r="A387" s="343" t="s">
        <v>4656</v>
      </c>
      <c r="B387" s="343" t="str">
        <f>Labels!B185</f>
        <v>Billed Hours Growth</v>
      </c>
      <c r="C387" s="344" t="s">
        <v>986</v>
      </c>
      <c r="D387" s="345" t="s">
        <v>24</v>
      </c>
      <c r="E387" s="346" t="s">
        <v>2366</v>
      </c>
    </row>
    <row r="388" spans="1:5" ht="12.75" customHeight="1" x14ac:dyDescent="0.2">
      <c r="A388" s="6"/>
      <c r="B388" s="6"/>
      <c r="C388" s="347"/>
      <c r="D388" s="348"/>
      <c r="E388" s="6"/>
    </row>
    <row r="389" spans="1:5" ht="12.75" customHeight="1" x14ac:dyDescent="0.2">
      <c r="A389" s="343" t="s">
        <v>4763</v>
      </c>
      <c r="B389" s="343" t="str">
        <f>Labels!B186</f>
        <v>Billed Hours Growth</v>
      </c>
      <c r="C389" s="344" t="s">
        <v>986</v>
      </c>
      <c r="D389" s="345" t="s">
        <v>24</v>
      </c>
      <c r="E389" s="346" t="s">
        <v>4436</v>
      </c>
    </row>
    <row r="390" spans="1:5" ht="12.75" customHeight="1" x14ac:dyDescent="0.2">
      <c r="A390" s="6"/>
      <c r="B390" s="6"/>
      <c r="C390" s="347"/>
      <c r="D390" s="348"/>
      <c r="E390" s="6"/>
    </row>
    <row r="391" spans="1:5" ht="12.75" customHeight="1" x14ac:dyDescent="0.2">
      <c r="A391" s="343" t="s">
        <v>2914</v>
      </c>
      <c r="B391" s="343" t="str">
        <f>Labels!B187</f>
        <v>Billed Hours Growth</v>
      </c>
      <c r="C391" s="344" t="s">
        <v>986</v>
      </c>
      <c r="D391" s="345" t="s">
        <v>24</v>
      </c>
      <c r="E391" s="346" t="s">
        <v>2366</v>
      </c>
    </row>
    <row r="392" spans="1:5" ht="12.75" customHeight="1" x14ac:dyDescent="0.2">
      <c r="A392" s="6"/>
      <c r="B392" s="6"/>
      <c r="C392" s="347"/>
      <c r="D392" s="348"/>
      <c r="E392" s="6"/>
    </row>
    <row r="393" spans="1:5" ht="12.75" customHeight="1" x14ac:dyDescent="0.2">
      <c r="A393" s="343" t="s">
        <v>3811</v>
      </c>
      <c r="B393" s="343" t="str">
        <f>Labels!B188</f>
        <v>Prof Staff Hours Billed</v>
      </c>
      <c r="C393" s="344" t="s">
        <v>5549</v>
      </c>
      <c r="D393" s="345" t="s">
        <v>1162</v>
      </c>
      <c r="E393" s="346" t="s">
        <v>5676</v>
      </c>
    </row>
    <row r="394" spans="1:5" ht="12.75" customHeight="1" x14ac:dyDescent="0.2">
      <c r="A394" s="6"/>
      <c r="B394" s="6"/>
      <c r="C394" s="347"/>
      <c r="D394" s="348"/>
      <c r="E394" s="6"/>
    </row>
    <row r="395" spans="1:5" ht="12.75" customHeight="1" x14ac:dyDescent="0.2">
      <c r="A395" s="343" t="s">
        <v>2910</v>
      </c>
      <c r="B395" s="343" t="str">
        <f>Labels!B189</f>
        <v>Billed Hours Round?</v>
      </c>
      <c r="C395" s="344" t="s">
        <v>79</v>
      </c>
      <c r="D395" s="345" t="s">
        <v>1162</v>
      </c>
      <c r="E395" s="346" t="s">
        <v>4878</v>
      </c>
    </row>
    <row r="396" spans="1:5" ht="12.75" customHeight="1" x14ac:dyDescent="0.2">
      <c r="A396" s="6"/>
      <c r="B396" s="6"/>
      <c r="C396" s="347"/>
      <c r="D396" s="348"/>
      <c r="E396" s="6"/>
    </row>
    <row r="397" spans="1:5" ht="12.75" customHeight="1" x14ac:dyDescent="0.2">
      <c r="A397" s="343" t="s">
        <v>2969</v>
      </c>
      <c r="B397" s="343" t="str">
        <f>Labels!B190</f>
        <v>Prof Staff Capacity (Hrs)</v>
      </c>
      <c r="C397" s="344" t="s">
        <v>402</v>
      </c>
      <c r="D397" s="345" t="s">
        <v>1162</v>
      </c>
      <c r="E397" s="346" t="s">
        <v>3567</v>
      </c>
    </row>
    <row r="398" spans="1:5" ht="12.75" customHeight="1" x14ac:dyDescent="0.2">
      <c r="A398" s="6"/>
      <c r="B398" s="6"/>
      <c r="C398" s="347"/>
      <c r="D398" s="348"/>
      <c r="E398" s="6"/>
    </row>
    <row r="399" spans="1:5" ht="12.75" customHeight="1" x14ac:dyDescent="0.2">
      <c r="A399" s="343" t="s">
        <v>1832</v>
      </c>
      <c r="B399" s="343" t="str">
        <f>Labels!B191</f>
        <v>Prof Staff Capacity (Hrs)</v>
      </c>
      <c r="C399" s="344" t="s">
        <v>5549</v>
      </c>
      <c r="D399" s="345" t="s">
        <v>1162</v>
      </c>
      <c r="E399" s="346" t="s">
        <v>3567</v>
      </c>
    </row>
    <row r="400" spans="1:5" ht="12.75" customHeight="1" x14ac:dyDescent="0.2">
      <c r="A400" s="6"/>
      <c r="B400" s="6"/>
      <c r="C400" s="347"/>
      <c r="D400" s="348"/>
      <c r="E400" s="6"/>
    </row>
    <row r="401" spans="1:5" ht="12.75" customHeight="1" x14ac:dyDescent="0.2">
      <c r="A401" s="343" t="s">
        <v>4752</v>
      </c>
      <c r="B401" s="343" t="str">
        <f>Labels!B192</f>
        <v>Prof Staff Hrs Engagements</v>
      </c>
      <c r="C401" s="344" t="s">
        <v>1503</v>
      </c>
      <c r="D401" s="345" t="s">
        <v>1162</v>
      </c>
      <c r="E401" s="346" t="s">
        <v>432</v>
      </c>
    </row>
    <row r="402" spans="1:5" ht="12.75" customHeight="1" x14ac:dyDescent="0.2">
      <c r="A402" s="6"/>
      <c r="B402" s="6"/>
      <c r="C402" s="347"/>
      <c r="D402" s="348"/>
      <c r="E402" s="6"/>
    </row>
    <row r="403" spans="1:5" ht="12.75" customHeight="1" x14ac:dyDescent="0.2">
      <c r="A403" s="343" t="s">
        <v>1954</v>
      </c>
      <c r="B403" s="343" t="str">
        <f>Labels!B193</f>
        <v>Prof Staff Hours Unapplied</v>
      </c>
      <c r="C403" s="344" t="s">
        <v>402</v>
      </c>
      <c r="D403" s="345" t="s">
        <v>1162</v>
      </c>
      <c r="E403" s="346" t="s">
        <v>1196</v>
      </c>
    </row>
    <row r="404" spans="1:5" ht="12.75" customHeight="1" x14ac:dyDescent="0.2">
      <c r="A404" s="6"/>
      <c r="B404" s="6"/>
      <c r="C404" s="347"/>
      <c r="D404" s="348"/>
      <c r="E404" s="6"/>
    </row>
    <row r="405" spans="1:5" ht="12.75" customHeight="1" x14ac:dyDescent="0.2">
      <c r="A405" s="343" t="s">
        <v>5822</v>
      </c>
      <c r="B405" s="343" t="str">
        <f>Labels!B194</f>
        <v>Prof Staff Hours Unbilled</v>
      </c>
      <c r="C405" s="344" t="s">
        <v>402</v>
      </c>
      <c r="D405" s="345" t="s">
        <v>1162</v>
      </c>
      <c r="E405" s="346" t="s">
        <v>5500</v>
      </c>
    </row>
    <row r="406" spans="1:5" ht="12.75" customHeight="1" x14ac:dyDescent="0.2">
      <c r="A406" s="6"/>
      <c r="B406" s="6"/>
      <c r="C406" s="347"/>
      <c r="D406" s="348"/>
      <c r="E406" s="6"/>
    </row>
    <row r="407" spans="1:5" ht="12.75" customHeight="1" x14ac:dyDescent="0.2">
      <c r="A407" s="343" t="s">
        <v>4223</v>
      </c>
      <c r="B407" s="343" t="str">
        <f>Labels!B195</f>
        <v>Prof Staff Hours Unbilled</v>
      </c>
      <c r="C407" s="344" t="s">
        <v>402</v>
      </c>
      <c r="D407" s="345" t="s">
        <v>1162</v>
      </c>
      <c r="E407" s="346" t="s">
        <v>5500</v>
      </c>
    </row>
    <row r="408" spans="1:5" ht="12.75" customHeight="1" x14ac:dyDescent="0.2">
      <c r="A408" s="6"/>
      <c r="B408" s="6"/>
      <c r="C408" s="347"/>
      <c r="D408" s="348"/>
      <c r="E408" s="6"/>
    </row>
    <row r="409" spans="1:5" ht="12.75" customHeight="1" x14ac:dyDescent="0.2">
      <c r="A409" s="343" t="s">
        <v>698</v>
      </c>
      <c r="B409" s="343" t="str">
        <f>Labels!B196</f>
        <v>Prof Staff Open Positions</v>
      </c>
      <c r="C409" s="344" t="s">
        <v>402</v>
      </c>
      <c r="D409" s="345" t="s">
        <v>1162</v>
      </c>
      <c r="E409" s="346" t="s">
        <v>1028</v>
      </c>
    </row>
    <row r="410" spans="1:5" ht="12.75" customHeight="1" x14ac:dyDescent="0.2">
      <c r="A410" s="6"/>
      <c r="B410" s="6"/>
      <c r="C410" s="347"/>
      <c r="D410" s="348"/>
      <c r="E410" s="6"/>
    </row>
    <row r="411" spans="1:5" ht="12.75" customHeight="1" x14ac:dyDescent="0.2">
      <c r="A411" s="343" t="s">
        <v>1342</v>
      </c>
      <c r="B411" s="343" t="str">
        <f>Labels!B197</f>
        <v xml:space="preserve">Prof Staff/Rev Million </v>
      </c>
      <c r="C411" s="344" t="s">
        <v>402</v>
      </c>
      <c r="D411" s="345" t="s">
        <v>24</v>
      </c>
      <c r="E411" s="346" t="s">
        <v>4511</v>
      </c>
    </row>
    <row r="412" spans="1:5" ht="12.75" customHeight="1" x14ac:dyDescent="0.2">
      <c r="A412" s="6"/>
      <c r="B412" s="6"/>
      <c r="C412" s="347"/>
      <c r="D412" s="348"/>
      <c r="E412" s="6"/>
    </row>
    <row r="413" spans="1:5" ht="12.75" customHeight="1" x14ac:dyDescent="0.2">
      <c r="A413" s="343" t="s">
        <v>2957</v>
      </c>
      <c r="B413" s="343" t="str">
        <f>Labels!B198</f>
        <v>Prof Staff Recruited</v>
      </c>
      <c r="C413" s="344" t="s">
        <v>402</v>
      </c>
      <c r="D413" s="345" t="s">
        <v>1162</v>
      </c>
      <c r="E413" s="346" t="s">
        <v>1452</v>
      </c>
    </row>
    <row r="414" spans="1:5" ht="12.75" customHeight="1" x14ac:dyDescent="0.2">
      <c r="A414" s="6"/>
      <c r="B414" s="6"/>
      <c r="C414" s="347"/>
      <c r="D414" s="348"/>
      <c r="E414" s="6"/>
    </row>
    <row r="415" spans="1:5" ht="12.75" customHeight="1" x14ac:dyDescent="0.2">
      <c r="A415" s="343" t="s">
        <v>1262</v>
      </c>
      <c r="B415" s="343" t="str">
        <f>Labels!B199</f>
        <v>Prof Staff Rel Exp</v>
      </c>
      <c r="C415" s="344" t="s">
        <v>4331</v>
      </c>
      <c r="D415" s="345" t="s">
        <v>1162</v>
      </c>
      <c r="E415" s="346" t="s">
        <v>1111</v>
      </c>
    </row>
    <row r="416" spans="1:5" ht="12.75" customHeight="1" x14ac:dyDescent="0.2">
      <c r="A416" s="6"/>
      <c r="B416" s="6"/>
      <c r="C416" s="347"/>
      <c r="D416" s="348"/>
      <c r="E416" s="6"/>
    </row>
    <row r="417" spans="1:5" ht="12.75" customHeight="1" x14ac:dyDescent="0.2">
      <c r="A417" s="343" t="s">
        <v>680</v>
      </c>
      <c r="B417" s="343" t="str">
        <f>Labels!B200</f>
        <v>Initial Avg Prof Staff Salary (Yr)</v>
      </c>
      <c r="C417" s="344"/>
      <c r="D417" s="345"/>
      <c r="E417" s="346"/>
    </row>
    <row r="418" spans="1:5" ht="12.75" customHeight="1" x14ac:dyDescent="0.2">
      <c r="A418" s="6"/>
      <c r="B418" s="6"/>
      <c r="C418" s="347"/>
      <c r="D418" s="348"/>
      <c r="E418" s="6"/>
    </row>
    <row r="419" spans="1:5" ht="12.75" customHeight="1" x14ac:dyDescent="0.2">
      <c r="A419" s="343" t="s">
        <v>2535</v>
      </c>
      <c r="B419" s="343" t="str">
        <f>Labels!B201</f>
        <v>Professional Staff Salary (Yr)</v>
      </c>
      <c r="C419" s="344" t="s">
        <v>402</v>
      </c>
      <c r="D419" s="345" t="s">
        <v>1162</v>
      </c>
      <c r="E419" s="346" t="s">
        <v>1470</v>
      </c>
    </row>
    <row r="420" spans="1:5" ht="12.75" customHeight="1" x14ac:dyDescent="0.2">
      <c r="A420" s="343"/>
      <c r="B420" s="343"/>
      <c r="C420" s="344"/>
      <c r="D420" s="345" t="s">
        <v>24</v>
      </c>
      <c r="E420" s="346" t="s">
        <v>2329</v>
      </c>
    </row>
    <row r="421" spans="1:5" ht="12.75" customHeight="1" x14ac:dyDescent="0.2">
      <c r="A421" s="6"/>
      <c r="B421" s="6"/>
      <c r="C421" s="347"/>
      <c r="D421" s="348"/>
      <c r="E421" s="6"/>
    </row>
    <row r="422" spans="1:5" ht="12.75" customHeight="1" x14ac:dyDescent="0.2">
      <c r="A422" s="343" t="s">
        <v>1293</v>
      </c>
      <c r="B422" s="343" t="str">
        <f>Labels!B202</f>
        <v>Prof Staff Salary Cost</v>
      </c>
      <c r="C422" s="344" t="s">
        <v>402</v>
      </c>
      <c r="D422" s="345" t="s">
        <v>1162</v>
      </c>
      <c r="E422" s="346" t="s">
        <v>4495</v>
      </c>
    </row>
    <row r="423" spans="1:5" ht="12.75" customHeight="1" x14ac:dyDescent="0.2">
      <c r="A423" s="6"/>
      <c r="B423" s="6"/>
      <c r="C423" s="347"/>
      <c r="D423" s="348"/>
      <c r="E423" s="6"/>
    </row>
    <row r="424" spans="1:5" ht="12.75" customHeight="1" x14ac:dyDescent="0.2">
      <c r="A424" s="343" t="s">
        <v>4332</v>
      </c>
      <c r="B424" s="343" t="str">
        <f>Labels!B203</f>
        <v>Prof Salary increase %</v>
      </c>
      <c r="C424" s="344" t="s">
        <v>5549</v>
      </c>
      <c r="D424" s="345" t="s">
        <v>1162</v>
      </c>
      <c r="E424" s="346" t="s">
        <v>1246</v>
      </c>
    </row>
    <row r="425" spans="1:5" ht="12.75" customHeight="1" x14ac:dyDescent="0.2">
      <c r="A425" s="6"/>
      <c r="B425" s="6"/>
      <c r="C425" s="347"/>
      <c r="D425" s="348"/>
      <c r="E425" s="6"/>
    </row>
    <row r="426" spans="1:5" ht="12.75" customHeight="1" x14ac:dyDescent="0.2">
      <c r="A426" s="343" t="s">
        <v>2672</v>
      </c>
      <c r="B426" s="343" t="str">
        <f>Labels!B204</f>
        <v>Prof Salary increase period %</v>
      </c>
      <c r="C426" s="344" t="s">
        <v>5549</v>
      </c>
      <c r="D426" s="345" t="s">
        <v>1162</v>
      </c>
      <c r="E426" s="346" t="s">
        <v>489</v>
      </c>
    </row>
    <row r="427" spans="1:5" ht="12.75" customHeight="1" x14ac:dyDescent="0.2">
      <c r="A427" s="6"/>
      <c r="B427" s="6"/>
      <c r="C427" s="347"/>
      <c r="D427" s="348"/>
      <c r="E427" s="6"/>
    </row>
    <row r="428" spans="1:5" ht="12.75" customHeight="1" x14ac:dyDescent="0.2">
      <c r="A428" s="343" t="s">
        <v>5195</v>
      </c>
      <c r="B428" s="343" t="str">
        <f>Labels!B205</f>
        <v>Prof Staff Targ Hrs/ HC (Yr)</v>
      </c>
      <c r="C428" s="344"/>
      <c r="D428" s="345"/>
      <c r="E428" s="346"/>
    </row>
    <row r="429" spans="1:5" ht="12.75" customHeight="1" x14ac:dyDescent="0.2">
      <c r="A429" s="6"/>
      <c r="B429" s="6"/>
      <c r="C429" s="347"/>
      <c r="D429" s="348"/>
      <c r="E429" s="6"/>
    </row>
    <row r="430" spans="1:5" ht="12.75" customHeight="1" x14ac:dyDescent="0.2">
      <c r="A430" s="343" t="s">
        <v>1800</v>
      </c>
      <c r="B430" s="343" t="str">
        <f>Labels!B206</f>
        <v>Prof Staff Target Util %</v>
      </c>
      <c r="C430" s="344" t="s">
        <v>402</v>
      </c>
      <c r="D430" s="345" t="s">
        <v>1162</v>
      </c>
      <c r="E430" s="346" t="s">
        <v>3151</v>
      </c>
    </row>
    <row r="431" spans="1:5" ht="12.75" customHeight="1" x14ac:dyDescent="0.2">
      <c r="A431" s="6"/>
      <c r="B431" s="6"/>
      <c r="C431" s="347"/>
      <c r="D431" s="348"/>
      <c r="E431" s="6"/>
    </row>
    <row r="432" spans="1:5" ht="12.75" customHeight="1" x14ac:dyDescent="0.2">
      <c r="A432" s="343" t="s">
        <v>2547</v>
      </c>
      <c r="B432" s="343" t="str">
        <f>Labels!B207</f>
        <v>Prof Staff Turnover</v>
      </c>
      <c r="C432" s="344" t="s">
        <v>402</v>
      </c>
      <c r="D432" s="345" t="s">
        <v>1162</v>
      </c>
      <c r="E432" s="346" t="s">
        <v>2455</v>
      </c>
    </row>
    <row r="433" spans="1:5" ht="12.75" customHeight="1" x14ac:dyDescent="0.2">
      <c r="A433" s="6"/>
      <c r="B433" s="6"/>
      <c r="C433" s="347"/>
      <c r="D433" s="348"/>
      <c r="E433" s="6"/>
    </row>
    <row r="434" spans="1:5" ht="12.75" customHeight="1" x14ac:dyDescent="0.2">
      <c r="A434" s="343" t="s">
        <v>3109</v>
      </c>
      <c r="B434" s="343" t="str">
        <f>Labels!B208</f>
        <v>Turnover % (Yr)</v>
      </c>
      <c r="C434" s="344" t="s">
        <v>402</v>
      </c>
      <c r="D434" s="345" t="s">
        <v>24</v>
      </c>
      <c r="E434" s="346" t="s">
        <v>3958</v>
      </c>
    </row>
    <row r="435" spans="1:5" ht="12.75" customHeight="1" x14ac:dyDescent="0.2">
      <c r="A435" s="6"/>
      <c r="B435" s="6"/>
      <c r="C435" s="347"/>
      <c r="D435" s="348"/>
      <c r="E435" s="6"/>
    </row>
    <row r="436" spans="1:5" ht="12.75" customHeight="1" x14ac:dyDescent="0.2">
      <c r="A436" s="343" t="s">
        <v>5298</v>
      </c>
      <c r="B436" s="343" t="str">
        <f>Labels!B209</f>
        <v>Professional Staff Utilization %</v>
      </c>
      <c r="C436" s="344" t="s">
        <v>402</v>
      </c>
      <c r="D436" s="345" t="s">
        <v>24</v>
      </c>
      <c r="E436" s="346" t="s">
        <v>5498</v>
      </c>
    </row>
    <row r="437" spans="1:5" ht="12.75" customHeight="1" x14ac:dyDescent="0.2">
      <c r="A437" s="6"/>
      <c r="B437" s="6"/>
      <c r="C437" s="347"/>
      <c r="D437" s="348"/>
      <c r="E437" s="6"/>
    </row>
    <row r="438" spans="1:5" ht="12.75" customHeight="1" x14ac:dyDescent="0.2">
      <c r="A438" s="343" t="s">
        <v>4309</v>
      </c>
      <c r="B438" s="343" t="str">
        <f>Labels!B210</f>
        <v>Purchases</v>
      </c>
      <c r="C438" s="344" t="s">
        <v>4333</v>
      </c>
      <c r="D438" s="345" t="s">
        <v>1162</v>
      </c>
      <c r="E438" s="346" t="s">
        <v>3196</v>
      </c>
    </row>
    <row r="439" spans="1:5" ht="12.75" customHeight="1" x14ac:dyDescent="0.2">
      <c r="A439" s="343"/>
      <c r="B439" s="343"/>
      <c r="C439" s="344" t="s">
        <v>3370</v>
      </c>
      <c r="D439" s="345" t="s">
        <v>1162</v>
      </c>
      <c r="E439" s="346" t="s">
        <v>279</v>
      </c>
    </row>
    <row r="440" spans="1:5" ht="12.75" customHeight="1" x14ac:dyDescent="0.2">
      <c r="A440" s="343"/>
      <c r="B440" s="343"/>
      <c r="C440" s="344" t="s">
        <v>2343</v>
      </c>
      <c r="D440" s="345" t="s">
        <v>1162</v>
      </c>
      <c r="E440" s="346" t="s">
        <v>774</v>
      </c>
    </row>
    <row r="441" spans="1:5" ht="12.75" customHeight="1" x14ac:dyDescent="0.2">
      <c r="A441" s="6"/>
      <c r="B441" s="6"/>
      <c r="C441" s="347"/>
      <c r="D441" s="348"/>
      <c r="E441" s="6"/>
    </row>
    <row r="442" spans="1:5" ht="12.75" customHeight="1" x14ac:dyDescent="0.2">
      <c r="A442" s="343" t="s">
        <v>4148</v>
      </c>
      <c r="B442" s="343" t="str">
        <f>Labels!B211</f>
        <v>Purchased Supplies</v>
      </c>
      <c r="C442" s="344" t="s">
        <v>1558</v>
      </c>
      <c r="D442" s="345" t="s">
        <v>1162</v>
      </c>
      <c r="E442" s="346" t="s">
        <v>2951</v>
      </c>
    </row>
    <row r="443" spans="1:5" ht="12.75" customHeight="1" x14ac:dyDescent="0.2">
      <c r="A443" s="6"/>
      <c r="B443" s="6"/>
      <c r="C443" s="347"/>
      <c r="D443" s="348"/>
      <c r="E443" s="6"/>
    </row>
    <row r="444" spans="1:5" ht="12.75" customHeight="1" x14ac:dyDescent="0.2">
      <c r="A444" s="343" t="s">
        <v>2364</v>
      </c>
      <c r="B444" s="343" t="str">
        <f>Labels!B212</f>
        <v>Quick Ratio</v>
      </c>
      <c r="C444" s="344" t="s">
        <v>79</v>
      </c>
      <c r="D444" s="345" t="s">
        <v>24</v>
      </c>
      <c r="E444" s="346" t="s">
        <v>769</v>
      </c>
    </row>
    <row r="445" spans="1:5" ht="12.75" customHeight="1" x14ac:dyDescent="0.2">
      <c r="A445" s="6"/>
      <c r="B445" s="6"/>
      <c r="C445" s="347"/>
      <c r="D445" s="348"/>
      <c r="E445" s="6"/>
    </row>
    <row r="446" spans="1:5" ht="12.75" customHeight="1" x14ac:dyDescent="0.2">
      <c r="A446" s="343" t="s">
        <v>3410</v>
      </c>
      <c r="B446" s="343" t="str">
        <f>Labels!B213</f>
        <v>Expense % Comp</v>
      </c>
      <c r="C446" s="344" t="s">
        <v>3139</v>
      </c>
      <c r="D446" s="345" t="s">
        <v>1162</v>
      </c>
      <c r="E446" s="346" t="s">
        <v>4557</v>
      </c>
    </row>
    <row r="447" spans="1:5" ht="12.75" customHeight="1" x14ac:dyDescent="0.2">
      <c r="A447" s="343"/>
      <c r="B447" s="343"/>
      <c r="C447" s="344"/>
      <c r="D447" s="345" t="s">
        <v>24</v>
      </c>
      <c r="E447" s="346" t="s">
        <v>2996</v>
      </c>
    </row>
    <row r="448" spans="1:5" ht="12.75" customHeight="1" x14ac:dyDescent="0.2">
      <c r="A448" s="6"/>
      <c r="B448" s="6"/>
      <c r="C448" s="347"/>
      <c r="D448" s="348"/>
      <c r="E448" s="6"/>
    </row>
    <row r="449" spans="1:5" ht="12.75" customHeight="1" x14ac:dyDescent="0.2">
      <c r="A449" s="343" t="s">
        <v>5897</v>
      </c>
      <c r="B449" s="343" t="str">
        <f>Labels!B214</f>
        <v>Expense % Comp</v>
      </c>
      <c r="C449" s="344" t="s">
        <v>4134</v>
      </c>
      <c r="D449" s="345" t="s">
        <v>1162</v>
      </c>
      <c r="E449" s="346" t="s">
        <v>3827</v>
      </c>
    </row>
    <row r="450" spans="1:5" ht="12.75" customHeight="1" x14ac:dyDescent="0.2">
      <c r="A450" s="343"/>
      <c r="B450" s="343"/>
      <c r="C450" s="344"/>
      <c r="D450" s="345" t="s">
        <v>24</v>
      </c>
      <c r="E450" s="346" t="s">
        <v>1870</v>
      </c>
    </row>
    <row r="451" spans="1:5" ht="12.75" customHeight="1" x14ac:dyDescent="0.2">
      <c r="A451" s="6"/>
      <c r="B451" s="6"/>
      <c r="C451" s="347"/>
      <c r="D451" s="348"/>
      <c r="E451" s="6"/>
    </row>
    <row r="452" spans="1:5" ht="12.75" customHeight="1" x14ac:dyDescent="0.2">
      <c r="A452" s="343" t="s">
        <v>1847</v>
      </c>
      <c r="B452" s="343" t="str">
        <f>Labels!B215</f>
        <v>Recruiting Expense</v>
      </c>
      <c r="C452" s="344" t="s">
        <v>3139</v>
      </c>
      <c r="D452" s="345" t="s">
        <v>1162</v>
      </c>
      <c r="E452" s="346" t="s">
        <v>3096</v>
      </c>
    </row>
    <row r="453" spans="1:5" ht="12.75" customHeight="1" x14ac:dyDescent="0.2">
      <c r="A453" s="6"/>
      <c r="B453" s="6"/>
      <c r="C453" s="347"/>
      <c r="D453" s="348"/>
      <c r="E453" s="6"/>
    </row>
    <row r="454" spans="1:5" ht="12.75" customHeight="1" x14ac:dyDescent="0.2">
      <c r="A454" s="343" t="s">
        <v>3425</v>
      </c>
      <c r="B454" s="343" t="str">
        <f>Labels!B216</f>
        <v>Recruiting Expense</v>
      </c>
      <c r="C454" s="344" t="s">
        <v>4134</v>
      </c>
      <c r="D454" s="345" t="s">
        <v>1162</v>
      </c>
      <c r="E454" s="346" t="s">
        <v>5414</v>
      </c>
    </row>
    <row r="455" spans="1:5" ht="12.75" customHeight="1" x14ac:dyDescent="0.2">
      <c r="A455" s="6"/>
      <c r="B455" s="6"/>
      <c r="C455" s="347"/>
      <c r="D455" s="348"/>
      <c r="E455" s="6"/>
    </row>
    <row r="456" spans="1:5" ht="12.75" customHeight="1" x14ac:dyDescent="0.2">
      <c r="A456" s="343" t="s">
        <v>734</v>
      </c>
      <c r="B456" s="343" t="str">
        <f>Labels!B217</f>
        <v>Recruiting Expense</v>
      </c>
      <c r="C456" s="344" t="s">
        <v>79</v>
      </c>
      <c r="D456" s="345" t="s">
        <v>1162</v>
      </c>
      <c r="E456" s="346" t="s">
        <v>4984</v>
      </c>
    </row>
    <row r="457" spans="1:5" ht="12.75" customHeight="1" x14ac:dyDescent="0.2">
      <c r="A457" s="6"/>
      <c r="B457" s="6"/>
      <c r="C457" s="347"/>
      <c r="D457" s="348"/>
      <c r="E457" s="6"/>
    </row>
    <row r="458" spans="1:5" ht="12.75" customHeight="1" x14ac:dyDescent="0.2">
      <c r="A458" s="343" t="s">
        <v>2955</v>
      </c>
      <c r="B458" s="343" t="str">
        <f>Labels!B218</f>
        <v>Initial Recruit %</v>
      </c>
      <c r="C458" s="344"/>
      <c r="D458" s="345"/>
      <c r="E458" s="346"/>
    </row>
    <row r="459" spans="1:5" ht="12.75" customHeight="1" x14ac:dyDescent="0.2">
      <c r="A459" s="6"/>
      <c r="B459" s="6"/>
      <c r="C459" s="347"/>
      <c r="D459" s="348"/>
      <c r="E459" s="6"/>
    </row>
    <row r="460" spans="1:5" ht="12.75" customHeight="1" x14ac:dyDescent="0.2">
      <c r="A460" s="343" t="s">
        <v>3042</v>
      </c>
      <c r="B460" s="343" t="str">
        <f>Labels!B219</f>
        <v>Initial Recruit %</v>
      </c>
      <c r="C460" s="344"/>
      <c r="D460" s="345"/>
      <c r="E460" s="346"/>
    </row>
    <row r="461" spans="1:5" ht="12.75" customHeight="1" x14ac:dyDescent="0.2">
      <c r="A461" s="6"/>
      <c r="B461" s="6"/>
      <c r="C461" s="347"/>
      <c r="D461" s="348"/>
      <c r="E461" s="6"/>
    </row>
    <row r="462" spans="1:5" ht="12.75" customHeight="1" x14ac:dyDescent="0.2">
      <c r="A462" s="343" t="s">
        <v>5372</v>
      </c>
      <c r="B462" s="343" t="str">
        <f>Labels!B220</f>
        <v>Recruit % Positions</v>
      </c>
      <c r="C462" s="344" t="s">
        <v>3139</v>
      </c>
      <c r="D462" s="345" t="s">
        <v>1162</v>
      </c>
      <c r="E462" s="346" t="s">
        <v>4557</v>
      </c>
    </row>
    <row r="463" spans="1:5" ht="12.75" customHeight="1" x14ac:dyDescent="0.2">
      <c r="A463" s="343"/>
      <c r="B463" s="343"/>
      <c r="C463" s="344"/>
      <c r="D463" s="345" t="s">
        <v>24</v>
      </c>
      <c r="E463" s="346" t="s">
        <v>2595</v>
      </c>
    </row>
    <row r="464" spans="1:5" ht="12.75" customHeight="1" x14ac:dyDescent="0.2">
      <c r="A464" s="6"/>
      <c r="B464" s="6"/>
      <c r="C464" s="347"/>
      <c r="D464" s="348"/>
      <c r="E464" s="6"/>
    </row>
    <row r="465" spans="1:5" ht="12.75" customHeight="1" x14ac:dyDescent="0.2">
      <c r="A465" s="343" t="s">
        <v>3026</v>
      </c>
      <c r="B465" s="343" t="str">
        <f>Labels!B221</f>
        <v>Recruit % Positions</v>
      </c>
      <c r="C465" s="344" t="s">
        <v>4134</v>
      </c>
      <c r="D465" s="345" t="s">
        <v>1162</v>
      </c>
      <c r="E465" s="346" t="s">
        <v>3827</v>
      </c>
    </row>
    <row r="466" spans="1:5" ht="12.75" customHeight="1" x14ac:dyDescent="0.2">
      <c r="A466" s="343"/>
      <c r="B466" s="343"/>
      <c r="C466" s="344"/>
      <c r="D466" s="345" t="s">
        <v>24</v>
      </c>
      <c r="E466" s="346" t="s">
        <v>1019</v>
      </c>
    </row>
    <row r="467" spans="1:5" ht="12.75" customHeight="1" x14ac:dyDescent="0.2">
      <c r="A467" s="6"/>
      <c r="B467" s="6"/>
      <c r="C467" s="347"/>
      <c r="D467" s="348"/>
      <c r="E467" s="6"/>
    </row>
    <row r="468" spans="1:5" ht="12.75" customHeight="1" x14ac:dyDescent="0.2">
      <c r="A468" s="343" t="s">
        <v>1166</v>
      </c>
      <c r="B468" s="343" t="str">
        <f>Labels!B222</f>
        <v>Retained Earnings</v>
      </c>
      <c r="C468" s="344" t="s">
        <v>79</v>
      </c>
      <c r="D468" s="345" t="s">
        <v>1162</v>
      </c>
      <c r="E468" s="346" t="s">
        <v>4191</v>
      </c>
    </row>
    <row r="469" spans="1:5" ht="12.75" customHeight="1" x14ac:dyDescent="0.2">
      <c r="A469" s="6"/>
      <c r="B469" s="6"/>
      <c r="C469" s="347"/>
      <c r="D469" s="348"/>
      <c r="E469" s="6"/>
    </row>
    <row r="470" spans="1:5" ht="12.75" customHeight="1" x14ac:dyDescent="0.2">
      <c r="A470" s="343" t="s">
        <v>2864</v>
      </c>
      <c r="B470" s="343" t="str">
        <f>Labels!B223</f>
        <v>Return on Assets</v>
      </c>
      <c r="C470" s="344" t="s">
        <v>79</v>
      </c>
      <c r="D470" s="345" t="s">
        <v>1162</v>
      </c>
      <c r="E470" s="346" t="s">
        <v>3294</v>
      </c>
    </row>
    <row r="471" spans="1:5" ht="12.75" customHeight="1" x14ac:dyDescent="0.2">
      <c r="A471" s="6"/>
      <c r="B471" s="6"/>
      <c r="C471" s="347"/>
      <c r="D471" s="348"/>
      <c r="E471" s="6"/>
    </row>
    <row r="472" spans="1:5" ht="12.75" customHeight="1" x14ac:dyDescent="0.2">
      <c r="A472" s="343" t="s">
        <v>496</v>
      </c>
      <c r="B472" s="343" t="str">
        <f>Labels!B224</f>
        <v>Return on Equity</v>
      </c>
      <c r="C472" s="344" t="s">
        <v>79</v>
      </c>
      <c r="D472" s="345" t="s">
        <v>1162</v>
      </c>
      <c r="E472" s="346" t="s">
        <v>1316</v>
      </c>
    </row>
    <row r="473" spans="1:5" ht="12.75" customHeight="1" x14ac:dyDescent="0.2">
      <c r="A473" s="6"/>
      <c r="B473" s="6"/>
      <c r="C473" s="347"/>
      <c r="D473" s="348"/>
      <c r="E473" s="6"/>
    </row>
    <row r="474" spans="1:5" ht="12.75" customHeight="1" x14ac:dyDescent="0.2">
      <c r="A474" s="343" t="s">
        <v>2532</v>
      </c>
      <c r="B474" s="343" t="str">
        <f>Labels!B225</f>
        <v>Return on Sales %</v>
      </c>
      <c r="C474" s="344" t="s">
        <v>79</v>
      </c>
      <c r="D474" s="345" t="s">
        <v>24</v>
      </c>
      <c r="E474" s="346" t="s">
        <v>3861</v>
      </c>
    </row>
    <row r="475" spans="1:5" ht="12.75" customHeight="1" x14ac:dyDescent="0.2">
      <c r="A475" s="6"/>
      <c r="B475" s="6"/>
      <c r="C475" s="347"/>
      <c r="D475" s="348"/>
      <c r="E475" s="6"/>
    </row>
    <row r="476" spans="1:5" ht="12.75" customHeight="1" x14ac:dyDescent="0.2">
      <c r="A476" s="343" t="s">
        <v>3422</v>
      </c>
      <c r="B476" s="343" t="str">
        <f>Labels!B226</f>
        <v>Revenue</v>
      </c>
      <c r="C476" s="344" t="s">
        <v>986</v>
      </c>
      <c r="D476" s="345" t="s">
        <v>1162</v>
      </c>
      <c r="E476" s="346" t="s">
        <v>1441</v>
      </c>
    </row>
    <row r="477" spans="1:5" ht="12.75" customHeight="1" x14ac:dyDescent="0.2">
      <c r="A477" s="6"/>
      <c r="B477" s="6"/>
      <c r="C477" s="347"/>
      <c r="D477" s="348"/>
      <c r="E477" s="6"/>
    </row>
    <row r="478" spans="1:5" ht="12.75" customHeight="1" x14ac:dyDescent="0.2">
      <c r="A478" s="343" t="s">
        <v>239</v>
      </c>
      <c r="B478" s="343" t="str">
        <f>Labels!B227</f>
        <v>Revenue CAGR (ex Yr1)</v>
      </c>
      <c r="C478" s="344" t="s">
        <v>986</v>
      </c>
      <c r="D478" s="345" t="s">
        <v>24</v>
      </c>
      <c r="E478" s="346" t="s">
        <v>2330</v>
      </c>
    </row>
    <row r="479" spans="1:5" ht="12.75" customHeight="1" x14ac:dyDescent="0.2">
      <c r="A479" s="6"/>
      <c r="B479" s="6"/>
      <c r="C479" s="347"/>
      <c r="D479" s="348"/>
      <c r="E479" s="6"/>
    </row>
    <row r="480" spans="1:5" ht="12.75" customHeight="1" x14ac:dyDescent="0.2">
      <c r="A480" s="343" t="s">
        <v>1357</v>
      </c>
      <c r="B480" s="343" t="str">
        <f>Labels!B228</f>
        <v>Revenue</v>
      </c>
      <c r="C480" s="344" t="s">
        <v>986</v>
      </c>
      <c r="D480" s="345" t="s">
        <v>1162</v>
      </c>
      <c r="E480" s="346" t="s">
        <v>3422</v>
      </c>
    </row>
    <row r="481" spans="1:5" ht="12.75" customHeight="1" x14ac:dyDescent="0.2">
      <c r="A481" s="6"/>
      <c r="B481" s="6"/>
      <c r="C481" s="347"/>
      <c r="D481" s="348"/>
      <c r="E481" s="6"/>
    </row>
    <row r="482" spans="1:5" ht="12.75" customHeight="1" x14ac:dyDescent="0.2">
      <c r="A482" s="343" t="s">
        <v>2190</v>
      </c>
      <c r="B482" s="343" t="str">
        <f>Labels!B229</f>
        <v>Revenue Growth</v>
      </c>
      <c r="C482" s="344" t="s">
        <v>3139</v>
      </c>
      <c r="D482" s="345" t="s">
        <v>24</v>
      </c>
      <c r="E482" s="346" t="s">
        <v>3510</v>
      </c>
    </row>
    <row r="483" spans="1:5" ht="12.75" customHeight="1" x14ac:dyDescent="0.2">
      <c r="A483" s="6"/>
      <c r="B483" s="6"/>
      <c r="C483" s="347"/>
      <c r="D483" s="348"/>
      <c r="E483" s="6"/>
    </row>
    <row r="484" spans="1:5" ht="12.75" customHeight="1" x14ac:dyDescent="0.2">
      <c r="A484" s="343" t="s">
        <v>4783</v>
      </c>
      <c r="B484" s="343" t="str">
        <f>Labels!B230</f>
        <v>Revenue Growth</v>
      </c>
      <c r="C484" s="344" t="s">
        <v>3139</v>
      </c>
      <c r="D484" s="345" t="s">
        <v>24</v>
      </c>
      <c r="E484" s="346" t="s">
        <v>3720</v>
      </c>
    </row>
    <row r="485" spans="1:5" ht="12.75" customHeight="1" x14ac:dyDescent="0.2">
      <c r="A485" s="6"/>
      <c r="B485" s="6"/>
      <c r="C485" s="347"/>
      <c r="D485" s="348"/>
      <c r="E485" s="6"/>
    </row>
    <row r="486" spans="1:5" ht="12.75" customHeight="1" x14ac:dyDescent="0.2">
      <c r="A486" s="343" t="s">
        <v>1837</v>
      </c>
      <c r="B486" s="343" t="str">
        <f>Labels!B231</f>
        <v>Revenue / Prof Staff</v>
      </c>
      <c r="C486" s="344" t="s">
        <v>79</v>
      </c>
      <c r="D486" s="345" t="s">
        <v>24</v>
      </c>
      <c r="E486" s="346" t="s">
        <v>1598</v>
      </c>
    </row>
    <row r="487" spans="1:5" ht="12.75" customHeight="1" x14ac:dyDescent="0.2">
      <c r="A487" s="6"/>
      <c r="B487" s="6"/>
      <c r="C487" s="347"/>
      <c r="D487" s="348"/>
      <c r="E487" s="6"/>
    </row>
    <row r="488" spans="1:5" ht="12.75" customHeight="1" x14ac:dyDescent="0.2">
      <c r="A488" s="343" t="s">
        <v>5146</v>
      </c>
      <c r="B488" s="343" t="str">
        <f>Labels!B232</f>
        <v>Sales Commis Rate</v>
      </c>
      <c r="C488" s="344" t="s">
        <v>79</v>
      </c>
      <c r="D488" s="345" t="s">
        <v>1162</v>
      </c>
      <c r="E488" s="346" t="s">
        <v>1246</v>
      </c>
    </row>
    <row r="489" spans="1:5" ht="12.75" customHeight="1" x14ac:dyDescent="0.2">
      <c r="A489" s="6"/>
      <c r="B489" s="6"/>
      <c r="C489" s="347"/>
      <c r="D489" s="348"/>
      <c r="E489" s="6"/>
    </row>
    <row r="490" spans="1:5" ht="12.75" customHeight="1" x14ac:dyDescent="0.2">
      <c r="A490" s="343" t="s">
        <v>4884</v>
      </c>
      <c r="B490" s="343" t="str">
        <f>Labels!B233</f>
        <v>Sales Commis Rev Share</v>
      </c>
      <c r="C490" s="344" t="s">
        <v>79</v>
      </c>
      <c r="D490" s="345" t="s">
        <v>1162</v>
      </c>
      <c r="E490" s="346" t="s">
        <v>2637</v>
      </c>
    </row>
    <row r="491" spans="1:5" ht="12.75" customHeight="1" x14ac:dyDescent="0.2">
      <c r="A491" s="6"/>
      <c r="B491" s="6"/>
      <c r="C491" s="347"/>
      <c r="D491" s="348"/>
      <c r="E491" s="6"/>
    </row>
    <row r="492" spans="1:5" ht="12.75" customHeight="1" x14ac:dyDescent="0.2">
      <c r="A492" s="343" t="s">
        <v>172</v>
      </c>
      <c r="B492" s="343" t="str">
        <f>Labels!B234</f>
        <v>Sales Commission</v>
      </c>
      <c r="C492" s="344" t="s">
        <v>79</v>
      </c>
      <c r="D492" s="345" t="s">
        <v>1162</v>
      </c>
      <c r="E492" s="346" t="s">
        <v>3122</v>
      </c>
    </row>
    <row r="493" spans="1:5" ht="12.75" customHeight="1" x14ac:dyDescent="0.2">
      <c r="A493" s="6"/>
      <c r="B493" s="6"/>
      <c r="C493" s="347"/>
      <c r="D493" s="348"/>
      <c r="E493" s="6"/>
    </row>
    <row r="494" spans="1:5" ht="12.75" customHeight="1" x14ac:dyDescent="0.2">
      <c r="A494" s="343" t="s">
        <v>4419</v>
      </c>
      <c r="B494" s="343" t="str">
        <f>Labels!B235</f>
        <v>Sales Lead Conv Hrs%</v>
      </c>
      <c r="C494" s="344" t="s">
        <v>2271</v>
      </c>
      <c r="D494" s="345" t="s">
        <v>1162</v>
      </c>
      <c r="E494" s="346" t="s">
        <v>4512</v>
      </c>
    </row>
    <row r="495" spans="1:5" ht="12.75" customHeight="1" x14ac:dyDescent="0.2">
      <c r="A495" s="6"/>
      <c r="B495" s="6"/>
      <c r="C495" s="347"/>
      <c r="D495" s="348"/>
      <c r="E495" s="6"/>
    </row>
    <row r="496" spans="1:5" ht="12.75" customHeight="1" x14ac:dyDescent="0.2">
      <c r="A496" s="343" t="s">
        <v>3665</v>
      </c>
      <c r="B496" s="343" t="str">
        <f>Labels!B236</f>
        <v>Sales Lead Hrs Conv % (Yr)</v>
      </c>
      <c r="C496" s="344" t="s">
        <v>2271</v>
      </c>
      <c r="D496" s="345" t="s">
        <v>1162</v>
      </c>
      <c r="E496" s="346" t="s">
        <v>4976</v>
      </c>
    </row>
    <row r="497" spans="1:5" ht="12.75" customHeight="1" x14ac:dyDescent="0.2">
      <c r="A497" s="6"/>
      <c r="B497" s="6"/>
      <c r="C497" s="347"/>
      <c r="D497" s="348"/>
      <c r="E497" s="6"/>
    </row>
    <row r="498" spans="1:5" ht="12.75" customHeight="1" x14ac:dyDescent="0.2">
      <c r="A498" s="343" t="s">
        <v>2498</v>
      </c>
      <c r="B498" s="343" t="str">
        <f>Labels!B237</f>
        <v>Sales Lead Expire Hrs%</v>
      </c>
      <c r="C498" s="344" t="s">
        <v>2271</v>
      </c>
      <c r="D498" s="345" t="s">
        <v>1162</v>
      </c>
      <c r="E498" s="346" t="s">
        <v>3403</v>
      </c>
    </row>
    <row r="499" spans="1:5" ht="12.75" customHeight="1" x14ac:dyDescent="0.2">
      <c r="A499" s="6"/>
      <c r="B499" s="6"/>
      <c r="C499" s="347"/>
      <c r="D499" s="348"/>
      <c r="E499" s="6"/>
    </row>
    <row r="500" spans="1:5" ht="12.75" customHeight="1" x14ac:dyDescent="0.2">
      <c r="A500" s="343" t="s">
        <v>3534</v>
      </c>
      <c r="B500" s="343" t="str">
        <f>Labels!B238</f>
        <v>Sales Lead Expire Hrs% (Yr)</v>
      </c>
      <c r="C500" s="344" t="s">
        <v>2271</v>
      </c>
      <c r="D500" s="345" t="s">
        <v>1162</v>
      </c>
      <c r="E500" s="346" t="s">
        <v>2975</v>
      </c>
    </row>
    <row r="501" spans="1:5" ht="12.75" customHeight="1" x14ac:dyDescent="0.2">
      <c r="A501" s="6"/>
      <c r="B501" s="6"/>
      <c r="C501" s="347"/>
      <c r="D501" s="348"/>
      <c r="E501" s="6"/>
    </row>
    <row r="502" spans="1:5" ht="12.75" customHeight="1" x14ac:dyDescent="0.2">
      <c r="A502" s="343" t="s">
        <v>4980</v>
      </c>
      <c r="B502" s="343" t="str">
        <f>Labels!B239</f>
        <v>Leads (Hrs)</v>
      </c>
      <c r="C502" s="344" t="s">
        <v>2271</v>
      </c>
      <c r="D502" s="345" t="s">
        <v>1162</v>
      </c>
      <c r="E502" s="346" t="s">
        <v>1797</v>
      </c>
    </row>
    <row r="503" spans="1:5" ht="12.75" customHeight="1" x14ac:dyDescent="0.2">
      <c r="A503" s="6"/>
      <c r="B503" s="6"/>
      <c r="C503" s="347"/>
      <c r="D503" s="348"/>
      <c r="E503" s="6"/>
    </row>
    <row r="504" spans="1:5" ht="12.75" customHeight="1" x14ac:dyDescent="0.2">
      <c r="A504" s="343" t="s">
        <v>1790</v>
      </c>
      <c r="B504" s="343" t="str">
        <f>Labels!B240</f>
        <v>New Sales Leads (Hrs)</v>
      </c>
      <c r="C504" s="344" t="s">
        <v>2271</v>
      </c>
      <c r="D504" s="345" t="s">
        <v>1162</v>
      </c>
      <c r="E504" s="346" t="s">
        <v>4643</v>
      </c>
    </row>
    <row r="505" spans="1:5" ht="12.75" customHeight="1" x14ac:dyDescent="0.2">
      <c r="A505" s="6"/>
      <c r="B505" s="6"/>
      <c r="C505" s="347"/>
      <c r="D505" s="348"/>
      <c r="E505" s="6"/>
    </row>
    <row r="506" spans="1:5" ht="12.75" customHeight="1" x14ac:dyDescent="0.2">
      <c r="A506" s="343" t="s">
        <v>4236</v>
      </c>
      <c r="B506" s="343" t="str">
        <f>Labels!B241</f>
        <v>Sales Leads</v>
      </c>
      <c r="C506" s="344" t="s">
        <v>2271</v>
      </c>
      <c r="D506" s="345" t="s">
        <v>1162</v>
      </c>
      <c r="E506" s="346" t="s">
        <v>1562</v>
      </c>
    </row>
    <row r="507" spans="1:5" ht="12.75" customHeight="1" x14ac:dyDescent="0.2">
      <c r="A507" s="6"/>
      <c r="B507" s="6"/>
      <c r="C507" s="347"/>
      <c r="D507" s="348"/>
      <c r="E507" s="6"/>
    </row>
    <row r="508" spans="1:5" ht="12.75" customHeight="1" x14ac:dyDescent="0.2">
      <c r="A508" s="343" t="s">
        <v>5812</v>
      </c>
      <c r="B508" s="343" t="str">
        <f>Labels!B242</f>
        <v>Sales Leads (Hrs)</v>
      </c>
      <c r="C508" s="344" t="s">
        <v>2271</v>
      </c>
      <c r="D508" s="345" t="s">
        <v>1162</v>
      </c>
      <c r="E508" s="346" t="s">
        <v>5780</v>
      </c>
    </row>
    <row r="509" spans="1:5" ht="12.75" customHeight="1" x14ac:dyDescent="0.2">
      <c r="A509" s="6"/>
      <c r="B509" s="6"/>
      <c r="C509" s="347"/>
      <c r="D509" s="348"/>
      <c r="E509" s="6"/>
    </row>
    <row r="510" spans="1:5" ht="12.75" customHeight="1" x14ac:dyDescent="0.2">
      <c r="A510" s="343" t="s">
        <v>5769</v>
      </c>
      <c r="B510" s="343" t="str">
        <f>Labels!B243</f>
        <v>New Sales Leads</v>
      </c>
      <c r="C510" s="344" t="s">
        <v>2271</v>
      </c>
      <c r="D510" s="345" t="s">
        <v>1162</v>
      </c>
      <c r="E510" s="346" t="s">
        <v>951</v>
      </c>
    </row>
    <row r="511" spans="1:5" ht="12.75" customHeight="1" x14ac:dyDescent="0.2">
      <c r="A511" s="6"/>
      <c r="B511" s="6"/>
      <c r="C511" s="347"/>
      <c r="D511" s="348"/>
      <c r="E511" s="6"/>
    </row>
    <row r="512" spans="1:5" ht="12.75" customHeight="1" x14ac:dyDescent="0.2">
      <c r="A512" s="343" t="s">
        <v>3625</v>
      </c>
      <c r="B512" s="343" t="str">
        <f>Labels!B244</f>
        <v>Selling Exp Ratio</v>
      </c>
      <c r="C512" s="344" t="s">
        <v>79</v>
      </c>
      <c r="D512" s="345" t="s">
        <v>1162</v>
      </c>
      <c r="E512" s="346" t="s">
        <v>4109</v>
      </c>
    </row>
    <row r="513" spans="1:5" ht="12.75" customHeight="1" x14ac:dyDescent="0.2">
      <c r="A513" s="6"/>
      <c r="B513" s="6"/>
      <c r="C513" s="347"/>
      <c r="D513" s="348"/>
      <c r="E513" s="6"/>
    </row>
    <row r="514" spans="1:5" ht="12.75" customHeight="1" x14ac:dyDescent="0.2">
      <c r="A514" s="343" t="s">
        <v>1940</v>
      </c>
      <c r="B514" s="343" t="str">
        <f>Labels!B245</f>
        <v>Short Term Debt</v>
      </c>
      <c r="C514" s="344" t="s">
        <v>79</v>
      </c>
      <c r="D514" s="345" t="s">
        <v>1162</v>
      </c>
      <c r="E514" s="346" t="s">
        <v>1536</v>
      </c>
    </row>
    <row r="515" spans="1:5" ht="12.75" customHeight="1" x14ac:dyDescent="0.2">
      <c r="A515" s="6"/>
      <c r="B515" s="6"/>
      <c r="C515" s="347"/>
      <c r="D515" s="348"/>
      <c r="E515" s="6"/>
    </row>
    <row r="516" spans="1:5" ht="12.75" customHeight="1" x14ac:dyDescent="0.2">
      <c r="A516" s="343" t="s">
        <v>2817</v>
      </c>
      <c r="B516" s="343" t="str">
        <f>Labels!B246</f>
        <v>Support Staff Benefits %</v>
      </c>
      <c r="C516" s="344" t="s">
        <v>79</v>
      </c>
      <c r="D516" s="345" t="s">
        <v>1162</v>
      </c>
      <c r="E516" s="346" t="s">
        <v>4335</v>
      </c>
    </row>
    <row r="517" spans="1:5" ht="12.75" customHeight="1" x14ac:dyDescent="0.2">
      <c r="A517" s="6"/>
      <c r="B517" s="6"/>
      <c r="C517" s="347"/>
      <c r="D517" s="348"/>
      <c r="E517" s="6"/>
    </row>
    <row r="518" spans="1:5" ht="12.75" customHeight="1" x14ac:dyDescent="0.2">
      <c r="A518" s="343" t="s">
        <v>217</v>
      </c>
      <c r="B518" s="343" t="str">
        <f>Labels!B247</f>
        <v>Support Staff  Bonus</v>
      </c>
      <c r="C518" s="344" t="s">
        <v>4134</v>
      </c>
      <c r="D518" s="345" t="s">
        <v>1162</v>
      </c>
      <c r="E518" s="346" t="s">
        <v>4464</v>
      </c>
    </row>
    <row r="519" spans="1:5" ht="12.75" customHeight="1" x14ac:dyDescent="0.2">
      <c r="A519" s="6"/>
      <c r="B519" s="6"/>
      <c r="C519" s="347"/>
      <c r="D519" s="348"/>
      <c r="E519" s="6"/>
    </row>
    <row r="520" spans="1:5" ht="12.75" customHeight="1" x14ac:dyDescent="0.2">
      <c r="A520" s="343" t="s">
        <v>235</v>
      </c>
      <c r="B520" s="343" t="str">
        <f>Labels!B248</f>
        <v>Support Staff  Bonus %</v>
      </c>
      <c r="C520" s="344" t="s">
        <v>4134</v>
      </c>
      <c r="D520" s="345" t="s">
        <v>1162</v>
      </c>
      <c r="E520" s="346" t="s">
        <v>1246</v>
      </c>
    </row>
    <row r="521" spans="1:5" ht="12.75" customHeight="1" x14ac:dyDescent="0.2">
      <c r="A521" s="6"/>
      <c r="B521" s="6"/>
      <c r="C521" s="347"/>
      <c r="D521" s="348"/>
      <c r="E521" s="6"/>
    </row>
    <row r="522" spans="1:5" ht="12.75" customHeight="1" x14ac:dyDescent="0.2">
      <c r="A522" s="343" t="s">
        <v>242</v>
      </c>
      <c r="B522" s="343" t="str">
        <f>Labels!B249</f>
        <v>Support Staff Count</v>
      </c>
      <c r="C522" s="344" t="s">
        <v>4134</v>
      </c>
      <c r="D522" s="345" t="s">
        <v>1162</v>
      </c>
      <c r="E522" s="346" t="s">
        <v>1643</v>
      </c>
    </row>
    <row r="523" spans="1:5" ht="12.75" customHeight="1" x14ac:dyDescent="0.2">
      <c r="A523" s="6"/>
      <c r="B523" s="6"/>
      <c r="C523" s="347"/>
      <c r="D523" s="348"/>
      <c r="E523" s="6"/>
    </row>
    <row r="524" spans="1:5" ht="12.75" customHeight="1" x14ac:dyDescent="0.2">
      <c r="A524" s="343" t="s">
        <v>3473</v>
      </c>
      <c r="B524" s="343" t="str">
        <f>Labels!B250</f>
        <v>Support Staff Count Cutover</v>
      </c>
      <c r="C524" s="344" t="s">
        <v>79</v>
      </c>
      <c r="D524" s="345" t="s">
        <v>1162</v>
      </c>
      <c r="E524" s="346" t="s">
        <v>31</v>
      </c>
    </row>
    <row r="525" spans="1:5" ht="12.75" customHeight="1" x14ac:dyDescent="0.2">
      <c r="A525" s="6"/>
      <c r="B525" s="6"/>
      <c r="C525" s="347"/>
      <c r="D525" s="348"/>
      <c r="E525" s="6"/>
    </row>
    <row r="526" spans="1:5" ht="12.75" customHeight="1" x14ac:dyDescent="0.2">
      <c r="A526" s="343" t="s">
        <v>4570</v>
      </c>
      <c r="B526" s="343" t="str">
        <f>Labels!B251</f>
        <v>Support Staff Count Early</v>
      </c>
      <c r="C526" s="344" t="s">
        <v>4134</v>
      </c>
      <c r="D526" s="345" t="s">
        <v>1162</v>
      </c>
      <c r="E526" s="346" t="s">
        <v>1246</v>
      </c>
    </row>
    <row r="527" spans="1:5" ht="12.75" customHeight="1" x14ac:dyDescent="0.2">
      <c r="A527" s="6"/>
      <c r="B527" s="6"/>
      <c r="C527" s="347"/>
      <c r="D527" s="348"/>
      <c r="E527" s="6"/>
    </row>
    <row r="528" spans="1:5" ht="12.75" customHeight="1" x14ac:dyDescent="0.2">
      <c r="A528" s="343" t="s">
        <v>996</v>
      </c>
      <c r="B528" s="343" t="str">
        <f>Labels!B252</f>
        <v>Support Staff Constants</v>
      </c>
      <c r="C528" s="344"/>
      <c r="D528" s="345"/>
      <c r="E528" s="346"/>
    </row>
    <row r="529" spans="1:5" ht="12.75" customHeight="1" x14ac:dyDescent="0.2">
      <c r="A529" s="6"/>
      <c r="B529" s="6"/>
      <c r="C529" s="347"/>
      <c r="D529" s="348"/>
      <c r="E529" s="6"/>
    </row>
    <row r="530" spans="1:5" ht="12.75" customHeight="1" x14ac:dyDescent="0.2">
      <c r="A530" s="343" t="s">
        <v>1057</v>
      </c>
      <c r="B530" s="343" t="str">
        <f>Labels!B253</f>
        <v>Support Staff Count1</v>
      </c>
      <c r="C530" s="344" t="s">
        <v>4134</v>
      </c>
      <c r="D530" s="345" t="s">
        <v>1162</v>
      </c>
      <c r="E530" s="346" t="s">
        <v>3315</v>
      </c>
    </row>
    <row r="531" spans="1:5" ht="12.75" customHeight="1" x14ac:dyDescent="0.2">
      <c r="A531" s="6"/>
      <c r="B531" s="6"/>
      <c r="C531" s="347"/>
      <c r="D531" s="348"/>
      <c r="E531" s="6"/>
    </row>
    <row r="532" spans="1:5" ht="12.75" customHeight="1" x14ac:dyDescent="0.2">
      <c r="A532" s="343" t="s">
        <v>3522</v>
      </c>
      <c r="B532" s="343" t="str">
        <f>Labels!B254</f>
        <v>Support Staff Expense</v>
      </c>
      <c r="C532" s="344" t="s">
        <v>4134</v>
      </c>
      <c r="D532" s="345" t="s">
        <v>1162</v>
      </c>
      <c r="E532" s="346" t="s">
        <v>916</v>
      </c>
    </row>
    <row r="533" spans="1:5" ht="12.75" customHeight="1" x14ac:dyDescent="0.2">
      <c r="A533" s="6"/>
      <c r="B533" s="6"/>
      <c r="C533" s="347"/>
      <c r="D533" s="348"/>
      <c r="E533" s="6"/>
    </row>
    <row r="534" spans="1:5" ht="12.75" customHeight="1" x14ac:dyDescent="0.2">
      <c r="A534" s="343" t="s">
        <v>5008</v>
      </c>
      <c r="B534" s="343" t="str">
        <f>Labels!B255</f>
        <v>Support Staff Open Positions</v>
      </c>
      <c r="C534" s="344" t="s">
        <v>4134</v>
      </c>
      <c r="D534" s="345" t="s">
        <v>1162</v>
      </c>
      <c r="E534" s="346" t="s">
        <v>1613</v>
      </c>
    </row>
    <row r="535" spans="1:5" ht="12.75" customHeight="1" x14ac:dyDescent="0.2">
      <c r="A535" s="6"/>
      <c r="B535" s="6"/>
      <c r="C535" s="347"/>
      <c r="D535" s="348"/>
      <c r="E535" s="6"/>
    </row>
    <row r="536" spans="1:5" ht="12.75" customHeight="1" x14ac:dyDescent="0.2">
      <c r="A536" s="343" t="s">
        <v>3245</v>
      </c>
      <c r="B536" s="343" t="str">
        <f>Labels!B256</f>
        <v xml:space="preserve">Support Staff/Rev Million </v>
      </c>
      <c r="C536" s="344" t="s">
        <v>4134</v>
      </c>
      <c r="D536" s="345" t="s">
        <v>24</v>
      </c>
      <c r="E536" s="346" t="s">
        <v>3890</v>
      </c>
    </row>
    <row r="537" spans="1:5" ht="12.75" customHeight="1" x14ac:dyDescent="0.2">
      <c r="A537" s="6"/>
      <c r="B537" s="6"/>
      <c r="C537" s="347"/>
      <c r="D537" s="348"/>
      <c r="E537" s="6"/>
    </row>
    <row r="538" spans="1:5" ht="12.75" customHeight="1" x14ac:dyDescent="0.2">
      <c r="A538" s="343" t="s">
        <v>1507</v>
      </c>
      <c r="B538" s="343" t="str">
        <f>Labels!B257</f>
        <v>Support Staff Recruited</v>
      </c>
      <c r="C538" s="344" t="s">
        <v>4134</v>
      </c>
      <c r="D538" s="345" t="s">
        <v>1162</v>
      </c>
      <c r="E538" s="346" t="s">
        <v>3759</v>
      </c>
    </row>
    <row r="539" spans="1:5" ht="12.75" customHeight="1" x14ac:dyDescent="0.2">
      <c r="A539" s="6"/>
      <c r="B539" s="6"/>
      <c r="C539" s="347"/>
      <c r="D539" s="348"/>
      <c r="E539" s="6"/>
    </row>
    <row r="540" spans="1:5" ht="12.75" customHeight="1" x14ac:dyDescent="0.2">
      <c r="A540" s="343" t="s">
        <v>1099</v>
      </c>
      <c r="B540" s="343" t="str">
        <f>Labels!B258</f>
        <v>Support Staff Rel Exp</v>
      </c>
      <c r="C540" s="344" t="s">
        <v>2018</v>
      </c>
      <c r="D540" s="345" t="s">
        <v>1162</v>
      </c>
      <c r="E540" s="346" t="s">
        <v>3968</v>
      </c>
    </row>
    <row r="541" spans="1:5" ht="12.75" customHeight="1" x14ac:dyDescent="0.2">
      <c r="A541" s="6"/>
      <c r="B541" s="6"/>
      <c r="C541" s="347"/>
      <c r="D541" s="348"/>
      <c r="E541" s="6"/>
    </row>
    <row r="542" spans="1:5" ht="12.75" customHeight="1" x14ac:dyDescent="0.2">
      <c r="A542" s="343" t="s">
        <v>2288</v>
      </c>
      <c r="B542" s="343" t="str">
        <f>Labels!B259</f>
        <v>Support Staff Turnover</v>
      </c>
      <c r="C542" s="344" t="s">
        <v>4134</v>
      </c>
      <c r="D542" s="345" t="s">
        <v>1162</v>
      </c>
      <c r="E542" s="346" t="s">
        <v>4600</v>
      </c>
    </row>
    <row r="543" spans="1:5" ht="12.75" customHeight="1" x14ac:dyDescent="0.2">
      <c r="A543" s="6"/>
      <c r="B543" s="6"/>
      <c r="C543" s="347"/>
      <c r="D543" s="348"/>
      <c r="E543" s="6"/>
    </row>
    <row r="544" spans="1:5" ht="12.75" customHeight="1" x14ac:dyDescent="0.2">
      <c r="A544" s="343" t="s">
        <v>2161</v>
      </c>
      <c r="B544" s="343" t="str">
        <f>Labels!B260</f>
        <v>Turnover % (Yr)</v>
      </c>
      <c r="C544" s="344" t="s">
        <v>4134</v>
      </c>
      <c r="D544" s="345" t="s">
        <v>1162</v>
      </c>
      <c r="E544" s="346" t="s">
        <v>3297</v>
      </c>
    </row>
    <row r="545" spans="1:5" ht="12.75" customHeight="1" x14ac:dyDescent="0.2">
      <c r="A545" s="343"/>
      <c r="B545" s="343"/>
      <c r="C545" s="344"/>
      <c r="D545" s="345" t="s">
        <v>24</v>
      </c>
      <c r="E545" s="346" t="s">
        <v>1997</v>
      </c>
    </row>
    <row r="546" spans="1:5" ht="12.75" customHeight="1" x14ac:dyDescent="0.2">
      <c r="A546" s="6"/>
      <c r="B546" s="6"/>
      <c r="C546" s="347"/>
      <c r="D546" s="348"/>
      <c r="E546" s="6"/>
    </row>
    <row r="547" spans="1:5" ht="12.75" customHeight="1" x14ac:dyDescent="0.2">
      <c r="A547" s="343" t="s">
        <v>3041</v>
      </c>
      <c r="B547" s="343" t="str">
        <f>Labels!B261</f>
        <v>Avg Support Staff Wage</v>
      </c>
      <c r="C547" s="344" t="s">
        <v>4134</v>
      </c>
      <c r="D547" s="345" t="s">
        <v>1162</v>
      </c>
      <c r="E547" s="346" t="s">
        <v>3383</v>
      </c>
    </row>
    <row r="548" spans="1:5" ht="12.75" customHeight="1" x14ac:dyDescent="0.2">
      <c r="A548" s="343"/>
      <c r="B548" s="343"/>
      <c r="C548" s="344"/>
      <c r="D548" s="345" t="s">
        <v>24</v>
      </c>
      <c r="E548" s="346" t="s">
        <v>1523</v>
      </c>
    </row>
    <row r="549" spans="1:5" ht="12.75" customHeight="1" x14ac:dyDescent="0.2">
      <c r="A549" s="6"/>
      <c r="B549" s="6"/>
      <c r="C549" s="347"/>
      <c r="D549" s="348"/>
      <c r="E549" s="6"/>
    </row>
    <row r="550" spans="1:5" ht="12.75" customHeight="1" x14ac:dyDescent="0.2">
      <c r="A550" s="343" t="s">
        <v>504</v>
      </c>
      <c r="B550" s="343" t="str">
        <f>Labels!B262</f>
        <v>Initial Avg Support Staff Wage (Yr)</v>
      </c>
      <c r="C550" s="344"/>
      <c r="D550" s="345"/>
      <c r="E550" s="346"/>
    </row>
    <row r="551" spans="1:5" ht="12.75" customHeight="1" x14ac:dyDescent="0.2">
      <c r="A551" s="6"/>
      <c r="B551" s="6"/>
      <c r="C551" s="347"/>
      <c r="D551" s="348"/>
      <c r="E551" s="6"/>
    </row>
    <row r="552" spans="1:5" ht="12.75" customHeight="1" x14ac:dyDescent="0.2">
      <c r="A552" s="343" t="s">
        <v>5182</v>
      </c>
      <c r="B552" s="343" t="str">
        <f>Labels!B263</f>
        <v>Support Staff Wage Expense</v>
      </c>
      <c r="C552" s="344" t="s">
        <v>4134</v>
      </c>
      <c r="D552" s="345" t="s">
        <v>1162</v>
      </c>
      <c r="E552" s="346" t="s">
        <v>5421</v>
      </c>
    </row>
    <row r="553" spans="1:5" ht="12.75" customHeight="1" x14ac:dyDescent="0.2">
      <c r="A553" s="6"/>
      <c r="B553" s="6"/>
      <c r="C553" s="347"/>
      <c r="D553" s="348"/>
      <c r="E553" s="6"/>
    </row>
    <row r="554" spans="1:5" ht="12.75" customHeight="1" x14ac:dyDescent="0.2">
      <c r="A554" s="343" t="s">
        <v>3206</v>
      </c>
      <c r="B554" s="343" t="str">
        <f>Labels!B264</f>
        <v>Wage increase %</v>
      </c>
      <c r="C554" s="344" t="s">
        <v>2312</v>
      </c>
      <c r="D554" s="345" t="s">
        <v>1162</v>
      </c>
      <c r="E554" s="346" t="s">
        <v>1246</v>
      </c>
    </row>
    <row r="555" spans="1:5" ht="12.75" customHeight="1" x14ac:dyDescent="0.2">
      <c r="A555" s="6"/>
      <c r="B555" s="6"/>
      <c r="C555" s="347"/>
      <c r="D555" s="348"/>
      <c r="E555" s="6"/>
    </row>
    <row r="556" spans="1:5" ht="12.75" customHeight="1" x14ac:dyDescent="0.2">
      <c r="A556" s="343" t="s">
        <v>3279</v>
      </c>
      <c r="B556" s="343" t="str">
        <f>Labels!B265</f>
        <v>Wage increase period %</v>
      </c>
      <c r="C556" s="344" t="s">
        <v>2312</v>
      </c>
      <c r="D556" s="345" t="s">
        <v>1162</v>
      </c>
      <c r="E556" s="346" t="s">
        <v>4593</v>
      </c>
    </row>
    <row r="557" spans="1:5" ht="12.75" customHeight="1" x14ac:dyDescent="0.2">
      <c r="A557" s="6"/>
      <c r="B557" s="6"/>
      <c r="C557" s="347"/>
      <c r="D557" s="348"/>
      <c r="E557" s="6"/>
    </row>
    <row r="558" spans="1:5" ht="12.75" customHeight="1" x14ac:dyDescent="0.2">
      <c r="A558" s="343" t="s">
        <v>3543</v>
      </c>
      <c r="B558" s="343" t="str">
        <f>Labels!B266</f>
        <v>Depreciation</v>
      </c>
      <c r="C558" s="344" t="s">
        <v>1878</v>
      </c>
      <c r="D558" s="345" t="s">
        <v>1162</v>
      </c>
      <c r="E558" s="346" t="s">
        <v>5697</v>
      </c>
    </row>
    <row r="559" spans="1:5" ht="12.75" customHeight="1" x14ac:dyDescent="0.2">
      <c r="A559" s="6"/>
      <c r="B559" s="6"/>
      <c r="C559" s="347"/>
      <c r="D559" s="348"/>
      <c r="E559" s="6"/>
    </row>
    <row r="560" spans="1:5" ht="12.75" customHeight="1" x14ac:dyDescent="0.2">
      <c r="A560" s="343" t="s">
        <v>76</v>
      </c>
      <c r="B560" s="343" t="str">
        <f>Labels!B267</f>
        <v>Depr Method</v>
      </c>
      <c r="C560" s="344"/>
      <c r="D560" s="345"/>
      <c r="E560" s="346"/>
    </row>
    <row r="561" spans="1:5" ht="12.75" customHeight="1" x14ac:dyDescent="0.2">
      <c r="A561" s="6"/>
      <c r="B561" s="6"/>
      <c r="C561" s="347"/>
      <c r="D561" s="348"/>
      <c r="E561" s="6"/>
    </row>
    <row r="562" spans="1:5" ht="12.75" customHeight="1" x14ac:dyDescent="0.2">
      <c r="A562" s="343" t="s">
        <v>1733</v>
      </c>
      <c r="B562" s="343" t="str">
        <f>Labels!B268</f>
        <v>Deprec Period</v>
      </c>
      <c r="C562" s="344" t="s">
        <v>1878</v>
      </c>
      <c r="D562" s="345" t="s">
        <v>1162</v>
      </c>
      <c r="E562" s="346" t="s">
        <v>5691</v>
      </c>
    </row>
    <row r="563" spans="1:5" ht="12.75" customHeight="1" x14ac:dyDescent="0.2">
      <c r="A563" s="6"/>
      <c r="B563" s="6"/>
      <c r="C563" s="347"/>
      <c r="D563" s="348"/>
      <c r="E563" s="6"/>
    </row>
    <row r="564" spans="1:5" ht="12.75" customHeight="1" x14ac:dyDescent="0.2">
      <c r="A564" s="343" t="s">
        <v>309</v>
      </c>
      <c r="B564" s="343" t="str">
        <f>Labels!B269</f>
        <v>Initial Value</v>
      </c>
      <c r="C564" s="344"/>
      <c r="D564" s="345"/>
      <c r="E564" s="346"/>
    </row>
    <row r="565" spans="1:5" ht="12.75" customHeight="1" x14ac:dyDescent="0.2">
      <c r="A565" s="6"/>
      <c r="B565" s="6"/>
      <c r="C565" s="347"/>
      <c r="D565" s="348"/>
      <c r="E565" s="6"/>
    </row>
    <row r="566" spans="1:5" ht="12.75" customHeight="1" x14ac:dyDescent="0.2">
      <c r="A566" s="343" t="s">
        <v>2715</v>
      </c>
      <c r="B566" s="343" t="str">
        <f>Labels!B270</f>
        <v>Deprec Life (periods)</v>
      </c>
      <c r="C566" s="344" t="s">
        <v>1878</v>
      </c>
      <c r="D566" s="345" t="s">
        <v>1162</v>
      </c>
      <c r="E566" s="346" t="s">
        <v>3979</v>
      </c>
    </row>
    <row r="567" spans="1:5" ht="12.75" customHeight="1" x14ac:dyDescent="0.2">
      <c r="A567" s="6"/>
      <c r="B567" s="6"/>
      <c r="C567" s="347"/>
      <c r="D567" s="348"/>
      <c r="E567" s="6"/>
    </row>
    <row r="568" spans="1:5" ht="12.75" customHeight="1" x14ac:dyDescent="0.2">
      <c r="A568" s="343" t="s">
        <v>1005</v>
      </c>
      <c r="B568" s="343" t="str">
        <f>Labels!B271</f>
        <v>Depr Life (Yr)</v>
      </c>
      <c r="C568" s="344"/>
      <c r="D568" s="345"/>
      <c r="E568" s="346"/>
    </row>
    <row r="569" spans="1:5" ht="12.75" customHeight="1" x14ac:dyDescent="0.2">
      <c r="A569" s="6"/>
      <c r="B569" s="6"/>
      <c r="C569" s="347"/>
      <c r="D569" s="348"/>
      <c r="E569" s="6"/>
    </row>
    <row r="570" spans="1:5" ht="12.75" customHeight="1" x14ac:dyDescent="0.2">
      <c r="A570" s="343" t="s">
        <v>3035</v>
      </c>
      <c r="B570" s="343" t="str">
        <f>Labels!B272</f>
        <v>Physical Life (period)</v>
      </c>
      <c r="C570" s="344" t="s">
        <v>1878</v>
      </c>
      <c r="D570" s="345" t="s">
        <v>1162</v>
      </c>
      <c r="E570" s="346" t="s">
        <v>2949</v>
      </c>
    </row>
    <row r="571" spans="1:5" ht="12.75" customHeight="1" x14ac:dyDescent="0.2">
      <c r="A571" s="6"/>
      <c r="B571" s="6"/>
      <c r="C571" s="347"/>
      <c r="D571" s="348"/>
      <c r="E571" s="6"/>
    </row>
    <row r="572" spans="1:5" ht="12.75" customHeight="1" x14ac:dyDescent="0.2">
      <c r="A572" s="343" t="s">
        <v>2752</v>
      </c>
      <c r="B572" s="343" t="str">
        <f>Labels!B273</f>
        <v>Physical Life (Yr)</v>
      </c>
      <c r="C572" s="344" t="s">
        <v>1878</v>
      </c>
      <c r="D572" s="345" t="s">
        <v>1162</v>
      </c>
      <c r="E572" s="346" t="s">
        <v>1005</v>
      </c>
    </row>
    <row r="573" spans="1:5" ht="12.75" customHeight="1" x14ac:dyDescent="0.2">
      <c r="A573" s="6"/>
      <c r="B573" s="6"/>
      <c r="C573" s="347"/>
      <c r="D573" s="348"/>
      <c r="E573" s="6"/>
    </row>
    <row r="574" spans="1:5" ht="12.75" customHeight="1" x14ac:dyDescent="0.2">
      <c r="A574" s="343" t="s">
        <v>5158</v>
      </c>
      <c r="B574" s="343" t="str">
        <f>Labels!B274</f>
        <v>Asset Name</v>
      </c>
      <c r="C574" s="344" t="s">
        <v>1878</v>
      </c>
      <c r="D574" s="345" t="s">
        <v>1162</v>
      </c>
      <c r="E574" s="346" t="s">
        <v>412</v>
      </c>
    </row>
    <row r="575" spans="1:5" ht="12.75" customHeight="1" x14ac:dyDescent="0.2">
      <c r="A575" s="6"/>
      <c r="B575" s="6"/>
      <c r="C575" s="347"/>
      <c r="D575" s="348"/>
      <c r="E575" s="6"/>
    </row>
    <row r="576" spans="1:5" ht="12.75" customHeight="1" x14ac:dyDescent="0.2">
      <c r="A576" s="343" t="s">
        <v>1067</v>
      </c>
      <c r="B576" s="343" t="str">
        <f>Labels!B275</f>
        <v>Tagged Asset Purch</v>
      </c>
      <c r="C576" s="344" t="s">
        <v>1878</v>
      </c>
      <c r="D576" s="345" t="s">
        <v>1162</v>
      </c>
      <c r="E576" s="346" t="s">
        <v>5819</v>
      </c>
    </row>
    <row r="577" spans="1:5" ht="12.75" customHeight="1" x14ac:dyDescent="0.2">
      <c r="A577" s="6"/>
      <c r="B577" s="6"/>
      <c r="C577" s="347"/>
      <c r="D577" s="348"/>
      <c r="E577" s="6"/>
    </row>
    <row r="578" spans="1:5" ht="12.75" customHeight="1" x14ac:dyDescent="0.2">
      <c r="A578" s="343" t="s">
        <v>4812</v>
      </c>
      <c r="B578" s="343" t="str">
        <f>Labels!B276</f>
        <v>Purch Date</v>
      </c>
      <c r="C578" s="344" t="s">
        <v>1878</v>
      </c>
      <c r="D578" s="345" t="s">
        <v>1162</v>
      </c>
      <c r="E578" s="346" t="s">
        <v>4858</v>
      </c>
    </row>
    <row r="579" spans="1:5" ht="12.75" customHeight="1" x14ac:dyDescent="0.2">
      <c r="A579" s="6"/>
      <c r="B579" s="6"/>
      <c r="C579" s="347"/>
      <c r="D579" s="348"/>
      <c r="E579" s="6"/>
    </row>
    <row r="580" spans="1:5" ht="12.75" customHeight="1" x14ac:dyDescent="0.2">
      <c r="A580" s="343" t="s">
        <v>2294</v>
      </c>
      <c r="B580" s="343" t="str">
        <f>Labels!B277</f>
        <v>Asset Salvage CF</v>
      </c>
      <c r="C580" s="344" t="s">
        <v>1878</v>
      </c>
      <c r="D580" s="345" t="s">
        <v>1162</v>
      </c>
      <c r="E580" s="346" t="s">
        <v>1206</v>
      </c>
    </row>
    <row r="581" spans="1:5" ht="12.75" customHeight="1" x14ac:dyDescent="0.2">
      <c r="A581" s="6"/>
      <c r="B581" s="6"/>
      <c r="C581" s="347"/>
      <c r="D581" s="348"/>
      <c r="E581" s="6"/>
    </row>
    <row r="582" spans="1:5" ht="12.75" customHeight="1" x14ac:dyDescent="0.2">
      <c r="A582" s="343" t="s">
        <v>5331</v>
      </c>
      <c r="B582" s="343" t="str">
        <f>Labels!B278</f>
        <v>Salvage Value</v>
      </c>
      <c r="C582" s="344"/>
      <c r="D582" s="345"/>
      <c r="E582" s="346"/>
    </row>
    <row r="583" spans="1:5" ht="12.75" customHeight="1" x14ac:dyDescent="0.2">
      <c r="A583" s="6"/>
      <c r="B583" s="6"/>
      <c r="C583" s="347"/>
      <c r="D583" s="348"/>
      <c r="E583" s="6"/>
    </row>
    <row r="584" spans="1:5" ht="12.75" customHeight="1" x14ac:dyDescent="0.2">
      <c r="A584" s="343" t="s">
        <v>1535</v>
      </c>
      <c r="B584" s="343" t="str">
        <f>Labels!B279</f>
        <v>Tagged Assets</v>
      </c>
      <c r="C584" s="344" t="s">
        <v>1878</v>
      </c>
      <c r="D584" s="345" t="s">
        <v>1162</v>
      </c>
      <c r="E584" s="346" t="s">
        <v>2724</v>
      </c>
    </row>
    <row r="585" spans="1:5" ht="12.75" customHeight="1" x14ac:dyDescent="0.2">
      <c r="A585" s="6"/>
      <c r="B585" s="6"/>
      <c r="C585" s="347"/>
      <c r="D585" s="348"/>
      <c r="E585" s="6"/>
    </row>
    <row r="586" spans="1:5" ht="12.75" customHeight="1" x14ac:dyDescent="0.2">
      <c r="A586" s="343" t="s">
        <v>2559</v>
      </c>
      <c r="B586" s="343" t="str">
        <f>Labels!B280</f>
        <v>Tail Discount Rate</v>
      </c>
      <c r="C586" s="344" t="s">
        <v>79</v>
      </c>
      <c r="D586" s="345" t="s">
        <v>1162</v>
      </c>
      <c r="E586" s="346" t="s">
        <v>5102</v>
      </c>
    </row>
    <row r="587" spans="1:5" ht="12.75" customHeight="1" x14ac:dyDescent="0.2">
      <c r="A587" s="6"/>
      <c r="B587" s="6"/>
      <c r="C587" s="347"/>
      <c r="D587" s="348"/>
      <c r="E587" s="6"/>
    </row>
    <row r="588" spans="1:5" ht="12.75" customHeight="1" x14ac:dyDescent="0.2">
      <c r="A588" s="343" t="s">
        <v>4334</v>
      </c>
      <c r="B588" s="343" t="str">
        <f>Labels!B281</f>
        <v>Tail Discount Rate (Yr)</v>
      </c>
      <c r="C588" s="344"/>
      <c r="D588" s="345"/>
      <c r="E588" s="346"/>
    </row>
    <row r="589" spans="1:5" ht="12.75" customHeight="1" x14ac:dyDescent="0.2">
      <c r="A589" s="6"/>
      <c r="B589" s="6"/>
      <c r="C589" s="347"/>
      <c r="D589" s="348"/>
      <c r="E589" s="6"/>
    </row>
    <row r="590" spans="1:5" ht="12.75" customHeight="1" x14ac:dyDescent="0.2">
      <c r="A590" s="343" t="s">
        <v>1874</v>
      </c>
      <c r="B590" s="343" t="str">
        <f>Labels!B282</f>
        <v>Tail Future Value</v>
      </c>
      <c r="C590" s="344" t="s">
        <v>79</v>
      </c>
      <c r="D590" s="345" t="s">
        <v>1162</v>
      </c>
      <c r="E590" s="346" t="s">
        <v>563</v>
      </c>
    </row>
    <row r="591" spans="1:5" ht="12.75" customHeight="1" x14ac:dyDescent="0.2">
      <c r="A591" s="6"/>
      <c r="B591" s="6"/>
      <c r="C591" s="347"/>
      <c r="D591" s="348"/>
      <c r="E591" s="6"/>
    </row>
    <row r="592" spans="1:5" ht="12.75" customHeight="1" x14ac:dyDescent="0.2">
      <c r="A592" s="343" t="s">
        <v>3678</v>
      </c>
      <c r="B592" s="343" t="str">
        <f>Labels!B283</f>
        <v>Tail Growth Rate</v>
      </c>
      <c r="C592" s="344" t="s">
        <v>79</v>
      </c>
      <c r="D592" s="345" t="s">
        <v>24</v>
      </c>
      <c r="E592" s="346" t="s">
        <v>3280</v>
      </c>
    </row>
    <row r="593" spans="1:5" ht="12.75" customHeight="1" x14ac:dyDescent="0.2">
      <c r="A593" s="6"/>
      <c r="B593" s="6"/>
      <c r="C593" s="347"/>
      <c r="D593" s="348"/>
      <c r="E593" s="6"/>
    </row>
    <row r="594" spans="1:5" ht="12.75" customHeight="1" x14ac:dyDescent="0.2">
      <c r="A594" s="343" t="s">
        <v>2723</v>
      </c>
      <c r="B594" s="343" t="str">
        <f>Labels!B284</f>
        <v>Tail Growth Rate (Yr)</v>
      </c>
      <c r="C594" s="344"/>
      <c r="D594" s="345"/>
      <c r="E594" s="346"/>
    </row>
    <row r="595" spans="1:5" ht="12.75" customHeight="1" x14ac:dyDescent="0.2">
      <c r="A595" s="6"/>
      <c r="B595" s="6"/>
      <c r="C595" s="347"/>
      <c r="D595" s="348"/>
      <c r="E595" s="6"/>
    </row>
    <row r="596" spans="1:5" ht="12.75" customHeight="1" x14ac:dyDescent="0.2">
      <c r="A596" s="343" t="s">
        <v>2518</v>
      </c>
      <c r="B596" s="343" t="str">
        <f>Labels!B285</f>
        <v>Taxable Income</v>
      </c>
      <c r="C596" s="344" t="s">
        <v>79</v>
      </c>
      <c r="D596" s="345" t="s">
        <v>1162</v>
      </c>
      <c r="E596" s="346" t="s">
        <v>448</v>
      </c>
    </row>
    <row r="597" spans="1:5" ht="12.75" customHeight="1" x14ac:dyDescent="0.2">
      <c r="A597" s="6"/>
      <c r="B597" s="6"/>
      <c r="C597" s="347"/>
      <c r="D597" s="348"/>
      <c r="E597" s="6"/>
    </row>
    <row r="598" spans="1:5" ht="12.75" customHeight="1" x14ac:dyDescent="0.2">
      <c r="A598" s="343" t="s">
        <v>3148</v>
      </c>
      <c r="B598" s="343" t="str">
        <f>Labels!B286</f>
        <v>Time</v>
      </c>
      <c r="C598" s="344" t="s">
        <v>79</v>
      </c>
      <c r="D598" s="345" t="s">
        <v>1162</v>
      </c>
      <c r="E598" s="346" t="s">
        <v>5882</v>
      </c>
    </row>
    <row r="599" spans="1:5" ht="12.75" customHeight="1" x14ac:dyDescent="0.2">
      <c r="A599" s="6"/>
      <c r="B599" s="6"/>
      <c r="C599" s="347"/>
      <c r="D599" s="348"/>
      <c r="E599" s="6"/>
    </row>
    <row r="600" spans="1:5" ht="12.75" customHeight="1" x14ac:dyDescent="0.2">
      <c r="A600" s="343" t="s">
        <v>3996</v>
      </c>
      <c r="B600" s="343" t="str">
        <f>Labels!B287</f>
        <v>Time Periods</v>
      </c>
      <c r="C600" s="344" t="s">
        <v>79</v>
      </c>
      <c r="D600" s="345" t="s">
        <v>1162</v>
      </c>
      <c r="E600" s="346" t="s">
        <v>4277</v>
      </c>
    </row>
    <row r="601" spans="1:5" ht="12.75" customHeight="1" x14ac:dyDescent="0.2">
      <c r="A601" s="6"/>
      <c r="B601" s="6"/>
      <c r="C601" s="347"/>
      <c r="D601" s="348"/>
      <c r="E601" s="6"/>
    </row>
    <row r="602" spans="1:5" ht="12.75" customHeight="1" x14ac:dyDescent="0.2">
      <c r="A602" s="343" t="s">
        <v>2411</v>
      </c>
      <c r="B602" s="343" t="str">
        <f>Labels!B288</f>
        <v>Untagged Asset Deprec</v>
      </c>
      <c r="C602" s="344" t="s">
        <v>4508</v>
      </c>
      <c r="D602" s="345" t="s">
        <v>1162</v>
      </c>
      <c r="E602" s="346" t="s">
        <v>1068</v>
      </c>
    </row>
    <row r="603" spans="1:5" ht="12.75" customHeight="1" x14ac:dyDescent="0.2">
      <c r="A603" s="6"/>
      <c r="B603" s="6"/>
      <c r="C603" s="347"/>
      <c r="D603" s="348"/>
      <c r="E603" s="6"/>
    </row>
    <row r="604" spans="1:5" ht="12.75" customHeight="1" x14ac:dyDescent="0.2">
      <c r="A604" s="343" t="s">
        <v>874</v>
      </c>
      <c r="B604" s="343" t="str">
        <f>Labels!B289</f>
        <v>Deprec Life (Yrs)</v>
      </c>
      <c r="C604" s="344" t="s">
        <v>4508</v>
      </c>
      <c r="D604" s="345" t="s">
        <v>1162</v>
      </c>
      <c r="E604" s="346" t="s">
        <v>3461</v>
      </c>
    </row>
    <row r="605" spans="1:5" ht="12.75" customHeight="1" x14ac:dyDescent="0.2">
      <c r="A605" s="6"/>
      <c r="B605" s="6"/>
      <c r="C605" s="347"/>
      <c r="D605" s="348"/>
      <c r="E605" s="6"/>
    </row>
    <row r="606" spans="1:5" ht="12.75" customHeight="1" x14ac:dyDescent="0.2">
      <c r="A606" s="343" t="s">
        <v>2359</v>
      </c>
      <c r="B606" s="343" t="str">
        <f>Labels!B290</f>
        <v>Asset Type</v>
      </c>
      <c r="C606" s="344" t="s">
        <v>1878</v>
      </c>
      <c r="D606" s="345" t="s">
        <v>1162</v>
      </c>
      <c r="E606" s="346" t="s">
        <v>412</v>
      </c>
    </row>
    <row r="607" spans="1:5" ht="12.75" customHeight="1" x14ac:dyDescent="0.2">
      <c r="A607" s="6"/>
      <c r="B607" s="6"/>
      <c r="C607" s="347"/>
      <c r="D607" s="348"/>
      <c r="E607" s="6"/>
    </row>
    <row r="608" spans="1:5" ht="12.75" customHeight="1" x14ac:dyDescent="0.2">
      <c r="A608" s="343" t="s">
        <v>1673</v>
      </c>
      <c r="B608" s="343" t="str">
        <f>Labels!B291</f>
        <v>Untagged Asset Purch</v>
      </c>
      <c r="C608" s="344" t="s">
        <v>4508</v>
      </c>
      <c r="D608" s="345" t="s">
        <v>1162</v>
      </c>
      <c r="E608" s="346" t="s">
        <v>5577</v>
      </c>
    </row>
    <row r="609" spans="1:5" ht="12.75" customHeight="1" x14ac:dyDescent="0.2">
      <c r="A609" s="6"/>
      <c r="B609" s="6"/>
      <c r="C609" s="347"/>
      <c r="D609" s="348"/>
      <c r="E609" s="6"/>
    </row>
    <row r="610" spans="1:5" ht="12.75" customHeight="1" x14ac:dyDescent="0.2">
      <c r="A610" s="343" t="s">
        <v>664</v>
      </c>
      <c r="B610" s="343" t="str">
        <f>Labels!B292</f>
        <v>Untagged Asset Purch Lagged</v>
      </c>
      <c r="C610" s="344" t="s">
        <v>4508</v>
      </c>
      <c r="D610" s="345" t="s">
        <v>1162</v>
      </c>
      <c r="E610" s="346" t="s">
        <v>3943</v>
      </c>
    </row>
    <row r="611" spans="1:5" ht="12.75" customHeight="1" x14ac:dyDescent="0.2">
      <c r="A611" s="6"/>
      <c r="B611" s="6"/>
      <c r="C611" s="347"/>
      <c r="D611" s="348"/>
      <c r="E611" s="6"/>
    </row>
    <row r="612" spans="1:5" ht="12.75" customHeight="1" x14ac:dyDescent="0.2">
      <c r="A612" s="343" t="s">
        <v>2489</v>
      </c>
      <c r="B612" s="343" t="str">
        <f>Labels!B293</f>
        <v>Untagged Asset Purch Parameters</v>
      </c>
      <c r="C612" s="344"/>
      <c r="D612" s="345"/>
      <c r="E612" s="346"/>
    </row>
    <row r="613" spans="1:5" ht="12.75" customHeight="1" x14ac:dyDescent="0.2">
      <c r="A613" s="6"/>
      <c r="B613" s="6"/>
      <c r="C613" s="347"/>
      <c r="D613" s="348"/>
      <c r="E613" s="6"/>
    </row>
    <row r="614" spans="1:5" ht="12.75" customHeight="1" x14ac:dyDescent="0.2">
      <c r="A614" s="343" t="s">
        <v>1856</v>
      </c>
      <c r="B614" s="343" t="str">
        <f>Labels!B294</f>
        <v>Untagged Assets</v>
      </c>
      <c r="C614" s="344" t="s">
        <v>4508</v>
      </c>
      <c r="D614" s="345" t="s">
        <v>1162</v>
      </c>
      <c r="E614" s="346" t="s">
        <v>1010</v>
      </c>
    </row>
    <row r="615" spans="1:5" ht="12.75" customHeight="1" x14ac:dyDescent="0.2">
      <c r="A615" s="6"/>
      <c r="B615" s="6"/>
      <c r="C615" s="347"/>
      <c r="D615" s="348"/>
      <c r="E615" s="6"/>
    </row>
    <row r="616" spans="1:5" ht="12.75" customHeight="1" x14ac:dyDescent="0.2">
      <c r="A616" s="343" t="s">
        <v>2565</v>
      </c>
      <c r="B616" s="343" t="str">
        <f>Labels!B295</f>
        <v>Valuation (equity)</v>
      </c>
      <c r="C616" s="344" t="s">
        <v>79</v>
      </c>
      <c r="D616" s="345" t="s">
        <v>1162</v>
      </c>
      <c r="E616" s="346" t="s">
        <v>1541</v>
      </c>
    </row>
    <row r="617" spans="1:5" ht="12.75" customHeight="1" x14ac:dyDescent="0.2">
      <c r="A617" s="6"/>
      <c r="B617" s="6"/>
      <c r="C617" s="347"/>
      <c r="D617" s="348"/>
      <c r="E617" s="6"/>
    </row>
    <row r="618" spans="1:5" ht="12.75" customHeight="1" x14ac:dyDescent="0.2">
      <c r="A618" s="343" t="s">
        <v>5858</v>
      </c>
      <c r="B618" s="343" t="str">
        <f>Labels!B296</f>
        <v>Wage Increase Annual?</v>
      </c>
      <c r="C618" s="344" t="s">
        <v>79</v>
      </c>
      <c r="D618" s="345" t="s">
        <v>1162</v>
      </c>
      <c r="E618" s="346" t="s">
        <v>5770</v>
      </c>
    </row>
    <row r="619" spans="1:5" ht="12.75" customHeight="1" x14ac:dyDescent="0.2">
      <c r="A619" s="6"/>
      <c r="B619" s="6"/>
      <c r="C619" s="347"/>
      <c r="D619" s="348"/>
      <c r="E619" s="6"/>
    </row>
    <row r="620" spans="1:5" ht="12.75" customHeight="1" x14ac:dyDescent="0.2">
      <c r="A620" s="343" t="s">
        <v>5078</v>
      </c>
      <c r="B620" s="343" t="str">
        <f>Labels!B297</f>
        <v>Wage Tax %</v>
      </c>
      <c r="C620" s="344" t="s">
        <v>79</v>
      </c>
      <c r="D620" s="345" t="s">
        <v>1162</v>
      </c>
      <c r="E620" s="346" t="s">
        <v>2974</v>
      </c>
    </row>
    <row r="622" spans="1:5" ht="12.75" customHeight="1" x14ac:dyDescent="0.2">
      <c r="A622" t="s">
        <v>3402</v>
      </c>
      <c r="B622" t="s">
        <v>3402</v>
      </c>
      <c r="C622" t="s">
        <v>3402</v>
      </c>
      <c r="D622" t="s">
        <v>3402</v>
      </c>
      <c r="E622" t="s">
        <v>3402</v>
      </c>
    </row>
  </sheetData>
  <mergeCells count="4">
    <mergeCell ref="A1:C1"/>
    <mergeCell ref="A2:C2"/>
    <mergeCell ref="A3:C3"/>
    <mergeCell ref="A4:C4"/>
  </mergeCells>
  <pageMargins left="0.25" right="0.25" top="0.5" bottom="0.5" header="0.5" footer="0.5"/>
  <pageSetup paperSize="9" fitToHeight="32767" orientation="landscape" horizontalDpi="300" verticalDpi="300"/>
  <headerFooter alignWithMargins="0"/>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pageSetUpPr fitToPage="1"/>
  </sheetPr>
  <dimension ref="A1:S33"/>
  <sheetViews>
    <sheetView zoomScaleNormal="100" workbookViewId="0"/>
  </sheetViews>
  <sheetFormatPr defaultRowHeight="12.75" customHeight="1" x14ac:dyDescent="0.2"/>
  <cols>
    <col min="1" max="1" width="20.7109375" customWidth="1"/>
    <col min="2" max="19" width="12.42578125" customWidth="1"/>
  </cols>
  <sheetData>
    <row r="1" spans="1:19" ht="12.75" customHeight="1" x14ac:dyDescent="0.2">
      <c r="A1" s="463" t="str">
        <f>Inputs!F7</f>
        <v xml:space="preserve"> </v>
      </c>
      <c r="B1" s="463"/>
      <c r="C1" s="463"/>
      <c r="D1" s="463"/>
    </row>
    <row r="2" spans="1:19" ht="12.75" customHeight="1" x14ac:dyDescent="0.2">
      <c r="A2" s="463" t="e">
        <f>TEXT('(FnCalls 1)'!A41,"m/d/yyyy")&amp;" to "&amp;TEXT('(FnCalls 1)'!A59-1,"m/d/yyyy")</f>
        <v>#VALUE!</v>
      </c>
      <c r="B2" s="463"/>
      <c r="C2" s="463"/>
      <c r="D2" s="463"/>
    </row>
    <row r="3" spans="1:19" ht="12.75" customHeight="1" x14ac:dyDescent="0.2">
      <c r="A3" s="463" t="str">
        <f>"These variables are used only to support plotting."</f>
        <v>These variables are used only to support plotting.</v>
      </c>
      <c r="B3" s="463"/>
      <c r="C3" s="463"/>
      <c r="D3" s="463"/>
    </row>
    <row r="4" spans="1:19" ht="12.75" customHeight="1" x14ac:dyDescent="0.2">
      <c r="A4" s="463" t="str">
        <f>""</f>
        <v/>
      </c>
      <c r="B4" s="463"/>
      <c r="C4" s="463"/>
      <c r="D4" s="463"/>
    </row>
    <row r="5" spans="1:19" ht="12.75" customHeight="1" x14ac:dyDescent="0.2">
      <c r="B5" s="9" t="str">
        <f>'(FnCalls 1)'!F41</f>
        <v>MMM 2010</v>
      </c>
      <c r="C5" s="10" t="str">
        <f>'(FnCalls 1)'!F42</f>
        <v>MMM 2010</v>
      </c>
      <c r="D5" s="10" t="str">
        <f>'(FnCalls 1)'!F43</f>
        <v>MMM 2010</v>
      </c>
      <c r="E5" s="10" t="str">
        <f>'(FnCalls 1)'!F44</f>
        <v>MMM 2010</v>
      </c>
      <c r="F5" s="10" t="str">
        <f>'(FnCalls 1)'!F45</f>
        <v>MMM 2010</v>
      </c>
      <c r="G5" s="10" t="str">
        <f>'(FnCalls 1)'!F46</f>
        <v>MMM 2010</v>
      </c>
      <c r="H5" s="10" t="str">
        <f>'(FnCalls 1)'!F47</f>
        <v>MMM 2010</v>
      </c>
      <c r="I5" s="10" t="str">
        <f>'(FnCalls 1)'!F48</f>
        <v>MMM 2010</v>
      </c>
      <c r="J5" s="10" t="str">
        <f>'(FnCalls 1)'!F49</f>
        <v>MMM 2010</v>
      </c>
      <c r="K5" s="10" t="str">
        <f>'(FnCalls 1)'!F50</f>
        <v>MMM 2010</v>
      </c>
      <c r="L5" s="10" t="str">
        <f>'(FnCalls 1)'!F51</f>
        <v>MMM 2010</v>
      </c>
      <c r="M5" s="10" t="str">
        <f>'(FnCalls 1)'!F52</f>
        <v>MMM 2010</v>
      </c>
      <c r="N5" s="10" t="str">
        <f>'(FnCalls 1)'!F53</f>
        <v>MMM 2011</v>
      </c>
      <c r="O5" s="10" t="str">
        <f>'(FnCalls 1)'!F54</f>
        <v>MMM 2011</v>
      </c>
      <c r="P5" s="10" t="str">
        <f>'(FnCalls 1)'!F55</f>
        <v>MMM 2011</v>
      </c>
      <c r="Q5" s="10" t="str">
        <f>'(FnCalls 1)'!F56</f>
        <v>MMM 2011</v>
      </c>
      <c r="R5" s="10" t="str">
        <f>'(FnCalls 1)'!F57</f>
        <v>MMM 2011</v>
      </c>
      <c r="S5" s="11" t="str">
        <f>'(FnCalls 1)'!F58</f>
        <v>MMM 2011</v>
      </c>
    </row>
    <row r="6" spans="1:19" ht="12.75" customHeight="1" x14ac:dyDescent="0.2">
      <c r="A6" s="182" t="str">
        <f>Labels!B191</f>
        <v>Prof Staff Capacity (Hrs)</v>
      </c>
      <c r="B6" s="254"/>
      <c r="C6" s="254"/>
      <c r="D6" s="254"/>
      <c r="E6" s="254"/>
      <c r="F6" s="254"/>
      <c r="G6" s="254"/>
      <c r="H6" s="254"/>
      <c r="I6" s="254"/>
      <c r="J6" s="254"/>
      <c r="K6" s="254"/>
      <c r="L6" s="254"/>
      <c r="M6" s="254"/>
      <c r="N6" s="254"/>
      <c r="O6" s="254"/>
      <c r="P6" s="254"/>
      <c r="Q6" s="254"/>
      <c r="R6" s="254"/>
      <c r="S6" s="150"/>
    </row>
    <row r="7" spans="1:19" ht="12.75" customHeight="1" x14ac:dyDescent="0.2">
      <c r="A7" s="188" t="str">
        <f>"   "&amp;Labels!B385</f>
        <v xml:space="preserve">   Prof Level 1</v>
      </c>
      <c r="B7" s="295">
        <f>'(Compute)'!B897</f>
        <v>0</v>
      </c>
      <c r="C7" s="295">
        <f>'(Compute)'!C897</f>
        <v>0</v>
      </c>
      <c r="D7" s="295">
        <f>'(Compute)'!D897</f>
        <v>0</v>
      </c>
      <c r="E7" s="295">
        <f>'(Compute)'!E897</f>
        <v>0</v>
      </c>
      <c r="F7" s="295">
        <f>'(Compute)'!F897</f>
        <v>0</v>
      </c>
      <c r="G7" s="295">
        <f>'(Compute)'!G897</f>
        <v>0</v>
      </c>
      <c r="H7" s="295">
        <f>'(Compute)'!H897</f>
        <v>150</v>
      </c>
      <c r="I7" s="295">
        <f>'(Compute)'!I897</f>
        <v>300</v>
      </c>
      <c r="J7" s="295">
        <f>'(Compute)'!J897</f>
        <v>0</v>
      </c>
      <c r="K7" s="295">
        <f>'(Compute)'!K897</f>
        <v>0</v>
      </c>
      <c r="L7" s="295">
        <f>'(Compute)'!L897</f>
        <v>0</v>
      </c>
      <c r="M7" s="295">
        <f>'(Compute)'!M897</f>
        <v>0</v>
      </c>
      <c r="N7" s="295">
        <f>'(Compute)'!N897</f>
        <v>0</v>
      </c>
      <c r="O7" s="295">
        <f>'(Compute)'!O897</f>
        <v>0</v>
      </c>
      <c r="P7" s="295">
        <f>'(Compute)'!P897</f>
        <v>0</v>
      </c>
      <c r="Q7" s="295">
        <f>'(Compute)'!Q897</f>
        <v>0</v>
      </c>
      <c r="R7" s="295">
        <f>'(Compute)'!R897</f>
        <v>0</v>
      </c>
      <c r="S7" s="296">
        <f>'(Compute)'!S897</f>
        <v>0</v>
      </c>
    </row>
    <row r="8" spans="1:19" ht="12.75" customHeight="1" x14ac:dyDescent="0.2">
      <c r="A8" s="188" t="str">
        <f>"   "&amp;Labels!B386</f>
        <v xml:space="preserve">   Prof Level 2</v>
      </c>
      <c r="B8" s="295">
        <f>'(Compute)'!B901</f>
        <v>0</v>
      </c>
      <c r="C8" s="295">
        <f>'(Compute)'!C901</f>
        <v>0</v>
      </c>
      <c r="D8" s="295">
        <f>'(Compute)'!D901</f>
        <v>0</v>
      </c>
      <c r="E8" s="295">
        <f>'(Compute)'!E901</f>
        <v>0</v>
      </c>
      <c r="F8" s="295">
        <f>'(Compute)'!F901</f>
        <v>0</v>
      </c>
      <c r="G8" s="295">
        <f>'(Compute)'!G901</f>
        <v>0</v>
      </c>
      <c r="H8" s="295">
        <f>'(Compute)'!H901</f>
        <v>150</v>
      </c>
      <c r="I8" s="295">
        <f>'(Compute)'!I901</f>
        <v>300</v>
      </c>
      <c r="J8" s="295">
        <f>'(Compute)'!J901</f>
        <v>0</v>
      </c>
      <c r="K8" s="295">
        <f>'(Compute)'!K901</f>
        <v>0</v>
      </c>
      <c r="L8" s="295">
        <f>'(Compute)'!L901</f>
        <v>0</v>
      </c>
      <c r="M8" s="295">
        <f>'(Compute)'!M901</f>
        <v>0</v>
      </c>
      <c r="N8" s="295">
        <f>'(Compute)'!N901</f>
        <v>0</v>
      </c>
      <c r="O8" s="295">
        <f>'(Compute)'!O901</f>
        <v>0</v>
      </c>
      <c r="P8" s="295">
        <f>'(Compute)'!P901</f>
        <v>0</v>
      </c>
      <c r="Q8" s="295">
        <f>'(Compute)'!Q901</f>
        <v>0</v>
      </c>
      <c r="R8" s="295">
        <f>'(Compute)'!R901</f>
        <v>0</v>
      </c>
      <c r="S8" s="296">
        <f>'(Compute)'!S901</f>
        <v>0</v>
      </c>
    </row>
    <row r="9" spans="1:19" ht="12.75" customHeight="1" x14ac:dyDescent="0.2">
      <c r="A9" s="191" t="str">
        <f>"   "&amp;Labels!C384</f>
        <v xml:space="preserve">   Total</v>
      </c>
      <c r="B9" s="260">
        <f t="shared" ref="B9:S9" si="0">SUM(B7:B8)</f>
        <v>0</v>
      </c>
      <c r="C9" s="260">
        <f t="shared" si="0"/>
        <v>0</v>
      </c>
      <c r="D9" s="260">
        <f t="shared" si="0"/>
        <v>0</v>
      </c>
      <c r="E9" s="260">
        <f t="shared" si="0"/>
        <v>0</v>
      </c>
      <c r="F9" s="260">
        <f t="shared" si="0"/>
        <v>0</v>
      </c>
      <c r="G9" s="260">
        <f t="shared" si="0"/>
        <v>0</v>
      </c>
      <c r="H9" s="260">
        <f t="shared" si="0"/>
        <v>300</v>
      </c>
      <c r="I9" s="260">
        <f t="shared" si="0"/>
        <v>600</v>
      </c>
      <c r="J9" s="260">
        <f t="shared" si="0"/>
        <v>0</v>
      </c>
      <c r="K9" s="260">
        <f t="shared" si="0"/>
        <v>0</v>
      </c>
      <c r="L9" s="260">
        <f t="shared" si="0"/>
        <v>0</v>
      </c>
      <c r="M9" s="260">
        <f t="shared" si="0"/>
        <v>0</v>
      </c>
      <c r="N9" s="260">
        <f t="shared" si="0"/>
        <v>0</v>
      </c>
      <c r="O9" s="260">
        <f t="shared" si="0"/>
        <v>0</v>
      </c>
      <c r="P9" s="260">
        <f t="shared" si="0"/>
        <v>0</v>
      </c>
      <c r="Q9" s="260">
        <f t="shared" si="0"/>
        <v>0</v>
      </c>
      <c r="R9" s="260">
        <f t="shared" si="0"/>
        <v>0</v>
      </c>
      <c r="S9" s="289">
        <f t="shared" si="0"/>
        <v>0</v>
      </c>
    </row>
    <row r="10" spans="1:19" ht="12.75" customHeight="1" x14ac:dyDescent="0.2">
      <c r="A10" s="97"/>
      <c r="B10" s="6"/>
      <c r="C10" s="6"/>
      <c r="D10" s="6"/>
      <c r="E10" s="6"/>
      <c r="F10" s="6"/>
      <c r="G10" s="6"/>
      <c r="H10" s="6"/>
      <c r="I10" s="6"/>
      <c r="J10" s="6"/>
      <c r="K10" s="6"/>
      <c r="L10" s="6"/>
      <c r="M10" s="6"/>
      <c r="N10" s="6"/>
      <c r="O10" s="6"/>
      <c r="P10" s="6"/>
      <c r="Q10" s="6"/>
      <c r="R10" s="6"/>
      <c r="S10" s="7"/>
    </row>
    <row r="11" spans="1:19" ht="12.75" customHeight="1" x14ac:dyDescent="0.2">
      <c r="A11" s="191" t="str">
        <f>Labels!B181</f>
        <v>Prof Staff Hrs Applied</v>
      </c>
      <c r="B11" s="260"/>
      <c r="C11" s="260"/>
      <c r="D11" s="260"/>
      <c r="E11" s="260"/>
      <c r="F11" s="260"/>
      <c r="G11" s="260"/>
      <c r="H11" s="260"/>
      <c r="I11" s="260"/>
      <c r="J11" s="260"/>
      <c r="K11" s="260"/>
      <c r="L11" s="260"/>
      <c r="M11" s="260"/>
      <c r="N11" s="260"/>
      <c r="O11" s="260"/>
      <c r="P11" s="260"/>
      <c r="Q11" s="260"/>
      <c r="R11" s="260"/>
      <c r="S11" s="289"/>
    </row>
    <row r="12" spans="1:19" ht="12.75" customHeight="1" x14ac:dyDescent="0.2">
      <c r="A12" s="188" t="str">
        <f>"   "&amp;Labels!B385</f>
        <v xml:space="preserve">   Prof Level 1</v>
      </c>
      <c r="B12" s="295">
        <f>'GM CostSvcs'!B359</f>
        <v>0</v>
      </c>
      <c r="C12" s="295">
        <f>'GM CostSvcs'!C359</f>
        <v>0</v>
      </c>
      <c r="D12" s="295">
        <f>'GM CostSvcs'!D359</f>
        <v>275</v>
      </c>
      <c r="E12" s="295">
        <f>'GM CostSvcs'!F359</f>
        <v>275</v>
      </c>
      <c r="F12" s="295">
        <f>'GM CostSvcs'!G359</f>
        <v>0</v>
      </c>
      <c r="G12" s="295">
        <f>'GM CostSvcs'!H359</f>
        <v>200</v>
      </c>
      <c r="H12" s="295">
        <f>'GM CostSvcs'!J359</f>
        <v>200</v>
      </c>
      <c r="I12" s="295">
        <f>'GM CostSvcs'!K359</f>
        <v>200</v>
      </c>
      <c r="J12" s="295">
        <f>'GM CostSvcs'!L359</f>
        <v>0</v>
      </c>
      <c r="K12" s="295">
        <f>'GM CostSvcs'!N359</f>
        <v>0</v>
      </c>
      <c r="L12" s="295">
        <f>'GM CostSvcs'!O359</f>
        <v>0</v>
      </c>
      <c r="M12" s="295">
        <f>'GM CostSvcs'!P359</f>
        <v>0</v>
      </c>
      <c r="N12" s="295">
        <f>'GM CostSvcs'!R359</f>
        <v>0</v>
      </c>
      <c r="O12" s="295">
        <f>'GM CostSvcs'!S359</f>
        <v>0</v>
      </c>
      <c r="P12" s="295">
        <f>'GM CostSvcs'!T359</f>
        <v>0</v>
      </c>
      <c r="Q12" s="295">
        <f>'GM CostSvcs'!V359</f>
        <v>0</v>
      </c>
      <c r="R12" s="295">
        <f>'GM CostSvcs'!W359</f>
        <v>0</v>
      </c>
      <c r="S12" s="296">
        <f>'GM CostSvcs'!X359</f>
        <v>0</v>
      </c>
    </row>
    <row r="13" spans="1:19" ht="12.75" customHeight="1" x14ac:dyDescent="0.2">
      <c r="A13" s="188" t="str">
        <f>"   "&amp;Labels!B386</f>
        <v xml:space="preserve">   Prof Level 2</v>
      </c>
      <c r="B13" s="295">
        <f>'GM CostSvcs'!B360</f>
        <v>0</v>
      </c>
      <c r="C13" s="295">
        <f>'GM CostSvcs'!C360</f>
        <v>0</v>
      </c>
      <c r="D13" s="295">
        <f>'GM CostSvcs'!D360</f>
        <v>275</v>
      </c>
      <c r="E13" s="295">
        <f>'GM CostSvcs'!F360</f>
        <v>275</v>
      </c>
      <c r="F13" s="295">
        <f>'GM CostSvcs'!G360</f>
        <v>0</v>
      </c>
      <c r="G13" s="295">
        <f>'GM CostSvcs'!H360</f>
        <v>200</v>
      </c>
      <c r="H13" s="295">
        <f>'GM CostSvcs'!J360</f>
        <v>200</v>
      </c>
      <c r="I13" s="295">
        <f>'GM CostSvcs'!K360</f>
        <v>200</v>
      </c>
      <c r="J13" s="295">
        <f>'GM CostSvcs'!L360</f>
        <v>0</v>
      </c>
      <c r="K13" s="295">
        <f>'GM CostSvcs'!N360</f>
        <v>0</v>
      </c>
      <c r="L13" s="295">
        <f>'GM CostSvcs'!O360</f>
        <v>0</v>
      </c>
      <c r="M13" s="295">
        <f>'GM CostSvcs'!P360</f>
        <v>0</v>
      </c>
      <c r="N13" s="295">
        <f>'GM CostSvcs'!R360</f>
        <v>0</v>
      </c>
      <c r="O13" s="295">
        <f>'GM CostSvcs'!S360</f>
        <v>0</v>
      </c>
      <c r="P13" s="295">
        <f>'GM CostSvcs'!T360</f>
        <v>0</v>
      </c>
      <c r="Q13" s="295">
        <f>'GM CostSvcs'!V360</f>
        <v>0</v>
      </c>
      <c r="R13" s="295">
        <f>'GM CostSvcs'!W360</f>
        <v>0</v>
      </c>
      <c r="S13" s="296">
        <f>'GM CostSvcs'!X360</f>
        <v>0</v>
      </c>
    </row>
    <row r="14" spans="1:19" ht="12.75" customHeight="1" x14ac:dyDescent="0.2">
      <c r="A14" s="191" t="str">
        <f>"   "&amp;Labels!C384</f>
        <v xml:space="preserve">   Total</v>
      </c>
      <c r="B14" s="260">
        <f t="shared" ref="B14:S14" si="1">SUM(B12:B13)</f>
        <v>0</v>
      </c>
      <c r="C14" s="260">
        <f t="shared" si="1"/>
        <v>0</v>
      </c>
      <c r="D14" s="260">
        <f t="shared" si="1"/>
        <v>550</v>
      </c>
      <c r="E14" s="260">
        <f t="shared" si="1"/>
        <v>550</v>
      </c>
      <c r="F14" s="260">
        <f t="shared" si="1"/>
        <v>0</v>
      </c>
      <c r="G14" s="260">
        <f t="shared" si="1"/>
        <v>400</v>
      </c>
      <c r="H14" s="260">
        <f t="shared" si="1"/>
        <v>400</v>
      </c>
      <c r="I14" s="260">
        <f t="shared" si="1"/>
        <v>400</v>
      </c>
      <c r="J14" s="260">
        <f t="shared" si="1"/>
        <v>0</v>
      </c>
      <c r="K14" s="260">
        <f t="shared" si="1"/>
        <v>0</v>
      </c>
      <c r="L14" s="260">
        <f t="shared" si="1"/>
        <v>0</v>
      </c>
      <c r="M14" s="260">
        <f t="shared" si="1"/>
        <v>0</v>
      </c>
      <c r="N14" s="260">
        <f t="shared" si="1"/>
        <v>0</v>
      </c>
      <c r="O14" s="260">
        <f t="shared" si="1"/>
        <v>0</v>
      </c>
      <c r="P14" s="260">
        <f t="shared" si="1"/>
        <v>0</v>
      </c>
      <c r="Q14" s="260">
        <f t="shared" si="1"/>
        <v>0</v>
      </c>
      <c r="R14" s="260">
        <f t="shared" si="1"/>
        <v>0</v>
      </c>
      <c r="S14" s="289">
        <f t="shared" si="1"/>
        <v>0</v>
      </c>
    </row>
    <row r="15" spans="1:19" ht="12.75" customHeight="1" x14ac:dyDescent="0.2">
      <c r="A15" s="97"/>
      <c r="B15" s="6"/>
      <c r="C15" s="6"/>
      <c r="D15" s="6"/>
      <c r="E15" s="6"/>
      <c r="F15" s="6"/>
      <c r="G15" s="6"/>
      <c r="H15" s="6"/>
      <c r="I15" s="6"/>
      <c r="J15" s="6"/>
      <c r="K15" s="6"/>
      <c r="L15" s="6"/>
      <c r="M15" s="6"/>
      <c r="N15" s="6"/>
      <c r="O15" s="6"/>
      <c r="P15" s="6"/>
      <c r="Q15" s="6"/>
      <c r="R15" s="6"/>
      <c r="S15" s="7"/>
    </row>
    <row r="16" spans="1:19" ht="12.75" customHeight="1" x14ac:dyDescent="0.2">
      <c r="A16" s="191" t="str">
        <f>Labels!B188</f>
        <v>Prof Staff Hours Billed</v>
      </c>
      <c r="B16" s="216"/>
      <c r="C16" s="216"/>
      <c r="D16" s="216"/>
      <c r="E16" s="216"/>
      <c r="F16" s="216"/>
      <c r="G16" s="216"/>
      <c r="H16" s="216"/>
      <c r="I16" s="216"/>
      <c r="J16" s="216"/>
      <c r="K16" s="216"/>
      <c r="L16" s="216"/>
      <c r="M16" s="216"/>
      <c r="N16" s="216"/>
      <c r="O16" s="216"/>
      <c r="P16" s="216"/>
      <c r="Q16" s="216"/>
      <c r="R16" s="216"/>
      <c r="S16" s="287"/>
    </row>
    <row r="17" spans="1:19" ht="12.75" customHeight="1" x14ac:dyDescent="0.2">
      <c r="A17" s="188" t="str">
        <f>"   "&amp;Labels!B385</f>
        <v xml:space="preserve">   Prof Level 1</v>
      </c>
      <c r="B17" s="262">
        <f>Practices!B304</f>
        <v>0</v>
      </c>
      <c r="C17" s="262">
        <f>Practices!C304</f>
        <v>0</v>
      </c>
      <c r="D17" s="262">
        <f>Practices!D304</f>
        <v>275</v>
      </c>
      <c r="E17" s="262">
        <f>Practices!F304</f>
        <v>275</v>
      </c>
      <c r="F17" s="262">
        <f>Practices!G304</f>
        <v>0</v>
      </c>
      <c r="G17" s="262">
        <f>Practices!H304</f>
        <v>200</v>
      </c>
      <c r="H17" s="262">
        <f>Practices!J304</f>
        <v>200</v>
      </c>
      <c r="I17" s="262">
        <f>Practices!K304</f>
        <v>200</v>
      </c>
      <c r="J17" s="262">
        <f>Practices!L304</f>
        <v>0</v>
      </c>
      <c r="K17" s="262">
        <f>Practices!N304</f>
        <v>0</v>
      </c>
      <c r="L17" s="262">
        <f>Practices!O304</f>
        <v>0</v>
      </c>
      <c r="M17" s="262">
        <f>Practices!P304</f>
        <v>0</v>
      </c>
      <c r="N17" s="262">
        <f>Practices!R304</f>
        <v>0</v>
      </c>
      <c r="O17" s="262">
        <f>Practices!S304</f>
        <v>0</v>
      </c>
      <c r="P17" s="262">
        <f>Practices!T304</f>
        <v>0</v>
      </c>
      <c r="Q17" s="262">
        <f>Practices!V304</f>
        <v>0</v>
      </c>
      <c r="R17" s="262">
        <f>Practices!W304</f>
        <v>0</v>
      </c>
      <c r="S17" s="349">
        <f>Practices!X304</f>
        <v>0</v>
      </c>
    </row>
    <row r="18" spans="1:19" ht="12.75" customHeight="1" x14ac:dyDescent="0.2">
      <c r="A18" s="188" t="str">
        <f>"   "&amp;Labels!B386</f>
        <v xml:space="preserve">   Prof Level 2</v>
      </c>
      <c r="B18" s="262">
        <f>Practices!B305</f>
        <v>0</v>
      </c>
      <c r="C18" s="262">
        <f>Practices!C305</f>
        <v>0</v>
      </c>
      <c r="D18" s="262">
        <f>Practices!D305</f>
        <v>275</v>
      </c>
      <c r="E18" s="262">
        <f>Practices!F305</f>
        <v>275</v>
      </c>
      <c r="F18" s="262">
        <f>Practices!G305</f>
        <v>0</v>
      </c>
      <c r="G18" s="262">
        <f>Practices!H305</f>
        <v>200</v>
      </c>
      <c r="H18" s="262">
        <f>Practices!J305</f>
        <v>200</v>
      </c>
      <c r="I18" s="262">
        <f>Practices!K305</f>
        <v>200</v>
      </c>
      <c r="J18" s="262">
        <f>Practices!L305</f>
        <v>0</v>
      </c>
      <c r="K18" s="262">
        <f>Practices!N305</f>
        <v>0</v>
      </c>
      <c r="L18" s="262">
        <f>Practices!O305</f>
        <v>0</v>
      </c>
      <c r="M18" s="262">
        <f>Practices!P305</f>
        <v>0</v>
      </c>
      <c r="N18" s="262">
        <f>Practices!R305</f>
        <v>0</v>
      </c>
      <c r="O18" s="262">
        <f>Practices!S305</f>
        <v>0</v>
      </c>
      <c r="P18" s="262">
        <f>Practices!T305</f>
        <v>0</v>
      </c>
      <c r="Q18" s="262">
        <f>Practices!V305</f>
        <v>0</v>
      </c>
      <c r="R18" s="262">
        <f>Practices!W305</f>
        <v>0</v>
      </c>
      <c r="S18" s="349">
        <f>Practices!X305</f>
        <v>0</v>
      </c>
    </row>
    <row r="19" spans="1:19" ht="12.75" customHeight="1" x14ac:dyDescent="0.2">
      <c r="A19" s="191" t="str">
        <f>"   "&amp;Labels!C384</f>
        <v xml:space="preserve">   Total</v>
      </c>
      <c r="B19" s="216">
        <f t="shared" ref="B19:S19" si="2">SUM(B17:B18)</f>
        <v>0</v>
      </c>
      <c r="C19" s="216">
        <f t="shared" si="2"/>
        <v>0</v>
      </c>
      <c r="D19" s="216">
        <f t="shared" si="2"/>
        <v>550</v>
      </c>
      <c r="E19" s="216">
        <f t="shared" si="2"/>
        <v>550</v>
      </c>
      <c r="F19" s="216">
        <f t="shared" si="2"/>
        <v>0</v>
      </c>
      <c r="G19" s="216">
        <f t="shared" si="2"/>
        <v>400</v>
      </c>
      <c r="H19" s="216">
        <f t="shared" si="2"/>
        <v>400</v>
      </c>
      <c r="I19" s="216">
        <f t="shared" si="2"/>
        <v>400</v>
      </c>
      <c r="J19" s="216">
        <f t="shared" si="2"/>
        <v>0</v>
      </c>
      <c r="K19" s="216">
        <f t="shared" si="2"/>
        <v>0</v>
      </c>
      <c r="L19" s="216">
        <f t="shared" si="2"/>
        <v>0</v>
      </c>
      <c r="M19" s="216">
        <f t="shared" si="2"/>
        <v>0</v>
      </c>
      <c r="N19" s="216">
        <f t="shared" si="2"/>
        <v>0</v>
      </c>
      <c r="O19" s="216">
        <f t="shared" si="2"/>
        <v>0</v>
      </c>
      <c r="P19" s="216">
        <f t="shared" si="2"/>
        <v>0</v>
      </c>
      <c r="Q19" s="216">
        <f t="shared" si="2"/>
        <v>0</v>
      </c>
      <c r="R19" s="216">
        <f t="shared" si="2"/>
        <v>0</v>
      </c>
      <c r="S19" s="287">
        <f t="shared" si="2"/>
        <v>0</v>
      </c>
    </row>
    <row r="20" spans="1:19" ht="12.75" customHeight="1" x14ac:dyDescent="0.2">
      <c r="A20" s="97"/>
      <c r="B20" s="6"/>
      <c r="C20" s="6"/>
      <c r="D20" s="6"/>
      <c r="E20" s="6"/>
      <c r="F20" s="6"/>
      <c r="G20" s="6"/>
      <c r="H20" s="6"/>
      <c r="I20" s="6"/>
      <c r="J20" s="6"/>
      <c r="K20" s="6"/>
      <c r="L20" s="6"/>
      <c r="M20" s="6"/>
      <c r="N20" s="6"/>
      <c r="O20" s="6"/>
      <c r="P20" s="6"/>
      <c r="Q20" s="6"/>
      <c r="R20" s="6"/>
      <c r="S20" s="7"/>
    </row>
    <row r="21" spans="1:19" ht="12.75" customHeight="1" x14ac:dyDescent="0.2">
      <c r="A21" s="185" t="str">
        <f>Labels!B178</f>
        <v>Professional Staff Count</v>
      </c>
      <c r="B21" s="297">
        <f>'GM CostSvcs'!B486</f>
        <v>0</v>
      </c>
      <c r="C21" s="297">
        <f>'GM CostSvcs'!C486</f>
        <v>0</v>
      </c>
      <c r="D21" s="297">
        <f>'GM CostSvcs'!D486</f>
        <v>0</v>
      </c>
      <c r="E21" s="297">
        <f>'GM CostSvcs'!F486</f>
        <v>0</v>
      </c>
      <c r="F21" s="297">
        <f>'GM CostSvcs'!G486</f>
        <v>0</v>
      </c>
      <c r="G21" s="297">
        <f>'GM CostSvcs'!H486</f>
        <v>0</v>
      </c>
      <c r="H21" s="297">
        <f>'GM CostSvcs'!J486</f>
        <v>2</v>
      </c>
      <c r="I21" s="297">
        <f>'GM CostSvcs'!K486</f>
        <v>4</v>
      </c>
      <c r="J21" s="297">
        <f>'GM CostSvcs'!L486</f>
        <v>0</v>
      </c>
      <c r="K21" s="297">
        <f>'GM CostSvcs'!N486</f>
        <v>0</v>
      </c>
      <c r="L21" s="297">
        <f>'GM CostSvcs'!O486</f>
        <v>0</v>
      </c>
      <c r="M21" s="297">
        <f>'GM CostSvcs'!P486</f>
        <v>0</v>
      </c>
      <c r="N21" s="297">
        <f>'GM CostSvcs'!R486</f>
        <v>0</v>
      </c>
      <c r="O21" s="297">
        <f>'GM CostSvcs'!S486</f>
        <v>0</v>
      </c>
      <c r="P21" s="297">
        <f>'GM CostSvcs'!T486</f>
        <v>0</v>
      </c>
      <c r="Q21" s="297">
        <f>'GM CostSvcs'!V486</f>
        <v>0</v>
      </c>
      <c r="R21" s="297">
        <f>'GM CostSvcs'!W486</f>
        <v>0</v>
      </c>
      <c r="S21" s="350">
        <f>'GM CostSvcs'!X486</f>
        <v>0</v>
      </c>
    </row>
    <row r="23" spans="1:19" ht="12.75" customHeight="1" x14ac:dyDescent="0.2">
      <c r="A23" s="182" t="str">
        <f>Labels!B78</f>
        <v>Prof Staff Hrs Applied</v>
      </c>
      <c r="B23" s="223"/>
      <c r="C23" s="223"/>
      <c r="D23" s="223"/>
      <c r="E23" s="223"/>
      <c r="F23" s="223"/>
      <c r="G23" s="223"/>
      <c r="H23" s="223"/>
      <c r="I23" s="223"/>
      <c r="J23" s="223"/>
      <c r="K23" s="223"/>
      <c r="L23" s="223"/>
      <c r="M23" s="223"/>
      <c r="N23" s="223"/>
      <c r="O23" s="223"/>
      <c r="P23" s="223"/>
      <c r="Q23" s="223"/>
      <c r="R23" s="223"/>
      <c r="S23" s="284"/>
    </row>
    <row r="24" spans="1:19" ht="12.75" customHeight="1" x14ac:dyDescent="0.2">
      <c r="A24" s="188" t="str">
        <f>"   "&amp;Labels!B385</f>
        <v xml:space="preserve">   Prof Level 1</v>
      </c>
      <c r="B24" s="262">
        <f>Engage!B171</f>
        <v>0</v>
      </c>
      <c r="C24" s="262">
        <f>Engage!C171</f>
        <v>0</v>
      </c>
      <c r="D24" s="262">
        <f>Engage!D171</f>
        <v>275</v>
      </c>
      <c r="E24" s="262">
        <f>Engage!E171</f>
        <v>275</v>
      </c>
      <c r="F24" s="262">
        <f>Engage!F171</f>
        <v>0</v>
      </c>
      <c r="G24" s="262">
        <f>Engage!G171</f>
        <v>200</v>
      </c>
      <c r="H24" s="262">
        <f>Engage!H171</f>
        <v>200</v>
      </c>
      <c r="I24" s="262">
        <f>Engage!I171</f>
        <v>200</v>
      </c>
      <c r="J24" s="262">
        <f>Engage!J171</f>
        <v>0</v>
      </c>
      <c r="K24" s="262">
        <f>Engage!K171</f>
        <v>0</v>
      </c>
      <c r="L24" s="262">
        <f>Engage!L171</f>
        <v>0</v>
      </c>
      <c r="M24" s="262">
        <f>Engage!M171</f>
        <v>0</v>
      </c>
      <c r="N24" s="262">
        <f>Engage!N171</f>
        <v>0</v>
      </c>
      <c r="O24" s="262">
        <f>Engage!O171</f>
        <v>0</v>
      </c>
      <c r="P24" s="262">
        <f>Engage!P171</f>
        <v>0</v>
      </c>
      <c r="Q24" s="262">
        <f>Engage!Q171</f>
        <v>0</v>
      </c>
      <c r="R24" s="262">
        <f>Engage!R171</f>
        <v>0</v>
      </c>
      <c r="S24" s="349">
        <f>Engage!S171</f>
        <v>0</v>
      </c>
    </row>
    <row r="25" spans="1:19" ht="12.75" customHeight="1" x14ac:dyDescent="0.2">
      <c r="A25" s="188" t="str">
        <f>"   "&amp;Labels!B386</f>
        <v xml:space="preserve">   Prof Level 2</v>
      </c>
      <c r="B25" s="262">
        <f>Engage!B172</f>
        <v>0</v>
      </c>
      <c r="C25" s="262">
        <f>Engage!C172</f>
        <v>0</v>
      </c>
      <c r="D25" s="262">
        <f>Engage!D172</f>
        <v>275</v>
      </c>
      <c r="E25" s="262">
        <f>Engage!E172</f>
        <v>275</v>
      </c>
      <c r="F25" s="262">
        <f>Engage!F172</f>
        <v>0</v>
      </c>
      <c r="G25" s="262">
        <f>Engage!G172</f>
        <v>200</v>
      </c>
      <c r="H25" s="262">
        <f>Engage!H172</f>
        <v>200</v>
      </c>
      <c r="I25" s="262">
        <f>Engage!I172</f>
        <v>200</v>
      </c>
      <c r="J25" s="262">
        <f>Engage!J172</f>
        <v>0</v>
      </c>
      <c r="K25" s="262">
        <f>Engage!K172</f>
        <v>0</v>
      </c>
      <c r="L25" s="262">
        <f>Engage!L172</f>
        <v>0</v>
      </c>
      <c r="M25" s="262">
        <f>Engage!M172</f>
        <v>0</v>
      </c>
      <c r="N25" s="262">
        <f>Engage!N172</f>
        <v>0</v>
      </c>
      <c r="O25" s="262">
        <f>Engage!O172</f>
        <v>0</v>
      </c>
      <c r="P25" s="262">
        <f>Engage!P172</f>
        <v>0</v>
      </c>
      <c r="Q25" s="262">
        <f>Engage!Q172</f>
        <v>0</v>
      </c>
      <c r="R25" s="262">
        <f>Engage!R172</f>
        <v>0</v>
      </c>
      <c r="S25" s="349">
        <f>Engage!S172</f>
        <v>0</v>
      </c>
    </row>
    <row r="26" spans="1:19" ht="12.75" customHeight="1" x14ac:dyDescent="0.2">
      <c r="A26" s="185" t="str">
        <f>"   "&amp;Labels!C384</f>
        <v xml:space="preserve">   Total</v>
      </c>
      <c r="B26" s="297">
        <f t="shared" ref="B26:S26" si="3">SUM(B24:B25)</f>
        <v>0</v>
      </c>
      <c r="C26" s="297">
        <f t="shared" si="3"/>
        <v>0</v>
      </c>
      <c r="D26" s="297">
        <f t="shared" si="3"/>
        <v>550</v>
      </c>
      <c r="E26" s="297">
        <f t="shared" si="3"/>
        <v>550</v>
      </c>
      <c r="F26" s="297">
        <f t="shared" si="3"/>
        <v>0</v>
      </c>
      <c r="G26" s="297">
        <f t="shared" si="3"/>
        <v>400</v>
      </c>
      <c r="H26" s="297">
        <f t="shared" si="3"/>
        <v>400</v>
      </c>
      <c r="I26" s="297">
        <f t="shared" si="3"/>
        <v>400</v>
      </c>
      <c r="J26" s="297">
        <f t="shared" si="3"/>
        <v>0</v>
      </c>
      <c r="K26" s="297">
        <f t="shared" si="3"/>
        <v>0</v>
      </c>
      <c r="L26" s="297">
        <f t="shared" si="3"/>
        <v>0</v>
      </c>
      <c r="M26" s="297">
        <f t="shared" si="3"/>
        <v>0</v>
      </c>
      <c r="N26" s="297">
        <f t="shared" si="3"/>
        <v>0</v>
      </c>
      <c r="O26" s="297">
        <f t="shared" si="3"/>
        <v>0</v>
      </c>
      <c r="P26" s="297">
        <f t="shared" si="3"/>
        <v>0</v>
      </c>
      <c r="Q26" s="297">
        <f t="shared" si="3"/>
        <v>0</v>
      </c>
      <c r="R26" s="297">
        <f t="shared" si="3"/>
        <v>0</v>
      </c>
      <c r="S26" s="350">
        <f t="shared" si="3"/>
        <v>0</v>
      </c>
    </row>
    <row r="28" spans="1:19" ht="12.75" customHeight="1" x14ac:dyDescent="0.2">
      <c r="A28" s="182" t="str">
        <f>Labels!B144</f>
        <v>Orders Filled (Hrs)</v>
      </c>
      <c r="B28" s="254"/>
      <c r="C28" s="254"/>
      <c r="D28" s="254"/>
      <c r="E28" s="254"/>
      <c r="F28" s="254"/>
      <c r="G28" s="254"/>
      <c r="H28" s="254"/>
      <c r="I28" s="254"/>
      <c r="J28" s="254"/>
      <c r="K28" s="254"/>
      <c r="L28" s="254"/>
      <c r="M28" s="254"/>
      <c r="N28" s="254"/>
      <c r="O28" s="254"/>
      <c r="P28" s="254"/>
      <c r="Q28" s="254"/>
      <c r="R28" s="254"/>
      <c r="S28" s="150"/>
    </row>
    <row r="29" spans="1:19" ht="12.75" customHeight="1" x14ac:dyDescent="0.2">
      <c r="A29" s="188" t="str">
        <f>"   "&amp;Labels!B385</f>
        <v xml:space="preserve">   Prof Level 1</v>
      </c>
      <c r="B29" s="295">
        <f>IF(Inputs!F46,'(Compute)'!B917,'(Tables)'!B472)</f>
        <v>0</v>
      </c>
      <c r="C29" s="295">
        <f>IF(Inputs!F46,'(Compute)'!C917,'(Tables)'!C472)</f>
        <v>0</v>
      </c>
      <c r="D29" s="295">
        <f>IF(Inputs!F46,'(Compute)'!D917,'(Tables)'!D472)</f>
        <v>0</v>
      </c>
      <c r="E29" s="295">
        <f>IF(Inputs!F46,'(Compute)'!E917,'(Tables)'!E472)</f>
        <v>0</v>
      </c>
      <c r="F29" s="295">
        <f>IF(Inputs!F46,'(Compute)'!F917,'(Tables)'!F472)</f>
        <v>0</v>
      </c>
      <c r="G29" s="295">
        <f>IF(Inputs!F46,'(Compute)'!G917,'(Tables)'!G472)</f>
        <v>0</v>
      </c>
      <c r="H29" s="295">
        <f>IF(Inputs!F46,'(Compute)'!H917,'(Tables)'!H472)</f>
        <v>0</v>
      </c>
      <c r="I29" s="295">
        <f>IF(Inputs!F46,'(Compute)'!I917,'(Tables)'!I472)</f>
        <v>0</v>
      </c>
      <c r="J29" s="295">
        <f>IF(Inputs!F46,'(Compute)'!J917,'(Tables)'!J472)</f>
        <v>0</v>
      </c>
      <c r="K29" s="295">
        <f>IF(Inputs!F46,'(Compute)'!K917,'(Tables)'!K472)</f>
        <v>0</v>
      </c>
      <c r="L29" s="295">
        <f>IF(Inputs!F46,'(Compute)'!L917,'(Tables)'!L472)</f>
        <v>0</v>
      </c>
      <c r="M29" s="295">
        <f>IF(Inputs!F46,'(Compute)'!M917,'(Tables)'!M472)</f>
        <v>0</v>
      </c>
      <c r="N29" s="295">
        <f>IF(Inputs!F46,'(Compute)'!N917,'(Tables)'!N472)</f>
        <v>0</v>
      </c>
      <c r="O29" s="295">
        <f>IF(Inputs!F46,'(Compute)'!O917,'(Tables)'!O472)</f>
        <v>0</v>
      </c>
      <c r="P29" s="295">
        <f>IF(Inputs!F46,'(Compute)'!P917,'(Tables)'!P472)</f>
        <v>0</v>
      </c>
      <c r="Q29" s="295">
        <f>IF(Inputs!F46,'(Compute)'!Q917,'(Tables)'!Q472)</f>
        <v>0</v>
      </c>
      <c r="R29" s="295">
        <f>IF(Inputs!F46,'(Compute)'!R917,'(Tables)'!R472)</f>
        <v>0</v>
      </c>
      <c r="S29" s="296">
        <f>IF(Inputs!F46,'(Compute)'!S917,'(Tables)'!S472)</f>
        <v>0</v>
      </c>
    </row>
    <row r="30" spans="1:19" ht="12.75" customHeight="1" x14ac:dyDescent="0.2">
      <c r="A30" s="188" t="str">
        <f>"   "&amp;Labels!B386</f>
        <v xml:space="preserve">   Prof Level 2</v>
      </c>
      <c r="B30" s="295">
        <f>IF(Inputs!F46,'(Compute)'!B930,'(Tables)'!B476)</f>
        <v>0</v>
      </c>
      <c r="C30" s="295">
        <f>IF(Inputs!F46,'(Compute)'!C930,'(Tables)'!C476)</f>
        <v>0</v>
      </c>
      <c r="D30" s="295">
        <f>IF(Inputs!F46,'(Compute)'!D930,'(Tables)'!D476)</f>
        <v>0</v>
      </c>
      <c r="E30" s="295">
        <f>IF(Inputs!F46,'(Compute)'!E930,'(Tables)'!E476)</f>
        <v>0</v>
      </c>
      <c r="F30" s="295">
        <f>IF(Inputs!F46,'(Compute)'!F930,'(Tables)'!F476)</f>
        <v>0</v>
      </c>
      <c r="G30" s="295">
        <f>IF(Inputs!F46,'(Compute)'!G930,'(Tables)'!G476)</f>
        <v>0</v>
      </c>
      <c r="H30" s="295">
        <f>IF(Inputs!F46,'(Compute)'!H930,'(Tables)'!H476)</f>
        <v>0</v>
      </c>
      <c r="I30" s="295">
        <f>IF(Inputs!F46,'(Compute)'!I930,'(Tables)'!I476)</f>
        <v>0</v>
      </c>
      <c r="J30" s="295">
        <f>IF(Inputs!F46,'(Compute)'!J930,'(Tables)'!J476)</f>
        <v>0</v>
      </c>
      <c r="K30" s="295">
        <f>IF(Inputs!F46,'(Compute)'!K930,'(Tables)'!K476)</f>
        <v>0</v>
      </c>
      <c r="L30" s="295">
        <f>IF(Inputs!F46,'(Compute)'!L930,'(Tables)'!L476)</f>
        <v>0</v>
      </c>
      <c r="M30" s="295">
        <f>IF(Inputs!F46,'(Compute)'!M930,'(Tables)'!M476)</f>
        <v>0</v>
      </c>
      <c r="N30" s="295">
        <f>IF(Inputs!F46,'(Compute)'!N930,'(Tables)'!N476)</f>
        <v>0</v>
      </c>
      <c r="O30" s="295">
        <f>IF(Inputs!F46,'(Compute)'!O930,'(Tables)'!O476)</f>
        <v>0</v>
      </c>
      <c r="P30" s="295">
        <f>IF(Inputs!F46,'(Compute)'!P930,'(Tables)'!P476)</f>
        <v>0</v>
      </c>
      <c r="Q30" s="295">
        <f>IF(Inputs!F46,'(Compute)'!Q930,'(Tables)'!Q476)</f>
        <v>0</v>
      </c>
      <c r="R30" s="295">
        <f>IF(Inputs!F46,'(Compute)'!R930,'(Tables)'!R476)</f>
        <v>0</v>
      </c>
      <c r="S30" s="296">
        <f>IF(Inputs!F46,'(Compute)'!S930,'(Tables)'!S476)</f>
        <v>0</v>
      </c>
    </row>
    <row r="31" spans="1:19" ht="12.75" customHeight="1" x14ac:dyDescent="0.2">
      <c r="A31" s="185" t="str">
        <f>"   "&amp;Labels!C384</f>
        <v xml:space="preserve">   Total</v>
      </c>
      <c r="B31" s="331">
        <f t="shared" ref="B31:S31" si="4">SUM(B29:B30)</f>
        <v>0</v>
      </c>
      <c r="C31" s="331">
        <f t="shared" si="4"/>
        <v>0</v>
      </c>
      <c r="D31" s="331">
        <f t="shared" si="4"/>
        <v>0</v>
      </c>
      <c r="E31" s="331">
        <f t="shared" si="4"/>
        <v>0</v>
      </c>
      <c r="F31" s="331">
        <f t="shared" si="4"/>
        <v>0</v>
      </c>
      <c r="G31" s="331">
        <f t="shared" si="4"/>
        <v>0</v>
      </c>
      <c r="H31" s="331">
        <f t="shared" si="4"/>
        <v>0</v>
      </c>
      <c r="I31" s="331">
        <f t="shared" si="4"/>
        <v>0</v>
      </c>
      <c r="J31" s="331">
        <f t="shared" si="4"/>
        <v>0</v>
      </c>
      <c r="K31" s="331">
        <f t="shared" si="4"/>
        <v>0</v>
      </c>
      <c r="L31" s="331">
        <f t="shared" si="4"/>
        <v>0</v>
      </c>
      <c r="M31" s="331">
        <f t="shared" si="4"/>
        <v>0</v>
      </c>
      <c r="N31" s="331">
        <f t="shared" si="4"/>
        <v>0</v>
      </c>
      <c r="O31" s="331">
        <f t="shared" si="4"/>
        <v>0</v>
      </c>
      <c r="P31" s="331">
        <f t="shared" si="4"/>
        <v>0</v>
      </c>
      <c r="Q31" s="331">
        <f t="shared" si="4"/>
        <v>0</v>
      </c>
      <c r="R31" s="331">
        <f t="shared" si="4"/>
        <v>0</v>
      </c>
      <c r="S31" s="151">
        <f t="shared" si="4"/>
        <v>0</v>
      </c>
    </row>
    <row r="33" spans="1:19" ht="12.75" customHeight="1" x14ac:dyDescent="0.2">
      <c r="A33" t="s">
        <v>3402</v>
      </c>
      <c r="B33" t="s">
        <v>3402</v>
      </c>
      <c r="C33" t="s">
        <v>3402</v>
      </c>
      <c r="D33" t="s">
        <v>3402</v>
      </c>
      <c r="E33" t="s">
        <v>3402</v>
      </c>
      <c r="F33" t="s">
        <v>3402</v>
      </c>
      <c r="G33" t="s">
        <v>3402</v>
      </c>
      <c r="H33" t="s">
        <v>3402</v>
      </c>
      <c r="I33" t="s">
        <v>3402</v>
      </c>
      <c r="J33" t="s">
        <v>3402</v>
      </c>
      <c r="K33" t="s">
        <v>3402</v>
      </c>
      <c r="L33" t="s">
        <v>3402</v>
      </c>
      <c r="M33" t="s">
        <v>3402</v>
      </c>
      <c r="N33" t="s">
        <v>3402</v>
      </c>
      <c r="O33" t="s">
        <v>3402</v>
      </c>
      <c r="P33" t="s">
        <v>3402</v>
      </c>
      <c r="Q33" t="s">
        <v>3402</v>
      </c>
      <c r="R33" t="s">
        <v>3402</v>
      </c>
      <c r="S33" t="s">
        <v>3402</v>
      </c>
    </row>
  </sheetData>
  <mergeCells count="4">
    <mergeCell ref="A1:D1"/>
    <mergeCell ref="A2:D2"/>
    <mergeCell ref="A3:D3"/>
    <mergeCell ref="A4:D4"/>
  </mergeCells>
  <pageMargins left="0.25" right="0.25" top="0.5" bottom="0.5" header="0.5" footer="0.5"/>
  <pageSetup paperSize="9" fitToHeight="32767" orientation="landscape" horizontalDpi="300" verticalDpi="300"/>
  <headerFooter alignWithMargins="0"/>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T1180"/>
  <sheetViews>
    <sheetView zoomScaleNormal="100" workbookViewId="0"/>
  </sheetViews>
  <sheetFormatPr defaultRowHeight="12.75" customHeight="1" x14ac:dyDescent="0.2"/>
  <sheetData>
    <row r="1" spans="1:20" ht="12.75" customHeight="1" x14ac:dyDescent="0.2">
      <c r="A1" s="463" t="str">
        <f>Inputs!F7</f>
        <v xml:space="preserve"> </v>
      </c>
      <c r="B1" s="463"/>
      <c r="C1" s="463"/>
    </row>
    <row r="2" spans="1:20" ht="12.75" customHeight="1" x14ac:dyDescent="0.2">
      <c r="A2" s="463" t="e">
        <f>TEXT('(FnCalls 1)'!A41,"m/d/yyyy")&amp;" to "&amp;TEXT('(FnCalls 1)'!A59-1,"m/d/yyyy")</f>
        <v>#VALUE!</v>
      </c>
      <c r="B2" s="463"/>
      <c r="C2" s="463"/>
    </row>
    <row r="3" spans="1:20" ht="12.75" customHeight="1" x14ac:dyDescent="0.2">
      <c r="A3" s="1" t="str">
        <f>"Short_Debt_1"</f>
        <v>Short_Debt_1</v>
      </c>
    </row>
    <row r="4" spans="1:20" ht="12.75" customHeight="1" x14ac:dyDescent="0.2">
      <c r="B4" s="9" t="str">
        <f>'(FnCalls 1)'!F40</f>
        <v>MMM 2009</v>
      </c>
      <c r="C4" s="10" t="str">
        <f>'(FnCalls 1)'!F41</f>
        <v>MMM 2010</v>
      </c>
      <c r="D4" s="10" t="str">
        <f>'(FnCalls 1)'!F42</f>
        <v>MMM 2010</v>
      </c>
      <c r="E4" s="10" t="str">
        <f>'(FnCalls 1)'!F43</f>
        <v>MMM 2010</v>
      </c>
      <c r="F4" s="10" t="str">
        <f>'(FnCalls 1)'!F44</f>
        <v>MMM 2010</v>
      </c>
      <c r="G4" s="10" t="str">
        <f>'(FnCalls 1)'!F45</f>
        <v>MMM 2010</v>
      </c>
      <c r="H4" s="10" t="str">
        <f>'(FnCalls 1)'!F46</f>
        <v>MMM 2010</v>
      </c>
      <c r="I4" s="10" t="str">
        <f>'(FnCalls 1)'!F47</f>
        <v>MMM 2010</v>
      </c>
      <c r="J4" s="10" t="str">
        <f>'(FnCalls 1)'!F48</f>
        <v>MMM 2010</v>
      </c>
      <c r="K4" s="10" t="str">
        <f>'(FnCalls 1)'!F49</f>
        <v>MMM 2010</v>
      </c>
      <c r="L4" s="10" t="str">
        <f>'(FnCalls 1)'!F50</f>
        <v>MMM 2010</v>
      </c>
      <c r="M4" s="10" t="str">
        <f>'(FnCalls 1)'!F51</f>
        <v>MMM 2010</v>
      </c>
      <c r="N4" s="10" t="str">
        <f>'(FnCalls 1)'!F52</f>
        <v>MMM 2010</v>
      </c>
      <c r="O4" s="10" t="str">
        <f>'(FnCalls 1)'!F53</f>
        <v>MMM 2011</v>
      </c>
      <c r="P4" s="10" t="str">
        <f>'(FnCalls 1)'!F54</f>
        <v>MMM 2011</v>
      </c>
      <c r="Q4" s="10" t="str">
        <f>'(FnCalls 1)'!F55</f>
        <v>MMM 2011</v>
      </c>
      <c r="R4" s="10" t="str">
        <f>'(FnCalls 1)'!F56</f>
        <v>MMM 2011</v>
      </c>
      <c r="S4" s="10" t="str">
        <f>'(FnCalls 1)'!F57</f>
        <v>MMM 2011</v>
      </c>
      <c r="T4" s="11" t="str">
        <f>'(FnCalls 1)'!F58</f>
        <v>MMM 2011</v>
      </c>
    </row>
    <row r="5" spans="1:20" ht="12.75" customHeight="1" x14ac:dyDescent="0.2">
      <c r="A5" s="182" t="str">
        <f>Labels!B381</f>
        <v>Practice 1</v>
      </c>
      <c r="B5" s="183"/>
      <c r="C5" s="183"/>
      <c r="D5" s="183"/>
      <c r="E5" s="183"/>
      <c r="F5" s="183"/>
      <c r="G5" s="183"/>
      <c r="H5" s="183"/>
      <c r="I5" s="183"/>
      <c r="J5" s="183"/>
      <c r="K5" s="183"/>
      <c r="L5" s="183"/>
      <c r="M5" s="183"/>
      <c r="N5" s="183"/>
      <c r="O5" s="183"/>
      <c r="P5" s="183"/>
      <c r="Q5" s="183"/>
      <c r="R5" s="183"/>
      <c r="S5" s="183"/>
      <c r="T5" s="266"/>
    </row>
    <row r="6" spans="1:20" ht="12.75" customHeight="1" x14ac:dyDescent="0.2">
      <c r="A6" s="188" t="str">
        <f>"   "&amp;Labels!B385</f>
        <v xml:space="preserve">   Prof Level 1</v>
      </c>
      <c r="B6" s="196"/>
      <c r="C6" s="196"/>
      <c r="D6" s="196"/>
      <c r="E6" s="196"/>
      <c r="F6" s="196"/>
      <c r="G6" s="196"/>
      <c r="H6" s="196"/>
      <c r="I6" s="196"/>
      <c r="J6" s="196"/>
      <c r="K6" s="196"/>
      <c r="L6" s="196"/>
      <c r="M6" s="196"/>
      <c r="N6" s="196"/>
      <c r="O6" s="196"/>
      <c r="P6" s="196"/>
      <c r="Q6" s="196"/>
      <c r="R6" s="196"/>
      <c r="S6" s="196"/>
      <c r="T6" s="267"/>
    </row>
    <row r="7" spans="1:20" ht="12.75" customHeight="1" x14ac:dyDescent="0.2">
      <c r="A7" s="198" t="str">
        <f>"      "&amp;Labels!B317</f>
        <v xml:space="preserve">      Channels 1</v>
      </c>
      <c r="B7" s="226"/>
      <c r="C7" s="226">
        <f>Inputs!F360*1/('(FnCalls 1)'!A42-'(FnCalls 1)'!A41)*Sales!B109</f>
        <v>0</v>
      </c>
      <c r="D7" s="226">
        <f>Inputs!G360*1/('(FnCalls 1)'!A43-'(FnCalls 1)'!A42)*Sales!C109</f>
        <v>0</v>
      </c>
      <c r="E7" s="226">
        <f>Inputs!H360*1/('(FnCalls 1)'!A44-'(FnCalls 1)'!A43)*Sales!D109</f>
        <v>27943.548387096776</v>
      </c>
      <c r="F7" s="226">
        <f>Inputs!I360*1/('(FnCalls 1)'!A45-'(FnCalls 1)'!A44)*Sales!F109</f>
        <v>28875</v>
      </c>
      <c r="G7" s="226">
        <f>Inputs!J360*1/('(FnCalls 1)'!A46-'(FnCalls 1)'!A45)*Sales!G109</f>
        <v>0</v>
      </c>
      <c r="H7" s="226">
        <f>Inputs!K360*1/('(FnCalls 1)'!A47-'(FnCalls 1)'!A46)*Sales!H109</f>
        <v>21000</v>
      </c>
      <c r="I7" s="226">
        <f>Inputs!L360*1/('(FnCalls 1)'!A48-'(FnCalls 1)'!A47)*Sales!J109</f>
        <v>20322.580645161292</v>
      </c>
      <c r="J7" s="226">
        <f>Inputs!M360*1/('(FnCalls 1)'!A49-'(FnCalls 1)'!A48)*Sales!K109</f>
        <v>20322.580645161292</v>
      </c>
      <c r="K7" s="226">
        <f>Inputs!N360*1/('(FnCalls 1)'!A50-'(FnCalls 1)'!A49)*Sales!L109</f>
        <v>0</v>
      </c>
      <c r="L7" s="226">
        <f>Inputs!O360*1/('(FnCalls 1)'!A51-'(FnCalls 1)'!A50)*Sales!N109</f>
        <v>0</v>
      </c>
      <c r="M7" s="226">
        <f>Inputs!P360*1/('(FnCalls 1)'!A52-'(FnCalls 1)'!A51)*Sales!O109</f>
        <v>0</v>
      </c>
      <c r="N7" s="226">
        <f>Inputs!Q360*1/('(FnCalls 1)'!A53-'(FnCalls 1)'!A52)*Sales!P109</f>
        <v>0</v>
      </c>
      <c r="O7" s="226">
        <f>Inputs!R360*1/('(FnCalls 1)'!A54-'(FnCalls 1)'!A53)*Sales!R109</f>
        <v>0</v>
      </c>
      <c r="P7" s="226">
        <f>Inputs!S360*1/('(FnCalls 1)'!A55-'(FnCalls 1)'!A54)*Sales!S109</f>
        <v>0</v>
      </c>
      <c r="Q7" s="226">
        <f>Inputs!T360*1/('(FnCalls 1)'!A56-'(FnCalls 1)'!A55)*Sales!T109</f>
        <v>0</v>
      </c>
      <c r="R7" s="226">
        <f>Inputs!U360*1/('(FnCalls 1)'!A57-'(FnCalls 1)'!A56)*Sales!V109</f>
        <v>0</v>
      </c>
      <c r="S7" s="226">
        <f>Inputs!V360*1/('(FnCalls 1)'!A58-'(FnCalls 1)'!A57)*Sales!W109</f>
        <v>0</v>
      </c>
      <c r="T7" s="279">
        <f>Inputs!W360*1/('(FnCalls 1)'!A59-'(FnCalls 1)'!A58)*Sales!X109</f>
        <v>0</v>
      </c>
    </row>
    <row r="8" spans="1:20" ht="12.75" customHeight="1" x14ac:dyDescent="0.2">
      <c r="A8" s="198" t="str">
        <f>"      "&amp;Labels!B318</f>
        <v xml:space="preserve">      Channels 2</v>
      </c>
      <c r="B8" s="226"/>
      <c r="C8" s="226">
        <f>Inputs!F360*1/('(FnCalls 1)'!A42-'(FnCalls 1)'!A41)*Sales!B110</f>
        <v>0</v>
      </c>
      <c r="D8" s="226">
        <f>Inputs!G360*1/('(FnCalls 1)'!A43-'(FnCalls 1)'!A42)*Sales!C110</f>
        <v>0</v>
      </c>
      <c r="E8" s="226">
        <f>Inputs!H360*1/('(FnCalls 1)'!A44-'(FnCalls 1)'!A43)*Sales!D110</f>
        <v>26612.903225806451</v>
      </c>
      <c r="F8" s="226">
        <f>Inputs!I360*1/('(FnCalls 1)'!A45-'(FnCalls 1)'!A44)*Sales!F110</f>
        <v>27500</v>
      </c>
      <c r="G8" s="226">
        <f>Inputs!J360*1/('(FnCalls 1)'!A46-'(FnCalls 1)'!A45)*Sales!G110</f>
        <v>0</v>
      </c>
      <c r="H8" s="226">
        <f>Inputs!K360*1/('(FnCalls 1)'!A47-'(FnCalls 1)'!A46)*Sales!H110</f>
        <v>20000</v>
      </c>
      <c r="I8" s="226">
        <f>Inputs!L360*1/('(FnCalls 1)'!A48-'(FnCalls 1)'!A47)*Sales!J110</f>
        <v>19354.83870967742</v>
      </c>
      <c r="J8" s="226">
        <f>Inputs!M360*1/('(FnCalls 1)'!A49-'(FnCalls 1)'!A48)*Sales!K110</f>
        <v>19354.83870967742</v>
      </c>
      <c r="K8" s="226">
        <f>Inputs!N360*1/('(FnCalls 1)'!A50-'(FnCalls 1)'!A49)*Sales!L110</f>
        <v>0</v>
      </c>
      <c r="L8" s="226">
        <f>Inputs!O360*1/('(FnCalls 1)'!A51-'(FnCalls 1)'!A50)*Sales!N110</f>
        <v>0</v>
      </c>
      <c r="M8" s="226">
        <f>Inputs!P360*1/('(FnCalls 1)'!A52-'(FnCalls 1)'!A51)*Sales!O110</f>
        <v>0</v>
      </c>
      <c r="N8" s="226">
        <f>Inputs!Q360*1/('(FnCalls 1)'!A53-'(FnCalls 1)'!A52)*Sales!P110</f>
        <v>0</v>
      </c>
      <c r="O8" s="226">
        <f>Inputs!R360*1/('(FnCalls 1)'!A54-'(FnCalls 1)'!A53)*Sales!R110</f>
        <v>0</v>
      </c>
      <c r="P8" s="226">
        <f>Inputs!S360*1/('(FnCalls 1)'!A55-'(FnCalls 1)'!A54)*Sales!S110</f>
        <v>0</v>
      </c>
      <c r="Q8" s="226">
        <f>Inputs!T360*1/('(FnCalls 1)'!A56-'(FnCalls 1)'!A55)*Sales!T110</f>
        <v>0</v>
      </c>
      <c r="R8" s="226">
        <f>Inputs!U360*1/('(FnCalls 1)'!A57-'(FnCalls 1)'!A56)*Sales!V110</f>
        <v>0</v>
      </c>
      <c r="S8" s="226">
        <f>Inputs!V360*1/('(FnCalls 1)'!A58-'(FnCalls 1)'!A57)*Sales!W110</f>
        <v>0</v>
      </c>
      <c r="T8" s="279">
        <f>Inputs!W360*1/('(FnCalls 1)'!A59-'(FnCalls 1)'!A58)*Sales!X110</f>
        <v>0</v>
      </c>
    </row>
    <row r="9" spans="1:20" ht="12.75" customHeight="1" x14ac:dyDescent="0.2">
      <c r="A9" s="188" t="str">
        <f>"      "&amp;Labels!C316</f>
        <v xml:space="preserve">      Total</v>
      </c>
      <c r="B9" s="196">
        <f t="shared" ref="B9:T9" si="0">SUM(B7:B8)</f>
        <v>0</v>
      </c>
      <c r="C9" s="196">
        <f t="shared" si="0"/>
        <v>0</v>
      </c>
      <c r="D9" s="196">
        <f t="shared" si="0"/>
        <v>0</v>
      </c>
      <c r="E9" s="196">
        <f t="shared" si="0"/>
        <v>54556.451612903227</v>
      </c>
      <c r="F9" s="196">
        <f t="shared" si="0"/>
        <v>56375</v>
      </c>
      <c r="G9" s="196">
        <f t="shared" si="0"/>
        <v>0</v>
      </c>
      <c r="H9" s="196">
        <f t="shared" si="0"/>
        <v>41000</v>
      </c>
      <c r="I9" s="196">
        <f t="shared" si="0"/>
        <v>39677.419354838712</v>
      </c>
      <c r="J9" s="196">
        <f t="shared" si="0"/>
        <v>39677.419354838712</v>
      </c>
      <c r="K9" s="196">
        <f t="shared" si="0"/>
        <v>0</v>
      </c>
      <c r="L9" s="196">
        <f t="shared" si="0"/>
        <v>0</v>
      </c>
      <c r="M9" s="196">
        <f t="shared" si="0"/>
        <v>0</v>
      </c>
      <c r="N9" s="196">
        <f t="shared" si="0"/>
        <v>0</v>
      </c>
      <c r="O9" s="196">
        <f t="shared" si="0"/>
        <v>0</v>
      </c>
      <c r="P9" s="196">
        <f t="shared" si="0"/>
        <v>0</v>
      </c>
      <c r="Q9" s="196">
        <f t="shared" si="0"/>
        <v>0</v>
      </c>
      <c r="R9" s="196">
        <f t="shared" si="0"/>
        <v>0</v>
      </c>
      <c r="S9" s="196">
        <f t="shared" si="0"/>
        <v>0</v>
      </c>
      <c r="T9" s="267">
        <f t="shared" si="0"/>
        <v>0</v>
      </c>
    </row>
    <row r="10" spans="1:20" ht="12.75" customHeight="1" x14ac:dyDescent="0.2">
      <c r="A10" s="188" t="str">
        <f>"   "&amp;Labels!B386</f>
        <v xml:space="preserve">   Prof Level 2</v>
      </c>
      <c r="B10" s="196"/>
      <c r="C10" s="196"/>
      <c r="D10" s="196"/>
      <c r="E10" s="196"/>
      <c r="F10" s="196"/>
      <c r="G10" s="196"/>
      <c r="H10" s="196"/>
      <c r="I10" s="196"/>
      <c r="J10" s="196"/>
      <c r="K10" s="196"/>
      <c r="L10" s="196"/>
      <c r="M10" s="196"/>
      <c r="N10" s="196"/>
      <c r="O10" s="196"/>
      <c r="P10" s="196"/>
      <c r="Q10" s="196"/>
      <c r="R10" s="196"/>
      <c r="S10" s="196"/>
      <c r="T10" s="267"/>
    </row>
    <row r="11" spans="1:20" ht="12.75" customHeight="1" x14ac:dyDescent="0.2">
      <c r="A11" s="198" t="str">
        <f>"      "&amp;Labels!B317</f>
        <v xml:space="preserve">      Channels 1</v>
      </c>
      <c r="B11" s="226"/>
      <c r="C11" s="226">
        <f>Inputs!F360*1/('(FnCalls 1)'!A42-'(FnCalls 1)'!A41)*Sales!B113</f>
        <v>0</v>
      </c>
      <c r="D11" s="226">
        <f>Inputs!G360*1/('(FnCalls 1)'!A43-'(FnCalls 1)'!A42)*Sales!C113</f>
        <v>0</v>
      </c>
      <c r="E11" s="226">
        <f>Inputs!H360*1/('(FnCalls 1)'!A44-'(FnCalls 1)'!A43)*Sales!D113</f>
        <v>27943.548387096776</v>
      </c>
      <c r="F11" s="226">
        <f>Inputs!I360*1/('(FnCalls 1)'!A45-'(FnCalls 1)'!A44)*Sales!F113</f>
        <v>28875</v>
      </c>
      <c r="G11" s="226">
        <f>Inputs!J360*1/('(FnCalls 1)'!A46-'(FnCalls 1)'!A45)*Sales!G113</f>
        <v>0</v>
      </c>
      <c r="H11" s="226">
        <f>Inputs!K360*1/('(FnCalls 1)'!A47-'(FnCalls 1)'!A46)*Sales!H113</f>
        <v>21000</v>
      </c>
      <c r="I11" s="226">
        <f>Inputs!L360*1/('(FnCalls 1)'!A48-'(FnCalls 1)'!A47)*Sales!J113</f>
        <v>20322.580645161292</v>
      </c>
      <c r="J11" s="226">
        <f>Inputs!M360*1/('(FnCalls 1)'!A49-'(FnCalls 1)'!A48)*Sales!K113</f>
        <v>20322.580645161292</v>
      </c>
      <c r="K11" s="226">
        <f>Inputs!N360*1/('(FnCalls 1)'!A50-'(FnCalls 1)'!A49)*Sales!L113</f>
        <v>0</v>
      </c>
      <c r="L11" s="226">
        <f>Inputs!O360*1/('(FnCalls 1)'!A51-'(FnCalls 1)'!A50)*Sales!N113</f>
        <v>0</v>
      </c>
      <c r="M11" s="226">
        <f>Inputs!P360*1/('(FnCalls 1)'!A52-'(FnCalls 1)'!A51)*Sales!O113</f>
        <v>0</v>
      </c>
      <c r="N11" s="226">
        <f>Inputs!Q360*1/('(FnCalls 1)'!A53-'(FnCalls 1)'!A52)*Sales!P113</f>
        <v>0</v>
      </c>
      <c r="O11" s="226">
        <f>Inputs!R360*1/('(FnCalls 1)'!A54-'(FnCalls 1)'!A53)*Sales!R113</f>
        <v>0</v>
      </c>
      <c r="P11" s="226">
        <f>Inputs!S360*1/('(FnCalls 1)'!A55-'(FnCalls 1)'!A54)*Sales!S113</f>
        <v>0</v>
      </c>
      <c r="Q11" s="226">
        <f>Inputs!T360*1/('(FnCalls 1)'!A56-'(FnCalls 1)'!A55)*Sales!T113</f>
        <v>0</v>
      </c>
      <c r="R11" s="226">
        <f>Inputs!U360*1/('(FnCalls 1)'!A57-'(FnCalls 1)'!A56)*Sales!V113</f>
        <v>0</v>
      </c>
      <c r="S11" s="226">
        <f>Inputs!V360*1/('(FnCalls 1)'!A58-'(FnCalls 1)'!A57)*Sales!W113</f>
        <v>0</v>
      </c>
      <c r="T11" s="279">
        <f>Inputs!W360*1/('(FnCalls 1)'!A59-'(FnCalls 1)'!A58)*Sales!X113</f>
        <v>0</v>
      </c>
    </row>
    <row r="12" spans="1:20" ht="12.75" customHeight="1" x14ac:dyDescent="0.2">
      <c r="A12" s="198" t="str">
        <f>"      "&amp;Labels!B318</f>
        <v xml:space="preserve">      Channels 2</v>
      </c>
      <c r="B12" s="226"/>
      <c r="C12" s="226">
        <f>Inputs!F360*1/('(FnCalls 1)'!A42-'(FnCalls 1)'!A41)*Sales!B114</f>
        <v>0</v>
      </c>
      <c r="D12" s="226">
        <f>Inputs!G360*1/('(FnCalls 1)'!A43-'(FnCalls 1)'!A42)*Sales!C114</f>
        <v>0</v>
      </c>
      <c r="E12" s="226">
        <f>Inputs!H360*1/('(FnCalls 1)'!A44-'(FnCalls 1)'!A43)*Sales!D114</f>
        <v>26612.903225806451</v>
      </c>
      <c r="F12" s="226">
        <f>Inputs!I360*1/('(FnCalls 1)'!A45-'(FnCalls 1)'!A44)*Sales!F114</f>
        <v>27500</v>
      </c>
      <c r="G12" s="226">
        <f>Inputs!J360*1/('(FnCalls 1)'!A46-'(FnCalls 1)'!A45)*Sales!G114</f>
        <v>0</v>
      </c>
      <c r="H12" s="226">
        <f>Inputs!K360*1/('(FnCalls 1)'!A47-'(FnCalls 1)'!A46)*Sales!H114</f>
        <v>20000</v>
      </c>
      <c r="I12" s="226">
        <f>Inputs!L360*1/('(FnCalls 1)'!A48-'(FnCalls 1)'!A47)*Sales!J114</f>
        <v>19354.83870967742</v>
      </c>
      <c r="J12" s="226">
        <f>Inputs!M360*1/('(FnCalls 1)'!A49-'(FnCalls 1)'!A48)*Sales!K114</f>
        <v>19354.83870967742</v>
      </c>
      <c r="K12" s="226">
        <f>Inputs!N360*1/('(FnCalls 1)'!A50-'(FnCalls 1)'!A49)*Sales!L114</f>
        <v>0</v>
      </c>
      <c r="L12" s="226">
        <f>Inputs!O360*1/('(FnCalls 1)'!A51-'(FnCalls 1)'!A50)*Sales!N114</f>
        <v>0</v>
      </c>
      <c r="M12" s="226">
        <f>Inputs!P360*1/('(FnCalls 1)'!A52-'(FnCalls 1)'!A51)*Sales!O114</f>
        <v>0</v>
      </c>
      <c r="N12" s="226">
        <f>Inputs!Q360*1/('(FnCalls 1)'!A53-'(FnCalls 1)'!A52)*Sales!P114</f>
        <v>0</v>
      </c>
      <c r="O12" s="226">
        <f>Inputs!R360*1/('(FnCalls 1)'!A54-'(FnCalls 1)'!A53)*Sales!R114</f>
        <v>0</v>
      </c>
      <c r="P12" s="226">
        <f>Inputs!S360*1/('(FnCalls 1)'!A55-'(FnCalls 1)'!A54)*Sales!S114</f>
        <v>0</v>
      </c>
      <c r="Q12" s="226">
        <f>Inputs!T360*1/('(FnCalls 1)'!A56-'(FnCalls 1)'!A55)*Sales!T114</f>
        <v>0</v>
      </c>
      <c r="R12" s="226">
        <f>Inputs!U360*1/('(FnCalls 1)'!A57-'(FnCalls 1)'!A56)*Sales!V114</f>
        <v>0</v>
      </c>
      <c r="S12" s="226">
        <f>Inputs!V360*1/('(FnCalls 1)'!A58-'(FnCalls 1)'!A57)*Sales!W114</f>
        <v>0</v>
      </c>
      <c r="T12" s="279">
        <f>Inputs!W360*1/('(FnCalls 1)'!A59-'(FnCalls 1)'!A58)*Sales!X114</f>
        <v>0</v>
      </c>
    </row>
    <row r="13" spans="1:20" ht="12.75" customHeight="1" x14ac:dyDescent="0.2">
      <c r="A13" s="188" t="str">
        <f>"      "&amp;Labels!C316</f>
        <v xml:space="preserve">      Total</v>
      </c>
      <c r="B13" s="196">
        <f t="shared" ref="B13:T13" si="1">SUM(B11:B12)</f>
        <v>0</v>
      </c>
      <c r="C13" s="196">
        <f t="shared" si="1"/>
        <v>0</v>
      </c>
      <c r="D13" s="196">
        <f t="shared" si="1"/>
        <v>0</v>
      </c>
      <c r="E13" s="196">
        <f t="shared" si="1"/>
        <v>54556.451612903227</v>
      </c>
      <c r="F13" s="196">
        <f t="shared" si="1"/>
        <v>56375</v>
      </c>
      <c r="G13" s="196">
        <f t="shared" si="1"/>
        <v>0</v>
      </c>
      <c r="H13" s="196">
        <f t="shared" si="1"/>
        <v>41000</v>
      </c>
      <c r="I13" s="196">
        <f t="shared" si="1"/>
        <v>39677.419354838712</v>
      </c>
      <c r="J13" s="196">
        <f t="shared" si="1"/>
        <v>39677.419354838712</v>
      </c>
      <c r="K13" s="196">
        <f t="shared" si="1"/>
        <v>0</v>
      </c>
      <c r="L13" s="196">
        <f t="shared" si="1"/>
        <v>0</v>
      </c>
      <c r="M13" s="196">
        <f t="shared" si="1"/>
        <v>0</v>
      </c>
      <c r="N13" s="196">
        <f t="shared" si="1"/>
        <v>0</v>
      </c>
      <c r="O13" s="196">
        <f t="shared" si="1"/>
        <v>0</v>
      </c>
      <c r="P13" s="196">
        <f t="shared" si="1"/>
        <v>0</v>
      </c>
      <c r="Q13" s="196">
        <f t="shared" si="1"/>
        <v>0</v>
      </c>
      <c r="R13" s="196">
        <f t="shared" si="1"/>
        <v>0</v>
      </c>
      <c r="S13" s="196">
        <f t="shared" si="1"/>
        <v>0</v>
      </c>
      <c r="T13" s="267">
        <f t="shared" si="1"/>
        <v>0</v>
      </c>
    </row>
    <row r="14" spans="1:20" ht="12.75" customHeight="1" x14ac:dyDescent="0.2">
      <c r="A14" s="191" t="str">
        <f>"   "&amp;Labels!C384</f>
        <v xml:space="preserve">   Total</v>
      </c>
      <c r="B14" s="192">
        <f t="shared" ref="B14:T14" si="2">SUM(B9,B13)</f>
        <v>0</v>
      </c>
      <c r="C14" s="192">
        <f t="shared" si="2"/>
        <v>0</v>
      </c>
      <c r="D14" s="192">
        <f t="shared" si="2"/>
        <v>0</v>
      </c>
      <c r="E14" s="192">
        <f t="shared" si="2"/>
        <v>109112.90322580645</v>
      </c>
      <c r="F14" s="192">
        <f t="shared" si="2"/>
        <v>112750</v>
      </c>
      <c r="G14" s="192">
        <f t="shared" si="2"/>
        <v>0</v>
      </c>
      <c r="H14" s="192">
        <f t="shared" si="2"/>
        <v>82000</v>
      </c>
      <c r="I14" s="192">
        <f t="shared" si="2"/>
        <v>79354.838709677424</v>
      </c>
      <c r="J14" s="192">
        <f t="shared" si="2"/>
        <v>79354.838709677424</v>
      </c>
      <c r="K14" s="192">
        <f t="shared" si="2"/>
        <v>0</v>
      </c>
      <c r="L14" s="192">
        <f t="shared" si="2"/>
        <v>0</v>
      </c>
      <c r="M14" s="192">
        <f t="shared" si="2"/>
        <v>0</v>
      </c>
      <c r="N14" s="192">
        <f t="shared" si="2"/>
        <v>0</v>
      </c>
      <c r="O14" s="192">
        <f t="shared" si="2"/>
        <v>0</v>
      </c>
      <c r="P14" s="192">
        <f t="shared" si="2"/>
        <v>0</v>
      </c>
      <c r="Q14" s="192">
        <f t="shared" si="2"/>
        <v>0</v>
      </c>
      <c r="R14" s="192">
        <f t="shared" si="2"/>
        <v>0</v>
      </c>
      <c r="S14" s="192">
        <f t="shared" si="2"/>
        <v>0</v>
      </c>
      <c r="T14" s="280">
        <f t="shared" si="2"/>
        <v>0</v>
      </c>
    </row>
    <row r="15" spans="1:20" ht="12.75" customHeight="1" x14ac:dyDescent="0.2">
      <c r="A15" s="198" t="str">
        <f>"      "&amp;Labels!B317</f>
        <v xml:space="preserve">      Channels 1</v>
      </c>
      <c r="B15" s="226">
        <f t="shared" ref="B15:T15" si="3">SUM(B7,B11)</f>
        <v>0</v>
      </c>
      <c r="C15" s="226">
        <f t="shared" si="3"/>
        <v>0</v>
      </c>
      <c r="D15" s="226">
        <f t="shared" si="3"/>
        <v>0</v>
      </c>
      <c r="E15" s="226">
        <f t="shared" si="3"/>
        <v>55887.096774193553</v>
      </c>
      <c r="F15" s="226">
        <f t="shared" si="3"/>
        <v>57750</v>
      </c>
      <c r="G15" s="226">
        <f t="shared" si="3"/>
        <v>0</v>
      </c>
      <c r="H15" s="226">
        <f t="shared" si="3"/>
        <v>42000</v>
      </c>
      <c r="I15" s="226">
        <f t="shared" si="3"/>
        <v>40645.161290322583</v>
      </c>
      <c r="J15" s="226">
        <f t="shared" si="3"/>
        <v>40645.161290322583</v>
      </c>
      <c r="K15" s="226">
        <f t="shared" si="3"/>
        <v>0</v>
      </c>
      <c r="L15" s="226">
        <f t="shared" si="3"/>
        <v>0</v>
      </c>
      <c r="M15" s="226">
        <f t="shared" si="3"/>
        <v>0</v>
      </c>
      <c r="N15" s="226">
        <f t="shared" si="3"/>
        <v>0</v>
      </c>
      <c r="O15" s="226">
        <f t="shared" si="3"/>
        <v>0</v>
      </c>
      <c r="P15" s="226">
        <f t="shared" si="3"/>
        <v>0</v>
      </c>
      <c r="Q15" s="226">
        <f t="shared" si="3"/>
        <v>0</v>
      </c>
      <c r="R15" s="226">
        <f t="shared" si="3"/>
        <v>0</v>
      </c>
      <c r="S15" s="226">
        <f t="shared" si="3"/>
        <v>0</v>
      </c>
      <c r="T15" s="279">
        <f t="shared" si="3"/>
        <v>0</v>
      </c>
    </row>
    <row r="16" spans="1:20" ht="12.75" customHeight="1" x14ac:dyDescent="0.2">
      <c r="A16" s="198" t="str">
        <f>"      "&amp;Labels!B318</f>
        <v xml:space="preserve">      Channels 2</v>
      </c>
      <c r="B16" s="226">
        <f t="shared" ref="B16:T16" si="4">SUM(B8,B12)</f>
        <v>0</v>
      </c>
      <c r="C16" s="226">
        <f t="shared" si="4"/>
        <v>0</v>
      </c>
      <c r="D16" s="226">
        <f t="shared" si="4"/>
        <v>0</v>
      </c>
      <c r="E16" s="226">
        <f t="shared" si="4"/>
        <v>53225.806451612902</v>
      </c>
      <c r="F16" s="226">
        <f t="shared" si="4"/>
        <v>55000</v>
      </c>
      <c r="G16" s="226">
        <f t="shared" si="4"/>
        <v>0</v>
      </c>
      <c r="H16" s="226">
        <f t="shared" si="4"/>
        <v>40000</v>
      </c>
      <c r="I16" s="226">
        <f t="shared" si="4"/>
        <v>38709.677419354841</v>
      </c>
      <c r="J16" s="226">
        <f t="shared" si="4"/>
        <v>38709.677419354841</v>
      </c>
      <c r="K16" s="226">
        <f t="shared" si="4"/>
        <v>0</v>
      </c>
      <c r="L16" s="226">
        <f t="shared" si="4"/>
        <v>0</v>
      </c>
      <c r="M16" s="226">
        <f t="shared" si="4"/>
        <v>0</v>
      </c>
      <c r="N16" s="226">
        <f t="shared" si="4"/>
        <v>0</v>
      </c>
      <c r="O16" s="226">
        <f t="shared" si="4"/>
        <v>0</v>
      </c>
      <c r="P16" s="226">
        <f t="shared" si="4"/>
        <v>0</v>
      </c>
      <c r="Q16" s="226">
        <f t="shared" si="4"/>
        <v>0</v>
      </c>
      <c r="R16" s="226">
        <f t="shared" si="4"/>
        <v>0</v>
      </c>
      <c r="S16" s="226">
        <f t="shared" si="4"/>
        <v>0</v>
      </c>
      <c r="T16" s="279">
        <f t="shared" si="4"/>
        <v>0</v>
      </c>
    </row>
    <row r="17" spans="1:20" ht="12.75" customHeight="1" x14ac:dyDescent="0.2">
      <c r="A17" s="188" t="str">
        <f>"      "&amp;Labels!C316</f>
        <v xml:space="preserve">      Total</v>
      </c>
      <c r="B17" s="196">
        <f t="shared" ref="B17:T17" si="5">SUM(B9,B13)</f>
        <v>0</v>
      </c>
      <c r="C17" s="196">
        <f t="shared" si="5"/>
        <v>0</v>
      </c>
      <c r="D17" s="196">
        <f t="shared" si="5"/>
        <v>0</v>
      </c>
      <c r="E17" s="196">
        <f t="shared" si="5"/>
        <v>109112.90322580645</v>
      </c>
      <c r="F17" s="196">
        <f t="shared" si="5"/>
        <v>112750</v>
      </c>
      <c r="G17" s="196">
        <f t="shared" si="5"/>
        <v>0</v>
      </c>
      <c r="H17" s="196">
        <f t="shared" si="5"/>
        <v>82000</v>
      </c>
      <c r="I17" s="196">
        <f t="shared" si="5"/>
        <v>79354.838709677424</v>
      </c>
      <c r="J17" s="196">
        <f t="shared" si="5"/>
        <v>79354.838709677424</v>
      </c>
      <c r="K17" s="196">
        <f t="shared" si="5"/>
        <v>0</v>
      </c>
      <c r="L17" s="196">
        <f t="shared" si="5"/>
        <v>0</v>
      </c>
      <c r="M17" s="196">
        <f t="shared" si="5"/>
        <v>0</v>
      </c>
      <c r="N17" s="196">
        <f t="shared" si="5"/>
        <v>0</v>
      </c>
      <c r="O17" s="196">
        <f t="shared" si="5"/>
        <v>0</v>
      </c>
      <c r="P17" s="196">
        <f t="shared" si="5"/>
        <v>0</v>
      </c>
      <c r="Q17" s="196">
        <f t="shared" si="5"/>
        <v>0</v>
      </c>
      <c r="R17" s="196">
        <f t="shared" si="5"/>
        <v>0</v>
      </c>
      <c r="S17" s="196">
        <f t="shared" si="5"/>
        <v>0</v>
      </c>
      <c r="T17" s="267">
        <f t="shared" si="5"/>
        <v>0</v>
      </c>
    </row>
    <row r="18" spans="1:20" ht="12.75" customHeight="1" x14ac:dyDescent="0.2">
      <c r="A18" s="191" t="str">
        <f>Labels!B382</f>
        <v>Practice 2</v>
      </c>
      <c r="B18" s="192"/>
      <c r="C18" s="192"/>
      <c r="D18" s="192"/>
      <c r="E18" s="192"/>
      <c r="F18" s="192"/>
      <c r="G18" s="192"/>
      <c r="H18" s="192"/>
      <c r="I18" s="192"/>
      <c r="J18" s="192"/>
      <c r="K18" s="192"/>
      <c r="L18" s="192"/>
      <c r="M18" s="192"/>
      <c r="N18" s="192"/>
      <c r="O18" s="192"/>
      <c r="P18" s="192"/>
      <c r="Q18" s="192"/>
      <c r="R18" s="192"/>
      <c r="S18" s="192"/>
      <c r="T18" s="280"/>
    </row>
    <row r="19" spans="1:20" ht="12.75" customHeight="1" x14ac:dyDescent="0.2">
      <c r="A19" s="188" t="str">
        <f>"   "&amp;Labels!B385</f>
        <v xml:space="preserve">   Prof Level 1</v>
      </c>
      <c r="B19" s="196"/>
      <c r="C19" s="196"/>
      <c r="D19" s="196"/>
      <c r="E19" s="196"/>
      <c r="F19" s="196"/>
      <c r="G19" s="196"/>
      <c r="H19" s="196"/>
      <c r="I19" s="196"/>
      <c r="J19" s="196"/>
      <c r="K19" s="196"/>
      <c r="L19" s="196"/>
      <c r="M19" s="196"/>
      <c r="N19" s="196"/>
      <c r="O19" s="196"/>
      <c r="P19" s="196"/>
      <c r="Q19" s="196"/>
      <c r="R19" s="196"/>
      <c r="S19" s="196"/>
      <c r="T19" s="267"/>
    </row>
    <row r="20" spans="1:20" ht="12.75" customHeight="1" x14ac:dyDescent="0.2">
      <c r="A20" s="198" t="str">
        <f>"      "&amp;Labels!B317</f>
        <v xml:space="preserve">      Channels 1</v>
      </c>
      <c r="B20" s="226"/>
      <c r="C20" s="226">
        <f>Inputs!F360*1/('(FnCalls 1)'!A42-'(FnCalls 1)'!A41)*Sales!B122</f>
        <v>0</v>
      </c>
      <c r="D20" s="226">
        <f>Inputs!G360*1/('(FnCalls 1)'!A43-'(FnCalls 1)'!A42)*Sales!C122</f>
        <v>0</v>
      </c>
      <c r="E20" s="226">
        <f>Inputs!H360*1/('(FnCalls 1)'!A44-'(FnCalls 1)'!A43)*Sales!D122</f>
        <v>0</v>
      </c>
      <c r="F20" s="226">
        <f>Inputs!I360*1/('(FnCalls 1)'!A45-'(FnCalls 1)'!A44)*Sales!F122</f>
        <v>0</v>
      </c>
      <c r="G20" s="226">
        <f>Inputs!J360*1/('(FnCalls 1)'!A46-'(FnCalls 1)'!A45)*Sales!G122</f>
        <v>0</v>
      </c>
      <c r="H20" s="226">
        <f>Inputs!K360*1/('(FnCalls 1)'!A47-'(FnCalls 1)'!A46)*Sales!H122</f>
        <v>0</v>
      </c>
      <c r="I20" s="226">
        <f>Inputs!L360*1/('(FnCalls 1)'!A48-'(FnCalls 1)'!A47)*Sales!J122</f>
        <v>0</v>
      </c>
      <c r="J20" s="226">
        <f>Inputs!M360*1/('(FnCalls 1)'!A49-'(FnCalls 1)'!A48)*Sales!K122</f>
        <v>0</v>
      </c>
      <c r="K20" s="226">
        <f>Inputs!N360*1/('(FnCalls 1)'!A50-'(FnCalls 1)'!A49)*Sales!L122</f>
        <v>0</v>
      </c>
      <c r="L20" s="226">
        <f>Inputs!O360*1/('(FnCalls 1)'!A51-'(FnCalls 1)'!A50)*Sales!N122</f>
        <v>0</v>
      </c>
      <c r="M20" s="226">
        <f>Inputs!P360*1/('(FnCalls 1)'!A52-'(FnCalls 1)'!A51)*Sales!O122</f>
        <v>0</v>
      </c>
      <c r="N20" s="226">
        <f>Inputs!Q360*1/('(FnCalls 1)'!A53-'(FnCalls 1)'!A52)*Sales!P122</f>
        <v>0</v>
      </c>
      <c r="O20" s="226">
        <f>Inputs!R360*1/('(FnCalls 1)'!A54-'(FnCalls 1)'!A53)*Sales!R122</f>
        <v>0</v>
      </c>
      <c r="P20" s="226">
        <f>Inputs!S360*1/('(FnCalls 1)'!A55-'(FnCalls 1)'!A54)*Sales!S122</f>
        <v>0</v>
      </c>
      <c r="Q20" s="226">
        <f>Inputs!T360*1/('(FnCalls 1)'!A56-'(FnCalls 1)'!A55)*Sales!T122</f>
        <v>0</v>
      </c>
      <c r="R20" s="226">
        <f>Inputs!U360*1/('(FnCalls 1)'!A57-'(FnCalls 1)'!A56)*Sales!V122</f>
        <v>0</v>
      </c>
      <c r="S20" s="226">
        <f>Inputs!V360*1/('(FnCalls 1)'!A58-'(FnCalls 1)'!A57)*Sales!W122</f>
        <v>0</v>
      </c>
      <c r="T20" s="279">
        <f>Inputs!W360*1/('(FnCalls 1)'!A59-'(FnCalls 1)'!A58)*Sales!X122</f>
        <v>0</v>
      </c>
    </row>
    <row r="21" spans="1:20" ht="12.75" customHeight="1" x14ac:dyDescent="0.2">
      <c r="A21" s="198" t="str">
        <f>"      "&amp;Labels!B318</f>
        <v xml:space="preserve">      Channels 2</v>
      </c>
      <c r="B21" s="226"/>
      <c r="C21" s="226">
        <f>Inputs!F360*1/('(FnCalls 1)'!A42-'(FnCalls 1)'!A41)*Sales!B123</f>
        <v>0</v>
      </c>
      <c r="D21" s="226">
        <f>Inputs!G360*1/('(FnCalls 1)'!A43-'(FnCalls 1)'!A42)*Sales!C123</f>
        <v>0</v>
      </c>
      <c r="E21" s="226">
        <f>Inputs!H360*1/('(FnCalls 1)'!A44-'(FnCalls 1)'!A43)*Sales!D123</f>
        <v>0</v>
      </c>
      <c r="F21" s="226">
        <f>Inputs!I360*1/('(FnCalls 1)'!A45-'(FnCalls 1)'!A44)*Sales!F123</f>
        <v>0</v>
      </c>
      <c r="G21" s="226">
        <f>Inputs!J360*1/('(FnCalls 1)'!A46-'(FnCalls 1)'!A45)*Sales!G123</f>
        <v>0</v>
      </c>
      <c r="H21" s="226">
        <f>Inputs!K360*1/('(FnCalls 1)'!A47-'(FnCalls 1)'!A46)*Sales!H123</f>
        <v>0</v>
      </c>
      <c r="I21" s="226">
        <f>Inputs!L360*1/('(FnCalls 1)'!A48-'(FnCalls 1)'!A47)*Sales!J123</f>
        <v>0</v>
      </c>
      <c r="J21" s="226">
        <f>Inputs!M360*1/('(FnCalls 1)'!A49-'(FnCalls 1)'!A48)*Sales!K123</f>
        <v>0</v>
      </c>
      <c r="K21" s="226">
        <f>Inputs!N360*1/('(FnCalls 1)'!A50-'(FnCalls 1)'!A49)*Sales!L123</f>
        <v>0</v>
      </c>
      <c r="L21" s="226">
        <f>Inputs!O360*1/('(FnCalls 1)'!A51-'(FnCalls 1)'!A50)*Sales!N123</f>
        <v>0</v>
      </c>
      <c r="M21" s="226">
        <f>Inputs!P360*1/('(FnCalls 1)'!A52-'(FnCalls 1)'!A51)*Sales!O123</f>
        <v>0</v>
      </c>
      <c r="N21" s="226">
        <f>Inputs!Q360*1/('(FnCalls 1)'!A53-'(FnCalls 1)'!A52)*Sales!P123</f>
        <v>0</v>
      </c>
      <c r="O21" s="226">
        <f>Inputs!R360*1/('(FnCalls 1)'!A54-'(FnCalls 1)'!A53)*Sales!R123</f>
        <v>0</v>
      </c>
      <c r="P21" s="226">
        <f>Inputs!S360*1/('(FnCalls 1)'!A55-'(FnCalls 1)'!A54)*Sales!S123</f>
        <v>0</v>
      </c>
      <c r="Q21" s="226">
        <f>Inputs!T360*1/('(FnCalls 1)'!A56-'(FnCalls 1)'!A55)*Sales!T123</f>
        <v>0</v>
      </c>
      <c r="R21" s="226">
        <f>Inputs!U360*1/('(FnCalls 1)'!A57-'(FnCalls 1)'!A56)*Sales!V123</f>
        <v>0</v>
      </c>
      <c r="S21" s="226">
        <f>Inputs!V360*1/('(FnCalls 1)'!A58-'(FnCalls 1)'!A57)*Sales!W123</f>
        <v>0</v>
      </c>
      <c r="T21" s="279">
        <f>Inputs!W360*1/('(FnCalls 1)'!A59-'(FnCalls 1)'!A58)*Sales!X123</f>
        <v>0</v>
      </c>
    </row>
    <row r="22" spans="1:20" ht="12.75" customHeight="1" x14ac:dyDescent="0.2">
      <c r="A22" s="188" t="str">
        <f>"      "&amp;Labels!C316</f>
        <v xml:space="preserve">      Total</v>
      </c>
      <c r="B22" s="196">
        <f t="shared" ref="B22:T22" si="6">SUM(B20:B21)</f>
        <v>0</v>
      </c>
      <c r="C22" s="196">
        <f t="shared" si="6"/>
        <v>0</v>
      </c>
      <c r="D22" s="196">
        <f t="shared" si="6"/>
        <v>0</v>
      </c>
      <c r="E22" s="196">
        <f t="shared" si="6"/>
        <v>0</v>
      </c>
      <c r="F22" s="196">
        <f t="shared" si="6"/>
        <v>0</v>
      </c>
      <c r="G22" s="196">
        <f t="shared" si="6"/>
        <v>0</v>
      </c>
      <c r="H22" s="196">
        <f t="shared" si="6"/>
        <v>0</v>
      </c>
      <c r="I22" s="196">
        <f t="shared" si="6"/>
        <v>0</v>
      </c>
      <c r="J22" s="196">
        <f t="shared" si="6"/>
        <v>0</v>
      </c>
      <c r="K22" s="196">
        <f t="shared" si="6"/>
        <v>0</v>
      </c>
      <c r="L22" s="196">
        <f t="shared" si="6"/>
        <v>0</v>
      </c>
      <c r="M22" s="196">
        <f t="shared" si="6"/>
        <v>0</v>
      </c>
      <c r="N22" s="196">
        <f t="shared" si="6"/>
        <v>0</v>
      </c>
      <c r="O22" s="196">
        <f t="shared" si="6"/>
        <v>0</v>
      </c>
      <c r="P22" s="196">
        <f t="shared" si="6"/>
        <v>0</v>
      </c>
      <c r="Q22" s="196">
        <f t="shared" si="6"/>
        <v>0</v>
      </c>
      <c r="R22" s="196">
        <f t="shared" si="6"/>
        <v>0</v>
      </c>
      <c r="S22" s="196">
        <f t="shared" si="6"/>
        <v>0</v>
      </c>
      <c r="T22" s="267">
        <f t="shared" si="6"/>
        <v>0</v>
      </c>
    </row>
    <row r="23" spans="1:20" ht="12.75" customHeight="1" x14ac:dyDescent="0.2">
      <c r="A23" s="188" t="str">
        <f>"   "&amp;Labels!B386</f>
        <v xml:space="preserve">   Prof Level 2</v>
      </c>
      <c r="B23" s="196"/>
      <c r="C23" s="196"/>
      <c r="D23" s="196"/>
      <c r="E23" s="196"/>
      <c r="F23" s="196"/>
      <c r="G23" s="196"/>
      <c r="H23" s="196"/>
      <c r="I23" s="196"/>
      <c r="J23" s="196"/>
      <c r="K23" s="196"/>
      <c r="L23" s="196"/>
      <c r="M23" s="196"/>
      <c r="N23" s="196"/>
      <c r="O23" s="196"/>
      <c r="P23" s="196"/>
      <c r="Q23" s="196"/>
      <c r="R23" s="196"/>
      <c r="S23" s="196"/>
      <c r="T23" s="267"/>
    </row>
    <row r="24" spans="1:20" ht="12.75" customHeight="1" x14ac:dyDescent="0.2">
      <c r="A24" s="198" t="str">
        <f>"      "&amp;Labels!B317</f>
        <v xml:space="preserve">      Channels 1</v>
      </c>
      <c r="B24" s="226"/>
      <c r="C24" s="226">
        <f>Inputs!F360*1/('(FnCalls 1)'!A42-'(FnCalls 1)'!A41)*Sales!B126</f>
        <v>0</v>
      </c>
      <c r="D24" s="226">
        <f>Inputs!G360*1/('(FnCalls 1)'!A43-'(FnCalls 1)'!A42)*Sales!C126</f>
        <v>0</v>
      </c>
      <c r="E24" s="226">
        <f>Inputs!H360*1/('(FnCalls 1)'!A44-'(FnCalls 1)'!A43)*Sales!D126</f>
        <v>0</v>
      </c>
      <c r="F24" s="226">
        <f>Inputs!I360*1/('(FnCalls 1)'!A45-'(FnCalls 1)'!A44)*Sales!F126</f>
        <v>0</v>
      </c>
      <c r="G24" s="226">
        <f>Inputs!J360*1/('(FnCalls 1)'!A46-'(FnCalls 1)'!A45)*Sales!G126</f>
        <v>0</v>
      </c>
      <c r="H24" s="226">
        <f>Inputs!K360*1/('(FnCalls 1)'!A47-'(FnCalls 1)'!A46)*Sales!H126</f>
        <v>0</v>
      </c>
      <c r="I24" s="226">
        <f>Inputs!L360*1/('(FnCalls 1)'!A48-'(FnCalls 1)'!A47)*Sales!J126</f>
        <v>0</v>
      </c>
      <c r="J24" s="226">
        <f>Inputs!M360*1/('(FnCalls 1)'!A49-'(FnCalls 1)'!A48)*Sales!K126</f>
        <v>0</v>
      </c>
      <c r="K24" s="226">
        <f>Inputs!N360*1/('(FnCalls 1)'!A50-'(FnCalls 1)'!A49)*Sales!L126</f>
        <v>0</v>
      </c>
      <c r="L24" s="226">
        <f>Inputs!O360*1/('(FnCalls 1)'!A51-'(FnCalls 1)'!A50)*Sales!N126</f>
        <v>0</v>
      </c>
      <c r="M24" s="226">
        <f>Inputs!P360*1/('(FnCalls 1)'!A52-'(FnCalls 1)'!A51)*Sales!O126</f>
        <v>0</v>
      </c>
      <c r="N24" s="226">
        <f>Inputs!Q360*1/('(FnCalls 1)'!A53-'(FnCalls 1)'!A52)*Sales!P126</f>
        <v>0</v>
      </c>
      <c r="O24" s="226">
        <f>Inputs!R360*1/('(FnCalls 1)'!A54-'(FnCalls 1)'!A53)*Sales!R126</f>
        <v>0</v>
      </c>
      <c r="P24" s="226">
        <f>Inputs!S360*1/('(FnCalls 1)'!A55-'(FnCalls 1)'!A54)*Sales!S126</f>
        <v>0</v>
      </c>
      <c r="Q24" s="226">
        <f>Inputs!T360*1/('(FnCalls 1)'!A56-'(FnCalls 1)'!A55)*Sales!T126</f>
        <v>0</v>
      </c>
      <c r="R24" s="226">
        <f>Inputs!U360*1/('(FnCalls 1)'!A57-'(FnCalls 1)'!A56)*Sales!V126</f>
        <v>0</v>
      </c>
      <c r="S24" s="226">
        <f>Inputs!V360*1/('(FnCalls 1)'!A58-'(FnCalls 1)'!A57)*Sales!W126</f>
        <v>0</v>
      </c>
      <c r="T24" s="279">
        <f>Inputs!W360*1/('(FnCalls 1)'!A59-'(FnCalls 1)'!A58)*Sales!X126</f>
        <v>0</v>
      </c>
    </row>
    <row r="25" spans="1:20" ht="12.75" customHeight="1" x14ac:dyDescent="0.2">
      <c r="A25" s="198" t="str">
        <f>"      "&amp;Labels!B318</f>
        <v xml:space="preserve">      Channels 2</v>
      </c>
      <c r="B25" s="226"/>
      <c r="C25" s="226">
        <f>Inputs!F360*1/('(FnCalls 1)'!A42-'(FnCalls 1)'!A41)*Sales!B127</f>
        <v>0</v>
      </c>
      <c r="D25" s="226">
        <f>Inputs!G360*1/('(FnCalls 1)'!A43-'(FnCalls 1)'!A42)*Sales!C127</f>
        <v>0</v>
      </c>
      <c r="E25" s="226">
        <f>Inputs!H360*1/('(FnCalls 1)'!A44-'(FnCalls 1)'!A43)*Sales!D127</f>
        <v>0</v>
      </c>
      <c r="F25" s="226">
        <f>Inputs!I360*1/('(FnCalls 1)'!A45-'(FnCalls 1)'!A44)*Sales!F127</f>
        <v>0</v>
      </c>
      <c r="G25" s="226">
        <f>Inputs!J360*1/('(FnCalls 1)'!A46-'(FnCalls 1)'!A45)*Sales!G127</f>
        <v>0</v>
      </c>
      <c r="H25" s="226">
        <f>Inputs!K360*1/('(FnCalls 1)'!A47-'(FnCalls 1)'!A46)*Sales!H127</f>
        <v>0</v>
      </c>
      <c r="I25" s="226">
        <f>Inputs!L360*1/('(FnCalls 1)'!A48-'(FnCalls 1)'!A47)*Sales!J127</f>
        <v>0</v>
      </c>
      <c r="J25" s="226">
        <f>Inputs!M360*1/('(FnCalls 1)'!A49-'(FnCalls 1)'!A48)*Sales!K127</f>
        <v>0</v>
      </c>
      <c r="K25" s="226">
        <f>Inputs!N360*1/('(FnCalls 1)'!A50-'(FnCalls 1)'!A49)*Sales!L127</f>
        <v>0</v>
      </c>
      <c r="L25" s="226">
        <f>Inputs!O360*1/('(FnCalls 1)'!A51-'(FnCalls 1)'!A50)*Sales!N127</f>
        <v>0</v>
      </c>
      <c r="M25" s="226">
        <f>Inputs!P360*1/('(FnCalls 1)'!A52-'(FnCalls 1)'!A51)*Sales!O127</f>
        <v>0</v>
      </c>
      <c r="N25" s="226">
        <f>Inputs!Q360*1/('(FnCalls 1)'!A53-'(FnCalls 1)'!A52)*Sales!P127</f>
        <v>0</v>
      </c>
      <c r="O25" s="226">
        <f>Inputs!R360*1/('(FnCalls 1)'!A54-'(FnCalls 1)'!A53)*Sales!R127</f>
        <v>0</v>
      </c>
      <c r="P25" s="226">
        <f>Inputs!S360*1/('(FnCalls 1)'!A55-'(FnCalls 1)'!A54)*Sales!S127</f>
        <v>0</v>
      </c>
      <c r="Q25" s="226">
        <f>Inputs!T360*1/('(FnCalls 1)'!A56-'(FnCalls 1)'!A55)*Sales!T127</f>
        <v>0</v>
      </c>
      <c r="R25" s="226">
        <f>Inputs!U360*1/('(FnCalls 1)'!A57-'(FnCalls 1)'!A56)*Sales!V127</f>
        <v>0</v>
      </c>
      <c r="S25" s="226">
        <f>Inputs!V360*1/('(FnCalls 1)'!A58-'(FnCalls 1)'!A57)*Sales!W127</f>
        <v>0</v>
      </c>
      <c r="T25" s="279">
        <f>Inputs!W360*1/('(FnCalls 1)'!A59-'(FnCalls 1)'!A58)*Sales!X127</f>
        <v>0</v>
      </c>
    </row>
    <row r="26" spans="1:20" ht="12.75" customHeight="1" x14ac:dyDescent="0.2">
      <c r="A26" s="188" t="str">
        <f>"      "&amp;Labels!C316</f>
        <v xml:space="preserve">      Total</v>
      </c>
      <c r="B26" s="196">
        <f t="shared" ref="B26:T26" si="7">SUM(B24:B25)</f>
        <v>0</v>
      </c>
      <c r="C26" s="196">
        <f t="shared" si="7"/>
        <v>0</v>
      </c>
      <c r="D26" s="196">
        <f t="shared" si="7"/>
        <v>0</v>
      </c>
      <c r="E26" s="196">
        <f t="shared" si="7"/>
        <v>0</v>
      </c>
      <c r="F26" s="196">
        <f t="shared" si="7"/>
        <v>0</v>
      </c>
      <c r="G26" s="196">
        <f t="shared" si="7"/>
        <v>0</v>
      </c>
      <c r="H26" s="196">
        <f t="shared" si="7"/>
        <v>0</v>
      </c>
      <c r="I26" s="196">
        <f t="shared" si="7"/>
        <v>0</v>
      </c>
      <c r="J26" s="196">
        <f t="shared" si="7"/>
        <v>0</v>
      </c>
      <c r="K26" s="196">
        <f t="shared" si="7"/>
        <v>0</v>
      </c>
      <c r="L26" s="196">
        <f t="shared" si="7"/>
        <v>0</v>
      </c>
      <c r="M26" s="196">
        <f t="shared" si="7"/>
        <v>0</v>
      </c>
      <c r="N26" s="196">
        <f t="shared" si="7"/>
        <v>0</v>
      </c>
      <c r="O26" s="196">
        <f t="shared" si="7"/>
        <v>0</v>
      </c>
      <c r="P26" s="196">
        <f t="shared" si="7"/>
        <v>0</v>
      </c>
      <c r="Q26" s="196">
        <f t="shared" si="7"/>
        <v>0</v>
      </c>
      <c r="R26" s="196">
        <f t="shared" si="7"/>
        <v>0</v>
      </c>
      <c r="S26" s="196">
        <f t="shared" si="7"/>
        <v>0</v>
      </c>
      <c r="T26" s="267">
        <f t="shared" si="7"/>
        <v>0</v>
      </c>
    </row>
    <row r="27" spans="1:20" ht="12.75" customHeight="1" x14ac:dyDescent="0.2">
      <c r="A27" s="191" t="str">
        <f>"   "&amp;Labels!C384</f>
        <v xml:space="preserve">   Total</v>
      </c>
      <c r="B27" s="192">
        <f t="shared" ref="B27:T27" si="8">SUM(B22,B26)</f>
        <v>0</v>
      </c>
      <c r="C27" s="192">
        <f t="shared" si="8"/>
        <v>0</v>
      </c>
      <c r="D27" s="192">
        <f t="shared" si="8"/>
        <v>0</v>
      </c>
      <c r="E27" s="192">
        <f t="shared" si="8"/>
        <v>0</v>
      </c>
      <c r="F27" s="192">
        <f t="shared" si="8"/>
        <v>0</v>
      </c>
      <c r="G27" s="192">
        <f t="shared" si="8"/>
        <v>0</v>
      </c>
      <c r="H27" s="192">
        <f t="shared" si="8"/>
        <v>0</v>
      </c>
      <c r="I27" s="192">
        <f t="shared" si="8"/>
        <v>0</v>
      </c>
      <c r="J27" s="192">
        <f t="shared" si="8"/>
        <v>0</v>
      </c>
      <c r="K27" s="192">
        <f t="shared" si="8"/>
        <v>0</v>
      </c>
      <c r="L27" s="192">
        <f t="shared" si="8"/>
        <v>0</v>
      </c>
      <c r="M27" s="192">
        <f t="shared" si="8"/>
        <v>0</v>
      </c>
      <c r="N27" s="192">
        <f t="shared" si="8"/>
        <v>0</v>
      </c>
      <c r="O27" s="192">
        <f t="shared" si="8"/>
        <v>0</v>
      </c>
      <c r="P27" s="192">
        <f t="shared" si="8"/>
        <v>0</v>
      </c>
      <c r="Q27" s="192">
        <f t="shared" si="8"/>
        <v>0</v>
      </c>
      <c r="R27" s="192">
        <f t="shared" si="8"/>
        <v>0</v>
      </c>
      <c r="S27" s="192">
        <f t="shared" si="8"/>
        <v>0</v>
      </c>
      <c r="T27" s="280">
        <f t="shared" si="8"/>
        <v>0</v>
      </c>
    </row>
    <row r="28" spans="1:20" ht="12.75" customHeight="1" x14ac:dyDescent="0.2">
      <c r="A28" s="198" t="str">
        <f>"      "&amp;Labels!B317</f>
        <v xml:space="preserve">      Channels 1</v>
      </c>
      <c r="B28" s="226">
        <f t="shared" ref="B28:T28" si="9">SUM(B20,B24)</f>
        <v>0</v>
      </c>
      <c r="C28" s="226">
        <f t="shared" si="9"/>
        <v>0</v>
      </c>
      <c r="D28" s="226">
        <f t="shared" si="9"/>
        <v>0</v>
      </c>
      <c r="E28" s="226">
        <f t="shared" si="9"/>
        <v>0</v>
      </c>
      <c r="F28" s="226">
        <f t="shared" si="9"/>
        <v>0</v>
      </c>
      <c r="G28" s="226">
        <f t="shared" si="9"/>
        <v>0</v>
      </c>
      <c r="H28" s="226">
        <f t="shared" si="9"/>
        <v>0</v>
      </c>
      <c r="I28" s="226">
        <f t="shared" si="9"/>
        <v>0</v>
      </c>
      <c r="J28" s="226">
        <f t="shared" si="9"/>
        <v>0</v>
      </c>
      <c r="K28" s="226">
        <f t="shared" si="9"/>
        <v>0</v>
      </c>
      <c r="L28" s="226">
        <f t="shared" si="9"/>
        <v>0</v>
      </c>
      <c r="M28" s="226">
        <f t="shared" si="9"/>
        <v>0</v>
      </c>
      <c r="N28" s="226">
        <f t="shared" si="9"/>
        <v>0</v>
      </c>
      <c r="O28" s="226">
        <f t="shared" si="9"/>
        <v>0</v>
      </c>
      <c r="P28" s="226">
        <f t="shared" si="9"/>
        <v>0</v>
      </c>
      <c r="Q28" s="226">
        <f t="shared" si="9"/>
        <v>0</v>
      </c>
      <c r="R28" s="226">
        <f t="shared" si="9"/>
        <v>0</v>
      </c>
      <c r="S28" s="226">
        <f t="shared" si="9"/>
        <v>0</v>
      </c>
      <c r="T28" s="279">
        <f t="shared" si="9"/>
        <v>0</v>
      </c>
    </row>
    <row r="29" spans="1:20" ht="12.75" customHeight="1" x14ac:dyDescent="0.2">
      <c r="A29" s="198" t="str">
        <f>"      "&amp;Labels!B318</f>
        <v xml:space="preserve">      Channels 2</v>
      </c>
      <c r="B29" s="226">
        <f t="shared" ref="B29:T29" si="10">SUM(B21,B25)</f>
        <v>0</v>
      </c>
      <c r="C29" s="226">
        <f t="shared" si="10"/>
        <v>0</v>
      </c>
      <c r="D29" s="226">
        <f t="shared" si="10"/>
        <v>0</v>
      </c>
      <c r="E29" s="226">
        <f t="shared" si="10"/>
        <v>0</v>
      </c>
      <c r="F29" s="226">
        <f t="shared" si="10"/>
        <v>0</v>
      </c>
      <c r="G29" s="226">
        <f t="shared" si="10"/>
        <v>0</v>
      </c>
      <c r="H29" s="226">
        <f t="shared" si="10"/>
        <v>0</v>
      </c>
      <c r="I29" s="226">
        <f t="shared" si="10"/>
        <v>0</v>
      </c>
      <c r="J29" s="226">
        <f t="shared" si="10"/>
        <v>0</v>
      </c>
      <c r="K29" s="226">
        <f t="shared" si="10"/>
        <v>0</v>
      </c>
      <c r="L29" s="226">
        <f t="shared" si="10"/>
        <v>0</v>
      </c>
      <c r="M29" s="226">
        <f t="shared" si="10"/>
        <v>0</v>
      </c>
      <c r="N29" s="226">
        <f t="shared" si="10"/>
        <v>0</v>
      </c>
      <c r="O29" s="226">
        <f t="shared" si="10"/>
        <v>0</v>
      </c>
      <c r="P29" s="226">
        <f t="shared" si="10"/>
        <v>0</v>
      </c>
      <c r="Q29" s="226">
        <f t="shared" si="10"/>
        <v>0</v>
      </c>
      <c r="R29" s="226">
        <f t="shared" si="10"/>
        <v>0</v>
      </c>
      <c r="S29" s="226">
        <f t="shared" si="10"/>
        <v>0</v>
      </c>
      <c r="T29" s="279">
        <f t="shared" si="10"/>
        <v>0</v>
      </c>
    </row>
    <row r="30" spans="1:20" ht="12.75" customHeight="1" x14ac:dyDescent="0.2">
      <c r="A30" s="188" t="str">
        <f>"      "&amp;Labels!C316</f>
        <v xml:space="preserve">      Total</v>
      </c>
      <c r="B30" s="196">
        <f t="shared" ref="B30:T30" si="11">SUM(B22,B26)</f>
        <v>0</v>
      </c>
      <c r="C30" s="196">
        <f t="shared" si="11"/>
        <v>0</v>
      </c>
      <c r="D30" s="196">
        <f t="shared" si="11"/>
        <v>0</v>
      </c>
      <c r="E30" s="196">
        <f t="shared" si="11"/>
        <v>0</v>
      </c>
      <c r="F30" s="196">
        <f t="shared" si="11"/>
        <v>0</v>
      </c>
      <c r="G30" s="196">
        <f t="shared" si="11"/>
        <v>0</v>
      </c>
      <c r="H30" s="196">
        <f t="shared" si="11"/>
        <v>0</v>
      </c>
      <c r="I30" s="196">
        <f t="shared" si="11"/>
        <v>0</v>
      </c>
      <c r="J30" s="196">
        <f t="shared" si="11"/>
        <v>0</v>
      </c>
      <c r="K30" s="196">
        <f t="shared" si="11"/>
        <v>0</v>
      </c>
      <c r="L30" s="196">
        <f t="shared" si="11"/>
        <v>0</v>
      </c>
      <c r="M30" s="196">
        <f t="shared" si="11"/>
        <v>0</v>
      </c>
      <c r="N30" s="196">
        <f t="shared" si="11"/>
        <v>0</v>
      </c>
      <c r="O30" s="196">
        <f t="shared" si="11"/>
        <v>0</v>
      </c>
      <c r="P30" s="196">
        <f t="shared" si="11"/>
        <v>0</v>
      </c>
      <c r="Q30" s="196">
        <f t="shared" si="11"/>
        <v>0</v>
      </c>
      <c r="R30" s="196">
        <f t="shared" si="11"/>
        <v>0</v>
      </c>
      <c r="S30" s="196">
        <f t="shared" si="11"/>
        <v>0</v>
      </c>
      <c r="T30" s="267">
        <f t="shared" si="11"/>
        <v>0</v>
      </c>
    </row>
    <row r="31" spans="1:20" ht="12.75" customHeight="1" x14ac:dyDescent="0.2">
      <c r="A31" s="97" t="str">
        <f>Labels!C380</f>
        <v>Total</v>
      </c>
      <c r="B31" s="194">
        <f t="shared" ref="B31:T31" si="12">SUM(B14,B27)</f>
        <v>0</v>
      </c>
      <c r="C31" s="194">
        <f t="shared" si="12"/>
        <v>0</v>
      </c>
      <c r="D31" s="194">
        <f t="shared" si="12"/>
        <v>0</v>
      </c>
      <c r="E31" s="194">
        <f t="shared" si="12"/>
        <v>109112.90322580645</v>
      </c>
      <c r="F31" s="194">
        <f t="shared" si="12"/>
        <v>112750</v>
      </c>
      <c r="G31" s="194">
        <f t="shared" si="12"/>
        <v>0</v>
      </c>
      <c r="H31" s="194">
        <f t="shared" si="12"/>
        <v>82000</v>
      </c>
      <c r="I31" s="194">
        <f t="shared" si="12"/>
        <v>79354.838709677424</v>
      </c>
      <c r="J31" s="194">
        <f t="shared" si="12"/>
        <v>79354.838709677424</v>
      </c>
      <c r="K31" s="194">
        <f t="shared" si="12"/>
        <v>0</v>
      </c>
      <c r="L31" s="194">
        <f t="shared" si="12"/>
        <v>0</v>
      </c>
      <c r="M31" s="194">
        <f t="shared" si="12"/>
        <v>0</v>
      </c>
      <c r="N31" s="194">
        <f t="shared" si="12"/>
        <v>0</v>
      </c>
      <c r="O31" s="194">
        <f t="shared" si="12"/>
        <v>0</v>
      </c>
      <c r="P31" s="194">
        <f t="shared" si="12"/>
        <v>0</v>
      </c>
      <c r="Q31" s="194">
        <f t="shared" si="12"/>
        <v>0</v>
      </c>
      <c r="R31" s="194">
        <f t="shared" si="12"/>
        <v>0</v>
      </c>
      <c r="S31" s="194">
        <f t="shared" si="12"/>
        <v>0</v>
      </c>
      <c r="T31" s="351">
        <f t="shared" si="12"/>
        <v>0</v>
      </c>
    </row>
    <row r="32" spans="1:20" ht="12.75" customHeight="1" x14ac:dyDescent="0.2">
      <c r="A32" s="188" t="str">
        <f>"   "&amp;Labels!B385</f>
        <v xml:space="preserve">   Prof Level 1</v>
      </c>
      <c r="B32" s="196"/>
      <c r="C32" s="196"/>
      <c r="D32" s="196"/>
      <c r="E32" s="196"/>
      <c r="F32" s="196"/>
      <c r="G32" s="196"/>
      <c r="H32" s="196"/>
      <c r="I32" s="196"/>
      <c r="J32" s="196"/>
      <c r="K32" s="196"/>
      <c r="L32" s="196"/>
      <c r="M32" s="196"/>
      <c r="N32" s="196"/>
      <c r="O32" s="196"/>
      <c r="P32" s="196"/>
      <c r="Q32" s="196"/>
      <c r="R32" s="196"/>
      <c r="S32" s="196"/>
      <c r="T32" s="267"/>
    </row>
    <row r="33" spans="1:20" ht="12.75" customHeight="1" x14ac:dyDescent="0.2">
      <c r="A33" s="198" t="str">
        <f>"      "&amp;Labels!B317</f>
        <v xml:space="preserve">      Channels 1</v>
      </c>
      <c r="B33" s="226">
        <f t="shared" ref="B33:T33" si="13">SUM(B7,B20)</f>
        <v>0</v>
      </c>
      <c r="C33" s="226">
        <f t="shared" si="13"/>
        <v>0</v>
      </c>
      <c r="D33" s="226">
        <f t="shared" si="13"/>
        <v>0</v>
      </c>
      <c r="E33" s="226">
        <f t="shared" si="13"/>
        <v>27943.548387096776</v>
      </c>
      <c r="F33" s="226">
        <f t="shared" si="13"/>
        <v>28875</v>
      </c>
      <c r="G33" s="226">
        <f t="shared" si="13"/>
        <v>0</v>
      </c>
      <c r="H33" s="226">
        <f t="shared" si="13"/>
        <v>21000</v>
      </c>
      <c r="I33" s="226">
        <f t="shared" si="13"/>
        <v>20322.580645161292</v>
      </c>
      <c r="J33" s="226">
        <f t="shared" si="13"/>
        <v>20322.580645161292</v>
      </c>
      <c r="K33" s="226">
        <f t="shared" si="13"/>
        <v>0</v>
      </c>
      <c r="L33" s="226">
        <f t="shared" si="13"/>
        <v>0</v>
      </c>
      <c r="M33" s="226">
        <f t="shared" si="13"/>
        <v>0</v>
      </c>
      <c r="N33" s="226">
        <f t="shared" si="13"/>
        <v>0</v>
      </c>
      <c r="O33" s="226">
        <f t="shared" si="13"/>
        <v>0</v>
      </c>
      <c r="P33" s="226">
        <f t="shared" si="13"/>
        <v>0</v>
      </c>
      <c r="Q33" s="226">
        <f t="shared" si="13"/>
        <v>0</v>
      </c>
      <c r="R33" s="226">
        <f t="shared" si="13"/>
        <v>0</v>
      </c>
      <c r="S33" s="226">
        <f t="shared" si="13"/>
        <v>0</v>
      </c>
      <c r="T33" s="279">
        <f t="shared" si="13"/>
        <v>0</v>
      </c>
    </row>
    <row r="34" spans="1:20" ht="12.75" customHeight="1" x14ac:dyDescent="0.2">
      <c r="A34" s="198" t="str">
        <f>"      "&amp;Labels!B318</f>
        <v xml:space="preserve">      Channels 2</v>
      </c>
      <c r="B34" s="226">
        <f t="shared" ref="B34:T34" si="14">SUM(B8,B21)</f>
        <v>0</v>
      </c>
      <c r="C34" s="226">
        <f t="shared" si="14"/>
        <v>0</v>
      </c>
      <c r="D34" s="226">
        <f t="shared" si="14"/>
        <v>0</v>
      </c>
      <c r="E34" s="226">
        <f t="shared" si="14"/>
        <v>26612.903225806451</v>
      </c>
      <c r="F34" s="226">
        <f t="shared" si="14"/>
        <v>27500</v>
      </c>
      <c r="G34" s="226">
        <f t="shared" si="14"/>
        <v>0</v>
      </c>
      <c r="H34" s="226">
        <f t="shared" si="14"/>
        <v>20000</v>
      </c>
      <c r="I34" s="226">
        <f t="shared" si="14"/>
        <v>19354.83870967742</v>
      </c>
      <c r="J34" s="226">
        <f t="shared" si="14"/>
        <v>19354.83870967742</v>
      </c>
      <c r="K34" s="226">
        <f t="shared" si="14"/>
        <v>0</v>
      </c>
      <c r="L34" s="226">
        <f t="shared" si="14"/>
        <v>0</v>
      </c>
      <c r="M34" s="226">
        <f t="shared" si="14"/>
        <v>0</v>
      </c>
      <c r="N34" s="226">
        <f t="shared" si="14"/>
        <v>0</v>
      </c>
      <c r="O34" s="226">
        <f t="shared" si="14"/>
        <v>0</v>
      </c>
      <c r="P34" s="226">
        <f t="shared" si="14"/>
        <v>0</v>
      </c>
      <c r="Q34" s="226">
        <f t="shared" si="14"/>
        <v>0</v>
      </c>
      <c r="R34" s="226">
        <f t="shared" si="14"/>
        <v>0</v>
      </c>
      <c r="S34" s="226">
        <f t="shared" si="14"/>
        <v>0</v>
      </c>
      <c r="T34" s="279">
        <f t="shared" si="14"/>
        <v>0</v>
      </c>
    </row>
    <row r="35" spans="1:20" ht="12.75" customHeight="1" x14ac:dyDescent="0.2">
      <c r="A35" s="188" t="str">
        <f>"      "&amp;Labels!C316</f>
        <v xml:space="preserve">      Total</v>
      </c>
      <c r="B35" s="196">
        <f t="shared" ref="B35:T35" si="15">SUM(B9,B22)</f>
        <v>0</v>
      </c>
      <c r="C35" s="196">
        <f t="shared" si="15"/>
        <v>0</v>
      </c>
      <c r="D35" s="196">
        <f t="shared" si="15"/>
        <v>0</v>
      </c>
      <c r="E35" s="196">
        <f t="shared" si="15"/>
        <v>54556.451612903227</v>
      </c>
      <c r="F35" s="196">
        <f t="shared" si="15"/>
        <v>56375</v>
      </c>
      <c r="G35" s="196">
        <f t="shared" si="15"/>
        <v>0</v>
      </c>
      <c r="H35" s="196">
        <f t="shared" si="15"/>
        <v>41000</v>
      </c>
      <c r="I35" s="196">
        <f t="shared" si="15"/>
        <v>39677.419354838712</v>
      </c>
      <c r="J35" s="196">
        <f t="shared" si="15"/>
        <v>39677.419354838712</v>
      </c>
      <c r="K35" s="196">
        <f t="shared" si="15"/>
        <v>0</v>
      </c>
      <c r="L35" s="196">
        <f t="shared" si="15"/>
        <v>0</v>
      </c>
      <c r="M35" s="196">
        <f t="shared" si="15"/>
        <v>0</v>
      </c>
      <c r="N35" s="196">
        <f t="shared" si="15"/>
        <v>0</v>
      </c>
      <c r="O35" s="196">
        <f t="shared" si="15"/>
        <v>0</v>
      </c>
      <c r="P35" s="196">
        <f t="shared" si="15"/>
        <v>0</v>
      </c>
      <c r="Q35" s="196">
        <f t="shared" si="15"/>
        <v>0</v>
      </c>
      <c r="R35" s="196">
        <f t="shared" si="15"/>
        <v>0</v>
      </c>
      <c r="S35" s="196">
        <f t="shared" si="15"/>
        <v>0</v>
      </c>
      <c r="T35" s="267">
        <f t="shared" si="15"/>
        <v>0</v>
      </c>
    </row>
    <row r="36" spans="1:20" ht="12.75" customHeight="1" x14ac:dyDescent="0.2">
      <c r="A36" s="188" t="str">
        <f>"   "&amp;Labels!B386</f>
        <v xml:space="preserve">   Prof Level 2</v>
      </c>
      <c r="B36" s="196"/>
      <c r="C36" s="196"/>
      <c r="D36" s="196"/>
      <c r="E36" s="196"/>
      <c r="F36" s="196"/>
      <c r="G36" s="196"/>
      <c r="H36" s="196"/>
      <c r="I36" s="196"/>
      <c r="J36" s="196"/>
      <c r="K36" s="196"/>
      <c r="L36" s="196"/>
      <c r="M36" s="196"/>
      <c r="N36" s="196"/>
      <c r="O36" s="196"/>
      <c r="P36" s="196"/>
      <c r="Q36" s="196"/>
      <c r="R36" s="196"/>
      <c r="S36" s="196"/>
      <c r="T36" s="267"/>
    </row>
    <row r="37" spans="1:20" ht="12.75" customHeight="1" x14ac:dyDescent="0.2">
      <c r="A37" s="198" t="str">
        <f>"      "&amp;Labels!B317</f>
        <v xml:space="preserve">      Channels 1</v>
      </c>
      <c r="B37" s="226">
        <f t="shared" ref="B37:T37" si="16">SUM(B11,B24)</f>
        <v>0</v>
      </c>
      <c r="C37" s="226">
        <f t="shared" si="16"/>
        <v>0</v>
      </c>
      <c r="D37" s="226">
        <f t="shared" si="16"/>
        <v>0</v>
      </c>
      <c r="E37" s="226">
        <f t="shared" si="16"/>
        <v>27943.548387096776</v>
      </c>
      <c r="F37" s="226">
        <f t="shared" si="16"/>
        <v>28875</v>
      </c>
      <c r="G37" s="226">
        <f t="shared" si="16"/>
        <v>0</v>
      </c>
      <c r="H37" s="226">
        <f t="shared" si="16"/>
        <v>21000</v>
      </c>
      <c r="I37" s="226">
        <f t="shared" si="16"/>
        <v>20322.580645161292</v>
      </c>
      <c r="J37" s="226">
        <f t="shared" si="16"/>
        <v>20322.580645161292</v>
      </c>
      <c r="K37" s="226">
        <f t="shared" si="16"/>
        <v>0</v>
      </c>
      <c r="L37" s="226">
        <f t="shared" si="16"/>
        <v>0</v>
      </c>
      <c r="M37" s="226">
        <f t="shared" si="16"/>
        <v>0</v>
      </c>
      <c r="N37" s="226">
        <f t="shared" si="16"/>
        <v>0</v>
      </c>
      <c r="O37" s="226">
        <f t="shared" si="16"/>
        <v>0</v>
      </c>
      <c r="P37" s="226">
        <f t="shared" si="16"/>
        <v>0</v>
      </c>
      <c r="Q37" s="226">
        <f t="shared" si="16"/>
        <v>0</v>
      </c>
      <c r="R37" s="226">
        <f t="shared" si="16"/>
        <v>0</v>
      </c>
      <c r="S37" s="226">
        <f t="shared" si="16"/>
        <v>0</v>
      </c>
      <c r="T37" s="279">
        <f t="shared" si="16"/>
        <v>0</v>
      </c>
    </row>
    <row r="38" spans="1:20" ht="12.75" customHeight="1" x14ac:dyDescent="0.2">
      <c r="A38" s="198" t="str">
        <f>"      "&amp;Labels!B318</f>
        <v xml:space="preserve">      Channels 2</v>
      </c>
      <c r="B38" s="226">
        <f t="shared" ref="B38:T38" si="17">SUM(B12,B25)</f>
        <v>0</v>
      </c>
      <c r="C38" s="226">
        <f t="shared" si="17"/>
        <v>0</v>
      </c>
      <c r="D38" s="226">
        <f t="shared" si="17"/>
        <v>0</v>
      </c>
      <c r="E38" s="226">
        <f t="shared" si="17"/>
        <v>26612.903225806451</v>
      </c>
      <c r="F38" s="226">
        <f t="shared" si="17"/>
        <v>27500</v>
      </c>
      <c r="G38" s="226">
        <f t="shared" si="17"/>
        <v>0</v>
      </c>
      <c r="H38" s="226">
        <f t="shared" si="17"/>
        <v>20000</v>
      </c>
      <c r="I38" s="226">
        <f t="shared" si="17"/>
        <v>19354.83870967742</v>
      </c>
      <c r="J38" s="226">
        <f t="shared" si="17"/>
        <v>19354.83870967742</v>
      </c>
      <c r="K38" s="226">
        <f t="shared" si="17"/>
        <v>0</v>
      </c>
      <c r="L38" s="226">
        <f t="shared" si="17"/>
        <v>0</v>
      </c>
      <c r="M38" s="226">
        <f t="shared" si="17"/>
        <v>0</v>
      </c>
      <c r="N38" s="226">
        <f t="shared" si="17"/>
        <v>0</v>
      </c>
      <c r="O38" s="226">
        <f t="shared" si="17"/>
        <v>0</v>
      </c>
      <c r="P38" s="226">
        <f t="shared" si="17"/>
        <v>0</v>
      </c>
      <c r="Q38" s="226">
        <f t="shared" si="17"/>
        <v>0</v>
      </c>
      <c r="R38" s="226">
        <f t="shared" si="17"/>
        <v>0</v>
      </c>
      <c r="S38" s="226">
        <f t="shared" si="17"/>
        <v>0</v>
      </c>
      <c r="T38" s="279">
        <f t="shared" si="17"/>
        <v>0</v>
      </c>
    </row>
    <row r="39" spans="1:20" ht="12.75" customHeight="1" x14ac:dyDescent="0.2">
      <c r="A39" s="188" t="str">
        <f>"      "&amp;Labels!C316</f>
        <v xml:space="preserve">      Total</v>
      </c>
      <c r="B39" s="196">
        <f t="shared" ref="B39:T39" si="18">SUM(B13,B26)</f>
        <v>0</v>
      </c>
      <c r="C39" s="196">
        <f t="shared" si="18"/>
        <v>0</v>
      </c>
      <c r="D39" s="196">
        <f t="shared" si="18"/>
        <v>0</v>
      </c>
      <c r="E39" s="196">
        <f t="shared" si="18"/>
        <v>54556.451612903227</v>
      </c>
      <c r="F39" s="196">
        <f t="shared" si="18"/>
        <v>56375</v>
      </c>
      <c r="G39" s="196">
        <f t="shared" si="18"/>
        <v>0</v>
      </c>
      <c r="H39" s="196">
        <f t="shared" si="18"/>
        <v>41000</v>
      </c>
      <c r="I39" s="196">
        <f t="shared" si="18"/>
        <v>39677.419354838712</v>
      </c>
      <c r="J39" s="196">
        <f t="shared" si="18"/>
        <v>39677.419354838712</v>
      </c>
      <c r="K39" s="196">
        <f t="shared" si="18"/>
        <v>0</v>
      </c>
      <c r="L39" s="196">
        <f t="shared" si="18"/>
        <v>0</v>
      </c>
      <c r="M39" s="196">
        <f t="shared" si="18"/>
        <v>0</v>
      </c>
      <c r="N39" s="196">
        <f t="shared" si="18"/>
        <v>0</v>
      </c>
      <c r="O39" s="196">
        <f t="shared" si="18"/>
        <v>0</v>
      </c>
      <c r="P39" s="196">
        <f t="shared" si="18"/>
        <v>0</v>
      </c>
      <c r="Q39" s="196">
        <f t="shared" si="18"/>
        <v>0</v>
      </c>
      <c r="R39" s="196">
        <f t="shared" si="18"/>
        <v>0</v>
      </c>
      <c r="S39" s="196">
        <f t="shared" si="18"/>
        <v>0</v>
      </c>
      <c r="T39" s="267">
        <f t="shared" si="18"/>
        <v>0</v>
      </c>
    </row>
    <row r="40" spans="1:20" ht="12.75" customHeight="1" x14ac:dyDescent="0.2">
      <c r="A40" s="191" t="str">
        <f>"   "&amp;Labels!C384</f>
        <v xml:space="preserve">   Total</v>
      </c>
      <c r="B40" s="192">
        <f t="shared" ref="B40:T40" si="19">SUM(B14,B27)</f>
        <v>0</v>
      </c>
      <c r="C40" s="192">
        <f t="shared" si="19"/>
        <v>0</v>
      </c>
      <c r="D40" s="192">
        <f t="shared" si="19"/>
        <v>0</v>
      </c>
      <c r="E40" s="192">
        <f t="shared" si="19"/>
        <v>109112.90322580645</v>
      </c>
      <c r="F40" s="192">
        <f t="shared" si="19"/>
        <v>112750</v>
      </c>
      <c r="G40" s="192">
        <f t="shared" si="19"/>
        <v>0</v>
      </c>
      <c r="H40" s="192">
        <f t="shared" si="19"/>
        <v>82000</v>
      </c>
      <c r="I40" s="192">
        <f t="shared" si="19"/>
        <v>79354.838709677424</v>
      </c>
      <c r="J40" s="192">
        <f t="shared" si="19"/>
        <v>79354.838709677424</v>
      </c>
      <c r="K40" s="192">
        <f t="shared" si="19"/>
        <v>0</v>
      </c>
      <c r="L40" s="192">
        <f t="shared" si="19"/>
        <v>0</v>
      </c>
      <c r="M40" s="192">
        <f t="shared" si="19"/>
        <v>0</v>
      </c>
      <c r="N40" s="192">
        <f t="shared" si="19"/>
        <v>0</v>
      </c>
      <c r="O40" s="192">
        <f t="shared" si="19"/>
        <v>0</v>
      </c>
      <c r="P40" s="192">
        <f t="shared" si="19"/>
        <v>0</v>
      </c>
      <c r="Q40" s="192">
        <f t="shared" si="19"/>
        <v>0</v>
      </c>
      <c r="R40" s="192">
        <f t="shared" si="19"/>
        <v>0</v>
      </c>
      <c r="S40" s="192">
        <f t="shared" si="19"/>
        <v>0</v>
      </c>
      <c r="T40" s="280">
        <f t="shared" si="19"/>
        <v>0</v>
      </c>
    </row>
    <row r="41" spans="1:20" ht="12.75" customHeight="1" x14ac:dyDescent="0.2">
      <c r="A41" s="198" t="str">
        <f>"      "&amp;Labels!B317</f>
        <v xml:space="preserve">      Channels 1</v>
      </c>
      <c r="B41" s="226">
        <f t="shared" ref="B41:T41" si="20">SUM(B15,B28)</f>
        <v>0</v>
      </c>
      <c r="C41" s="226">
        <f t="shared" si="20"/>
        <v>0</v>
      </c>
      <c r="D41" s="226">
        <f t="shared" si="20"/>
        <v>0</v>
      </c>
      <c r="E41" s="226">
        <f t="shared" si="20"/>
        <v>55887.096774193553</v>
      </c>
      <c r="F41" s="226">
        <f t="shared" si="20"/>
        <v>57750</v>
      </c>
      <c r="G41" s="226">
        <f t="shared" si="20"/>
        <v>0</v>
      </c>
      <c r="H41" s="226">
        <f t="shared" si="20"/>
        <v>42000</v>
      </c>
      <c r="I41" s="226">
        <f t="shared" si="20"/>
        <v>40645.161290322583</v>
      </c>
      <c r="J41" s="226">
        <f t="shared" si="20"/>
        <v>40645.161290322583</v>
      </c>
      <c r="K41" s="226">
        <f t="shared" si="20"/>
        <v>0</v>
      </c>
      <c r="L41" s="226">
        <f t="shared" si="20"/>
        <v>0</v>
      </c>
      <c r="M41" s="226">
        <f t="shared" si="20"/>
        <v>0</v>
      </c>
      <c r="N41" s="226">
        <f t="shared" si="20"/>
        <v>0</v>
      </c>
      <c r="O41" s="226">
        <f t="shared" si="20"/>
        <v>0</v>
      </c>
      <c r="P41" s="226">
        <f t="shared" si="20"/>
        <v>0</v>
      </c>
      <c r="Q41" s="226">
        <f t="shared" si="20"/>
        <v>0</v>
      </c>
      <c r="R41" s="226">
        <f t="shared" si="20"/>
        <v>0</v>
      </c>
      <c r="S41" s="226">
        <f t="shared" si="20"/>
        <v>0</v>
      </c>
      <c r="T41" s="279">
        <f t="shared" si="20"/>
        <v>0</v>
      </c>
    </row>
    <row r="42" spans="1:20" ht="12.75" customHeight="1" x14ac:dyDescent="0.2">
      <c r="A42" s="198" t="str">
        <f>"      "&amp;Labels!B318</f>
        <v xml:space="preserve">      Channels 2</v>
      </c>
      <c r="B42" s="226">
        <f t="shared" ref="B42:T42" si="21">SUM(B16,B29)</f>
        <v>0</v>
      </c>
      <c r="C42" s="226">
        <f t="shared" si="21"/>
        <v>0</v>
      </c>
      <c r="D42" s="226">
        <f t="shared" si="21"/>
        <v>0</v>
      </c>
      <c r="E42" s="226">
        <f t="shared" si="21"/>
        <v>53225.806451612902</v>
      </c>
      <c r="F42" s="226">
        <f t="shared" si="21"/>
        <v>55000</v>
      </c>
      <c r="G42" s="226">
        <f t="shared" si="21"/>
        <v>0</v>
      </c>
      <c r="H42" s="226">
        <f t="shared" si="21"/>
        <v>40000</v>
      </c>
      <c r="I42" s="226">
        <f t="shared" si="21"/>
        <v>38709.677419354841</v>
      </c>
      <c r="J42" s="226">
        <f t="shared" si="21"/>
        <v>38709.677419354841</v>
      </c>
      <c r="K42" s="226">
        <f t="shared" si="21"/>
        <v>0</v>
      </c>
      <c r="L42" s="226">
        <f t="shared" si="21"/>
        <v>0</v>
      </c>
      <c r="M42" s="226">
        <f t="shared" si="21"/>
        <v>0</v>
      </c>
      <c r="N42" s="226">
        <f t="shared" si="21"/>
        <v>0</v>
      </c>
      <c r="O42" s="226">
        <f t="shared" si="21"/>
        <v>0</v>
      </c>
      <c r="P42" s="226">
        <f t="shared" si="21"/>
        <v>0</v>
      </c>
      <c r="Q42" s="226">
        <f t="shared" si="21"/>
        <v>0</v>
      </c>
      <c r="R42" s="226">
        <f t="shared" si="21"/>
        <v>0</v>
      </c>
      <c r="S42" s="226">
        <f t="shared" si="21"/>
        <v>0</v>
      </c>
      <c r="T42" s="279">
        <f t="shared" si="21"/>
        <v>0</v>
      </c>
    </row>
    <row r="43" spans="1:20" ht="12.75" customHeight="1" x14ac:dyDescent="0.2">
      <c r="A43" s="220" t="str">
        <f>"      "&amp;Labels!C316</f>
        <v xml:space="preserve">      Total</v>
      </c>
      <c r="B43" s="228">
        <f t="shared" ref="B43:T43" si="22">SUM(B14,B27)</f>
        <v>0</v>
      </c>
      <c r="C43" s="228">
        <f t="shared" si="22"/>
        <v>0</v>
      </c>
      <c r="D43" s="228">
        <f t="shared" si="22"/>
        <v>0</v>
      </c>
      <c r="E43" s="228">
        <f t="shared" si="22"/>
        <v>109112.90322580645</v>
      </c>
      <c r="F43" s="228">
        <f t="shared" si="22"/>
        <v>112750</v>
      </c>
      <c r="G43" s="228">
        <f t="shared" si="22"/>
        <v>0</v>
      </c>
      <c r="H43" s="228">
        <f t="shared" si="22"/>
        <v>82000</v>
      </c>
      <c r="I43" s="228">
        <f t="shared" si="22"/>
        <v>79354.838709677424</v>
      </c>
      <c r="J43" s="228">
        <f t="shared" si="22"/>
        <v>79354.838709677424</v>
      </c>
      <c r="K43" s="228">
        <f t="shared" si="22"/>
        <v>0</v>
      </c>
      <c r="L43" s="228">
        <f t="shared" si="22"/>
        <v>0</v>
      </c>
      <c r="M43" s="228">
        <f t="shared" si="22"/>
        <v>0</v>
      </c>
      <c r="N43" s="228">
        <f t="shared" si="22"/>
        <v>0</v>
      </c>
      <c r="O43" s="228">
        <f t="shared" si="22"/>
        <v>0</v>
      </c>
      <c r="P43" s="228">
        <f t="shared" si="22"/>
        <v>0</v>
      </c>
      <c r="Q43" s="228">
        <f t="shared" si="22"/>
        <v>0</v>
      </c>
      <c r="R43" s="228">
        <f t="shared" si="22"/>
        <v>0</v>
      </c>
      <c r="S43" s="228">
        <f t="shared" si="22"/>
        <v>0</v>
      </c>
      <c r="T43" s="281">
        <f t="shared" si="22"/>
        <v>0</v>
      </c>
    </row>
    <row r="44" spans="1:20" ht="12.75" customHeight="1" x14ac:dyDescent="0.2">
      <c r="A44" s="1" t="str">
        <f>"Sup_Staff_Rel_Exp_1"</f>
        <v>Sup_Staff_Rel_Exp_1</v>
      </c>
    </row>
    <row r="45" spans="1:20" ht="12.75" customHeight="1" x14ac:dyDescent="0.2">
      <c r="B45" s="9" t="str">
        <f>'(FnCalls 1)'!F41</f>
        <v>MMM 2010</v>
      </c>
      <c r="C45" s="10" t="str">
        <f>'(FnCalls 1)'!F42</f>
        <v>MMM 2010</v>
      </c>
      <c r="D45" s="10" t="str">
        <f>'(FnCalls 1)'!F43</f>
        <v>MMM 2010</v>
      </c>
      <c r="E45" s="10" t="str">
        <f>'(FnCalls 1)'!F44</f>
        <v>MMM 2010</v>
      </c>
      <c r="F45" s="10" t="str">
        <f>'(FnCalls 1)'!F45</f>
        <v>MMM 2010</v>
      </c>
      <c r="G45" s="10" t="str">
        <f>'(FnCalls 1)'!F46</f>
        <v>MMM 2010</v>
      </c>
      <c r="H45" s="10" t="str">
        <f>'(FnCalls 1)'!F47</f>
        <v>MMM 2010</v>
      </c>
      <c r="I45" s="10" t="str">
        <f>'(FnCalls 1)'!F48</f>
        <v>MMM 2010</v>
      </c>
      <c r="J45" s="10" t="str">
        <f>'(FnCalls 1)'!F49</f>
        <v>MMM 2010</v>
      </c>
      <c r="K45" s="10" t="str">
        <f>'(FnCalls 1)'!F50</f>
        <v>MMM 2010</v>
      </c>
      <c r="L45" s="10" t="str">
        <f>'(FnCalls 1)'!F51</f>
        <v>MMM 2010</v>
      </c>
      <c r="M45" s="10" t="str">
        <f>'(FnCalls 1)'!F52</f>
        <v>MMM 2010</v>
      </c>
      <c r="N45" s="10" t="str">
        <f>'(FnCalls 1)'!F53</f>
        <v>MMM 2011</v>
      </c>
      <c r="O45" s="10" t="str">
        <f>'(FnCalls 1)'!F54</f>
        <v>MMM 2011</v>
      </c>
      <c r="P45" s="10" t="str">
        <f>'(FnCalls 1)'!F55</f>
        <v>MMM 2011</v>
      </c>
      <c r="Q45" s="10" t="str">
        <f>'(FnCalls 1)'!F56</f>
        <v>MMM 2011</v>
      </c>
      <c r="R45" s="10" t="str">
        <f>'(FnCalls 1)'!F57</f>
        <v>MMM 2011</v>
      </c>
      <c r="S45" s="11" t="str">
        <f>'(FnCalls 1)'!F58</f>
        <v>MMM 2011</v>
      </c>
    </row>
    <row r="46" spans="1:20" ht="12.75" customHeight="1" x14ac:dyDescent="0.2">
      <c r="A46" s="182" t="str">
        <f>Labels!B321</f>
        <v>Marketing</v>
      </c>
      <c r="B46" s="183"/>
      <c r="C46" s="183"/>
      <c r="D46" s="183"/>
      <c r="E46" s="183"/>
      <c r="F46" s="183"/>
      <c r="G46" s="183"/>
      <c r="H46" s="183"/>
      <c r="I46" s="183"/>
      <c r="J46" s="183"/>
      <c r="K46" s="183"/>
      <c r="L46" s="183"/>
      <c r="M46" s="183"/>
      <c r="N46" s="183"/>
      <c r="O46" s="183"/>
      <c r="P46" s="183"/>
      <c r="Q46" s="183"/>
      <c r="R46" s="183"/>
      <c r="S46" s="266"/>
    </row>
    <row r="47" spans="1:20" ht="12.75" customHeight="1" x14ac:dyDescent="0.2">
      <c r="A47" s="188" t="str">
        <f>"   "&amp;Labels!B330</f>
        <v xml:space="preserve">   Supplies</v>
      </c>
      <c r="B47" s="196"/>
      <c r="C47" s="196"/>
      <c r="D47" s="196"/>
      <c r="E47" s="196"/>
      <c r="F47" s="196"/>
      <c r="G47" s="196"/>
      <c r="H47" s="196"/>
      <c r="I47" s="196"/>
      <c r="J47" s="196"/>
      <c r="K47" s="196"/>
      <c r="L47" s="196"/>
      <c r="M47" s="196"/>
      <c r="N47" s="196"/>
      <c r="O47" s="196"/>
      <c r="P47" s="196"/>
      <c r="Q47" s="196"/>
      <c r="R47" s="196"/>
      <c r="S47" s="267"/>
    </row>
    <row r="48" spans="1:20" ht="12.75" customHeight="1" x14ac:dyDescent="0.2">
      <c r="A48" s="198" t="str">
        <f>"      "&amp;Labels!B393</f>
        <v xml:space="preserve">      Manager</v>
      </c>
      <c r="B48" s="226">
        <f>Inputs!F326*'Sup Staff'!B23/12</f>
        <v>0</v>
      </c>
      <c r="C48" s="226">
        <f>Inputs!G326*'Sup Staff'!C23/12</f>
        <v>0</v>
      </c>
      <c r="D48" s="226">
        <f>Inputs!H326*'Sup Staff'!D23/12</f>
        <v>0</v>
      </c>
      <c r="E48" s="226">
        <f>Inputs!I326*'Sup Staff'!F23/12</f>
        <v>0</v>
      </c>
      <c r="F48" s="226">
        <f>Inputs!J326*'Sup Staff'!G23/12</f>
        <v>0</v>
      </c>
      <c r="G48" s="226">
        <f>Inputs!K326*'Sup Staff'!H23/12</f>
        <v>0</v>
      </c>
      <c r="H48" s="226">
        <f>Inputs!L326*'Sup Staff'!J23/12</f>
        <v>0</v>
      </c>
      <c r="I48" s="226">
        <f>Inputs!M326*'Sup Staff'!K23/12</f>
        <v>0</v>
      </c>
      <c r="J48" s="226">
        <f>Inputs!N326*'Sup Staff'!L23/12</f>
        <v>0</v>
      </c>
      <c r="K48" s="226">
        <f>Inputs!O326*'Sup Staff'!N23/12</f>
        <v>0</v>
      </c>
      <c r="L48" s="226">
        <f>Inputs!P326*'Sup Staff'!O23/12</f>
        <v>0</v>
      </c>
      <c r="M48" s="226">
        <f>Inputs!Q326*'Sup Staff'!P23/12</f>
        <v>0</v>
      </c>
      <c r="N48" s="226">
        <f>Inputs!R326*'Sup Staff'!R23/12</f>
        <v>0</v>
      </c>
      <c r="O48" s="226">
        <f>Inputs!S326*'Sup Staff'!S23/12</f>
        <v>0</v>
      </c>
      <c r="P48" s="226">
        <f>Inputs!T326*'Sup Staff'!T23/12</f>
        <v>0</v>
      </c>
      <c r="Q48" s="226">
        <f>Inputs!U326*'Sup Staff'!V23/12</f>
        <v>0</v>
      </c>
      <c r="R48" s="226">
        <f>Inputs!V326*'Sup Staff'!W23/12</f>
        <v>0</v>
      </c>
      <c r="S48" s="279">
        <f>Inputs!W326*'Sup Staff'!X23/12</f>
        <v>0</v>
      </c>
    </row>
    <row r="49" spans="1:19" ht="12.75" customHeight="1" x14ac:dyDescent="0.2">
      <c r="A49" s="198" t="str">
        <f>"      "&amp;Labels!B394</f>
        <v xml:space="preserve">      Contributor</v>
      </c>
      <c r="B49" s="226">
        <f>Inputs!F326*'Sup Staff'!B24/12</f>
        <v>0</v>
      </c>
      <c r="C49" s="226">
        <f>Inputs!G326*'Sup Staff'!C24/12</f>
        <v>0</v>
      </c>
      <c r="D49" s="226">
        <f>Inputs!H326*'Sup Staff'!D24/12</f>
        <v>0</v>
      </c>
      <c r="E49" s="226">
        <f>Inputs!I326*'Sup Staff'!F24/12</f>
        <v>0</v>
      </c>
      <c r="F49" s="226">
        <f>Inputs!J326*'Sup Staff'!G24/12</f>
        <v>0</v>
      </c>
      <c r="G49" s="226">
        <f>Inputs!K326*'Sup Staff'!H24/12</f>
        <v>0</v>
      </c>
      <c r="H49" s="226">
        <f>Inputs!L326*'Sup Staff'!J24/12</f>
        <v>0</v>
      </c>
      <c r="I49" s="226">
        <f>Inputs!M326*'Sup Staff'!K24/12</f>
        <v>0</v>
      </c>
      <c r="J49" s="226">
        <f>Inputs!N326*'Sup Staff'!L24/12</f>
        <v>0</v>
      </c>
      <c r="K49" s="226">
        <f>Inputs!O326*'Sup Staff'!N24/12</f>
        <v>0</v>
      </c>
      <c r="L49" s="226">
        <f>Inputs!P326*'Sup Staff'!O24/12</f>
        <v>0</v>
      </c>
      <c r="M49" s="226">
        <f>Inputs!Q326*'Sup Staff'!P24/12</f>
        <v>0</v>
      </c>
      <c r="N49" s="226">
        <f>Inputs!R326*'Sup Staff'!R24/12</f>
        <v>0</v>
      </c>
      <c r="O49" s="226">
        <f>Inputs!S326*'Sup Staff'!S24/12</f>
        <v>0</v>
      </c>
      <c r="P49" s="226">
        <f>Inputs!T326*'Sup Staff'!T24/12</f>
        <v>0</v>
      </c>
      <c r="Q49" s="226">
        <f>Inputs!U326*'Sup Staff'!V24/12</f>
        <v>0</v>
      </c>
      <c r="R49" s="226">
        <f>Inputs!V326*'Sup Staff'!W24/12</f>
        <v>0</v>
      </c>
      <c r="S49" s="279">
        <f>Inputs!W326*'Sup Staff'!X24/12</f>
        <v>0</v>
      </c>
    </row>
    <row r="50" spans="1:19" ht="12.75" customHeight="1" x14ac:dyDescent="0.2">
      <c r="A50" s="188" t="str">
        <f>"      "&amp;Labels!C392</f>
        <v xml:space="preserve">      Total</v>
      </c>
      <c r="B50" s="196">
        <f t="shared" ref="B50:S50" si="23">SUM(B48:B49)</f>
        <v>0</v>
      </c>
      <c r="C50" s="196">
        <f t="shared" si="23"/>
        <v>0</v>
      </c>
      <c r="D50" s="196">
        <f t="shared" si="23"/>
        <v>0</v>
      </c>
      <c r="E50" s="196">
        <f t="shared" si="23"/>
        <v>0</v>
      </c>
      <c r="F50" s="196">
        <f t="shared" si="23"/>
        <v>0</v>
      </c>
      <c r="G50" s="196">
        <f t="shared" si="23"/>
        <v>0</v>
      </c>
      <c r="H50" s="196">
        <f t="shared" si="23"/>
        <v>0</v>
      </c>
      <c r="I50" s="196">
        <f t="shared" si="23"/>
        <v>0</v>
      </c>
      <c r="J50" s="196">
        <f t="shared" si="23"/>
        <v>0</v>
      </c>
      <c r="K50" s="196">
        <f t="shared" si="23"/>
        <v>0</v>
      </c>
      <c r="L50" s="196">
        <f t="shared" si="23"/>
        <v>0</v>
      </c>
      <c r="M50" s="196">
        <f t="shared" si="23"/>
        <v>0</v>
      </c>
      <c r="N50" s="196">
        <f t="shared" si="23"/>
        <v>0</v>
      </c>
      <c r="O50" s="196">
        <f t="shared" si="23"/>
        <v>0</v>
      </c>
      <c r="P50" s="196">
        <f t="shared" si="23"/>
        <v>0</v>
      </c>
      <c r="Q50" s="196">
        <f t="shared" si="23"/>
        <v>0</v>
      </c>
      <c r="R50" s="196">
        <f t="shared" si="23"/>
        <v>0</v>
      </c>
      <c r="S50" s="267">
        <f t="shared" si="23"/>
        <v>0</v>
      </c>
    </row>
    <row r="51" spans="1:19" ht="12.75" customHeight="1" x14ac:dyDescent="0.2">
      <c r="A51" s="188" t="str">
        <f>"   "&amp;Labels!B331</f>
        <v xml:space="preserve">   Travel Entertain</v>
      </c>
      <c r="B51" s="196"/>
      <c r="C51" s="196"/>
      <c r="D51" s="196"/>
      <c r="E51" s="196"/>
      <c r="F51" s="196"/>
      <c r="G51" s="196"/>
      <c r="H51" s="196"/>
      <c r="I51" s="196"/>
      <c r="J51" s="196"/>
      <c r="K51" s="196"/>
      <c r="L51" s="196"/>
      <c r="M51" s="196"/>
      <c r="N51" s="196"/>
      <c r="O51" s="196"/>
      <c r="P51" s="196"/>
      <c r="Q51" s="196"/>
      <c r="R51" s="196"/>
      <c r="S51" s="267"/>
    </row>
    <row r="52" spans="1:19" ht="12.75" customHeight="1" x14ac:dyDescent="0.2">
      <c r="A52" s="198" t="str">
        <f>"      "&amp;Labels!B393</f>
        <v xml:space="preserve">      Manager</v>
      </c>
      <c r="B52" s="226">
        <f>Inputs!F327*'Sup Staff'!B23/12</f>
        <v>0</v>
      </c>
      <c r="C52" s="226">
        <f>Inputs!G327*'Sup Staff'!C23/12</f>
        <v>0</v>
      </c>
      <c r="D52" s="226">
        <f>Inputs!H327*'Sup Staff'!D23/12</f>
        <v>0</v>
      </c>
      <c r="E52" s="226">
        <f>Inputs!I327*'Sup Staff'!F23/12</f>
        <v>0</v>
      </c>
      <c r="F52" s="226">
        <f>Inputs!J327*'Sup Staff'!G23/12</f>
        <v>0</v>
      </c>
      <c r="G52" s="226">
        <f>Inputs!K327*'Sup Staff'!H23/12</f>
        <v>0</v>
      </c>
      <c r="H52" s="226">
        <f>Inputs!L327*'Sup Staff'!J23/12</f>
        <v>0</v>
      </c>
      <c r="I52" s="226">
        <f>Inputs!M327*'Sup Staff'!K23/12</f>
        <v>0</v>
      </c>
      <c r="J52" s="226">
        <f>Inputs!N327*'Sup Staff'!L23/12</f>
        <v>0</v>
      </c>
      <c r="K52" s="226">
        <f>Inputs!O327*'Sup Staff'!N23/12</f>
        <v>0</v>
      </c>
      <c r="L52" s="226">
        <f>Inputs!P327*'Sup Staff'!O23/12</f>
        <v>0</v>
      </c>
      <c r="M52" s="226">
        <f>Inputs!Q327*'Sup Staff'!P23/12</f>
        <v>0</v>
      </c>
      <c r="N52" s="226">
        <f>Inputs!R327*'Sup Staff'!R23/12</f>
        <v>0</v>
      </c>
      <c r="O52" s="226">
        <f>Inputs!S327*'Sup Staff'!S23/12</f>
        <v>0</v>
      </c>
      <c r="P52" s="226">
        <f>Inputs!T327*'Sup Staff'!T23/12</f>
        <v>0</v>
      </c>
      <c r="Q52" s="226">
        <f>Inputs!U327*'Sup Staff'!V23/12</f>
        <v>0</v>
      </c>
      <c r="R52" s="226">
        <f>Inputs!V327*'Sup Staff'!W23/12</f>
        <v>0</v>
      </c>
      <c r="S52" s="279">
        <f>Inputs!W327*'Sup Staff'!X23/12</f>
        <v>0</v>
      </c>
    </row>
    <row r="53" spans="1:19" ht="12.75" customHeight="1" x14ac:dyDescent="0.2">
      <c r="A53" s="198" t="str">
        <f>"      "&amp;Labels!B394</f>
        <v xml:space="preserve">      Contributor</v>
      </c>
      <c r="B53" s="226">
        <f>Inputs!F327*'Sup Staff'!B24/12</f>
        <v>0</v>
      </c>
      <c r="C53" s="226">
        <f>Inputs!G327*'Sup Staff'!C24/12</f>
        <v>0</v>
      </c>
      <c r="D53" s="226">
        <f>Inputs!H327*'Sup Staff'!D24/12</f>
        <v>0</v>
      </c>
      <c r="E53" s="226">
        <f>Inputs!I327*'Sup Staff'!F24/12</f>
        <v>0</v>
      </c>
      <c r="F53" s="226">
        <f>Inputs!J327*'Sup Staff'!G24/12</f>
        <v>0</v>
      </c>
      <c r="G53" s="226">
        <f>Inputs!K327*'Sup Staff'!H24/12</f>
        <v>0</v>
      </c>
      <c r="H53" s="226">
        <f>Inputs!L327*'Sup Staff'!J24/12</f>
        <v>0</v>
      </c>
      <c r="I53" s="226">
        <f>Inputs!M327*'Sup Staff'!K24/12</f>
        <v>0</v>
      </c>
      <c r="J53" s="226">
        <f>Inputs!N327*'Sup Staff'!L24/12</f>
        <v>0</v>
      </c>
      <c r="K53" s="226">
        <f>Inputs!O327*'Sup Staff'!N24/12</f>
        <v>0</v>
      </c>
      <c r="L53" s="226">
        <f>Inputs!P327*'Sup Staff'!O24/12</f>
        <v>0</v>
      </c>
      <c r="M53" s="226">
        <f>Inputs!Q327*'Sup Staff'!P24/12</f>
        <v>0</v>
      </c>
      <c r="N53" s="226">
        <f>Inputs!R327*'Sup Staff'!R24/12</f>
        <v>0</v>
      </c>
      <c r="O53" s="226">
        <f>Inputs!S327*'Sup Staff'!S24/12</f>
        <v>0</v>
      </c>
      <c r="P53" s="226">
        <f>Inputs!T327*'Sup Staff'!T24/12</f>
        <v>0</v>
      </c>
      <c r="Q53" s="226">
        <f>Inputs!U327*'Sup Staff'!V24/12</f>
        <v>0</v>
      </c>
      <c r="R53" s="226">
        <f>Inputs!V327*'Sup Staff'!W24/12</f>
        <v>0</v>
      </c>
      <c r="S53" s="279">
        <f>Inputs!W327*'Sup Staff'!X24/12</f>
        <v>0</v>
      </c>
    </row>
    <row r="54" spans="1:19" ht="12.75" customHeight="1" x14ac:dyDescent="0.2">
      <c r="A54" s="188" t="str">
        <f>"      "&amp;Labels!C392</f>
        <v xml:space="preserve">      Total</v>
      </c>
      <c r="B54" s="196">
        <f t="shared" ref="B54:S54" si="24">SUM(B52:B53)</f>
        <v>0</v>
      </c>
      <c r="C54" s="196">
        <f t="shared" si="24"/>
        <v>0</v>
      </c>
      <c r="D54" s="196">
        <f t="shared" si="24"/>
        <v>0</v>
      </c>
      <c r="E54" s="196">
        <f t="shared" si="24"/>
        <v>0</v>
      </c>
      <c r="F54" s="196">
        <f t="shared" si="24"/>
        <v>0</v>
      </c>
      <c r="G54" s="196">
        <f t="shared" si="24"/>
        <v>0</v>
      </c>
      <c r="H54" s="196">
        <f t="shared" si="24"/>
        <v>0</v>
      </c>
      <c r="I54" s="196">
        <f t="shared" si="24"/>
        <v>0</v>
      </c>
      <c r="J54" s="196">
        <f t="shared" si="24"/>
        <v>0</v>
      </c>
      <c r="K54" s="196">
        <f t="shared" si="24"/>
        <v>0</v>
      </c>
      <c r="L54" s="196">
        <f t="shared" si="24"/>
        <v>0</v>
      </c>
      <c r="M54" s="196">
        <f t="shared" si="24"/>
        <v>0</v>
      </c>
      <c r="N54" s="196">
        <f t="shared" si="24"/>
        <v>0</v>
      </c>
      <c r="O54" s="196">
        <f t="shared" si="24"/>
        <v>0</v>
      </c>
      <c r="P54" s="196">
        <f t="shared" si="24"/>
        <v>0</v>
      </c>
      <c r="Q54" s="196">
        <f t="shared" si="24"/>
        <v>0</v>
      </c>
      <c r="R54" s="196">
        <f t="shared" si="24"/>
        <v>0</v>
      </c>
      <c r="S54" s="267">
        <f t="shared" si="24"/>
        <v>0</v>
      </c>
    </row>
    <row r="55" spans="1:19" ht="12.75" customHeight="1" x14ac:dyDescent="0.2">
      <c r="A55" s="188" t="str">
        <f>"   "&amp;Labels!B332</f>
        <v xml:space="preserve">   Other</v>
      </c>
      <c r="B55" s="196"/>
      <c r="C55" s="196"/>
      <c r="D55" s="196"/>
      <c r="E55" s="196"/>
      <c r="F55" s="196"/>
      <c r="G55" s="196"/>
      <c r="H55" s="196"/>
      <c r="I55" s="196"/>
      <c r="J55" s="196"/>
      <c r="K55" s="196"/>
      <c r="L55" s="196"/>
      <c r="M55" s="196"/>
      <c r="N55" s="196"/>
      <c r="O55" s="196"/>
      <c r="P55" s="196"/>
      <c r="Q55" s="196"/>
      <c r="R55" s="196"/>
      <c r="S55" s="267"/>
    </row>
    <row r="56" spans="1:19" ht="12.75" customHeight="1" x14ac:dyDescent="0.2">
      <c r="A56" s="198" t="str">
        <f>"      "&amp;Labels!B393</f>
        <v xml:space="preserve">      Manager</v>
      </c>
      <c r="B56" s="226">
        <f>Inputs!F328*'Sup Staff'!B23/12</f>
        <v>0</v>
      </c>
      <c r="C56" s="226">
        <f>Inputs!G328*'Sup Staff'!C23/12</f>
        <v>0</v>
      </c>
      <c r="D56" s="226">
        <f>Inputs!H328*'Sup Staff'!D23/12</f>
        <v>0</v>
      </c>
      <c r="E56" s="226">
        <f>Inputs!I328*'Sup Staff'!F23/12</f>
        <v>0</v>
      </c>
      <c r="F56" s="226">
        <f>Inputs!J328*'Sup Staff'!G23/12</f>
        <v>0</v>
      </c>
      <c r="G56" s="226">
        <f>Inputs!K328*'Sup Staff'!H23/12</f>
        <v>0</v>
      </c>
      <c r="H56" s="226">
        <f>Inputs!L328*'Sup Staff'!J23/12</f>
        <v>0</v>
      </c>
      <c r="I56" s="226">
        <f>Inputs!M328*'Sup Staff'!K23/12</f>
        <v>0</v>
      </c>
      <c r="J56" s="226">
        <f>Inputs!N328*'Sup Staff'!L23/12</f>
        <v>0</v>
      </c>
      <c r="K56" s="226">
        <f>Inputs!O328*'Sup Staff'!N23/12</f>
        <v>0</v>
      </c>
      <c r="L56" s="226">
        <f>Inputs!P328*'Sup Staff'!O23/12</f>
        <v>0</v>
      </c>
      <c r="M56" s="226">
        <f>Inputs!Q328*'Sup Staff'!P23/12</f>
        <v>0</v>
      </c>
      <c r="N56" s="226">
        <f>Inputs!R328*'Sup Staff'!R23/12</f>
        <v>0</v>
      </c>
      <c r="O56" s="226">
        <f>Inputs!S328*'Sup Staff'!S23/12</f>
        <v>0</v>
      </c>
      <c r="P56" s="226">
        <f>Inputs!T328*'Sup Staff'!T23/12</f>
        <v>0</v>
      </c>
      <c r="Q56" s="226">
        <f>Inputs!U328*'Sup Staff'!V23/12</f>
        <v>0</v>
      </c>
      <c r="R56" s="226">
        <f>Inputs!V328*'Sup Staff'!W23/12</f>
        <v>0</v>
      </c>
      <c r="S56" s="279">
        <f>Inputs!W328*'Sup Staff'!X23/12</f>
        <v>0</v>
      </c>
    </row>
    <row r="57" spans="1:19" ht="12.75" customHeight="1" x14ac:dyDescent="0.2">
      <c r="A57" s="198" t="str">
        <f>"      "&amp;Labels!B394</f>
        <v xml:space="preserve">      Contributor</v>
      </c>
      <c r="B57" s="226">
        <f>Inputs!F328*'Sup Staff'!B24/12</f>
        <v>0</v>
      </c>
      <c r="C57" s="226">
        <f>Inputs!G328*'Sup Staff'!C24/12</f>
        <v>0</v>
      </c>
      <c r="D57" s="226">
        <f>Inputs!H328*'Sup Staff'!D24/12</f>
        <v>0</v>
      </c>
      <c r="E57" s="226">
        <f>Inputs!I328*'Sup Staff'!F24/12</f>
        <v>0</v>
      </c>
      <c r="F57" s="226">
        <f>Inputs!J328*'Sup Staff'!G24/12</f>
        <v>0</v>
      </c>
      <c r="G57" s="226">
        <f>Inputs!K328*'Sup Staff'!H24/12</f>
        <v>0</v>
      </c>
      <c r="H57" s="226">
        <f>Inputs!L328*'Sup Staff'!J24/12</f>
        <v>0</v>
      </c>
      <c r="I57" s="226">
        <f>Inputs!M328*'Sup Staff'!K24/12</f>
        <v>0</v>
      </c>
      <c r="J57" s="226">
        <f>Inputs!N328*'Sup Staff'!L24/12</f>
        <v>0</v>
      </c>
      <c r="K57" s="226">
        <f>Inputs!O328*'Sup Staff'!N24/12</f>
        <v>0</v>
      </c>
      <c r="L57" s="226">
        <f>Inputs!P328*'Sup Staff'!O24/12</f>
        <v>0</v>
      </c>
      <c r="M57" s="226">
        <f>Inputs!Q328*'Sup Staff'!P24/12</f>
        <v>0</v>
      </c>
      <c r="N57" s="226">
        <f>Inputs!R328*'Sup Staff'!R24/12</f>
        <v>0</v>
      </c>
      <c r="O57" s="226">
        <f>Inputs!S328*'Sup Staff'!S24/12</f>
        <v>0</v>
      </c>
      <c r="P57" s="226">
        <f>Inputs!T328*'Sup Staff'!T24/12</f>
        <v>0</v>
      </c>
      <c r="Q57" s="226">
        <f>Inputs!U328*'Sup Staff'!V24/12</f>
        <v>0</v>
      </c>
      <c r="R57" s="226">
        <f>Inputs!V328*'Sup Staff'!W24/12</f>
        <v>0</v>
      </c>
      <c r="S57" s="279">
        <f>Inputs!W328*'Sup Staff'!X24/12</f>
        <v>0</v>
      </c>
    </row>
    <row r="58" spans="1:19" ht="12.75" customHeight="1" x14ac:dyDescent="0.2">
      <c r="A58" s="188" t="str">
        <f>"      "&amp;Labels!C392</f>
        <v xml:space="preserve">      Total</v>
      </c>
      <c r="B58" s="196">
        <f t="shared" ref="B58:S58" si="25">SUM(B56:B57)</f>
        <v>0</v>
      </c>
      <c r="C58" s="196">
        <f t="shared" si="25"/>
        <v>0</v>
      </c>
      <c r="D58" s="196">
        <f t="shared" si="25"/>
        <v>0</v>
      </c>
      <c r="E58" s="196">
        <f t="shared" si="25"/>
        <v>0</v>
      </c>
      <c r="F58" s="196">
        <f t="shared" si="25"/>
        <v>0</v>
      </c>
      <c r="G58" s="196">
        <f t="shared" si="25"/>
        <v>0</v>
      </c>
      <c r="H58" s="196">
        <f t="shared" si="25"/>
        <v>0</v>
      </c>
      <c r="I58" s="196">
        <f t="shared" si="25"/>
        <v>0</v>
      </c>
      <c r="J58" s="196">
        <f t="shared" si="25"/>
        <v>0</v>
      </c>
      <c r="K58" s="196">
        <f t="shared" si="25"/>
        <v>0</v>
      </c>
      <c r="L58" s="196">
        <f t="shared" si="25"/>
        <v>0</v>
      </c>
      <c r="M58" s="196">
        <f t="shared" si="25"/>
        <v>0</v>
      </c>
      <c r="N58" s="196">
        <f t="shared" si="25"/>
        <v>0</v>
      </c>
      <c r="O58" s="196">
        <f t="shared" si="25"/>
        <v>0</v>
      </c>
      <c r="P58" s="196">
        <f t="shared" si="25"/>
        <v>0</v>
      </c>
      <c r="Q58" s="196">
        <f t="shared" si="25"/>
        <v>0</v>
      </c>
      <c r="R58" s="196">
        <f t="shared" si="25"/>
        <v>0</v>
      </c>
      <c r="S58" s="267">
        <f t="shared" si="25"/>
        <v>0</v>
      </c>
    </row>
    <row r="59" spans="1:19" ht="12.75" customHeight="1" x14ac:dyDescent="0.2">
      <c r="A59" s="191" t="str">
        <f>"   "&amp;Labels!C329</f>
        <v xml:space="preserve">   Total</v>
      </c>
      <c r="B59" s="192">
        <f t="shared" ref="B59:S59" si="26">SUM(B50,B54,B58)</f>
        <v>0</v>
      </c>
      <c r="C59" s="192">
        <f t="shared" si="26"/>
        <v>0</v>
      </c>
      <c r="D59" s="192">
        <f t="shared" si="26"/>
        <v>0</v>
      </c>
      <c r="E59" s="192">
        <f t="shared" si="26"/>
        <v>0</v>
      </c>
      <c r="F59" s="192">
        <f t="shared" si="26"/>
        <v>0</v>
      </c>
      <c r="G59" s="192">
        <f t="shared" si="26"/>
        <v>0</v>
      </c>
      <c r="H59" s="192">
        <f t="shared" si="26"/>
        <v>0</v>
      </c>
      <c r="I59" s="192">
        <f t="shared" si="26"/>
        <v>0</v>
      </c>
      <c r="J59" s="192">
        <f t="shared" si="26"/>
        <v>0</v>
      </c>
      <c r="K59" s="192">
        <f t="shared" si="26"/>
        <v>0</v>
      </c>
      <c r="L59" s="192">
        <f t="shared" si="26"/>
        <v>0</v>
      </c>
      <c r="M59" s="192">
        <f t="shared" si="26"/>
        <v>0</v>
      </c>
      <c r="N59" s="192">
        <f t="shared" si="26"/>
        <v>0</v>
      </c>
      <c r="O59" s="192">
        <f t="shared" si="26"/>
        <v>0</v>
      </c>
      <c r="P59" s="192">
        <f t="shared" si="26"/>
        <v>0</v>
      </c>
      <c r="Q59" s="192">
        <f t="shared" si="26"/>
        <v>0</v>
      </c>
      <c r="R59" s="192">
        <f t="shared" si="26"/>
        <v>0</v>
      </c>
      <c r="S59" s="280">
        <f t="shared" si="26"/>
        <v>0</v>
      </c>
    </row>
    <row r="60" spans="1:19" ht="12.75" customHeight="1" x14ac:dyDescent="0.2">
      <c r="A60" s="198" t="str">
        <f>"      "&amp;Labels!B393</f>
        <v xml:space="preserve">      Manager</v>
      </c>
      <c r="B60" s="226">
        <f t="shared" ref="B60:S60" si="27">SUM(B48,B52,B56)</f>
        <v>0</v>
      </c>
      <c r="C60" s="226">
        <f t="shared" si="27"/>
        <v>0</v>
      </c>
      <c r="D60" s="226">
        <f t="shared" si="27"/>
        <v>0</v>
      </c>
      <c r="E60" s="226">
        <f t="shared" si="27"/>
        <v>0</v>
      </c>
      <c r="F60" s="226">
        <f t="shared" si="27"/>
        <v>0</v>
      </c>
      <c r="G60" s="226">
        <f t="shared" si="27"/>
        <v>0</v>
      </c>
      <c r="H60" s="226">
        <f t="shared" si="27"/>
        <v>0</v>
      </c>
      <c r="I60" s="226">
        <f t="shared" si="27"/>
        <v>0</v>
      </c>
      <c r="J60" s="226">
        <f t="shared" si="27"/>
        <v>0</v>
      </c>
      <c r="K60" s="226">
        <f t="shared" si="27"/>
        <v>0</v>
      </c>
      <c r="L60" s="226">
        <f t="shared" si="27"/>
        <v>0</v>
      </c>
      <c r="M60" s="226">
        <f t="shared" si="27"/>
        <v>0</v>
      </c>
      <c r="N60" s="226">
        <f t="shared" si="27"/>
        <v>0</v>
      </c>
      <c r="O60" s="226">
        <f t="shared" si="27"/>
        <v>0</v>
      </c>
      <c r="P60" s="226">
        <f t="shared" si="27"/>
        <v>0</v>
      </c>
      <c r="Q60" s="226">
        <f t="shared" si="27"/>
        <v>0</v>
      </c>
      <c r="R60" s="226">
        <f t="shared" si="27"/>
        <v>0</v>
      </c>
      <c r="S60" s="279">
        <f t="shared" si="27"/>
        <v>0</v>
      </c>
    </row>
    <row r="61" spans="1:19" ht="12.75" customHeight="1" x14ac:dyDescent="0.2">
      <c r="A61" s="198" t="str">
        <f>"      "&amp;Labels!B394</f>
        <v xml:space="preserve">      Contributor</v>
      </c>
      <c r="B61" s="226">
        <f t="shared" ref="B61:S61" si="28">SUM(B49,B53,B57)</f>
        <v>0</v>
      </c>
      <c r="C61" s="226">
        <f t="shared" si="28"/>
        <v>0</v>
      </c>
      <c r="D61" s="226">
        <f t="shared" si="28"/>
        <v>0</v>
      </c>
      <c r="E61" s="226">
        <f t="shared" si="28"/>
        <v>0</v>
      </c>
      <c r="F61" s="226">
        <f t="shared" si="28"/>
        <v>0</v>
      </c>
      <c r="G61" s="226">
        <f t="shared" si="28"/>
        <v>0</v>
      </c>
      <c r="H61" s="226">
        <f t="shared" si="28"/>
        <v>0</v>
      </c>
      <c r="I61" s="226">
        <f t="shared" si="28"/>
        <v>0</v>
      </c>
      <c r="J61" s="226">
        <f t="shared" si="28"/>
        <v>0</v>
      </c>
      <c r="K61" s="226">
        <f t="shared" si="28"/>
        <v>0</v>
      </c>
      <c r="L61" s="226">
        <f t="shared" si="28"/>
        <v>0</v>
      </c>
      <c r="M61" s="226">
        <f t="shared" si="28"/>
        <v>0</v>
      </c>
      <c r="N61" s="226">
        <f t="shared" si="28"/>
        <v>0</v>
      </c>
      <c r="O61" s="226">
        <f t="shared" si="28"/>
        <v>0</v>
      </c>
      <c r="P61" s="226">
        <f t="shared" si="28"/>
        <v>0</v>
      </c>
      <c r="Q61" s="226">
        <f t="shared" si="28"/>
        <v>0</v>
      </c>
      <c r="R61" s="226">
        <f t="shared" si="28"/>
        <v>0</v>
      </c>
      <c r="S61" s="279">
        <f t="shared" si="28"/>
        <v>0</v>
      </c>
    </row>
    <row r="62" spans="1:19" ht="12.75" customHeight="1" x14ac:dyDescent="0.2">
      <c r="A62" s="188" t="str">
        <f>"      "&amp;Labels!C392</f>
        <v xml:space="preserve">      Total</v>
      </c>
      <c r="B62" s="196">
        <f t="shared" ref="B62:S62" si="29">SUM(B50,B54,B58)</f>
        <v>0</v>
      </c>
      <c r="C62" s="196">
        <f t="shared" si="29"/>
        <v>0</v>
      </c>
      <c r="D62" s="196">
        <f t="shared" si="29"/>
        <v>0</v>
      </c>
      <c r="E62" s="196">
        <f t="shared" si="29"/>
        <v>0</v>
      </c>
      <c r="F62" s="196">
        <f t="shared" si="29"/>
        <v>0</v>
      </c>
      <c r="G62" s="196">
        <f t="shared" si="29"/>
        <v>0</v>
      </c>
      <c r="H62" s="196">
        <f t="shared" si="29"/>
        <v>0</v>
      </c>
      <c r="I62" s="196">
        <f t="shared" si="29"/>
        <v>0</v>
      </c>
      <c r="J62" s="196">
        <f t="shared" si="29"/>
        <v>0</v>
      </c>
      <c r="K62" s="196">
        <f t="shared" si="29"/>
        <v>0</v>
      </c>
      <c r="L62" s="196">
        <f t="shared" si="29"/>
        <v>0</v>
      </c>
      <c r="M62" s="196">
        <f t="shared" si="29"/>
        <v>0</v>
      </c>
      <c r="N62" s="196">
        <f t="shared" si="29"/>
        <v>0</v>
      </c>
      <c r="O62" s="196">
        <f t="shared" si="29"/>
        <v>0</v>
      </c>
      <c r="P62" s="196">
        <f t="shared" si="29"/>
        <v>0</v>
      </c>
      <c r="Q62" s="196">
        <f t="shared" si="29"/>
        <v>0</v>
      </c>
      <c r="R62" s="196">
        <f t="shared" si="29"/>
        <v>0</v>
      </c>
      <c r="S62" s="267">
        <f t="shared" si="29"/>
        <v>0</v>
      </c>
    </row>
    <row r="63" spans="1:19" ht="12.75" customHeight="1" x14ac:dyDescent="0.2">
      <c r="A63" s="191" t="str">
        <f>Labels!B322</f>
        <v>Sales</v>
      </c>
      <c r="B63" s="192"/>
      <c r="C63" s="192"/>
      <c r="D63" s="192"/>
      <c r="E63" s="192"/>
      <c r="F63" s="192"/>
      <c r="G63" s="192"/>
      <c r="H63" s="192"/>
      <c r="I63" s="192"/>
      <c r="J63" s="192"/>
      <c r="K63" s="192"/>
      <c r="L63" s="192"/>
      <c r="M63" s="192"/>
      <c r="N63" s="192"/>
      <c r="O63" s="192"/>
      <c r="P63" s="192"/>
      <c r="Q63" s="192"/>
      <c r="R63" s="192"/>
      <c r="S63" s="280"/>
    </row>
    <row r="64" spans="1:19" ht="12.75" customHeight="1" x14ac:dyDescent="0.2">
      <c r="A64" s="188" t="str">
        <f>"   "&amp;Labels!B330</f>
        <v xml:space="preserve">   Supplies</v>
      </c>
      <c r="B64" s="196"/>
      <c r="C64" s="196"/>
      <c r="D64" s="196"/>
      <c r="E64" s="196"/>
      <c r="F64" s="196"/>
      <c r="G64" s="196"/>
      <c r="H64" s="196"/>
      <c r="I64" s="196"/>
      <c r="J64" s="196"/>
      <c r="K64" s="196"/>
      <c r="L64" s="196"/>
      <c r="M64" s="196"/>
      <c r="N64" s="196"/>
      <c r="O64" s="196"/>
      <c r="P64" s="196"/>
      <c r="Q64" s="196"/>
      <c r="R64" s="196"/>
      <c r="S64" s="267"/>
    </row>
    <row r="65" spans="1:19" ht="12.75" customHeight="1" x14ac:dyDescent="0.2">
      <c r="A65" s="198" t="str">
        <f>"      "&amp;Labels!B393</f>
        <v xml:space="preserve">      Manager</v>
      </c>
      <c r="B65" s="226">
        <f>Inputs!F329*'Sup Staff'!B27/12</f>
        <v>0</v>
      </c>
      <c r="C65" s="226">
        <f>Inputs!G329*'Sup Staff'!C27/12</f>
        <v>0</v>
      </c>
      <c r="D65" s="226">
        <f>Inputs!H329*'Sup Staff'!D27/12</f>
        <v>0</v>
      </c>
      <c r="E65" s="226">
        <f>Inputs!I329*'Sup Staff'!F27/12</f>
        <v>0</v>
      </c>
      <c r="F65" s="226">
        <f>Inputs!J329*'Sup Staff'!G27/12</f>
        <v>0</v>
      </c>
      <c r="G65" s="226">
        <f>Inputs!K329*'Sup Staff'!H27/12</f>
        <v>0</v>
      </c>
      <c r="H65" s="226">
        <f>Inputs!L329*'Sup Staff'!J27/12</f>
        <v>0</v>
      </c>
      <c r="I65" s="226">
        <f>Inputs!M329*'Sup Staff'!K27/12</f>
        <v>0</v>
      </c>
      <c r="J65" s="226">
        <f>Inputs!N329*'Sup Staff'!L27/12</f>
        <v>0</v>
      </c>
      <c r="K65" s="226">
        <f>Inputs!O329*'Sup Staff'!N27/12</f>
        <v>0</v>
      </c>
      <c r="L65" s="226">
        <f>Inputs!P329*'Sup Staff'!O27/12</f>
        <v>0</v>
      </c>
      <c r="M65" s="226">
        <f>Inputs!Q329*'Sup Staff'!P27/12</f>
        <v>0</v>
      </c>
      <c r="N65" s="226">
        <f>Inputs!R329*'Sup Staff'!R27/12</f>
        <v>0</v>
      </c>
      <c r="O65" s="226">
        <f>Inputs!S329*'Sup Staff'!S27/12</f>
        <v>0</v>
      </c>
      <c r="P65" s="226">
        <f>Inputs!T329*'Sup Staff'!T27/12</f>
        <v>0</v>
      </c>
      <c r="Q65" s="226">
        <f>Inputs!U329*'Sup Staff'!V27/12</f>
        <v>0</v>
      </c>
      <c r="R65" s="226">
        <f>Inputs!V329*'Sup Staff'!W27/12</f>
        <v>0</v>
      </c>
      <c r="S65" s="279">
        <f>Inputs!W329*'Sup Staff'!X27/12</f>
        <v>0</v>
      </c>
    </row>
    <row r="66" spans="1:19" ht="12.75" customHeight="1" x14ac:dyDescent="0.2">
      <c r="A66" s="198" t="str">
        <f>"      "&amp;Labels!B394</f>
        <v xml:space="preserve">      Contributor</v>
      </c>
      <c r="B66" s="226">
        <f>Inputs!F329*'Sup Staff'!B28/12</f>
        <v>0</v>
      </c>
      <c r="C66" s="226">
        <f>Inputs!G329*'Sup Staff'!C28/12</f>
        <v>0</v>
      </c>
      <c r="D66" s="226">
        <f>Inputs!H329*'Sup Staff'!D28/12</f>
        <v>0</v>
      </c>
      <c r="E66" s="226">
        <f>Inputs!I329*'Sup Staff'!F28/12</f>
        <v>0</v>
      </c>
      <c r="F66" s="226">
        <f>Inputs!J329*'Sup Staff'!G28/12</f>
        <v>0</v>
      </c>
      <c r="G66" s="226">
        <f>Inputs!K329*'Sup Staff'!H28/12</f>
        <v>0</v>
      </c>
      <c r="H66" s="226">
        <f>Inputs!L329*'Sup Staff'!J28/12</f>
        <v>0</v>
      </c>
      <c r="I66" s="226">
        <f>Inputs!M329*'Sup Staff'!K28/12</f>
        <v>0</v>
      </c>
      <c r="J66" s="226">
        <f>Inputs!N329*'Sup Staff'!L28/12</f>
        <v>0</v>
      </c>
      <c r="K66" s="226">
        <f>Inputs!O329*'Sup Staff'!N28/12</f>
        <v>0</v>
      </c>
      <c r="L66" s="226">
        <f>Inputs!P329*'Sup Staff'!O28/12</f>
        <v>0</v>
      </c>
      <c r="M66" s="226">
        <f>Inputs!Q329*'Sup Staff'!P28/12</f>
        <v>0</v>
      </c>
      <c r="N66" s="226">
        <f>Inputs!R329*'Sup Staff'!R28/12</f>
        <v>0</v>
      </c>
      <c r="O66" s="226">
        <f>Inputs!S329*'Sup Staff'!S28/12</f>
        <v>0</v>
      </c>
      <c r="P66" s="226">
        <f>Inputs!T329*'Sup Staff'!T28/12</f>
        <v>0</v>
      </c>
      <c r="Q66" s="226">
        <f>Inputs!U329*'Sup Staff'!V28/12</f>
        <v>0</v>
      </c>
      <c r="R66" s="226">
        <f>Inputs!V329*'Sup Staff'!W28/12</f>
        <v>0</v>
      </c>
      <c r="S66" s="279">
        <f>Inputs!W329*'Sup Staff'!X28/12</f>
        <v>0</v>
      </c>
    </row>
    <row r="67" spans="1:19" ht="12.75" customHeight="1" x14ac:dyDescent="0.2">
      <c r="A67" s="188" t="str">
        <f>"      "&amp;Labels!C392</f>
        <v xml:space="preserve">      Total</v>
      </c>
      <c r="B67" s="196">
        <f t="shared" ref="B67:S67" si="30">SUM(B65:B66)</f>
        <v>0</v>
      </c>
      <c r="C67" s="196">
        <f t="shared" si="30"/>
        <v>0</v>
      </c>
      <c r="D67" s="196">
        <f t="shared" si="30"/>
        <v>0</v>
      </c>
      <c r="E67" s="196">
        <f t="shared" si="30"/>
        <v>0</v>
      </c>
      <c r="F67" s="196">
        <f t="shared" si="30"/>
        <v>0</v>
      </c>
      <c r="G67" s="196">
        <f t="shared" si="30"/>
        <v>0</v>
      </c>
      <c r="H67" s="196">
        <f t="shared" si="30"/>
        <v>0</v>
      </c>
      <c r="I67" s="196">
        <f t="shared" si="30"/>
        <v>0</v>
      </c>
      <c r="J67" s="196">
        <f t="shared" si="30"/>
        <v>0</v>
      </c>
      <c r="K67" s="196">
        <f t="shared" si="30"/>
        <v>0</v>
      </c>
      <c r="L67" s="196">
        <f t="shared" si="30"/>
        <v>0</v>
      </c>
      <c r="M67" s="196">
        <f t="shared" si="30"/>
        <v>0</v>
      </c>
      <c r="N67" s="196">
        <f t="shared" si="30"/>
        <v>0</v>
      </c>
      <c r="O67" s="196">
        <f t="shared" si="30"/>
        <v>0</v>
      </c>
      <c r="P67" s="196">
        <f t="shared" si="30"/>
        <v>0</v>
      </c>
      <c r="Q67" s="196">
        <f t="shared" si="30"/>
        <v>0</v>
      </c>
      <c r="R67" s="196">
        <f t="shared" si="30"/>
        <v>0</v>
      </c>
      <c r="S67" s="267">
        <f t="shared" si="30"/>
        <v>0</v>
      </c>
    </row>
    <row r="68" spans="1:19" ht="12.75" customHeight="1" x14ac:dyDescent="0.2">
      <c r="A68" s="188" t="str">
        <f>"   "&amp;Labels!B331</f>
        <v xml:space="preserve">   Travel Entertain</v>
      </c>
      <c r="B68" s="196"/>
      <c r="C68" s="196"/>
      <c r="D68" s="196"/>
      <c r="E68" s="196"/>
      <c r="F68" s="196"/>
      <c r="G68" s="196"/>
      <c r="H68" s="196"/>
      <c r="I68" s="196"/>
      <c r="J68" s="196"/>
      <c r="K68" s="196"/>
      <c r="L68" s="196"/>
      <c r="M68" s="196"/>
      <c r="N68" s="196"/>
      <c r="O68" s="196"/>
      <c r="P68" s="196"/>
      <c r="Q68" s="196"/>
      <c r="R68" s="196"/>
      <c r="S68" s="267"/>
    </row>
    <row r="69" spans="1:19" ht="12.75" customHeight="1" x14ac:dyDescent="0.2">
      <c r="A69" s="198" t="str">
        <f>"      "&amp;Labels!B393</f>
        <v xml:space="preserve">      Manager</v>
      </c>
      <c r="B69" s="226">
        <f>Inputs!F330*'Sup Staff'!B27/12</f>
        <v>0</v>
      </c>
      <c r="C69" s="226">
        <f>Inputs!G330*'Sup Staff'!C27/12</f>
        <v>0</v>
      </c>
      <c r="D69" s="226">
        <f>Inputs!H330*'Sup Staff'!D27/12</f>
        <v>0</v>
      </c>
      <c r="E69" s="226">
        <f>Inputs!I330*'Sup Staff'!F27/12</f>
        <v>0</v>
      </c>
      <c r="F69" s="226">
        <f>Inputs!J330*'Sup Staff'!G27/12</f>
        <v>0</v>
      </c>
      <c r="G69" s="226">
        <f>Inputs!K330*'Sup Staff'!H27/12</f>
        <v>0</v>
      </c>
      <c r="H69" s="226">
        <f>Inputs!L330*'Sup Staff'!J27/12</f>
        <v>0</v>
      </c>
      <c r="I69" s="226">
        <f>Inputs!M330*'Sup Staff'!K27/12</f>
        <v>0</v>
      </c>
      <c r="J69" s="226">
        <f>Inputs!N330*'Sup Staff'!L27/12</f>
        <v>0</v>
      </c>
      <c r="K69" s="226">
        <f>Inputs!O330*'Sup Staff'!N27/12</f>
        <v>0</v>
      </c>
      <c r="L69" s="226">
        <f>Inputs!P330*'Sup Staff'!O27/12</f>
        <v>0</v>
      </c>
      <c r="M69" s="226">
        <f>Inputs!Q330*'Sup Staff'!P27/12</f>
        <v>0</v>
      </c>
      <c r="N69" s="226">
        <f>Inputs!R330*'Sup Staff'!R27/12</f>
        <v>0</v>
      </c>
      <c r="O69" s="226">
        <f>Inputs!S330*'Sup Staff'!S27/12</f>
        <v>0</v>
      </c>
      <c r="P69" s="226">
        <f>Inputs!T330*'Sup Staff'!T27/12</f>
        <v>0</v>
      </c>
      <c r="Q69" s="226">
        <f>Inputs!U330*'Sup Staff'!V27/12</f>
        <v>0</v>
      </c>
      <c r="R69" s="226">
        <f>Inputs!V330*'Sup Staff'!W27/12</f>
        <v>0</v>
      </c>
      <c r="S69" s="279">
        <f>Inputs!W330*'Sup Staff'!X27/12</f>
        <v>0</v>
      </c>
    </row>
    <row r="70" spans="1:19" ht="12.75" customHeight="1" x14ac:dyDescent="0.2">
      <c r="A70" s="198" t="str">
        <f>"      "&amp;Labels!B394</f>
        <v xml:space="preserve">      Contributor</v>
      </c>
      <c r="B70" s="226">
        <f>Inputs!F330*'Sup Staff'!B28/12</f>
        <v>0</v>
      </c>
      <c r="C70" s="226">
        <f>Inputs!G330*'Sup Staff'!C28/12</f>
        <v>0</v>
      </c>
      <c r="D70" s="226">
        <f>Inputs!H330*'Sup Staff'!D28/12</f>
        <v>0</v>
      </c>
      <c r="E70" s="226">
        <f>Inputs!I330*'Sup Staff'!F28/12</f>
        <v>0</v>
      </c>
      <c r="F70" s="226">
        <f>Inputs!J330*'Sup Staff'!G28/12</f>
        <v>0</v>
      </c>
      <c r="G70" s="226">
        <f>Inputs!K330*'Sup Staff'!H28/12</f>
        <v>0</v>
      </c>
      <c r="H70" s="226">
        <f>Inputs!L330*'Sup Staff'!J28/12</f>
        <v>0</v>
      </c>
      <c r="I70" s="226">
        <f>Inputs!M330*'Sup Staff'!K28/12</f>
        <v>0</v>
      </c>
      <c r="J70" s="226">
        <f>Inputs!N330*'Sup Staff'!L28/12</f>
        <v>0</v>
      </c>
      <c r="K70" s="226">
        <f>Inputs!O330*'Sup Staff'!N28/12</f>
        <v>0</v>
      </c>
      <c r="L70" s="226">
        <f>Inputs!P330*'Sup Staff'!O28/12</f>
        <v>0</v>
      </c>
      <c r="M70" s="226">
        <f>Inputs!Q330*'Sup Staff'!P28/12</f>
        <v>0</v>
      </c>
      <c r="N70" s="226">
        <f>Inputs!R330*'Sup Staff'!R28/12</f>
        <v>0</v>
      </c>
      <c r="O70" s="226">
        <f>Inputs!S330*'Sup Staff'!S28/12</f>
        <v>0</v>
      </c>
      <c r="P70" s="226">
        <f>Inputs!T330*'Sup Staff'!T28/12</f>
        <v>0</v>
      </c>
      <c r="Q70" s="226">
        <f>Inputs!U330*'Sup Staff'!V28/12</f>
        <v>0</v>
      </c>
      <c r="R70" s="226">
        <f>Inputs!V330*'Sup Staff'!W28/12</f>
        <v>0</v>
      </c>
      <c r="S70" s="279">
        <f>Inputs!W330*'Sup Staff'!X28/12</f>
        <v>0</v>
      </c>
    </row>
    <row r="71" spans="1:19" ht="12.75" customHeight="1" x14ac:dyDescent="0.2">
      <c r="A71" s="188" t="str">
        <f>"      "&amp;Labels!C392</f>
        <v xml:space="preserve">      Total</v>
      </c>
      <c r="B71" s="196">
        <f t="shared" ref="B71:S71" si="31">SUM(B69:B70)</f>
        <v>0</v>
      </c>
      <c r="C71" s="196">
        <f t="shared" si="31"/>
        <v>0</v>
      </c>
      <c r="D71" s="196">
        <f t="shared" si="31"/>
        <v>0</v>
      </c>
      <c r="E71" s="196">
        <f t="shared" si="31"/>
        <v>0</v>
      </c>
      <c r="F71" s="196">
        <f t="shared" si="31"/>
        <v>0</v>
      </c>
      <c r="G71" s="196">
        <f t="shared" si="31"/>
        <v>0</v>
      </c>
      <c r="H71" s="196">
        <f t="shared" si="31"/>
        <v>0</v>
      </c>
      <c r="I71" s="196">
        <f t="shared" si="31"/>
        <v>0</v>
      </c>
      <c r="J71" s="196">
        <f t="shared" si="31"/>
        <v>0</v>
      </c>
      <c r="K71" s="196">
        <f t="shared" si="31"/>
        <v>0</v>
      </c>
      <c r="L71" s="196">
        <f t="shared" si="31"/>
        <v>0</v>
      </c>
      <c r="M71" s="196">
        <f t="shared" si="31"/>
        <v>0</v>
      </c>
      <c r="N71" s="196">
        <f t="shared" si="31"/>
        <v>0</v>
      </c>
      <c r="O71" s="196">
        <f t="shared" si="31"/>
        <v>0</v>
      </c>
      <c r="P71" s="196">
        <f t="shared" si="31"/>
        <v>0</v>
      </c>
      <c r="Q71" s="196">
        <f t="shared" si="31"/>
        <v>0</v>
      </c>
      <c r="R71" s="196">
        <f t="shared" si="31"/>
        <v>0</v>
      </c>
      <c r="S71" s="267">
        <f t="shared" si="31"/>
        <v>0</v>
      </c>
    </row>
    <row r="72" spans="1:19" ht="12.75" customHeight="1" x14ac:dyDescent="0.2">
      <c r="A72" s="188" t="str">
        <f>"   "&amp;Labels!B332</f>
        <v xml:space="preserve">   Other</v>
      </c>
      <c r="B72" s="196"/>
      <c r="C72" s="196"/>
      <c r="D72" s="196"/>
      <c r="E72" s="196"/>
      <c r="F72" s="196"/>
      <c r="G72" s="196"/>
      <c r="H72" s="196"/>
      <c r="I72" s="196"/>
      <c r="J72" s="196"/>
      <c r="K72" s="196"/>
      <c r="L72" s="196"/>
      <c r="M72" s="196"/>
      <c r="N72" s="196"/>
      <c r="O72" s="196"/>
      <c r="P72" s="196"/>
      <c r="Q72" s="196"/>
      <c r="R72" s="196"/>
      <c r="S72" s="267"/>
    </row>
    <row r="73" spans="1:19" ht="12.75" customHeight="1" x14ac:dyDescent="0.2">
      <c r="A73" s="198" t="str">
        <f>"      "&amp;Labels!B393</f>
        <v xml:space="preserve">      Manager</v>
      </c>
      <c r="B73" s="226">
        <f>Inputs!F331*'Sup Staff'!B27/12</f>
        <v>0</v>
      </c>
      <c r="C73" s="226">
        <f>Inputs!G331*'Sup Staff'!C27/12</f>
        <v>0</v>
      </c>
      <c r="D73" s="226">
        <f>Inputs!H331*'Sup Staff'!D27/12</f>
        <v>0</v>
      </c>
      <c r="E73" s="226">
        <f>Inputs!I331*'Sup Staff'!F27/12</f>
        <v>0</v>
      </c>
      <c r="F73" s="226">
        <f>Inputs!J331*'Sup Staff'!G27/12</f>
        <v>0</v>
      </c>
      <c r="G73" s="226">
        <f>Inputs!K331*'Sup Staff'!H27/12</f>
        <v>0</v>
      </c>
      <c r="H73" s="226">
        <f>Inputs!L331*'Sup Staff'!J27/12</f>
        <v>0</v>
      </c>
      <c r="I73" s="226">
        <f>Inputs!M331*'Sup Staff'!K27/12</f>
        <v>0</v>
      </c>
      <c r="J73" s="226">
        <f>Inputs!N331*'Sup Staff'!L27/12</f>
        <v>0</v>
      </c>
      <c r="K73" s="226">
        <f>Inputs!O331*'Sup Staff'!N27/12</f>
        <v>0</v>
      </c>
      <c r="L73" s="226">
        <f>Inputs!P331*'Sup Staff'!O27/12</f>
        <v>0</v>
      </c>
      <c r="M73" s="226">
        <f>Inputs!Q331*'Sup Staff'!P27/12</f>
        <v>0</v>
      </c>
      <c r="N73" s="226">
        <f>Inputs!R331*'Sup Staff'!R27/12</f>
        <v>0</v>
      </c>
      <c r="O73" s="226">
        <f>Inputs!S331*'Sup Staff'!S27/12</f>
        <v>0</v>
      </c>
      <c r="P73" s="226">
        <f>Inputs!T331*'Sup Staff'!T27/12</f>
        <v>0</v>
      </c>
      <c r="Q73" s="226">
        <f>Inputs!U331*'Sup Staff'!V27/12</f>
        <v>0</v>
      </c>
      <c r="R73" s="226">
        <f>Inputs!V331*'Sup Staff'!W27/12</f>
        <v>0</v>
      </c>
      <c r="S73" s="279">
        <f>Inputs!W331*'Sup Staff'!X27/12</f>
        <v>0</v>
      </c>
    </row>
    <row r="74" spans="1:19" ht="12.75" customHeight="1" x14ac:dyDescent="0.2">
      <c r="A74" s="198" t="str">
        <f>"      "&amp;Labels!B394</f>
        <v xml:space="preserve">      Contributor</v>
      </c>
      <c r="B74" s="226">
        <f>Inputs!F331*'Sup Staff'!B28/12</f>
        <v>0</v>
      </c>
      <c r="C74" s="226">
        <f>Inputs!G331*'Sup Staff'!C28/12</f>
        <v>0</v>
      </c>
      <c r="D74" s="226">
        <f>Inputs!H331*'Sup Staff'!D28/12</f>
        <v>0</v>
      </c>
      <c r="E74" s="226">
        <f>Inputs!I331*'Sup Staff'!F28/12</f>
        <v>0</v>
      </c>
      <c r="F74" s="226">
        <f>Inputs!J331*'Sup Staff'!G28/12</f>
        <v>0</v>
      </c>
      <c r="G74" s="226">
        <f>Inputs!K331*'Sup Staff'!H28/12</f>
        <v>0</v>
      </c>
      <c r="H74" s="226">
        <f>Inputs!L331*'Sup Staff'!J28/12</f>
        <v>0</v>
      </c>
      <c r="I74" s="226">
        <f>Inputs!M331*'Sup Staff'!K28/12</f>
        <v>0</v>
      </c>
      <c r="J74" s="226">
        <f>Inputs!N331*'Sup Staff'!L28/12</f>
        <v>0</v>
      </c>
      <c r="K74" s="226">
        <f>Inputs!O331*'Sup Staff'!N28/12</f>
        <v>0</v>
      </c>
      <c r="L74" s="226">
        <f>Inputs!P331*'Sup Staff'!O28/12</f>
        <v>0</v>
      </c>
      <c r="M74" s="226">
        <f>Inputs!Q331*'Sup Staff'!P28/12</f>
        <v>0</v>
      </c>
      <c r="N74" s="226">
        <f>Inputs!R331*'Sup Staff'!R28/12</f>
        <v>0</v>
      </c>
      <c r="O74" s="226">
        <f>Inputs!S331*'Sup Staff'!S28/12</f>
        <v>0</v>
      </c>
      <c r="P74" s="226">
        <f>Inputs!T331*'Sup Staff'!T28/12</f>
        <v>0</v>
      </c>
      <c r="Q74" s="226">
        <f>Inputs!U331*'Sup Staff'!V28/12</f>
        <v>0</v>
      </c>
      <c r="R74" s="226">
        <f>Inputs!V331*'Sup Staff'!W28/12</f>
        <v>0</v>
      </c>
      <c r="S74" s="279">
        <f>Inputs!W331*'Sup Staff'!X28/12</f>
        <v>0</v>
      </c>
    </row>
    <row r="75" spans="1:19" ht="12.75" customHeight="1" x14ac:dyDescent="0.2">
      <c r="A75" s="188" t="str">
        <f>"      "&amp;Labels!C392</f>
        <v xml:space="preserve">      Total</v>
      </c>
      <c r="B75" s="196">
        <f t="shared" ref="B75:S75" si="32">SUM(B73:B74)</f>
        <v>0</v>
      </c>
      <c r="C75" s="196">
        <f t="shared" si="32"/>
        <v>0</v>
      </c>
      <c r="D75" s="196">
        <f t="shared" si="32"/>
        <v>0</v>
      </c>
      <c r="E75" s="196">
        <f t="shared" si="32"/>
        <v>0</v>
      </c>
      <c r="F75" s="196">
        <f t="shared" si="32"/>
        <v>0</v>
      </c>
      <c r="G75" s="196">
        <f t="shared" si="32"/>
        <v>0</v>
      </c>
      <c r="H75" s="196">
        <f t="shared" si="32"/>
        <v>0</v>
      </c>
      <c r="I75" s="196">
        <f t="shared" si="32"/>
        <v>0</v>
      </c>
      <c r="J75" s="196">
        <f t="shared" si="32"/>
        <v>0</v>
      </c>
      <c r="K75" s="196">
        <f t="shared" si="32"/>
        <v>0</v>
      </c>
      <c r="L75" s="196">
        <f t="shared" si="32"/>
        <v>0</v>
      </c>
      <c r="M75" s="196">
        <f t="shared" si="32"/>
        <v>0</v>
      </c>
      <c r="N75" s="196">
        <f t="shared" si="32"/>
        <v>0</v>
      </c>
      <c r="O75" s="196">
        <f t="shared" si="32"/>
        <v>0</v>
      </c>
      <c r="P75" s="196">
        <f t="shared" si="32"/>
        <v>0</v>
      </c>
      <c r="Q75" s="196">
        <f t="shared" si="32"/>
        <v>0</v>
      </c>
      <c r="R75" s="196">
        <f t="shared" si="32"/>
        <v>0</v>
      </c>
      <c r="S75" s="267">
        <f t="shared" si="32"/>
        <v>0</v>
      </c>
    </row>
    <row r="76" spans="1:19" ht="12.75" customHeight="1" x14ac:dyDescent="0.2">
      <c r="A76" s="191" t="str">
        <f>"   "&amp;Labels!C329</f>
        <v xml:space="preserve">   Total</v>
      </c>
      <c r="B76" s="192">
        <f t="shared" ref="B76:S76" si="33">SUM(B67,B71,B75)</f>
        <v>0</v>
      </c>
      <c r="C76" s="192">
        <f t="shared" si="33"/>
        <v>0</v>
      </c>
      <c r="D76" s="192">
        <f t="shared" si="33"/>
        <v>0</v>
      </c>
      <c r="E76" s="192">
        <f t="shared" si="33"/>
        <v>0</v>
      </c>
      <c r="F76" s="192">
        <f t="shared" si="33"/>
        <v>0</v>
      </c>
      <c r="G76" s="192">
        <f t="shared" si="33"/>
        <v>0</v>
      </c>
      <c r="H76" s="192">
        <f t="shared" si="33"/>
        <v>0</v>
      </c>
      <c r="I76" s="192">
        <f t="shared" si="33"/>
        <v>0</v>
      </c>
      <c r="J76" s="192">
        <f t="shared" si="33"/>
        <v>0</v>
      </c>
      <c r="K76" s="192">
        <f t="shared" si="33"/>
        <v>0</v>
      </c>
      <c r="L76" s="192">
        <f t="shared" si="33"/>
        <v>0</v>
      </c>
      <c r="M76" s="192">
        <f t="shared" si="33"/>
        <v>0</v>
      </c>
      <c r="N76" s="192">
        <f t="shared" si="33"/>
        <v>0</v>
      </c>
      <c r="O76" s="192">
        <f t="shared" si="33"/>
        <v>0</v>
      </c>
      <c r="P76" s="192">
        <f t="shared" si="33"/>
        <v>0</v>
      </c>
      <c r="Q76" s="192">
        <f t="shared" si="33"/>
        <v>0</v>
      </c>
      <c r="R76" s="192">
        <f t="shared" si="33"/>
        <v>0</v>
      </c>
      <c r="S76" s="280">
        <f t="shared" si="33"/>
        <v>0</v>
      </c>
    </row>
    <row r="77" spans="1:19" ht="12.75" customHeight="1" x14ac:dyDescent="0.2">
      <c r="A77" s="198" t="str">
        <f>"      "&amp;Labels!B393</f>
        <v xml:space="preserve">      Manager</v>
      </c>
      <c r="B77" s="226">
        <f t="shared" ref="B77:S77" si="34">SUM(B65,B69,B73)</f>
        <v>0</v>
      </c>
      <c r="C77" s="226">
        <f t="shared" si="34"/>
        <v>0</v>
      </c>
      <c r="D77" s="226">
        <f t="shared" si="34"/>
        <v>0</v>
      </c>
      <c r="E77" s="226">
        <f t="shared" si="34"/>
        <v>0</v>
      </c>
      <c r="F77" s="226">
        <f t="shared" si="34"/>
        <v>0</v>
      </c>
      <c r="G77" s="226">
        <f t="shared" si="34"/>
        <v>0</v>
      </c>
      <c r="H77" s="226">
        <f t="shared" si="34"/>
        <v>0</v>
      </c>
      <c r="I77" s="226">
        <f t="shared" si="34"/>
        <v>0</v>
      </c>
      <c r="J77" s="226">
        <f t="shared" si="34"/>
        <v>0</v>
      </c>
      <c r="K77" s="226">
        <f t="shared" si="34"/>
        <v>0</v>
      </c>
      <c r="L77" s="226">
        <f t="shared" si="34"/>
        <v>0</v>
      </c>
      <c r="M77" s="226">
        <f t="shared" si="34"/>
        <v>0</v>
      </c>
      <c r="N77" s="226">
        <f t="shared" si="34"/>
        <v>0</v>
      </c>
      <c r="O77" s="226">
        <f t="shared" si="34"/>
        <v>0</v>
      </c>
      <c r="P77" s="226">
        <f t="shared" si="34"/>
        <v>0</v>
      </c>
      <c r="Q77" s="226">
        <f t="shared" si="34"/>
        <v>0</v>
      </c>
      <c r="R77" s="226">
        <f t="shared" si="34"/>
        <v>0</v>
      </c>
      <c r="S77" s="279">
        <f t="shared" si="34"/>
        <v>0</v>
      </c>
    </row>
    <row r="78" spans="1:19" ht="12.75" customHeight="1" x14ac:dyDescent="0.2">
      <c r="A78" s="198" t="str">
        <f>"      "&amp;Labels!B394</f>
        <v xml:space="preserve">      Contributor</v>
      </c>
      <c r="B78" s="226">
        <f t="shared" ref="B78:S78" si="35">SUM(B66,B70,B74)</f>
        <v>0</v>
      </c>
      <c r="C78" s="226">
        <f t="shared" si="35"/>
        <v>0</v>
      </c>
      <c r="D78" s="226">
        <f t="shared" si="35"/>
        <v>0</v>
      </c>
      <c r="E78" s="226">
        <f t="shared" si="35"/>
        <v>0</v>
      </c>
      <c r="F78" s="226">
        <f t="shared" si="35"/>
        <v>0</v>
      </c>
      <c r="G78" s="226">
        <f t="shared" si="35"/>
        <v>0</v>
      </c>
      <c r="H78" s="226">
        <f t="shared" si="35"/>
        <v>0</v>
      </c>
      <c r="I78" s="226">
        <f t="shared" si="35"/>
        <v>0</v>
      </c>
      <c r="J78" s="226">
        <f t="shared" si="35"/>
        <v>0</v>
      </c>
      <c r="K78" s="226">
        <f t="shared" si="35"/>
        <v>0</v>
      </c>
      <c r="L78" s="226">
        <f t="shared" si="35"/>
        <v>0</v>
      </c>
      <c r="M78" s="226">
        <f t="shared" si="35"/>
        <v>0</v>
      </c>
      <c r="N78" s="226">
        <f t="shared" si="35"/>
        <v>0</v>
      </c>
      <c r="O78" s="226">
        <f t="shared" si="35"/>
        <v>0</v>
      </c>
      <c r="P78" s="226">
        <f t="shared" si="35"/>
        <v>0</v>
      </c>
      <c r="Q78" s="226">
        <f t="shared" si="35"/>
        <v>0</v>
      </c>
      <c r="R78" s="226">
        <f t="shared" si="35"/>
        <v>0</v>
      </c>
      <c r="S78" s="279">
        <f t="shared" si="35"/>
        <v>0</v>
      </c>
    </row>
    <row r="79" spans="1:19" ht="12.75" customHeight="1" x14ac:dyDescent="0.2">
      <c r="A79" s="188" t="str">
        <f>"      "&amp;Labels!C392</f>
        <v xml:space="preserve">      Total</v>
      </c>
      <c r="B79" s="196">
        <f t="shared" ref="B79:S79" si="36">SUM(B67,B71,B75)</f>
        <v>0</v>
      </c>
      <c r="C79" s="196">
        <f t="shared" si="36"/>
        <v>0</v>
      </c>
      <c r="D79" s="196">
        <f t="shared" si="36"/>
        <v>0</v>
      </c>
      <c r="E79" s="196">
        <f t="shared" si="36"/>
        <v>0</v>
      </c>
      <c r="F79" s="196">
        <f t="shared" si="36"/>
        <v>0</v>
      </c>
      <c r="G79" s="196">
        <f t="shared" si="36"/>
        <v>0</v>
      </c>
      <c r="H79" s="196">
        <f t="shared" si="36"/>
        <v>0</v>
      </c>
      <c r="I79" s="196">
        <f t="shared" si="36"/>
        <v>0</v>
      </c>
      <c r="J79" s="196">
        <f t="shared" si="36"/>
        <v>0</v>
      </c>
      <c r="K79" s="196">
        <f t="shared" si="36"/>
        <v>0</v>
      </c>
      <c r="L79" s="196">
        <f t="shared" si="36"/>
        <v>0</v>
      </c>
      <c r="M79" s="196">
        <f t="shared" si="36"/>
        <v>0</v>
      </c>
      <c r="N79" s="196">
        <f t="shared" si="36"/>
        <v>0</v>
      </c>
      <c r="O79" s="196">
        <f t="shared" si="36"/>
        <v>0</v>
      </c>
      <c r="P79" s="196">
        <f t="shared" si="36"/>
        <v>0</v>
      </c>
      <c r="Q79" s="196">
        <f t="shared" si="36"/>
        <v>0</v>
      </c>
      <c r="R79" s="196">
        <f t="shared" si="36"/>
        <v>0</v>
      </c>
      <c r="S79" s="267">
        <f t="shared" si="36"/>
        <v>0</v>
      </c>
    </row>
    <row r="80" spans="1:19" ht="12.75" customHeight="1" x14ac:dyDescent="0.2">
      <c r="A80" s="97" t="str">
        <f>Labels!C320</f>
        <v>Total</v>
      </c>
      <c r="B80" s="194">
        <f t="shared" ref="B80:S80" si="37">SUM(B59,B76)</f>
        <v>0</v>
      </c>
      <c r="C80" s="194">
        <f t="shared" si="37"/>
        <v>0</v>
      </c>
      <c r="D80" s="194">
        <f t="shared" si="37"/>
        <v>0</v>
      </c>
      <c r="E80" s="194">
        <f t="shared" si="37"/>
        <v>0</v>
      </c>
      <c r="F80" s="194">
        <f t="shared" si="37"/>
        <v>0</v>
      </c>
      <c r="G80" s="194">
        <f t="shared" si="37"/>
        <v>0</v>
      </c>
      <c r="H80" s="194">
        <f t="shared" si="37"/>
        <v>0</v>
      </c>
      <c r="I80" s="194">
        <f t="shared" si="37"/>
        <v>0</v>
      </c>
      <c r="J80" s="194">
        <f t="shared" si="37"/>
        <v>0</v>
      </c>
      <c r="K80" s="194">
        <f t="shared" si="37"/>
        <v>0</v>
      </c>
      <c r="L80" s="194">
        <f t="shared" si="37"/>
        <v>0</v>
      </c>
      <c r="M80" s="194">
        <f t="shared" si="37"/>
        <v>0</v>
      </c>
      <c r="N80" s="194">
        <f t="shared" si="37"/>
        <v>0</v>
      </c>
      <c r="O80" s="194">
        <f t="shared" si="37"/>
        <v>0</v>
      </c>
      <c r="P80" s="194">
        <f t="shared" si="37"/>
        <v>0</v>
      </c>
      <c r="Q80" s="194">
        <f t="shared" si="37"/>
        <v>0</v>
      </c>
      <c r="R80" s="194">
        <f t="shared" si="37"/>
        <v>0</v>
      </c>
      <c r="S80" s="351">
        <f t="shared" si="37"/>
        <v>0</v>
      </c>
    </row>
    <row r="81" spans="1:19" ht="12.75" customHeight="1" x14ac:dyDescent="0.2">
      <c r="A81" s="188" t="str">
        <f>"   "&amp;Labels!B330</f>
        <v xml:space="preserve">   Supplies</v>
      </c>
      <c r="B81" s="196"/>
      <c r="C81" s="196"/>
      <c r="D81" s="196"/>
      <c r="E81" s="196"/>
      <c r="F81" s="196"/>
      <c r="G81" s="196"/>
      <c r="H81" s="196"/>
      <c r="I81" s="196"/>
      <c r="J81" s="196"/>
      <c r="K81" s="196"/>
      <c r="L81" s="196"/>
      <c r="M81" s="196"/>
      <c r="N81" s="196"/>
      <c r="O81" s="196"/>
      <c r="P81" s="196"/>
      <c r="Q81" s="196"/>
      <c r="R81" s="196"/>
      <c r="S81" s="267"/>
    </row>
    <row r="82" spans="1:19" ht="12.75" customHeight="1" x14ac:dyDescent="0.2">
      <c r="A82" s="198" t="str">
        <f>"      "&amp;Labels!B393</f>
        <v xml:space="preserve">      Manager</v>
      </c>
      <c r="B82" s="226">
        <f t="shared" ref="B82:S82" si="38">SUM(B48,B65)</f>
        <v>0</v>
      </c>
      <c r="C82" s="226">
        <f t="shared" si="38"/>
        <v>0</v>
      </c>
      <c r="D82" s="226">
        <f t="shared" si="38"/>
        <v>0</v>
      </c>
      <c r="E82" s="226">
        <f t="shared" si="38"/>
        <v>0</v>
      </c>
      <c r="F82" s="226">
        <f t="shared" si="38"/>
        <v>0</v>
      </c>
      <c r="G82" s="226">
        <f t="shared" si="38"/>
        <v>0</v>
      </c>
      <c r="H82" s="226">
        <f t="shared" si="38"/>
        <v>0</v>
      </c>
      <c r="I82" s="226">
        <f t="shared" si="38"/>
        <v>0</v>
      </c>
      <c r="J82" s="226">
        <f t="shared" si="38"/>
        <v>0</v>
      </c>
      <c r="K82" s="226">
        <f t="shared" si="38"/>
        <v>0</v>
      </c>
      <c r="L82" s="226">
        <f t="shared" si="38"/>
        <v>0</v>
      </c>
      <c r="M82" s="226">
        <f t="shared" si="38"/>
        <v>0</v>
      </c>
      <c r="N82" s="226">
        <f t="shared" si="38"/>
        <v>0</v>
      </c>
      <c r="O82" s="226">
        <f t="shared" si="38"/>
        <v>0</v>
      </c>
      <c r="P82" s="226">
        <f t="shared" si="38"/>
        <v>0</v>
      </c>
      <c r="Q82" s="226">
        <f t="shared" si="38"/>
        <v>0</v>
      </c>
      <c r="R82" s="226">
        <f t="shared" si="38"/>
        <v>0</v>
      </c>
      <c r="S82" s="279">
        <f t="shared" si="38"/>
        <v>0</v>
      </c>
    </row>
    <row r="83" spans="1:19" ht="12.75" customHeight="1" x14ac:dyDescent="0.2">
      <c r="A83" s="198" t="str">
        <f>"      "&amp;Labels!B394</f>
        <v xml:space="preserve">      Contributor</v>
      </c>
      <c r="B83" s="226">
        <f t="shared" ref="B83:S83" si="39">SUM(B49,B66)</f>
        <v>0</v>
      </c>
      <c r="C83" s="226">
        <f t="shared" si="39"/>
        <v>0</v>
      </c>
      <c r="D83" s="226">
        <f t="shared" si="39"/>
        <v>0</v>
      </c>
      <c r="E83" s="226">
        <f t="shared" si="39"/>
        <v>0</v>
      </c>
      <c r="F83" s="226">
        <f t="shared" si="39"/>
        <v>0</v>
      </c>
      <c r="G83" s="226">
        <f t="shared" si="39"/>
        <v>0</v>
      </c>
      <c r="H83" s="226">
        <f t="shared" si="39"/>
        <v>0</v>
      </c>
      <c r="I83" s="226">
        <f t="shared" si="39"/>
        <v>0</v>
      </c>
      <c r="J83" s="226">
        <f t="shared" si="39"/>
        <v>0</v>
      </c>
      <c r="K83" s="226">
        <f t="shared" si="39"/>
        <v>0</v>
      </c>
      <c r="L83" s="226">
        <f t="shared" si="39"/>
        <v>0</v>
      </c>
      <c r="M83" s="226">
        <f t="shared" si="39"/>
        <v>0</v>
      </c>
      <c r="N83" s="226">
        <f t="shared" si="39"/>
        <v>0</v>
      </c>
      <c r="O83" s="226">
        <f t="shared" si="39"/>
        <v>0</v>
      </c>
      <c r="P83" s="226">
        <f t="shared" si="39"/>
        <v>0</v>
      </c>
      <c r="Q83" s="226">
        <f t="shared" si="39"/>
        <v>0</v>
      </c>
      <c r="R83" s="226">
        <f t="shared" si="39"/>
        <v>0</v>
      </c>
      <c r="S83" s="279">
        <f t="shared" si="39"/>
        <v>0</v>
      </c>
    </row>
    <row r="84" spans="1:19" ht="12.75" customHeight="1" x14ac:dyDescent="0.2">
      <c r="A84" s="188" t="str">
        <f>"      "&amp;Labels!C392</f>
        <v xml:space="preserve">      Total</v>
      </c>
      <c r="B84" s="196">
        <f t="shared" ref="B84:S84" si="40">SUM(B50,B67)</f>
        <v>0</v>
      </c>
      <c r="C84" s="196">
        <f t="shared" si="40"/>
        <v>0</v>
      </c>
      <c r="D84" s="196">
        <f t="shared" si="40"/>
        <v>0</v>
      </c>
      <c r="E84" s="196">
        <f t="shared" si="40"/>
        <v>0</v>
      </c>
      <c r="F84" s="196">
        <f t="shared" si="40"/>
        <v>0</v>
      </c>
      <c r="G84" s="196">
        <f t="shared" si="40"/>
        <v>0</v>
      </c>
      <c r="H84" s="196">
        <f t="shared" si="40"/>
        <v>0</v>
      </c>
      <c r="I84" s="196">
        <f t="shared" si="40"/>
        <v>0</v>
      </c>
      <c r="J84" s="196">
        <f t="shared" si="40"/>
        <v>0</v>
      </c>
      <c r="K84" s="196">
        <f t="shared" si="40"/>
        <v>0</v>
      </c>
      <c r="L84" s="196">
        <f t="shared" si="40"/>
        <v>0</v>
      </c>
      <c r="M84" s="196">
        <f t="shared" si="40"/>
        <v>0</v>
      </c>
      <c r="N84" s="196">
        <f t="shared" si="40"/>
        <v>0</v>
      </c>
      <c r="O84" s="196">
        <f t="shared" si="40"/>
        <v>0</v>
      </c>
      <c r="P84" s="196">
        <f t="shared" si="40"/>
        <v>0</v>
      </c>
      <c r="Q84" s="196">
        <f t="shared" si="40"/>
        <v>0</v>
      </c>
      <c r="R84" s="196">
        <f t="shared" si="40"/>
        <v>0</v>
      </c>
      <c r="S84" s="267">
        <f t="shared" si="40"/>
        <v>0</v>
      </c>
    </row>
    <row r="85" spans="1:19" ht="12.75" customHeight="1" x14ac:dyDescent="0.2">
      <c r="A85" s="188" t="str">
        <f>"   "&amp;Labels!B331</f>
        <v xml:space="preserve">   Travel Entertain</v>
      </c>
      <c r="B85" s="196"/>
      <c r="C85" s="196"/>
      <c r="D85" s="196"/>
      <c r="E85" s="196"/>
      <c r="F85" s="196"/>
      <c r="G85" s="196"/>
      <c r="H85" s="196"/>
      <c r="I85" s="196"/>
      <c r="J85" s="196"/>
      <c r="K85" s="196"/>
      <c r="L85" s="196"/>
      <c r="M85" s="196"/>
      <c r="N85" s="196"/>
      <c r="O85" s="196"/>
      <c r="P85" s="196"/>
      <c r="Q85" s="196"/>
      <c r="R85" s="196"/>
      <c r="S85" s="267"/>
    </row>
    <row r="86" spans="1:19" ht="12.75" customHeight="1" x14ac:dyDescent="0.2">
      <c r="A86" s="198" t="str">
        <f>"      "&amp;Labels!B393</f>
        <v xml:space="preserve">      Manager</v>
      </c>
      <c r="B86" s="226">
        <f t="shared" ref="B86:S86" si="41">SUM(B52,B69)</f>
        <v>0</v>
      </c>
      <c r="C86" s="226">
        <f t="shared" si="41"/>
        <v>0</v>
      </c>
      <c r="D86" s="226">
        <f t="shared" si="41"/>
        <v>0</v>
      </c>
      <c r="E86" s="226">
        <f t="shared" si="41"/>
        <v>0</v>
      </c>
      <c r="F86" s="226">
        <f t="shared" si="41"/>
        <v>0</v>
      </c>
      <c r="G86" s="226">
        <f t="shared" si="41"/>
        <v>0</v>
      </c>
      <c r="H86" s="226">
        <f t="shared" si="41"/>
        <v>0</v>
      </c>
      <c r="I86" s="226">
        <f t="shared" si="41"/>
        <v>0</v>
      </c>
      <c r="J86" s="226">
        <f t="shared" si="41"/>
        <v>0</v>
      </c>
      <c r="K86" s="226">
        <f t="shared" si="41"/>
        <v>0</v>
      </c>
      <c r="L86" s="226">
        <f t="shared" si="41"/>
        <v>0</v>
      </c>
      <c r="M86" s="226">
        <f t="shared" si="41"/>
        <v>0</v>
      </c>
      <c r="N86" s="226">
        <f t="shared" si="41"/>
        <v>0</v>
      </c>
      <c r="O86" s="226">
        <f t="shared" si="41"/>
        <v>0</v>
      </c>
      <c r="P86" s="226">
        <f t="shared" si="41"/>
        <v>0</v>
      </c>
      <c r="Q86" s="226">
        <f t="shared" si="41"/>
        <v>0</v>
      </c>
      <c r="R86" s="226">
        <f t="shared" si="41"/>
        <v>0</v>
      </c>
      <c r="S86" s="279">
        <f t="shared" si="41"/>
        <v>0</v>
      </c>
    </row>
    <row r="87" spans="1:19" ht="12.75" customHeight="1" x14ac:dyDescent="0.2">
      <c r="A87" s="198" t="str">
        <f>"      "&amp;Labels!B394</f>
        <v xml:space="preserve">      Contributor</v>
      </c>
      <c r="B87" s="226">
        <f t="shared" ref="B87:S87" si="42">SUM(B53,B70)</f>
        <v>0</v>
      </c>
      <c r="C87" s="226">
        <f t="shared" si="42"/>
        <v>0</v>
      </c>
      <c r="D87" s="226">
        <f t="shared" si="42"/>
        <v>0</v>
      </c>
      <c r="E87" s="226">
        <f t="shared" si="42"/>
        <v>0</v>
      </c>
      <c r="F87" s="226">
        <f t="shared" si="42"/>
        <v>0</v>
      </c>
      <c r="G87" s="226">
        <f t="shared" si="42"/>
        <v>0</v>
      </c>
      <c r="H87" s="226">
        <f t="shared" si="42"/>
        <v>0</v>
      </c>
      <c r="I87" s="226">
        <f t="shared" si="42"/>
        <v>0</v>
      </c>
      <c r="J87" s="226">
        <f t="shared" si="42"/>
        <v>0</v>
      </c>
      <c r="K87" s="226">
        <f t="shared" si="42"/>
        <v>0</v>
      </c>
      <c r="L87" s="226">
        <f t="shared" si="42"/>
        <v>0</v>
      </c>
      <c r="M87" s="226">
        <f t="shared" si="42"/>
        <v>0</v>
      </c>
      <c r="N87" s="226">
        <f t="shared" si="42"/>
        <v>0</v>
      </c>
      <c r="O87" s="226">
        <f t="shared" si="42"/>
        <v>0</v>
      </c>
      <c r="P87" s="226">
        <f t="shared" si="42"/>
        <v>0</v>
      </c>
      <c r="Q87" s="226">
        <f t="shared" si="42"/>
        <v>0</v>
      </c>
      <c r="R87" s="226">
        <f t="shared" si="42"/>
        <v>0</v>
      </c>
      <c r="S87" s="279">
        <f t="shared" si="42"/>
        <v>0</v>
      </c>
    </row>
    <row r="88" spans="1:19" ht="12.75" customHeight="1" x14ac:dyDescent="0.2">
      <c r="A88" s="188" t="str">
        <f>"      "&amp;Labels!C392</f>
        <v xml:space="preserve">      Total</v>
      </c>
      <c r="B88" s="196">
        <f t="shared" ref="B88:S88" si="43">SUM(B54,B71)</f>
        <v>0</v>
      </c>
      <c r="C88" s="196">
        <f t="shared" si="43"/>
        <v>0</v>
      </c>
      <c r="D88" s="196">
        <f t="shared" si="43"/>
        <v>0</v>
      </c>
      <c r="E88" s="196">
        <f t="shared" si="43"/>
        <v>0</v>
      </c>
      <c r="F88" s="196">
        <f t="shared" si="43"/>
        <v>0</v>
      </c>
      <c r="G88" s="196">
        <f t="shared" si="43"/>
        <v>0</v>
      </c>
      <c r="H88" s="196">
        <f t="shared" si="43"/>
        <v>0</v>
      </c>
      <c r="I88" s="196">
        <f t="shared" si="43"/>
        <v>0</v>
      </c>
      <c r="J88" s="196">
        <f t="shared" si="43"/>
        <v>0</v>
      </c>
      <c r="K88" s="196">
        <f t="shared" si="43"/>
        <v>0</v>
      </c>
      <c r="L88" s="196">
        <f t="shared" si="43"/>
        <v>0</v>
      </c>
      <c r="M88" s="196">
        <f t="shared" si="43"/>
        <v>0</v>
      </c>
      <c r="N88" s="196">
        <f t="shared" si="43"/>
        <v>0</v>
      </c>
      <c r="O88" s="196">
        <f t="shared" si="43"/>
        <v>0</v>
      </c>
      <c r="P88" s="196">
        <f t="shared" si="43"/>
        <v>0</v>
      </c>
      <c r="Q88" s="196">
        <f t="shared" si="43"/>
        <v>0</v>
      </c>
      <c r="R88" s="196">
        <f t="shared" si="43"/>
        <v>0</v>
      </c>
      <c r="S88" s="267">
        <f t="shared" si="43"/>
        <v>0</v>
      </c>
    </row>
    <row r="89" spans="1:19" ht="12.75" customHeight="1" x14ac:dyDescent="0.2">
      <c r="A89" s="188" t="str">
        <f>"   "&amp;Labels!B332</f>
        <v xml:space="preserve">   Other</v>
      </c>
      <c r="B89" s="196"/>
      <c r="C89" s="196"/>
      <c r="D89" s="196"/>
      <c r="E89" s="196"/>
      <c r="F89" s="196"/>
      <c r="G89" s="196"/>
      <c r="H89" s="196"/>
      <c r="I89" s="196"/>
      <c r="J89" s="196"/>
      <c r="K89" s="196"/>
      <c r="L89" s="196"/>
      <c r="M89" s="196"/>
      <c r="N89" s="196"/>
      <c r="O89" s="196"/>
      <c r="P89" s="196"/>
      <c r="Q89" s="196"/>
      <c r="R89" s="196"/>
      <c r="S89" s="267"/>
    </row>
    <row r="90" spans="1:19" ht="12.75" customHeight="1" x14ac:dyDescent="0.2">
      <c r="A90" s="198" t="str">
        <f>"      "&amp;Labels!B393</f>
        <v xml:space="preserve">      Manager</v>
      </c>
      <c r="B90" s="226">
        <f t="shared" ref="B90:S90" si="44">SUM(B56,B73)</f>
        <v>0</v>
      </c>
      <c r="C90" s="226">
        <f t="shared" si="44"/>
        <v>0</v>
      </c>
      <c r="D90" s="226">
        <f t="shared" si="44"/>
        <v>0</v>
      </c>
      <c r="E90" s="226">
        <f t="shared" si="44"/>
        <v>0</v>
      </c>
      <c r="F90" s="226">
        <f t="shared" si="44"/>
        <v>0</v>
      </c>
      <c r="G90" s="226">
        <f t="shared" si="44"/>
        <v>0</v>
      </c>
      <c r="H90" s="226">
        <f t="shared" si="44"/>
        <v>0</v>
      </c>
      <c r="I90" s="226">
        <f t="shared" si="44"/>
        <v>0</v>
      </c>
      <c r="J90" s="226">
        <f t="shared" si="44"/>
        <v>0</v>
      </c>
      <c r="K90" s="226">
        <f t="shared" si="44"/>
        <v>0</v>
      </c>
      <c r="L90" s="226">
        <f t="shared" si="44"/>
        <v>0</v>
      </c>
      <c r="M90" s="226">
        <f t="shared" si="44"/>
        <v>0</v>
      </c>
      <c r="N90" s="226">
        <f t="shared" si="44"/>
        <v>0</v>
      </c>
      <c r="O90" s="226">
        <f t="shared" si="44"/>
        <v>0</v>
      </c>
      <c r="P90" s="226">
        <f t="shared" si="44"/>
        <v>0</v>
      </c>
      <c r="Q90" s="226">
        <f t="shared" si="44"/>
        <v>0</v>
      </c>
      <c r="R90" s="226">
        <f t="shared" si="44"/>
        <v>0</v>
      </c>
      <c r="S90" s="279">
        <f t="shared" si="44"/>
        <v>0</v>
      </c>
    </row>
    <row r="91" spans="1:19" ht="12.75" customHeight="1" x14ac:dyDescent="0.2">
      <c r="A91" s="198" t="str">
        <f>"      "&amp;Labels!B394</f>
        <v xml:space="preserve">      Contributor</v>
      </c>
      <c r="B91" s="226">
        <f t="shared" ref="B91:S91" si="45">SUM(B57,B74)</f>
        <v>0</v>
      </c>
      <c r="C91" s="226">
        <f t="shared" si="45"/>
        <v>0</v>
      </c>
      <c r="D91" s="226">
        <f t="shared" si="45"/>
        <v>0</v>
      </c>
      <c r="E91" s="226">
        <f t="shared" si="45"/>
        <v>0</v>
      </c>
      <c r="F91" s="226">
        <f t="shared" si="45"/>
        <v>0</v>
      </c>
      <c r="G91" s="226">
        <f t="shared" si="45"/>
        <v>0</v>
      </c>
      <c r="H91" s="226">
        <f t="shared" si="45"/>
        <v>0</v>
      </c>
      <c r="I91" s="226">
        <f t="shared" si="45"/>
        <v>0</v>
      </c>
      <c r="J91" s="226">
        <f t="shared" si="45"/>
        <v>0</v>
      </c>
      <c r="K91" s="226">
        <f t="shared" si="45"/>
        <v>0</v>
      </c>
      <c r="L91" s="226">
        <f t="shared" si="45"/>
        <v>0</v>
      </c>
      <c r="M91" s="226">
        <f t="shared" si="45"/>
        <v>0</v>
      </c>
      <c r="N91" s="226">
        <f t="shared" si="45"/>
        <v>0</v>
      </c>
      <c r="O91" s="226">
        <f t="shared" si="45"/>
        <v>0</v>
      </c>
      <c r="P91" s="226">
        <f t="shared" si="45"/>
        <v>0</v>
      </c>
      <c r="Q91" s="226">
        <f t="shared" si="45"/>
        <v>0</v>
      </c>
      <c r="R91" s="226">
        <f t="shared" si="45"/>
        <v>0</v>
      </c>
      <c r="S91" s="279">
        <f t="shared" si="45"/>
        <v>0</v>
      </c>
    </row>
    <row r="92" spans="1:19" ht="12.75" customHeight="1" x14ac:dyDescent="0.2">
      <c r="A92" s="188" t="str">
        <f>"      "&amp;Labels!C392</f>
        <v xml:space="preserve">      Total</v>
      </c>
      <c r="B92" s="196">
        <f t="shared" ref="B92:S92" si="46">SUM(B58,B75)</f>
        <v>0</v>
      </c>
      <c r="C92" s="196">
        <f t="shared" si="46"/>
        <v>0</v>
      </c>
      <c r="D92" s="196">
        <f t="shared" si="46"/>
        <v>0</v>
      </c>
      <c r="E92" s="196">
        <f t="shared" si="46"/>
        <v>0</v>
      </c>
      <c r="F92" s="196">
        <f t="shared" si="46"/>
        <v>0</v>
      </c>
      <c r="G92" s="196">
        <f t="shared" si="46"/>
        <v>0</v>
      </c>
      <c r="H92" s="196">
        <f t="shared" si="46"/>
        <v>0</v>
      </c>
      <c r="I92" s="196">
        <f t="shared" si="46"/>
        <v>0</v>
      </c>
      <c r="J92" s="196">
        <f t="shared" si="46"/>
        <v>0</v>
      </c>
      <c r="K92" s="196">
        <f t="shared" si="46"/>
        <v>0</v>
      </c>
      <c r="L92" s="196">
        <f t="shared" si="46"/>
        <v>0</v>
      </c>
      <c r="M92" s="196">
        <f t="shared" si="46"/>
        <v>0</v>
      </c>
      <c r="N92" s="196">
        <f t="shared" si="46"/>
        <v>0</v>
      </c>
      <c r="O92" s="196">
        <f t="shared" si="46"/>
        <v>0</v>
      </c>
      <c r="P92" s="196">
        <f t="shared" si="46"/>
        <v>0</v>
      </c>
      <c r="Q92" s="196">
        <f t="shared" si="46"/>
        <v>0</v>
      </c>
      <c r="R92" s="196">
        <f t="shared" si="46"/>
        <v>0</v>
      </c>
      <c r="S92" s="267">
        <f t="shared" si="46"/>
        <v>0</v>
      </c>
    </row>
    <row r="93" spans="1:19" ht="12.75" customHeight="1" x14ac:dyDescent="0.2">
      <c r="A93" s="191" t="str">
        <f>"   "&amp;Labels!C329</f>
        <v xml:space="preserve">   Total</v>
      </c>
      <c r="B93" s="192">
        <f t="shared" ref="B93:S93" si="47">SUM(B59,B76)</f>
        <v>0</v>
      </c>
      <c r="C93" s="192">
        <f t="shared" si="47"/>
        <v>0</v>
      </c>
      <c r="D93" s="192">
        <f t="shared" si="47"/>
        <v>0</v>
      </c>
      <c r="E93" s="192">
        <f t="shared" si="47"/>
        <v>0</v>
      </c>
      <c r="F93" s="192">
        <f t="shared" si="47"/>
        <v>0</v>
      </c>
      <c r="G93" s="192">
        <f t="shared" si="47"/>
        <v>0</v>
      </c>
      <c r="H93" s="192">
        <f t="shared" si="47"/>
        <v>0</v>
      </c>
      <c r="I93" s="192">
        <f t="shared" si="47"/>
        <v>0</v>
      </c>
      <c r="J93" s="192">
        <f t="shared" si="47"/>
        <v>0</v>
      </c>
      <c r="K93" s="192">
        <f t="shared" si="47"/>
        <v>0</v>
      </c>
      <c r="L93" s="192">
        <f t="shared" si="47"/>
        <v>0</v>
      </c>
      <c r="M93" s="192">
        <f t="shared" si="47"/>
        <v>0</v>
      </c>
      <c r="N93" s="192">
        <f t="shared" si="47"/>
        <v>0</v>
      </c>
      <c r="O93" s="192">
        <f t="shared" si="47"/>
        <v>0</v>
      </c>
      <c r="P93" s="192">
        <f t="shared" si="47"/>
        <v>0</v>
      </c>
      <c r="Q93" s="192">
        <f t="shared" si="47"/>
        <v>0</v>
      </c>
      <c r="R93" s="192">
        <f t="shared" si="47"/>
        <v>0</v>
      </c>
      <c r="S93" s="280">
        <f t="shared" si="47"/>
        <v>0</v>
      </c>
    </row>
    <row r="94" spans="1:19" ht="12.75" customHeight="1" x14ac:dyDescent="0.2">
      <c r="A94" s="198" t="str">
        <f>"      "&amp;Labels!B393</f>
        <v xml:space="preserve">      Manager</v>
      </c>
      <c r="B94" s="226">
        <f t="shared" ref="B94:S94" si="48">SUM(B60,B77)</f>
        <v>0</v>
      </c>
      <c r="C94" s="226">
        <f t="shared" si="48"/>
        <v>0</v>
      </c>
      <c r="D94" s="226">
        <f t="shared" si="48"/>
        <v>0</v>
      </c>
      <c r="E94" s="226">
        <f t="shared" si="48"/>
        <v>0</v>
      </c>
      <c r="F94" s="226">
        <f t="shared" si="48"/>
        <v>0</v>
      </c>
      <c r="G94" s="226">
        <f t="shared" si="48"/>
        <v>0</v>
      </c>
      <c r="H94" s="226">
        <f t="shared" si="48"/>
        <v>0</v>
      </c>
      <c r="I94" s="226">
        <f t="shared" si="48"/>
        <v>0</v>
      </c>
      <c r="J94" s="226">
        <f t="shared" si="48"/>
        <v>0</v>
      </c>
      <c r="K94" s="226">
        <f t="shared" si="48"/>
        <v>0</v>
      </c>
      <c r="L94" s="226">
        <f t="shared" si="48"/>
        <v>0</v>
      </c>
      <c r="M94" s="226">
        <f t="shared" si="48"/>
        <v>0</v>
      </c>
      <c r="N94" s="226">
        <f t="shared" si="48"/>
        <v>0</v>
      </c>
      <c r="O94" s="226">
        <f t="shared" si="48"/>
        <v>0</v>
      </c>
      <c r="P94" s="226">
        <f t="shared" si="48"/>
        <v>0</v>
      </c>
      <c r="Q94" s="226">
        <f t="shared" si="48"/>
        <v>0</v>
      </c>
      <c r="R94" s="226">
        <f t="shared" si="48"/>
        <v>0</v>
      </c>
      <c r="S94" s="279">
        <f t="shared" si="48"/>
        <v>0</v>
      </c>
    </row>
    <row r="95" spans="1:19" ht="12.75" customHeight="1" x14ac:dyDescent="0.2">
      <c r="A95" s="198" t="str">
        <f>"      "&amp;Labels!B394</f>
        <v xml:space="preserve">      Contributor</v>
      </c>
      <c r="B95" s="226">
        <f t="shared" ref="B95:S95" si="49">SUM(B61,B78)</f>
        <v>0</v>
      </c>
      <c r="C95" s="226">
        <f t="shared" si="49"/>
        <v>0</v>
      </c>
      <c r="D95" s="226">
        <f t="shared" si="49"/>
        <v>0</v>
      </c>
      <c r="E95" s="226">
        <f t="shared" si="49"/>
        <v>0</v>
      </c>
      <c r="F95" s="226">
        <f t="shared" si="49"/>
        <v>0</v>
      </c>
      <c r="G95" s="226">
        <f t="shared" si="49"/>
        <v>0</v>
      </c>
      <c r="H95" s="226">
        <f t="shared" si="49"/>
        <v>0</v>
      </c>
      <c r="I95" s="226">
        <f t="shared" si="49"/>
        <v>0</v>
      </c>
      <c r="J95" s="226">
        <f t="shared" si="49"/>
        <v>0</v>
      </c>
      <c r="K95" s="226">
        <f t="shared" si="49"/>
        <v>0</v>
      </c>
      <c r="L95" s="226">
        <f t="shared" si="49"/>
        <v>0</v>
      </c>
      <c r="M95" s="226">
        <f t="shared" si="49"/>
        <v>0</v>
      </c>
      <c r="N95" s="226">
        <f t="shared" si="49"/>
        <v>0</v>
      </c>
      <c r="O95" s="226">
        <f t="shared" si="49"/>
        <v>0</v>
      </c>
      <c r="P95" s="226">
        <f t="shared" si="49"/>
        <v>0</v>
      </c>
      <c r="Q95" s="226">
        <f t="shared" si="49"/>
        <v>0</v>
      </c>
      <c r="R95" s="226">
        <f t="shared" si="49"/>
        <v>0</v>
      </c>
      <c r="S95" s="279">
        <f t="shared" si="49"/>
        <v>0</v>
      </c>
    </row>
    <row r="96" spans="1:19" ht="12.75" customHeight="1" x14ac:dyDescent="0.2">
      <c r="A96" s="220" t="str">
        <f>"      "&amp;Labels!C392</f>
        <v xml:space="preserve">      Total</v>
      </c>
      <c r="B96" s="228">
        <f t="shared" ref="B96:S96" si="50">SUM(B59,B76)</f>
        <v>0</v>
      </c>
      <c r="C96" s="228">
        <f t="shared" si="50"/>
        <v>0</v>
      </c>
      <c r="D96" s="228">
        <f t="shared" si="50"/>
        <v>0</v>
      </c>
      <c r="E96" s="228">
        <f t="shared" si="50"/>
        <v>0</v>
      </c>
      <c r="F96" s="228">
        <f t="shared" si="50"/>
        <v>0</v>
      </c>
      <c r="G96" s="228">
        <f t="shared" si="50"/>
        <v>0</v>
      </c>
      <c r="H96" s="228">
        <f t="shared" si="50"/>
        <v>0</v>
      </c>
      <c r="I96" s="228">
        <f t="shared" si="50"/>
        <v>0</v>
      </c>
      <c r="J96" s="228">
        <f t="shared" si="50"/>
        <v>0</v>
      </c>
      <c r="K96" s="228">
        <f t="shared" si="50"/>
        <v>0</v>
      </c>
      <c r="L96" s="228">
        <f t="shared" si="50"/>
        <v>0</v>
      </c>
      <c r="M96" s="228">
        <f t="shared" si="50"/>
        <v>0</v>
      </c>
      <c r="N96" s="228">
        <f t="shared" si="50"/>
        <v>0</v>
      </c>
      <c r="O96" s="228">
        <f t="shared" si="50"/>
        <v>0</v>
      </c>
      <c r="P96" s="228">
        <f t="shared" si="50"/>
        <v>0</v>
      </c>
      <c r="Q96" s="228">
        <f t="shared" si="50"/>
        <v>0</v>
      </c>
      <c r="R96" s="228">
        <f t="shared" si="50"/>
        <v>0</v>
      </c>
      <c r="S96" s="281">
        <f t="shared" si="50"/>
        <v>0</v>
      </c>
    </row>
    <row r="97" spans="1:20" ht="12.75" customHeight="1" x14ac:dyDescent="0.2">
      <c r="A97" s="1" t="str">
        <f>"Untagged_Asset_Purch_1"</f>
        <v>Untagged_Asset_Purch_1</v>
      </c>
    </row>
    <row r="98" spans="1:20" ht="12.75" customHeight="1" x14ac:dyDescent="0.2">
      <c r="B98" s="9" t="str">
        <f>'(FnCalls 1)'!F40</f>
        <v>MMM 2009</v>
      </c>
      <c r="C98" s="10" t="str">
        <f>'(FnCalls 1)'!F41</f>
        <v>MMM 2010</v>
      </c>
      <c r="D98" s="10" t="str">
        <f>'(FnCalls 1)'!F42</f>
        <v>MMM 2010</v>
      </c>
      <c r="E98" s="10" t="str">
        <f>'(FnCalls 1)'!F43</f>
        <v>MMM 2010</v>
      </c>
      <c r="F98" s="10" t="str">
        <f>'(FnCalls 1)'!F44</f>
        <v>MMM 2010</v>
      </c>
      <c r="G98" s="10" t="str">
        <f>'(FnCalls 1)'!F45</f>
        <v>MMM 2010</v>
      </c>
      <c r="H98" s="10" t="str">
        <f>'(FnCalls 1)'!F46</f>
        <v>MMM 2010</v>
      </c>
      <c r="I98" s="10" t="str">
        <f>'(FnCalls 1)'!F47</f>
        <v>MMM 2010</v>
      </c>
      <c r="J98" s="10" t="str">
        <f>'(FnCalls 1)'!F48</f>
        <v>MMM 2010</v>
      </c>
      <c r="K98" s="10" t="str">
        <f>'(FnCalls 1)'!F49</f>
        <v>MMM 2010</v>
      </c>
      <c r="L98" s="10" t="str">
        <f>'(FnCalls 1)'!F50</f>
        <v>MMM 2010</v>
      </c>
      <c r="M98" s="10" t="str">
        <f>'(FnCalls 1)'!F51</f>
        <v>MMM 2010</v>
      </c>
      <c r="N98" s="10" t="str">
        <f>'(FnCalls 1)'!F52</f>
        <v>MMM 2010</v>
      </c>
      <c r="O98" s="10" t="str">
        <f>'(FnCalls 1)'!F53</f>
        <v>MMM 2011</v>
      </c>
      <c r="P98" s="10" t="str">
        <f>'(FnCalls 1)'!F54</f>
        <v>MMM 2011</v>
      </c>
      <c r="Q98" s="10" t="str">
        <f>'(FnCalls 1)'!F55</f>
        <v>MMM 2011</v>
      </c>
      <c r="R98" s="10" t="str">
        <f>'(FnCalls 1)'!F56</f>
        <v>MMM 2011</v>
      </c>
      <c r="S98" s="10" t="str">
        <f>'(FnCalls 1)'!F57</f>
        <v>MMM 2011</v>
      </c>
      <c r="T98" s="11" t="str">
        <f>'(FnCalls 1)'!F58</f>
        <v>MMM 2011</v>
      </c>
    </row>
    <row r="99" spans="1:20" ht="12.75" customHeight="1" x14ac:dyDescent="0.2">
      <c r="A99" s="182" t="str">
        <f>Labels!B408</f>
        <v>Furniture</v>
      </c>
      <c r="B99" s="183"/>
      <c r="C99" s="183"/>
      <c r="D99" s="183"/>
      <c r="E99" s="183"/>
      <c r="F99" s="183"/>
      <c r="G99" s="183"/>
      <c r="H99" s="183"/>
      <c r="I99" s="183"/>
      <c r="J99" s="183"/>
      <c r="K99" s="183"/>
      <c r="L99" s="183"/>
      <c r="M99" s="183"/>
      <c r="N99" s="183"/>
      <c r="O99" s="183"/>
      <c r="P99" s="183"/>
      <c r="Q99" s="183"/>
      <c r="R99" s="183"/>
      <c r="S99" s="183"/>
      <c r="T99" s="266"/>
    </row>
    <row r="100" spans="1:20" ht="12.75" customHeight="1" x14ac:dyDescent="0.2">
      <c r="A100" s="188" t="str">
        <f>"   "&amp;Labels!B321</f>
        <v xml:space="preserve">   Marketing</v>
      </c>
      <c r="B100" s="196"/>
      <c r="C100" s="196"/>
      <c r="D100" s="196"/>
      <c r="E100" s="196"/>
      <c r="F100" s="196"/>
      <c r="G100" s="196"/>
      <c r="H100" s="196"/>
      <c r="I100" s="196"/>
      <c r="J100" s="196"/>
      <c r="K100" s="196"/>
      <c r="L100" s="196"/>
      <c r="M100" s="196"/>
      <c r="N100" s="196"/>
      <c r="O100" s="196"/>
      <c r="P100" s="196"/>
      <c r="Q100" s="196"/>
      <c r="R100" s="196"/>
      <c r="S100" s="196"/>
      <c r="T100" s="267"/>
    </row>
    <row r="101" spans="1:20" ht="12.75" customHeight="1" x14ac:dyDescent="0.2">
      <c r="A101" s="198" t="str">
        <f>"      "&amp;Labels!B393</f>
        <v xml:space="preserve">      Manager</v>
      </c>
      <c r="B101" s="226"/>
      <c r="C101" s="226">
        <f>Inputs!F384*'Sup Staff'!B23</f>
        <v>0</v>
      </c>
      <c r="D101" s="226">
        <f>Inputs!F384*'Sup Staff'!C23</f>
        <v>0</v>
      </c>
      <c r="E101" s="226">
        <f>Inputs!F384*'Sup Staff'!D23</f>
        <v>0</v>
      </c>
      <c r="F101" s="226">
        <f>Inputs!F384*'Sup Staff'!F23</f>
        <v>0</v>
      </c>
      <c r="G101" s="226">
        <f>Inputs!F384*'Sup Staff'!G23</f>
        <v>0</v>
      </c>
      <c r="H101" s="226">
        <f>Inputs!F384*'Sup Staff'!H23</f>
        <v>0</v>
      </c>
      <c r="I101" s="226">
        <f>Inputs!F384*'Sup Staff'!J23</f>
        <v>0</v>
      </c>
      <c r="J101" s="226">
        <f>Inputs!F384*'Sup Staff'!K23</f>
        <v>0</v>
      </c>
      <c r="K101" s="226">
        <f>Inputs!F384*'Sup Staff'!L23</f>
        <v>0</v>
      </c>
      <c r="L101" s="226">
        <f>Inputs!F384*'Sup Staff'!N23</f>
        <v>0</v>
      </c>
      <c r="M101" s="226">
        <f>Inputs!F384*'Sup Staff'!O23</f>
        <v>0</v>
      </c>
      <c r="N101" s="226">
        <f>Inputs!F384*'Sup Staff'!P23</f>
        <v>0</v>
      </c>
      <c r="O101" s="226">
        <f>Inputs!F384*'Sup Staff'!R23</f>
        <v>0</v>
      </c>
      <c r="P101" s="226">
        <f>Inputs!F384*'Sup Staff'!S23</f>
        <v>0</v>
      </c>
      <c r="Q101" s="226">
        <f>Inputs!F384*'Sup Staff'!T23</f>
        <v>0</v>
      </c>
      <c r="R101" s="226">
        <f>Inputs!F384*'Sup Staff'!V23</f>
        <v>0</v>
      </c>
      <c r="S101" s="226">
        <f>Inputs!F384*'Sup Staff'!W23</f>
        <v>0</v>
      </c>
      <c r="T101" s="279">
        <f>Inputs!F384*'Sup Staff'!X23</f>
        <v>0</v>
      </c>
    </row>
    <row r="102" spans="1:20" ht="12.75" customHeight="1" x14ac:dyDescent="0.2">
      <c r="A102" s="198" t="str">
        <f>"      "&amp;Labels!B394</f>
        <v xml:space="preserve">      Contributor</v>
      </c>
      <c r="B102" s="226"/>
      <c r="C102" s="226">
        <f>Inputs!F384*'Sup Staff'!B24</f>
        <v>0</v>
      </c>
      <c r="D102" s="226">
        <f>Inputs!F384*'Sup Staff'!C24</f>
        <v>0</v>
      </c>
      <c r="E102" s="226">
        <f>Inputs!F384*'Sup Staff'!D24</f>
        <v>0</v>
      </c>
      <c r="F102" s="226">
        <f>Inputs!F384*'Sup Staff'!F24</f>
        <v>0</v>
      </c>
      <c r="G102" s="226">
        <f>Inputs!F384*'Sup Staff'!G24</f>
        <v>0</v>
      </c>
      <c r="H102" s="226">
        <f>Inputs!F384*'Sup Staff'!H24</f>
        <v>0</v>
      </c>
      <c r="I102" s="226">
        <f>Inputs!F384*'Sup Staff'!J24</f>
        <v>0</v>
      </c>
      <c r="J102" s="226">
        <f>Inputs!F384*'Sup Staff'!K24</f>
        <v>0</v>
      </c>
      <c r="K102" s="226">
        <f>Inputs!F384*'Sup Staff'!L24</f>
        <v>0</v>
      </c>
      <c r="L102" s="226">
        <f>Inputs!F384*'Sup Staff'!N24</f>
        <v>0</v>
      </c>
      <c r="M102" s="226">
        <f>Inputs!F384*'Sup Staff'!O24</f>
        <v>0</v>
      </c>
      <c r="N102" s="226">
        <f>Inputs!F384*'Sup Staff'!P24</f>
        <v>0</v>
      </c>
      <c r="O102" s="226">
        <f>Inputs!F384*'Sup Staff'!R24</f>
        <v>0</v>
      </c>
      <c r="P102" s="226">
        <f>Inputs!F384*'Sup Staff'!S24</f>
        <v>0</v>
      </c>
      <c r="Q102" s="226">
        <f>Inputs!F384*'Sup Staff'!T24</f>
        <v>0</v>
      </c>
      <c r="R102" s="226">
        <f>Inputs!F384*'Sup Staff'!V24</f>
        <v>0</v>
      </c>
      <c r="S102" s="226">
        <f>Inputs!F384*'Sup Staff'!W24</f>
        <v>0</v>
      </c>
      <c r="T102" s="279">
        <f>Inputs!F384*'Sup Staff'!X24</f>
        <v>0</v>
      </c>
    </row>
    <row r="103" spans="1:20" ht="12.75" customHeight="1" x14ac:dyDescent="0.2">
      <c r="A103" s="188" t="str">
        <f>"      "&amp;Labels!C392</f>
        <v xml:space="preserve">      Total</v>
      </c>
      <c r="B103" s="196">
        <f t="shared" ref="B103:T103" si="51">SUM(B101:B102)</f>
        <v>0</v>
      </c>
      <c r="C103" s="196">
        <f t="shared" si="51"/>
        <v>0</v>
      </c>
      <c r="D103" s="196">
        <f t="shared" si="51"/>
        <v>0</v>
      </c>
      <c r="E103" s="196">
        <f t="shared" si="51"/>
        <v>0</v>
      </c>
      <c r="F103" s="196">
        <f t="shared" si="51"/>
        <v>0</v>
      </c>
      <c r="G103" s="196">
        <f t="shared" si="51"/>
        <v>0</v>
      </c>
      <c r="H103" s="196">
        <f t="shared" si="51"/>
        <v>0</v>
      </c>
      <c r="I103" s="196">
        <f t="shared" si="51"/>
        <v>0</v>
      </c>
      <c r="J103" s="196">
        <f t="shared" si="51"/>
        <v>0</v>
      </c>
      <c r="K103" s="196">
        <f t="shared" si="51"/>
        <v>0</v>
      </c>
      <c r="L103" s="196">
        <f t="shared" si="51"/>
        <v>0</v>
      </c>
      <c r="M103" s="196">
        <f t="shared" si="51"/>
        <v>0</v>
      </c>
      <c r="N103" s="196">
        <f t="shared" si="51"/>
        <v>0</v>
      </c>
      <c r="O103" s="196">
        <f t="shared" si="51"/>
        <v>0</v>
      </c>
      <c r="P103" s="196">
        <f t="shared" si="51"/>
        <v>0</v>
      </c>
      <c r="Q103" s="196">
        <f t="shared" si="51"/>
        <v>0</v>
      </c>
      <c r="R103" s="196">
        <f t="shared" si="51"/>
        <v>0</v>
      </c>
      <c r="S103" s="196">
        <f t="shared" si="51"/>
        <v>0</v>
      </c>
      <c r="T103" s="267">
        <f t="shared" si="51"/>
        <v>0</v>
      </c>
    </row>
    <row r="104" spans="1:20" ht="12.75" customHeight="1" x14ac:dyDescent="0.2">
      <c r="A104" s="188" t="str">
        <f>"   "&amp;Labels!B322</f>
        <v xml:space="preserve">   Sales</v>
      </c>
      <c r="B104" s="196"/>
      <c r="C104" s="196"/>
      <c r="D104" s="196"/>
      <c r="E104" s="196"/>
      <c r="F104" s="196"/>
      <c r="G104" s="196"/>
      <c r="H104" s="196"/>
      <c r="I104" s="196"/>
      <c r="J104" s="196"/>
      <c r="K104" s="196"/>
      <c r="L104" s="196"/>
      <c r="M104" s="196"/>
      <c r="N104" s="196"/>
      <c r="O104" s="196"/>
      <c r="P104" s="196"/>
      <c r="Q104" s="196"/>
      <c r="R104" s="196"/>
      <c r="S104" s="196"/>
      <c r="T104" s="267"/>
    </row>
    <row r="105" spans="1:20" ht="12.75" customHeight="1" x14ac:dyDescent="0.2">
      <c r="A105" s="198" t="str">
        <f>"      "&amp;Labels!B393</f>
        <v xml:space="preserve">      Manager</v>
      </c>
      <c r="B105" s="226"/>
      <c r="C105" s="226">
        <f>Inputs!F384*'Sup Staff'!B27</f>
        <v>0</v>
      </c>
      <c r="D105" s="226">
        <f>Inputs!F384*'Sup Staff'!C27</f>
        <v>0</v>
      </c>
      <c r="E105" s="226">
        <f>Inputs!F384*'Sup Staff'!D27</f>
        <v>0</v>
      </c>
      <c r="F105" s="226">
        <f>Inputs!F384*'Sup Staff'!F27</f>
        <v>0</v>
      </c>
      <c r="G105" s="226">
        <f>Inputs!F384*'Sup Staff'!G27</f>
        <v>0</v>
      </c>
      <c r="H105" s="226">
        <f>Inputs!F384*'Sup Staff'!H27</f>
        <v>0</v>
      </c>
      <c r="I105" s="226">
        <f>Inputs!F384*'Sup Staff'!J27</f>
        <v>0</v>
      </c>
      <c r="J105" s="226">
        <f>Inputs!F384*'Sup Staff'!K27</f>
        <v>0</v>
      </c>
      <c r="K105" s="226">
        <f>Inputs!F384*'Sup Staff'!L27</f>
        <v>0</v>
      </c>
      <c r="L105" s="226">
        <f>Inputs!F384*'Sup Staff'!N27</f>
        <v>0</v>
      </c>
      <c r="M105" s="226">
        <f>Inputs!F384*'Sup Staff'!O27</f>
        <v>0</v>
      </c>
      <c r="N105" s="226">
        <f>Inputs!F384*'Sup Staff'!P27</f>
        <v>0</v>
      </c>
      <c r="O105" s="226">
        <f>Inputs!F384*'Sup Staff'!R27</f>
        <v>0</v>
      </c>
      <c r="P105" s="226">
        <f>Inputs!F384*'Sup Staff'!S27</f>
        <v>0</v>
      </c>
      <c r="Q105" s="226">
        <f>Inputs!F384*'Sup Staff'!T27</f>
        <v>0</v>
      </c>
      <c r="R105" s="226">
        <f>Inputs!F384*'Sup Staff'!V27</f>
        <v>0</v>
      </c>
      <c r="S105" s="226">
        <f>Inputs!F384*'Sup Staff'!W27</f>
        <v>0</v>
      </c>
      <c r="T105" s="279">
        <f>Inputs!F384*'Sup Staff'!X27</f>
        <v>0</v>
      </c>
    </row>
    <row r="106" spans="1:20" ht="12.75" customHeight="1" x14ac:dyDescent="0.2">
      <c r="A106" s="198" t="str">
        <f>"      "&amp;Labels!B394</f>
        <v xml:space="preserve">      Contributor</v>
      </c>
      <c r="B106" s="226"/>
      <c r="C106" s="226">
        <f>Inputs!F384*'Sup Staff'!B28</f>
        <v>0</v>
      </c>
      <c r="D106" s="226">
        <f>Inputs!F384*'Sup Staff'!C28</f>
        <v>0</v>
      </c>
      <c r="E106" s="226">
        <f>Inputs!F384*'Sup Staff'!D28</f>
        <v>0</v>
      </c>
      <c r="F106" s="226">
        <f>Inputs!F384*'Sup Staff'!F28</f>
        <v>0</v>
      </c>
      <c r="G106" s="226">
        <f>Inputs!F384*'Sup Staff'!G28</f>
        <v>0</v>
      </c>
      <c r="H106" s="226">
        <f>Inputs!F384*'Sup Staff'!H28</f>
        <v>0</v>
      </c>
      <c r="I106" s="226">
        <f>Inputs!F384*'Sup Staff'!J28</f>
        <v>0</v>
      </c>
      <c r="J106" s="226">
        <f>Inputs!F384*'Sup Staff'!K28</f>
        <v>0</v>
      </c>
      <c r="K106" s="226">
        <f>Inputs!F384*'Sup Staff'!L28</f>
        <v>0</v>
      </c>
      <c r="L106" s="226">
        <f>Inputs!F384*'Sup Staff'!N28</f>
        <v>0</v>
      </c>
      <c r="M106" s="226">
        <f>Inputs!F384*'Sup Staff'!O28</f>
        <v>0</v>
      </c>
      <c r="N106" s="226">
        <f>Inputs!F384*'Sup Staff'!P28</f>
        <v>0</v>
      </c>
      <c r="O106" s="226">
        <f>Inputs!F384*'Sup Staff'!R28</f>
        <v>0</v>
      </c>
      <c r="P106" s="226">
        <f>Inputs!F384*'Sup Staff'!S28</f>
        <v>0</v>
      </c>
      <c r="Q106" s="226">
        <f>Inputs!F384*'Sup Staff'!T28</f>
        <v>0</v>
      </c>
      <c r="R106" s="226">
        <f>Inputs!F384*'Sup Staff'!V28</f>
        <v>0</v>
      </c>
      <c r="S106" s="226">
        <f>Inputs!F384*'Sup Staff'!W28</f>
        <v>0</v>
      </c>
      <c r="T106" s="279">
        <f>Inputs!F384*'Sup Staff'!X28</f>
        <v>0</v>
      </c>
    </row>
    <row r="107" spans="1:20" ht="12.75" customHeight="1" x14ac:dyDescent="0.2">
      <c r="A107" s="188" t="str">
        <f>"      "&amp;Labels!C392</f>
        <v xml:space="preserve">      Total</v>
      </c>
      <c r="B107" s="196">
        <f t="shared" ref="B107:T107" si="52">SUM(B105:B106)</f>
        <v>0</v>
      </c>
      <c r="C107" s="196">
        <f t="shared" si="52"/>
        <v>0</v>
      </c>
      <c r="D107" s="196">
        <f t="shared" si="52"/>
        <v>0</v>
      </c>
      <c r="E107" s="196">
        <f t="shared" si="52"/>
        <v>0</v>
      </c>
      <c r="F107" s="196">
        <f t="shared" si="52"/>
        <v>0</v>
      </c>
      <c r="G107" s="196">
        <f t="shared" si="52"/>
        <v>0</v>
      </c>
      <c r="H107" s="196">
        <f t="shared" si="52"/>
        <v>0</v>
      </c>
      <c r="I107" s="196">
        <f t="shared" si="52"/>
        <v>0</v>
      </c>
      <c r="J107" s="196">
        <f t="shared" si="52"/>
        <v>0</v>
      </c>
      <c r="K107" s="196">
        <f t="shared" si="52"/>
        <v>0</v>
      </c>
      <c r="L107" s="196">
        <f t="shared" si="52"/>
        <v>0</v>
      </c>
      <c r="M107" s="196">
        <f t="shared" si="52"/>
        <v>0</v>
      </c>
      <c r="N107" s="196">
        <f t="shared" si="52"/>
        <v>0</v>
      </c>
      <c r="O107" s="196">
        <f t="shared" si="52"/>
        <v>0</v>
      </c>
      <c r="P107" s="196">
        <f t="shared" si="52"/>
        <v>0</v>
      </c>
      <c r="Q107" s="196">
        <f t="shared" si="52"/>
        <v>0</v>
      </c>
      <c r="R107" s="196">
        <f t="shared" si="52"/>
        <v>0</v>
      </c>
      <c r="S107" s="196">
        <f t="shared" si="52"/>
        <v>0</v>
      </c>
      <c r="T107" s="267">
        <f t="shared" si="52"/>
        <v>0</v>
      </c>
    </row>
    <row r="108" spans="1:20" ht="12.75" customHeight="1" x14ac:dyDescent="0.2">
      <c r="A108" s="191" t="str">
        <f>"   "&amp;Labels!C320</f>
        <v xml:space="preserve">   Total</v>
      </c>
      <c r="B108" s="192">
        <f t="shared" ref="B108:T108" si="53">SUM(B103,B107)</f>
        <v>0</v>
      </c>
      <c r="C108" s="192">
        <f t="shared" si="53"/>
        <v>0</v>
      </c>
      <c r="D108" s="192">
        <f t="shared" si="53"/>
        <v>0</v>
      </c>
      <c r="E108" s="192">
        <f t="shared" si="53"/>
        <v>0</v>
      </c>
      <c r="F108" s="192">
        <f t="shared" si="53"/>
        <v>0</v>
      </c>
      <c r="G108" s="192">
        <f t="shared" si="53"/>
        <v>0</v>
      </c>
      <c r="H108" s="192">
        <f t="shared" si="53"/>
        <v>0</v>
      </c>
      <c r="I108" s="192">
        <f t="shared" si="53"/>
        <v>0</v>
      </c>
      <c r="J108" s="192">
        <f t="shared" si="53"/>
        <v>0</v>
      </c>
      <c r="K108" s="192">
        <f t="shared" si="53"/>
        <v>0</v>
      </c>
      <c r="L108" s="192">
        <f t="shared" si="53"/>
        <v>0</v>
      </c>
      <c r="M108" s="192">
        <f t="shared" si="53"/>
        <v>0</v>
      </c>
      <c r="N108" s="192">
        <f t="shared" si="53"/>
        <v>0</v>
      </c>
      <c r="O108" s="192">
        <f t="shared" si="53"/>
        <v>0</v>
      </c>
      <c r="P108" s="192">
        <f t="shared" si="53"/>
        <v>0</v>
      </c>
      <c r="Q108" s="192">
        <f t="shared" si="53"/>
        <v>0</v>
      </c>
      <c r="R108" s="192">
        <f t="shared" si="53"/>
        <v>0</v>
      </c>
      <c r="S108" s="192">
        <f t="shared" si="53"/>
        <v>0</v>
      </c>
      <c r="T108" s="280">
        <f t="shared" si="53"/>
        <v>0</v>
      </c>
    </row>
    <row r="109" spans="1:20" ht="12.75" customHeight="1" x14ac:dyDescent="0.2">
      <c r="A109" s="198" t="str">
        <f>"      "&amp;Labels!B393</f>
        <v xml:space="preserve">      Manager</v>
      </c>
      <c r="B109" s="226">
        <f t="shared" ref="B109:T109" si="54">SUM(B101,B105)</f>
        <v>0</v>
      </c>
      <c r="C109" s="226">
        <f t="shared" si="54"/>
        <v>0</v>
      </c>
      <c r="D109" s="226">
        <f t="shared" si="54"/>
        <v>0</v>
      </c>
      <c r="E109" s="226">
        <f t="shared" si="54"/>
        <v>0</v>
      </c>
      <c r="F109" s="226">
        <f t="shared" si="54"/>
        <v>0</v>
      </c>
      <c r="G109" s="226">
        <f t="shared" si="54"/>
        <v>0</v>
      </c>
      <c r="H109" s="226">
        <f t="shared" si="54"/>
        <v>0</v>
      </c>
      <c r="I109" s="226">
        <f t="shared" si="54"/>
        <v>0</v>
      </c>
      <c r="J109" s="226">
        <f t="shared" si="54"/>
        <v>0</v>
      </c>
      <c r="K109" s="226">
        <f t="shared" si="54"/>
        <v>0</v>
      </c>
      <c r="L109" s="226">
        <f t="shared" si="54"/>
        <v>0</v>
      </c>
      <c r="M109" s="226">
        <f t="shared" si="54"/>
        <v>0</v>
      </c>
      <c r="N109" s="226">
        <f t="shared" si="54"/>
        <v>0</v>
      </c>
      <c r="O109" s="226">
        <f t="shared" si="54"/>
        <v>0</v>
      </c>
      <c r="P109" s="226">
        <f t="shared" si="54"/>
        <v>0</v>
      </c>
      <c r="Q109" s="226">
        <f t="shared" si="54"/>
        <v>0</v>
      </c>
      <c r="R109" s="226">
        <f t="shared" si="54"/>
        <v>0</v>
      </c>
      <c r="S109" s="226">
        <f t="shared" si="54"/>
        <v>0</v>
      </c>
      <c r="T109" s="279">
        <f t="shared" si="54"/>
        <v>0</v>
      </c>
    </row>
    <row r="110" spans="1:20" ht="12.75" customHeight="1" x14ac:dyDescent="0.2">
      <c r="A110" s="198" t="str">
        <f>"      "&amp;Labels!B394</f>
        <v xml:space="preserve">      Contributor</v>
      </c>
      <c r="B110" s="226">
        <f t="shared" ref="B110:T110" si="55">SUM(B102,B106)</f>
        <v>0</v>
      </c>
      <c r="C110" s="226">
        <f t="shared" si="55"/>
        <v>0</v>
      </c>
      <c r="D110" s="226">
        <f t="shared" si="55"/>
        <v>0</v>
      </c>
      <c r="E110" s="226">
        <f t="shared" si="55"/>
        <v>0</v>
      </c>
      <c r="F110" s="226">
        <f t="shared" si="55"/>
        <v>0</v>
      </c>
      <c r="G110" s="226">
        <f t="shared" si="55"/>
        <v>0</v>
      </c>
      <c r="H110" s="226">
        <f t="shared" si="55"/>
        <v>0</v>
      </c>
      <c r="I110" s="226">
        <f t="shared" si="55"/>
        <v>0</v>
      </c>
      <c r="J110" s="226">
        <f t="shared" si="55"/>
        <v>0</v>
      </c>
      <c r="K110" s="226">
        <f t="shared" si="55"/>
        <v>0</v>
      </c>
      <c r="L110" s="226">
        <f t="shared" si="55"/>
        <v>0</v>
      </c>
      <c r="M110" s="226">
        <f t="shared" si="55"/>
        <v>0</v>
      </c>
      <c r="N110" s="226">
        <f t="shared" si="55"/>
        <v>0</v>
      </c>
      <c r="O110" s="226">
        <f t="shared" si="55"/>
        <v>0</v>
      </c>
      <c r="P110" s="226">
        <f t="shared" si="55"/>
        <v>0</v>
      </c>
      <c r="Q110" s="226">
        <f t="shared" si="55"/>
        <v>0</v>
      </c>
      <c r="R110" s="226">
        <f t="shared" si="55"/>
        <v>0</v>
      </c>
      <c r="S110" s="226">
        <f t="shared" si="55"/>
        <v>0</v>
      </c>
      <c r="T110" s="279">
        <f t="shared" si="55"/>
        <v>0</v>
      </c>
    </row>
    <row r="111" spans="1:20" ht="12.75" customHeight="1" x14ac:dyDescent="0.2">
      <c r="A111" s="188" t="str">
        <f>"      "&amp;Labels!C392</f>
        <v xml:space="preserve">      Total</v>
      </c>
      <c r="B111" s="196">
        <f t="shared" ref="B111:T111" si="56">SUM(B103,B107)</f>
        <v>0</v>
      </c>
      <c r="C111" s="196">
        <f t="shared" si="56"/>
        <v>0</v>
      </c>
      <c r="D111" s="196">
        <f t="shared" si="56"/>
        <v>0</v>
      </c>
      <c r="E111" s="196">
        <f t="shared" si="56"/>
        <v>0</v>
      </c>
      <c r="F111" s="196">
        <f t="shared" si="56"/>
        <v>0</v>
      </c>
      <c r="G111" s="196">
        <f t="shared" si="56"/>
        <v>0</v>
      </c>
      <c r="H111" s="196">
        <f t="shared" si="56"/>
        <v>0</v>
      </c>
      <c r="I111" s="196">
        <f t="shared" si="56"/>
        <v>0</v>
      </c>
      <c r="J111" s="196">
        <f t="shared" si="56"/>
        <v>0</v>
      </c>
      <c r="K111" s="196">
        <f t="shared" si="56"/>
        <v>0</v>
      </c>
      <c r="L111" s="196">
        <f t="shared" si="56"/>
        <v>0</v>
      </c>
      <c r="M111" s="196">
        <f t="shared" si="56"/>
        <v>0</v>
      </c>
      <c r="N111" s="196">
        <f t="shared" si="56"/>
        <v>0</v>
      </c>
      <c r="O111" s="196">
        <f t="shared" si="56"/>
        <v>0</v>
      </c>
      <c r="P111" s="196">
        <f t="shared" si="56"/>
        <v>0</v>
      </c>
      <c r="Q111" s="196">
        <f t="shared" si="56"/>
        <v>0</v>
      </c>
      <c r="R111" s="196">
        <f t="shared" si="56"/>
        <v>0</v>
      </c>
      <c r="S111" s="196">
        <f t="shared" si="56"/>
        <v>0</v>
      </c>
      <c r="T111" s="267">
        <f t="shared" si="56"/>
        <v>0</v>
      </c>
    </row>
    <row r="112" spans="1:20" ht="12.75" customHeight="1" x14ac:dyDescent="0.2">
      <c r="A112" s="191" t="str">
        <f>Labels!B409</f>
        <v>Office Equip</v>
      </c>
      <c r="B112" s="192"/>
      <c r="C112" s="192"/>
      <c r="D112" s="192"/>
      <c r="E112" s="192"/>
      <c r="F112" s="192"/>
      <c r="G112" s="192"/>
      <c r="H112" s="192"/>
      <c r="I112" s="192"/>
      <c r="J112" s="192"/>
      <c r="K112" s="192"/>
      <c r="L112" s="192"/>
      <c r="M112" s="192"/>
      <c r="N112" s="192"/>
      <c r="O112" s="192"/>
      <c r="P112" s="192"/>
      <c r="Q112" s="192"/>
      <c r="R112" s="192"/>
      <c r="S112" s="192"/>
      <c r="T112" s="280"/>
    </row>
    <row r="113" spans="1:20" ht="12.75" customHeight="1" x14ac:dyDescent="0.2">
      <c r="A113" s="188" t="str">
        <f>"   "&amp;Labels!B321</f>
        <v xml:space="preserve">   Marketing</v>
      </c>
      <c r="B113" s="196"/>
      <c r="C113" s="196"/>
      <c r="D113" s="196"/>
      <c r="E113" s="196"/>
      <c r="F113" s="196"/>
      <c r="G113" s="196"/>
      <c r="H113" s="196"/>
      <c r="I113" s="196"/>
      <c r="J113" s="196"/>
      <c r="K113" s="196"/>
      <c r="L113" s="196"/>
      <c r="M113" s="196"/>
      <c r="N113" s="196"/>
      <c r="O113" s="196"/>
      <c r="P113" s="196"/>
      <c r="Q113" s="196"/>
      <c r="R113" s="196"/>
      <c r="S113" s="196"/>
      <c r="T113" s="267"/>
    </row>
    <row r="114" spans="1:20" ht="12.75" customHeight="1" x14ac:dyDescent="0.2">
      <c r="A114" s="198" t="str">
        <f>"      "&amp;Labels!B393</f>
        <v xml:space="preserve">      Manager</v>
      </c>
      <c r="B114" s="226"/>
      <c r="C114" s="226">
        <f>Inputs!G384*'Sup Staff'!B23</f>
        <v>0</v>
      </c>
      <c r="D114" s="226">
        <f>Inputs!G384*'Sup Staff'!C23</f>
        <v>0</v>
      </c>
      <c r="E114" s="226">
        <f>Inputs!G384*'Sup Staff'!D23</f>
        <v>0</v>
      </c>
      <c r="F114" s="226">
        <f>Inputs!G384*'Sup Staff'!F23</f>
        <v>0</v>
      </c>
      <c r="G114" s="226">
        <f>Inputs!G384*'Sup Staff'!G23</f>
        <v>0</v>
      </c>
      <c r="H114" s="226">
        <f>Inputs!G384*'Sup Staff'!H23</f>
        <v>0</v>
      </c>
      <c r="I114" s="226">
        <f>Inputs!G384*'Sup Staff'!J23</f>
        <v>0</v>
      </c>
      <c r="J114" s="226">
        <f>Inputs!G384*'Sup Staff'!K23</f>
        <v>0</v>
      </c>
      <c r="K114" s="226">
        <f>Inputs!G384*'Sup Staff'!L23</f>
        <v>0</v>
      </c>
      <c r="L114" s="226">
        <f>Inputs!G384*'Sup Staff'!N23</f>
        <v>0</v>
      </c>
      <c r="M114" s="226">
        <f>Inputs!G384*'Sup Staff'!O23</f>
        <v>0</v>
      </c>
      <c r="N114" s="226">
        <f>Inputs!G384*'Sup Staff'!P23</f>
        <v>0</v>
      </c>
      <c r="O114" s="226">
        <f>Inputs!G384*'Sup Staff'!R23</f>
        <v>0</v>
      </c>
      <c r="P114" s="226">
        <f>Inputs!G384*'Sup Staff'!S23</f>
        <v>0</v>
      </c>
      <c r="Q114" s="226">
        <f>Inputs!G384*'Sup Staff'!T23</f>
        <v>0</v>
      </c>
      <c r="R114" s="226">
        <f>Inputs!G384*'Sup Staff'!V23</f>
        <v>0</v>
      </c>
      <c r="S114" s="226">
        <f>Inputs!G384*'Sup Staff'!W23</f>
        <v>0</v>
      </c>
      <c r="T114" s="279">
        <f>Inputs!G384*'Sup Staff'!X23</f>
        <v>0</v>
      </c>
    </row>
    <row r="115" spans="1:20" ht="12.75" customHeight="1" x14ac:dyDescent="0.2">
      <c r="A115" s="198" t="str">
        <f>"      "&amp;Labels!B394</f>
        <v xml:space="preserve">      Contributor</v>
      </c>
      <c r="B115" s="226"/>
      <c r="C115" s="226">
        <f>Inputs!G384*'Sup Staff'!B24</f>
        <v>0</v>
      </c>
      <c r="D115" s="226">
        <f>Inputs!G384*'Sup Staff'!C24</f>
        <v>0</v>
      </c>
      <c r="E115" s="226">
        <f>Inputs!G384*'Sup Staff'!D24</f>
        <v>0</v>
      </c>
      <c r="F115" s="226">
        <f>Inputs!G384*'Sup Staff'!F24</f>
        <v>0</v>
      </c>
      <c r="G115" s="226">
        <f>Inputs!G384*'Sup Staff'!G24</f>
        <v>0</v>
      </c>
      <c r="H115" s="226">
        <f>Inputs!G384*'Sup Staff'!H24</f>
        <v>0</v>
      </c>
      <c r="I115" s="226">
        <f>Inputs!G384*'Sup Staff'!J24</f>
        <v>0</v>
      </c>
      <c r="J115" s="226">
        <f>Inputs!G384*'Sup Staff'!K24</f>
        <v>0</v>
      </c>
      <c r="K115" s="226">
        <f>Inputs!G384*'Sup Staff'!L24</f>
        <v>0</v>
      </c>
      <c r="L115" s="226">
        <f>Inputs!G384*'Sup Staff'!N24</f>
        <v>0</v>
      </c>
      <c r="M115" s="226">
        <f>Inputs!G384*'Sup Staff'!O24</f>
        <v>0</v>
      </c>
      <c r="N115" s="226">
        <f>Inputs!G384*'Sup Staff'!P24</f>
        <v>0</v>
      </c>
      <c r="O115" s="226">
        <f>Inputs!G384*'Sup Staff'!R24</f>
        <v>0</v>
      </c>
      <c r="P115" s="226">
        <f>Inputs!G384*'Sup Staff'!S24</f>
        <v>0</v>
      </c>
      <c r="Q115" s="226">
        <f>Inputs!G384*'Sup Staff'!T24</f>
        <v>0</v>
      </c>
      <c r="R115" s="226">
        <f>Inputs!G384*'Sup Staff'!V24</f>
        <v>0</v>
      </c>
      <c r="S115" s="226">
        <f>Inputs!G384*'Sup Staff'!W24</f>
        <v>0</v>
      </c>
      <c r="T115" s="279">
        <f>Inputs!G384*'Sup Staff'!X24</f>
        <v>0</v>
      </c>
    </row>
    <row r="116" spans="1:20" ht="12.75" customHeight="1" x14ac:dyDescent="0.2">
      <c r="A116" s="188" t="str">
        <f>"      "&amp;Labels!C392</f>
        <v xml:space="preserve">      Total</v>
      </c>
      <c r="B116" s="196">
        <f t="shared" ref="B116:T116" si="57">SUM(B114:B115)</f>
        <v>0</v>
      </c>
      <c r="C116" s="196">
        <f t="shared" si="57"/>
        <v>0</v>
      </c>
      <c r="D116" s="196">
        <f t="shared" si="57"/>
        <v>0</v>
      </c>
      <c r="E116" s="196">
        <f t="shared" si="57"/>
        <v>0</v>
      </c>
      <c r="F116" s="196">
        <f t="shared" si="57"/>
        <v>0</v>
      </c>
      <c r="G116" s="196">
        <f t="shared" si="57"/>
        <v>0</v>
      </c>
      <c r="H116" s="196">
        <f t="shared" si="57"/>
        <v>0</v>
      </c>
      <c r="I116" s="196">
        <f t="shared" si="57"/>
        <v>0</v>
      </c>
      <c r="J116" s="196">
        <f t="shared" si="57"/>
        <v>0</v>
      </c>
      <c r="K116" s="196">
        <f t="shared" si="57"/>
        <v>0</v>
      </c>
      <c r="L116" s="196">
        <f t="shared" si="57"/>
        <v>0</v>
      </c>
      <c r="M116" s="196">
        <f t="shared" si="57"/>
        <v>0</v>
      </c>
      <c r="N116" s="196">
        <f t="shared" si="57"/>
        <v>0</v>
      </c>
      <c r="O116" s="196">
        <f t="shared" si="57"/>
        <v>0</v>
      </c>
      <c r="P116" s="196">
        <f t="shared" si="57"/>
        <v>0</v>
      </c>
      <c r="Q116" s="196">
        <f t="shared" si="57"/>
        <v>0</v>
      </c>
      <c r="R116" s="196">
        <f t="shared" si="57"/>
        <v>0</v>
      </c>
      <c r="S116" s="196">
        <f t="shared" si="57"/>
        <v>0</v>
      </c>
      <c r="T116" s="267">
        <f t="shared" si="57"/>
        <v>0</v>
      </c>
    </row>
    <row r="117" spans="1:20" ht="12.75" customHeight="1" x14ac:dyDescent="0.2">
      <c r="A117" s="188" t="str">
        <f>"   "&amp;Labels!B322</f>
        <v xml:space="preserve">   Sales</v>
      </c>
      <c r="B117" s="196"/>
      <c r="C117" s="196"/>
      <c r="D117" s="196"/>
      <c r="E117" s="196"/>
      <c r="F117" s="196"/>
      <c r="G117" s="196"/>
      <c r="H117" s="196"/>
      <c r="I117" s="196"/>
      <c r="J117" s="196"/>
      <c r="K117" s="196"/>
      <c r="L117" s="196"/>
      <c r="M117" s="196"/>
      <c r="N117" s="196"/>
      <c r="O117" s="196"/>
      <c r="P117" s="196"/>
      <c r="Q117" s="196"/>
      <c r="R117" s="196"/>
      <c r="S117" s="196"/>
      <c r="T117" s="267"/>
    </row>
    <row r="118" spans="1:20" ht="12.75" customHeight="1" x14ac:dyDescent="0.2">
      <c r="A118" s="198" t="str">
        <f>"      "&amp;Labels!B393</f>
        <v xml:space="preserve">      Manager</v>
      </c>
      <c r="B118" s="226"/>
      <c r="C118" s="226">
        <f>Inputs!G384*'Sup Staff'!B27</f>
        <v>0</v>
      </c>
      <c r="D118" s="226">
        <f>Inputs!G384*'Sup Staff'!C27</f>
        <v>0</v>
      </c>
      <c r="E118" s="226">
        <f>Inputs!G384*'Sup Staff'!D27</f>
        <v>0</v>
      </c>
      <c r="F118" s="226">
        <f>Inputs!G384*'Sup Staff'!F27</f>
        <v>0</v>
      </c>
      <c r="G118" s="226">
        <f>Inputs!G384*'Sup Staff'!G27</f>
        <v>0</v>
      </c>
      <c r="H118" s="226">
        <f>Inputs!G384*'Sup Staff'!H27</f>
        <v>0</v>
      </c>
      <c r="I118" s="226">
        <f>Inputs!G384*'Sup Staff'!J27</f>
        <v>0</v>
      </c>
      <c r="J118" s="226">
        <f>Inputs!G384*'Sup Staff'!K27</f>
        <v>0</v>
      </c>
      <c r="K118" s="226">
        <f>Inputs!G384*'Sup Staff'!L27</f>
        <v>0</v>
      </c>
      <c r="L118" s="226">
        <f>Inputs!G384*'Sup Staff'!N27</f>
        <v>0</v>
      </c>
      <c r="M118" s="226">
        <f>Inputs!G384*'Sup Staff'!O27</f>
        <v>0</v>
      </c>
      <c r="N118" s="226">
        <f>Inputs!G384*'Sup Staff'!P27</f>
        <v>0</v>
      </c>
      <c r="O118" s="226">
        <f>Inputs!G384*'Sup Staff'!R27</f>
        <v>0</v>
      </c>
      <c r="P118" s="226">
        <f>Inputs!G384*'Sup Staff'!S27</f>
        <v>0</v>
      </c>
      <c r="Q118" s="226">
        <f>Inputs!G384*'Sup Staff'!T27</f>
        <v>0</v>
      </c>
      <c r="R118" s="226">
        <f>Inputs!G384*'Sup Staff'!V27</f>
        <v>0</v>
      </c>
      <c r="S118" s="226">
        <f>Inputs!G384*'Sup Staff'!W27</f>
        <v>0</v>
      </c>
      <c r="T118" s="279">
        <f>Inputs!G384*'Sup Staff'!X27</f>
        <v>0</v>
      </c>
    </row>
    <row r="119" spans="1:20" ht="12.75" customHeight="1" x14ac:dyDescent="0.2">
      <c r="A119" s="198" t="str">
        <f>"      "&amp;Labels!B394</f>
        <v xml:space="preserve">      Contributor</v>
      </c>
      <c r="B119" s="226"/>
      <c r="C119" s="226">
        <f>Inputs!G384*'Sup Staff'!B28</f>
        <v>0</v>
      </c>
      <c r="D119" s="226">
        <f>Inputs!G384*'Sup Staff'!C28</f>
        <v>0</v>
      </c>
      <c r="E119" s="226">
        <f>Inputs!G384*'Sup Staff'!D28</f>
        <v>0</v>
      </c>
      <c r="F119" s="226">
        <f>Inputs!G384*'Sup Staff'!F28</f>
        <v>0</v>
      </c>
      <c r="G119" s="226">
        <f>Inputs!G384*'Sup Staff'!G28</f>
        <v>0</v>
      </c>
      <c r="H119" s="226">
        <f>Inputs!G384*'Sup Staff'!H28</f>
        <v>0</v>
      </c>
      <c r="I119" s="226">
        <f>Inputs!G384*'Sup Staff'!J28</f>
        <v>0</v>
      </c>
      <c r="J119" s="226">
        <f>Inputs!G384*'Sup Staff'!K28</f>
        <v>0</v>
      </c>
      <c r="K119" s="226">
        <f>Inputs!G384*'Sup Staff'!L28</f>
        <v>0</v>
      </c>
      <c r="L119" s="226">
        <f>Inputs!G384*'Sup Staff'!N28</f>
        <v>0</v>
      </c>
      <c r="M119" s="226">
        <f>Inputs!G384*'Sup Staff'!O28</f>
        <v>0</v>
      </c>
      <c r="N119" s="226">
        <f>Inputs!G384*'Sup Staff'!P28</f>
        <v>0</v>
      </c>
      <c r="O119" s="226">
        <f>Inputs!G384*'Sup Staff'!R28</f>
        <v>0</v>
      </c>
      <c r="P119" s="226">
        <f>Inputs!G384*'Sup Staff'!S28</f>
        <v>0</v>
      </c>
      <c r="Q119" s="226">
        <f>Inputs!G384*'Sup Staff'!T28</f>
        <v>0</v>
      </c>
      <c r="R119" s="226">
        <f>Inputs!G384*'Sup Staff'!V28</f>
        <v>0</v>
      </c>
      <c r="S119" s="226">
        <f>Inputs!G384*'Sup Staff'!W28</f>
        <v>0</v>
      </c>
      <c r="T119" s="279">
        <f>Inputs!G384*'Sup Staff'!X28</f>
        <v>0</v>
      </c>
    </row>
    <row r="120" spans="1:20" ht="12.75" customHeight="1" x14ac:dyDescent="0.2">
      <c r="A120" s="188" t="str">
        <f>"      "&amp;Labels!C392</f>
        <v xml:space="preserve">      Total</v>
      </c>
      <c r="B120" s="196">
        <f t="shared" ref="B120:T120" si="58">SUM(B118:B119)</f>
        <v>0</v>
      </c>
      <c r="C120" s="196">
        <f t="shared" si="58"/>
        <v>0</v>
      </c>
      <c r="D120" s="196">
        <f t="shared" si="58"/>
        <v>0</v>
      </c>
      <c r="E120" s="196">
        <f t="shared" si="58"/>
        <v>0</v>
      </c>
      <c r="F120" s="196">
        <f t="shared" si="58"/>
        <v>0</v>
      </c>
      <c r="G120" s="196">
        <f t="shared" si="58"/>
        <v>0</v>
      </c>
      <c r="H120" s="196">
        <f t="shared" si="58"/>
        <v>0</v>
      </c>
      <c r="I120" s="196">
        <f t="shared" si="58"/>
        <v>0</v>
      </c>
      <c r="J120" s="196">
        <f t="shared" si="58"/>
        <v>0</v>
      </c>
      <c r="K120" s="196">
        <f t="shared" si="58"/>
        <v>0</v>
      </c>
      <c r="L120" s="196">
        <f t="shared" si="58"/>
        <v>0</v>
      </c>
      <c r="M120" s="196">
        <f t="shared" si="58"/>
        <v>0</v>
      </c>
      <c r="N120" s="196">
        <f t="shared" si="58"/>
        <v>0</v>
      </c>
      <c r="O120" s="196">
        <f t="shared" si="58"/>
        <v>0</v>
      </c>
      <c r="P120" s="196">
        <f t="shared" si="58"/>
        <v>0</v>
      </c>
      <c r="Q120" s="196">
        <f t="shared" si="58"/>
        <v>0</v>
      </c>
      <c r="R120" s="196">
        <f t="shared" si="58"/>
        <v>0</v>
      </c>
      <c r="S120" s="196">
        <f t="shared" si="58"/>
        <v>0</v>
      </c>
      <c r="T120" s="267">
        <f t="shared" si="58"/>
        <v>0</v>
      </c>
    </row>
    <row r="121" spans="1:20" ht="12.75" customHeight="1" x14ac:dyDescent="0.2">
      <c r="A121" s="191" t="str">
        <f>"   "&amp;Labels!C320</f>
        <v xml:space="preserve">   Total</v>
      </c>
      <c r="B121" s="192">
        <f t="shared" ref="B121:T121" si="59">SUM(B116,B120)</f>
        <v>0</v>
      </c>
      <c r="C121" s="192">
        <f t="shared" si="59"/>
        <v>0</v>
      </c>
      <c r="D121" s="192">
        <f t="shared" si="59"/>
        <v>0</v>
      </c>
      <c r="E121" s="192">
        <f t="shared" si="59"/>
        <v>0</v>
      </c>
      <c r="F121" s="192">
        <f t="shared" si="59"/>
        <v>0</v>
      </c>
      <c r="G121" s="192">
        <f t="shared" si="59"/>
        <v>0</v>
      </c>
      <c r="H121" s="192">
        <f t="shared" si="59"/>
        <v>0</v>
      </c>
      <c r="I121" s="192">
        <f t="shared" si="59"/>
        <v>0</v>
      </c>
      <c r="J121" s="192">
        <f t="shared" si="59"/>
        <v>0</v>
      </c>
      <c r="K121" s="192">
        <f t="shared" si="59"/>
        <v>0</v>
      </c>
      <c r="L121" s="192">
        <f t="shared" si="59"/>
        <v>0</v>
      </c>
      <c r="M121" s="192">
        <f t="shared" si="59"/>
        <v>0</v>
      </c>
      <c r="N121" s="192">
        <f t="shared" si="59"/>
        <v>0</v>
      </c>
      <c r="O121" s="192">
        <f t="shared" si="59"/>
        <v>0</v>
      </c>
      <c r="P121" s="192">
        <f t="shared" si="59"/>
        <v>0</v>
      </c>
      <c r="Q121" s="192">
        <f t="shared" si="59"/>
        <v>0</v>
      </c>
      <c r="R121" s="192">
        <f t="shared" si="59"/>
        <v>0</v>
      </c>
      <c r="S121" s="192">
        <f t="shared" si="59"/>
        <v>0</v>
      </c>
      <c r="T121" s="280">
        <f t="shared" si="59"/>
        <v>0</v>
      </c>
    </row>
    <row r="122" spans="1:20" ht="12.75" customHeight="1" x14ac:dyDescent="0.2">
      <c r="A122" s="198" t="str">
        <f>"      "&amp;Labels!B393</f>
        <v xml:space="preserve">      Manager</v>
      </c>
      <c r="B122" s="226">
        <f t="shared" ref="B122:T122" si="60">SUM(B114,B118)</f>
        <v>0</v>
      </c>
      <c r="C122" s="226">
        <f t="shared" si="60"/>
        <v>0</v>
      </c>
      <c r="D122" s="226">
        <f t="shared" si="60"/>
        <v>0</v>
      </c>
      <c r="E122" s="226">
        <f t="shared" si="60"/>
        <v>0</v>
      </c>
      <c r="F122" s="226">
        <f t="shared" si="60"/>
        <v>0</v>
      </c>
      <c r="G122" s="226">
        <f t="shared" si="60"/>
        <v>0</v>
      </c>
      <c r="H122" s="226">
        <f t="shared" si="60"/>
        <v>0</v>
      </c>
      <c r="I122" s="226">
        <f t="shared" si="60"/>
        <v>0</v>
      </c>
      <c r="J122" s="226">
        <f t="shared" si="60"/>
        <v>0</v>
      </c>
      <c r="K122" s="226">
        <f t="shared" si="60"/>
        <v>0</v>
      </c>
      <c r="L122" s="226">
        <f t="shared" si="60"/>
        <v>0</v>
      </c>
      <c r="M122" s="226">
        <f t="shared" si="60"/>
        <v>0</v>
      </c>
      <c r="N122" s="226">
        <f t="shared" si="60"/>
        <v>0</v>
      </c>
      <c r="O122" s="226">
        <f t="shared" si="60"/>
        <v>0</v>
      </c>
      <c r="P122" s="226">
        <f t="shared" si="60"/>
        <v>0</v>
      </c>
      <c r="Q122" s="226">
        <f t="shared" si="60"/>
        <v>0</v>
      </c>
      <c r="R122" s="226">
        <f t="shared" si="60"/>
        <v>0</v>
      </c>
      <c r="S122" s="226">
        <f t="shared" si="60"/>
        <v>0</v>
      </c>
      <c r="T122" s="279">
        <f t="shared" si="60"/>
        <v>0</v>
      </c>
    </row>
    <row r="123" spans="1:20" ht="12.75" customHeight="1" x14ac:dyDescent="0.2">
      <c r="A123" s="198" t="str">
        <f>"      "&amp;Labels!B394</f>
        <v xml:space="preserve">      Contributor</v>
      </c>
      <c r="B123" s="226">
        <f t="shared" ref="B123:T123" si="61">SUM(B115,B119)</f>
        <v>0</v>
      </c>
      <c r="C123" s="226">
        <f t="shared" si="61"/>
        <v>0</v>
      </c>
      <c r="D123" s="226">
        <f t="shared" si="61"/>
        <v>0</v>
      </c>
      <c r="E123" s="226">
        <f t="shared" si="61"/>
        <v>0</v>
      </c>
      <c r="F123" s="226">
        <f t="shared" si="61"/>
        <v>0</v>
      </c>
      <c r="G123" s="226">
        <f t="shared" si="61"/>
        <v>0</v>
      </c>
      <c r="H123" s="226">
        <f t="shared" si="61"/>
        <v>0</v>
      </c>
      <c r="I123" s="226">
        <f t="shared" si="61"/>
        <v>0</v>
      </c>
      <c r="J123" s="226">
        <f t="shared" si="61"/>
        <v>0</v>
      </c>
      <c r="K123" s="226">
        <f t="shared" si="61"/>
        <v>0</v>
      </c>
      <c r="L123" s="226">
        <f t="shared" si="61"/>
        <v>0</v>
      </c>
      <c r="M123" s="226">
        <f t="shared" si="61"/>
        <v>0</v>
      </c>
      <c r="N123" s="226">
        <f t="shared" si="61"/>
        <v>0</v>
      </c>
      <c r="O123" s="226">
        <f t="shared" si="61"/>
        <v>0</v>
      </c>
      <c r="P123" s="226">
        <f t="shared" si="61"/>
        <v>0</v>
      </c>
      <c r="Q123" s="226">
        <f t="shared" si="61"/>
        <v>0</v>
      </c>
      <c r="R123" s="226">
        <f t="shared" si="61"/>
        <v>0</v>
      </c>
      <c r="S123" s="226">
        <f t="shared" si="61"/>
        <v>0</v>
      </c>
      <c r="T123" s="279">
        <f t="shared" si="61"/>
        <v>0</v>
      </c>
    </row>
    <row r="124" spans="1:20" ht="12.75" customHeight="1" x14ac:dyDescent="0.2">
      <c r="A124" s="188" t="str">
        <f>"      "&amp;Labels!C392</f>
        <v xml:space="preserve">      Total</v>
      </c>
      <c r="B124" s="196">
        <f t="shared" ref="B124:T124" si="62">SUM(B116,B120)</f>
        <v>0</v>
      </c>
      <c r="C124" s="196">
        <f t="shared" si="62"/>
        <v>0</v>
      </c>
      <c r="D124" s="196">
        <f t="shared" si="62"/>
        <v>0</v>
      </c>
      <c r="E124" s="196">
        <f t="shared" si="62"/>
        <v>0</v>
      </c>
      <c r="F124" s="196">
        <f t="shared" si="62"/>
        <v>0</v>
      </c>
      <c r="G124" s="196">
        <f t="shared" si="62"/>
        <v>0</v>
      </c>
      <c r="H124" s="196">
        <f t="shared" si="62"/>
        <v>0</v>
      </c>
      <c r="I124" s="196">
        <f t="shared" si="62"/>
        <v>0</v>
      </c>
      <c r="J124" s="196">
        <f t="shared" si="62"/>
        <v>0</v>
      </c>
      <c r="K124" s="196">
        <f t="shared" si="62"/>
        <v>0</v>
      </c>
      <c r="L124" s="196">
        <f t="shared" si="62"/>
        <v>0</v>
      </c>
      <c r="M124" s="196">
        <f t="shared" si="62"/>
        <v>0</v>
      </c>
      <c r="N124" s="196">
        <f t="shared" si="62"/>
        <v>0</v>
      </c>
      <c r="O124" s="196">
        <f t="shared" si="62"/>
        <v>0</v>
      </c>
      <c r="P124" s="196">
        <f t="shared" si="62"/>
        <v>0</v>
      </c>
      <c r="Q124" s="196">
        <f t="shared" si="62"/>
        <v>0</v>
      </c>
      <c r="R124" s="196">
        <f t="shared" si="62"/>
        <v>0</v>
      </c>
      <c r="S124" s="196">
        <f t="shared" si="62"/>
        <v>0</v>
      </c>
      <c r="T124" s="267">
        <f t="shared" si="62"/>
        <v>0</v>
      </c>
    </row>
    <row r="125" spans="1:20" ht="12.75" customHeight="1" x14ac:dyDescent="0.2">
      <c r="A125" s="97" t="str">
        <f>Labels!C407</f>
        <v>Total</v>
      </c>
      <c r="B125" s="194">
        <f t="shared" ref="B125:T125" si="63">SUM(B108,B121)</f>
        <v>0</v>
      </c>
      <c r="C125" s="194">
        <f t="shared" si="63"/>
        <v>0</v>
      </c>
      <c r="D125" s="194">
        <f t="shared" si="63"/>
        <v>0</v>
      </c>
      <c r="E125" s="194">
        <f t="shared" si="63"/>
        <v>0</v>
      </c>
      <c r="F125" s="194">
        <f t="shared" si="63"/>
        <v>0</v>
      </c>
      <c r="G125" s="194">
        <f t="shared" si="63"/>
        <v>0</v>
      </c>
      <c r="H125" s="194">
        <f t="shared" si="63"/>
        <v>0</v>
      </c>
      <c r="I125" s="194">
        <f t="shared" si="63"/>
        <v>0</v>
      </c>
      <c r="J125" s="194">
        <f t="shared" si="63"/>
        <v>0</v>
      </c>
      <c r="K125" s="194">
        <f t="shared" si="63"/>
        <v>0</v>
      </c>
      <c r="L125" s="194">
        <f t="shared" si="63"/>
        <v>0</v>
      </c>
      <c r="M125" s="194">
        <f t="shared" si="63"/>
        <v>0</v>
      </c>
      <c r="N125" s="194">
        <f t="shared" si="63"/>
        <v>0</v>
      </c>
      <c r="O125" s="194">
        <f t="shared" si="63"/>
        <v>0</v>
      </c>
      <c r="P125" s="194">
        <f t="shared" si="63"/>
        <v>0</v>
      </c>
      <c r="Q125" s="194">
        <f t="shared" si="63"/>
        <v>0</v>
      </c>
      <c r="R125" s="194">
        <f t="shared" si="63"/>
        <v>0</v>
      </c>
      <c r="S125" s="194">
        <f t="shared" si="63"/>
        <v>0</v>
      </c>
      <c r="T125" s="351">
        <f t="shared" si="63"/>
        <v>0</v>
      </c>
    </row>
    <row r="126" spans="1:20" ht="12.75" customHeight="1" x14ac:dyDescent="0.2">
      <c r="A126" s="188" t="str">
        <f>"   "&amp;Labels!B321</f>
        <v xml:space="preserve">   Marketing</v>
      </c>
      <c r="B126" s="196"/>
      <c r="C126" s="196"/>
      <c r="D126" s="196"/>
      <c r="E126" s="196"/>
      <c r="F126" s="196"/>
      <c r="G126" s="196"/>
      <c r="H126" s="196"/>
      <c r="I126" s="196"/>
      <c r="J126" s="196"/>
      <c r="K126" s="196"/>
      <c r="L126" s="196"/>
      <c r="M126" s="196"/>
      <c r="N126" s="196"/>
      <c r="O126" s="196"/>
      <c r="P126" s="196"/>
      <c r="Q126" s="196"/>
      <c r="R126" s="196"/>
      <c r="S126" s="196"/>
      <c r="T126" s="267"/>
    </row>
    <row r="127" spans="1:20" ht="12.75" customHeight="1" x14ac:dyDescent="0.2">
      <c r="A127" s="198" t="str">
        <f>"      "&amp;Labels!B393</f>
        <v xml:space="preserve">      Manager</v>
      </c>
      <c r="B127" s="226">
        <f t="shared" ref="B127:T127" si="64">SUM(B101,B114)</f>
        <v>0</v>
      </c>
      <c r="C127" s="226">
        <f t="shared" si="64"/>
        <v>0</v>
      </c>
      <c r="D127" s="226">
        <f t="shared" si="64"/>
        <v>0</v>
      </c>
      <c r="E127" s="226">
        <f t="shared" si="64"/>
        <v>0</v>
      </c>
      <c r="F127" s="226">
        <f t="shared" si="64"/>
        <v>0</v>
      </c>
      <c r="G127" s="226">
        <f t="shared" si="64"/>
        <v>0</v>
      </c>
      <c r="H127" s="226">
        <f t="shared" si="64"/>
        <v>0</v>
      </c>
      <c r="I127" s="226">
        <f t="shared" si="64"/>
        <v>0</v>
      </c>
      <c r="J127" s="226">
        <f t="shared" si="64"/>
        <v>0</v>
      </c>
      <c r="K127" s="226">
        <f t="shared" si="64"/>
        <v>0</v>
      </c>
      <c r="L127" s="226">
        <f t="shared" si="64"/>
        <v>0</v>
      </c>
      <c r="M127" s="226">
        <f t="shared" si="64"/>
        <v>0</v>
      </c>
      <c r="N127" s="226">
        <f t="shared" si="64"/>
        <v>0</v>
      </c>
      <c r="O127" s="226">
        <f t="shared" si="64"/>
        <v>0</v>
      </c>
      <c r="P127" s="226">
        <f t="shared" si="64"/>
        <v>0</v>
      </c>
      <c r="Q127" s="226">
        <f t="shared" si="64"/>
        <v>0</v>
      </c>
      <c r="R127" s="226">
        <f t="shared" si="64"/>
        <v>0</v>
      </c>
      <c r="S127" s="226">
        <f t="shared" si="64"/>
        <v>0</v>
      </c>
      <c r="T127" s="279">
        <f t="shared" si="64"/>
        <v>0</v>
      </c>
    </row>
    <row r="128" spans="1:20" ht="12.75" customHeight="1" x14ac:dyDescent="0.2">
      <c r="A128" s="198" t="str">
        <f>"      "&amp;Labels!B394</f>
        <v xml:space="preserve">      Contributor</v>
      </c>
      <c r="B128" s="226">
        <f t="shared" ref="B128:T128" si="65">SUM(B102,B115)</f>
        <v>0</v>
      </c>
      <c r="C128" s="226">
        <f t="shared" si="65"/>
        <v>0</v>
      </c>
      <c r="D128" s="226">
        <f t="shared" si="65"/>
        <v>0</v>
      </c>
      <c r="E128" s="226">
        <f t="shared" si="65"/>
        <v>0</v>
      </c>
      <c r="F128" s="226">
        <f t="shared" si="65"/>
        <v>0</v>
      </c>
      <c r="G128" s="226">
        <f t="shared" si="65"/>
        <v>0</v>
      </c>
      <c r="H128" s="226">
        <f t="shared" si="65"/>
        <v>0</v>
      </c>
      <c r="I128" s="226">
        <f t="shared" si="65"/>
        <v>0</v>
      </c>
      <c r="J128" s="226">
        <f t="shared" si="65"/>
        <v>0</v>
      </c>
      <c r="K128" s="226">
        <f t="shared" si="65"/>
        <v>0</v>
      </c>
      <c r="L128" s="226">
        <f t="shared" si="65"/>
        <v>0</v>
      </c>
      <c r="M128" s="226">
        <f t="shared" si="65"/>
        <v>0</v>
      </c>
      <c r="N128" s="226">
        <f t="shared" si="65"/>
        <v>0</v>
      </c>
      <c r="O128" s="226">
        <f t="shared" si="65"/>
        <v>0</v>
      </c>
      <c r="P128" s="226">
        <f t="shared" si="65"/>
        <v>0</v>
      </c>
      <c r="Q128" s="226">
        <f t="shared" si="65"/>
        <v>0</v>
      </c>
      <c r="R128" s="226">
        <f t="shared" si="65"/>
        <v>0</v>
      </c>
      <c r="S128" s="226">
        <f t="shared" si="65"/>
        <v>0</v>
      </c>
      <c r="T128" s="279">
        <f t="shared" si="65"/>
        <v>0</v>
      </c>
    </row>
    <row r="129" spans="1:20" ht="12.75" customHeight="1" x14ac:dyDescent="0.2">
      <c r="A129" s="188" t="str">
        <f>"      "&amp;Labels!C392</f>
        <v xml:space="preserve">      Total</v>
      </c>
      <c r="B129" s="196">
        <f t="shared" ref="B129:T129" si="66">SUM(B103,B116)</f>
        <v>0</v>
      </c>
      <c r="C129" s="196">
        <f t="shared" si="66"/>
        <v>0</v>
      </c>
      <c r="D129" s="196">
        <f t="shared" si="66"/>
        <v>0</v>
      </c>
      <c r="E129" s="196">
        <f t="shared" si="66"/>
        <v>0</v>
      </c>
      <c r="F129" s="196">
        <f t="shared" si="66"/>
        <v>0</v>
      </c>
      <c r="G129" s="196">
        <f t="shared" si="66"/>
        <v>0</v>
      </c>
      <c r="H129" s="196">
        <f t="shared" si="66"/>
        <v>0</v>
      </c>
      <c r="I129" s="196">
        <f t="shared" si="66"/>
        <v>0</v>
      </c>
      <c r="J129" s="196">
        <f t="shared" si="66"/>
        <v>0</v>
      </c>
      <c r="K129" s="196">
        <f t="shared" si="66"/>
        <v>0</v>
      </c>
      <c r="L129" s="196">
        <f t="shared" si="66"/>
        <v>0</v>
      </c>
      <c r="M129" s="196">
        <f t="shared" si="66"/>
        <v>0</v>
      </c>
      <c r="N129" s="196">
        <f t="shared" si="66"/>
        <v>0</v>
      </c>
      <c r="O129" s="196">
        <f t="shared" si="66"/>
        <v>0</v>
      </c>
      <c r="P129" s="196">
        <f t="shared" si="66"/>
        <v>0</v>
      </c>
      <c r="Q129" s="196">
        <f t="shared" si="66"/>
        <v>0</v>
      </c>
      <c r="R129" s="196">
        <f t="shared" si="66"/>
        <v>0</v>
      </c>
      <c r="S129" s="196">
        <f t="shared" si="66"/>
        <v>0</v>
      </c>
      <c r="T129" s="267">
        <f t="shared" si="66"/>
        <v>0</v>
      </c>
    </row>
    <row r="130" spans="1:20" ht="12.75" customHeight="1" x14ac:dyDescent="0.2">
      <c r="A130" s="188" t="str">
        <f>"   "&amp;Labels!B322</f>
        <v xml:space="preserve">   Sales</v>
      </c>
      <c r="B130" s="196"/>
      <c r="C130" s="196"/>
      <c r="D130" s="196"/>
      <c r="E130" s="196"/>
      <c r="F130" s="196"/>
      <c r="G130" s="196"/>
      <c r="H130" s="196"/>
      <c r="I130" s="196"/>
      <c r="J130" s="196"/>
      <c r="K130" s="196"/>
      <c r="L130" s="196"/>
      <c r="M130" s="196"/>
      <c r="N130" s="196"/>
      <c r="O130" s="196"/>
      <c r="P130" s="196"/>
      <c r="Q130" s="196"/>
      <c r="R130" s="196"/>
      <c r="S130" s="196"/>
      <c r="T130" s="267"/>
    </row>
    <row r="131" spans="1:20" ht="12.75" customHeight="1" x14ac:dyDescent="0.2">
      <c r="A131" s="198" t="str">
        <f>"      "&amp;Labels!B393</f>
        <v xml:space="preserve">      Manager</v>
      </c>
      <c r="B131" s="226">
        <f t="shared" ref="B131:T131" si="67">SUM(B105,B118)</f>
        <v>0</v>
      </c>
      <c r="C131" s="226">
        <f t="shared" si="67"/>
        <v>0</v>
      </c>
      <c r="D131" s="226">
        <f t="shared" si="67"/>
        <v>0</v>
      </c>
      <c r="E131" s="226">
        <f t="shared" si="67"/>
        <v>0</v>
      </c>
      <c r="F131" s="226">
        <f t="shared" si="67"/>
        <v>0</v>
      </c>
      <c r="G131" s="226">
        <f t="shared" si="67"/>
        <v>0</v>
      </c>
      <c r="H131" s="226">
        <f t="shared" si="67"/>
        <v>0</v>
      </c>
      <c r="I131" s="226">
        <f t="shared" si="67"/>
        <v>0</v>
      </c>
      <c r="J131" s="226">
        <f t="shared" si="67"/>
        <v>0</v>
      </c>
      <c r="K131" s="226">
        <f t="shared" si="67"/>
        <v>0</v>
      </c>
      <c r="L131" s="226">
        <f t="shared" si="67"/>
        <v>0</v>
      </c>
      <c r="M131" s="226">
        <f t="shared" si="67"/>
        <v>0</v>
      </c>
      <c r="N131" s="226">
        <f t="shared" si="67"/>
        <v>0</v>
      </c>
      <c r="O131" s="226">
        <f t="shared" si="67"/>
        <v>0</v>
      </c>
      <c r="P131" s="226">
        <f t="shared" si="67"/>
        <v>0</v>
      </c>
      <c r="Q131" s="226">
        <f t="shared" si="67"/>
        <v>0</v>
      </c>
      <c r="R131" s="226">
        <f t="shared" si="67"/>
        <v>0</v>
      </c>
      <c r="S131" s="226">
        <f t="shared" si="67"/>
        <v>0</v>
      </c>
      <c r="T131" s="279">
        <f t="shared" si="67"/>
        <v>0</v>
      </c>
    </row>
    <row r="132" spans="1:20" ht="12.75" customHeight="1" x14ac:dyDescent="0.2">
      <c r="A132" s="198" t="str">
        <f>"      "&amp;Labels!B394</f>
        <v xml:space="preserve">      Contributor</v>
      </c>
      <c r="B132" s="226">
        <f t="shared" ref="B132:T132" si="68">SUM(B106,B119)</f>
        <v>0</v>
      </c>
      <c r="C132" s="226">
        <f t="shared" si="68"/>
        <v>0</v>
      </c>
      <c r="D132" s="226">
        <f t="shared" si="68"/>
        <v>0</v>
      </c>
      <c r="E132" s="226">
        <f t="shared" si="68"/>
        <v>0</v>
      </c>
      <c r="F132" s="226">
        <f t="shared" si="68"/>
        <v>0</v>
      </c>
      <c r="G132" s="226">
        <f t="shared" si="68"/>
        <v>0</v>
      </c>
      <c r="H132" s="226">
        <f t="shared" si="68"/>
        <v>0</v>
      </c>
      <c r="I132" s="226">
        <f t="shared" si="68"/>
        <v>0</v>
      </c>
      <c r="J132" s="226">
        <f t="shared" si="68"/>
        <v>0</v>
      </c>
      <c r="K132" s="226">
        <f t="shared" si="68"/>
        <v>0</v>
      </c>
      <c r="L132" s="226">
        <f t="shared" si="68"/>
        <v>0</v>
      </c>
      <c r="M132" s="226">
        <f t="shared" si="68"/>
        <v>0</v>
      </c>
      <c r="N132" s="226">
        <f t="shared" si="68"/>
        <v>0</v>
      </c>
      <c r="O132" s="226">
        <f t="shared" si="68"/>
        <v>0</v>
      </c>
      <c r="P132" s="226">
        <f t="shared" si="68"/>
        <v>0</v>
      </c>
      <c r="Q132" s="226">
        <f t="shared" si="68"/>
        <v>0</v>
      </c>
      <c r="R132" s="226">
        <f t="shared" si="68"/>
        <v>0</v>
      </c>
      <c r="S132" s="226">
        <f t="shared" si="68"/>
        <v>0</v>
      </c>
      <c r="T132" s="279">
        <f t="shared" si="68"/>
        <v>0</v>
      </c>
    </row>
    <row r="133" spans="1:20" ht="12.75" customHeight="1" x14ac:dyDescent="0.2">
      <c r="A133" s="188" t="str">
        <f>"      "&amp;Labels!C392</f>
        <v xml:space="preserve">      Total</v>
      </c>
      <c r="B133" s="196">
        <f t="shared" ref="B133:T133" si="69">SUM(B107,B120)</f>
        <v>0</v>
      </c>
      <c r="C133" s="196">
        <f t="shared" si="69"/>
        <v>0</v>
      </c>
      <c r="D133" s="196">
        <f t="shared" si="69"/>
        <v>0</v>
      </c>
      <c r="E133" s="196">
        <f t="shared" si="69"/>
        <v>0</v>
      </c>
      <c r="F133" s="196">
        <f t="shared" si="69"/>
        <v>0</v>
      </c>
      <c r="G133" s="196">
        <f t="shared" si="69"/>
        <v>0</v>
      </c>
      <c r="H133" s="196">
        <f t="shared" si="69"/>
        <v>0</v>
      </c>
      <c r="I133" s="196">
        <f t="shared" si="69"/>
        <v>0</v>
      </c>
      <c r="J133" s="196">
        <f t="shared" si="69"/>
        <v>0</v>
      </c>
      <c r="K133" s="196">
        <f t="shared" si="69"/>
        <v>0</v>
      </c>
      <c r="L133" s="196">
        <f t="shared" si="69"/>
        <v>0</v>
      </c>
      <c r="M133" s="196">
        <f t="shared" si="69"/>
        <v>0</v>
      </c>
      <c r="N133" s="196">
        <f t="shared" si="69"/>
        <v>0</v>
      </c>
      <c r="O133" s="196">
        <f t="shared" si="69"/>
        <v>0</v>
      </c>
      <c r="P133" s="196">
        <f t="shared" si="69"/>
        <v>0</v>
      </c>
      <c r="Q133" s="196">
        <f t="shared" si="69"/>
        <v>0</v>
      </c>
      <c r="R133" s="196">
        <f t="shared" si="69"/>
        <v>0</v>
      </c>
      <c r="S133" s="196">
        <f t="shared" si="69"/>
        <v>0</v>
      </c>
      <c r="T133" s="267">
        <f t="shared" si="69"/>
        <v>0</v>
      </c>
    </row>
    <row r="134" spans="1:20" ht="12.75" customHeight="1" x14ac:dyDescent="0.2">
      <c r="A134" s="191" t="str">
        <f>"   "&amp;Labels!C320</f>
        <v xml:space="preserve">   Total</v>
      </c>
      <c r="B134" s="192">
        <f t="shared" ref="B134:T134" si="70">SUM(B108,B121)</f>
        <v>0</v>
      </c>
      <c r="C134" s="192">
        <f t="shared" si="70"/>
        <v>0</v>
      </c>
      <c r="D134" s="192">
        <f t="shared" si="70"/>
        <v>0</v>
      </c>
      <c r="E134" s="192">
        <f t="shared" si="70"/>
        <v>0</v>
      </c>
      <c r="F134" s="192">
        <f t="shared" si="70"/>
        <v>0</v>
      </c>
      <c r="G134" s="192">
        <f t="shared" si="70"/>
        <v>0</v>
      </c>
      <c r="H134" s="192">
        <f t="shared" si="70"/>
        <v>0</v>
      </c>
      <c r="I134" s="192">
        <f t="shared" si="70"/>
        <v>0</v>
      </c>
      <c r="J134" s="192">
        <f t="shared" si="70"/>
        <v>0</v>
      </c>
      <c r="K134" s="192">
        <f t="shared" si="70"/>
        <v>0</v>
      </c>
      <c r="L134" s="192">
        <f t="shared" si="70"/>
        <v>0</v>
      </c>
      <c r="M134" s="192">
        <f t="shared" si="70"/>
        <v>0</v>
      </c>
      <c r="N134" s="192">
        <f t="shared" si="70"/>
        <v>0</v>
      </c>
      <c r="O134" s="192">
        <f t="shared" si="70"/>
        <v>0</v>
      </c>
      <c r="P134" s="192">
        <f t="shared" si="70"/>
        <v>0</v>
      </c>
      <c r="Q134" s="192">
        <f t="shared" si="70"/>
        <v>0</v>
      </c>
      <c r="R134" s="192">
        <f t="shared" si="70"/>
        <v>0</v>
      </c>
      <c r="S134" s="192">
        <f t="shared" si="70"/>
        <v>0</v>
      </c>
      <c r="T134" s="280">
        <f t="shared" si="70"/>
        <v>0</v>
      </c>
    </row>
    <row r="135" spans="1:20" ht="12.75" customHeight="1" x14ac:dyDescent="0.2">
      <c r="A135" s="198" t="str">
        <f>"      "&amp;Labels!B393</f>
        <v xml:space="preserve">      Manager</v>
      </c>
      <c r="B135" s="226">
        <f t="shared" ref="B135:T135" si="71">SUM(B109,B122)</f>
        <v>0</v>
      </c>
      <c r="C135" s="226">
        <f t="shared" si="71"/>
        <v>0</v>
      </c>
      <c r="D135" s="226">
        <f t="shared" si="71"/>
        <v>0</v>
      </c>
      <c r="E135" s="226">
        <f t="shared" si="71"/>
        <v>0</v>
      </c>
      <c r="F135" s="226">
        <f t="shared" si="71"/>
        <v>0</v>
      </c>
      <c r="G135" s="226">
        <f t="shared" si="71"/>
        <v>0</v>
      </c>
      <c r="H135" s="226">
        <f t="shared" si="71"/>
        <v>0</v>
      </c>
      <c r="I135" s="226">
        <f t="shared" si="71"/>
        <v>0</v>
      </c>
      <c r="J135" s="226">
        <f t="shared" si="71"/>
        <v>0</v>
      </c>
      <c r="K135" s="226">
        <f t="shared" si="71"/>
        <v>0</v>
      </c>
      <c r="L135" s="226">
        <f t="shared" si="71"/>
        <v>0</v>
      </c>
      <c r="M135" s="226">
        <f t="shared" si="71"/>
        <v>0</v>
      </c>
      <c r="N135" s="226">
        <f t="shared" si="71"/>
        <v>0</v>
      </c>
      <c r="O135" s="226">
        <f t="shared" si="71"/>
        <v>0</v>
      </c>
      <c r="P135" s="226">
        <f t="shared" si="71"/>
        <v>0</v>
      </c>
      <c r="Q135" s="226">
        <f t="shared" si="71"/>
        <v>0</v>
      </c>
      <c r="R135" s="226">
        <f t="shared" si="71"/>
        <v>0</v>
      </c>
      <c r="S135" s="226">
        <f t="shared" si="71"/>
        <v>0</v>
      </c>
      <c r="T135" s="279">
        <f t="shared" si="71"/>
        <v>0</v>
      </c>
    </row>
    <row r="136" spans="1:20" ht="12.75" customHeight="1" x14ac:dyDescent="0.2">
      <c r="A136" s="198" t="str">
        <f>"      "&amp;Labels!B394</f>
        <v xml:space="preserve">      Contributor</v>
      </c>
      <c r="B136" s="226">
        <f t="shared" ref="B136:T136" si="72">SUM(B110,B123)</f>
        <v>0</v>
      </c>
      <c r="C136" s="226">
        <f t="shared" si="72"/>
        <v>0</v>
      </c>
      <c r="D136" s="226">
        <f t="shared" si="72"/>
        <v>0</v>
      </c>
      <c r="E136" s="226">
        <f t="shared" si="72"/>
        <v>0</v>
      </c>
      <c r="F136" s="226">
        <f t="shared" si="72"/>
        <v>0</v>
      </c>
      <c r="G136" s="226">
        <f t="shared" si="72"/>
        <v>0</v>
      </c>
      <c r="H136" s="226">
        <f t="shared" si="72"/>
        <v>0</v>
      </c>
      <c r="I136" s="226">
        <f t="shared" si="72"/>
        <v>0</v>
      </c>
      <c r="J136" s="226">
        <f t="shared" si="72"/>
        <v>0</v>
      </c>
      <c r="K136" s="226">
        <f t="shared" si="72"/>
        <v>0</v>
      </c>
      <c r="L136" s="226">
        <f t="shared" si="72"/>
        <v>0</v>
      </c>
      <c r="M136" s="226">
        <f t="shared" si="72"/>
        <v>0</v>
      </c>
      <c r="N136" s="226">
        <f t="shared" si="72"/>
        <v>0</v>
      </c>
      <c r="O136" s="226">
        <f t="shared" si="72"/>
        <v>0</v>
      </c>
      <c r="P136" s="226">
        <f t="shared" si="72"/>
        <v>0</v>
      </c>
      <c r="Q136" s="226">
        <f t="shared" si="72"/>
        <v>0</v>
      </c>
      <c r="R136" s="226">
        <f t="shared" si="72"/>
        <v>0</v>
      </c>
      <c r="S136" s="226">
        <f t="shared" si="72"/>
        <v>0</v>
      </c>
      <c r="T136" s="279">
        <f t="shared" si="72"/>
        <v>0</v>
      </c>
    </row>
    <row r="137" spans="1:20" ht="12.75" customHeight="1" x14ac:dyDescent="0.2">
      <c r="A137" s="220" t="str">
        <f>"      "&amp;Labels!C392</f>
        <v xml:space="preserve">      Total</v>
      </c>
      <c r="B137" s="228">
        <f t="shared" ref="B137:T137" si="73">SUM(B108,B121)</f>
        <v>0</v>
      </c>
      <c r="C137" s="228">
        <f t="shared" si="73"/>
        <v>0</v>
      </c>
      <c r="D137" s="228">
        <f t="shared" si="73"/>
        <v>0</v>
      </c>
      <c r="E137" s="228">
        <f t="shared" si="73"/>
        <v>0</v>
      </c>
      <c r="F137" s="228">
        <f t="shared" si="73"/>
        <v>0</v>
      </c>
      <c r="G137" s="228">
        <f t="shared" si="73"/>
        <v>0</v>
      </c>
      <c r="H137" s="228">
        <f t="shared" si="73"/>
        <v>0</v>
      </c>
      <c r="I137" s="228">
        <f t="shared" si="73"/>
        <v>0</v>
      </c>
      <c r="J137" s="228">
        <f t="shared" si="73"/>
        <v>0</v>
      </c>
      <c r="K137" s="228">
        <f t="shared" si="73"/>
        <v>0</v>
      </c>
      <c r="L137" s="228">
        <f t="shared" si="73"/>
        <v>0</v>
      </c>
      <c r="M137" s="228">
        <f t="shared" si="73"/>
        <v>0</v>
      </c>
      <c r="N137" s="228">
        <f t="shared" si="73"/>
        <v>0</v>
      </c>
      <c r="O137" s="228">
        <f t="shared" si="73"/>
        <v>0</v>
      </c>
      <c r="P137" s="228">
        <f t="shared" si="73"/>
        <v>0</v>
      </c>
      <c r="Q137" s="228">
        <f t="shared" si="73"/>
        <v>0</v>
      </c>
      <c r="R137" s="228">
        <f t="shared" si="73"/>
        <v>0</v>
      </c>
      <c r="S137" s="228">
        <f t="shared" si="73"/>
        <v>0</v>
      </c>
      <c r="T137" s="281">
        <f t="shared" si="73"/>
        <v>0</v>
      </c>
    </row>
    <row r="138" spans="1:20" ht="12.75" customHeight="1" x14ac:dyDescent="0.2">
      <c r="A138" s="1" t="str">
        <f>"Untagged_Asset_Purch_2"</f>
        <v>Untagged_Asset_Purch_2</v>
      </c>
    </row>
    <row r="139" spans="1:20" ht="12.75" customHeight="1" x14ac:dyDescent="0.2">
      <c r="B139" s="9" t="str">
        <f>'(FnCalls 1)'!F40</f>
        <v>MMM 2009</v>
      </c>
      <c r="C139" s="10" t="str">
        <f>'(FnCalls 1)'!F41</f>
        <v>MMM 2010</v>
      </c>
      <c r="D139" s="10" t="str">
        <f>'(FnCalls 1)'!F42</f>
        <v>MMM 2010</v>
      </c>
      <c r="E139" s="10" t="str">
        <f>'(FnCalls 1)'!F43</f>
        <v>MMM 2010</v>
      </c>
      <c r="F139" s="10" t="str">
        <f>'(FnCalls 1)'!F44</f>
        <v>MMM 2010</v>
      </c>
      <c r="G139" s="10" t="str">
        <f>'(FnCalls 1)'!F45</f>
        <v>MMM 2010</v>
      </c>
      <c r="H139" s="10" t="str">
        <f>'(FnCalls 1)'!F46</f>
        <v>MMM 2010</v>
      </c>
      <c r="I139" s="10" t="str">
        <f>'(FnCalls 1)'!F47</f>
        <v>MMM 2010</v>
      </c>
      <c r="J139" s="10" t="str">
        <f>'(FnCalls 1)'!F48</f>
        <v>MMM 2010</v>
      </c>
      <c r="K139" s="10" t="str">
        <f>'(FnCalls 1)'!F49</f>
        <v>MMM 2010</v>
      </c>
      <c r="L139" s="10" t="str">
        <f>'(FnCalls 1)'!F50</f>
        <v>MMM 2010</v>
      </c>
      <c r="M139" s="10" t="str">
        <f>'(FnCalls 1)'!F51</f>
        <v>MMM 2010</v>
      </c>
      <c r="N139" s="10" t="str">
        <f>'(FnCalls 1)'!F52</f>
        <v>MMM 2010</v>
      </c>
      <c r="O139" s="10" t="str">
        <f>'(FnCalls 1)'!F53</f>
        <v>MMM 2011</v>
      </c>
      <c r="P139" s="10" t="str">
        <f>'(FnCalls 1)'!F54</f>
        <v>MMM 2011</v>
      </c>
      <c r="Q139" s="10" t="str">
        <f>'(FnCalls 1)'!F55</f>
        <v>MMM 2011</v>
      </c>
      <c r="R139" s="10" t="str">
        <f>'(FnCalls 1)'!F56</f>
        <v>MMM 2011</v>
      </c>
      <c r="S139" s="10" t="str">
        <f>'(FnCalls 1)'!F57</f>
        <v>MMM 2011</v>
      </c>
      <c r="T139" s="11" t="str">
        <f>'(FnCalls 1)'!F58</f>
        <v>MMM 2011</v>
      </c>
    </row>
    <row r="140" spans="1:20" ht="12.75" customHeight="1" x14ac:dyDescent="0.2">
      <c r="A140" s="182" t="str">
        <f>Labels!B408</f>
        <v>Furniture</v>
      </c>
      <c r="B140" s="183"/>
      <c r="C140" s="183"/>
      <c r="D140" s="183"/>
      <c r="E140" s="183"/>
      <c r="F140" s="183"/>
      <c r="G140" s="183"/>
      <c r="H140" s="183"/>
      <c r="I140" s="183"/>
      <c r="J140" s="183"/>
      <c r="K140" s="183"/>
      <c r="L140" s="183"/>
      <c r="M140" s="183"/>
      <c r="N140" s="183"/>
      <c r="O140" s="183"/>
      <c r="P140" s="183"/>
      <c r="Q140" s="183"/>
      <c r="R140" s="183"/>
      <c r="S140" s="183"/>
      <c r="T140" s="266"/>
    </row>
    <row r="141" spans="1:20" ht="12.75" customHeight="1" x14ac:dyDescent="0.2">
      <c r="A141" s="188" t="str">
        <f>"   "&amp;Labels!B321</f>
        <v xml:space="preserve">   Marketing</v>
      </c>
      <c r="B141" s="196"/>
      <c r="C141" s="196"/>
      <c r="D141" s="196"/>
      <c r="E141" s="196"/>
      <c r="F141" s="196"/>
      <c r="G141" s="196"/>
      <c r="H141" s="196"/>
      <c r="I141" s="196"/>
      <c r="J141" s="196"/>
      <c r="K141" s="196"/>
      <c r="L141" s="196"/>
      <c r="M141" s="196"/>
      <c r="N141" s="196"/>
      <c r="O141" s="196"/>
      <c r="P141" s="196"/>
      <c r="Q141" s="196"/>
      <c r="R141" s="196"/>
      <c r="S141" s="196"/>
      <c r="T141" s="267"/>
    </row>
    <row r="142" spans="1:20" ht="12.75" customHeight="1" x14ac:dyDescent="0.2">
      <c r="A142" s="198" t="str">
        <f>"      "&amp;Labels!B393</f>
        <v xml:space="preserve">      Manager</v>
      </c>
      <c r="B142" s="226">
        <f>Inputs!F384*(0)</f>
        <v>0</v>
      </c>
      <c r="C142" s="226">
        <f>Inputs!F384*(0)</f>
        <v>0</v>
      </c>
      <c r="D142" s="226">
        <f>Inputs!F384*(-'Sup Staff'!B23)</f>
        <v>0</v>
      </c>
      <c r="E142" s="226">
        <f>Inputs!F384*(-'Sup Staff'!C23)</f>
        <v>0</v>
      </c>
      <c r="F142" s="226">
        <f>Inputs!F384*(-'Sup Staff'!D23)</f>
        <v>0</v>
      </c>
      <c r="G142" s="226">
        <f>Inputs!F384*(-'Sup Staff'!F23)</f>
        <v>0</v>
      </c>
      <c r="H142" s="226">
        <f>Inputs!F384*(-'Sup Staff'!G23)</f>
        <v>0</v>
      </c>
      <c r="I142" s="226">
        <f>Inputs!F384*(-'Sup Staff'!H23)</f>
        <v>0</v>
      </c>
      <c r="J142" s="226">
        <f>Inputs!F384*(-'Sup Staff'!J23)</f>
        <v>0</v>
      </c>
      <c r="K142" s="226">
        <f>Inputs!F384*(-'Sup Staff'!K23)</f>
        <v>0</v>
      </c>
      <c r="L142" s="226">
        <f>Inputs!F384*(-'Sup Staff'!L23)</f>
        <v>0</v>
      </c>
      <c r="M142" s="226">
        <f>Inputs!F384*(-'Sup Staff'!N23)</f>
        <v>0</v>
      </c>
      <c r="N142" s="226">
        <f>Inputs!F384*(-'Sup Staff'!O23)</f>
        <v>0</v>
      </c>
      <c r="O142" s="226">
        <f>Inputs!F384*(-'Sup Staff'!P23)</f>
        <v>0</v>
      </c>
      <c r="P142" s="226">
        <f>Inputs!F384*(-'Sup Staff'!R23)</f>
        <v>0</v>
      </c>
      <c r="Q142" s="226">
        <f>Inputs!F384*(-'Sup Staff'!S23)</f>
        <v>0</v>
      </c>
      <c r="R142" s="226">
        <f>Inputs!F384*(-'Sup Staff'!T23)</f>
        <v>0</v>
      </c>
      <c r="S142" s="226">
        <f>Inputs!F384*(-'Sup Staff'!V23)</f>
        <v>0</v>
      </c>
      <c r="T142" s="279">
        <f>Inputs!F384*(-'Sup Staff'!W23)</f>
        <v>0</v>
      </c>
    </row>
    <row r="143" spans="1:20" ht="12.75" customHeight="1" x14ac:dyDescent="0.2">
      <c r="A143" s="198" t="str">
        <f>"      "&amp;Labels!B394</f>
        <v xml:space="preserve">      Contributor</v>
      </c>
      <c r="B143" s="226">
        <f>Inputs!F384*(0)</f>
        <v>0</v>
      </c>
      <c r="C143" s="226">
        <f>Inputs!F384*(0)</f>
        <v>0</v>
      </c>
      <c r="D143" s="226">
        <f>Inputs!F384*(-'Sup Staff'!B24)</f>
        <v>0</v>
      </c>
      <c r="E143" s="226">
        <f>Inputs!F384*(-'Sup Staff'!C24)</f>
        <v>0</v>
      </c>
      <c r="F143" s="226">
        <f>Inputs!F384*(-'Sup Staff'!D24)</f>
        <v>0</v>
      </c>
      <c r="G143" s="226">
        <f>Inputs!F384*(-'Sup Staff'!F24)</f>
        <v>0</v>
      </c>
      <c r="H143" s="226">
        <f>Inputs!F384*(-'Sup Staff'!G24)</f>
        <v>0</v>
      </c>
      <c r="I143" s="226">
        <f>Inputs!F384*(-'Sup Staff'!H24)</f>
        <v>0</v>
      </c>
      <c r="J143" s="226">
        <f>Inputs!F384*(-'Sup Staff'!J24)</f>
        <v>0</v>
      </c>
      <c r="K143" s="226">
        <f>Inputs!F384*(-'Sup Staff'!K24)</f>
        <v>0</v>
      </c>
      <c r="L143" s="226">
        <f>Inputs!F384*(-'Sup Staff'!L24)</f>
        <v>0</v>
      </c>
      <c r="M143" s="226">
        <f>Inputs!F384*(-'Sup Staff'!N24)</f>
        <v>0</v>
      </c>
      <c r="N143" s="226">
        <f>Inputs!F384*(-'Sup Staff'!O24)</f>
        <v>0</v>
      </c>
      <c r="O143" s="226">
        <f>Inputs!F384*(-'Sup Staff'!P24)</f>
        <v>0</v>
      </c>
      <c r="P143" s="226">
        <f>Inputs!F384*(-'Sup Staff'!R24)</f>
        <v>0</v>
      </c>
      <c r="Q143" s="226">
        <f>Inputs!F384*(-'Sup Staff'!S24)</f>
        <v>0</v>
      </c>
      <c r="R143" s="226">
        <f>Inputs!F384*(-'Sup Staff'!T24)</f>
        <v>0</v>
      </c>
      <c r="S143" s="226">
        <f>Inputs!F384*(-'Sup Staff'!V24)</f>
        <v>0</v>
      </c>
      <c r="T143" s="279">
        <f>Inputs!F384*(-'Sup Staff'!W24)</f>
        <v>0</v>
      </c>
    </row>
    <row r="144" spans="1:20" ht="12.75" customHeight="1" x14ac:dyDescent="0.2">
      <c r="A144" s="188" t="str">
        <f>"      "&amp;Labels!C392</f>
        <v xml:space="preserve">      Total</v>
      </c>
      <c r="B144" s="196">
        <f t="shared" ref="B144:T144" si="74">SUM(B142:B143)</f>
        <v>0</v>
      </c>
      <c r="C144" s="196">
        <f t="shared" si="74"/>
        <v>0</v>
      </c>
      <c r="D144" s="196">
        <f t="shared" si="74"/>
        <v>0</v>
      </c>
      <c r="E144" s="196">
        <f t="shared" si="74"/>
        <v>0</v>
      </c>
      <c r="F144" s="196">
        <f t="shared" si="74"/>
        <v>0</v>
      </c>
      <c r="G144" s="196">
        <f t="shared" si="74"/>
        <v>0</v>
      </c>
      <c r="H144" s="196">
        <f t="shared" si="74"/>
        <v>0</v>
      </c>
      <c r="I144" s="196">
        <f t="shared" si="74"/>
        <v>0</v>
      </c>
      <c r="J144" s="196">
        <f t="shared" si="74"/>
        <v>0</v>
      </c>
      <c r="K144" s="196">
        <f t="shared" si="74"/>
        <v>0</v>
      </c>
      <c r="L144" s="196">
        <f t="shared" si="74"/>
        <v>0</v>
      </c>
      <c r="M144" s="196">
        <f t="shared" si="74"/>
        <v>0</v>
      </c>
      <c r="N144" s="196">
        <f t="shared" si="74"/>
        <v>0</v>
      </c>
      <c r="O144" s="196">
        <f t="shared" si="74"/>
        <v>0</v>
      </c>
      <c r="P144" s="196">
        <f t="shared" si="74"/>
        <v>0</v>
      </c>
      <c r="Q144" s="196">
        <f t="shared" si="74"/>
        <v>0</v>
      </c>
      <c r="R144" s="196">
        <f t="shared" si="74"/>
        <v>0</v>
      </c>
      <c r="S144" s="196">
        <f t="shared" si="74"/>
        <v>0</v>
      </c>
      <c r="T144" s="267">
        <f t="shared" si="74"/>
        <v>0</v>
      </c>
    </row>
    <row r="145" spans="1:20" ht="12.75" customHeight="1" x14ac:dyDescent="0.2">
      <c r="A145" s="188" t="str">
        <f>"   "&amp;Labels!B322</f>
        <v xml:space="preserve">   Sales</v>
      </c>
      <c r="B145" s="196"/>
      <c r="C145" s="196"/>
      <c r="D145" s="196"/>
      <c r="E145" s="196"/>
      <c r="F145" s="196"/>
      <c r="G145" s="196"/>
      <c r="H145" s="196"/>
      <c r="I145" s="196"/>
      <c r="J145" s="196"/>
      <c r="K145" s="196"/>
      <c r="L145" s="196"/>
      <c r="M145" s="196"/>
      <c r="N145" s="196"/>
      <c r="O145" s="196"/>
      <c r="P145" s="196"/>
      <c r="Q145" s="196"/>
      <c r="R145" s="196"/>
      <c r="S145" s="196"/>
      <c r="T145" s="267"/>
    </row>
    <row r="146" spans="1:20" ht="12.75" customHeight="1" x14ac:dyDescent="0.2">
      <c r="A146" s="198" t="str">
        <f>"      "&amp;Labels!B393</f>
        <v xml:space="preserve">      Manager</v>
      </c>
      <c r="B146" s="226">
        <f>Inputs!F384*(0)</f>
        <v>0</v>
      </c>
      <c r="C146" s="226">
        <f>Inputs!F384*(0)</f>
        <v>0</v>
      </c>
      <c r="D146" s="226">
        <f>Inputs!F384*(-'Sup Staff'!B27)</f>
        <v>0</v>
      </c>
      <c r="E146" s="226">
        <f>Inputs!F384*(-'Sup Staff'!C27)</f>
        <v>0</v>
      </c>
      <c r="F146" s="226">
        <f>Inputs!F384*(-'Sup Staff'!D27)</f>
        <v>0</v>
      </c>
      <c r="G146" s="226">
        <f>Inputs!F384*(-'Sup Staff'!F27)</f>
        <v>0</v>
      </c>
      <c r="H146" s="226">
        <f>Inputs!F384*(-'Sup Staff'!G27)</f>
        <v>0</v>
      </c>
      <c r="I146" s="226">
        <f>Inputs!F384*(-'Sup Staff'!H27)</f>
        <v>0</v>
      </c>
      <c r="J146" s="226">
        <f>Inputs!F384*(-'Sup Staff'!J27)</f>
        <v>0</v>
      </c>
      <c r="K146" s="226">
        <f>Inputs!F384*(-'Sup Staff'!K27)</f>
        <v>0</v>
      </c>
      <c r="L146" s="226">
        <f>Inputs!F384*(-'Sup Staff'!L27)</f>
        <v>0</v>
      </c>
      <c r="M146" s="226">
        <f>Inputs!F384*(-'Sup Staff'!N27)</f>
        <v>0</v>
      </c>
      <c r="N146" s="226">
        <f>Inputs!F384*(-'Sup Staff'!O27)</f>
        <v>0</v>
      </c>
      <c r="O146" s="226">
        <f>Inputs!F384*(-'Sup Staff'!P27)</f>
        <v>0</v>
      </c>
      <c r="P146" s="226">
        <f>Inputs!F384*(-'Sup Staff'!R27)</f>
        <v>0</v>
      </c>
      <c r="Q146" s="226">
        <f>Inputs!F384*(-'Sup Staff'!S27)</f>
        <v>0</v>
      </c>
      <c r="R146" s="226">
        <f>Inputs!F384*(-'Sup Staff'!T27)</f>
        <v>0</v>
      </c>
      <c r="S146" s="226">
        <f>Inputs!F384*(-'Sup Staff'!V27)</f>
        <v>0</v>
      </c>
      <c r="T146" s="279">
        <f>Inputs!F384*(-'Sup Staff'!W27)</f>
        <v>0</v>
      </c>
    </row>
    <row r="147" spans="1:20" ht="12.75" customHeight="1" x14ac:dyDescent="0.2">
      <c r="A147" s="198" t="str">
        <f>"      "&amp;Labels!B394</f>
        <v xml:space="preserve">      Contributor</v>
      </c>
      <c r="B147" s="226">
        <f>Inputs!F384*(0)</f>
        <v>0</v>
      </c>
      <c r="C147" s="226">
        <f>Inputs!F384*(0)</f>
        <v>0</v>
      </c>
      <c r="D147" s="226">
        <f>Inputs!F384*(-'Sup Staff'!B28)</f>
        <v>0</v>
      </c>
      <c r="E147" s="226">
        <f>Inputs!F384*(-'Sup Staff'!C28)</f>
        <v>0</v>
      </c>
      <c r="F147" s="226">
        <f>Inputs!F384*(-'Sup Staff'!D28)</f>
        <v>0</v>
      </c>
      <c r="G147" s="226">
        <f>Inputs!F384*(-'Sup Staff'!F28)</f>
        <v>0</v>
      </c>
      <c r="H147" s="226">
        <f>Inputs!F384*(-'Sup Staff'!G28)</f>
        <v>0</v>
      </c>
      <c r="I147" s="226">
        <f>Inputs!F384*(-'Sup Staff'!H28)</f>
        <v>0</v>
      </c>
      <c r="J147" s="226">
        <f>Inputs!F384*(-'Sup Staff'!J28)</f>
        <v>0</v>
      </c>
      <c r="K147" s="226">
        <f>Inputs!F384*(-'Sup Staff'!K28)</f>
        <v>0</v>
      </c>
      <c r="L147" s="226">
        <f>Inputs!F384*(-'Sup Staff'!L28)</f>
        <v>0</v>
      </c>
      <c r="M147" s="226">
        <f>Inputs!F384*(-'Sup Staff'!N28)</f>
        <v>0</v>
      </c>
      <c r="N147" s="226">
        <f>Inputs!F384*(-'Sup Staff'!O28)</f>
        <v>0</v>
      </c>
      <c r="O147" s="226">
        <f>Inputs!F384*(-'Sup Staff'!P28)</f>
        <v>0</v>
      </c>
      <c r="P147" s="226">
        <f>Inputs!F384*(-'Sup Staff'!R28)</f>
        <v>0</v>
      </c>
      <c r="Q147" s="226">
        <f>Inputs!F384*(-'Sup Staff'!S28)</f>
        <v>0</v>
      </c>
      <c r="R147" s="226">
        <f>Inputs!F384*(-'Sup Staff'!T28)</f>
        <v>0</v>
      </c>
      <c r="S147" s="226">
        <f>Inputs!F384*(-'Sup Staff'!V28)</f>
        <v>0</v>
      </c>
      <c r="T147" s="279">
        <f>Inputs!F384*(-'Sup Staff'!W28)</f>
        <v>0</v>
      </c>
    </row>
    <row r="148" spans="1:20" ht="12.75" customHeight="1" x14ac:dyDescent="0.2">
      <c r="A148" s="188" t="str">
        <f>"      "&amp;Labels!C392</f>
        <v xml:space="preserve">      Total</v>
      </c>
      <c r="B148" s="196">
        <f t="shared" ref="B148:T148" si="75">SUM(B146:B147)</f>
        <v>0</v>
      </c>
      <c r="C148" s="196">
        <f t="shared" si="75"/>
        <v>0</v>
      </c>
      <c r="D148" s="196">
        <f t="shared" si="75"/>
        <v>0</v>
      </c>
      <c r="E148" s="196">
        <f t="shared" si="75"/>
        <v>0</v>
      </c>
      <c r="F148" s="196">
        <f t="shared" si="75"/>
        <v>0</v>
      </c>
      <c r="G148" s="196">
        <f t="shared" si="75"/>
        <v>0</v>
      </c>
      <c r="H148" s="196">
        <f t="shared" si="75"/>
        <v>0</v>
      </c>
      <c r="I148" s="196">
        <f t="shared" si="75"/>
        <v>0</v>
      </c>
      <c r="J148" s="196">
        <f t="shared" si="75"/>
        <v>0</v>
      </c>
      <c r="K148" s="196">
        <f t="shared" si="75"/>
        <v>0</v>
      </c>
      <c r="L148" s="196">
        <f t="shared" si="75"/>
        <v>0</v>
      </c>
      <c r="M148" s="196">
        <f t="shared" si="75"/>
        <v>0</v>
      </c>
      <c r="N148" s="196">
        <f t="shared" si="75"/>
        <v>0</v>
      </c>
      <c r="O148" s="196">
        <f t="shared" si="75"/>
        <v>0</v>
      </c>
      <c r="P148" s="196">
        <f t="shared" si="75"/>
        <v>0</v>
      </c>
      <c r="Q148" s="196">
        <f t="shared" si="75"/>
        <v>0</v>
      </c>
      <c r="R148" s="196">
        <f t="shared" si="75"/>
        <v>0</v>
      </c>
      <c r="S148" s="196">
        <f t="shared" si="75"/>
        <v>0</v>
      </c>
      <c r="T148" s="267">
        <f t="shared" si="75"/>
        <v>0</v>
      </c>
    </row>
    <row r="149" spans="1:20" ht="12.75" customHeight="1" x14ac:dyDescent="0.2">
      <c r="A149" s="191" t="str">
        <f>"   "&amp;Labels!C320</f>
        <v xml:space="preserve">   Total</v>
      </c>
      <c r="B149" s="192">
        <f t="shared" ref="B149:T149" si="76">SUM(B144,B148)</f>
        <v>0</v>
      </c>
      <c r="C149" s="192">
        <f t="shared" si="76"/>
        <v>0</v>
      </c>
      <c r="D149" s="192">
        <f t="shared" si="76"/>
        <v>0</v>
      </c>
      <c r="E149" s="192">
        <f t="shared" si="76"/>
        <v>0</v>
      </c>
      <c r="F149" s="192">
        <f t="shared" si="76"/>
        <v>0</v>
      </c>
      <c r="G149" s="192">
        <f t="shared" si="76"/>
        <v>0</v>
      </c>
      <c r="H149" s="192">
        <f t="shared" si="76"/>
        <v>0</v>
      </c>
      <c r="I149" s="192">
        <f t="shared" si="76"/>
        <v>0</v>
      </c>
      <c r="J149" s="192">
        <f t="shared" si="76"/>
        <v>0</v>
      </c>
      <c r="K149" s="192">
        <f t="shared" si="76"/>
        <v>0</v>
      </c>
      <c r="L149" s="192">
        <f t="shared" si="76"/>
        <v>0</v>
      </c>
      <c r="M149" s="192">
        <f t="shared" si="76"/>
        <v>0</v>
      </c>
      <c r="N149" s="192">
        <f t="shared" si="76"/>
        <v>0</v>
      </c>
      <c r="O149" s="192">
        <f t="shared" si="76"/>
        <v>0</v>
      </c>
      <c r="P149" s="192">
        <f t="shared" si="76"/>
        <v>0</v>
      </c>
      <c r="Q149" s="192">
        <f t="shared" si="76"/>
        <v>0</v>
      </c>
      <c r="R149" s="192">
        <f t="shared" si="76"/>
        <v>0</v>
      </c>
      <c r="S149" s="192">
        <f t="shared" si="76"/>
        <v>0</v>
      </c>
      <c r="T149" s="280">
        <f t="shared" si="76"/>
        <v>0</v>
      </c>
    </row>
    <row r="150" spans="1:20" ht="12.75" customHeight="1" x14ac:dyDescent="0.2">
      <c r="A150" s="198" t="str">
        <f>"      "&amp;Labels!B393</f>
        <v xml:space="preserve">      Manager</v>
      </c>
      <c r="B150" s="226">
        <f t="shared" ref="B150:T150" si="77">SUM(B142,B146)</f>
        <v>0</v>
      </c>
      <c r="C150" s="226">
        <f t="shared" si="77"/>
        <v>0</v>
      </c>
      <c r="D150" s="226">
        <f t="shared" si="77"/>
        <v>0</v>
      </c>
      <c r="E150" s="226">
        <f t="shared" si="77"/>
        <v>0</v>
      </c>
      <c r="F150" s="226">
        <f t="shared" si="77"/>
        <v>0</v>
      </c>
      <c r="G150" s="226">
        <f t="shared" si="77"/>
        <v>0</v>
      </c>
      <c r="H150" s="226">
        <f t="shared" si="77"/>
        <v>0</v>
      </c>
      <c r="I150" s="226">
        <f t="shared" si="77"/>
        <v>0</v>
      </c>
      <c r="J150" s="226">
        <f t="shared" si="77"/>
        <v>0</v>
      </c>
      <c r="K150" s="226">
        <f t="shared" si="77"/>
        <v>0</v>
      </c>
      <c r="L150" s="226">
        <f t="shared" si="77"/>
        <v>0</v>
      </c>
      <c r="M150" s="226">
        <f t="shared" si="77"/>
        <v>0</v>
      </c>
      <c r="N150" s="226">
        <f t="shared" si="77"/>
        <v>0</v>
      </c>
      <c r="O150" s="226">
        <f t="shared" si="77"/>
        <v>0</v>
      </c>
      <c r="P150" s="226">
        <f t="shared" si="77"/>
        <v>0</v>
      </c>
      <c r="Q150" s="226">
        <f t="shared" si="77"/>
        <v>0</v>
      </c>
      <c r="R150" s="226">
        <f t="shared" si="77"/>
        <v>0</v>
      </c>
      <c r="S150" s="226">
        <f t="shared" si="77"/>
        <v>0</v>
      </c>
      <c r="T150" s="279">
        <f t="shared" si="77"/>
        <v>0</v>
      </c>
    </row>
    <row r="151" spans="1:20" ht="12.75" customHeight="1" x14ac:dyDescent="0.2">
      <c r="A151" s="198" t="str">
        <f>"      "&amp;Labels!B394</f>
        <v xml:space="preserve">      Contributor</v>
      </c>
      <c r="B151" s="226">
        <f t="shared" ref="B151:T151" si="78">SUM(B143,B147)</f>
        <v>0</v>
      </c>
      <c r="C151" s="226">
        <f t="shared" si="78"/>
        <v>0</v>
      </c>
      <c r="D151" s="226">
        <f t="shared" si="78"/>
        <v>0</v>
      </c>
      <c r="E151" s="226">
        <f t="shared" si="78"/>
        <v>0</v>
      </c>
      <c r="F151" s="226">
        <f t="shared" si="78"/>
        <v>0</v>
      </c>
      <c r="G151" s="226">
        <f t="shared" si="78"/>
        <v>0</v>
      </c>
      <c r="H151" s="226">
        <f t="shared" si="78"/>
        <v>0</v>
      </c>
      <c r="I151" s="226">
        <f t="shared" si="78"/>
        <v>0</v>
      </c>
      <c r="J151" s="226">
        <f t="shared" si="78"/>
        <v>0</v>
      </c>
      <c r="K151" s="226">
        <f t="shared" si="78"/>
        <v>0</v>
      </c>
      <c r="L151" s="226">
        <f t="shared" si="78"/>
        <v>0</v>
      </c>
      <c r="M151" s="226">
        <f t="shared" si="78"/>
        <v>0</v>
      </c>
      <c r="N151" s="226">
        <f t="shared" si="78"/>
        <v>0</v>
      </c>
      <c r="O151" s="226">
        <f t="shared" si="78"/>
        <v>0</v>
      </c>
      <c r="P151" s="226">
        <f t="shared" si="78"/>
        <v>0</v>
      </c>
      <c r="Q151" s="226">
        <f t="shared" si="78"/>
        <v>0</v>
      </c>
      <c r="R151" s="226">
        <f t="shared" si="78"/>
        <v>0</v>
      </c>
      <c r="S151" s="226">
        <f t="shared" si="78"/>
        <v>0</v>
      </c>
      <c r="T151" s="279">
        <f t="shared" si="78"/>
        <v>0</v>
      </c>
    </row>
    <row r="152" spans="1:20" ht="12.75" customHeight="1" x14ac:dyDescent="0.2">
      <c r="A152" s="188" t="str">
        <f>"      "&amp;Labels!C392</f>
        <v xml:space="preserve">      Total</v>
      </c>
      <c r="B152" s="196">
        <f t="shared" ref="B152:T152" si="79">SUM(B144,B148)</f>
        <v>0</v>
      </c>
      <c r="C152" s="196">
        <f t="shared" si="79"/>
        <v>0</v>
      </c>
      <c r="D152" s="196">
        <f t="shared" si="79"/>
        <v>0</v>
      </c>
      <c r="E152" s="196">
        <f t="shared" si="79"/>
        <v>0</v>
      </c>
      <c r="F152" s="196">
        <f t="shared" si="79"/>
        <v>0</v>
      </c>
      <c r="G152" s="196">
        <f t="shared" si="79"/>
        <v>0</v>
      </c>
      <c r="H152" s="196">
        <f t="shared" si="79"/>
        <v>0</v>
      </c>
      <c r="I152" s="196">
        <f t="shared" si="79"/>
        <v>0</v>
      </c>
      <c r="J152" s="196">
        <f t="shared" si="79"/>
        <v>0</v>
      </c>
      <c r="K152" s="196">
        <f t="shared" si="79"/>
        <v>0</v>
      </c>
      <c r="L152" s="196">
        <f t="shared" si="79"/>
        <v>0</v>
      </c>
      <c r="M152" s="196">
        <f t="shared" si="79"/>
        <v>0</v>
      </c>
      <c r="N152" s="196">
        <f t="shared" si="79"/>
        <v>0</v>
      </c>
      <c r="O152" s="196">
        <f t="shared" si="79"/>
        <v>0</v>
      </c>
      <c r="P152" s="196">
        <f t="shared" si="79"/>
        <v>0</v>
      </c>
      <c r="Q152" s="196">
        <f t="shared" si="79"/>
        <v>0</v>
      </c>
      <c r="R152" s="196">
        <f t="shared" si="79"/>
        <v>0</v>
      </c>
      <c r="S152" s="196">
        <f t="shared" si="79"/>
        <v>0</v>
      </c>
      <c r="T152" s="267">
        <f t="shared" si="79"/>
        <v>0</v>
      </c>
    </row>
    <row r="153" spans="1:20" ht="12.75" customHeight="1" x14ac:dyDescent="0.2">
      <c r="A153" s="191" t="str">
        <f>Labels!B409</f>
        <v>Office Equip</v>
      </c>
      <c r="B153" s="192"/>
      <c r="C153" s="192"/>
      <c r="D153" s="192"/>
      <c r="E153" s="192"/>
      <c r="F153" s="192"/>
      <c r="G153" s="192"/>
      <c r="H153" s="192"/>
      <c r="I153" s="192"/>
      <c r="J153" s="192"/>
      <c r="K153" s="192"/>
      <c r="L153" s="192"/>
      <c r="M153" s="192"/>
      <c r="N153" s="192"/>
      <c r="O153" s="192"/>
      <c r="P153" s="192"/>
      <c r="Q153" s="192"/>
      <c r="R153" s="192"/>
      <c r="S153" s="192"/>
      <c r="T153" s="280"/>
    </row>
    <row r="154" spans="1:20" ht="12.75" customHeight="1" x14ac:dyDescent="0.2">
      <c r="A154" s="188" t="str">
        <f>"   "&amp;Labels!B321</f>
        <v xml:space="preserve">   Marketing</v>
      </c>
      <c r="B154" s="196"/>
      <c r="C154" s="196"/>
      <c r="D154" s="196"/>
      <c r="E154" s="196"/>
      <c r="F154" s="196"/>
      <c r="G154" s="196"/>
      <c r="H154" s="196"/>
      <c r="I154" s="196"/>
      <c r="J154" s="196"/>
      <c r="K154" s="196"/>
      <c r="L154" s="196"/>
      <c r="M154" s="196"/>
      <c r="N154" s="196"/>
      <c r="O154" s="196"/>
      <c r="P154" s="196"/>
      <c r="Q154" s="196"/>
      <c r="R154" s="196"/>
      <c r="S154" s="196"/>
      <c r="T154" s="267"/>
    </row>
    <row r="155" spans="1:20" ht="12.75" customHeight="1" x14ac:dyDescent="0.2">
      <c r="A155" s="198" t="str">
        <f>"      "&amp;Labels!B393</f>
        <v xml:space="preserve">      Manager</v>
      </c>
      <c r="B155" s="226">
        <f>Inputs!G384*(0)</f>
        <v>0</v>
      </c>
      <c r="C155" s="226">
        <f>Inputs!G384*(0)</f>
        <v>0</v>
      </c>
      <c r="D155" s="226">
        <f>Inputs!G384*(-'Sup Staff'!B23)</f>
        <v>0</v>
      </c>
      <c r="E155" s="226">
        <f>Inputs!G384*(-'Sup Staff'!C23)</f>
        <v>0</v>
      </c>
      <c r="F155" s="226">
        <f>Inputs!G384*(-'Sup Staff'!D23)</f>
        <v>0</v>
      </c>
      <c r="G155" s="226">
        <f>Inputs!G384*(-'Sup Staff'!F23)</f>
        <v>0</v>
      </c>
      <c r="H155" s="226">
        <f>Inputs!G384*(-'Sup Staff'!G23)</f>
        <v>0</v>
      </c>
      <c r="I155" s="226">
        <f>Inputs!G384*(-'Sup Staff'!H23)</f>
        <v>0</v>
      </c>
      <c r="J155" s="226">
        <f>Inputs!G384*(-'Sup Staff'!J23)</f>
        <v>0</v>
      </c>
      <c r="K155" s="226">
        <f>Inputs!G384*(-'Sup Staff'!K23)</f>
        <v>0</v>
      </c>
      <c r="L155" s="226">
        <f>Inputs!G384*(-'Sup Staff'!L23)</f>
        <v>0</v>
      </c>
      <c r="M155" s="226">
        <f>Inputs!G384*(-'Sup Staff'!N23)</f>
        <v>0</v>
      </c>
      <c r="N155" s="226">
        <f>Inputs!G384*(-'Sup Staff'!O23)</f>
        <v>0</v>
      </c>
      <c r="O155" s="226">
        <f>Inputs!G384*(-'Sup Staff'!P23)</f>
        <v>0</v>
      </c>
      <c r="P155" s="226">
        <f>Inputs!G384*(-'Sup Staff'!R23)</f>
        <v>0</v>
      </c>
      <c r="Q155" s="226">
        <f>Inputs!G384*(-'Sup Staff'!S23)</f>
        <v>0</v>
      </c>
      <c r="R155" s="226">
        <f>Inputs!G384*(-'Sup Staff'!T23)</f>
        <v>0</v>
      </c>
      <c r="S155" s="226">
        <f>Inputs!G384*(-'Sup Staff'!V23)</f>
        <v>0</v>
      </c>
      <c r="T155" s="279">
        <f>Inputs!G384*(-'Sup Staff'!W23)</f>
        <v>0</v>
      </c>
    </row>
    <row r="156" spans="1:20" ht="12.75" customHeight="1" x14ac:dyDescent="0.2">
      <c r="A156" s="198" t="str">
        <f>"      "&amp;Labels!B394</f>
        <v xml:space="preserve">      Contributor</v>
      </c>
      <c r="B156" s="226">
        <f>Inputs!G384*(0)</f>
        <v>0</v>
      </c>
      <c r="C156" s="226">
        <f>Inputs!G384*(0)</f>
        <v>0</v>
      </c>
      <c r="D156" s="226">
        <f>Inputs!G384*(-'Sup Staff'!B24)</f>
        <v>0</v>
      </c>
      <c r="E156" s="226">
        <f>Inputs!G384*(-'Sup Staff'!C24)</f>
        <v>0</v>
      </c>
      <c r="F156" s="226">
        <f>Inputs!G384*(-'Sup Staff'!D24)</f>
        <v>0</v>
      </c>
      <c r="G156" s="226">
        <f>Inputs!G384*(-'Sup Staff'!F24)</f>
        <v>0</v>
      </c>
      <c r="H156" s="226">
        <f>Inputs!G384*(-'Sup Staff'!G24)</f>
        <v>0</v>
      </c>
      <c r="I156" s="226">
        <f>Inputs!G384*(-'Sup Staff'!H24)</f>
        <v>0</v>
      </c>
      <c r="J156" s="226">
        <f>Inputs!G384*(-'Sup Staff'!J24)</f>
        <v>0</v>
      </c>
      <c r="K156" s="226">
        <f>Inputs!G384*(-'Sup Staff'!K24)</f>
        <v>0</v>
      </c>
      <c r="L156" s="226">
        <f>Inputs!G384*(-'Sup Staff'!L24)</f>
        <v>0</v>
      </c>
      <c r="M156" s="226">
        <f>Inputs!G384*(-'Sup Staff'!N24)</f>
        <v>0</v>
      </c>
      <c r="N156" s="226">
        <f>Inputs!G384*(-'Sup Staff'!O24)</f>
        <v>0</v>
      </c>
      <c r="O156" s="226">
        <f>Inputs!G384*(-'Sup Staff'!P24)</f>
        <v>0</v>
      </c>
      <c r="P156" s="226">
        <f>Inputs!G384*(-'Sup Staff'!R24)</f>
        <v>0</v>
      </c>
      <c r="Q156" s="226">
        <f>Inputs!G384*(-'Sup Staff'!S24)</f>
        <v>0</v>
      </c>
      <c r="R156" s="226">
        <f>Inputs!G384*(-'Sup Staff'!T24)</f>
        <v>0</v>
      </c>
      <c r="S156" s="226">
        <f>Inputs!G384*(-'Sup Staff'!V24)</f>
        <v>0</v>
      </c>
      <c r="T156" s="279">
        <f>Inputs!G384*(-'Sup Staff'!W24)</f>
        <v>0</v>
      </c>
    </row>
    <row r="157" spans="1:20" ht="12.75" customHeight="1" x14ac:dyDescent="0.2">
      <c r="A157" s="188" t="str">
        <f>"      "&amp;Labels!C392</f>
        <v xml:space="preserve">      Total</v>
      </c>
      <c r="B157" s="196">
        <f t="shared" ref="B157:T157" si="80">SUM(B155:B156)</f>
        <v>0</v>
      </c>
      <c r="C157" s="196">
        <f t="shared" si="80"/>
        <v>0</v>
      </c>
      <c r="D157" s="196">
        <f t="shared" si="80"/>
        <v>0</v>
      </c>
      <c r="E157" s="196">
        <f t="shared" si="80"/>
        <v>0</v>
      </c>
      <c r="F157" s="196">
        <f t="shared" si="80"/>
        <v>0</v>
      </c>
      <c r="G157" s="196">
        <f t="shared" si="80"/>
        <v>0</v>
      </c>
      <c r="H157" s="196">
        <f t="shared" si="80"/>
        <v>0</v>
      </c>
      <c r="I157" s="196">
        <f t="shared" si="80"/>
        <v>0</v>
      </c>
      <c r="J157" s="196">
        <f t="shared" si="80"/>
        <v>0</v>
      </c>
      <c r="K157" s="196">
        <f t="shared" si="80"/>
        <v>0</v>
      </c>
      <c r="L157" s="196">
        <f t="shared" si="80"/>
        <v>0</v>
      </c>
      <c r="M157" s="196">
        <f t="shared" si="80"/>
        <v>0</v>
      </c>
      <c r="N157" s="196">
        <f t="shared" si="80"/>
        <v>0</v>
      </c>
      <c r="O157" s="196">
        <f t="shared" si="80"/>
        <v>0</v>
      </c>
      <c r="P157" s="196">
        <f t="shared" si="80"/>
        <v>0</v>
      </c>
      <c r="Q157" s="196">
        <f t="shared" si="80"/>
        <v>0</v>
      </c>
      <c r="R157" s="196">
        <f t="shared" si="80"/>
        <v>0</v>
      </c>
      <c r="S157" s="196">
        <f t="shared" si="80"/>
        <v>0</v>
      </c>
      <c r="T157" s="267">
        <f t="shared" si="80"/>
        <v>0</v>
      </c>
    </row>
    <row r="158" spans="1:20" ht="12.75" customHeight="1" x14ac:dyDescent="0.2">
      <c r="A158" s="188" t="str">
        <f>"   "&amp;Labels!B322</f>
        <v xml:space="preserve">   Sales</v>
      </c>
      <c r="B158" s="196"/>
      <c r="C158" s="196"/>
      <c r="D158" s="196"/>
      <c r="E158" s="196"/>
      <c r="F158" s="196"/>
      <c r="G158" s="196"/>
      <c r="H158" s="196"/>
      <c r="I158" s="196"/>
      <c r="J158" s="196"/>
      <c r="K158" s="196"/>
      <c r="L158" s="196"/>
      <c r="M158" s="196"/>
      <c r="N158" s="196"/>
      <c r="O158" s="196"/>
      <c r="P158" s="196"/>
      <c r="Q158" s="196"/>
      <c r="R158" s="196"/>
      <c r="S158" s="196"/>
      <c r="T158" s="267"/>
    </row>
    <row r="159" spans="1:20" ht="12.75" customHeight="1" x14ac:dyDescent="0.2">
      <c r="A159" s="198" t="str">
        <f>"      "&amp;Labels!B393</f>
        <v xml:space="preserve">      Manager</v>
      </c>
      <c r="B159" s="226">
        <f>Inputs!G384*(0)</f>
        <v>0</v>
      </c>
      <c r="C159" s="226">
        <f>Inputs!G384*(0)</f>
        <v>0</v>
      </c>
      <c r="D159" s="226">
        <f>Inputs!G384*(-'Sup Staff'!B27)</f>
        <v>0</v>
      </c>
      <c r="E159" s="226">
        <f>Inputs!G384*(-'Sup Staff'!C27)</f>
        <v>0</v>
      </c>
      <c r="F159" s="226">
        <f>Inputs!G384*(-'Sup Staff'!D27)</f>
        <v>0</v>
      </c>
      <c r="G159" s="226">
        <f>Inputs!G384*(-'Sup Staff'!F27)</f>
        <v>0</v>
      </c>
      <c r="H159" s="226">
        <f>Inputs!G384*(-'Sup Staff'!G27)</f>
        <v>0</v>
      </c>
      <c r="I159" s="226">
        <f>Inputs!G384*(-'Sup Staff'!H27)</f>
        <v>0</v>
      </c>
      <c r="J159" s="226">
        <f>Inputs!G384*(-'Sup Staff'!J27)</f>
        <v>0</v>
      </c>
      <c r="K159" s="226">
        <f>Inputs!G384*(-'Sup Staff'!K27)</f>
        <v>0</v>
      </c>
      <c r="L159" s="226">
        <f>Inputs!G384*(-'Sup Staff'!L27)</f>
        <v>0</v>
      </c>
      <c r="M159" s="226">
        <f>Inputs!G384*(-'Sup Staff'!N27)</f>
        <v>0</v>
      </c>
      <c r="N159" s="226">
        <f>Inputs!G384*(-'Sup Staff'!O27)</f>
        <v>0</v>
      </c>
      <c r="O159" s="226">
        <f>Inputs!G384*(-'Sup Staff'!P27)</f>
        <v>0</v>
      </c>
      <c r="P159" s="226">
        <f>Inputs!G384*(-'Sup Staff'!R27)</f>
        <v>0</v>
      </c>
      <c r="Q159" s="226">
        <f>Inputs!G384*(-'Sup Staff'!S27)</f>
        <v>0</v>
      </c>
      <c r="R159" s="226">
        <f>Inputs!G384*(-'Sup Staff'!T27)</f>
        <v>0</v>
      </c>
      <c r="S159" s="226">
        <f>Inputs!G384*(-'Sup Staff'!V27)</f>
        <v>0</v>
      </c>
      <c r="T159" s="279">
        <f>Inputs!G384*(-'Sup Staff'!W27)</f>
        <v>0</v>
      </c>
    </row>
    <row r="160" spans="1:20" ht="12.75" customHeight="1" x14ac:dyDescent="0.2">
      <c r="A160" s="198" t="str">
        <f>"      "&amp;Labels!B394</f>
        <v xml:space="preserve">      Contributor</v>
      </c>
      <c r="B160" s="226">
        <f>Inputs!G384*(0)</f>
        <v>0</v>
      </c>
      <c r="C160" s="226">
        <f>Inputs!G384*(0)</f>
        <v>0</v>
      </c>
      <c r="D160" s="226">
        <f>Inputs!G384*(-'Sup Staff'!B28)</f>
        <v>0</v>
      </c>
      <c r="E160" s="226">
        <f>Inputs!G384*(-'Sup Staff'!C28)</f>
        <v>0</v>
      </c>
      <c r="F160" s="226">
        <f>Inputs!G384*(-'Sup Staff'!D28)</f>
        <v>0</v>
      </c>
      <c r="G160" s="226">
        <f>Inputs!G384*(-'Sup Staff'!F28)</f>
        <v>0</v>
      </c>
      <c r="H160" s="226">
        <f>Inputs!G384*(-'Sup Staff'!G28)</f>
        <v>0</v>
      </c>
      <c r="I160" s="226">
        <f>Inputs!G384*(-'Sup Staff'!H28)</f>
        <v>0</v>
      </c>
      <c r="J160" s="226">
        <f>Inputs!G384*(-'Sup Staff'!J28)</f>
        <v>0</v>
      </c>
      <c r="K160" s="226">
        <f>Inputs!G384*(-'Sup Staff'!K28)</f>
        <v>0</v>
      </c>
      <c r="L160" s="226">
        <f>Inputs!G384*(-'Sup Staff'!L28)</f>
        <v>0</v>
      </c>
      <c r="M160" s="226">
        <f>Inputs!G384*(-'Sup Staff'!N28)</f>
        <v>0</v>
      </c>
      <c r="N160" s="226">
        <f>Inputs!G384*(-'Sup Staff'!O28)</f>
        <v>0</v>
      </c>
      <c r="O160" s="226">
        <f>Inputs!G384*(-'Sup Staff'!P28)</f>
        <v>0</v>
      </c>
      <c r="P160" s="226">
        <f>Inputs!G384*(-'Sup Staff'!R28)</f>
        <v>0</v>
      </c>
      <c r="Q160" s="226">
        <f>Inputs!G384*(-'Sup Staff'!S28)</f>
        <v>0</v>
      </c>
      <c r="R160" s="226">
        <f>Inputs!G384*(-'Sup Staff'!T28)</f>
        <v>0</v>
      </c>
      <c r="S160" s="226">
        <f>Inputs!G384*(-'Sup Staff'!V28)</f>
        <v>0</v>
      </c>
      <c r="T160" s="279">
        <f>Inputs!G384*(-'Sup Staff'!W28)</f>
        <v>0</v>
      </c>
    </row>
    <row r="161" spans="1:20" ht="12.75" customHeight="1" x14ac:dyDescent="0.2">
      <c r="A161" s="188" t="str">
        <f>"      "&amp;Labels!C392</f>
        <v xml:space="preserve">      Total</v>
      </c>
      <c r="B161" s="196">
        <f t="shared" ref="B161:T161" si="81">SUM(B159:B160)</f>
        <v>0</v>
      </c>
      <c r="C161" s="196">
        <f t="shared" si="81"/>
        <v>0</v>
      </c>
      <c r="D161" s="196">
        <f t="shared" si="81"/>
        <v>0</v>
      </c>
      <c r="E161" s="196">
        <f t="shared" si="81"/>
        <v>0</v>
      </c>
      <c r="F161" s="196">
        <f t="shared" si="81"/>
        <v>0</v>
      </c>
      <c r="G161" s="196">
        <f t="shared" si="81"/>
        <v>0</v>
      </c>
      <c r="H161" s="196">
        <f t="shared" si="81"/>
        <v>0</v>
      </c>
      <c r="I161" s="196">
        <f t="shared" si="81"/>
        <v>0</v>
      </c>
      <c r="J161" s="196">
        <f t="shared" si="81"/>
        <v>0</v>
      </c>
      <c r="K161" s="196">
        <f t="shared" si="81"/>
        <v>0</v>
      </c>
      <c r="L161" s="196">
        <f t="shared" si="81"/>
        <v>0</v>
      </c>
      <c r="M161" s="196">
        <f t="shared" si="81"/>
        <v>0</v>
      </c>
      <c r="N161" s="196">
        <f t="shared" si="81"/>
        <v>0</v>
      </c>
      <c r="O161" s="196">
        <f t="shared" si="81"/>
        <v>0</v>
      </c>
      <c r="P161" s="196">
        <f t="shared" si="81"/>
        <v>0</v>
      </c>
      <c r="Q161" s="196">
        <f t="shared" si="81"/>
        <v>0</v>
      </c>
      <c r="R161" s="196">
        <f t="shared" si="81"/>
        <v>0</v>
      </c>
      <c r="S161" s="196">
        <f t="shared" si="81"/>
        <v>0</v>
      </c>
      <c r="T161" s="267">
        <f t="shared" si="81"/>
        <v>0</v>
      </c>
    </row>
    <row r="162" spans="1:20" ht="12.75" customHeight="1" x14ac:dyDescent="0.2">
      <c r="A162" s="191" t="str">
        <f>"   "&amp;Labels!C320</f>
        <v xml:space="preserve">   Total</v>
      </c>
      <c r="B162" s="192">
        <f t="shared" ref="B162:T162" si="82">SUM(B157,B161)</f>
        <v>0</v>
      </c>
      <c r="C162" s="192">
        <f t="shared" si="82"/>
        <v>0</v>
      </c>
      <c r="D162" s="192">
        <f t="shared" si="82"/>
        <v>0</v>
      </c>
      <c r="E162" s="192">
        <f t="shared" si="82"/>
        <v>0</v>
      </c>
      <c r="F162" s="192">
        <f t="shared" si="82"/>
        <v>0</v>
      </c>
      <c r="G162" s="192">
        <f t="shared" si="82"/>
        <v>0</v>
      </c>
      <c r="H162" s="192">
        <f t="shared" si="82"/>
        <v>0</v>
      </c>
      <c r="I162" s="192">
        <f t="shared" si="82"/>
        <v>0</v>
      </c>
      <c r="J162" s="192">
        <f t="shared" si="82"/>
        <v>0</v>
      </c>
      <c r="K162" s="192">
        <f t="shared" si="82"/>
        <v>0</v>
      </c>
      <c r="L162" s="192">
        <f t="shared" si="82"/>
        <v>0</v>
      </c>
      <c r="M162" s="192">
        <f t="shared" si="82"/>
        <v>0</v>
      </c>
      <c r="N162" s="192">
        <f t="shared" si="82"/>
        <v>0</v>
      </c>
      <c r="O162" s="192">
        <f t="shared" si="82"/>
        <v>0</v>
      </c>
      <c r="P162" s="192">
        <f t="shared" si="82"/>
        <v>0</v>
      </c>
      <c r="Q162" s="192">
        <f t="shared" si="82"/>
        <v>0</v>
      </c>
      <c r="R162" s="192">
        <f t="shared" si="82"/>
        <v>0</v>
      </c>
      <c r="S162" s="192">
        <f t="shared" si="82"/>
        <v>0</v>
      </c>
      <c r="T162" s="280">
        <f t="shared" si="82"/>
        <v>0</v>
      </c>
    </row>
    <row r="163" spans="1:20" ht="12.75" customHeight="1" x14ac:dyDescent="0.2">
      <c r="A163" s="198" t="str">
        <f>"      "&amp;Labels!B393</f>
        <v xml:space="preserve">      Manager</v>
      </c>
      <c r="B163" s="226">
        <f t="shared" ref="B163:T163" si="83">SUM(B155,B159)</f>
        <v>0</v>
      </c>
      <c r="C163" s="226">
        <f t="shared" si="83"/>
        <v>0</v>
      </c>
      <c r="D163" s="226">
        <f t="shared" si="83"/>
        <v>0</v>
      </c>
      <c r="E163" s="226">
        <f t="shared" si="83"/>
        <v>0</v>
      </c>
      <c r="F163" s="226">
        <f t="shared" si="83"/>
        <v>0</v>
      </c>
      <c r="G163" s="226">
        <f t="shared" si="83"/>
        <v>0</v>
      </c>
      <c r="H163" s="226">
        <f t="shared" si="83"/>
        <v>0</v>
      </c>
      <c r="I163" s="226">
        <f t="shared" si="83"/>
        <v>0</v>
      </c>
      <c r="J163" s="226">
        <f t="shared" si="83"/>
        <v>0</v>
      </c>
      <c r="K163" s="226">
        <f t="shared" si="83"/>
        <v>0</v>
      </c>
      <c r="L163" s="226">
        <f t="shared" si="83"/>
        <v>0</v>
      </c>
      <c r="M163" s="226">
        <f t="shared" si="83"/>
        <v>0</v>
      </c>
      <c r="N163" s="226">
        <f t="shared" si="83"/>
        <v>0</v>
      </c>
      <c r="O163" s="226">
        <f t="shared" si="83"/>
        <v>0</v>
      </c>
      <c r="P163" s="226">
        <f t="shared" si="83"/>
        <v>0</v>
      </c>
      <c r="Q163" s="226">
        <f t="shared" si="83"/>
        <v>0</v>
      </c>
      <c r="R163" s="226">
        <f t="shared" si="83"/>
        <v>0</v>
      </c>
      <c r="S163" s="226">
        <f t="shared" si="83"/>
        <v>0</v>
      </c>
      <c r="T163" s="279">
        <f t="shared" si="83"/>
        <v>0</v>
      </c>
    </row>
    <row r="164" spans="1:20" ht="12.75" customHeight="1" x14ac:dyDescent="0.2">
      <c r="A164" s="198" t="str">
        <f>"      "&amp;Labels!B394</f>
        <v xml:space="preserve">      Contributor</v>
      </c>
      <c r="B164" s="226">
        <f t="shared" ref="B164:T164" si="84">SUM(B156,B160)</f>
        <v>0</v>
      </c>
      <c r="C164" s="226">
        <f t="shared" si="84"/>
        <v>0</v>
      </c>
      <c r="D164" s="226">
        <f t="shared" si="84"/>
        <v>0</v>
      </c>
      <c r="E164" s="226">
        <f t="shared" si="84"/>
        <v>0</v>
      </c>
      <c r="F164" s="226">
        <f t="shared" si="84"/>
        <v>0</v>
      </c>
      <c r="G164" s="226">
        <f t="shared" si="84"/>
        <v>0</v>
      </c>
      <c r="H164" s="226">
        <f t="shared" si="84"/>
        <v>0</v>
      </c>
      <c r="I164" s="226">
        <f t="shared" si="84"/>
        <v>0</v>
      </c>
      <c r="J164" s="226">
        <f t="shared" si="84"/>
        <v>0</v>
      </c>
      <c r="K164" s="226">
        <f t="shared" si="84"/>
        <v>0</v>
      </c>
      <c r="L164" s="226">
        <f t="shared" si="84"/>
        <v>0</v>
      </c>
      <c r="M164" s="226">
        <f t="shared" si="84"/>
        <v>0</v>
      </c>
      <c r="N164" s="226">
        <f t="shared" si="84"/>
        <v>0</v>
      </c>
      <c r="O164" s="226">
        <f t="shared" si="84"/>
        <v>0</v>
      </c>
      <c r="P164" s="226">
        <f t="shared" si="84"/>
        <v>0</v>
      </c>
      <c r="Q164" s="226">
        <f t="shared" si="84"/>
        <v>0</v>
      </c>
      <c r="R164" s="226">
        <f t="shared" si="84"/>
        <v>0</v>
      </c>
      <c r="S164" s="226">
        <f t="shared" si="84"/>
        <v>0</v>
      </c>
      <c r="T164" s="279">
        <f t="shared" si="84"/>
        <v>0</v>
      </c>
    </row>
    <row r="165" spans="1:20" ht="12.75" customHeight="1" x14ac:dyDescent="0.2">
      <c r="A165" s="188" t="str">
        <f>"      "&amp;Labels!C392</f>
        <v xml:space="preserve">      Total</v>
      </c>
      <c r="B165" s="196">
        <f t="shared" ref="B165:T165" si="85">SUM(B157,B161)</f>
        <v>0</v>
      </c>
      <c r="C165" s="196">
        <f t="shared" si="85"/>
        <v>0</v>
      </c>
      <c r="D165" s="196">
        <f t="shared" si="85"/>
        <v>0</v>
      </c>
      <c r="E165" s="196">
        <f t="shared" si="85"/>
        <v>0</v>
      </c>
      <c r="F165" s="196">
        <f t="shared" si="85"/>
        <v>0</v>
      </c>
      <c r="G165" s="196">
        <f t="shared" si="85"/>
        <v>0</v>
      </c>
      <c r="H165" s="196">
        <f t="shared" si="85"/>
        <v>0</v>
      </c>
      <c r="I165" s="196">
        <f t="shared" si="85"/>
        <v>0</v>
      </c>
      <c r="J165" s="196">
        <f t="shared" si="85"/>
        <v>0</v>
      </c>
      <c r="K165" s="196">
        <f t="shared" si="85"/>
        <v>0</v>
      </c>
      <c r="L165" s="196">
        <f t="shared" si="85"/>
        <v>0</v>
      </c>
      <c r="M165" s="196">
        <f t="shared" si="85"/>
        <v>0</v>
      </c>
      <c r="N165" s="196">
        <f t="shared" si="85"/>
        <v>0</v>
      </c>
      <c r="O165" s="196">
        <f t="shared" si="85"/>
        <v>0</v>
      </c>
      <c r="P165" s="196">
        <f t="shared" si="85"/>
        <v>0</v>
      </c>
      <c r="Q165" s="196">
        <f t="shared" si="85"/>
        <v>0</v>
      </c>
      <c r="R165" s="196">
        <f t="shared" si="85"/>
        <v>0</v>
      </c>
      <c r="S165" s="196">
        <f t="shared" si="85"/>
        <v>0</v>
      </c>
      <c r="T165" s="267">
        <f t="shared" si="85"/>
        <v>0</v>
      </c>
    </row>
    <row r="166" spans="1:20" ht="12.75" customHeight="1" x14ac:dyDescent="0.2">
      <c r="A166" s="97" t="str">
        <f>Labels!C407</f>
        <v>Total</v>
      </c>
      <c r="B166" s="194">
        <f t="shared" ref="B166:T166" si="86">SUM(B149,B162)</f>
        <v>0</v>
      </c>
      <c r="C166" s="194">
        <f t="shared" si="86"/>
        <v>0</v>
      </c>
      <c r="D166" s="194">
        <f t="shared" si="86"/>
        <v>0</v>
      </c>
      <c r="E166" s="194">
        <f t="shared" si="86"/>
        <v>0</v>
      </c>
      <c r="F166" s="194">
        <f t="shared" si="86"/>
        <v>0</v>
      </c>
      <c r="G166" s="194">
        <f t="shared" si="86"/>
        <v>0</v>
      </c>
      <c r="H166" s="194">
        <f t="shared" si="86"/>
        <v>0</v>
      </c>
      <c r="I166" s="194">
        <f t="shared" si="86"/>
        <v>0</v>
      </c>
      <c r="J166" s="194">
        <f t="shared" si="86"/>
        <v>0</v>
      </c>
      <c r="K166" s="194">
        <f t="shared" si="86"/>
        <v>0</v>
      </c>
      <c r="L166" s="194">
        <f t="shared" si="86"/>
        <v>0</v>
      </c>
      <c r="M166" s="194">
        <f t="shared" si="86"/>
        <v>0</v>
      </c>
      <c r="N166" s="194">
        <f t="shared" si="86"/>
        <v>0</v>
      </c>
      <c r="O166" s="194">
        <f t="shared" si="86"/>
        <v>0</v>
      </c>
      <c r="P166" s="194">
        <f t="shared" si="86"/>
        <v>0</v>
      </c>
      <c r="Q166" s="194">
        <f t="shared" si="86"/>
        <v>0</v>
      </c>
      <c r="R166" s="194">
        <f t="shared" si="86"/>
        <v>0</v>
      </c>
      <c r="S166" s="194">
        <f t="shared" si="86"/>
        <v>0</v>
      </c>
      <c r="T166" s="351">
        <f t="shared" si="86"/>
        <v>0</v>
      </c>
    </row>
    <row r="167" spans="1:20" ht="12.75" customHeight="1" x14ac:dyDescent="0.2">
      <c r="A167" s="188" t="str">
        <f>"   "&amp;Labels!B321</f>
        <v xml:space="preserve">   Marketing</v>
      </c>
      <c r="B167" s="196"/>
      <c r="C167" s="196"/>
      <c r="D167" s="196"/>
      <c r="E167" s="196"/>
      <c r="F167" s="196"/>
      <c r="G167" s="196"/>
      <c r="H167" s="196"/>
      <c r="I167" s="196"/>
      <c r="J167" s="196"/>
      <c r="K167" s="196"/>
      <c r="L167" s="196"/>
      <c r="M167" s="196"/>
      <c r="N167" s="196"/>
      <c r="O167" s="196"/>
      <c r="P167" s="196"/>
      <c r="Q167" s="196"/>
      <c r="R167" s="196"/>
      <c r="S167" s="196"/>
      <c r="T167" s="267"/>
    </row>
    <row r="168" spans="1:20" ht="12.75" customHeight="1" x14ac:dyDescent="0.2">
      <c r="A168" s="198" t="str">
        <f>"      "&amp;Labels!B393</f>
        <v xml:space="preserve">      Manager</v>
      </c>
      <c r="B168" s="226">
        <f t="shared" ref="B168:T168" si="87">SUM(B142,B155)</f>
        <v>0</v>
      </c>
      <c r="C168" s="226">
        <f t="shared" si="87"/>
        <v>0</v>
      </c>
      <c r="D168" s="226">
        <f t="shared" si="87"/>
        <v>0</v>
      </c>
      <c r="E168" s="226">
        <f t="shared" si="87"/>
        <v>0</v>
      </c>
      <c r="F168" s="226">
        <f t="shared" si="87"/>
        <v>0</v>
      </c>
      <c r="G168" s="226">
        <f t="shared" si="87"/>
        <v>0</v>
      </c>
      <c r="H168" s="226">
        <f t="shared" si="87"/>
        <v>0</v>
      </c>
      <c r="I168" s="226">
        <f t="shared" si="87"/>
        <v>0</v>
      </c>
      <c r="J168" s="226">
        <f t="shared" si="87"/>
        <v>0</v>
      </c>
      <c r="K168" s="226">
        <f t="shared" si="87"/>
        <v>0</v>
      </c>
      <c r="L168" s="226">
        <f t="shared" si="87"/>
        <v>0</v>
      </c>
      <c r="M168" s="226">
        <f t="shared" si="87"/>
        <v>0</v>
      </c>
      <c r="N168" s="226">
        <f t="shared" si="87"/>
        <v>0</v>
      </c>
      <c r="O168" s="226">
        <f t="shared" si="87"/>
        <v>0</v>
      </c>
      <c r="P168" s="226">
        <f t="shared" si="87"/>
        <v>0</v>
      </c>
      <c r="Q168" s="226">
        <f t="shared" si="87"/>
        <v>0</v>
      </c>
      <c r="R168" s="226">
        <f t="shared" si="87"/>
        <v>0</v>
      </c>
      <c r="S168" s="226">
        <f t="shared" si="87"/>
        <v>0</v>
      </c>
      <c r="T168" s="279">
        <f t="shared" si="87"/>
        <v>0</v>
      </c>
    </row>
    <row r="169" spans="1:20" ht="12.75" customHeight="1" x14ac:dyDescent="0.2">
      <c r="A169" s="198" t="str">
        <f>"      "&amp;Labels!B394</f>
        <v xml:space="preserve">      Contributor</v>
      </c>
      <c r="B169" s="226">
        <f t="shared" ref="B169:T169" si="88">SUM(B143,B156)</f>
        <v>0</v>
      </c>
      <c r="C169" s="226">
        <f t="shared" si="88"/>
        <v>0</v>
      </c>
      <c r="D169" s="226">
        <f t="shared" si="88"/>
        <v>0</v>
      </c>
      <c r="E169" s="226">
        <f t="shared" si="88"/>
        <v>0</v>
      </c>
      <c r="F169" s="226">
        <f t="shared" si="88"/>
        <v>0</v>
      </c>
      <c r="G169" s="226">
        <f t="shared" si="88"/>
        <v>0</v>
      </c>
      <c r="H169" s="226">
        <f t="shared" si="88"/>
        <v>0</v>
      </c>
      <c r="I169" s="226">
        <f t="shared" si="88"/>
        <v>0</v>
      </c>
      <c r="J169" s="226">
        <f t="shared" si="88"/>
        <v>0</v>
      </c>
      <c r="K169" s="226">
        <f t="shared" si="88"/>
        <v>0</v>
      </c>
      <c r="L169" s="226">
        <f t="shared" si="88"/>
        <v>0</v>
      </c>
      <c r="M169" s="226">
        <f t="shared" si="88"/>
        <v>0</v>
      </c>
      <c r="N169" s="226">
        <f t="shared" si="88"/>
        <v>0</v>
      </c>
      <c r="O169" s="226">
        <f t="shared" si="88"/>
        <v>0</v>
      </c>
      <c r="P169" s="226">
        <f t="shared" si="88"/>
        <v>0</v>
      </c>
      <c r="Q169" s="226">
        <f t="shared" si="88"/>
        <v>0</v>
      </c>
      <c r="R169" s="226">
        <f t="shared" si="88"/>
        <v>0</v>
      </c>
      <c r="S169" s="226">
        <f t="shared" si="88"/>
        <v>0</v>
      </c>
      <c r="T169" s="279">
        <f t="shared" si="88"/>
        <v>0</v>
      </c>
    </row>
    <row r="170" spans="1:20" ht="12.75" customHeight="1" x14ac:dyDescent="0.2">
      <c r="A170" s="188" t="str">
        <f>"      "&amp;Labels!C392</f>
        <v xml:space="preserve">      Total</v>
      </c>
      <c r="B170" s="196">
        <f t="shared" ref="B170:T170" si="89">SUM(B144,B157)</f>
        <v>0</v>
      </c>
      <c r="C170" s="196">
        <f t="shared" si="89"/>
        <v>0</v>
      </c>
      <c r="D170" s="196">
        <f t="shared" si="89"/>
        <v>0</v>
      </c>
      <c r="E170" s="196">
        <f t="shared" si="89"/>
        <v>0</v>
      </c>
      <c r="F170" s="196">
        <f t="shared" si="89"/>
        <v>0</v>
      </c>
      <c r="G170" s="196">
        <f t="shared" si="89"/>
        <v>0</v>
      </c>
      <c r="H170" s="196">
        <f t="shared" si="89"/>
        <v>0</v>
      </c>
      <c r="I170" s="196">
        <f t="shared" si="89"/>
        <v>0</v>
      </c>
      <c r="J170" s="196">
        <f t="shared" si="89"/>
        <v>0</v>
      </c>
      <c r="K170" s="196">
        <f t="shared" si="89"/>
        <v>0</v>
      </c>
      <c r="L170" s="196">
        <f t="shared" si="89"/>
        <v>0</v>
      </c>
      <c r="M170" s="196">
        <f t="shared" si="89"/>
        <v>0</v>
      </c>
      <c r="N170" s="196">
        <f t="shared" si="89"/>
        <v>0</v>
      </c>
      <c r="O170" s="196">
        <f t="shared" si="89"/>
        <v>0</v>
      </c>
      <c r="P170" s="196">
        <f t="shared" si="89"/>
        <v>0</v>
      </c>
      <c r="Q170" s="196">
        <f t="shared" si="89"/>
        <v>0</v>
      </c>
      <c r="R170" s="196">
        <f t="shared" si="89"/>
        <v>0</v>
      </c>
      <c r="S170" s="196">
        <f t="shared" si="89"/>
        <v>0</v>
      </c>
      <c r="T170" s="267">
        <f t="shared" si="89"/>
        <v>0</v>
      </c>
    </row>
    <row r="171" spans="1:20" ht="12.75" customHeight="1" x14ac:dyDescent="0.2">
      <c r="A171" s="188" t="str">
        <f>"   "&amp;Labels!B322</f>
        <v xml:space="preserve">   Sales</v>
      </c>
      <c r="B171" s="196"/>
      <c r="C171" s="196"/>
      <c r="D171" s="196"/>
      <c r="E171" s="196"/>
      <c r="F171" s="196"/>
      <c r="G171" s="196"/>
      <c r="H171" s="196"/>
      <c r="I171" s="196"/>
      <c r="J171" s="196"/>
      <c r="K171" s="196"/>
      <c r="L171" s="196"/>
      <c r="M171" s="196"/>
      <c r="N171" s="196"/>
      <c r="O171" s="196"/>
      <c r="P171" s="196"/>
      <c r="Q171" s="196"/>
      <c r="R171" s="196"/>
      <c r="S171" s="196"/>
      <c r="T171" s="267"/>
    </row>
    <row r="172" spans="1:20" ht="12.75" customHeight="1" x14ac:dyDescent="0.2">
      <c r="A172" s="198" t="str">
        <f>"      "&amp;Labels!B393</f>
        <v xml:space="preserve">      Manager</v>
      </c>
      <c r="B172" s="226">
        <f t="shared" ref="B172:T172" si="90">SUM(B146,B159)</f>
        <v>0</v>
      </c>
      <c r="C172" s="226">
        <f t="shared" si="90"/>
        <v>0</v>
      </c>
      <c r="D172" s="226">
        <f t="shared" si="90"/>
        <v>0</v>
      </c>
      <c r="E172" s="226">
        <f t="shared" si="90"/>
        <v>0</v>
      </c>
      <c r="F172" s="226">
        <f t="shared" si="90"/>
        <v>0</v>
      </c>
      <c r="G172" s="226">
        <f t="shared" si="90"/>
        <v>0</v>
      </c>
      <c r="H172" s="226">
        <f t="shared" si="90"/>
        <v>0</v>
      </c>
      <c r="I172" s="226">
        <f t="shared" si="90"/>
        <v>0</v>
      </c>
      <c r="J172" s="226">
        <f t="shared" si="90"/>
        <v>0</v>
      </c>
      <c r="K172" s="226">
        <f t="shared" si="90"/>
        <v>0</v>
      </c>
      <c r="L172" s="226">
        <f t="shared" si="90"/>
        <v>0</v>
      </c>
      <c r="M172" s="226">
        <f t="shared" si="90"/>
        <v>0</v>
      </c>
      <c r="N172" s="226">
        <f t="shared" si="90"/>
        <v>0</v>
      </c>
      <c r="O172" s="226">
        <f t="shared" si="90"/>
        <v>0</v>
      </c>
      <c r="P172" s="226">
        <f t="shared" si="90"/>
        <v>0</v>
      </c>
      <c r="Q172" s="226">
        <f t="shared" si="90"/>
        <v>0</v>
      </c>
      <c r="R172" s="226">
        <f t="shared" si="90"/>
        <v>0</v>
      </c>
      <c r="S172" s="226">
        <f t="shared" si="90"/>
        <v>0</v>
      </c>
      <c r="T172" s="279">
        <f t="shared" si="90"/>
        <v>0</v>
      </c>
    </row>
    <row r="173" spans="1:20" ht="12.75" customHeight="1" x14ac:dyDescent="0.2">
      <c r="A173" s="198" t="str">
        <f>"      "&amp;Labels!B394</f>
        <v xml:space="preserve">      Contributor</v>
      </c>
      <c r="B173" s="226">
        <f t="shared" ref="B173:T173" si="91">SUM(B147,B160)</f>
        <v>0</v>
      </c>
      <c r="C173" s="226">
        <f t="shared" si="91"/>
        <v>0</v>
      </c>
      <c r="D173" s="226">
        <f t="shared" si="91"/>
        <v>0</v>
      </c>
      <c r="E173" s="226">
        <f t="shared" si="91"/>
        <v>0</v>
      </c>
      <c r="F173" s="226">
        <f t="shared" si="91"/>
        <v>0</v>
      </c>
      <c r="G173" s="226">
        <f t="shared" si="91"/>
        <v>0</v>
      </c>
      <c r="H173" s="226">
        <f t="shared" si="91"/>
        <v>0</v>
      </c>
      <c r="I173" s="226">
        <f t="shared" si="91"/>
        <v>0</v>
      </c>
      <c r="J173" s="226">
        <f t="shared" si="91"/>
        <v>0</v>
      </c>
      <c r="K173" s="226">
        <f t="shared" si="91"/>
        <v>0</v>
      </c>
      <c r="L173" s="226">
        <f t="shared" si="91"/>
        <v>0</v>
      </c>
      <c r="M173" s="226">
        <f t="shared" si="91"/>
        <v>0</v>
      </c>
      <c r="N173" s="226">
        <f t="shared" si="91"/>
        <v>0</v>
      </c>
      <c r="O173" s="226">
        <f t="shared" si="91"/>
        <v>0</v>
      </c>
      <c r="P173" s="226">
        <f t="shared" si="91"/>
        <v>0</v>
      </c>
      <c r="Q173" s="226">
        <f t="shared" si="91"/>
        <v>0</v>
      </c>
      <c r="R173" s="226">
        <f t="shared" si="91"/>
        <v>0</v>
      </c>
      <c r="S173" s="226">
        <f t="shared" si="91"/>
        <v>0</v>
      </c>
      <c r="T173" s="279">
        <f t="shared" si="91"/>
        <v>0</v>
      </c>
    </row>
    <row r="174" spans="1:20" ht="12.75" customHeight="1" x14ac:dyDescent="0.2">
      <c r="A174" s="188" t="str">
        <f>"      "&amp;Labels!C392</f>
        <v xml:space="preserve">      Total</v>
      </c>
      <c r="B174" s="196">
        <f t="shared" ref="B174:T174" si="92">SUM(B148,B161)</f>
        <v>0</v>
      </c>
      <c r="C174" s="196">
        <f t="shared" si="92"/>
        <v>0</v>
      </c>
      <c r="D174" s="196">
        <f t="shared" si="92"/>
        <v>0</v>
      </c>
      <c r="E174" s="196">
        <f t="shared" si="92"/>
        <v>0</v>
      </c>
      <c r="F174" s="196">
        <f t="shared" si="92"/>
        <v>0</v>
      </c>
      <c r="G174" s="196">
        <f t="shared" si="92"/>
        <v>0</v>
      </c>
      <c r="H174" s="196">
        <f t="shared" si="92"/>
        <v>0</v>
      </c>
      <c r="I174" s="196">
        <f t="shared" si="92"/>
        <v>0</v>
      </c>
      <c r="J174" s="196">
        <f t="shared" si="92"/>
        <v>0</v>
      </c>
      <c r="K174" s="196">
        <f t="shared" si="92"/>
        <v>0</v>
      </c>
      <c r="L174" s="196">
        <f t="shared" si="92"/>
        <v>0</v>
      </c>
      <c r="M174" s="196">
        <f t="shared" si="92"/>
        <v>0</v>
      </c>
      <c r="N174" s="196">
        <f t="shared" si="92"/>
        <v>0</v>
      </c>
      <c r="O174" s="196">
        <f t="shared" si="92"/>
        <v>0</v>
      </c>
      <c r="P174" s="196">
        <f t="shared" si="92"/>
        <v>0</v>
      </c>
      <c r="Q174" s="196">
        <f t="shared" si="92"/>
        <v>0</v>
      </c>
      <c r="R174" s="196">
        <f t="shared" si="92"/>
        <v>0</v>
      </c>
      <c r="S174" s="196">
        <f t="shared" si="92"/>
        <v>0</v>
      </c>
      <c r="T174" s="267">
        <f t="shared" si="92"/>
        <v>0</v>
      </c>
    </row>
    <row r="175" spans="1:20" ht="12.75" customHeight="1" x14ac:dyDescent="0.2">
      <c r="A175" s="191" t="str">
        <f>"   "&amp;Labels!C320</f>
        <v xml:space="preserve">   Total</v>
      </c>
      <c r="B175" s="192">
        <f t="shared" ref="B175:T175" si="93">SUM(B149,B162)</f>
        <v>0</v>
      </c>
      <c r="C175" s="192">
        <f t="shared" si="93"/>
        <v>0</v>
      </c>
      <c r="D175" s="192">
        <f t="shared" si="93"/>
        <v>0</v>
      </c>
      <c r="E175" s="192">
        <f t="shared" si="93"/>
        <v>0</v>
      </c>
      <c r="F175" s="192">
        <f t="shared" si="93"/>
        <v>0</v>
      </c>
      <c r="G175" s="192">
        <f t="shared" si="93"/>
        <v>0</v>
      </c>
      <c r="H175" s="192">
        <f t="shared" si="93"/>
        <v>0</v>
      </c>
      <c r="I175" s="192">
        <f t="shared" si="93"/>
        <v>0</v>
      </c>
      <c r="J175" s="192">
        <f t="shared" si="93"/>
        <v>0</v>
      </c>
      <c r="K175" s="192">
        <f t="shared" si="93"/>
        <v>0</v>
      </c>
      <c r="L175" s="192">
        <f t="shared" si="93"/>
        <v>0</v>
      </c>
      <c r="M175" s="192">
        <f t="shared" si="93"/>
        <v>0</v>
      </c>
      <c r="N175" s="192">
        <f t="shared" si="93"/>
        <v>0</v>
      </c>
      <c r="O175" s="192">
        <f t="shared" si="93"/>
        <v>0</v>
      </c>
      <c r="P175" s="192">
        <f t="shared" si="93"/>
        <v>0</v>
      </c>
      <c r="Q175" s="192">
        <f t="shared" si="93"/>
        <v>0</v>
      </c>
      <c r="R175" s="192">
        <f t="shared" si="93"/>
        <v>0</v>
      </c>
      <c r="S175" s="192">
        <f t="shared" si="93"/>
        <v>0</v>
      </c>
      <c r="T175" s="280">
        <f t="shared" si="93"/>
        <v>0</v>
      </c>
    </row>
    <row r="176" spans="1:20" ht="12.75" customHeight="1" x14ac:dyDescent="0.2">
      <c r="A176" s="198" t="str">
        <f>"      "&amp;Labels!B393</f>
        <v xml:space="preserve">      Manager</v>
      </c>
      <c r="B176" s="226">
        <f t="shared" ref="B176:T176" si="94">SUM(B150,B163)</f>
        <v>0</v>
      </c>
      <c r="C176" s="226">
        <f t="shared" si="94"/>
        <v>0</v>
      </c>
      <c r="D176" s="226">
        <f t="shared" si="94"/>
        <v>0</v>
      </c>
      <c r="E176" s="226">
        <f t="shared" si="94"/>
        <v>0</v>
      </c>
      <c r="F176" s="226">
        <f t="shared" si="94"/>
        <v>0</v>
      </c>
      <c r="G176" s="226">
        <f t="shared" si="94"/>
        <v>0</v>
      </c>
      <c r="H176" s="226">
        <f t="shared" si="94"/>
        <v>0</v>
      </c>
      <c r="I176" s="226">
        <f t="shared" si="94"/>
        <v>0</v>
      </c>
      <c r="J176" s="226">
        <f t="shared" si="94"/>
        <v>0</v>
      </c>
      <c r="K176" s="226">
        <f t="shared" si="94"/>
        <v>0</v>
      </c>
      <c r="L176" s="226">
        <f t="shared" si="94"/>
        <v>0</v>
      </c>
      <c r="M176" s="226">
        <f t="shared" si="94"/>
        <v>0</v>
      </c>
      <c r="N176" s="226">
        <f t="shared" si="94"/>
        <v>0</v>
      </c>
      <c r="O176" s="226">
        <f t="shared" si="94"/>
        <v>0</v>
      </c>
      <c r="P176" s="226">
        <f t="shared" si="94"/>
        <v>0</v>
      </c>
      <c r="Q176" s="226">
        <f t="shared" si="94"/>
        <v>0</v>
      </c>
      <c r="R176" s="226">
        <f t="shared" si="94"/>
        <v>0</v>
      </c>
      <c r="S176" s="226">
        <f t="shared" si="94"/>
        <v>0</v>
      </c>
      <c r="T176" s="279">
        <f t="shared" si="94"/>
        <v>0</v>
      </c>
    </row>
    <row r="177" spans="1:20" ht="12.75" customHeight="1" x14ac:dyDescent="0.2">
      <c r="A177" s="198" t="str">
        <f>"      "&amp;Labels!B394</f>
        <v xml:space="preserve">      Contributor</v>
      </c>
      <c r="B177" s="226">
        <f t="shared" ref="B177:T177" si="95">SUM(B151,B164)</f>
        <v>0</v>
      </c>
      <c r="C177" s="226">
        <f t="shared" si="95"/>
        <v>0</v>
      </c>
      <c r="D177" s="226">
        <f t="shared" si="95"/>
        <v>0</v>
      </c>
      <c r="E177" s="226">
        <f t="shared" si="95"/>
        <v>0</v>
      </c>
      <c r="F177" s="226">
        <f t="shared" si="95"/>
        <v>0</v>
      </c>
      <c r="G177" s="226">
        <f t="shared" si="95"/>
        <v>0</v>
      </c>
      <c r="H177" s="226">
        <f t="shared" si="95"/>
        <v>0</v>
      </c>
      <c r="I177" s="226">
        <f t="shared" si="95"/>
        <v>0</v>
      </c>
      <c r="J177" s="226">
        <f t="shared" si="95"/>
        <v>0</v>
      </c>
      <c r="K177" s="226">
        <f t="shared" si="95"/>
        <v>0</v>
      </c>
      <c r="L177" s="226">
        <f t="shared" si="95"/>
        <v>0</v>
      </c>
      <c r="M177" s="226">
        <f t="shared" si="95"/>
        <v>0</v>
      </c>
      <c r="N177" s="226">
        <f t="shared" si="95"/>
        <v>0</v>
      </c>
      <c r="O177" s="226">
        <f t="shared" si="95"/>
        <v>0</v>
      </c>
      <c r="P177" s="226">
        <f t="shared" si="95"/>
        <v>0</v>
      </c>
      <c r="Q177" s="226">
        <f t="shared" si="95"/>
        <v>0</v>
      </c>
      <c r="R177" s="226">
        <f t="shared" si="95"/>
        <v>0</v>
      </c>
      <c r="S177" s="226">
        <f t="shared" si="95"/>
        <v>0</v>
      </c>
      <c r="T177" s="279">
        <f t="shared" si="95"/>
        <v>0</v>
      </c>
    </row>
    <row r="178" spans="1:20" ht="12.75" customHeight="1" x14ac:dyDescent="0.2">
      <c r="A178" s="220" t="str">
        <f>"      "&amp;Labels!C392</f>
        <v xml:space="preserve">      Total</v>
      </c>
      <c r="B178" s="228">
        <f t="shared" ref="B178:T178" si="96">SUM(B149,B162)</f>
        <v>0</v>
      </c>
      <c r="C178" s="228">
        <f t="shared" si="96"/>
        <v>0</v>
      </c>
      <c r="D178" s="228">
        <f t="shared" si="96"/>
        <v>0</v>
      </c>
      <c r="E178" s="228">
        <f t="shared" si="96"/>
        <v>0</v>
      </c>
      <c r="F178" s="228">
        <f t="shared" si="96"/>
        <v>0</v>
      </c>
      <c r="G178" s="228">
        <f t="shared" si="96"/>
        <v>0</v>
      </c>
      <c r="H178" s="228">
        <f t="shared" si="96"/>
        <v>0</v>
      </c>
      <c r="I178" s="228">
        <f t="shared" si="96"/>
        <v>0</v>
      </c>
      <c r="J178" s="228">
        <f t="shared" si="96"/>
        <v>0</v>
      </c>
      <c r="K178" s="228">
        <f t="shared" si="96"/>
        <v>0</v>
      </c>
      <c r="L178" s="228">
        <f t="shared" si="96"/>
        <v>0</v>
      </c>
      <c r="M178" s="228">
        <f t="shared" si="96"/>
        <v>0</v>
      </c>
      <c r="N178" s="228">
        <f t="shared" si="96"/>
        <v>0</v>
      </c>
      <c r="O178" s="228">
        <f t="shared" si="96"/>
        <v>0</v>
      </c>
      <c r="P178" s="228">
        <f t="shared" si="96"/>
        <v>0</v>
      </c>
      <c r="Q178" s="228">
        <f t="shared" si="96"/>
        <v>0</v>
      </c>
      <c r="R178" s="228">
        <f t="shared" si="96"/>
        <v>0</v>
      </c>
      <c r="S178" s="228">
        <f t="shared" si="96"/>
        <v>0</v>
      </c>
      <c r="T178" s="281">
        <f t="shared" si="96"/>
        <v>0</v>
      </c>
    </row>
    <row r="179" spans="1:20" ht="12.75" customHeight="1" x14ac:dyDescent="0.2">
      <c r="A179" s="1" t="str">
        <f>"Untagged_Asset_Purch_3"</f>
        <v>Untagged_Asset_Purch_3</v>
      </c>
    </row>
    <row r="180" spans="1:20" ht="12.75" customHeight="1" x14ac:dyDescent="0.2">
      <c r="B180" s="9" t="str">
        <f>'(FnCalls 1)'!F40</f>
        <v>MMM 2009</v>
      </c>
      <c r="C180" s="10" t="str">
        <f>'(FnCalls 1)'!F41</f>
        <v>MMM 2010</v>
      </c>
      <c r="D180" s="10" t="str">
        <f>'(FnCalls 1)'!F42</f>
        <v>MMM 2010</v>
      </c>
      <c r="E180" s="10" t="str">
        <f>'(FnCalls 1)'!F43</f>
        <v>MMM 2010</v>
      </c>
      <c r="F180" s="10" t="str">
        <f>'(FnCalls 1)'!F44</f>
        <v>MMM 2010</v>
      </c>
      <c r="G180" s="10" t="str">
        <f>'(FnCalls 1)'!F45</f>
        <v>MMM 2010</v>
      </c>
      <c r="H180" s="10" t="str">
        <f>'(FnCalls 1)'!F46</f>
        <v>MMM 2010</v>
      </c>
      <c r="I180" s="10" t="str">
        <f>'(FnCalls 1)'!F47</f>
        <v>MMM 2010</v>
      </c>
      <c r="J180" s="10" t="str">
        <f>'(FnCalls 1)'!F48</f>
        <v>MMM 2010</v>
      </c>
      <c r="K180" s="10" t="str">
        <f>'(FnCalls 1)'!F49</f>
        <v>MMM 2010</v>
      </c>
      <c r="L180" s="10" t="str">
        <f>'(FnCalls 1)'!F50</f>
        <v>MMM 2010</v>
      </c>
      <c r="M180" s="10" t="str">
        <f>'(FnCalls 1)'!F51</f>
        <v>MMM 2010</v>
      </c>
      <c r="N180" s="10" t="str">
        <f>'(FnCalls 1)'!F52</f>
        <v>MMM 2010</v>
      </c>
      <c r="O180" s="10" t="str">
        <f>'(FnCalls 1)'!F53</f>
        <v>MMM 2011</v>
      </c>
      <c r="P180" s="10" t="str">
        <f>'(FnCalls 1)'!F54</f>
        <v>MMM 2011</v>
      </c>
      <c r="Q180" s="10" t="str">
        <f>'(FnCalls 1)'!F55</f>
        <v>MMM 2011</v>
      </c>
      <c r="R180" s="10" t="str">
        <f>'(FnCalls 1)'!F56</f>
        <v>MMM 2011</v>
      </c>
      <c r="S180" s="10" t="str">
        <f>'(FnCalls 1)'!F57</f>
        <v>MMM 2011</v>
      </c>
      <c r="T180" s="11" t="str">
        <f>'(FnCalls 1)'!F58</f>
        <v>MMM 2011</v>
      </c>
    </row>
    <row r="181" spans="1:20" ht="12.75" customHeight="1" x14ac:dyDescent="0.2">
      <c r="A181" s="182" t="str">
        <f>Labels!B408</f>
        <v>Furniture</v>
      </c>
      <c r="B181" s="183"/>
      <c r="C181" s="183"/>
      <c r="D181" s="183"/>
      <c r="E181" s="183"/>
      <c r="F181" s="183"/>
      <c r="G181" s="183"/>
      <c r="H181" s="183"/>
      <c r="I181" s="183"/>
      <c r="J181" s="183"/>
      <c r="K181" s="183"/>
      <c r="L181" s="183"/>
      <c r="M181" s="183"/>
      <c r="N181" s="183"/>
      <c r="O181" s="183"/>
      <c r="P181" s="183"/>
      <c r="Q181" s="183"/>
      <c r="R181" s="183"/>
      <c r="S181" s="183"/>
      <c r="T181" s="266"/>
    </row>
    <row r="182" spans="1:20" ht="12.75" customHeight="1" x14ac:dyDescent="0.2">
      <c r="A182" s="188" t="str">
        <f>"   "&amp;Labels!B381</f>
        <v xml:space="preserve">   Practice 1</v>
      </c>
      <c r="B182" s="196"/>
      <c r="C182" s="196"/>
      <c r="D182" s="196"/>
      <c r="E182" s="196"/>
      <c r="F182" s="196"/>
      <c r="G182" s="196"/>
      <c r="H182" s="196"/>
      <c r="I182" s="196"/>
      <c r="J182" s="196"/>
      <c r="K182" s="196"/>
      <c r="L182" s="196"/>
      <c r="M182" s="196"/>
      <c r="N182" s="196"/>
      <c r="O182" s="196"/>
      <c r="P182" s="196"/>
      <c r="Q182" s="196"/>
      <c r="R182" s="196"/>
      <c r="S182" s="196"/>
      <c r="T182" s="267"/>
    </row>
    <row r="183" spans="1:20" ht="12.75" customHeight="1" x14ac:dyDescent="0.2">
      <c r="A183" s="198" t="str">
        <f>"      "&amp;Labels!B385</f>
        <v xml:space="preserve">      Prof Level 1</v>
      </c>
      <c r="B183" s="226"/>
      <c r="C183" s="226">
        <f>Inputs!F385*'GM CostSvcs'!B479</f>
        <v>0</v>
      </c>
      <c r="D183" s="226">
        <f>Inputs!F385*'GM CostSvcs'!C479</f>
        <v>0</v>
      </c>
      <c r="E183" s="226">
        <f>Inputs!F385*'GM CostSvcs'!D479</f>
        <v>0</v>
      </c>
      <c r="F183" s="226">
        <f>Inputs!F385*'GM CostSvcs'!F479</f>
        <v>0</v>
      </c>
      <c r="G183" s="226">
        <f>Inputs!F385*'GM CostSvcs'!G479</f>
        <v>0</v>
      </c>
      <c r="H183" s="226">
        <f>Inputs!F385*'GM CostSvcs'!H479</f>
        <v>0</v>
      </c>
      <c r="I183" s="226">
        <f>Inputs!F385*'GM CostSvcs'!J479</f>
        <v>0</v>
      </c>
      <c r="J183" s="226">
        <f>Inputs!F385*'GM CostSvcs'!K479</f>
        <v>0</v>
      </c>
      <c r="K183" s="226">
        <f>Inputs!F385*'GM CostSvcs'!L479</f>
        <v>0</v>
      </c>
      <c r="L183" s="226">
        <f>Inputs!F385*'GM CostSvcs'!N479</f>
        <v>0</v>
      </c>
      <c r="M183" s="226">
        <f>Inputs!F385*'GM CostSvcs'!O479</f>
        <v>0</v>
      </c>
      <c r="N183" s="226">
        <f>Inputs!F385*'GM CostSvcs'!P479</f>
        <v>0</v>
      </c>
      <c r="O183" s="226">
        <f>Inputs!F385*'GM CostSvcs'!R479</f>
        <v>0</v>
      </c>
      <c r="P183" s="226">
        <f>Inputs!F385*'GM CostSvcs'!S479</f>
        <v>0</v>
      </c>
      <c r="Q183" s="226">
        <f>Inputs!F385*'GM CostSvcs'!T479</f>
        <v>0</v>
      </c>
      <c r="R183" s="226">
        <f>Inputs!F385*'GM CostSvcs'!V479</f>
        <v>0</v>
      </c>
      <c r="S183" s="226">
        <f>Inputs!F385*'GM CostSvcs'!W479</f>
        <v>0</v>
      </c>
      <c r="T183" s="279">
        <f>Inputs!F385*'GM CostSvcs'!X479</f>
        <v>0</v>
      </c>
    </row>
    <row r="184" spans="1:20" ht="12.75" customHeight="1" x14ac:dyDescent="0.2">
      <c r="A184" s="198" t="str">
        <f>"      "&amp;Labels!B386</f>
        <v xml:space="preserve">      Prof Level 2</v>
      </c>
      <c r="B184" s="226"/>
      <c r="C184" s="226">
        <f>Inputs!F385*'GM CostSvcs'!B480</f>
        <v>0</v>
      </c>
      <c r="D184" s="226">
        <f>Inputs!F385*'GM CostSvcs'!C480</f>
        <v>0</v>
      </c>
      <c r="E184" s="226">
        <f>Inputs!F385*'GM CostSvcs'!D480</f>
        <v>0</v>
      </c>
      <c r="F184" s="226">
        <f>Inputs!F385*'GM CostSvcs'!F480</f>
        <v>0</v>
      </c>
      <c r="G184" s="226">
        <f>Inputs!F385*'GM CostSvcs'!G480</f>
        <v>0</v>
      </c>
      <c r="H184" s="226">
        <f>Inputs!F385*'GM CostSvcs'!H480</f>
        <v>0</v>
      </c>
      <c r="I184" s="226">
        <f>Inputs!F385*'GM CostSvcs'!J480</f>
        <v>0</v>
      </c>
      <c r="J184" s="226">
        <f>Inputs!F385*'GM CostSvcs'!K480</f>
        <v>0</v>
      </c>
      <c r="K184" s="226">
        <f>Inputs!F385*'GM CostSvcs'!L480</f>
        <v>0</v>
      </c>
      <c r="L184" s="226">
        <f>Inputs!F385*'GM CostSvcs'!N480</f>
        <v>0</v>
      </c>
      <c r="M184" s="226">
        <f>Inputs!F385*'GM CostSvcs'!O480</f>
        <v>0</v>
      </c>
      <c r="N184" s="226">
        <f>Inputs!F385*'GM CostSvcs'!P480</f>
        <v>0</v>
      </c>
      <c r="O184" s="226">
        <f>Inputs!F385*'GM CostSvcs'!R480</f>
        <v>0</v>
      </c>
      <c r="P184" s="226">
        <f>Inputs!F385*'GM CostSvcs'!S480</f>
        <v>0</v>
      </c>
      <c r="Q184" s="226">
        <f>Inputs!F385*'GM CostSvcs'!T480</f>
        <v>0</v>
      </c>
      <c r="R184" s="226">
        <f>Inputs!F385*'GM CostSvcs'!V480</f>
        <v>0</v>
      </c>
      <c r="S184" s="226">
        <f>Inputs!F385*'GM CostSvcs'!W480</f>
        <v>0</v>
      </c>
      <c r="T184" s="279">
        <f>Inputs!F385*'GM CostSvcs'!X480</f>
        <v>0</v>
      </c>
    </row>
    <row r="185" spans="1:20" ht="12.75" customHeight="1" x14ac:dyDescent="0.2">
      <c r="A185" s="188" t="str">
        <f>"      "&amp;Labels!C384</f>
        <v xml:space="preserve">      Total</v>
      </c>
      <c r="B185" s="196">
        <f t="shared" ref="B185:T185" si="97">SUM(B183:B184)</f>
        <v>0</v>
      </c>
      <c r="C185" s="196">
        <f t="shared" si="97"/>
        <v>0</v>
      </c>
      <c r="D185" s="196">
        <f t="shared" si="97"/>
        <v>0</v>
      </c>
      <c r="E185" s="196">
        <f t="shared" si="97"/>
        <v>0</v>
      </c>
      <c r="F185" s="196">
        <f t="shared" si="97"/>
        <v>0</v>
      </c>
      <c r="G185" s="196">
        <f t="shared" si="97"/>
        <v>0</v>
      </c>
      <c r="H185" s="196">
        <f t="shared" si="97"/>
        <v>0</v>
      </c>
      <c r="I185" s="196">
        <f t="shared" si="97"/>
        <v>0</v>
      </c>
      <c r="J185" s="196">
        <f t="shared" si="97"/>
        <v>0</v>
      </c>
      <c r="K185" s="196">
        <f t="shared" si="97"/>
        <v>0</v>
      </c>
      <c r="L185" s="196">
        <f t="shared" si="97"/>
        <v>0</v>
      </c>
      <c r="M185" s="196">
        <f t="shared" si="97"/>
        <v>0</v>
      </c>
      <c r="N185" s="196">
        <f t="shared" si="97"/>
        <v>0</v>
      </c>
      <c r="O185" s="196">
        <f t="shared" si="97"/>
        <v>0</v>
      </c>
      <c r="P185" s="196">
        <f t="shared" si="97"/>
        <v>0</v>
      </c>
      <c r="Q185" s="196">
        <f t="shared" si="97"/>
        <v>0</v>
      </c>
      <c r="R185" s="196">
        <f t="shared" si="97"/>
        <v>0</v>
      </c>
      <c r="S185" s="196">
        <f t="shared" si="97"/>
        <v>0</v>
      </c>
      <c r="T185" s="267">
        <f t="shared" si="97"/>
        <v>0</v>
      </c>
    </row>
    <row r="186" spans="1:20" ht="12.75" customHeight="1" x14ac:dyDescent="0.2">
      <c r="A186" s="188" t="str">
        <f>"   "&amp;Labels!B382</f>
        <v xml:space="preserve">   Practice 2</v>
      </c>
      <c r="B186" s="196"/>
      <c r="C186" s="196"/>
      <c r="D186" s="196"/>
      <c r="E186" s="196"/>
      <c r="F186" s="196"/>
      <c r="G186" s="196"/>
      <c r="H186" s="196"/>
      <c r="I186" s="196"/>
      <c r="J186" s="196"/>
      <c r="K186" s="196"/>
      <c r="L186" s="196"/>
      <c r="M186" s="196"/>
      <c r="N186" s="196"/>
      <c r="O186" s="196"/>
      <c r="P186" s="196"/>
      <c r="Q186" s="196"/>
      <c r="R186" s="196"/>
      <c r="S186" s="196"/>
      <c r="T186" s="267"/>
    </row>
    <row r="187" spans="1:20" ht="12.75" customHeight="1" x14ac:dyDescent="0.2">
      <c r="A187" s="198" t="str">
        <f>"      "&amp;Labels!B385</f>
        <v xml:space="preserve">      Prof Level 1</v>
      </c>
      <c r="B187" s="226"/>
      <c r="C187" s="226">
        <f>Inputs!F385*'GM CostSvcs'!B483</f>
        <v>0</v>
      </c>
      <c r="D187" s="226">
        <f>Inputs!F385*'GM CostSvcs'!C483</f>
        <v>0</v>
      </c>
      <c r="E187" s="226">
        <f>Inputs!F385*'GM CostSvcs'!D483</f>
        <v>0</v>
      </c>
      <c r="F187" s="226">
        <f>Inputs!F385*'GM CostSvcs'!F483</f>
        <v>0</v>
      </c>
      <c r="G187" s="226">
        <f>Inputs!F385*'GM CostSvcs'!G483</f>
        <v>0</v>
      </c>
      <c r="H187" s="226">
        <f>Inputs!F385*'GM CostSvcs'!H483</f>
        <v>0</v>
      </c>
      <c r="I187" s="226">
        <f>Inputs!F385*'GM CostSvcs'!J483</f>
        <v>0</v>
      </c>
      <c r="J187" s="226">
        <f>Inputs!F385*'GM CostSvcs'!K483</f>
        <v>0</v>
      </c>
      <c r="K187" s="226">
        <f>Inputs!F385*'GM CostSvcs'!L483</f>
        <v>0</v>
      </c>
      <c r="L187" s="226">
        <f>Inputs!F385*'GM CostSvcs'!N483</f>
        <v>0</v>
      </c>
      <c r="M187" s="226">
        <f>Inputs!F385*'GM CostSvcs'!O483</f>
        <v>0</v>
      </c>
      <c r="N187" s="226">
        <f>Inputs!F385*'GM CostSvcs'!P483</f>
        <v>0</v>
      </c>
      <c r="O187" s="226">
        <f>Inputs!F385*'GM CostSvcs'!R483</f>
        <v>0</v>
      </c>
      <c r="P187" s="226">
        <f>Inputs!F385*'GM CostSvcs'!S483</f>
        <v>0</v>
      </c>
      <c r="Q187" s="226">
        <f>Inputs!F385*'GM CostSvcs'!T483</f>
        <v>0</v>
      </c>
      <c r="R187" s="226">
        <f>Inputs!F385*'GM CostSvcs'!V483</f>
        <v>0</v>
      </c>
      <c r="S187" s="226">
        <f>Inputs!F385*'GM CostSvcs'!W483</f>
        <v>0</v>
      </c>
      <c r="T187" s="279">
        <f>Inputs!F385*'GM CostSvcs'!X483</f>
        <v>0</v>
      </c>
    </row>
    <row r="188" spans="1:20" ht="12.75" customHeight="1" x14ac:dyDescent="0.2">
      <c r="A188" s="198" t="str">
        <f>"      "&amp;Labels!B386</f>
        <v xml:space="preserve">      Prof Level 2</v>
      </c>
      <c r="B188" s="226"/>
      <c r="C188" s="226">
        <f>Inputs!F385*'GM CostSvcs'!B484</f>
        <v>0</v>
      </c>
      <c r="D188" s="226">
        <f>Inputs!F385*'GM CostSvcs'!C484</f>
        <v>0</v>
      </c>
      <c r="E188" s="226">
        <f>Inputs!F385*'GM CostSvcs'!D484</f>
        <v>0</v>
      </c>
      <c r="F188" s="226">
        <f>Inputs!F385*'GM CostSvcs'!F484</f>
        <v>0</v>
      </c>
      <c r="G188" s="226">
        <f>Inputs!F385*'GM CostSvcs'!G484</f>
        <v>0</v>
      </c>
      <c r="H188" s="226">
        <f>Inputs!F385*'GM CostSvcs'!H484</f>
        <v>0</v>
      </c>
      <c r="I188" s="226">
        <f>Inputs!F385*'GM CostSvcs'!J484</f>
        <v>0</v>
      </c>
      <c r="J188" s="226">
        <f>Inputs!F385*'GM CostSvcs'!K484</f>
        <v>0</v>
      </c>
      <c r="K188" s="226">
        <f>Inputs!F385*'GM CostSvcs'!L484</f>
        <v>0</v>
      </c>
      <c r="L188" s="226">
        <f>Inputs!F385*'GM CostSvcs'!N484</f>
        <v>0</v>
      </c>
      <c r="M188" s="226">
        <f>Inputs!F385*'GM CostSvcs'!O484</f>
        <v>0</v>
      </c>
      <c r="N188" s="226">
        <f>Inputs!F385*'GM CostSvcs'!P484</f>
        <v>0</v>
      </c>
      <c r="O188" s="226">
        <f>Inputs!F385*'GM CostSvcs'!R484</f>
        <v>0</v>
      </c>
      <c r="P188" s="226">
        <f>Inputs!F385*'GM CostSvcs'!S484</f>
        <v>0</v>
      </c>
      <c r="Q188" s="226">
        <f>Inputs!F385*'GM CostSvcs'!T484</f>
        <v>0</v>
      </c>
      <c r="R188" s="226">
        <f>Inputs!F385*'GM CostSvcs'!V484</f>
        <v>0</v>
      </c>
      <c r="S188" s="226">
        <f>Inputs!F385*'GM CostSvcs'!W484</f>
        <v>0</v>
      </c>
      <c r="T188" s="279">
        <f>Inputs!F385*'GM CostSvcs'!X484</f>
        <v>0</v>
      </c>
    </row>
    <row r="189" spans="1:20" ht="12.75" customHeight="1" x14ac:dyDescent="0.2">
      <c r="A189" s="188" t="str">
        <f>"      "&amp;Labels!C384</f>
        <v xml:space="preserve">      Total</v>
      </c>
      <c r="B189" s="196">
        <f t="shared" ref="B189:T189" si="98">SUM(B187:B188)</f>
        <v>0</v>
      </c>
      <c r="C189" s="196">
        <f t="shared" si="98"/>
        <v>0</v>
      </c>
      <c r="D189" s="196">
        <f t="shared" si="98"/>
        <v>0</v>
      </c>
      <c r="E189" s="196">
        <f t="shared" si="98"/>
        <v>0</v>
      </c>
      <c r="F189" s="196">
        <f t="shared" si="98"/>
        <v>0</v>
      </c>
      <c r="G189" s="196">
        <f t="shared" si="98"/>
        <v>0</v>
      </c>
      <c r="H189" s="196">
        <f t="shared" si="98"/>
        <v>0</v>
      </c>
      <c r="I189" s="196">
        <f t="shared" si="98"/>
        <v>0</v>
      </c>
      <c r="J189" s="196">
        <f t="shared" si="98"/>
        <v>0</v>
      </c>
      <c r="K189" s="196">
        <f t="shared" si="98"/>
        <v>0</v>
      </c>
      <c r="L189" s="196">
        <f t="shared" si="98"/>
        <v>0</v>
      </c>
      <c r="M189" s="196">
        <f t="shared" si="98"/>
        <v>0</v>
      </c>
      <c r="N189" s="196">
        <f t="shared" si="98"/>
        <v>0</v>
      </c>
      <c r="O189" s="196">
        <f t="shared" si="98"/>
        <v>0</v>
      </c>
      <c r="P189" s="196">
        <f t="shared" si="98"/>
        <v>0</v>
      </c>
      <c r="Q189" s="196">
        <f t="shared" si="98"/>
        <v>0</v>
      </c>
      <c r="R189" s="196">
        <f t="shared" si="98"/>
        <v>0</v>
      </c>
      <c r="S189" s="196">
        <f t="shared" si="98"/>
        <v>0</v>
      </c>
      <c r="T189" s="267">
        <f t="shared" si="98"/>
        <v>0</v>
      </c>
    </row>
    <row r="190" spans="1:20" ht="12.75" customHeight="1" x14ac:dyDescent="0.2">
      <c r="A190" s="191" t="str">
        <f>"   "&amp;Labels!C380</f>
        <v xml:space="preserve">   Total</v>
      </c>
      <c r="B190" s="192">
        <f t="shared" ref="B190:T190" si="99">SUM(B185,B189)</f>
        <v>0</v>
      </c>
      <c r="C190" s="192">
        <f t="shared" si="99"/>
        <v>0</v>
      </c>
      <c r="D190" s="192">
        <f t="shared" si="99"/>
        <v>0</v>
      </c>
      <c r="E190" s="192">
        <f t="shared" si="99"/>
        <v>0</v>
      </c>
      <c r="F190" s="192">
        <f t="shared" si="99"/>
        <v>0</v>
      </c>
      <c r="G190" s="192">
        <f t="shared" si="99"/>
        <v>0</v>
      </c>
      <c r="H190" s="192">
        <f t="shared" si="99"/>
        <v>0</v>
      </c>
      <c r="I190" s="192">
        <f t="shared" si="99"/>
        <v>0</v>
      </c>
      <c r="J190" s="192">
        <f t="shared" si="99"/>
        <v>0</v>
      </c>
      <c r="K190" s="192">
        <f t="shared" si="99"/>
        <v>0</v>
      </c>
      <c r="L190" s="192">
        <f t="shared" si="99"/>
        <v>0</v>
      </c>
      <c r="M190" s="192">
        <f t="shared" si="99"/>
        <v>0</v>
      </c>
      <c r="N190" s="192">
        <f t="shared" si="99"/>
        <v>0</v>
      </c>
      <c r="O190" s="192">
        <f t="shared" si="99"/>
        <v>0</v>
      </c>
      <c r="P190" s="192">
        <f t="shared" si="99"/>
        <v>0</v>
      </c>
      <c r="Q190" s="192">
        <f t="shared" si="99"/>
        <v>0</v>
      </c>
      <c r="R190" s="192">
        <f t="shared" si="99"/>
        <v>0</v>
      </c>
      <c r="S190" s="192">
        <f t="shared" si="99"/>
        <v>0</v>
      </c>
      <c r="T190" s="280">
        <f t="shared" si="99"/>
        <v>0</v>
      </c>
    </row>
    <row r="191" spans="1:20" ht="12.75" customHeight="1" x14ac:dyDescent="0.2">
      <c r="A191" s="198" t="str">
        <f>"      "&amp;Labels!B385</f>
        <v xml:space="preserve">      Prof Level 1</v>
      </c>
      <c r="B191" s="226">
        <f t="shared" ref="B191:T191" si="100">SUM(B183,B187)</f>
        <v>0</v>
      </c>
      <c r="C191" s="226">
        <f t="shared" si="100"/>
        <v>0</v>
      </c>
      <c r="D191" s="226">
        <f t="shared" si="100"/>
        <v>0</v>
      </c>
      <c r="E191" s="226">
        <f t="shared" si="100"/>
        <v>0</v>
      </c>
      <c r="F191" s="226">
        <f t="shared" si="100"/>
        <v>0</v>
      </c>
      <c r="G191" s="226">
        <f t="shared" si="100"/>
        <v>0</v>
      </c>
      <c r="H191" s="226">
        <f t="shared" si="100"/>
        <v>0</v>
      </c>
      <c r="I191" s="226">
        <f t="shared" si="100"/>
        <v>0</v>
      </c>
      <c r="J191" s="226">
        <f t="shared" si="100"/>
        <v>0</v>
      </c>
      <c r="K191" s="226">
        <f t="shared" si="100"/>
        <v>0</v>
      </c>
      <c r="L191" s="226">
        <f t="shared" si="100"/>
        <v>0</v>
      </c>
      <c r="M191" s="226">
        <f t="shared" si="100"/>
        <v>0</v>
      </c>
      <c r="N191" s="226">
        <f t="shared" si="100"/>
        <v>0</v>
      </c>
      <c r="O191" s="226">
        <f t="shared" si="100"/>
        <v>0</v>
      </c>
      <c r="P191" s="226">
        <f t="shared" si="100"/>
        <v>0</v>
      </c>
      <c r="Q191" s="226">
        <f t="shared" si="100"/>
        <v>0</v>
      </c>
      <c r="R191" s="226">
        <f t="shared" si="100"/>
        <v>0</v>
      </c>
      <c r="S191" s="226">
        <f t="shared" si="100"/>
        <v>0</v>
      </c>
      <c r="T191" s="279">
        <f t="shared" si="100"/>
        <v>0</v>
      </c>
    </row>
    <row r="192" spans="1:20" ht="12.75" customHeight="1" x14ac:dyDescent="0.2">
      <c r="A192" s="198" t="str">
        <f>"      "&amp;Labels!B386</f>
        <v xml:space="preserve">      Prof Level 2</v>
      </c>
      <c r="B192" s="226">
        <f t="shared" ref="B192:T192" si="101">SUM(B184,B188)</f>
        <v>0</v>
      </c>
      <c r="C192" s="226">
        <f t="shared" si="101"/>
        <v>0</v>
      </c>
      <c r="D192" s="226">
        <f t="shared" si="101"/>
        <v>0</v>
      </c>
      <c r="E192" s="226">
        <f t="shared" si="101"/>
        <v>0</v>
      </c>
      <c r="F192" s="226">
        <f t="shared" si="101"/>
        <v>0</v>
      </c>
      <c r="G192" s="226">
        <f t="shared" si="101"/>
        <v>0</v>
      </c>
      <c r="H192" s="226">
        <f t="shared" si="101"/>
        <v>0</v>
      </c>
      <c r="I192" s="226">
        <f t="shared" si="101"/>
        <v>0</v>
      </c>
      <c r="J192" s="226">
        <f t="shared" si="101"/>
        <v>0</v>
      </c>
      <c r="K192" s="226">
        <f t="shared" si="101"/>
        <v>0</v>
      </c>
      <c r="L192" s="226">
        <f t="shared" si="101"/>
        <v>0</v>
      </c>
      <c r="M192" s="226">
        <f t="shared" si="101"/>
        <v>0</v>
      </c>
      <c r="N192" s="226">
        <f t="shared" si="101"/>
        <v>0</v>
      </c>
      <c r="O192" s="226">
        <f t="shared" si="101"/>
        <v>0</v>
      </c>
      <c r="P192" s="226">
        <f t="shared" si="101"/>
        <v>0</v>
      </c>
      <c r="Q192" s="226">
        <f t="shared" si="101"/>
        <v>0</v>
      </c>
      <c r="R192" s="226">
        <f t="shared" si="101"/>
        <v>0</v>
      </c>
      <c r="S192" s="226">
        <f t="shared" si="101"/>
        <v>0</v>
      </c>
      <c r="T192" s="279">
        <f t="shared" si="101"/>
        <v>0</v>
      </c>
    </row>
    <row r="193" spans="1:20" ht="12.75" customHeight="1" x14ac:dyDescent="0.2">
      <c r="A193" s="188" t="str">
        <f>"      "&amp;Labels!C384</f>
        <v xml:space="preserve">      Total</v>
      </c>
      <c r="B193" s="196">
        <f t="shared" ref="B193:T193" si="102">SUM(B185,B189)</f>
        <v>0</v>
      </c>
      <c r="C193" s="196">
        <f t="shared" si="102"/>
        <v>0</v>
      </c>
      <c r="D193" s="196">
        <f t="shared" si="102"/>
        <v>0</v>
      </c>
      <c r="E193" s="196">
        <f t="shared" si="102"/>
        <v>0</v>
      </c>
      <c r="F193" s="196">
        <f t="shared" si="102"/>
        <v>0</v>
      </c>
      <c r="G193" s="196">
        <f t="shared" si="102"/>
        <v>0</v>
      </c>
      <c r="H193" s="196">
        <f t="shared" si="102"/>
        <v>0</v>
      </c>
      <c r="I193" s="196">
        <f t="shared" si="102"/>
        <v>0</v>
      </c>
      <c r="J193" s="196">
        <f t="shared" si="102"/>
        <v>0</v>
      </c>
      <c r="K193" s="196">
        <f t="shared" si="102"/>
        <v>0</v>
      </c>
      <c r="L193" s="196">
        <f t="shared" si="102"/>
        <v>0</v>
      </c>
      <c r="M193" s="196">
        <f t="shared" si="102"/>
        <v>0</v>
      </c>
      <c r="N193" s="196">
        <f t="shared" si="102"/>
        <v>0</v>
      </c>
      <c r="O193" s="196">
        <f t="shared" si="102"/>
        <v>0</v>
      </c>
      <c r="P193" s="196">
        <f t="shared" si="102"/>
        <v>0</v>
      </c>
      <c r="Q193" s="196">
        <f t="shared" si="102"/>
        <v>0</v>
      </c>
      <c r="R193" s="196">
        <f t="shared" si="102"/>
        <v>0</v>
      </c>
      <c r="S193" s="196">
        <f t="shared" si="102"/>
        <v>0</v>
      </c>
      <c r="T193" s="267">
        <f t="shared" si="102"/>
        <v>0</v>
      </c>
    </row>
    <row r="194" spans="1:20" ht="12.75" customHeight="1" x14ac:dyDescent="0.2">
      <c r="A194" s="191" t="str">
        <f>Labels!B409</f>
        <v>Office Equip</v>
      </c>
      <c r="B194" s="192"/>
      <c r="C194" s="192"/>
      <c r="D194" s="192"/>
      <c r="E194" s="192"/>
      <c r="F194" s="192"/>
      <c r="G194" s="192"/>
      <c r="H194" s="192"/>
      <c r="I194" s="192"/>
      <c r="J194" s="192"/>
      <c r="K194" s="192"/>
      <c r="L194" s="192"/>
      <c r="M194" s="192"/>
      <c r="N194" s="192"/>
      <c r="O194" s="192"/>
      <c r="P194" s="192"/>
      <c r="Q194" s="192"/>
      <c r="R194" s="192"/>
      <c r="S194" s="192"/>
      <c r="T194" s="280"/>
    </row>
    <row r="195" spans="1:20" ht="12.75" customHeight="1" x14ac:dyDescent="0.2">
      <c r="A195" s="188" t="str">
        <f>"   "&amp;Labels!B381</f>
        <v xml:space="preserve">   Practice 1</v>
      </c>
      <c r="B195" s="196"/>
      <c r="C195" s="196"/>
      <c r="D195" s="196"/>
      <c r="E195" s="196"/>
      <c r="F195" s="196"/>
      <c r="G195" s="196"/>
      <c r="H195" s="196"/>
      <c r="I195" s="196"/>
      <c r="J195" s="196"/>
      <c r="K195" s="196"/>
      <c r="L195" s="196"/>
      <c r="M195" s="196"/>
      <c r="N195" s="196"/>
      <c r="O195" s="196"/>
      <c r="P195" s="196"/>
      <c r="Q195" s="196"/>
      <c r="R195" s="196"/>
      <c r="S195" s="196"/>
      <c r="T195" s="267"/>
    </row>
    <row r="196" spans="1:20" ht="12.75" customHeight="1" x14ac:dyDescent="0.2">
      <c r="A196" s="198" t="str">
        <f>"      "&amp;Labels!B385</f>
        <v xml:space="preserve">      Prof Level 1</v>
      </c>
      <c r="B196" s="226"/>
      <c r="C196" s="226">
        <f>Inputs!G385*'GM CostSvcs'!B479</f>
        <v>0</v>
      </c>
      <c r="D196" s="226">
        <f>Inputs!G385*'GM CostSvcs'!C479</f>
        <v>0</v>
      </c>
      <c r="E196" s="226">
        <f>Inputs!G385*'GM CostSvcs'!D479</f>
        <v>0</v>
      </c>
      <c r="F196" s="226">
        <f>Inputs!G385*'GM CostSvcs'!F479</f>
        <v>0</v>
      </c>
      <c r="G196" s="226">
        <f>Inputs!G385*'GM CostSvcs'!G479</f>
        <v>0</v>
      </c>
      <c r="H196" s="226">
        <f>Inputs!G385*'GM CostSvcs'!H479</f>
        <v>0</v>
      </c>
      <c r="I196" s="226">
        <f>Inputs!G385*'GM CostSvcs'!J479</f>
        <v>0</v>
      </c>
      <c r="J196" s="226">
        <f>Inputs!G385*'GM CostSvcs'!K479</f>
        <v>0</v>
      </c>
      <c r="K196" s="226">
        <f>Inputs!G385*'GM CostSvcs'!L479</f>
        <v>0</v>
      </c>
      <c r="L196" s="226">
        <f>Inputs!G385*'GM CostSvcs'!N479</f>
        <v>0</v>
      </c>
      <c r="M196" s="226">
        <f>Inputs!G385*'GM CostSvcs'!O479</f>
        <v>0</v>
      </c>
      <c r="N196" s="226">
        <f>Inputs!G385*'GM CostSvcs'!P479</f>
        <v>0</v>
      </c>
      <c r="O196" s="226">
        <f>Inputs!G385*'GM CostSvcs'!R479</f>
        <v>0</v>
      </c>
      <c r="P196" s="226">
        <f>Inputs!G385*'GM CostSvcs'!S479</f>
        <v>0</v>
      </c>
      <c r="Q196" s="226">
        <f>Inputs!G385*'GM CostSvcs'!T479</f>
        <v>0</v>
      </c>
      <c r="R196" s="226">
        <f>Inputs!G385*'GM CostSvcs'!V479</f>
        <v>0</v>
      </c>
      <c r="S196" s="226">
        <f>Inputs!G385*'GM CostSvcs'!W479</f>
        <v>0</v>
      </c>
      <c r="T196" s="279">
        <f>Inputs!G385*'GM CostSvcs'!X479</f>
        <v>0</v>
      </c>
    </row>
    <row r="197" spans="1:20" ht="12.75" customHeight="1" x14ac:dyDescent="0.2">
      <c r="A197" s="198" t="str">
        <f>"      "&amp;Labels!B386</f>
        <v xml:space="preserve">      Prof Level 2</v>
      </c>
      <c r="B197" s="226"/>
      <c r="C197" s="226">
        <f>Inputs!G385*'GM CostSvcs'!B480</f>
        <v>0</v>
      </c>
      <c r="D197" s="226">
        <f>Inputs!G385*'GM CostSvcs'!C480</f>
        <v>0</v>
      </c>
      <c r="E197" s="226">
        <f>Inputs!G385*'GM CostSvcs'!D480</f>
        <v>0</v>
      </c>
      <c r="F197" s="226">
        <f>Inputs!G385*'GM CostSvcs'!F480</f>
        <v>0</v>
      </c>
      <c r="G197" s="226">
        <f>Inputs!G385*'GM CostSvcs'!G480</f>
        <v>0</v>
      </c>
      <c r="H197" s="226">
        <f>Inputs!G385*'GM CostSvcs'!H480</f>
        <v>0</v>
      </c>
      <c r="I197" s="226">
        <f>Inputs!G385*'GM CostSvcs'!J480</f>
        <v>0</v>
      </c>
      <c r="J197" s="226">
        <f>Inputs!G385*'GM CostSvcs'!K480</f>
        <v>0</v>
      </c>
      <c r="K197" s="226">
        <f>Inputs!G385*'GM CostSvcs'!L480</f>
        <v>0</v>
      </c>
      <c r="L197" s="226">
        <f>Inputs!G385*'GM CostSvcs'!N480</f>
        <v>0</v>
      </c>
      <c r="M197" s="226">
        <f>Inputs!G385*'GM CostSvcs'!O480</f>
        <v>0</v>
      </c>
      <c r="N197" s="226">
        <f>Inputs!G385*'GM CostSvcs'!P480</f>
        <v>0</v>
      </c>
      <c r="O197" s="226">
        <f>Inputs!G385*'GM CostSvcs'!R480</f>
        <v>0</v>
      </c>
      <c r="P197" s="226">
        <f>Inputs!G385*'GM CostSvcs'!S480</f>
        <v>0</v>
      </c>
      <c r="Q197" s="226">
        <f>Inputs!G385*'GM CostSvcs'!T480</f>
        <v>0</v>
      </c>
      <c r="R197" s="226">
        <f>Inputs!G385*'GM CostSvcs'!V480</f>
        <v>0</v>
      </c>
      <c r="S197" s="226">
        <f>Inputs!G385*'GM CostSvcs'!W480</f>
        <v>0</v>
      </c>
      <c r="T197" s="279">
        <f>Inputs!G385*'GM CostSvcs'!X480</f>
        <v>0</v>
      </c>
    </row>
    <row r="198" spans="1:20" ht="12.75" customHeight="1" x14ac:dyDescent="0.2">
      <c r="A198" s="188" t="str">
        <f>"      "&amp;Labels!C384</f>
        <v xml:space="preserve">      Total</v>
      </c>
      <c r="B198" s="196">
        <f t="shared" ref="B198:T198" si="103">SUM(B196:B197)</f>
        <v>0</v>
      </c>
      <c r="C198" s="196">
        <f t="shared" si="103"/>
        <v>0</v>
      </c>
      <c r="D198" s="196">
        <f t="shared" si="103"/>
        <v>0</v>
      </c>
      <c r="E198" s="196">
        <f t="shared" si="103"/>
        <v>0</v>
      </c>
      <c r="F198" s="196">
        <f t="shared" si="103"/>
        <v>0</v>
      </c>
      <c r="G198" s="196">
        <f t="shared" si="103"/>
        <v>0</v>
      </c>
      <c r="H198" s="196">
        <f t="shared" si="103"/>
        <v>0</v>
      </c>
      <c r="I198" s="196">
        <f t="shared" si="103"/>
        <v>0</v>
      </c>
      <c r="J198" s="196">
        <f t="shared" si="103"/>
        <v>0</v>
      </c>
      <c r="K198" s="196">
        <f t="shared" si="103"/>
        <v>0</v>
      </c>
      <c r="L198" s="196">
        <f t="shared" si="103"/>
        <v>0</v>
      </c>
      <c r="M198" s="196">
        <f t="shared" si="103"/>
        <v>0</v>
      </c>
      <c r="N198" s="196">
        <f t="shared" si="103"/>
        <v>0</v>
      </c>
      <c r="O198" s="196">
        <f t="shared" si="103"/>
        <v>0</v>
      </c>
      <c r="P198" s="196">
        <f t="shared" si="103"/>
        <v>0</v>
      </c>
      <c r="Q198" s="196">
        <f t="shared" si="103"/>
        <v>0</v>
      </c>
      <c r="R198" s="196">
        <f t="shared" si="103"/>
        <v>0</v>
      </c>
      <c r="S198" s="196">
        <f t="shared" si="103"/>
        <v>0</v>
      </c>
      <c r="T198" s="267">
        <f t="shared" si="103"/>
        <v>0</v>
      </c>
    </row>
    <row r="199" spans="1:20" ht="12.75" customHeight="1" x14ac:dyDescent="0.2">
      <c r="A199" s="188" t="str">
        <f>"   "&amp;Labels!B382</f>
        <v xml:space="preserve">   Practice 2</v>
      </c>
      <c r="B199" s="196"/>
      <c r="C199" s="196"/>
      <c r="D199" s="196"/>
      <c r="E199" s="196"/>
      <c r="F199" s="196"/>
      <c r="G199" s="196"/>
      <c r="H199" s="196"/>
      <c r="I199" s="196"/>
      <c r="J199" s="196"/>
      <c r="K199" s="196"/>
      <c r="L199" s="196"/>
      <c r="M199" s="196"/>
      <c r="N199" s="196"/>
      <c r="O199" s="196"/>
      <c r="P199" s="196"/>
      <c r="Q199" s="196"/>
      <c r="R199" s="196"/>
      <c r="S199" s="196"/>
      <c r="T199" s="267"/>
    </row>
    <row r="200" spans="1:20" ht="12.75" customHeight="1" x14ac:dyDescent="0.2">
      <c r="A200" s="198" t="str">
        <f>"      "&amp;Labels!B385</f>
        <v xml:space="preserve">      Prof Level 1</v>
      </c>
      <c r="B200" s="226"/>
      <c r="C200" s="226">
        <f>Inputs!G385*'GM CostSvcs'!B483</f>
        <v>0</v>
      </c>
      <c r="D200" s="226">
        <f>Inputs!G385*'GM CostSvcs'!C483</f>
        <v>0</v>
      </c>
      <c r="E200" s="226">
        <f>Inputs!G385*'GM CostSvcs'!D483</f>
        <v>0</v>
      </c>
      <c r="F200" s="226">
        <f>Inputs!G385*'GM CostSvcs'!F483</f>
        <v>0</v>
      </c>
      <c r="G200" s="226">
        <f>Inputs!G385*'GM CostSvcs'!G483</f>
        <v>0</v>
      </c>
      <c r="H200" s="226">
        <f>Inputs!G385*'GM CostSvcs'!H483</f>
        <v>0</v>
      </c>
      <c r="I200" s="226">
        <f>Inputs!G385*'GM CostSvcs'!J483</f>
        <v>0</v>
      </c>
      <c r="J200" s="226">
        <f>Inputs!G385*'GM CostSvcs'!K483</f>
        <v>0</v>
      </c>
      <c r="K200" s="226">
        <f>Inputs!G385*'GM CostSvcs'!L483</f>
        <v>0</v>
      </c>
      <c r="L200" s="226">
        <f>Inputs!G385*'GM CostSvcs'!N483</f>
        <v>0</v>
      </c>
      <c r="M200" s="226">
        <f>Inputs!G385*'GM CostSvcs'!O483</f>
        <v>0</v>
      </c>
      <c r="N200" s="226">
        <f>Inputs!G385*'GM CostSvcs'!P483</f>
        <v>0</v>
      </c>
      <c r="O200" s="226">
        <f>Inputs!G385*'GM CostSvcs'!R483</f>
        <v>0</v>
      </c>
      <c r="P200" s="226">
        <f>Inputs!G385*'GM CostSvcs'!S483</f>
        <v>0</v>
      </c>
      <c r="Q200" s="226">
        <f>Inputs!G385*'GM CostSvcs'!T483</f>
        <v>0</v>
      </c>
      <c r="R200" s="226">
        <f>Inputs!G385*'GM CostSvcs'!V483</f>
        <v>0</v>
      </c>
      <c r="S200" s="226">
        <f>Inputs!G385*'GM CostSvcs'!W483</f>
        <v>0</v>
      </c>
      <c r="T200" s="279">
        <f>Inputs!G385*'GM CostSvcs'!X483</f>
        <v>0</v>
      </c>
    </row>
    <row r="201" spans="1:20" ht="12.75" customHeight="1" x14ac:dyDescent="0.2">
      <c r="A201" s="198" t="str">
        <f>"      "&amp;Labels!B386</f>
        <v xml:space="preserve">      Prof Level 2</v>
      </c>
      <c r="B201" s="226"/>
      <c r="C201" s="226">
        <f>Inputs!G385*'GM CostSvcs'!B484</f>
        <v>0</v>
      </c>
      <c r="D201" s="226">
        <f>Inputs!G385*'GM CostSvcs'!C484</f>
        <v>0</v>
      </c>
      <c r="E201" s="226">
        <f>Inputs!G385*'GM CostSvcs'!D484</f>
        <v>0</v>
      </c>
      <c r="F201" s="226">
        <f>Inputs!G385*'GM CostSvcs'!F484</f>
        <v>0</v>
      </c>
      <c r="G201" s="226">
        <f>Inputs!G385*'GM CostSvcs'!G484</f>
        <v>0</v>
      </c>
      <c r="H201" s="226">
        <f>Inputs!G385*'GM CostSvcs'!H484</f>
        <v>0</v>
      </c>
      <c r="I201" s="226">
        <f>Inputs!G385*'GM CostSvcs'!J484</f>
        <v>0</v>
      </c>
      <c r="J201" s="226">
        <f>Inputs!G385*'GM CostSvcs'!K484</f>
        <v>0</v>
      </c>
      <c r="K201" s="226">
        <f>Inputs!G385*'GM CostSvcs'!L484</f>
        <v>0</v>
      </c>
      <c r="L201" s="226">
        <f>Inputs!G385*'GM CostSvcs'!N484</f>
        <v>0</v>
      </c>
      <c r="M201" s="226">
        <f>Inputs!G385*'GM CostSvcs'!O484</f>
        <v>0</v>
      </c>
      <c r="N201" s="226">
        <f>Inputs!G385*'GM CostSvcs'!P484</f>
        <v>0</v>
      </c>
      <c r="O201" s="226">
        <f>Inputs!G385*'GM CostSvcs'!R484</f>
        <v>0</v>
      </c>
      <c r="P201" s="226">
        <f>Inputs!G385*'GM CostSvcs'!S484</f>
        <v>0</v>
      </c>
      <c r="Q201" s="226">
        <f>Inputs!G385*'GM CostSvcs'!T484</f>
        <v>0</v>
      </c>
      <c r="R201" s="226">
        <f>Inputs!G385*'GM CostSvcs'!V484</f>
        <v>0</v>
      </c>
      <c r="S201" s="226">
        <f>Inputs!G385*'GM CostSvcs'!W484</f>
        <v>0</v>
      </c>
      <c r="T201" s="279">
        <f>Inputs!G385*'GM CostSvcs'!X484</f>
        <v>0</v>
      </c>
    </row>
    <row r="202" spans="1:20" ht="12.75" customHeight="1" x14ac:dyDescent="0.2">
      <c r="A202" s="188" t="str">
        <f>"      "&amp;Labels!C384</f>
        <v xml:space="preserve">      Total</v>
      </c>
      <c r="B202" s="196">
        <f t="shared" ref="B202:T202" si="104">SUM(B200:B201)</f>
        <v>0</v>
      </c>
      <c r="C202" s="196">
        <f t="shared" si="104"/>
        <v>0</v>
      </c>
      <c r="D202" s="196">
        <f t="shared" si="104"/>
        <v>0</v>
      </c>
      <c r="E202" s="196">
        <f t="shared" si="104"/>
        <v>0</v>
      </c>
      <c r="F202" s="196">
        <f t="shared" si="104"/>
        <v>0</v>
      </c>
      <c r="G202" s="196">
        <f t="shared" si="104"/>
        <v>0</v>
      </c>
      <c r="H202" s="196">
        <f t="shared" si="104"/>
        <v>0</v>
      </c>
      <c r="I202" s="196">
        <f t="shared" si="104"/>
        <v>0</v>
      </c>
      <c r="J202" s="196">
        <f t="shared" si="104"/>
        <v>0</v>
      </c>
      <c r="K202" s="196">
        <f t="shared" si="104"/>
        <v>0</v>
      </c>
      <c r="L202" s="196">
        <f t="shared" si="104"/>
        <v>0</v>
      </c>
      <c r="M202" s="196">
        <f t="shared" si="104"/>
        <v>0</v>
      </c>
      <c r="N202" s="196">
        <f t="shared" si="104"/>
        <v>0</v>
      </c>
      <c r="O202" s="196">
        <f t="shared" si="104"/>
        <v>0</v>
      </c>
      <c r="P202" s="196">
        <f t="shared" si="104"/>
        <v>0</v>
      </c>
      <c r="Q202" s="196">
        <f t="shared" si="104"/>
        <v>0</v>
      </c>
      <c r="R202" s="196">
        <f t="shared" si="104"/>
        <v>0</v>
      </c>
      <c r="S202" s="196">
        <f t="shared" si="104"/>
        <v>0</v>
      </c>
      <c r="T202" s="267">
        <f t="shared" si="104"/>
        <v>0</v>
      </c>
    </row>
    <row r="203" spans="1:20" ht="12.75" customHeight="1" x14ac:dyDescent="0.2">
      <c r="A203" s="191" t="str">
        <f>"   "&amp;Labels!C380</f>
        <v xml:space="preserve">   Total</v>
      </c>
      <c r="B203" s="192">
        <f t="shared" ref="B203:T203" si="105">SUM(B198,B202)</f>
        <v>0</v>
      </c>
      <c r="C203" s="192">
        <f t="shared" si="105"/>
        <v>0</v>
      </c>
      <c r="D203" s="192">
        <f t="shared" si="105"/>
        <v>0</v>
      </c>
      <c r="E203" s="192">
        <f t="shared" si="105"/>
        <v>0</v>
      </c>
      <c r="F203" s="192">
        <f t="shared" si="105"/>
        <v>0</v>
      </c>
      <c r="G203" s="192">
        <f t="shared" si="105"/>
        <v>0</v>
      </c>
      <c r="H203" s="192">
        <f t="shared" si="105"/>
        <v>0</v>
      </c>
      <c r="I203" s="192">
        <f t="shared" si="105"/>
        <v>0</v>
      </c>
      <c r="J203" s="192">
        <f t="shared" si="105"/>
        <v>0</v>
      </c>
      <c r="K203" s="192">
        <f t="shared" si="105"/>
        <v>0</v>
      </c>
      <c r="L203" s="192">
        <f t="shared" si="105"/>
        <v>0</v>
      </c>
      <c r="M203" s="192">
        <f t="shared" si="105"/>
        <v>0</v>
      </c>
      <c r="N203" s="192">
        <f t="shared" si="105"/>
        <v>0</v>
      </c>
      <c r="O203" s="192">
        <f t="shared" si="105"/>
        <v>0</v>
      </c>
      <c r="P203" s="192">
        <f t="shared" si="105"/>
        <v>0</v>
      </c>
      <c r="Q203" s="192">
        <f t="shared" si="105"/>
        <v>0</v>
      </c>
      <c r="R203" s="192">
        <f t="shared" si="105"/>
        <v>0</v>
      </c>
      <c r="S203" s="192">
        <f t="shared" si="105"/>
        <v>0</v>
      </c>
      <c r="T203" s="280">
        <f t="shared" si="105"/>
        <v>0</v>
      </c>
    </row>
    <row r="204" spans="1:20" ht="12.75" customHeight="1" x14ac:dyDescent="0.2">
      <c r="A204" s="198" t="str">
        <f>"      "&amp;Labels!B385</f>
        <v xml:space="preserve">      Prof Level 1</v>
      </c>
      <c r="B204" s="226">
        <f t="shared" ref="B204:T204" si="106">SUM(B196,B200)</f>
        <v>0</v>
      </c>
      <c r="C204" s="226">
        <f t="shared" si="106"/>
        <v>0</v>
      </c>
      <c r="D204" s="226">
        <f t="shared" si="106"/>
        <v>0</v>
      </c>
      <c r="E204" s="226">
        <f t="shared" si="106"/>
        <v>0</v>
      </c>
      <c r="F204" s="226">
        <f t="shared" si="106"/>
        <v>0</v>
      </c>
      <c r="G204" s="226">
        <f t="shared" si="106"/>
        <v>0</v>
      </c>
      <c r="H204" s="226">
        <f t="shared" si="106"/>
        <v>0</v>
      </c>
      <c r="I204" s="226">
        <f t="shared" si="106"/>
        <v>0</v>
      </c>
      <c r="J204" s="226">
        <f t="shared" si="106"/>
        <v>0</v>
      </c>
      <c r="K204" s="226">
        <f t="shared" si="106"/>
        <v>0</v>
      </c>
      <c r="L204" s="226">
        <f t="shared" si="106"/>
        <v>0</v>
      </c>
      <c r="M204" s="226">
        <f t="shared" si="106"/>
        <v>0</v>
      </c>
      <c r="N204" s="226">
        <f t="shared" si="106"/>
        <v>0</v>
      </c>
      <c r="O204" s="226">
        <f t="shared" si="106"/>
        <v>0</v>
      </c>
      <c r="P204" s="226">
        <f t="shared" si="106"/>
        <v>0</v>
      </c>
      <c r="Q204" s="226">
        <f t="shared" si="106"/>
        <v>0</v>
      </c>
      <c r="R204" s="226">
        <f t="shared" si="106"/>
        <v>0</v>
      </c>
      <c r="S204" s="226">
        <f t="shared" si="106"/>
        <v>0</v>
      </c>
      <c r="T204" s="279">
        <f t="shared" si="106"/>
        <v>0</v>
      </c>
    </row>
    <row r="205" spans="1:20" ht="12.75" customHeight="1" x14ac:dyDescent="0.2">
      <c r="A205" s="198" t="str">
        <f>"      "&amp;Labels!B386</f>
        <v xml:space="preserve">      Prof Level 2</v>
      </c>
      <c r="B205" s="226">
        <f t="shared" ref="B205:T205" si="107">SUM(B197,B201)</f>
        <v>0</v>
      </c>
      <c r="C205" s="226">
        <f t="shared" si="107"/>
        <v>0</v>
      </c>
      <c r="D205" s="226">
        <f t="shared" si="107"/>
        <v>0</v>
      </c>
      <c r="E205" s="226">
        <f t="shared" si="107"/>
        <v>0</v>
      </c>
      <c r="F205" s="226">
        <f t="shared" si="107"/>
        <v>0</v>
      </c>
      <c r="G205" s="226">
        <f t="shared" si="107"/>
        <v>0</v>
      </c>
      <c r="H205" s="226">
        <f t="shared" si="107"/>
        <v>0</v>
      </c>
      <c r="I205" s="226">
        <f t="shared" si="107"/>
        <v>0</v>
      </c>
      <c r="J205" s="226">
        <f t="shared" si="107"/>
        <v>0</v>
      </c>
      <c r="K205" s="226">
        <f t="shared" si="107"/>
        <v>0</v>
      </c>
      <c r="L205" s="226">
        <f t="shared" si="107"/>
        <v>0</v>
      </c>
      <c r="M205" s="226">
        <f t="shared" si="107"/>
        <v>0</v>
      </c>
      <c r="N205" s="226">
        <f t="shared" si="107"/>
        <v>0</v>
      </c>
      <c r="O205" s="226">
        <f t="shared" si="107"/>
        <v>0</v>
      </c>
      <c r="P205" s="226">
        <f t="shared" si="107"/>
        <v>0</v>
      </c>
      <c r="Q205" s="226">
        <f t="shared" si="107"/>
        <v>0</v>
      </c>
      <c r="R205" s="226">
        <f t="shared" si="107"/>
        <v>0</v>
      </c>
      <c r="S205" s="226">
        <f t="shared" si="107"/>
        <v>0</v>
      </c>
      <c r="T205" s="279">
        <f t="shared" si="107"/>
        <v>0</v>
      </c>
    </row>
    <row r="206" spans="1:20" ht="12.75" customHeight="1" x14ac:dyDescent="0.2">
      <c r="A206" s="188" t="str">
        <f>"      "&amp;Labels!C384</f>
        <v xml:space="preserve">      Total</v>
      </c>
      <c r="B206" s="196">
        <f t="shared" ref="B206:T206" si="108">SUM(B198,B202)</f>
        <v>0</v>
      </c>
      <c r="C206" s="196">
        <f t="shared" si="108"/>
        <v>0</v>
      </c>
      <c r="D206" s="196">
        <f t="shared" si="108"/>
        <v>0</v>
      </c>
      <c r="E206" s="196">
        <f t="shared" si="108"/>
        <v>0</v>
      </c>
      <c r="F206" s="196">
        <f t="shared" si="108"/>
        <v>0</v>
      </c>
      <c r="G206" s="196">
        <f t="shared" si="108"/>
        <v>0</v>
      </c>
      <c r="H206" s="196">
        <f t="shared" si="108"/>
        <v>0</v>
      </c>
      <c r="I206" s="196">
        <f t="shared" si="108"/>
        <v>0</v>
      </c>
      <c r="J206" s="196">
        <f t="shared" si="108"/>
        <v>0</v>
      </c>
      <c r="K206" s="196">
        <f t="shared" si="108"/>
        <v>0</v>
      </c>
      <c r="L206" s="196">
        <f t="shared" si="108"/>
        <v>0</v>
      </c>
      <c r="M206" s="196">
        <f t="shared" si="108"/>
        <v>0</v>
      </c>
      <c r="N206" s="196">
        <f t="shared" si="108"/>
        <v>0</v>
      </c>
      <c r="O206" s="196">
        <f t="shared" si="108"/>
        <v>0</v>
      </c>
      <c r="P206" s="196">
        <f t="shared" si="108"/>
        <v>0</v>
      </c>
      <c r="Q206" s="196">
        <f t="shared" si="108"/>
        <v>0</v>
      </c>
      <c r="R206" s="196">
        <f t="shared" si="108"/>
        <v>0</v>
      </c>
      <c r="S206" s="196">
        <f t="shared" si="108"/>
        <v>0</v>
      </c>
      <c r="T206" s="267">
        <f t="shared" si="108"/>
        <v>0</v>
      </c>
    </row>
    <row r="207" spans="1:20" ht="12.75" customHeight="1" x14ac:dyDescent="0.2">
      <c r="A207" s="97" t="str">
        <f>Labels!C407</f>
        <v>Total</v>
      </c>
      <c r="B207" s="194">
        <f t="shared" ref="B207:T207" si="109">SUM(B190,B203)</f>
        <v>0</v>
      </c>
      <c r="C207" s="194">
        <f t="shared" si="109"/>
        <v>0</v>
      </c>
      <c r="D207" s="194">
        <f t="shared" si="109"/>
        <v>0</v>
      </c>
      <c r="E207" s="194">
        <f t="shared" si="109"/>
        <v>0</v>
      </c>
      <c r="F207" s="194">
        <f t="shared" si="109"/>
        <v>0</v>
      </c>
      <c r="G207" s="194">
        <f t="shared" si="109"/>
        <v>0</v>
      </c>
      <c r="H207" s="194">
        <f t="shared" si="109"/>
        <v>0</v>
      </c>
      <c r="I207" s="194">
        <f t="shared" si="109"/>
        <v>0</v>
      </c>
      <c r="J207" s="194">
        <f t="shared" si="109"/>
        <v>0</v>
      </c>
      <c r="K207" s="194">
        <f t="shared" si="109"/>
        <v>0</v>
      </c>
      <c r="L207" s="194">
        <f t="shared" si="109"/>
        <v>0</v>
      </c>
      <c r="M207" s="194">
        <f t="shared" si="109"/>
        <v>0</v>
      </c>
      <c r="N207" s="194">
        <f t="shared" si="109"/>
        <v>0</v>
      </c>
      <c r="O207" s="194">
        <f t="shared" si="109"/>
        <v>0</v>
      </c>
      <c r="P207" s="194">
        <f t="shared" si="109"/>
        <v>0</v>
      </c>
      <c r="Q207" s="194">
        <f t="shared" si="109"/>
        <v>0</v>
      </c>
      <c r="R207" s="194">
        <f t="shared" si="109"/>
        <v>0</v>
      </c>
      <c r="S207" s="194">
        <f t="shared" si="109"/>
        <v>0</v>
      </c>
      <c r="T207" s="351">
        <f t="shared" si="109"/>
        <v>0</v>
      </c>
    </row>
    <row r="208" spans="1:20" ht="12.75" customHeight="1" x14ac:dyDescent="0.2">
      <c r="A208" s="188" t="str">
        <f>"   "&amp;Labels!B381</f>
        <v xml:space="preserve">   Practice 1</v>
      </c>
      <c r="B208" s="196"/>
      <c r="C208" s="196"/>
      <c r="D208" s="196"/>
      <c r="E208" s="196"/>
      <c r="F208" s="196"/>
      <c r="G208" s="196"/>
      <c r="H208" s="196"/>
      <c r="I208" s="196"/>
      <c r="J208" s="196"/>
      <c r="K208" s="196"/>
      <c r="L208" s="196"/>
      <c r="M208" s="196"/>
      <c r="N208" s="196"/>
      <c r="O208" s="196"/>
      <c r="P208" s="196"/>
      <c r="Q208" s="196"/>
      <c r="R208" s="196"/>
      <c r="S208" s="196"/>
      <c r="T208" s="267"/>
    </row>
    <row r="209" spans="1:20" ht="12.75" customHeight="1" x14ac:dyDescent="0.2">
      <c r="A209" s="198" t="str">
        <f>"      "&amp;Labels!B385</f>
        <v xml:space="preserve">      Prof Level 1</v>
      </c>
      <c r="B209" s="226">
        <f t="shared" ref="B209:T209" si="110">SUM(B183,B196)</f>
        <v>0</v>
      </c>
      <c r="C209" s="226">
        <f t="shared" si="110"/>
        <v>0</v>
      </c>
      <c r="D209" s="226">
        <f t="shared" si="110"/>
        <v>0</v>
      </c>
      <c r="E209" s="226">
        <f t="shared" si="110"/>
        <v>0</v>
      </c>
      <c r="F209" s="226">
        <f t="shared" si="110"/>
        <v>0</v>
      </c>
      <c r="G209" s="226">
        <f t="shared" si="110"/>
        <v>0</v>
      </c>
      <c r="H209" s="226">
        <f t="shared" si="110"/>
        <v>0</v>
      </c>
      <c r="I209" s="226">
        <f t="shared" si="110"/>
        <v>0</v>
      </c>
      <c r="J209" s="226">
        <f t="shared" si="110"/>
        <v>0</v>
      </c>
      <c r="K209" s="226">
        <f t="shared" si="110"/>
        <v>0</v>
      </c>
      <c r="L209" s="226">
        <f t="shared" si="110"/>
        <v>0</v>
      </c>
      <c r="M209" s="226">
        <f t="shared" si="110"/>
        <v>0</v>
      </c>
      <c r="N209" s="226">
        <f t="shared" si="110"/>
        <v>0</v>
      </c>
      <c r="O209" s="226">
        <f t="shared" si="110"/>
        <v>0</v>
      </c>
      <c r="P209" s="226">
        <f t="shared" si="110"/>
        <v>0</v>
      </c>
      <c r="Q209" s="226">
        <f t="shared" si="110"/>
        <v>0</v>
      </c>
      <c r="R209" s="226">
        <f t="shared" si="110"/>
        <v>0</v>
      </c>
      <c r="S209" s="226">
        <f t="shared" si="110"/>
        <v>0</v>
      </c>
      <c r="T209" s="279">
        <f t="shared" si="110"/>
        <v>0</v>
      </c>
    </row>
    <row r="210" spans="1:20" ht="12.75" customHeight="1" x14ac:dyDescent="0.2">
      <c r="A210" s="198" t="str">
        <f>"      "&amp;Labels!B386</f>
        <v xml:space="preserve">      Prof Level 2</v>
      </c>
      <c r="B210" s="226">
        <f t="shared" ref="B210:T210" si="111">SUM(B184,B197)</f>
        <v>0</v>
      </c>
      <c r="C210" s="226">
        <f t="shared" si="111"/>
        <v>0</v>
      </c>
      <c r="D210" s="226">
        <f t="shared" si="111"/>
        <v>0</v>
      </c>
      <c r="E210" s="226">
        <f t="shared" si="111"/>
        <v>0</v>
      </c>
      <c r="F210" s="226">
        <f t="shared" si="111"/>
        <v>0</v>
      </c>
      <c r="G210" s="226">
        <f t="shared" si="111"/>
        <v>0</v>
      </c>
      <c r="H210" s="226">
        <f t="shared" si="111"/>
        <v>0</v>
      </c>
      <c r="I210" s="226">
        <f t="shared" si="111"/>
        <v>0</v>
      </c>
      <c r="J210" s="226">
        <f t="shared" si="111"/>
        <v>0</v>
      </c>
      <c r="K210" s="226">
        <f t="shared" si="111"/>
        <v>0</v>
      </c>
      <c r="L210" s="226">
        <f t="shared" si="111"/>
        <v>0</v>
      </c>
      <c r="M210" s="226">
        <f t="shared" si="111"/>
        <v>0</v>
      </c>
      <c r="N210" s="226">
        <f t="shared" si="111"/>
        <v>0</v>
      </c>
      <c r="O210" s="226">
        <f t="shared" si="111"/>
        <v>0</v>
      </c>
      <c r="P210" s="226">
        <f t="shared" si="111"/>
        <v>0</v>
      </c>
      <c r="Q210" s="226">
        <f t="shared" si="111"/>
        <v>0</v>
      </c>
      <c r="R210" s="226">
        <f t="shared" si="111"/>
        <v>0</v>
      </c>
      <c r="S210" s="226">
        <f t="shared" si="111"/>
        <v>0</v>
      </c>
      <c r="T210" s="279">
        <f t="shared" si="111"/>
        <v>0</v>
      </c>
    </row>
    <row r="211" spans="1:20" ht="12.75" customHeight="1" x14ac:dyDescent="0.2">
      <c r="A211" s="188" t="str">
        <f>"      "&amp;Labels!C384</f>
        <v xml:space="preserve">      Total</v>
      </c>
      <c r="B211" s="196">
        <f t="shared" ref="B211:T211" si="112">SUM(B185,B198)</f>
        <v>0</v>
      </c>
      <c r="C211" s="196">
        <f t="shared" si="112"/>
        <v>0</v>
      </c>
      <c r="D211" s="196">
        <f t="shared" si="112"/>
        <v>0</v>
      </c>
      <c r="E211" s="196">
        <f t="shared" si="112"/>
        <v>0</v>
      </c>
      <c r="F211" s="196">
        <f t="shared" si="112"/>
        <v>0</v>
      </c>
      <c r="G211" s="196">
        <f t="shared" si="112"/>
        <v>0</v>
      </c>
      <c r="H211" s="196">
        <f t="shared" si="112"/>
        <v>0</v>
      </c>
      <c r="I211" s="196">
        <f t="shared" si="112"/>
        <v>0</v>
      </c>
      <c r="J211" s="196">
        <f t="shared" si="112"/>
        <v>0</v>
      </c>
      <c r="K211" s="196">
        <f t="shared" si="112"/>
        <v>0</v>
      </c>
      <c r="L211" s="196">
        <f t="shared" si="112"/>
        <v>0</v>
      </c>
      <c r="M211" s="196">
        <f t="shared" si="112"/>
        <v>0</v>
      </c>
      <c r="N211" s="196">
        <f t="shared" si="112"/>
        <v>0</v>
      </c>
      <c r="O211" s="196">
        <f t="shared" si="112"/>
        <v>0</v>
      </c>
      <c r="P211" s="196">
        <f t="shared" si="112"/>
        <v>0</v>
      </c>
      <c r="Q211" s="196">
        <f t="shared" si="112"/>
        <v>0</v>
      </c>
      <c r="R211" s="196">
        <f t="shared" si="112"/>
        <v>0</v>
      </c>
      <c r="S211" s="196">
        <f t="shared" si="112"/>
        <v>0</v>
      </c>
      <c r="T211" s="267">
        <f t="shared" si="112"/>
        <v>0</v>
      </c>
    </row>
    <row r="212" spans="1:20" ht="12.75" customHeight="1" x14ac:dyDescent="0.2">
      <c r="A212" s="188" t="str">
        <f>"   "&amp;Labels!B382</f>
        <v xml:space="preserve">   Practice 2</v>
      </c>
      <c r="B212" s="196"/>
      <c r="C212" s="196"/>
      <c r="D212" s="196"/>
      <c r="E212" s="196"/>
      <c r="F212" s="196"/>
      <c r="G212" s="196"/>
      <c r="H212" s="196"/>
      <c r="I212" s="196"/>
      <c r="J212" s="196"/>
      <c r="K212" s="196"/>
      <c r="L212" s="196"/>
      <c r="M212" s="196"/>
      <c r="N212" s="196"/>
      <c r="O212" s="196"/>
      <c r="P212" s="196"/>
      <c r="Q212" s="196"/>
      <c r="R212" s="196"/>
      <c r="S212" s="196"/>
      <c r="T212" s="267"/>
    </row>
    <row r="213" spans="1:20" ht="12.75" customHeight="1" x14ac:dyDescent="0.2">
      <c r="A213" s="198" t="str">
        <f>"      "&amp;Labels!B385</f>
        <v xml:space="preserve">      Prof Level 1</v>
      </c>
      <c r="B213" s="226">
        <f t="shared" ref="B213:T213" si="113">SUM(B187,B200)</f>
        <v>0</v>
      </c>
      <c r="C213" s="226">
        <f t="shared" si="113"/>
        <v>0</v>
      </c>
      <c r="D213" s="226">
        <f t="shared" si="113"/>
        <v>0</v>
      </c>
      <c r="E213" s="226">
        <f t="shared" si="113"/>
        <v>0</v>
      </c>
      <c r="F213" s="226">
        <f t="shared" si="113"/>
        <v>0</v>
      </c>
      <c r="G213" s="226">
        <f t="shared" si="113"/>
        <v>0</v>
      </c>
      <c r="H213" s="226">
        <f t="shared" si="113"/>
        <v>0</v>
      </c>
      <c r="I213" s="226">
        <f t="shared" si="113"/>
        <v>0</v>
      </c>
      <c r="J213" s="226">
        <f t="shared" si="113"/>
        <v>0</v>
      </c>
      <c r="K213" s="226">
        <f t="shared" si="113"/>
        <v>0</v>
      </c>
      <c r="L213" s="226">
        <f t="shared" si="113"/>
        <v>0</v>
      </c>
      <c r="M213" s="226">
        <f t="shared" si="113"/>
        <v>0</v>
      </c>
      <c r="N213" s="226">
        <f t="shared" si="113"/>
        <v>0</v>
      </c>
      <c r="O213" s="226">
        <f t="shared" si="113"/>
        <v>0</v>
      </c>
      <c r="P213" s="226">
        <f t="shared" si="113"/>
        <v>0</v>
      </c>
      <c r="Q213" s="226">
        <f t="shared" si="113"/>
        <v>0</v>
      </c>
      <c r="R213" s="226">
        <f t="shared" si="113"/>
        <v>0</v>
      </c>
      <c r="S213" s="226">
        <f t="shared" si="113"/>
        <v>0</v>
      </c>
      <c r="T213" s="279">
        <f t="shared" si="113"/>
        <v>0</v>
      </c>
    </row>
    <row r="214" spans="1:20" ht="12.75" customHeight="1" x14ac:dyDescent="0.2">
      <c r="A214" s="198" t="str">
        <f>"      "&amp;Labels!B386</f>
        <v xml:space="preserve">      Prof Level 2</v>
      </c>
      <c r="B214" s="226">
        <f t="shared" ref="B214:T214" si="114">SUM(B188,B201)</f>
        <v>0</v>
      </c>
      <c r="C214" s="226">
        <f t="shared" si="114"/>
        <v>0</v>
      </c>
      <c r="D214" s="226">
        <f t="shared" si="114"/>
        <v>0</v>
      </c>
      <c r="E214" s="226">
        <f t="shared" si="114"/>
        <v>0</v>
      </c>
      <c r="F214" s="226">
        <f t="shared" si="114"/>
        <v>0</v>
      </c>
      <c r="G214" s="226">
        <f t="shared" si="114"/>
        <v>0</v>
      </c>
      <c r="H214" s="226">
        <f t="shared" si="114"/>
        <v>0</v>
      </c>
      <c r="I214" s="226">
        <f t="shared" si="114"/>
        <v>0</v>
      </c>
      <c r="J214" s="226">
        <f t="shared" si="114"/>
        <v>0</v>
      </c>
      <c r="K214" s="226">
        <f t="shared" si="114"/>
        <v>0</v>
      </c>
      <c r="L214" s="226">
        <f t="shared" si="114"/>
        <v>0</v>
      </c>
      <c r="M214" s="226">
        <f t="shared" si="114"/>
        <v>0</v>
      </c>
      <c r="N214" s="226">
        <f t="shared" si="114"/>
        <v>0</v>
      </c>
      <c r="O214" s="226">
        <f t="shared" si="114"/>
        <v>0</v>
      </c>
      <c r="P214" s="226">
        <f t="shared" si="114"/>
        <v>0</v>
      </c>
      <c r="Q214" s="226">
        <f t="shared" si="114"/>
        <v>0</v>
      </c>
      <c r="R214" s="226">
        <f t="shared" si="114"/>
        <v>0</v>
      </c>
      <c r="S214" s="226">
        <f t="shared" si="114"/>
        <v>0</v>
      </c>
      <c r="T214" s="279">
        <f t="shared" si="114"/>
        <v>0</v>
      </c>
    </row>
    <row r="215" spans="1:20" ht="12.75" customHeight="1" x14ac:dyDescent="0.2">
      <c r="A215" s="188" t="str">
        <f>"      "&amp;Labels!C384</f>
        <v xml:space="preserve">      Total</v>
      </c>
      <c r="B215" s="196">
        <f t="shared" ref="B215:T215" si="115">SUM(B189,B202)</f>
        <v>0</v>
      </c>
      <c r="C215" s="196">
        <f t="shared" si="115"/>
        <v>0</v>
      </c>
      <c r="D215" s="196">
        <f t="shared" si="115"/>
        <v>0</v>
      </c>
      <c r="E215" s="196">
        <f t="shared" si="115"/>
        <v>0</v>
      </c>
      <c r="F215" s="196">
        <f t="shared" si="115"/>
        <v>0</v>
      </c>
      <c r="G215" s="196">
        <f t="shared" si="115"/>
        <v>0</v>
      </c>
      <c r="H215" s="196">
        <f t="shared" si="115"/>
        <v>0</v>
      </c>
      <c r="I215" s="196">
        <f t="shared" si="115"/>
        <v>0</v>
      </c>
      <c r="J215" s="196">
        <f t="shared" si="115"/>
        <v>0</v>
      </c>
      <c r="K215" s="196">
        <f t="shared" si="115"/>
        <v>0</v>
      </c>
      <c r="L215" s="196">
        <f t="shared" si="115"/>
        <v>0</v>
      </c>
      <c r="M215" s="196">
        <f t="shared" si="115"/>
        <v>0</v>
      </c>
      <c r="N215" s="196">
        <f t="shared" si="115"/>
        <v>0</v>
      </c>
      <c r="O215" s="196">
        <f t="shared" si="115"/>
        <v>0</v>
      </c>
      <c r="P215" s="196">
        <f t="shared" si="115"/>
        <v>0</v>
      </c>
      <c r="Q215" s="196">
        <f t="shared" si="115"/>
        <v>0</v>
      </c>
      <c r="R215" s="196">
        <f t="shared" si="115"/>
        <v>0</v>
      </c>
      <c r="S215" s="196">
        <f t="shared" si="115"/>
        <v>0</v>
      </c>
      <c r="T215" s="267">
        <f t="shared" si="115"/>
        <v>0</v>
      </c>
    </row>
    <row r="216" spans="1:20" ht="12.75" customHeight="1" x14ac:dyDescent="0.2">
      <c r="A216" s="191" t="str">
        <f>"   "&amp;Labels!C380</f>
        <v xml:space="preserve">   Total</v>
      </c>
      <c r="B216" s="192">
        <f t="shared" ref="B216:T216" si="116">SUM(B190,B203)</f>
        <v>0</v>
      </c>
      <c r="C216" s="192">
        <f t="shared" si="116"/>
        <v>0</v>
      </c>
      <c r="D216" s="192">
        <f t="shared" si="116"/>
        <v>0</v>
      </c>
      <c r="E216" s="192">
        <f t="shared" si="116"/>
        <v>0</v>
      </c>
      <c r="F216" s="192">
        <f t="shared" si="116"/>
        <v>0</v>
      </c>
      <c r="G216" s="192">
        <f t="shared" si="116"/>
        <v>0</v>
      </c>
      <c r="H216" s="192">
        <f t="shared" si="116"/>
        <v>0</v>
      </c>
      <c r="I216" s="192">
        <f t="shared" si="116"/>
        <v>0</v>
      </c>
      <c r="J216" s="192">
        <f t="shared" si="116"/>
        <v>0</v>
      </c>
      <c r="K216" s="192">
        <f t="shared" si="116"/>
        <v>0</v>
      </c>
      <c r="L216" s="192">
        <f t="shared" si="116"/>
        <v>0</v>
      </c>
      <c r="M216" s="192">
        <f t="shared" si="116"/>
        <v>0</v>
      </c>
      <c r="N216" s="192">
        <f t="shared" si="116"/>
        <v>0</v>
      </c>
      <c r="O216" s="192">
        <f t="shared" si="116"/>
        <v>0</v>
      </c>
      <c r="P216" s="192">
        <f t="shared" si="116"/>
        <v>0</v>
      </c>
      <c r="Q216" s="192">
        <f t="shared" si="116"/>
        <v>0</v>
      </c>
      <c r="R216" s="192">
        <f t="shared" si="116"/>
        <v>0</v>
      </c>
      <c r="S216" s="192">
        <f t="shared" si="116"/>
        <v>0</v>
      </c>
      <c r="T216" s="280">
        <f t="shared" si="116"/>
        <v>0</v>
      </c>
    </row>
    <row r="217" spans="1:20" ht="12.75" customHeight="1" x14ac:dyDescent="0.2">
      <c r="A217" s="198" t="str">
        <f>"      "&amp;Labels!B385</f>
        <v xml:space="preserve">      Prof Level 1</v>
      </c>
      <c r="B217" s="226">
        <f t="shared" ref="B217:T217" si="117">SUM(B191,B204)</f>
        <v>0</v>
      </c>
      <c r="C217" s="226">
        <f t="shared" si="117"/>
        <v>0</v>
      </c>
      <c r="D217" s="226">
        <f t="shared" si="117"/>
        <v>0</v>
      </c>
      <c r="E217" s="226">
        <f t="shared" si="117"/>
        <v>0</v>
      </c>
      <c r="F217" s="226">
        <f t="shared" si="117"/>
        <v>0</v>
      </c>
      <c r="G217" s="226">
        <f t="shared" si="117"/>
        <v>0</v>
      </c>
      <c r="H217" s="226">
        <f t="shared" si="117"/>
        <v>0</v>
      </c>
      <c r="I217" s="226">
        <f t="shared" si="117"/>
        <v>0</v>
      </c>
      <c r="J217" s="226">
        <f t="shared" si="117"/>
        <v>0</v>
      </c>
      <c r="K217" s="226">
        <f t="shared" si="117"/>
        <v>0</v>
      </c>
      <c r="L217" s="226">
        <f t="shared" si="117"/>
        <v>0</v>
      </c>
      <c r="M217" s="226">
        <f t="shared" si="117"/>
        <v>0</v>
      </c>
      <c r="N217" s="226">
        <f t="shared" si="117"/>
        <v>0</v>
      </c>
      <c r="O217" s="226">
        <f t="shared" si="117"/>
        <v>0</v>
      </c>
      <c r="P217" s="226">
        <f t="shared" si="117"/>
        <v>0</v>
      </c>
      <c r="Q217" s="226">
        <f t="shared" si="117"/>
        <v>0</v>
      </c>
      <c r="R217" s="226">
        <f t="shared" si="117"/>
        <v>0</v>
      </c>
      <c r="S217" s="226">
        <f t="shared" si="117"/>
        <v>0</v>
      </c>
      <c r="T217" s="279">
        <f t="shared" si="117"/>
        <v>0</v>
      </c>
    </row>
    <row r="218" spans="1:20" ht="12.75" customHeight="1" x14ac:dyDescent="0.2">
      <c r="A218" s="198" t="str">
        <f>"      "&amp;Labels!B386</f>
        <v xml:space="preserve">      Prof Level 2</v>
      </c>
      <c r="B218" s="226">
        <f t="shared" ref="B218:T218" si="118">SUM(B192,B205)</f>
        <v>0</v>
      </c>
      <c r="C218" s="226">
        <f t="shared" si="118"/>
        <v>0</v>
      </c>
      <c r="D218" s="226">
        <f t="shared" si="118"/>
        <v>0</v>
      </c>
      <c r="E218" s="226">
        <f t="shared" si="118"/>
        <v>0</v>
      </c>
      <c r="F218" s="226">
        <f t="shared" si="118"/>
        <v>0</v>
      </c>
      <c r="G218" s="226">
        <f t="shared" si="118"/>
        <v>0</v>
      </c>
      <c r="H218" s="226">
        <f t="shared" si="118"/>
        <v>0</v>
      </c>
      <c r="I218" s="226">
        <f t="shared" si="118"/>
        <v>0</v>
      </c>
      <c r="J218" s="226">
        <f t="shared" si="118"/>
        <v>0</v>
      </c>
      <c r="K218" s="226">
        <f t="shared" si="118"/>
        <v>0</v>
      </c>
      <c r="L218" s="226">
        <f t="shared" si="118"/>
        <v>0</v>
      </c>
      <c r="M218" s="226">
        <f t="shared" si="118"/>
        <v>0</v>
      </c>
      <c r="N218" s="226">
        <f t="shared" si="118"/>
        <v>0</v>
      </c>
      <c r="O218" s="226">
        <f t="shared" si="118"/>
        <v>0</v>
      </c>
      <c r="P218" s="226">
        <f t="shared" si="118"/>
        <v>0</v>
      </c>
      <c r="Q218" s="226">
        <f t="shared" si="118"/>
        <v>0</v>
      </c>
      <c r="R218" s="226">
        <f t="shared" si="118"/>
        <v>0</v>
      </c>
      <c r="S218" s="226">
        <f t="shared" si="118"/>
        <v>0</v>
      </c>
      <c r="T218" s="279">
        <f t="shared" si="118"/>
        <v>0</v>
      </c>
    </row>
    <row r="219" spans="1:20" ht="12.75" customHeight="1" x14ac:dyDescent="0.2">
      <c r="A219" s="220" t="str">
        <f>"      "&amp;Labels!C384</f>
        <v xml:space="preserve">      Total</v>
      </c>
      <c r="B219" s="228">
        <f t="shared" ref="B219:T219" si="119">SUM(B190,B203)</f>
        <v>0</v>
      </c>
      <c r="C219" s="228">
        <f t="shared" si="119"/>
        <v>0</v>
      </c>
      <c r="D219" s="228">
        <f t="shared" si="119"/>
        <v>0</v>
      </c>
      <c r="E219" s="228">
        <f t="shared" si="119"/>
        <v>0</v>
      </c>
      <c r="F219" s="228">
        <f t="shared" si="119"/>
        <v>0</v>
      </c>
      <c r="G219" s="228">
        <f t="shared" si="119"/>
        <v>0</v>
      </c>
      <c r="H219" s="228">
        <f t="shared" si="119"/>
        <v>0</v>
      </c>
      <c r="I219" s="228">
        <f t="shared" si="119"/>
        <v>0</v>
      </c>
      <c r="J219" s="228">
        <f t="shared" si="119"/>
        <v>0</v>
      </c>
      <c r="K219" s="228">
        <f t="shared" si="119"/>
        <v>0</v>
      </c>
      <c r="L219" s="228">
        <f t="shared" si="119"/>
        <v>0</v>
      </c>
      <c r="M219" s="228">
        <f t="shared" si="119"/>
        <v>0</v>
      </c>
      <c r="N219" s="228">
        <f t="shared" si="119"/>
        <v>0</v>
      </c>
      <c r="O219" s="228">
        <f t="shared" si="119"/>
        <v>0</v>
      </c>
      <c r="P219" s="228">
        <f t="shared" si="119"/>
        <v>0</v>
      </c>
      <c r="Q219" s="228">
        <f t="shared" si="119"/>
        <v>0</v>
      </c>
      <c r="R219" s="228">
        <f t="shared" si="119"/>
        <v>0</v>
      </c>
      <c r="S219" s="228">
        <f t="shared" si="119"/>
        <v>0</v>
      </c>
      <c r="T219" s="281">
        <f t="shared" si="119"/>
        <v>0</v>
      </c>
    </row>
    <row r="220" spans="1:20" ht="12.75" customHeight="1" x14ac:dyDescent="0.2">
      <c r="A220" s="1" t="str">
        <f>"Untagged_Asset_Purch_4"</f>
        <v>Untagged_Asset_Purch_4</v>
      </c>
    </row>
    <row r="221" spans="1:20" ht="12.75" customHeight="1" x14ac:dyDescent="0.2">
      <c r="B221" s="9" t="str">
        <f>'(FnCalls 1)'!F40</f>
        <v>MMM 2009</v>
      </c>
      <c r="C221" s="10" t="str">
        <f>'(FnCalls 1)'!F41</f>
        <v>MMM 2010</v>
      </c>
      <c r="D221" s="10" t="str">
        <f>'(FnCalls 1)'!F42</f>
        <v>MMM 2010</v>
      </c>
      <c r="E221" s="10" t="str">
        <f>'(FnCalls 1)'!F43</f>
        <v>MMM 2010</v>
      </c>
      <c r="F221" s="10" t="str">
        <f>'(FnCalls 1)'!F44</f>
        <v>MMM 2010</v>
      </c>
      <c r="G221" s="10" t="str">
        <f>'(FnCalls 1)'!F45</f>
        <v>MMM 2010</v>
      </c>
      <c r="H221" s="10" t="str">
        <f>'(FnCalls 1)'!F46</f>
        <v>MMM 2010</v>
      </c>
      <c r="I221" s="10" t="str">
        <f>'(FnCalls 1)'!F47</f>
        <v>MMM 2010</v>
      </c>
      <c r="J221" s="10" t="str">
        <f>'(FnCalls 1)'!F48</f>
        <v>MMM 2010</v>
      </c>
      <c r="K221" s="10" t="str">
        <f>'(FnCalls 1)'!F49</f>
        <v>MMM 2010</v>
      </c>
      <c r="L221" s="10" t="str">
        <f>'(FnCalls 1)'!F50</f>
        <v>MMM 2010</v>
      </c>
      <c r="M221" s="10" t="str">
        <f>'(FnCalls 1)'!F51</f>
        <v>MMM 2010</v>
      </c>
      <c r="N221" s="10" t="str">
        <f>'(FnCalls 1)'!F52</f>
        <v>MMM 2010</v>
      </c>
      <c r="O221" s="10" t="str">
        <f>'(FnCalls 1)'!F53</f>
        <v>MMM 2011</v>
      </c>
      <c r="P221" s="10" t="str">
        <f>'(FnCalls 1)'!F54</f>
        <v>MMM 2011</v>
      </c>
      <c r="Q221" s="10" t="str">
        <f>'(FnCalls 1)'!F55</f>
        <v>MMM 2011</v>
      </c>
      <c r="R221" s="10" t="str">
        <f>'(FnCalls 1)'!F56</f>
        <v>MMM 2011</v>
      </c>
      <c r="S221" s="10" t="str">
        <f>'(FnCalls 1)'!F57</f>
        <v>MMM 2011</v>
      </c>
      <c r="T221" s="11" t="str">
        <f>'(FnCalls 1)'!F58</f>
        <v>MMM 2011</v>
      </c>
    </row>
    <row r="222" spans="1:20" ht="12.75" customHeight="1" x14ac:dyDescent="0.2">
      <c r="A222" s="182" t="str">
        <f>Labels!B408</f>
        <v>Furniture</v>
      </c>
      <c r="B222" s="183"/>
      <c r="C222" s="183"/>
      <c r="D222" s="183"/>
      <c r="E222" s="183"/>
      <c r="F222" s="183"/>
      <c r="G222" s="183"/>
      <c r="H222" s="183"/>
      <c r="I222" s="183"/>
      <c r="J222" s="183"/>
      <c r="K222" s="183"/>
      <c r="L222" s="183"/>
      <c r="M222" s="183"/>
      <c r="N222" s="183"/>
      <c r="O222" s="183"/>
      <c r="P222" s="183"/>
      <c r="Q222" s="183"/>
      <c r="R222" s="183"/>
      <c r="S222" s="183"/>
      <c r="T222" s="266"/>
    </row>
    <row r="223" spans="1:20" ht="12.75" customHeight="1" x14ac:dyDescent="0.2">
      <c r="A223" s="188" t="str">
        <f>"   "&amp;Labels!B381</f>
        <v xml:space="preserve">   Practice 1</v>
      </c>
      <c r="B223" s="196"/>
      <c r="C223" s="196"/>
      <c r="D223" s="196"/>
      <c r="E223" s="196"/>
      <c r="F223" s="196"/>
      <c r="G223" s="196"/>
      <c r="H223" s="196"/>
      <c r="I223" s="196"/>
      <c r="J223" s="196"/>
      <c r="K223" s="196"/>
      <c r="L223" s="196"/>
      <c r="M223" s="196"/>
      <c r="N223" s="196"/>
      <c r="O223" s="196"/>
      <c r="P223" s="196"/>
      <c r="Q223" s="196"/>
      <c r="R223" s="196"/>
      <c r="S223" s="196"/>
      <c r="T223" s="267"/>
    </row>
    <row r="224" spans="1:20" ht="12.75" customHeight="1" x14ac:dyDescent="0.2">
      <c r="A224" s="198" t="str">
        <f>"      "&amp;Labels!B385</f>
        <v xml:space="preserve">      Prof Level 1</v>
      </c>
      <c r="B224" s="226">
        <f>Inputs!F385*(0)</f>
        <v>0</v>
      </c>
      <c r="C224" s="226">
        <f>Inputs!F385*(0)</f>
        <v>0</v>
      </c>
      <c r="D224" s="226">
        <f>Inputs!F385*(-'GM CostSvcs'!B479)</f>
        <v>0</v>
      </c>
      <c r="E224" s="226">
        <f>Inputs!F385*(-'GM CostSvcs'!C479)</f>
        <v>0</v>
      </c>
      <c r="F224" s="226">
        <f>Inputs!F385*(-'GM CostSvcs'!D479)</f>
        <v>0</v>
      </c>
      <c r="G224" s="226">
        <f>Inputs!F385*(-'GM CostSvcs'!F479)</f>
        <v>0</v>
      </c>
      <c r="H224" s="226">
        <f>Inputs!F385*(-'GM CostSvcs'!G479)</f>
        <v>0</v>
      </c>
      <c r="I224" s="226">
        <f>Inputs!F385*(-'GM CostSvcs'!H479)</f>
        <v>0</v>
      </c>
      <c r="J224" s="226">
        <f>Inputs!F385*(-'GM CostSvcs'!J479)</f>
        <v>0</v>
      </c>
      <c r="K224" s="226">
        <f>Inputs!F385*(-'GM CostSvcs'!K479)</f>
        <v>0</v>
      </c>
      <c r="L224" s="226">
        <f>Inputs!F385*(-'GM CostSvcs'!L479)</f>
        <v>0</v>
      </c>
      <c r="M224" s="226">
        <f>Inputs!F385*(-'GM CostSvcs'!N479)</f>
        <v>0</v>
      </c>
      <c r="N224" s="226">
        <f>Inputs!F385*(-'GM CostSvcs'!O479)</f>
        <v>0</v>
      </c>
      <c r="O224" s="226">
        <f>Inputs!F385*(-'GM CostSvcs'!P479)</f>
        <v>0</v>
      </c>
      <c r="P224" s="226">
        <f>Inputs!F385*(-'GM CostSvcs'!R479)</f>
        <v>0</v>
      </c>
      <c r="Q224" s="226">
        <f>Inputs!F385*(-'GM CostSvcs'!S479)</f>
        <v>0</v>
      </c>
      <c r="R224" s="226">
        <f>Inputs!F385*(-'GM CostSvcs'!T479)</f>
        <v>0</v>
      </c>
      <c r="S224" s="226">
        <f>Inputs!F385*(-'GM CostSvcs'!V479)</f>
        <v>0</v>
      </c>
      <c r="T224" s="279">
        <f>Inputs!F385*(-'GM CostSvcs'!W479)</f>
        <v>0</v>
      </c>
    </row>
    <row r="225" spans="1:20" ht="12.75" customHeight="1" x14ac:dyDescent="0.2">
      <c r="A225" s="198" t="str">
        <f>"      "&amp;Labels!B386</f>
        <v xml:space="preserve">      Prof Level 2</v>
      </c>
      <c r="B225" s="226">
        <f>Inputs!F385*(0)</f>
        <v>0</v>
      </c>
      <c r="C225" s="226">
        <f>Inputs!F385*(0)</f>
        <v>0</v>
      </c>
      <c r="D225" s="226">
        <f>Inputs!F385*(-'GM CostSvcs'!B480)</f>
        <v>0</v>
      </c>
      <c r="E225" s="226">
        <f>Inputs!F385*(-'GM CostSvcs'!C480)</f>
        <v>0</v>
      </c>
      <c r="F225" s="226">
        <f>Inputs!F385*(-'GM CostSvcs'!D480)</f>
        <v>0</v>
      </c>
      <c r="G225" s="226">
        <f>Inputs!F385*(-'GM CostSvcs'!F480)</f>
        <v>0</v>
      </c>
      <c r="H225" s="226">
        <f>Inputs!F385*(-'GM CostSvcs'!G480)</f>
        <v>0</v>
      </c>
      <c r="I225" s="226">
        <f>Inputs!F385*(-'GM CostSvcs'!H480)</f>
        <v>0</v>
      </c>
      <c r="J225" s="226">
        <f>Inputs!F385*(-'GM CostSvcs'!J480)</f>
        <v>0</v>
      </c>
      <c r="K225" s="226">
        <f>Inputs!F385*(-'GM CostSvcs'!K480)</f>
        <v>0</v>
      </c>
      <c r="L225" s="226">
        <f>Inputs!F385*(-'GM CostSvcs'!L480)</f>
        <v>0</v>
      </c>
      <c r="M225" s="226">
        <f>Inputs!F385*(-'GM CostSvcs'!N480)</f>
        <v>0</v>
      </c>
      <c r="N225" s="226">
        <f>Inputs!F385*(-'GM CostSvcs'!O480)</f>
        <v>0</v>
      </c>
      <c r="O225" s="226">
        <f>Inputs!F385*(-'GM CostSvcs'!P480)</f>
        <v>0</v>
      </c>
      <c r="P225" s="226">
        <f>Inputs!F385*(-'GM CostSvcs'!R480)</f>
        <v>0</v>
      </c>
      <c r="Q225" s="226">
        <f>Inputs!F385*(-'GM CostSvcs'!S480)</f>
        <v>0</v>
      </c>
      <c r="R225" s="226">
        <f>Inputs!F385*(-'GM CostSvcs'!T480)</f>
        <v>0</v>
      </c>
      <c r="S225" s="226">
        <f>Inputs!F385*(-'GM CostSvcs'!V480)</f>
        <v>0</v>
      </c>
      <c r="T225" s="279">
        <f>Inputs!F385*(-'GM CostSvcs'!W480)</f>
        <v>0</v>
      </c>
    </row>
    <row r="226" spans="1:20" ht="12.75" customHeight="1" x14ac:dyDescent="0.2">
      <c r="A226" s="188" t="str">
        <f>"      "&amp;Labels!C384</f>
        <v xml:space="preserve">      Total</v>
      </c>
      <c r="B226" s="196">
        <f t="shared" ref="B226:T226" si="120">SUM(B224:B225)</f>
        <v>0</v>
      </c>
      <c r="C226" s="196">
        <f t="shared" si="120"/>
        <v>0</v>
      </c>
      <c r="D226" s="196">
        <f t="shared" si="120"/>
        <v>0</v>
      </c>
      <c r="E226" s="196">
        <f t="shared" si="120"/>
        <v>0</v>
      </c>
      <c r="F226" s="196">
        <f t="shared" si="120"/>
        <v>0</v>
      </c>
      <c r="G226" s="196">
        <f t="shared" si="120"/>
        <v>0</v>
      </c>
      <c r="H226" s="196">
        <f t="shared" si="120"/>
        <v>0</v>
      </c>
      <c r="I226" s="196">
        <f t="shared" si="120"/>
        <v>0</v>
      </c>
      <c r="J226" s="196">
        <f t="shared" si="120"/>
        <v>0</v>
      </c>
      <c r="K226" s="196">
        <f t="shared" si="120"/>
        <v>0</v>
      </c>
      <c r="L226" s="196">
        <f t="shared" si="120"/>
        <v>0</v>
      </c>
      <c r="M226" s="196">
        <f t="shared" si="120"/>
        <v>0</v>
      </c>
      <c r="N226" s="196">
        <f t="shared" si="120"/>
        <v>0</v>
      </c>
      <c r="O226" s="196">
        <f t="shared" si="120"/>
        <v>0</v>
      </c>
      <c r="P226" s="196">
        <f t="shared" si="120"/>
        <v>0</v>
      </c>
      <c r="Q226" s="196">
        <f t="shared" si="120"/>
        <v>0</v>
      </c>
      <c r="R226" s="196">
        <f t="shared" si="120"/>
        <v>0</v>
      </c>
      <c r="S226" s="196">
        <f t="shared" si="120"/>
        <v>0</v>
      </c>
      <c r="T226" s="267">
        <f t="shared" si="120"/>
        <v>0</v>
      </c>
    </row>
    <row r="227" spans="1:20" ht="12.75" customHeight="1" x14ac:dyDescent="0.2">
      <c r="A227" s="188" t="str">
        <f>"   "&amp;Labels!B382</f>
        <v xml:space="preserve">   Practice 2</v>
      </c>
      <c r="B227" s="196"/>
      <c r="C227" s="196"/>
      <c r="D227" s="196"/>
      <c r="E227" s="196"/>
      <c r="F227" s="196"/>
      <c r="G227" s="196"/>
      <c r="H227" s="196"/>
      <c r="I227" s="196"/>
      <c r="J227" s="196"/>
      <c r="K227" s="196"/>
      <c r="L227" s="196"/>
      <c r="M227" s="196"/>
      <c r="N227" s="196"/>
      <c r="O227" s="196"/>
      <c r="P227" s="196"/>
      <c r="Q227" s="196"/>
      <c r="R227" s="196"/>
      <c r="S227" s="196"/>
      <c r="T227" s="267"/>
    </row>
    <row r="228" spans="1:20" ht="12.75" customHeight="1" x14ac:dyDescent="0.2">
      <c r="A228" s="198" t="str">
        <f>"      "&amp;Labels!B385</f>
        <v xml:space="preserve">      Prof Level 1</v>
      </c>
      <c r="B228" s="226">
        <f>Inputs!F385*(0)</f>
        <v>0</v>
      </c>
      <c r="C228" s="226">
        <f>Inputs!F385*(0)</f>
        <v>0</v>
      </c>
      <c r="D228" s="226">
        <f>Inputs!F385*(-'GM CostSvcs'!B483)</f>
        <v>0</v>
      </c>
      <c r="E228" s="226">
        <f>Inputs!F385*(-'GM CostSvcs'!C483)</f>
        <v>0</v>
      </c>
      <c r="F228" s="226">
        <f>Inputs!F385*(-'GM CostSvcs'!D483)</f>
        <v>0</v>
      </c>
      <c r="G228" s="226">
        <f>Inputs!F385*(-'GM CostSvcs'!F483)</f>
        <v>0</v>
      </c>
      <c r="H228" s="226">
        <f>Inputs!F385*(-'GM CostSvcs'!G483)</f>
        <v>0</v>
      </c>
      <c r="I228" s="226">
        <f>Inputs!F385*(-'GM CostSvcs'!H483)</f>
        <v>0</v>
      </c>
      <c r="J228" s="226">
        <f>Inputs!F385*(-'GM CostSvcs'!J483)</f>
        <v>0</v>
      </c>
      <c r="K228" s="226">
        <f>Inputs!F385*(-'GM CostSvcs'!K483)</f>
        <v>0</v>
      </c>
      <c r="L228" s="226">
        <f>Inputs!F385*(-'GM CostSvcs'!L483)</f>
        <v>0</v>
      </c>
      <c r="M228" s="226">
        <f>Inputs!F385*(-'GM CostSvcs'!N483)</f>
        <v>0</v>
      </c>
      <c r="N228" s="226">
        <f>Inputs!F385*(-'GM CostSvcs'!O483)</f>
        <v>0</v>
      </c>
      <c r="O228" s="226">
        <f>Inputs!F385*(-'GM CostSvcs'!P483)</f>
        <v>0</v>
      </c>
      <c r="P228" s="226">
        <f>Inputs!F385*(-'GM CostSvcs'!R483)</f>
        <v>0</v>
      </c>
      <c r="Q228" s="226">
        <f>Inputs!F385*(-'GM CostSvcs'!S483)</f>
        <v>0</v>
      </c>
      <c r="R228" s="226">
        <f>Inputs!F385*(-'GM CostSvcs'!T483)</f>
        <v>0</v>
      </c>
      <c r="S228" s="226">
        <f>Inputs!F385*(-'GM CostSvcs'!V483)</f>
        <v>0</v>
      </c>
      <c r="T228" s="279">
        <f>Inputs!F385*(-'GM CostSvcs'!W483)</f>
        <v>0</v>
      </c>
    </row>
    <row r="229" spans="1:20" ht="12.75" customHeight="1" x14ac:dyDescent="0.2">
      <c r="A229" s="198" t="str">
        <f>"      "&amp;Labels!B386</f>
        <v xml:space="preserve">      Prof Level 2</v>
      </c>
      <c r="B229" s="226">
        <f>Inputs!F385*(0)</f>
        <v>0</v>
      </c>
      <c r="C229" s="226">
        <f>Inputs!F385*(0)</f>
        <v>0</v>
      </c>
      <c r="D229" s="226">
        <f>Inputs!F385*(-'GM CostSvcs'!B484)</f>
        <v>0</v>
      </c>
      <c r="E229" s="226">
        <f>Inputs!F385*(-'GM CostSvcs'!C484)</f>
        <v>0</v>
      </c>
      <c r="F229" s="226">
        <f>Inputs!F385*(-'GM CostSvcs'!D484)</f>
        <v>0</v>
      </c>
      <c r="G229" s="226">
        <f>Inputs!F385*(-'GM CostSvcs'!F484)</f>
        <v>0</v>
      </c>
      <c r="H229" s="226">
        <f>Inputs!F385*(-'GM CostSvcs'!G484)</f>
        <v>0</v>
      </c>
      <c r="I229" s="226">
        <f>Inputs!F385*(-'GM CostSvcs'!H484)</f>
        <v>0</v>
      </c>
      <c r="J229" s="226">
        <f>Inputs!F385*(-'GM CostSvcs'!J484)</f>
        <v>0</v>
      </c>
      <c r="K229" s="226">
        <f>Inputs!F385*(-'GM CostSvcs'!K484)</f>
        <v>0</v>
      </c>
      <c r="L229" s="226">
        <f>Inputs!F385*(-'GM CostSvcs'!L484)</f>
        <v>0</v>
      </c>
      <c r="M229" s="226">
        <f>Inputs!F385*(-'GM CostSvcs'!N484)</f>
        <v>0</v>
      </c>
      <c r="N229" s="226">
        <f>Inputs!F385*(-'GM CostSvcs'!O484)</f>
        <v>0</v>
      </c>
      <c r="O229" s="226">
        <f>Inputs!F385*(-'GM CostSvcs'!P484)</f>
        <v>0</v>
      </c>
      <c r="P229" s="226">
        <f>Inputs!F385*(-'GM CostSvcs'!R484)</f>
        <v>0</v>
      </c>
      <c r="Q229" s="226">
        <f>Inputs!F385*(-'GM CostSvcs'!S484)</f>
        <v>0</v>
      </c>
      <c r="R229" s="226">
        <f>Inputs!F385*(-'GM CostSvcs'!T484)</f>
        <v>0</v>
      </c>
      <c r="S229" s="226">
        <f>Inputs!F385*(-'GM CostSvcs'!V484)</f>
        <v>0</v>
      </c>
      <c r="T229" s="279">
        <f>Inputs!F385*(-'GM CostSvcs'!W484)</f>
        <v>0</v>
      </c>
    </row>
    <row r="230" spans="1:20" ht="12.75" customHeight="1" x14ac:dyDescent="0.2">
      <c r="A230" s="188" t="str">
        <f>"      "&amp;Labels!C384</f>
        <v xml:space="preserve">      Total</v>
      </c>
      <c r="B230" s="196">
        <f t="shared" ref="B230:T230" si="121">SUM(B228:B229)</f>
        <v>0</v>
      </c>
      <c r="C230" s="196">
        <f t="shared" si="121"/>
        <v>0</v>
      </c>
      <c r="D230" s="196">
        <f t="shared" si="121"/>
        <v>0</v>
      </c>
      <c r="E230" s="196">
        <f t="shared" si="121"/>
        <v>0</v>
      </c>
      <c r="F230" s="196">
        <f t="shared" si="121"/>
        <v>0</v>
      </c>
      <c r="G230" s="196">
        <f t="shared" si="121"/>
        <v>0</v>
      </c>
      <c r="H230" s="196">
        <f t="shared" si="121"/>
        <v>0</v>
      </c>
      <c r="I230" s="196">
        <f t="shared" si="121"/>
        <v>0</v>
      </c>
      <c r="J230" s="196">
        <f t="shared" si="121"/>
        <v>0</v>
      </c>
      <c r="K230" s="196">
        <f t="shared" si="121"/>
        <v>0</v>
      </c>
      <c r="L230" s="196">
        <f t="shared" si="121"/>
        <v>0</v>
      </c>
      <c r="M230" s="196">
        <f t="shared" si="121"/>
        <v>0</v>
      </c>
      <c r="N230" s="196">
        <f t="shared" si="121"/>
        <v>0</v>
      </c>
      <c r="O230" s="196">
        <f t="shared" si="121"/>
        <v>0</v>
      </c>
      <c r="P230" s="196">
        <f t="shared" si="121"/>
        <v>0</v>
      </c>
      <c r="Q230" s="196">
        <f t="shared" si="121"/>
        <v>0</v>
      </c>
      <c r="R230" s="196">
        <f t="shared" si="121"/>
        <v>0</v>
      </c>
      <c r="S230" s="196">
        <f t="shared" si="121"/>
        <v>0</v>
      </c>
      <c r="T230" s="267">
        <f t="shared" si="121"/>
        <v>0</v>
      </c>
    </row>
    <row r="231" spans="1:20" ht="12.75" customHeight="1" x14ac:dyDescent="0.2">
      <c r="A231" s="191" t="str">
        <f>"   "&amp;Labels!C380</f>
        <v xml:space="preserve">   Total</v>
      </c>
      <c r="B231" s="192">
        <f t="shared" ref="B231:T231" si="122">SUM(B226,B230)</f>
        <v>0</v>
      </c>
      <c r="C231" s="192">
        <f t="shared" si="122"/>
        <v>0</v>
      </c>
      <c r="D231" s="192">
        <f t="shared" si="122"/>
        <v>0</v>
      </c>
      <c r="E231" s="192">
        <f t="shared" si="122"/>
        <v>0</v>
      </c>
      <c r="F231" s="192">
        <f t="shared" si="122"/>
        <v>0</v>
      </c>
      <c r="G231" s="192">
        <f t="shared" si="122"/>
        <v>0</v>
      </c>
      <c r="H231" s="192">
        <f t="shared" si="122"/>
        <v>0</v>
      </c>
      <c r="I231" s="192">
        <f t="shared" si="122"/>
        <v>0</v>
      </c>
      <c r="J231" s="192">
        <f t="shared" si="122"/>
        <v>0</v>
      </c>
      <c r="K231" s="192">
        <f t="shared" si="122"/>
        <v>0</v>
      </c>
      <c r="L231" s="192">
        <f t="shared" si="122"/>
        <v>0</v>
      </c>
      <c r="M231" s="192">
        <f t="shared" si="122"/>
        <v>0</v>
      </c>
      <c r="N231" s="192">
        <f t="shared" si="122"/>
        <v>0</v>
      </c>
      <c r="O231" s="192">
        <f t="shared" si="122"/>
        <v>0</v>
      </c>
      <c r="P231" s="192">
        <f t="shared" si="122"/>
        <v>0</v>
      </c>
      <c r="Q231" s="192">
        <f t="shared" si="122"/>
        <v>0</v>
      </c>
      <c r="R231" s="192">
        <f t="shared" si="122"/>
        <v>0</v>
      </c>
      <c r="S231" s="192">
        <f t="shared" si="122"/>
        <v>0</v>
      </c>
      <c r="T231" s="280">
        <f t="shared" si="122"/>
        <v>0</v>
      </c>
    </row>
    <row r="232" spans="1:20" ht="12.75" customHeight="1" x14ac:dyDescent="0.2">
      <c r="A232" s="198" t="str">
        <f>"      "&amp;Labels!B385</f>
        <v xml:space="preserve">      Prof Level 1</v>
      </c>
      <c r="B232" s="226">
        <f t="shared" ref="B232:T232" si="123">SUM(B224,B228)</f>
        <v>0</v>
      </c>
      <c r="C232" s="226">
        <f t="shared" si="123"/>
        <v>0</v>
      </c>
      <c r="D232" s="226">
        <f t="shared" si="123"/>
        <v>0</v>
      </c>
      <c r="E232" s="226">
        <f t="shared" si="123"/>
        <v>0</v>
      </c>
      <c r="F232" s="226">
        <f t="shared" si="123"/>
        <v>0</v>
      </c>
      <c r="G232" s="226">
        <f t="shared" si="123"/>
        <v>0</v>
      </c>
      <c r="H232" s="226">
        <f t="shared" si="123"/>
        <v>0</v>
      </c>
      <c r="I232" s="226">
        <f t="shared" si="123"/>
        <v>0</v>
      </c>
      <c r="J232" s="226">
        <f t="shared" si="123"/>
        <v>0</v>
      </c>
      <c r="K232" s="226">
        <f t="shared" si="123"/>
        <v>0</v>
      </c>
      <c r="L232" s="226">
        <f t="shared" si="123"/>
        <v>0</v>
      </c>
      <c r="M232" s="226">
        <f t="shared" si="123"/>
        <v>0</v>
      </c>
      <c r="N232" s="226">
        <f t="shared" si="123"/>
        <v>0</v>
      </c>
      <c r="O232" s="226">
        <f t="shared" si="123"/>
        <v>0</v>
      </c>
      <c r="P232" s="226">
        <f t="shared" si="123"/>
        <v>0</v>
      </c>
      <c r="Q232" s="226">
        <f t="shared" si="123"/>
        <v>0</v>
      </c>
      <c r="R232" s="226">
        <f t="shared" si="123"/>
        <v>0</v>
      </c>
      <c r="S232" s="226">
        <f t="shared" si="123"/>
        <v>0</v>
      </c>
      <c r="T232" s="279">
        <f t="shared" si="123"/>
        <v>0</v>
      </c>
    </row>
    <row r="233" spans="1:20" ht="12.75" customHeight="1" x14ac:dyDescent="0.2">
      <c r="A233" s="198" t="str">
        <f>"      "&amp;Labels!B386</f>
        <v xml:space="preserve">      Prof Level 2</v>
      </c>
      <c r="B233" s="226">
        <f t="shared" ref="B233:T233" si="124">SUM(B225,B229)</f>
        <v>0</v>
      </c>
      <c r="C233" s="226">
        <f t="shared" si="124"/>
        <v>0</v>
      </c>
      <c r="D233" s="226">
        <f t="shared" si="124"/>
        <v>0</v>
      </c>
      <c r="E233" s="226">
        <f t="shared" si="124"/>
        <v>0</v>
      </c>
      <c r="F233" s="226">
        <f t="shared" si="124"/>
        <v>0</v>
      </c>
      <c r="G233" s="226">
        <f t="shared" si="124"/>
        <v>0</v>
      </c>
      <c r="H233" s="226">
        <f t="shared" si="124"/>
        <v>0</v>
      </c>
      <c r="I233" s="226">
        <f t="shared" si="124"/>
        <v>0</v>
      </c>
      <c r="J233" s="226">
        <f t="shared" si="124"/>
        <v>0</v>
      </c>
      <c r="K233" s="226">
        <f t="shared" si="124"/>
        <v>0</v>
      </c>
      <c r="L233" s="226">
        <f t="shared" si="124"/>
        <v>0</v>
      </c>
      <c r="M233" s="226">
        <f t="shared" si="124"/>
        <v>0</v>
      </c>
      <c r="N233" s="226">
        <f t="shared" si="124"/>
        <v>0</v>
      </c>
      <c r="O233" s="226">
        <f t="shared" si="124"/>
        <v>0</v>
      </c>
      <c r="P233" s="226">
        <f t="shared" si="124"/>
        <v>0</v>
      </c>
      <c r="Q233" s="226">
        <f t="shared" si="124"/>
        <v>0</v>
      </c>
      <c r="R233" s="226">
        <f t="shared" si="124"/>
        <v>0</v>
      </c>
      <c r="S233" s="226">
        <f t="shared" si="124"/>
        <v>0</v>
      </c>
      <c r="T233" s="279">
        <f t="shared" si="124"/>
        <v>0</v>
      </c>
    </row>
    <row r="234" spans="1:20" ht="12.75" customHeight="1" x14ac:dyDescent="0.2">
      <c r="A234" s="188" t="str">
        <f>"      "&amp;Labels!C384</f>
        <v xml:space="preserve">      Total</v>
      </c>
      <c r="B234" s="196">
        <f t="shared" ref="B234:T234" si="125">SUM(B226,B230)</f>
        <v>0</v>
      </c>
      <c r="C234" s="196">
        <f t="shared" si="125"/>
        <v>0</v>
      </c>
      <c r="D234" s="196">
        <f t="shared" si="125"/>
        <v>0</v>
      </c>
      <c r="E234" s="196">
        <f t="shared" si="125"/>
        <v>0</v>
      </c>
      <c r="F234" s="196">
        <f t="shared" si="125"/>
        <v>0</v>
      </c>
      <c r="G234" s="196">
        <f t="shared" si="125"/>
        <v>0</v>
      </c>
      <c r="H234" s="196">
        <f t="shared" si="125"/>
        <v>0</v>
      </c>
      <c r="I234" s="196">
        <f t="shared" si="125"/>
        <v>0</v>
      </c>
      <c r="J234" s="196">
        <f t="shared" si="125"/>
        <v>0</v>
      </c>
      <c r="K234" s="196">
        <f t="shared" si="125"/>
        <v>0</v>
      </c>
      <c r="L234" s="196">
        <f t="shared" si="125"/>
        <v>0</v>
      </c>
      <c r="M234" s="196">
        <f t="shared" si="125"/>
        <v>0</v>
      </c>
      <c r="N234" s="196">
        <f t="shared" si="125"/>
        <v>0</v>
      </c>
      <c r="O234" s="196">
        <f t="shared" si="125"/>
        <v>0</v>
      </c>
      <c r="P234" s="196">
        <f t="shared" si="125"/>
        <v>0</v>
      </c>
      <c r="Q234" s="196">
        <f t="shared" si="125"/>
        <v>0</v>
      </c>
      <c r="R234" s="196">
        <f t="shared" si="125"/>
        <v>0</v>
      </c>
      <c r="S234" s="196">
        <f t="shared" si="125"/>
        <v>0</v>
      </c>
      <c r="T234" s="267">
        <f t="shared" si="125"/>
        <v>0</v>
      </c>
    </row>
    <row r="235" spans="1:20" ht="12.75" customHeight="1" x14ac:dyDescent="0.2">
      <c r="A235" s="191" t="str">
        <f>Labels!B409</f>
        <v>Office Equip</v>
      </c>
      <c r="B235" s="192"/>
      <c r="C235" s="192"/>
      <c r="D235" s="192"/>
      <c r="E235" s="192"/>
      <c r="F235" s="192"/>
      <c r="G235" s="192"/>
      <c r="H235" s="192"/>
      <c r="I235" s="192"/>
      <c r="J235" s="192"/>
      <c r="K235" s="192"/>
      <c r="L235" s="192"/>
      <c r="M235" s="192"/>
      <c r="N235" s="192"/>
      <c r="O235" s="192"/>
      <c r="P235" s="192"/>
      <c r="Q235" s="192"/>
      <c r="R235" s="192"/>
      <c r="S235" s="192"/>
      <c r="T235" s="280"/>
    </row>
    <row r="236" spans="1:20" ht="12.75" customHeight="1" x14ac:dyDescent="0.2">
      <c r="A236" s="188" t="str">
        <f>"   "&amp;Labels!B381</f>
        <v xml:space="preserve">   Practice 1</v>
      </c>
      <c r="B236" s="196"/>
      <c r="C236" s="196"/>
      <c r="D236" s="196"/>
      <c r="E236" s="196"/>
      <c r="F236" s="196"/>
      <c r="G236" s="196"/>
      <c r="H236" s="196"/>
      <c r="I236" s="196"/>
      <c r="J236" s="196"/>
      <c r="K236" s="196"/>
      <c r="L236" s="196"/>
      <c r="M236" s="196"/>
      <c r="N236" s="196"/>
      <c r="O236" s="196"/>
      <c r="P236" s="196"/>
      <c r="Q236" s="196"/>
      <c r="R236" s="196"/>
      <c r="S236" s="196"/>
      <c r="T236" s="267"/>
    </row>
    <row r="237" spans="1:20" ht="12.75" customHeight="1" x14ac:dyDescent="0.2">
      <c r="A237" s="198" t="str">
        <f>"      "&amp;Labels!B385</f>
        <v xml:space="preserve">      Prof Level 1</v>
      </c>
      <c r="B237" s="226">
        <f>Inputs!G385*(0)</f>
        <v>0</v>
      </c>
      <c r="C237" s="226">
        <f>Inputs!G385*(0)</f>
        <v>0</v>
      </c>
      <c r="D237" s="226">
        <f>Inputs!G385*(-'GM CostSvcs'!B479)</f>
        <v>0</v>
      </c>
      <c r="E237" s="226">
        <f>Inputs!G385*(-'GM CostSvcs'!C479)</f>
        <v>0</v>
      </c>
      <c r="F237" s="226">
        <f>Inputs!G385*(-'GM CostSvcs'!D479)</f>
        <v>0</v>
      </c>
      <c r="G237" s="226">
        <f>Inputs!G385*(-'GM CostSvcs'!F479)</f>
        <v>0</v>
      </c>
      <c r="H237" s="226">
        <f>Inputs!G385*(-'GM CostSvcs'!G479)</f>
        <v>0</v>
      </c>
      <c r="I237" s="226">
        <f>Inputs!G385*(-'GM CostSvcs'!H479)</f>
        <v>0</v>
      </c>
      <c r="J237" s="226">
        <f>Inputs!G385*(-'GM CostSvcs'!J479)</f>
        <v>0</v>
      </c>
      <c r="K237" s="226">
        <f>Inputs!G385*(-'GM CostSvcs'!K479)</f>
        <v>0</v>
      </c>
      <c r="L237" s="226">
        <f>Inputs!G385*(-'GM CostSvcs'!L479)</f>
        <v>0</v>
      </c>
      <c r="M237" s="226">
        <f>Inputs!G385*(-'GM CostSvcs'!N479)</f>
        <v>0</v>
      </c>
      <c r="N237" s="226">
        <f>Inputs!G385*(-'GM CostSvcs'!O479)</f>
        <v>0</v>
      </c>
      <c r="O237" s="226">
        <f>Inputs!G385*(-'GM CostSvcs'!P479)</f>
        <v>0</v>
      </c>
      <c r="P237" s="226">
        <f>Inputs!G385*(-'GM CostSvcs'!R479)</f>
        <v>0</v>
      </c>
      <c r="Q237" s="226">
        <f>Inputs!G385*(-'GM CostSvcs'!S479)</f>
        <v>0</v>
      </c>
      <c r="R237" s="226">
        <f>Inputs!G385*(-'GM CostSvcs'!T479)</f>
        <v>0</v>
      </c>
      <c r="S237" s="226">
        <f>Inputs!G385*(-'GM CostSvcs'!V479)</f>
        <v>0</v>
      </c>
      <c r="T237" s="279">
        <f>Inputs!G385*(-'GM CostSvcs'!W479)</f>
        <v>0</v>
      </c>
    </row>
    <row r="238" spans="1:20" ht="12.75" customHeight="1" x14ac:dyDescent="0.2">
      <c r="A238" s="198" t="str">
        <f>"      "&amp;Labels!B386</f>
        <v xml:space="preserve">      Prof Level 2</v>
      </c>
      <c r="B238" s="226">
        <f>Inputs!G385*(0)</f>
        <v>0</v>
      </c>
      <c r="C238" s="226">
        <f>Inputs!G385*(0)</f>
        <v>0</v>
      </c>
      <c r="D238" s="226">
        <f>Inputs!G385*(-'GM CostSvcs'!B480)</f>
        <v>0</v>
      </c>
      <c r="E238" s="226">
        <f>Inputs!G385*(-'GM CostSvcs'!C480)</f>
        <v>0</v>
      </c>
      <c r="F238" s="226">
        <f>Inputs!G385*(-'GM CostSvcs'!D480)</f>
        <v>0</v>
      </c>
      <c r="G238" s="226">
        <f>Inputs!G385*(-'GM CostSvcs'!F480)</f>
        <v>0</v>
      </c>
      <c r="H238" s="226">
        <f>Inputs!G385*(-'GM CostSvcs'!G480)</f>
        <v>0</v>
      </c>
      <c r="I238" s="226">
        <f>Inputs!G385*(-'GM CostSvcs'!H480)</f>
        <v>0</v>
      </c>
      <c r="J238" s="226">
        <f>Inputs!G385*(-'GM CostSvcs'!J480)</f>
        <v>0</v>
      </c>
      <c r="K238" s="226">
        <f>Inputs!G385*(-'GM CostSvcs'!K480)</f>
        <v>0</v>
      </c>
      <c r="L238" s="226">
        <f>Inputs!G385*(-'GM CostSvcs'!L480)</f>
        <v>0</v>
      </c>
      <c r="M238" s="226">
        <f>Inputs!G385*(-'GM CostSvcs'!N480)</f>
        <v>0</v>
      </c>
      <c r="N238" s="226">
        <f>Inputs!G385*(-'GM CostSvcs'!O480)</f>
        <v>0</v>
      </c>
      <c r="O238" s="226">
        <f>Inputs!G385*(-'GM CostSvcs'!P480)</f>
        <v>0</v>
      </c>
      <c r="P238" s="226">
        <f>Inputs!G385*(-'GM CostSvcs'!R480)</f>
        <v>0</v>
      </c>
      <c r="Q238" s="226">
        <f>Inputs!G385*(-'GM CostSvcs'!S480)</f>
        <v>0</v>
      </c>
      <c r="R238" s="226">
        <f>Inputs!G385*(-'GM CostSvcs'!T480)</f>
        <v>0</v>
      </c>
      <c r="S238" s="226">
        <f>Inputs!G385*(-'GM CostSvcs'!V480)</f>
        <v>0</v>
      </c>
      <c r="T238" s="279">
        <f>Inputs!G385*(-'GM CostSvcs'!W480)</f>
        <v>0</v>
      </c>
    </row>
    <row r="239" spans="1:20" ht="12.75" customHeight="1" x14ac:dyDescent="0.2">
      <c r="A239" s="188" t="str">
        <f>"      "&amp;Labels!C384</f>
        <v xml:space="preserve">      Total</v>
      </c>
      <c r="B239" s="196">
        <f t="shared" ref="B239:T239" si="126">SUM(B237:B238)</f>
        <v>0</v>
      </c>
      <c r="C239" s="196">
        <f t="shared" si="126"/>
        <v>0</v>
      </c>
      <c r="D239" s="196">
        <f t="shared" si="126"/>
        <v>0</v>
      </c>
      <c r="E239" s="196">
        <f t="shared" si="126"/>
        <v>0</v>
      </c>
      <c r="F239" s="196">
        <f t="shared" si="126"/>
        <v>0</v>
      </c>
      <c r="G239" s="196">
        <f t="shared" si="126"/>
        <v>0</v>
      </c>
      <c r="H239" s="196">
        <f t="shared" si="126"/>
        <v>0</v>
      </c>
      <c r="I239" s="196">
        <f t="shared" si="126"/>
        <v>0</v>
      </c>
      <c r="J239" s="196">
        <f t="shared" si="126"/>
        <v>0</v>
      </c>
      <c r="K239" s="196">
        <f t="shared" si="126"/>
        <v>0</v>
      </c>
      <c r="L239" s="196">
        <f t="shared" si="126"/>
        <v>0</v>
      </c>
      <c r="M239" s="196">
        <f t="shared" si="126"/>
        <v>0</v>
      </c>
      <c r="N239" s="196">
        <f t="shared" si="126"/>
        <v>0</v>
      </c>
      <c r="O239" s="196">
        <f t="shared" si="126"/>
        <v>0</v>
      </c>
      <c r="P239" s="196">
        <f t="shared" si="126"/>
        <v>0</v>
      </c>
      <c r="Q239" s="196">
        <f t="shared" si="126"/>
        <v>0</v>
      </c>
      <c r="R239" s="196">
        <f t="shared" si="126"/>
        <v>0</v>
      </c>
      <c r="S239" s="196">
        <f t="shared" si="126"/>
        <v>0</v>
      </c>
      <c r="T239" s="267">
        <f t="shared" si="126"/>
        <v>0</v>
      </c>
    </row>
    <row r="240" spans="1:20" ht="12.75" customHeight="1" x14ac:dyDescent="0.2">
      <c r="A240" s="188" t="str">
        <f>"   "&amp;Labels!B382</f>
        <v xml:space="preserve">   Practice 2</v>
      </c>
      <c r="B240" s="196"/>
      <c r="C240" s="196"/>
      <c r="D240" s="196"/>
      <c r="E240" s="196"/>
      <c r="F240" s="196"/>
      <c r="G240" s="196"/>
      <c r="H240" s="196"/>
      <c r="I240" s="196"/>
      <c r="J240" s="196"/>
      <c r="K240" s="196"/>
      <c r="L240" s="196"/>
      <c r="M240" s="196"/>
      <c r="N240" s="196"/>
      <c r="O240" s="196"/>
      <c r="P240" s="196"/>
      <c r="Q240" s="196"/>
      <c r="R240" s="196"/>
      <c r="S240" s="196"/>
      <c r="T240" s="267"/>
    </row>
    <row r="241" spans="1:20" ht="12.75" customHeight="1" x14ac:dyDescent="0.2">
      <c r="A241" s="198" t="str">
        <f>"      "&amp;Labels!B385</f>
        <v xml:space="preserve">      Prof Level 1</v>
      </c>
      <c r="B241" s="226">
        <f>Inputs!G385*(0)</f>
        <v>0</v>
      </c>
      <c r="C241" s="226">
        <f>Inputs!G385*(0)</f>
        <v>0</v>
      </c>
      <c r="D241" s="226">
        <f>Inputs!G385*(-'GM CostSvcs'!B483)</f>
        <v>0</v>
      </c>
      <c r="E241" s="226">
        <f>Inputs!G385*(-'GM CostSvcs'!C483)</f>
        <v>0</v>
      </c>
      <c r="F241" s="226">
        <f>Inputs!G385*(-'GM CostSvcs'!D483)</f>
        <v>0</v>
      </c>
      <c r="G241" s="226">
        <f>Inputs!G385*(-'GM CostSvcs'!F483)</f>
        <v>0</v>
      </c>
      <c r="H241" s="226">
        <f>Inputs!G385*(-'GM CostSvcs'!G483)</f>
        <v>0</v>
      </c>
      <c r="I241" s="226">
        <f>Inputs!G385*(-'GM CostSvcs'!H483)</f>
        <v>0</v>
      </c>
      <c r="J241" s="226">
        <f>Inputs!G385*(-'GM CostSvcs'!J483)</f>
        <v>0</v>
      </c>
      <c r="K241" s="226">
        <f>Inputs!G385*(-'GM CostSvcs'!K483)</f>
        <v>0</v>
      </c>
      <c r="L241" s="226">
        <f>Inputs!G385*(-'GM CostSvcs'!L483)</f>
        <v>0</v>
      </c>
      <c r="M241" s="226">
        <f>Inputs!G385*(-'GM CostSvcs'!N483)</f>
        <v>0</v>
      </c>
      <c r="N241" s="226">
        <f>Inputs!G385*(-'GM CostSvcs'!O483)</f>
        <v>0</v>
      </c>
      <c r="O241" s="226">
        <f>Inputs!G385*(-'GM CostSvcs'!P483)</f>
        <v>0</v>
      </c>
      <c r="P241" s="226">
        <f>Inputs!G385*(-'GM CostSvcs'!R483)</f>
        <v>0</v>
      </c>
      <c r="Q241" s="226">
        <f>Inputs!G385*(-'GM CostSvcs'!S483)</f>
        <v>0</v>
      </c>
      <c r="R241" s="226">
        <f>Inputs!G385*(-'GM CostSvcs'!T483)</f>
        <v>0</v>
      </c>
      <c r="S241" s="226">
        <f>Inputs!G385*(-'GM CostSvcs'!V483)</f>
        <v>0</v>
      </c>
      <c r="T241" s="279">
        <f>Inputs!G385*(-'GM CostSvcs'!W483)</f>
        <v>0</v>
      </c>
    </row>
    <row r="242" spans="1:20" ht="12.75" customHeight="1" x14ac:dyDescent="0.2">
      <c r="A242" s="198" t="str">
        <f>"      "&amp;Labels!B386</f>
        <v xml:space="preserve">      Prof Level 2</v>
      </c>
      <c r="B242" s="226">
        <f>Inputs!G385*(0)</f>
        <v>0</v>
      </c>
      <c r="C242" s="226">
        <f>Inputs!G385*(0)</f>
        <v>0</v>
      </c>
      <c r="D242" s="226">
        <f>Inputs!G385*(-'GM CostSvcs'!B484)</f>
        <v>0</v>
      </c>
      <c r="E242" s="226">
        <f>Inputs!G385*(-'GM CostSvcs'!C484)</f>
        <v>0</v>
      </c>
      <c r="F242" s="226">
        <f>Inputs!G385*(-'GM CostSvcs'!D484)</f>
        <v>0</v>
      </c>
      <c r="G242" s="226">
        <f>Inputs!G385*(-'GM CostSvcs'!F484)</f>
        <v>0</v>
      </c>
      <c r="H242" s="226">
        <f>Inputs!G385*(-'GM CostSvcs'!G484)</f>
        <v>0</v>
      </c>
      <c r="I242" s="226">
        <f>Inputs!G385*(-'GM CostSvcs'!H484)</f>
        <v>0</v>
      </c>
      <c r="J242" s="226">
        <f>Inputs!G385*(-'GM CostSvcs'!J484)</f>
        <v>0</v>
      </c>
      <c r="K242" s="226">
        <f>Inputs!G385*(-'GM CostSvcs'!K484)</f>
        <v>0</v>
      </c>
      <c r="L242" s="226">
        <f>Inputs!G385*(-'GM CostSvcs'!L484)</f>
        <v>0</v>
      </c>
      <c r="M242" s="226">
        <f>Inputs!G385*(-'GM CostSvcs'!N484)</f>
        <v>0</v>
      </c>
      <c r="N242" s="226">
        <f>Inputs!G385*(-'GM CostSvcs'!O484)</f>
        <v>0</v>
      </c>
      <c r="O242" s="226">
        <f>Inputs!G385*(-'GM CostSvcs'!P484)</f>
        <v>0</v>
      </c>
      <c r="P242" s="226">
        <f>Inputs!G385*(-'GM CostSvcs'!R484)</f>
        <v>0</v>
      </c>
      <c r="Q242" s="226">
        <f>Inputs!G385*(-'GM CostSvcs'!S484)</f>
        <v>0</v>
      </c>
      <c r="R242" s="226">
        <f>Inputs!G385*(-'GM CostSvcs'!T484)</f>
        <v>0</v>
      </c>
      <c r="S242" s="226">
        <f>Inputs!G385*(-'GM CostSvcs'!V484)</f>
        <v>0</v>
      </c>
      <c r="T242" s="279">
        <f>Inputs!G385*(-'GM CostSvcs'!W484)</f>
        <v>0</v>
      </c>
    </row>
    <row r="243" spans="1:20" ht="12.75" customHeight="1" x14ac:dyDescent="0.2">
      <c r="A243" s="188" t="str">
        <f>"      "&amp;Labels!C384</f>
        <v xml:space="preserve">      Total</v>
      </c>
      <c r="B243" s="196">
        <f t="shared" ref="B243:T243" si="127">SUM(B241:B242)</f>
        <v>0</v>
      </c>
      <c r="C243" s="196">
        <f t="shared" si="127"/>
        <v>0</v>
      </c>
      <c r="D243" s="196">
        <f t="shared" si="127"/>
        <v>0</v>
      </c>
      <c r="E243" s="196">
        <f t="shared" si="127"/>
        <v>0</v>
      </c>
      <c r="F243" s="196">
        <f t="shared" si="127"/>
        <v>0</v>
      </c>
      <c r="G243" s="196">
        <f t="shared" si="127"/>
        <v>0</v>
      </c>
      <c r="H243" s="196">
        <f t="shared" si="127"/>
        <v>0</v>
      </c>
      <c r="I243" s="196">
        <f t="shared" si="127"/>
        <v>0</v>
      </c>
      <c r="J243" s="196">
        <f t="shared" si="127"/>
        <v>0</v>
      </c>
      <c r="K243" s="196">
        <f t="shared" si="127"/>
        <v>0</v>
      </c>
      <c r="L243" s="196">
        <f t="shared" si="127"/>
        <v>0</v>
      </c>
      <c r="M243" s="196">
        <f t="shared" si="127"/>
        <v>0</v>
      </c>
      <c r="N243" s="196">
        <f t="shared" si="127"/>
        <v>0</v>
      </c>
      <c r="O243" s="196">
        <f t="shared" si="127"/>
        <v>0</v>
      </c>
      <c r="P243" s="196">
        <f t="shared" si="127"/>
        <v>0</v>
      </c>
      <c r="Q243" s="196">
        <f t="shared" si="127"/>
        <v>0</v>
      </c>
      <c r="R243" s="196">
        <f t="shared" si="127"/>
        <v>0</v>
      </c>
      <c r="S243" s="196">
        <f t="shared" si="127"/>
        <v>0</v>
      </c>
      <c r="T243" s="267">
        <f t="shared" si="127"/>
        <v>0</v>
      </c>
    </row>
    <row r="244" spans="1:20" ht="12.75" customHeight="1" x14ac:dyDescent="0.2">
      <c r="A244" s="191" t="str">
        <f>"   "&amp;Labels!C380</f>
        <v xml:space="preserve">   Total</v>
      </c>
      <c r="B244" s="192">
        <f t="shared" ref="B244:T244" si="128">SUM(B239,B243)</f>
        <v>0</v>
      </c>
      <c r="C244" s="192">
        <f t="shared" si="128"/>
        <v>0</v>
      </c>
      <c r="D244" s="192">
        <f t="shared" si="128"/>
        <v>0</v>
      </c>
      <c r="E244" s="192">
        <f t="shared" si="128"/>
        <v>0</v>
      </c>
      <c r="F244" s="192">
        <f t="shared" si="128"/>
        <v>0</v>
      </c>
      <c r="G244" s="192">
        <f t="shared" si="128"/>
        <v>0</v>
      </c>
      <c r="H244" s="192">
        <f t="shared" si="128"/>
        <v>0</v>
      </c>
      <c r="I244" s="192">
        <f t="shared" si="128"/>
        <v>0</v>
      </c>
      <c r="J244" s="192">
        <f t="shared" si="128"/>
        <v>0</v>
      </c>
      <c r="K244" s="192">
        <f t="shared" si="128"/>
        <v>0</v>
      </c>
      <c r="L244" s="192">
        <f t="shared" si="128"/>
        <v>0</v>
      </c>
      <c r="M244" s="192">
        <f t="shared" si="128"/>
        <v>0</v>
      </c>
      <c r="N244" s="192">
        <f t="shared" si="128"/>
        <v>0</v>
      </c>
      <c r="O244" s="192">
        <f t="shared" si="128"/>
        <v>0</v>
      </c>
      <c r="P244" s="192">
        <f t="shared" si="128"/>
        <v>0</v>
      </c>
      <c r="Q244" s="192">
        <f t="shared" si="128"/>
        <v>0</v>
      </c>
      <c r="R244" s="192">
        <f t="shared" si="128"/>
        <v>0</v>
      </c>
      <c r="S244" s="192">
        <f t="shared" si="128"/>
        <v>0</v>
      </c>
      <c r="T244" s="280">
        <f t="shared" si="128"/>
        <v>0</v>
      </c>
    </row>
    <row r="245" spans="1:20" ht="12.75" customHeight="1" x14ac:dyDescent="0.2">
      <c r="A245" s="198" t="str">
        <f>"      "&amp;Labels!B385</f>
        <v xml:space="preserve">      Prof Level 1</v>
      </c>
      <c r="B245" s="226">
        <f t="shared" ref="B245:T245" si="129">SUM(B237,B241)</f>
        <v>0</v>
      </c>
      <c r="C245" s="226">
        <f t="shared" si="129"/>
        <v>0</v>
      </c>
      <c r="D245" s="226">
        <f t="shared" si="129"/>
        <v>0</v>
      </c>
      <c r="E245" s="226">
        <f t="shared" si="129"/>
        <v>0</v>
      </c>
      <c r="F245" s="226">
        <f t="shared" si="129"/>
        <v>0</v>
      </c>
      <c r="G245" s="226">
        <f t="shared" si="129"/>
        <v>0</v>
      </c>
      <c r="H245" s="226">
        <f t="shared" si="129"/>
        <v>0</v>
      </c>
      <c r="I245" s="226">
        <f t="shared" si="129"/>
        <v>0</v>
      </c>
      <c r="J245" s="226">
        <f t="shared" si="129"/>
        <v>0</v>
      </c>
      <c r="K245" s="226">
        <f t="shared" si="129"/>
        <v>0</v>
      </c>
      <c r="L245" s="226">
        <f t="shared" si="129"/>
        <v>0</v>
      </c>
      <c r="M245" s="226">
        <f t="shared" si="129"/>
        <v>0</v>
      </c>
      <c r="N245" s="226">
        <f t="shared" si="129"/>
        <v>0</v>
      </c>
      <c r="O245" s="226">
        <f t="shared" si="129"/>
        <v>0</v>
      </c>
      <c r="P245" s="226">
        <f t="shared" si="129"/>
        <v>0</v>
      </c>
      <c r="Q245" s="226">
        <f t="shared" si="129"/>
        <v>0</v>
      </c>
      <c r="R245" s="226">
        <f t="shared" si="129"/>
        <v>0</v>
      </c>
      <c r="S245" s="226">
        <f t="shared" si="129"/>
        <v>0</v>
      </c>
      <c r="T245" s="279">
        <f t="shared" si="129"/>
        <v>0</v>
      </c>
    </row>
    <row r="246" spans="1:20" ht="12.75" customHeight="1" x14ac:dyDescent="0.2">
      <c r="A246" s="198" t="str">
        <f>"      "&amp;Labels!B386</f>
        <v xml:space="preserve">      Prof Level 2</v>
      </c>
      <c r="B246" s="226">
        <f t="shared" ref="B246:T246" si="130">SUM(B238,B242)</f>
        <v>0</v>
      </c>
      <c r="C246" s="226">
        <f t="shared" si="130"/>
        <v>0</v>
      </c>
      <c r="D246" s="226">
        <f t="shared" si="130"/>
        <v>0</v>
      </c>
      <c r="E246" s="226">
        <f t="shared" si="130"/>
        <v>0</v>
      </c>
      <c r="F246" s="226">
        <f t="shared" si="130"/>
        <v>0</v>
      </c>
      <c r="G246" s="226">
        <f t="shared" si="130"/>
        <v>0</v>
      </c>
      <c r="H246" s="226">
        <f t="shared" si="130"/>
        <v>0</v>
      </c>
      <c r="I246" s="226">
        <f t="shared" si="130"/>
        <v>0</v>
      </c>
      <c r="J246" s="226">
        <f t="shared" si="130"/>
        <v>0</v>
      </c>
      <c r="K246" s="226">
        <f t="shared" si="130"/>
        <v>0</v>
      </c>
      <c r="L246" s="226">
        <f t="shared" si="130"/>
        <v>0</v>
      </c>
      <c r="M246" s="226">
        <f t="shared" si="130"/>
        <v>0</v>
      </c>
      <c r="N246" s="226">
        <f t="shared" si="130"/>
        <v>0</v>
      </c>
      <c r="O246" s="226">
        <f t="shared" si="130"/>
        <v>0</v>
      </c>
      <c r="P246" s="226">
        <f t="shared" si="130"/>
        <v>0</v>
      </c>
      <c r="Q246" s="226">
        <f t="shared" si="130"/>
        <v>0</v>
      </c>
      <c r="R246" s="226">
        <f t="shared" si="130"/>
        <v>0</v>
      </c>
      <c r="S246" s="226">
        <f t="shared" si="130"/>
        <v>0</v>
      </c>
      <c r="T246" s="279">
        <f t="shared" si="130"/>
        <v>0</v>
      </c>
    </row>
    <row r="247" spans="1:20" ht="12.75" customHeight="1" x14ac:dyDescent="0.2">
      <c r="A247" s="188" t="str">
        <f>"      "&amp;Labels!C384</f>
        <v xml:space="preserve">      Total</v>
      </c>
      <c r="B247" s="196">
        <f t="shared" ref="B247:T247" si="131">SUM(B239,B243)</f>
        <v>0</v>
      </c>
      <c r="C247" s="196">
        <f t="shared" si="131"/>
        <v>0</v>
      </c>
      <c r="D247" s="196">
        <f t="shared" si="131"/>
        <v>0</v>
      </c>
      <c r="E247" s="196">
        <f t="shared" si="131"/>
        <v>0</v>
      </c>
      <c r="F247" s="196">
        <f t="shared" si="131"/>
        <v>0</v>
      </c>
      <c r="G247" s="196">
        <f t="shared" si="131"/>
        <v>0</v>
      </c>
      <c r="H247" s="196">
        <f t="shared" si="131"/>
        <v>0</v>
      </c>
      <c r="I247" s="196">
        <f t="shared" si="131"/>
        <v>0</v>
      </c>
      <c r="J247" s="196">
        <f t="shared" si="131"/>
        <v>0</v>
      </c>
      <c r="K247" s="196">
        <f t="shared" si="131"/>
        <v>0</v>
      </c>
      <c r="L247" s="196">
        <f t="shared" si="131"/>
        <v>0</v>
      </c>
      <c r="M247" s="196">
        <f t="shared" si="131"/>
        <v>0</v>
      </c>
      <c r="N247" s="196">
        <f t="shared" si="131"/>
        <v>0</v>
      </c>
      <c r="O247" s="196">
        <f t="shared" si="131"/>
        <v>0</v>
      </c>
      <c r="P247" s="196">
        <f t="shared" si="131"/>
        <v>0</v>
      </c>
      <c r="Q247" s="196">
        <f t="shared" si="131"/>
        <v>0</v>
      </c>
      <c r="R247" s="196">
        <f t="shared" si="131"/>
        <v>0</v>
      </c>
      <c r="S247" s="196">
        <f t="shared" si="131"/>
        <v>0</v>
      </c>
      <c r="T247" s="267">
        <f t="shared" si="131"/>
        <v>0</v>
      </c>
    </row>
    <row r="248" spans="1:20" ht="12.75" customHeight="1" x14ac:dyDescent="0.2">
      <c r="A248" s="97" t="str">
        <f>Labels!C407</f>
        <v>Total</v>
      </c>
      <c r="B248" s="194">
        <f t="shared" ref="B248:T248" si="132">SUM(B231,B244)</f>
        <v>0</v>
      </c>
      <c r="C248" s="194">
        <f t="shared" si="132"/>
        <v>0</v>
      </c>
      <c r="D248" s="194">
        <f t="shared" si="132"/>
        <v>0</v>
      </c>
      <c r="E248" s="194">
        <f t="shared" si="132"/>
        <v>0</v>
      </c>
      <c r="F248" s="194">
        <f t="shared" si="132"/>
        <v>0</v>
      </c>
      <c r="G248" s="194">
        <f t="shared" si="132"/>
        <v>0</v>
      </c>
      <c r="H248" s="194">
        <f t="shared" si="132"/>
        <v>0</v>
      </c>
      <c r="I248" s="194">
        <f t="shared" si="132"/>
        <v>0</v>
      </c>
      <c r="J248" s="194">
        <f t="shared" si="132"/>
        <v>0</v>
      </c>
      <c r="K248" s="194">
        <f t="shared" si="132"/>
        <v>0</v>
      </c>
      <c r="L248" s="194">
        <f t="shared" si="132"/>
        <v>0</v>
      </c>
      <c r="M248" s="194">
        <f t="shared" si="132"/>
        <v>0</v>
      </c>
      <c r="N248" s="194">
        <f t="shared" si="132"/>
        <v>0</v>
      </c>
      <c r="O248" s="194">
        <f t="shared" si="132"/>
        <v>0</v>
      </c>
      <c r="P248" s="194">
        <f t="shared" si="132"/>
        <v>0</v>
      </c>
      <c r="Q248" s="194">
        <f t="shared" si="132"/>
        <v>0</v>
      </c>
      <c r="R248" s="194">
        <f t="shared" si="132"/>
        <v>0</v>
      </c>
      <c r="S248" s="194">
        <f t="shared" si="132"/>
        <v>0</v>
      </c>
      <c r="T248" s="351">
        <f t="shared" si="132"/>
        <v>0</v>
      </c>
    </row>
    <row r="249" spans="1:20" ht="12.75" customHeight="1" x14ac:dyDescent="0.2">
      <c r="A249" s="188" t="str">
        <f>"   "&amp;Labels!B381</f>
        <v xml:space="preserve">   Practice 1</v>
      </c>
      <c r="B249" s="196"/>
      <c r="C249" s="196"/>
      <c r="D249" s="196"/>
      <c r="E249" s="196"/>
      <c r="F249" s="196"/>
      <c r="G249" s="196"/>
      <c r="H249" s="196"/>
      <c r="I249" s="196"/>
      <c r="J249" s="196"/>
      <c r="K249" s="196"/>
      <c r="L249" s="196"/>
      <c r="M249" s="196"/>
      <c r="N249" s="196"/>
      <c r="O249" s="196"/>
      <c r="P249" s="196"/>
      <c r="Q249" s="196"/>
      <c r="R249" s="196"/>
      <c r="S249" s="196"/>
      <c r="T249" s="267"/>
    </row>
    <row r="250" spans="1:20" ht="12.75" customHeight="1" x14ac:dyDescent="0.2">
      <c r="A250" s="198" t="str">
        <f>"      "&amp;Labels!B385</f>
        <v xml:space="preserve">      Prof Level 1</v>
      </c>
      <c r="B250" s="226">
        <f t="shared" ref="B250:T250" si="133">SUM(B224,B237)</f>
        <v>0</v>
      </c>
      <c r="C250" s="226">
        <f t="shared" si="133"/>
        <v>0</v>
      </c>
      <c r="D250" s="226">
        <f t="shared" si="133"/>
        <v>0</v>
      </c>
      <c r="E250" s="226">
        <f t="shared" si="133"/>
        <v>0</v>
      </c>
      <c r="F250" s="226">
        <f t="shared" si="133"/>
        <v>0</v>
      </c>
      <c r="G250" s="226">
        <f t="shared" si="133"/>
        <v>0</v>
      </c>
      <c r="H250" s="226">
        <f t="shared" si="133"/>
        <v>0</v>
      </c>
      <c r="I250" s="226">
        <f t="shared" si="133"/>
        <v>0</v>
      </c>
      <c r="J250" s="226">
        <f t="shared" si="133"/>
        <v>0</v>
      </c>
      <c r="K250" s="226">
        <f t="shared" si="133"/>
        <v>0</v>
      </c>
      <c r="L250" s="226">
        <f t="shared" si="133"/>
        <v>0</v>
      </c>
      <c r="M250" s="226">
        <f t="shared" si="133"/>
        <v>0</v>
      </c>
      <c r="N250" s="226">
        <f t="shared" si="133"/>
        <v>0</v>
      </c>
      <c r="O250" s="226">
        <f t="shared" si="133"/>
        <v>0</v>
      </c>
      <c r="P250" s="226">
        <f t="shared" si="133"/>
        <v>0</v>
      </c>
      <c r="Q250" s="226">
        <f t="shared" si="133"/>
        <v>0</v>
      </c>
      <c r="R250" s="226">
        <f t="shared" si="133"/>
        <v>0</v>
      </c>
      <c r="S250" s="226">
        <f t="shared" si="133"/>
        <v>0</v>
      </c>
      <c r="T250" s="279">
        <f t="shared" si="133"/>
        <v>0</v>
      </c>
    </row>
    <row r="251" spans="1:20" ht="12.75" customHeight="1" x14ac:dyDescent="0.2">
      <c r="A251" s="198" t="str">
        <f>"      "&amp;Labels!B386</f>
        <v xml:space="preserve">      Prof Level 2</v>
      </c>
      <c r="B251" s="226">
        <f t="shared" ref="B251:T251" si="134">SUM(B225,B238)</f>
        <v>0</v>
      </c>
      <c r="C251" s="226">
        <f t="shared" si="134"/>
        <v>0</v>
      </c>
      <c r="D251" s="226">
        <f t="shared" si="134"/>
        <v>0</v>
      </c>
      <c r="E251" s="226">
        <f t="shared" si="134"/>
        <v>0</v>
      </c>
      <c r="F251" s="226">
        <f t="shared" si="134"/>
        <v>0</v>
      </c>
      <c r="G251" s="226">
        <f t="shared" si="134"/>
        <v>0</v>
      </c>
      <c r="H251" s="226">
        <f t="shared" si="134"/>
        <v>0</v>
      </c>
      <c r="I251" s="226">
        <f t="shared" si="134"/>
        <v>0</v>
      </c>
      <c r="J251" s="226">
        <f t="shared" si="134"/>
        <v>0</v>
      </c>
      <c r="K251" s="226">
        <f t="shared" si="134"/>
        <v>0</v>
      </c>
      <c r="L251" s="226">
        <f t="shared" si="134"/>
        <v>0</v>
      </c>
      <c r="M251" s="226">
        <f t="shared" si="134"/>
        <v>0</v>
      </c>
      <c r="N251" s="226">
        <f t="shared" si="134"/>
        <v>0</v>
      </c>
      <c r="O251" s="226">
        <f t="shared" si="134"/>
        <v>0</v>
      </c>
      <c r="P251" s="226">
        <f t="shared" si="134"/>
        <v>0</v>
      </c>
      <c r="Q251" s="226">
        <f t="shared" si="134"/>
        <v>0</v>
      </c>
      <c r="R251" s="226">
        <f t="shared" si="134"/>
        <v>0</v>
      </c>
      <c r="S251" s="226">
        <f t="shared" si="134"/>
        <v>0</v>
      </c>
      <c r="T251" s="279">
        <f t="shared" si="134"/>
        <v>0</v>
      </c>
    </row>
    <row r="252" spans="1:20" ht="12.75" customHeight="1" x14ac:dyDescent="0.2">
      <c r="A252" s="188" t="str">
        <f>"      "&amp;Labels!C384</f>
        <v xml:space="preserve">      Total</v>
      </c>
      <c r="B252" s="196">
        <f t="shared" ref="B252:T252" si="135">SUM(B226,B239)</f>
        <v>0</v>
      </c>
      <c r="C252" s="196">
        <f t="shared" si="135"/>
        <v>0</v>
      </c>
      <c r="D252" s="196">
        <f t="shared" si="135"/>
        <v>0</v>
      </c>
      <c r="E252" s="196">
        <f t="shared" si="135"/>
        <v>0</v>
      </c>
      <c r="F252" s="196">
        <f t="shared" si="135"/>
        <v>0</v>
      </c>
      <c r="G252" s="196">
        <f t="shared" si="135"/>
        <v>0</v>
      </c>
      <c r="H252" s="196">
        <f t="shared" si="135"/>
        <v>0</v>
      </c>
      <c r="I252" s="196">
        <f t="shared" si="135"/>
        <v>0</v>
      </c>
      <c r="J252" s="196">
        <f t="shared" si="135"/>
        <v>0</v>
      </c>
      <c r="K252" s="196">
        <f t="shared" si="135"/>
        <v>0</v>
      </c>
      <c r="L252" s="196">
        <f t="shared" si="135"/>
        <v>0</v>
      </c>
      <c r="M252" s="196">
        <f t="shared" si="135"/>
        <v>0</v>
      </c>
      <c r="N252" s="196">
        <f t="shared" si="135"/>
        <v>0</v>
      </c>
      <c r="O252" s="196">
        <f t="shared" si="135"/>
        <v>0</v>
      </c>
      <c r="P252" s="196">
        <f t="shared" si="135"/>
        <v>0</v>
      </c>
      <c r="Q252" s="196">
        <f t="shared" si="135"/>
        <v>0</v>
      </c>
      <c r="R252" s="196">
        <f t="shared" si="135"/>
        <v>0</v>
      </c>
      <c r="S252" s="196">
        <f t="shared" si="135"/>
        <v>0</v>
      </c>
      <c r="T252" s="267">
        <f t="shared" si="135"/>
        <v>0</v>
      </c>
    </row>
    <row r="253" spans="1:20" ht="12.75" customHeight="1" x14ac:dyDescent="0.2">
      <c r="A253" s="188" t="str">
        <f>"   "&amp;Labels!B382</f>
        <v xml:space="preserve">   Practice 2</v>
      </c>
      <c r="B253" s="196"/>
      <c r="C253" s="196"/>
      <c r="D253" s="196"/>
      <c r="E253" s="196"/>
      <c r="F253" s="196"/>
      <c r="G253" s="196"/>
      <c r="H253" s="196"/>
      <c r="I253" s="196"/>
      <c r="J253" s="196"/>
      <c r="K253" s="196"/>
      <c r="L253" s="196"/>
      <c r="M253" s="196"/>
      <c r="N253" s="196"/>
      <c r="O253" s="196"/>
      <c r="P253" s="196"/>
      <c r="Q253" s="196"/>
      <c r="R253" s="196"/>
      <c r="S253" s="196"/>
      <c r="T253" s="267"/>
    </row>
    <row r="254" spans="1:20" ht="12.75" customHeight="1" x14ac:dyDescent="0.2">
      <c r="A254" s="198" t="str">
        <f>"      "&amp;Labels!B385</f>
        <v xml:space="preserve">      Prof Level 1</v>
      </c>
      <c r="B254" s="226">
        <f t="shared" ref="B254:T254" si="136">SUM(B228,B241)</f>
        <v>0</v>
      </c>
      <c r="C254" s="226">
        <f t="shared" si="136"/>
        <v>0</v>
      </c>
      <c r="D254" s="226">
        <f t="shared" si="136"/>
        <v>0</v>
      </c>
      <c r="E254" s="226">
        <f t="shared" si="136"/>
        <v>0</v>
      </c>
      <c r="F254" s="226">
        <f t="shared" si="136"/>
        <v>0</v>
      </c>
      <c r="G254" s="226">
        <f t="shared" si="136"/>
        <v>0</v>
      </c>
      <c r="H254" s="226">
        <f t="shared" si="136"/>
        <v>0</v>
      </c>
      <c r="I254" s="226">
        <f t="shared" si="136"/>
        <v>0</v>
      </c>
      <c r="J254" s="226">
        <f t="shared" si="136"/>
        <v>0</v>
      </c>
      <c r="K254" s="226">
        <f t="shared" si="136"/>
        <v>0</v>
      </c>
      <c r="L254" s="226">
        <f t="shared" si="136"/>
        <v>0</v>
      </c>
      <c r="M254" s="226">
        <f t="shared" si="136"/>
        <v>0</v>
      </c>
      <c r="N254" s="226">
        <f t="shared" si="136"/>
        <v>0</v>
      </c>
      <c r="O254" s="226">
        <f t="shared" si="136"/>
        <v>0</v>
      </c>
      <c r="P254" s="226">
        <f t="shared" si="136"/>
        <v>0</v>
      </c>
      <c r="Q254" s="226">
        <f t="shared" si="136"/>
        <v>0</v>
      </c>
      <c r="R254" s="226">
        <f t="shared" si="136"/>
        <v>0</v>
      </c>
      <c r="S254" s="226">
        <f t="shared" si="136"/>
        <v>0</v>
      </c>
      <c r="T254" s="279">
        <f t="shared" si="136"/>
        <v>0</v>
      </c>
    </row>
    <row r="255" spans="1:20" ht="12.75" customHeight="1" x14ac:dyDescent="0.2">
      <c r="A255" s="198" t="str">
        <f>"      "&amp;Labels!B386</f>
        <v xml:space="preserve">      Prof Level 2</v>
      </c>
      <c r="B255" s="226">
        <f t="shared" ref="B255:T255" si="137">SUM(B229,B242)</f>
        <v>0</v>
      </c>
      <c r="C255" s="226">
        <f t="shared" si="137"/>
        <v>0</v>
      </c>
      <c r="D255" s="226">
        <f t="shared" si="137"/>
        <v>0</v>
      </c>
      <c r="E255" s="226">
        <f t="shared" si="137"/>
        <v>0</v>
      </c>
      <c r="F255" s="226">
        <f t="shared" si="137"/>
        <v>0</v>
      </c>
      <c r="G255" s="226">
        <f t="shared" si="137"/>
        <v>0</v>
      </c>
      <c r="H255" s="226">
        <f t="shared" si="137"/>
        <v>0</v>
      </c>
      <c r="I255" s="226">
        <f t="shared" si="137"/>
        <v>0</v>
      </c>
      <c r="J255" s="226">
        <f t="shared" si="137"/>
        <v>0</v>
      </c>
      <c r="K255" s="226">
        <f t="shared" si="137"/>
        <v>0</v>
      </c>
      <c r="L255" s="226">
        <f t="shared" si="137"/>
        <v>0</v>
      </c>
      <c r="M255" s="226">
        <f t="shared" si="137"/>
        <v>0</v>
      </c>
      <c r="N255" s="226">
        <f t="shared" si="137"/>
        <v>0</v>
      </c>
      <c r="O255" s="226">
        <f t="shared" si="137"/>
        <v>0</v>
      </c>
      <c r="P255" s="226">
        <f t="shared" si="137"/>
        <v>0</v>
      </c>
      <c r="Q255" s="226">
        <f t="shared" si="137"/>
        <v>0</v>
      </c>
      <c r="R255" s="226">
        <f t="shared" si="137"/>
        <v>0</v>
      </c>
      <c r="S255" s="226">
        <f t="shared" si="137"/>
        <v>0</v>
      </c>
      <c r="T255" s="279">
        <f t="shared" si="137"/>
        <v>0</v>
      </c>
    </row>
    <row r="256" spans="1:20" ht="12.75" customHeight="1" x14ac:dyDescent="0.2">
      <c r="A256" s="188" t="str">
        <f>"      "&amp;Labels!C384</f>
        <v xml:space="preserve">      Total</v>
      </c>
      <c r="B256" s="196">
        <f t="shared" ref="B256:T256" si="138">SUM(B230,B243)</f>
        <v>0</v>
      </c>
      <c r="C256" s="196">
        <f t="shared" si="138"/>
        <v>0</v>
      </c>
      <c r="D256" s="196">
        <f t="shared" si="138"/>
        <v>0</v>
      </c>
      <c r="E256" s="196">
        <f t="shared" si="138"/>
        <v>0</v>
      </c>
      <c r="F256" s="196">
        <f t="shared" si="138"/>
        <v>0</v>
      </c>
      <c r="G256" s="196">
        <f t="shared" si="138"/>
        <v>0</v>
      </c>
      <c r="H256" s="196">
        <f t="shared" si="138"/>
        <v>0</v>
      </c>
      <c r="I256" s="196">
        <f t="shared" si="138"/>
        <v>0</v>
      </c>
      <c r="J256" s="196">
        <f t="shared" si="138"/>
        <v>0</v>
      </c>
      <c r="K256" s="196">
        <f t="shared" si="138"/>
        <v>0</v>
      </c>
      <c r="L256" s="196">
        <f t="shared" si="138"/>
        <v>0</v>
      </c>
      <c r="M256" s="196">
        <f t="shared" si="138"/>
        <v>0</v>
      </c>
      <c r="N256" s="196">
        <f t="shared" si="138"/>
        <v>0</v>
      </c>
      <c r="O256" s="196">
        <f t="shared" si="138"/>
        <v>0</v>
      </c>
      <c r="P256" s="196">
        <f t="shared" si="138"/>
        <v>0</v>
      </c>
      <c r="Q256" s="196">
        <f t="shared" si="138"/>
        <v>0</v>
      </c>
      <c r="R256" s="196">
        <f t="shared" si="138"/>
        <v>0</v>
      </c>
      <c r="S256" s="196">
        <f t="shared" si="138"/>
        <v>0</v>
      </c>
      <c r="T256" s="267">
        <f t="shared" si="138"/>
        <v>0</v>
      </c>
    </row>
    <row r="257" spans="1:20" ht="12.75" customHeight="1" x14ac:dyDescent="0.2">
      <c r="A257" s="191" t="str">
        <f>"   "&amp;Labels!C380</f>
        <v xml:space="preserve">   Total</v>
      </c>
      <c r="B257" s="192">
        <f t="shared" ref="B257:T257" si="139">SUM(B231,B244)</f>
        <v>0</v>
      </c>
      <c r="C257" s="192">
        <f t="shared" si="139"/>
        <v>0</v>
      </c>
      <c r="D257" s="192">
        <f t="shared" si="139"/>
        <v>0</v>
      </c>
      <c r="E257" s="192">
        <f t="shared" si="139"/>
        <v>0</v>
      </c>
      <c r="F257" s="192">
        <f t="shared" si="139"/>
        <v>0</v>
      </c>
      <c r="G257" s="192">
        <f t="shared" si="139"/>
        <v>0</v>
      </c>
      <c r="H257" s="192">
        <f t="shared" si="139"/>
        <v>0</v>
      </c>
      <c r="I257" s="192">
        <f t="shared" si="139"/>
        <v>0</v>
      </c>
      <c r="J257" s="192">
        <f t="shared" si="139"/>
        <v>0</v>
      </c>
      <c r="K257" s="192">
        <f t="shared" si="139"/>
        <v>0</v>
      </c>
      <c r="L257" s="192">
        <f t="shared" si="139"/>
        <v>0</v>
      </c>
      <c r="M257" s="192">
        <f t="shared" si="139"/>
        <v>0</v>
      </c>
      <c r="N257" s="192">
        <f t="shared" si="139"/>
        <v>0</v>
      </c>
      <c r="O257" s="192">
        <f t="shared" si="139"/>
        <v>0</v>
      </c>
      <c r="P257" s="192">
        <f t="shared" si="139"/>
        <v>0</v>
      </c>
      <c r="Q257" s="192">
        <f t="shared" si="139"/>
        <v>0</v>
      </c>
      <c r="R257" s="192">
        <f t="shared" si="139"/>
        <v>0</v>
      </c>
      <c r="S257" s="192">
        <f t="shared" si="139"/>
        <v>0</v>
      </c>
      <c r="T257" s="280">
        <f t="shared" si="139"/>
        <v>0</v>
      </c>
    </row>
    <row r="258" spans="1:20" ht="12.75" customHeight="1" x14ac:dyDescent="0.2">
      <c r="A258" s="198" t="str">
        <f>"      "&amp;Labels!B385</f>
        <v xml:space="preserve">      Prof Level 1</v>
      </c>
      <c r="B258" s="226">
        <f t="shared" ref="B258:T258" si="140">SUM(B232,B245)</f>
        <v>0</v>
      </c>
      <c r="C258" s="226">
        <f t="shared" si="140"/>
        <v>0</v>
      </c>
      <c r="D258" s="226">
        <f t="shared" si="140"/>
        <v>0</v>
      </c>
      <c r="E258" s="226">
        <f t="shared" si="140"/>
        <v>0</v>
      </c>
      <c r="F258" s="226">
        <f t="shared" si="140"/>
        <v>0</v>
      </c>
      <c r="G258" s="226">
        <f t="shared" si="140"/>
        <v>0</v>
      </c>
      <c r="H258" s="226">
        <f t="shared" si="140"/>
        <v>0</v>
      </c>
      <c r="I258" s="226">
        <f t="shared" si="140"/>
        <v>0</v>
      </c>
      <c r="J258" s="226">
        <f t="shared" si="140"/>
        <v>0</v>
      </c>
      <c r="K258" s="226">
        <f t="shared" si="140"/>
        <v>0</v>
      </c>
      <c r="L258" s="226">
        <f t="shared" si="140"/>
        <v>0</v>
      </c>
      <c r="M258" s="226">
        <f t="shared" si="140"/>
        <v>0</v>
      </c>
      <c r="N258" s="226">
        <f t="shared" si="140"/>
        <v>0</v>
      </c>
      <c r="O258" s="226">
        <f t="shared" si="140"/>
        <v>0</v>
      </c>
      <c r="P258" s="226">
        <f t="shared" si="140"/>
        <v>0</v>
      </c>
      <c r="Q258" s="226">
        <f t="shared" si="140"/>
        <v>0</v>
      </c>
      <c r="R258" s="226">
        <f t="shared" si="140"/>
        <v>0</v>
      </c>
      <c r="S258" s="226">
        <f t="shared" si="140"/>
        <v>0</v>
      </c>
      <c r="T258" s="279">
        <f t="shared" si="140"/>
        <v>0</v>
      </c>
    </row>
    <row r="259" spans="1:20" ht="12.75" customHeight="1" x14ac:dyDescent="0.2">
      <c r="A259" s="198" t="str">
        <f>"      "&amp;Labels!B386</f>
        <v xml:space="preserve">      Prof Level 2</v>
      </c>
      <c r="B259" s="226">
        <f t="shared" ref="B259:T259" si="141">SUM(B233,B246)</f>
        <v>0</v>
      </c>
      <c r="C259" s="226">
        <f t="shared" si="141"/>
        <v>0</v>
      </c>
      <c r="D259" s="226">
        <f t="shared" si="141"/>
        <v>0</v>
      </c>
      <c r="E259" s="226">
        <f t="shared" si="141"/>
        <v>0</v>
      </c>
      <c r="F259" s="226">
        <f t="shared" si="141"/>
        <v>0</v>
      </c>
      <c r="G259" s="226">
        <f t="shared" si="141"/>
        <v>0</v>
      </c>
      <c r="H259" s="226">
        <f t="shared" si="141"/>
        <v>0</v>
      </c>
      <c r="I259" s="226">
        <f t="shared" si="141"/>
        <v>0</v>
      </c>
      <c r="J259" s="226">
        <f t="shared" si="141"/>
        <v>0</v>
      </c>
      <c r="K259" s="226">
        <f t="shared" si="141"/>
        <v>0</v>
      </c>
      <c r="L259" s="226">
        <f t="shared" si="141"/>
        <v>0</v>
      </c>
      <c r="M259" s="226">
        <f t="shared" si="141"/>
        <v>0</v>
      </c>
      <c r="N259" s="226">
        <f t="shared" si="141"/>
        <v>0</v>
      </c>
      <c r="O259" s="226">
        <f t="shared" si="141"/>
        <v>0</v>
      </c>
      <c r="P259" s="226">
        <f t="shared" si="141"/>
        <v>0</v>
      </c>
      <c r="Q259" s="226">
        <f t="shared" si="141"/>
        <v>0</v>
      </c>
      <c r="R259" s="226">
        <f t="shared" si="141"/>
        <v>0</v>
      </c>
      <c r="S259" s="226">
        <f t="shared" si="141"/>
        <v>0</v>
      </c>
      <c r="T259" s="279">
        <f t="shared" si="141"/>
        <v>0</v>
      </c>
    </row>
    <row r="260" spans="1:20" ht="12.75" customHeight="1" x14ac:dyDescent="0.2">
      <c r="A260" s="220" t="str">
        <f>"      "&amp;Labels!C384</f>
        <v xml:space="preserve">      Total</v>
      </c>
      <c r="B260" s="228">
        <f t="shared" ref="B260:T260" si="142">SUM(B231,B244)</f>
        <v>0</v>
      </c>
      <c r="C260" s="228">
        <f t="shared" si="142"/>
        <v>0</v>
      </c>
      <c r="D260" s="228">
        <f t="shared" si="142"/>
        <v>0</v>
      </c>
      <c r="E260" s="228">
        <f t="shared" si="142"/>
        <v>0</v>
      </c>
      <c r="F260" s="228">
        <f t="shared" si="142"/>
        <v>0</v>
      </c>
      <c r="G260" s="228">
        <f t="shared" si="142"/>
        <v>0</v>
      </c>
      <c r="H260" s="228">
        <f t="shared" si="142"/>
        <v>0</v>
      </c>
      <c r="I260" s="228">
        <f t="shared" si="142"/>
        <v>0</v>
      </c>
      <c r="J260" s="228">
        <f t="shared" si="142"/>
        <v>0</v>
      </c>
      <c r="K260" s="228">
        <f t="shared" si="142"/>
        <v>0</v>
      </c>
      <c r="L260" s="228">
        <f t="shared" si="142"/>
        <v>0</v>
      </c>
      <c r="M260" s="228">
        <f t="shared" si="142"/>
        <v>0</v>
      </c>
      <c r="N260" s="228">
        <f t="shared" si="142"/>
        <v>0</v>
      </c>
      <c r="O260" s="228">
        <f t="shared" si="142"/>
        <v>0</v>
      </c>
      <c r="P260" s="228">
        <f t="shared" si="142"/>
        <v>0</v>
      </c>
      <c r="Q260" s="228">
        <f t="shared" si="142"/>
        <v>0</v>
      </c>
      <c r="R260" s="228">
        <f t="shared" si="142"/>
        <v>0</v>
      </c>
      <c r="S260" s="228">
        <f t="shared" si="142"/>
        <v>0</v>
      </c>
      <c r="T260" s="281">
        <f t="shared" si="142"/>
        <v>0</v>
      </c>
    </row>
    <row r="261" spans="1:20" ht="12.75" customHeight="1" x14ac:dyDescent="0.2">
      <c r="A261" s="1" t="str">
        <f>"Untagged_Asset_Purch_5"</f>
        <v>Untagged_Asset_Purch_5</v>
      </c>
    </row>
    <row r="262" spans="1:20" ht="12.75" customHeight="1" x14ac:dyDescent="0.2">
      <c r="B262" s="9" t="str">
        <f>'(FnCalls 1)'!F40</f>
        <v>MMM 2009</v>
      </c>
      <c r="C262" s="10" t="str">
        <f>'(FnCalls 1)'!F41</f>
        <v>MMM 2010</v>
      </c>
      <c r="D262" s="10" t="str">
        <f>'(FnCalls 1)'!F42</f>
        <v>MMM 2010</v>
      </c>
      <c r="E262" s="10" t="str">
        <f>'(FnCalls 1)'!F43</f>
        <v>MMM 2010</v>
      </c>
      <c r="F262" s="10" t="str">
        <f>'(FnCalls 1)'!F44</f>
        <v>MMM 2010</v>
      </c>
      <c r="G262" s="10" t="str">
        <f>'(FnCalls 1)'!F45</f>
        <v>MMM 2010</v>
      </c>
      <c r="H262" s="10" t="str">
        <f>'(FnCalls 1)'!F46</f>
        <v>MMM 2010</v>
      </c>
      <c r="I262" s="10" t="str">
        <f>'(FnCalls 1)'!F47</f>
        <v>MMM 2010</v>
      </c>
      <c r="J262" s="10" t="str">
        <f>'(FnCalls 1)'!F48</f>
        <v>MMM 2010</v>
      </c>
      <c r="K262" s="10" t="str">
        <f>'(FnCalls 1)'!F49</f>
        <v>MMM 2010</v>
      </c>
      <c r="L262" s="10" t="str">
        <f>'(FnCalls 1)'!F50</f>
        <v>MMM 2010</v>
      </c>
      <c r="M262" s="10" t="str">
        <f>'(FnCalls 1)'!F51</f>
        <v>MMM 2010</v>
      </c>
      <c r="N262" s="10" t="str">
        <f>'(FnCalls 1)'!F52</f>
        <v>MMM 2010</v>
      </c>
      <c r="O262" s="10" t="str">
        <f>'(FnCalls 1)'!F53</f>
        <v>MMM 2011</v>
      </c>
      <c r="P262" s="10" t="str">
        <f>'(FnCalls 1)'!F54</f>
        <v>MMM 2011</v>
      </c>
      <c r="Q262" s="10" t="str">
        <f>'(FnCalls 1)'!F55</f>
        <v>MMM 2011</v>
      </c>
      <c r="R262" s="10" t="str">
        <f>'(FnCalls 1)'!F56</f>
        <v>MMM 2011</v>
      </c>
      <c r="S262" s="10" t="str">
        <f>'(FnCalls 1)'!F57</f>
        <v>MMM 2011</v>
      </c>
      <c r="T262" s="11" t="str">
        <f>'(FnCalls 1)'!F58</f>
        <v>MMM 2011</v>
      </c>
    </row>
    <row r="263" spans="1:20" ht="12.75" customHeight="1" x14ac:dyDescent="0.2">
      <c r="A263" s="182" t="str">
        <f>Labels!B408</f>
        <v>Furniture</v>
      </c>
      <c r="B263" s="183"/>
      <c r="C263" s="183"/>
      <c r="D263" s="183"/>
      <c r="E263" s="183"/>
      <c r="F263" s="183"/>
      <c r="G263" s="183"/>
      <c r="H263" s="183"/>
      <c r="I263" s="183"/>
      <c r="J263" s="183"/>
      <c r="K263" s="183"/>
      <c r="L263" s="183"/>
      <c r="M263" s="183"/>
      <c r="N263" s="183"/>
      <c r="O263" s="183"/>
      <c r="P263" s="183"/>
      <c r="Q263" s="183"/>
      <c r="R263" s="183"/>
      <c r="S263" s="183"/>
      <c r="T263" s="266"/>
    </row>
    <row r="264" spans="1:20" ht="12.75" customHeight="1" x14ac:dyDescent="0.2">
      <c r="A264" s="188" t="str">
        <f>"   "&amp;Labels!B321</f>
        <v xml:space="preserve">   Marketing</v>
      </c>
      <c r="B264" s="196"/>
      <c r="C264" s="196"/>
      <c r="D264" s="196"/>
      <c r="E264" s="196"/>
      <c r="F264" s="196"/>
      <c r="G264" s="196"/>
      <c r="H264" s="196"/>
      <c r="I264" s="196"/>
      <c r="J264" s="196"/>
      <c r="K264" s="196"/>
      <c r="L264" s="196"/>
      <c r="M264" s="196"/>
      <c r="N264" s="196"/>
      <c r="O264" s="196"/>
      <c r="P264" s="196"/>
      <c r="Q264" s="196"/>
      <c r="R264" s="196"/>
      <c r="S264" s="196"/>
      <c r="T264" s="267"/>
    </row>
    <row r="265" spans="1:20" ht="12.75" customHeight="1" x14ac:dyDescent="0.2">
      <c r="A265" s="198" t="str">
        <f>"      "&amp;Labels!B393</f>
        <v xml:space="preserve">      Manager</v>
      </c>
      <c r="B265" s="226">
        <f>Inputs!F386*0</f>
        <v>0</v>
      </c>
      <c r="C265" s="226">
        <f>Inputs!F386*0</f>
        <v>0</v>
      </c>
      <c r="D265" s="226">
        <f>Inputs!F386*'Sup Staff'!B23</f>
        <v>0</v>
      </c>
      <c r="E265" s="226">
        <f>Inputs!F386*'Sup Staff'!C23</f>
        <v>0</v>
      </c>
      <c r="F265" s="226">
        <f>Inputs!F386*'Sup Staff'!D23</f>
        <v>0</v>
      </c>
      <c r="G265" s="226">
        <f>Inputs!F386*'Sup Staff'!F23</f>
        <v>0</v>
      </c>
      <c r="H265" s="226">
        <f>Inputs!F386*'Sup Staff'!G23</f>
        <v>0</v>
      </c>
      <c r="I265" s="226">
        <f>Inputs!F386*'Sup Staff'!H23</f>
        <v>0</v>
      </c>
      <c r="J265" s="226">
        <f>Inputs!F386*'Sup Staff'!J23</f>
        <v>0</v>
      </c>
      <c r="K265" s="226">
        <f>Inputs!F386*'Sup Staff'!K23</f>
        <v>0</v>
      </c>
      <c r="L265" s="226">
        <f>Inputs!F386*'Sup Staff'!L23</f>
        <v>0</v>
      </c>
      <c r="M265" s="226">
        <f>Inputs!F386*'Sup Staff'!N23</f>
        <v>0</v>
      </c>
      <c r="N265" s="226">
        <f>Inputs!F386*'Sup Staff'!O23</f>
        <v>0</v>
      </c>
      <c r="O265" s="226">
        <f>Inputs!F386*'Sup Staff'!P23</f>
        <v>0</v>
      </c>
      <c r="P265" s="226">
        <f>Inputs!F386*'Sup Staff'!R23</f>
        <v>0</v>
      </c>
      <c r="Q265" s="226">
        <f>Inputs!F386*'Sup Staff'!S23</f>
        <v>0</v>
      </c>
      <c r="R265" s="226">
        <f>Inputs!F386*'Sup Staff'!T23</f>
        <v>0</v>
      </c>
      <c r="S265" s="226">
        <f>Inputs!F386*'Sup Staff'!V23</f>
        <v>0</v>
      </c>
      <c r="T265" s="279">
        <f>Inputs!F386*'Sup Staff'!W23</f>
        <v>0</v>
      </c>
    </row>
    <row r="266" spans="1:20" ht="12.75" customHeight="1" x14ac:dyDescent="0.2">
      <c r="A266" s="198" t="str">
        <f>"      "&amp;Labels!B394</f>
        <v xml:space="preserve">      Contributor</v>
      </c>
      <c r="B266" s="226">
        <f>Inputs!F386*0</f>
        <v>0</v>
      </c>
      <c r="C266" s="226">
        <f>Inputs!F386*0</f>
        <v>0</v>
      </c>
      <c r="D266" s="226">
        <f>Inputs!F386*'Sup Staff'!B24</f>
        <v>0</v>
      </c>
      <c r="E266" s="226">
        <f>Inputs!F386*'Sup Staff'!C24</f>
        <v>0</v>
      </c>
      <c r="F266" s="226">
        <f>Inputs!F386*'Sup Staff'!D24</f>
        <v>0</v>
      </c>
      <c r="G266" s="226">
        <f>Inputs!F386*'Sup Staff'!F24</f>
        <v>0</v>
      </c>
      <c r="H266" s="226">
        <f>Inputs!F386*'Sup Staff'!G24</f>
        <v>0</v>
      </c>
      <c r="I266" s="226">
        <f>Inputs!F386*'Sup Staff'!H24</f>
        <v>0</v>
      </c>
      <c r="J266" s="226">
        <f>Inputs!F386*'Sup Staff'!J24</f>
        <v>0</v>
      </c>
      <c r="K266" s="226">
        <f>Inputs!F386*'Sup Staff'!K24</f>
        <v>0</v>
      </c>
      <c r="L266" s="226">
        <f>Inputs!F386*'Sup Staff'!L24</f>
        <v>0</v>
      </c>
      <c r="M266" s="226">
        <f>Inputs!F386*'Sup Staff'!N24</f>
        <v>0</v>
      </c>
      <c r="N266" s="226">
        <f>Inputs!F386*'Sup Staff'!O24</f>
        <v>0</v>
      </c>
      <c r="O266" s="226">
        <f>Inputs!F386*'Sup Staff'!P24</f>
        <v>0</v>
      </c>
      <c r="P266" s="226">
        <f>Inputs!F386*'Sup Staff'!R24</f>
        <v>0</v>
      </c>
      <c r="Q266" s="226">
        <f>Inputs!F386*'Sup Staff'!S24</f>
        <v>0</v>
      </c>
      <c r="R266" s="226">
        <f>Inputs!F386*'Sup Staff'!T24</f>
        <v>0</v>
      </c>
      <c r="S266" s="226">
        <f>Inputs!F386*'Sup Staff'!V24</f>
        <v>0</v>
      </c>
      <c r="T266" s="279">
        <f>Inputs!F386*'Sup Staff'!W24</f>
        <v>0</v>
      </c>
    </row>
    <row r="267" spans="1:20" ht="12.75" customHeight="1" x14ac:dyDescent="0.2">
      <c r="A267" s="188" t="str">
        <f>"      "&amp;Labels!C392</f>
        <v xml:space="preserve">      Total</v>
      </c>
      <c r="B267" s="196">
        <f t="shared" ref="B267:T267" si="143">SUM(B265:B266)</f>
        <v>0</v>
      </c>
      <c r="C267" s="196">
        <f t="shared" si="143"/>
        <v>0</v>
      </c>
      <c r="D267" s="196">
        <f t="shared" si="143"/>
        <v>0</v>
      </c>
      <c r="E267" s="196">
        <f t="shared" si="143"/>
        <v>0</v>
      </c>
      <c r="F267" s="196">
        <f t="shared" si="143"/>
        <v>0</v>
      </c>
      <c r="G267" s="196">
        <f t="shared" si="143"/>
        <v>0</v>
      </c>
      <c r="H267" s="196">
        <f t="shared" si="143"/>
        <v>0</v>
      </c>
      <c r="I267" s="196">
        <f t="shared" si="143"/>
        <v>0</v>
      </c>
      <c r="J267" s="196">
        <f t="shared" si="143"/>
        <v>0</v>
      </c>
      <c r="K267" s="196">
        <f t="shared" si="143"/>
        <v>0</v>
      </c>
      <c r="L267" s="196">
        <f t="shared" si="143"/>
        <v>0</v>
      </c>
      <c r="M267" s="196">
        <f t="shared" si="143"/>
        <v>0</v>
      </c>
      <c r="N267" s="196">
        <f t="shared" si="143"/>
        <v>0</v>
      </c>
      <c r="O267" s="196">
        <f t="shared" si="143"/>
        <v>0</v>
      </c>
      <c r="P267" s="196">
        <f t="shared" si="143"/>
        <v>0</v>
      </c>
      <c r="Q267" s="196">
        <f t="shared" si="143"/>
        <v>0</v>
      </c>
      <c r="R267" s="196">
        <f t="shared" si="143"/>
        <v>0</v>
      </c>
      <c r="S267" s="196">
        <f t="shared" si="143"/>
        <v>0</v>
      </c>
      <c r="T267" s="267">
        <f t="shared" si="143"/>
        <v>0</v>
      </c>
    </row>
    <row r="268" spans="1:20" ht="12.75" customHeight="1" x14ac:dyDescent="0.2">
      <c r="A268" s="188" t="str">
        <f>"   "&amp;Labels!B322</f>
        <v xml:space="preserve">   Sales</v>
      </c>
      <c r="B268" s="196"/>
      <c r="C268" s="196"/>
      <c r="D268" s="196"/>
      <c r="E268" s="196"/>
      <c r="F268" s="196"/>
      <c r="G268" s="196"/>
      <c r="H268" s="196"/>
      <c r="I268" s="196"/>
      <c r="J268" s="196"/>
      <c r="K268" s="196"/>
      <c r="L268" s="196"/>
      <c r="M268" s="196"/>
      <c r="N268" s="196"/>
      <c r="O268" s="196"/>
      <c r="P268" s="196"/>
      <c r="Q268" s="196"/>
      <c r="R268" s="196"/>
      <c r="S268" s="196"/>
      <c r="T268" s="267"/>
    </row>
    <row r="269" spans="1:20" ht="12.75" customHeight="1" x14ac:dyDescent="0.2">
      <c r="A269" s="198" t="str">
        <f>"      "&amp;Labels!B393</f>
        <v xml:space="preserve">      Manager</v>
      </c>
      <c r="B269" s="226">
        <f>Inputs!F386*0</f>
        <v>0</v>
      </c>
      <c r="C269" s="226">
        <f>Inputs!F386*0</f>
        <v>0</v>
      </c>
      <c r="D269" s="226">
        <f>Inputs!F386*'Sup Staff'!B27</f>
        <v>0</v>
      </c>
      <c r="E269" s="226">
        <f>Inputs!F386*'Sup Staff'!C27</f>
        <v>0</v>
      </c>
      <c r="F269" s="226">
        <f>Inputs!F386*'Sup Staff'!D27</f>
        <v>0</v>
      </c>
      <c r="G269" s="226">
        <f>Inputs!F386*'Sup Staff'!F27</f>
        <v>0</v>
      </c>
      <c r="H269" s="226">
        <f>Inputs!F386*'Sup Staff'!G27</f>
        <v>0</v>
      </c>
      <c r="I269" s="226">
        <f>Inputs!F386*'Sup Staff'!H27</f>
        <v>0</v>
      </c>
      <c r="J269" s="226">
        <f>Inputs!F386*'Sup Staff'!J27</f>
        <v>0</v>
      </c>
      <c r="K269" s="226">
        <f>Inputs!F386*'Sup Staff'!K27</f>
        <v>0</v>
      </c>
      <c r="L269" s="226">
        <f>Inputs!F386*'Sup Staff'!L27</f>
        <v>0</v>
      </c>
      <c r="M269" s="226">
        <f>Inputs!F386*'Sup Staff'!N27</f>
        <v>0</v>
      </c>
      <c r="N269" s="226">
        <f>Inputs!F386*'Sup Staff'!O27</f>
        <v>0</v>
      </c>
      <c r="O269" s="226">
        <f>Inputs!F386*'Sup Staff'!P27</f>
        <v>0</v>
      </c>
      <c r="P269" s="226">
        <f>Inputs!F386*'Sup Staff'!R27</f>
        <v>0</v>
      </c>
      <c r="Q269" s="226">
        <f>Inputs!F386*'Sup Staff'!S27</f>
        <v>0</v>
      </c>
      <c r="R269" s="226">
        <f>Inputs!F386*'Sup Staff'!T27</f>
        <v>0</v>
      </c>
      <c r="S269" s="226">
        <f>Inputs!F386*'Sup Staff'!V27</f>
        <v>0</v>
      </c>
      <c r="T269" s="279">
        <f>Inputs!F386*'Sup Staff'!W27</f>
        <v>0</v>
      </c>
    </row>
    <row r="270" spans="1:20" ht="12.75" customHeight="1" x14ac:dyDescent="0.2">
      <c r="A270" s="198" t="str">
        <f>"      "&amp;Labels!B394</f>
        <v xml:space="preserve">      Contributor</v>
      </c>
      <c r="B270" s="226">
        <f>Inputs!F386*0</f>
        <v>0</v>
      </c>
      <c r="C270" s="226">
        <f>Inputs!F386*0</f>
        <v>0</v>
      </c>
      <c r="D270" s="226">
        <f>Inputs!F386*'Sup Staff'!B28</f>
        <v>0</v>
      </c>
      <c r="E270" s="226">
        <f>Inputs!F386*'Sup Staff'!C28</f>
        <v>0</v>
      </c>
      <c r="F270" s="226">
        <f>Inputs!F386*'Sup Staff'!D28</f>
        <v>0</v>
      </c>
      <c r="G270" s="226">
        <f>Inputs!F386*'Sup Staff'!F28</f>
        <v>0</v>
      </c>
      <c r="H270" s="226">
        <f>Inputs!F386*'Sup Staff'!G28</f>
        <v>0</v>
      </c>
      <c r="I270" s="226">
        <f>Inputs!F386*'Sup Staff'!H28</f>
        <v>0</v>
      </c>
      <c r="J270" s="226">
        <f>Inputs!F386*'Sup Staff'!J28</f>
        <v>0</v>
      </c>
      <c r="K270" s="226">
        <f>Inputs!F386*'Sup Staff'!K28</f>
        <v>0</v>
      </c>
      <c r="L270" s="226">
        <f>Inputs!F386*'Sup Staff'!L28</f>
        <v>0</v>
      </c>
      <c r="M270" s="226">
        <f>Inputs!F386*'Sup Staff'!N28</f>
        <v>0</v>
      </c>
      <c r="N270" s="226">
        <f>Inputs!F386*'Sup Staff'!O28</f>
        <v>0</v>
      </c>
      <c r="O270" s="226">
        <f>Inputs!F386*'Sup Staff'!P28</f>
        <v>0</v>
      </c>
      <c r="P270" s="226">
        <f>Inputs!F386*'Sup Staff'!R28</f>
        <v>0</v>
      </c>
      <c r="Q270" s="226">
        <f>Inputs!F386*'Sup Staff'!S28</f>
        <v>0</v>
      </c>
      <c r="R270" s="226">
        <f>Inputs!F386*'Sup Staff'!T28</f>
        <v>0</v>
      </c>
      <c r="S270" s="226">
        <f>Inputs!F386*'Sup Staff'!V28</f>
        <v>0</v>
      </c>
      <c r="T270" s="279">
        <f>Inputs!F386*'Sup Staff'!W28</f>
        <v>0</v>
      </c>
    </row>
    <row r="271" spans="1:20" ht="12.75" customHeight="1" x14ac:dyDescent="0.2">
      <c r="A271" s="188" t="str">
        <f>"      "&amp;Labels!C392</f>
        <v xml:space="preserve">      Total</v>
      </c>
      <c r="B271" s="196">
        <f t="shared" ref="B271:T271" si="144">SUM(B269:B270)</f>
        <v>0</v>
      </c>
      <c r="C271" s="196">
        <f t="shared" si="144"/>
        <v>0</v>
      </c>
      <c r="D271" s="196">
        <f t="shared" si="144"/>
        <v>0</v>
      </c>
      <c r="E271" s="196">
        <f t="shared" si="144"/>
        <v>0</v>
      </c>
      <c r="F271" s="196">
        <f t="shared" si="144"/>
        <v>0</v>
      </c>
      <c r="G271" s="196">
        <f t="shared" si="144"/>
        <v>0</v>
      </c>
      <c r="H271" s="196">
        <f t="shared" si="144"/>
        <v>0</v>
      </c>
      <c r="I271" s="196">
        <f t="shared" si="144"/>
        <v>0</v>
      </c>
      <c r="J271" s="196">
        <f t="shared" si="144"/>
        <v>0</v>
      </c>
      <c r="K271" s="196">
        <f t="shared" si="144"/>
        <v>0</v>
      </c>
      <c r="L271" s="196">
        <f t="shared" si="144"/>
        <v>0</v>
      </c>
      <c r="M271" s="196">
        <f t="shared" si="144"/>
        <v>0</v>
      </c>
      <c r="N271" s="196">
        <f t="shared" si="144"/>
        <v>0</v>
      </c>
      <c r="O271" s="196">
        <f t="shared" si="144"/>
        <v>0</v>
      </c>
      <c r="P271" s="196">
        <f t="shared" si="144"/>
        <v>0</v>
      </c>
      <c r="Q271" s="196">
        <f t="shared" si="144"/>
        <v>0</v>
      </c>
      <c r="R271" s="196">
        <f t="shared" si="144"/>
        <v>0</v>
      </c>
      <c r="S271" s="196">
        <f t="shared" si="144"/>
        <v>0</v>
      </c>
      <c r="T271" s="267">
        <f t="shared" si="144"/>
        <v>0</v>
      </c>
    </row>
    <row r="272" spans="1:20" ht="12.75" customHeight="1" x14ac:dyDescent="0.2">
      <c r="A272" s="191" t="str">
        <f>"   "&amp;Labels!C320</f>
        <v xml:space="preserve">   Total</v>
      </c>
      <c r="B272" s="192">
        <f t="shared" ref="B272:T272" si="145">SUM(B267,B271)</f>
        <v>0</v>
      </c>
      <c r="C272" s="192">
        <f t="shared" si="145"/>
        <v>0</v>
      </c>
      <c r="D272" s="192">
        <f t="shared" si="145"/>
        <v>0</v>
      </c>
      <c r="E272" s="192">
        <f t="shared" si="145"/>
        <v>0</v>
      </c>
      <c r="F272" s="192">
        <f t="shared" si="145"/>
        <v>0</v>
      </c>
      <c r="G272" s="192">
        <f t="shared" si="145"/>
        <v>0</v>
      </c>
      <c r="H272" s="192">
        <f t="shared" si="145"/>
        <v>0</v>
      </c>
      <c r="I272" s="192">
        <f t="shared" si="145"/>
        <v>0</v>
      </c>
      <c r="J272" s="192">
        <f t="shared" si="145"/>
        <v>0</v>
      </c>
      <c r="K272" s="192">
        <f t="shared" si="145"/>
        <v>0</v>
      </c>
      <c r="L272" s="192">
        <f t="shared" si="145"/>
        <v>0</v>
      </c>
      <c r="M272" s="192">
        <f t="shared" si="145"/>
        <v>0</v>
      </c>
      <c r="N272" s="192">
        <f t="shared" si="145"/>
        <v>0</v>
      </c>
      <c r="O272" s="192">
        <f t="shared" si="145"/>
        <v>0</v>
      </c>
      <c r="P272" s="192">
        <f t="shared" si="145"/>
        <v>0</v>
      </c>
      <c r="Q272" s="192">
        <f t="shared" si="145"/>
        <v>0</v>
      </c>
      <c r="R272" s="192">
        <f t="shared" si="145"/>
        <v>0</v>
      </c>
      <c r="S272" s="192">
        <f t="shared" si="145"/>
        <v>0</v>
      </c>
      <c r="T272" s="280">
        <f t="shared" si="145"/>
        <v>0</v>
      </c>
    </row>
    <row r="273" spans="1:20" ht="12.75" customHeight="1" x14ac:dyDescent="0.2">
      <c r="A273" s="198" t="str">
        <f>"      "&amp;Labels!B393</f>
        <v xml:space="preserve">      Manager</v>
      </c>
      <c r="B273" s="226">
        <f t="shared" ref="B273:T273" si="146">SUM(B265,B269)</f>
        <v>0</v>
      </c>
      <c r="C273" s="226">
        <f t="shared" si="146"/>
        <v>0</v>
      </c>
      <c r="D273" s="226">
        <f t="shared" si="146"/>
        <v>0</v>
      </c>
      <c r="E273" s="226">
        <f t="shared" si="146"/>
        <v>0</v>
      </c>
      <c r="F273" s="226">
        <f t="shared" si="146"/>
        <v>0</v>
      </c>
      <c r="G273" s="226">
        <f t="shared" si="146"/>
        <v>0</v>
      </c>
      <c r="H273" s="226">
        <f t="shared" si="146"/>
        <v>0</v>
      </c>
      <c r="I273" s="226">
        <f t="shared" si="146"/>
        <v>0</v>
      </c>
      <c r="J273" s="226">
        <f t="shared" si="146"/>
        <v>0</v>
      </c>
      <c r="K273" s="226">
        <f t="shared" si="146"/>
        <v>0</v>
      </c>
      <c r="L273" s="226">
        <f t="shared" si="146"/>
        <v>0</v>
      </c>
      <c r="M273" s="226">
        <f t="shared" si="146"/>
        <v>0</v>
      </c>
      <c r="N273" s="226">
        <f t="shared" si="146"/>
        <v>0</v>
      </c>
      <c r="O273" s="226">
        <f t="shared" si="146"/>
        <v>0</v>
      </c>
      <c r="P273" s="226">
        <f t="shared" si="146"/>
        <v>0</v>
      </c>
      <c r="Q273" s="226">
        <f t="shared" si="146"/>
        <v>0</v>
      </c>
      <c r="R273" s="226">
        <f t="shared" si="146"/>
        <v>0</v>
      </c>
      <c r="S273" s="226">
        <f t="shared" si="146"/>
        <v>0</v>
      </c>
      <c r="T273" s="279">
        <f t="shared" si="146"/>
        <v>0</v>
      </c>
    </row>
    <row r="274" spans="1:20" ht="12.75" customHeight="1" x14ac:dyDescent="0.2">
      <c r="A274" s="198" t="str">
        <f>"      "&amp;Labels!B394</f>
        <v xml:space="preserve">      Contributor</v>
      </c>
      <c r="B274" s="226">
        <f t="shared" ref="B274:T274" si="147">SUM(B266,B270)</f>
        <v>0</v>
      </c>
      <c r="C274" s="226">
        <f t="shared" si="147"/>
        <v>0</v>
      </c>
      <c r="D274" s="226">
        <f t="shared" si="147"/>
        <v>0</v>
      </c>
      <c r="E274" s="226">
        <f t="shared" si="147"/>
        <v>0</v>
      </c>
      <c r="F274" s="226">
        <f t="shared" si="147"/>
        <v>0</v>
      </c>
      <c r="G274" s="226">
        <f t="shared" si="147"/>
        <v>0</v>
      </c>
      <c r="H274" s="226">
        <f t="shared" si="147"/>
        <v>0</v>
      </c>
      <c r="I274" s="226">
        <f t="shared" si="147"/>
        <v>0</v>
      </c>
      <c r="J274" s="226">
        <f t="shared" si="147"/>
        <v>0</v>
      </c>
      <c r="K274" s="226">
        <f t="shared" si="147"/>
        <v>0</v>
      </c>
      <c r="L274" s="226">
        <f t="shared" si="147"/>
        <v>0</v>
      </c>
      <c r="M274" s="226">
        <f t="shared" si="147"/>
        <v>0</v>
      </c>
      <c r="N274" s="226">
        <f t="shared" si="147"/>
        <v>0</v>
      </c>
      <c r="O274" s="226">
        <f t="shared" si="147"/>
        <v>0</v>
      </c>
      <c r="P274" s="226">
        <f t="shared" si="147"/>
        <v>0</v>
      </c>
      <c r="Q274" s="226">
        <f t="shared" si="147"/>
        <v>0</v>
      </c>
      <c r="R274" s="226">
        <f t="shared" si="147"/>
        <v>0</v>
      </c>
      <c r="S274" s="226">
        <f t="shared" si="147"/>
        <v>0</v>
      </c>
      <c r="T274" s="279">
        <f t="shared" si="147"/>
        <v>0</v>
      </c>
    </row>
    <row r="275" spans="1:20" ht="12.75" customHeight="1" x14ac:dyDescent="0.2">
      <c r="A275" s="188" t="str">
        <f>"      "&amp;Labels!C392</f>
        <v xml:space="preserve">      Total</v>
      </c>
      <c r="B275" s="196">
        <f t="shared" ref="B275:T275" si="148">SUM(B267,B271)</f>
        <v>0</v>
      </c>
      <c r="C275" s="196">
        <f t="shared" si="148"/>
        <v>0</v>
      </c>
      <c r="D275" s="196">
        <f t="shared" si="148"/>
        <v>0</v>
      </c>
      <c r="E275" s="196">
        <f t="shared" si="148"/>
        <v>0</v>
      </c>
      <c r="F275" s="196">
        <f t="shared" si="148"/>
        <v>0</v>
      </c>
      <c r="G275" s="196">
        <f t="shared" si="148"/>
        <v>0</v>
      </c>
      <c r="H275" s="196">
        <f t="shared" si="148"/>
        <v>0</v>
      </c>
      <c r="I275" s="196">
        <f t="shared" si="148"/>
        <v>0</v>
      </c>
      <c r="J275" s="196">
        <f t="shared" si="148"/>
        <v>0</v>
      </c>
      <c r="K275" s="196">
        <f t="shared" si="148"/>
        <v>0</v>
      </c>
      <c r="L275" s="196">
        <f t="shared" si="148"/>
        <v>0</v>
      </c>
      <c r="M275" s="196">
        <f t="shared" si="148"/>
        <v>0</v>
      </c>
      <c r="N275" s="196">
        <f t="shared" si="148"/>
        <v>0</v>
      </c>
      <c r="O275" s="196">
        <f t="shared" si="148"/>
        <v>0</v>
      </c>
      <c r="P275" s="196">
        <f t="shared" si="148"/>
        <v>0</v>
      </c>
      <c r="Q275" s="196">
        <f t="shared" si="148"/>
        <v>0</v>
      </c>
      <c r="R275" s="196">
        <f t="shared" si="148"/>
        <v>0</v>
      </c>
      <c r="S275" s="196">
        <f t="shared" si="148"/>
        <v>0</v>
      </c>
      <c r="T275" s="267">
        <f t="shared" si="148"/>
        <v>0</v>
      </c>
    </row>
    <row r="276" spans="1:20" ht="12.75" customHeight="1" x14ac:dyDescent="0.2">
      <c r="A276" s="191" t="str">
        <f>Labels!B409</f>
        <v>Office Equip</v>
      </c>
      <c r="B276" s="192"/>
      <c r="C276" s="192"/>
      <c r="D276" s="192"/>
      <c r="E276" s="192"/>
      <c r="F276" s="192"/>
      <c r="G276" s="192"/>
      <c r="H276" s="192"/>
      <c r="I276" s="192"/>
      <c r="J276" s="192"/>
      <c r="K276" s="192"/>
      <c r="L276" s="192"/>
      <c r="M276" s="192"/>
      <c r="N276" s="192"/>
      <c r="O276" s="192"/>
      <c r="P276" s="192"/>
      <c r="Q276" s="192"/>
      <c r="R276" s="192"/>
      <c r="S276" s="192"/>
      <c r="T276" s="280"/>
    </row>
    <row r="277" spans="1:20" ht="12.75" customHeight="1" x14ac:dyDescent="0.2">
      <c r="A277" s="188" t="str">
        <f>"   "&amp;Labels!B321</f>
        <v xml:space="preserve">   Marketing</v>
      </c>
      <c r="B277" s="196"/>
      <c r="C277" s="196"/>
      <c r="D277" s="196"/>
      <c r="E277" s="196"/>
      <c r="F277" s="196"/>
      <c r="G277" s="196"/>
      <c r="H277" s="196"/>
      <c r="I277" s="196"/>
      <c r="J277" s="196"/>
      <c r="K277" s="196"/>
      <c r="L277" s="196"/>
      <c r="M277" s="196"/>
      <c r="N277" s="196"/>
      <c r="O277" s="196"/>
      <c r="P277" s="196"/>
      <c r="Q277" s="196"/>
      <c r="R277" s="196"/>
      <c r="S277" s="196"/>
      <c r="T277" s="267"/>
    </row>
    <row r="278" spans="1:20" ht="12.75" customHeight="1" x14ac:dyDescent="0.2">
      <c r="A278" s="198" t="str">
        <f>"      "&amp;Labels!B393</f>
        <v xml:space="preserve">      Manager</v>
      </c>
      <c r="B278" s="226">
        <f>Inputs!G386*0</f>
        <v>0</v>
      </c>
      <c r="C278" s="226">
        <f>Inputs!G386*0</f>
        <v>0</v>
      </c>
      <c r="D278" s="226">
        <f>Inputs!G386*'Sup Staff'!B23</f>
        <v>0</v>
      </c>
      <c r="E278" s="226">
        <f>Inputs!G386*'Sup Staff'!C23</f>
        <v>0</v>
      </c>
      <c r="F278" s="226">
        <f>Inputs!G386*'Sup Staff'!D23</f>
        <v>0</v>
      </c>
      <c r="G278" s="226">
        <f>Inputs!G386*'Sup Staff'!F23</f>
        <v>0</v>
      </c>
      <c r="H278" s="226">
        <f>Inputs!G386*'Sup Staff'!G23</f>
        <v>0</v>
      </c>
      <c r="I278" s="226">
        <f>Inputs!G386*'Sup Staff'!H23</f>
        <v>0</v>
      </c>
      <c r="J278" s="226">
        <f>Inputs!G386*'Sup Staff'!J23</f>
        <v>0</v>
      </c>
      <c r="K278" s="226">
        <f>Inputs!G386*'Sup Staff'!K23</f>
        <v>0</v>
      </c>
      <c r="L278" s="226">
        <f>Inputs!G386*'Sup Staff'!L23</f>
        <v>0</v>
      </c>
      <c r="M278" s="226">
        <f>Inputs!G386*'Sup Staff'!N23</f>
        <v>0</v>
      </c>
      <c r="N278" s="226">
        <f>Inputs!G386*'Sup Staff'!O23</f>
        <v>0</v>
      </c>
      <c r="O278" s="226">
        <f>Inputs!G386*'Sup Staff'!P23</f>
        <v>0</v>
      </c>
      <c r="P278" s="226">
        <f>Inputs!G386*'Sup Staff'!R23</f>
        <v>0</v>
      </c>
      <c r="Q278" s="226">
        <f>Inputs!G386*'Sup Staff'!S23</f>
        <v>0</v>
      </c>
      <c r="R278" s="226">
        <f>Inputs!G386*'Sup Staff'!T23</f>
        <v>0</v>
      </c>
      <c r="S278" s="226">
        <f>Inputs!G386*'Sup Staff'!V23</f>
        <v>0</v>
      </c>
      <c r="T278" s="279">
        <f>Inputs!G386*'Sup Staff'!W23</f>
        <v>0</v>
      </c>
    </row>
    <row r="279" spans="1:20" ht="12.75" customHeight="1" x14ac:dyDescent="0.2">
      <c r="A279" s="198" t="str">
        <f>"      "&amp;Labels!B394</f>
        <v xml:space="preserve">      Contributor</v>
      </c>
      <c r="B279" s="226">
        <f>Inputs!G386*0</f>
        <v>0</v>
      </c>
      <c r="C279" s="226">
        <f>Inputs!G386*0</f>
        <v>0</v>
      </c>
      <c r="D279" s="226">
        <f>Inputs!G386*'Sup Staff'!B24</f>
        <v>0</v>
      </c>
      <c r="E279" s="226">
        <f>Inputs!G386*'Sup Staff'!C24</f>
        <v>0</v>
      </c>
      <c r="F279" s="226">
        <f>Inputs!G386*'Sup Staff'!D24</f>
        <v>0</v>
      </c>
      <c r="G279" s="226">
        <f>Inputs!G386*'Sup Staff'!F24</f>
        <v>0</v>
      </c>
      <c r="H279" s="226">
        <f>Inputs!G386*'Sup Staff'!G24</f>
        <v>0</v>
      </c>
      <c r="I279" s="226">
        <f>Inputs!G386*'Sup Staff'!H24</f>
        <v>0</v>
      </c>
      <c r="J279" s="226">
        <f>Inputs!G386*'Sup Staff'!J24</f>
        <v>0</v>
      </c>
      <c r="K279" s="226">
        <f>Inputs!G386*'Sup Staff'!K24</f>
        <v>0</v>
      </c>
      <c r="L279" s="226">
        <f>Inputs!G386*'Sup Staff'!L24</f>
        <v>0</v>
      </c>
      <c r="M279" s="226">
        <f>Inputs!G386*'Sup Staff'!N24</f>
        <v>0</v>
      </c>
      <c r="N279" s="226">
        <f>Inputs!G386*'Sup Staff'!O24</f>
        <v>0</v>
      </c>
      <c r="O279" s="226">
        <f>Inputs!G386*'Sup Staff'!P24</f>
        <v>0</v>
      </c>
      <c r="P279" s="226">
        <f>Inputs!G386*'Sup Staff'!R24</f>
        <v>0</v>
      </c>
      <c r="Q279" s="226">
        <f>Inputs!G386*'Sup Staff'!S24</f>
        <v>0</v>
      </c>
      <c r="R279" s="226">
        <f>Inputs!G386*'Sup Staff'!T24</f>
        <v>0</v>
      </c>
      <c r="S279" s="226">
        <f>Inputs!G386*'Sup Staff'!V24</f>
        <v>0</v>
      </c>
      <c r="T279" s="279">
        <f>Inputs!G386*'Sup Staff'!W24</f>
        <v>0</v>
      </c>
    </row>
    <row r="280" spans="1:20" ht="12.75" customHeight="1" x14ac:dyDescent="0.2">
      <c r="A280" s="188" t="str">
        <f>"      "&amp;Labels!C392</f>
        <v xml:space="preserve">      Total</v>
      </c>
      <c r="B280" s="196">
        <f t="shared" ref="B280:T280" si="149">SUM(B278:B279)</f>
        <v>0</v>
      </c>
      <c r="C280" s="196">
        <f t="shared" si="149"/>
        <v>0</v>
      </c>
      <c r="D280" s="196">
        <f t="shared" si="149"/>
        <v>0</v>
      </c>
      <c r="E280" s="196">
        <f t="shared" si="149"/>
        <v>0</v>
      </c>
      <c r="F280" s="196">
        <f t="shared" si="149"/>
        <v>0</v>
      </c>
      <c r="G280" s="196">
        <f t="shared" si="149"/>
        <v>0</v>
      </c>
      <c r="H280" s="196">
        <f t="shared" si="149"/>
        <v>0</v>
      </c>
      <c r="I280" s="196">
        <f t="shared" si="149"/>
        <v>0</v>
      </c>
      <c r="J280" s="196">
        <f t="shared" si="149"/>
        <v>0</v>
      </c>
      <c r="K280" s="196">
        <f t="shared" si="149"/>
        <v>0</v>
      </c>
      <c r="L280" s="196">
        <f t="shared" si="149"/>
        <v>0</v>
      </c>
      <c r="M280" s="196">
        <f t="shared" si="149"/>
        <v>0</v>
      </c>
      <c r="N280" s="196">
        <f t="shared" si="149"/>
        <v>0</v>
      </c>
      <c r="O280" s="196">
        <f t="shared" si="149"/>
        <v>0</v>
      </c>
      <c r="P280" s="196">
        <f t="shared" si="149"/>
        <v>0</v>
      </c>
      <c r="Q280" s="196">
        <f t="shared" si="149"/>
        <v>0</v>
      </c>
      <c r="R280" s="196">
        <f t="shared" si="149"/>
        <v>0</v>
      </c>
      <c r="S280" s="196">
        <f t="shared" si="149"/>
        <v>0</v>
      </c>
      <c r="T280" s="267">
        <f t="shared" si="149"/>
        <v>0</v>
      </c>
    </row>
    <row r="281" spans="1:20" ht="12.75" customHeight="1" x14ac:dyDescent="0.2">
      <c r="A281" s="188" t="str">
        <f>"   "&amp;Labels!B322</f>
        <v xml:space="preserve">   Sales</v>
      </c>
      <c r="B281" s="196"/>
      <c r="C281" s="196"/>
      <c r="D281" s="196"/>
      <c r="E281" s="196"/>
      <c r="F281" s="196"/>
      <c r="G281" s="196"/>
      <c r="H281" s="196"/>
      <c r="I281" s="196"/>
      <c r="J281" s="196"/>
      <c r="K281" s="196"/>
      <c r="L281" s="196"/>
      <c r="M281" s="196"/>
      <c r="N281" s="196"/>
      <c r="O281" s="196"/>
      <c r="P281" s="196"/>
      <c r="Q281" s="196"/>
      <c r="R281" s="196"/>
      <c r="S281" s="196"/>
      <c r="T281" s="267"/>
    </row>
    <row r="282" spans="1:20" ht="12.75" customHeight="1" x14ac:dyDescent="0.2">
      <c r="A282" s="198" t="str">
        <f>"      "&amp;Labels!B393</f>
        <v xml:space="preserve">      Manager</v>
      </c>
      <c r="B282" s="226">
        <f>Inputs!G386*0</f>
        <v>0</v>
      </c>
      <c r="C282" s="226">
        <f>Inputs!G386*0</f>
        <v>0</v>
      </c>
      <c r="D282" s="226">
        <f>Inputs!G386*'Sup Staff'!B27</f>
        <v>0</v>
      </c>
      <c r="E282" s="226">
        <f>Inputs!G386*'Sup Staff'!C27</f>
        <v>0</v>
      </c>
      <c r="F282" s="226">
        <f>Inputs!G386*'Sup Staff'!D27</f>
        <v>0</v>
      </c>
      <c r="G282" s="226">
        <f>Inputs!G386*'Sup Staff'!F27</f>
        <v>0</v>
      </c>
      <c r="H282" s="226">
        <f>Inputs!G386*'Sup Staff'!G27</f>
        <v>0</v>
      </c>
      <c r="I282" s="226">
        <f>Inputs!G386*'Sup Staff'!H27</f>
        <v>0</v>
      </c>
      <c r="J282" s="226">
        <f>Inputs!G386*'Sup Staff'!J27</f>
        <v>0</v>
      </c>
      <c r="K282" s="226">
        <f>Inputs!G386*'Sup Staff'!K27</f>
        <v>0</v>
      </c>
      <c r="L282" s="226">
        <f>Inputs!G386*'Sup Staff'!L27</f>
        <v>0</v>
      </c>
      <c r="M282" s="226">
        <f>Inputs!G386*'Sup Staff'!N27</f>
        <v>0</v>
      </c>
      <c r="N282" s="226">
        <f>Inputs!G386*'Sup Staff'!O27</f>
        <v>0</v>
      </c>
      <c r="O282" s="226">
        <f>Inputs!G386*'Sup Staff'!P27</f>
        <v>0</v>
      </c>
      <c r="P282" s="226">
        <f>Inputs!G386*'Sup Staff'!R27</f>
        <v>0</v>
      </c>
      <c r="Q282" s="226">
        <f>Inputs!G386*'Sup Staff'!S27</f>
        <v>0</v>
      </c>
      <c r="R282" s="226">
        <f>Inputs!G386*'Sup Staff'!T27</f>
        <v>0</v>
      </c>
      <c r="S282" s="226">
        <f>Inputs!G386*'Sup Staff'!V27</f>
        <v>0</v>
      </c>
      <c r="T282" s="279">
        <f>Inputs!G386*'Sup Staff'!W27</f>
        <v>0</v>
      </c>
    </row>
    <row r="283" spans="1:20" ht="12.75" customHeight="1" x14ac:dyDescent="0.2">
      <c r="A283" s="198" t="str">
        <f>"      "&amp;Labels!B394</f>
        <v xml:space="preserve">      Contributor</v>
      </c>
      <c r="B283" s="226">
        <f>Inputs!G386*0</f>
        <v>0</v>
      </c>
      <c r="C283" s="226">
        <f>Inputs!G386*0</f>
        <v>0</v>
      </c>
      <c r="D283" s="226">
        <f>Inputs!G386*'Sup Staff'!B28</f>
        <v>0</v>
      </c>
      <c r="E283" s="226">
        <f>Inputs!G386*'Sup Staff'!C28</f>
        <v>0</v>
      </c>
      <c r="F283" s="226">
        <f>Inputs!G386*'Sup Staff'!D28</f>
        <v>0</v>
      </c>
      <c r="G283" s="226">
        <f>Inputs!G386*'Sup Staff'!F28</f>
        <v>0</v>
      </c>
      <c r="H283" s="226">
        <f>Inputs!G386*'Sup Staff'!G28</f>
        <v>0</v>
      </c>
      <c r="I283" s="226">
        <f>Inputs!G386*'Sup Staff'!H28</f>
        <v>0</v>
      </c>
      <c r="J283" s="226">
        <f>Inputs!G386*'Sup Staff'!J28</f>
        <v>0</v>
      </c>
      <c r="K283" s="226">
        <f>Inputs!G386*'Sup Staff'!K28</f>
        <v>0</v>
      </c>
      <c r="L283" s="226">
        <f>Inputs!G386*'Sup Staff'!L28</f>
        <v>0</v>
      </c>
      <c r="M283" s="226">
        <f>Inputs!G386*'Sup Staff'!N28</f>
        <v>0</v>
      </c>
      <c r="N283" s="226">
        <f>Inputs!G386*'Sup Staff'!O28</f>
        <v>0</v>
      </c>
      <c r="O283" s="226">
        <f>Inputs!G386*'Sup Staff'!P28</f>
        <v>0</v>
      </c>
      <c r="P283" s="226">
        <f>Inputs!G386*'Sup Staff'!R28</f>
        <v>0</v>
      </c>
      <c r="Q283" s="226">
        <f>Inputs!G386*'Sup Staff'!S28</f>
        <v>0</v>
      </c>
      <c r="R283" s="226">
        <f>Inputs!G386*'Sup Staff'!T28</f>
        <v>0</v>
      </c>
      <c r="S283" s="226">
        <f>Inputs!G386*'Sup Staff'!V28</f>
        <v>0</v>
      </c>
      <c r="T283" s="279">
        <f>Inputs!G386*'Sup Staff'!W28</f>
        <v>0</v>
      </c>
    </row>
    <row r="284" spans="1:20" ht="12.75" customHeight="1" x14ac:dyDescent="0.2">
      <c r="A284" s="188" t="str">
        <f>"      "&amp;Labels!C392</f>
        <v xml:space="preserve">      Total</v>
      </c>
      <c r="B284" s="196">
        <f t="shared" ref="B284:T284" si="150">SUM(B282:B283)</f>
        <v>0</v>
      </c>
      <c r="C284" s="196">
        <f t="shared" si="150"/>
        <v>0</v>
      </c>
      <c r="D284" s="196">
        <f t="shared" si="150"/>
        <v>0</v>
      </c>
      <c r="E284" s="196">
        <f t="shared" si="150"/>
        <v>0</v>
      </c>
      <c r="F284" s="196">
        <f t="shared" si="150"/>
        <v>0</v>
      </c>
      <c r="G284" s="196">
        <f t="shared" si="150"/>
        <v>0</v>
      </c>
      <c r="H284" s="196">
        <f t="shared" si="150"/>
        <v>0</v>
      </c>
      <c r="I284" s="196">
        <f t="shared" si="150"/>
        <v>0</v>
      </c>
      <c r="J284" s="196">
        <f t="shared" si="150"/>
        <v>0</v>
      </c>
      <c r="K284" s="196">
        <f t="shared" si="150"/>
        <v>0</v>
      </c>
      <c r="L284" s="196">
        <f t="shared" si="150"/>
        <v>0</v>
      </c>
      <c r="M284" s="196">
        <f t="shared" si="150"/>
        <v>0</v>
      </c>
      <c r="N284" s="196">
        <f t="shared" si="150"/>
        <v>0</v>
      </c>
      <c r="O284" s="196">
        <f t="shared" si="150"/>
        <v>0</v>
      </c>
      <c r="P284" s="196">
        <f t="shared" si="150"/>
        <v>0</v>
      </c>
      <c r="Q284" s="196">
        <f t="shared" si="150"/>
        <v>0</v>
      </c>
      <c r="R284" s="196">
        <f t="shared" si="150"/>
        <v>0</v>
      </c>
      <c r="S284" s="196">
        <f t="shared" si="150"/>
        <v>0</v>
      </c>
      <c r="T284" s="267">
        <f t="shared" si="150"/>
        <v>0</v>
      </c>
    </row>
    <row r="285" spans="1:20" ht="12.75" customHeight="1" x14ac:dyDescent="0.2">
      <c r="A285" s="191" t="str">
        <f>"   "&amp;Labels!C320</f>
        <v xml:space="preserve">   Total</v>
      </c>
      <c r="B285" s="192">
        <f t="shared" ref="B285:T285" si="151">SUM(B280,B284)</f>
        <v>0</v>
      </c>
      <c r="C285" s="192">
        <f t="shared" si="151"/>
        <v>0</v>
      </c>
      <c r="D285" s="192">
        <f t="shared" si="151"/>
        <v>0</v>
      </c>
      <c r="E285" s="192">
        <f t="shared" si="151"/>
        <v>0</v>
      </c>
      <c r="F285" s="192">
        <f t="shared" si="151"/>
        <v>0</v>
      </c>
      <c r="G285" s="192">
        <f t="shared" si="151"/>
        <v>0</v>
      </c>
      <c r="H285" s="192">
        <f t="shared" si="151"/>
        <v>0</v>
      </c>
      <c r="I285" s="192">
        <f t="shared" si="151"/>
        <v>0</v>
      </c>
      <c r="J285" s="192">
        <f t="shared" si="151"/>
        <v>0</v>
      </c>
      <c r="K285" s="192">
        <f t="shared" si="151"/>
        <v>0</v>
      </c>
      <c r="L285" s="192">
        <f t="shared" si="151"/>
        <v>0</v>
      </c>
      <c r="M285" s="192">
        <f t="shared" si="151"/>
        <v>0</v>
      </c>
      <c r="N285" s="192">
        <f t="shared" si="151"/>
        <v>0</v>
      </c>
      <c r="O285" s="192">
        <f t="shared" si="151"/>
        <v>0</v>
      </c>
      <c r="P285" s="192">
        <f t="shared" si="151"/>
        <v>0</v>
      </c>
      <c r="Q285" s="192">
        <f t="shared" si="151"/>
        <v>0</v>
      </c>
      <c r="R285" s="192">
        <f t="shared" si="151"/>
        <v>0</v>
      </c>
      <c r="S285" s="192">
        <f t="shared" si="151"/>
        <v>0</v>
      </c>
      <c r="T285" s="280">
        <f t="shared" si="151"/>
        <v>0</v>
      </c>
    </row>
    <row r="286" spans="1:20" ht="12.75" customHeight="1" x14ac:dyDescent="0.2">
      <c r="A286" s="198" t="str">
        <f>"      "&amp;Labels!B393</f>
        <v xml:space="preserve">      Manager</v>
      </c>
      <c r="B286" s="226">
        <f t="shared" ref="B286:T286" si="152">SUM(B278,B282)</f>
        <v>0</v>
      </c>
      <c r="C286" s="226">
        <f t="shared" si="152"/>
        <v>0</v>
      </c>
      <c r="D286" s="226">
        <f t="shared" si="152"/>
        <v>0</v>
      </c>
      <c r="E286" s="226">
        <f t="shared" si="152"/>
        <v>0</v>
      </c>
      <c r="F286" s="226">
        <f t="shared" si="152"/>
        <v>0</v>
      </c>
      <c r="G286" s="226">
        <f t="shared" si="152"/>
        <v>0</v>
      </c>
      <c r="H286" s="226">
        <f t="shared" si="152"/>
        <v>0</v>
      </c>
      <c r="I286" s="226">
        <f t="shared" si="152"/>
        <v>0</v>
      </c>
      <c r="J286" s="226">
        <f t="shared" si="152"/>
        <v>0</v>
      </c>
      <c r="K286" s="226">
        <f t="shared" si="152"/>
        <v>0</v>
      </c>
      <c r="L286" s="226">
        <f t="shared" si="152"/>
        <v>0</v>
      </c>
      <c r="M286" s="226">
        <f t="shared" si="152"/>
        <v>0</v>
      </c>
      <c r="N286" s="226">
        <f t="shared" si="152"/>
        <v>0</v>
      </c>
      <c r="O286" s="226">
        <f t="shared" si="152"/>
        <v>0</v>
      </c>
      <c r="P286" s="226">
        <f t="shared" si="152"/>
        <v>0</v>
      </c>
      <c r="Q286" s="226">
        <f t="shared" si="152"/>
        <v>0</v>
      </c>
      <c r="R286" s="226">
        <f t="shared" si="152"/>
        <v>0</v>
      </c>
      <c r="S286" s="226">
        <f t="shared" si="152"/>
        <v>0</v>
      </c>
      <c r="T286" s="279">
        <f t="shared" si="152"/>
        <v>0</v>
      </c>
    </row>
    <row r="287" spans="1:20" ht="12.75" customHeight="1" x14ac:dyDescent="0.2">
      <c r="A287" s="198" t="str">
        <f>"      "&amp;Labels!B394</f>
        <v xml:space="preserve">      Contributor</v>
      </c>
      <c r="B287" s="226">
        <f t="shared" ref="B287:T287" si="153">SUM(B279,B283)</f>
        <v>0</v>
      </c>
      <c r="C287" s="226">
        <f t="shared" si="153"/>
        <v>0</v>
      </c>
      <c r="D287" s="226">
        <f t="shared" si="153"/>
        <v>0</v>
      </c>
      <c r="E287" s="226">
        <f t="shared" si="153"/>
        <v>0</v>
      </c>
      <c r="F287" s="226">
        <f t="shared" si="153"/>
        <v>0</v>
      </c>
      <c r="G287" s="226">
        <f t="shared" si="153"/>
        <v>0</v>
      </c>
      <c r="H287" s="226">
        <f t="shared" si="153"/>
        <v>0</v>
      </c>
      <c r="I287" s="226">
        <f t="shared" si="153"/>
        <v>0</v>
      </c>
      <c r="J287" s="226">
        <f t="shared" si="153"/>
        <v>0</v>
      </c>
      <c r="K287" s="226">
        <f t="shared" si="153"/>
        <v>0</v>
      </c>
      <c r="L287" s="226">
        <f t="shared" si="153"/>
        <v>0</v>
      </c>
      <c r="M287" s="226">
        <f t="shared" si="153"/>
        <v>0</v>
      </c>
      <c r="N287" s="226">
        <f t="shared" si="153"/>
        <v>0</v>
      </c>
      <c r="O287" s="226">
        <f t="shared" si="153"/>
        <v>0</v>
      </c>
      <c r="P287" s="226">
        <f t="shared" si="153"/>
        <v>0</v>
      </c>
      <c r="Q287" s="226">
        <f t="shared" si="153"/>
        <v>0</v>
      </c>
      <c r="R287" s="226">
        <f t="shared" si="153"/>
        <v>0</v>
      </c>
      <c r="S287" s="226">
        <f t="shared" si="153"/>
        <v>0</v>
      </c>
      <c r="T287" s="279">
        <f t="shared" si="153"/>
        <v>0</v>
      </c>
    </row>
    <row r="288" spans="1:20" ht="12.75" customHeight="1" x14ac:dyDescent="0.2">
      <c r="A288" s="188" t="str">
        <f>"      "&amp;Labels!C392</f>
        <v xml:space="preserve">      Total</v>
      </c>
      <c r="B288" s="196">
        <f t="shared" ref="B288:T288" si="154">SUM(B280,B284)</f>
        <v>0</v>
      </c>
      <c r="C288" s="196">
        <f t="shared" si="154"/>
        <v>0</v>
      </c>
      <c r="D288" s="196">
        <f t="shared" si="154"/>
        <v>0</v>
      </c>
      <c r="E288" s="196">
        <f t="shared" si="154"/>
        <v>0</v>
      </c>
      <c r="F288" s="196">
        <f t="shared" si="154"/>
        <v>0</v>
      </c>
      <c r="G288" s="196">
        <f t="shared" si="154"/>
        <v>0</v>
      </c>
      <c r="H288" s="196">
        <f t="shared" si="154"/>
        <v>0</v>
      </c>
      <c r="I288" s="196">
        <f t="shared" si="154"/>
        <v>0</v>
      </c>
      <c r="J288" s="196">
        <f t="shared" si="154"/>
        <v>0</v>
      </c>
      <c r="K288" s="196">
        <f t="shared" si="154"/>
        <v>0</v>
      </c>
      <c r="L288" s="196">
        <f t="shared" si="154"/>
        <v>0</v>
      </c>
      <c r="M288" s="196">
        <f t="shared" si="154"/>
        <v>0</v>
      </c>
      <c r="N288" s="196">
        <f t="shared" si="154"/>
        <v>0</v>
      </c>
      <c r="O288" s="196">
        <f t="shared" si="154"/>
        <v>0</v>
      </c>
      <c r="P288" s="196">
        <f t="shared" si="154"/>
        <v>0</v>
      </c>
      <c r="Q288" s="196">
        <f t="shared" si="154"/>
        <v>0</v>
      </c>
      <c r="R288" s="196">
        <f t="shared" si="154"/>
        <v>0</v>
      </c>
      <c r="S288" s="196">
        <f t="shared" si="154"/>
        <v>0</v>
      </c>
      <c r="T288" s="267">
        <f t="shared" si="154"/>
        <v>0</v>
      </c>
    </row>
    <row r="289" spans="1:20" ht="12.75" customHeight="1" x14ac:dyDescent="0.2">
      <c r="A289" s="97" t="str">
        <f>Labels!C407</f>
        <v>Total</v>
      </c>
      <c r="B289" s="194">
        <f t="shared" ref="B289:T289" si="155">SUM(B272,B285)</f>
        <v>0</v>
      </c>
      <c r="C289" s="194">
        <f t="shared" si="155"/>
        <v>0</v>
      </c>
      <c r="D289" s="194">
        <f t="shared" si="155"/>
        <v>0</v>
      </c>
      <c r="E289" s="194">
        <f t="shared" si="155"/>
        <v>0</v>
      </c>
      <c r="F289" s="194">
        <f t="shared" si="155"/>
        <v>0</v>
      </c>
      <c r="G289" s="194">
        <f t="shared" si="155"/>
        <v>0</v>
      </c>
      <c r="H289" s="194">
        <f t="shared" si="155"/>
        <v>0</v>
      </c>
      <c r="I289" s="194">
        <f t="shared" si="155"/>
        <v>0</v>
      </c>
      <c r="J289" s="194">
        <f t="shared" si="155"/>
        <v>0</v>
      </c>
      <c r="K289" s="194">
        <f t="shared" si="155"/>
        <v>0</v>
      </c>
      <c r="L289" s="194">
        <f t="shared" si="155"/>
        <v>0</v>
      </c>
      <c r="M289" s="194">
        <f t="shared" si="155"/>
        <v>0</v>
      </c>
      <c r="N289" s="194">
        <f t="shared" si="155"/>
        <v>0</v>
      </c>
      <c r="O289" s="194">
        <f t="shared" si="155"/>
        <v>0</v>
      </c>
      <c r="P289" s="194">
        <f t="shared" si="155"/>
        <v>0</v>
      </c>
      <c r="Q289" s="194">
        <f t="shared" si="155"/>
        <v>0</v>
      </c>
      <c r="R289" s="194">
        <f t="shared" si="155"/>
        <v>0</v>
      </c>
      <c r="S289" s="194">
        <f t="shared" si="155"/>
        <v>0</v>
      </c>
      <c r="T289" s="351">
        <f t="shared" si="155"/>
        <v>0</v>
      </c>
    </row>
    <row r="290" spans="1:20" ht="12.75" customHeight="1" x14ac:dyDescent="0.2">
      <c r="A290" s="188" t="str">
        <f>"   "&amp;Labels!B321</f>
        <v xml:space="preserve">   Marketing</v>
      </c>
      <c r="B290" s="196"/>
      <c r="C290" s="196"/>
      <c r="D290" s="196"/>
      <c r="E290" s="196"/>
      <c r="F290" s="196"/>
      <c r="G290" s="196"/>
      <c r="H290" s="196"/>
      <c r="I290" s="196"/>
      <c r="J290" s="196"/>
      <c r="K290" s="196"/>
      <c r="L290" s="196"/>
      <c r="M290" s="196"/>
      <c r="N290" s="196"/>
      <c r="O290" s="196"/>
      <c r="P290" s="196"/>
      <c r="Q290" s="196"/>
      <c r="R290" s="196"/>
      <c r="S290" s="196"/>
      <c r="T290" s="267"/>
    </row>
    <row r="291" spans="1:20" ht="12.75" customHeight="1" x14ac:dyDescent="0.2">
      <c r="A291" s="198" t="str">
        <f>"      "&amp;Labels!B393</f>
        <v xml:space="preserve">      Manager</v>
      </c>
      <c r="B291" s="226">
        <f t="shared" ref="B291:T291" si="156">SUM(B265,B278)</f>
        <v>0</v>
      </c>
      <c r="C291" s="226">
        <f t="shared" si="156"/>
        <v>0</v>
      </c>
      <c r="D291" s="226">
        <f t="shared" si="156"/>
        <v>0</v>
      </c>
      <c r="E291" s="226">
        <f t="shared" si="156"/>
        <v>0</v>
      </c>
      <c r="F291" s="226">
        <f t="shared" si="156"/>
        <v>0</v>
      </c>
      <c r="G291" s="226">
        <f t="shared" si="156"/>
        <v>0</v>
      </c>
      <c r="H291" s="226">
        <f t="shared" si="156"/>
        <v>0</v>
      </c>
      <c r="I291" s="226">
        <f t="shared" si="156"/>
        <v>0</v>
      </c>
      <c r="J291" s="226">
        <f t="shared" si="156"/>
        <v>0</v>
      </c>
      <c r="K291" s="226">
        <f t="shared" si="156"/>
        <v>0</v>
      </c>
      <c r="L291" s="226">
        <f t="shared" si="156"/>
        <v>0</v>
      </c>
      <c r="M291" s="226">
        <f t="shared" si="156"/>
        <v>0</v>
      </c>
      <c r="N291" s="226">
        <f t="shared" si="156"/>
        <v>0</v>
      </c>
      <c r="O291" s="226">
        <f t="shared" si="156"/>
        <v>0</v>
      </c>
      <c r="P291" s="226">
        <f t="shared" si="156"/>
        <v>0</v>
      </c>
      <c r="Q291" s="226">
        <f t="shared" si="156"/>
        <v>0</v>
      </c>
      <c r="R291" s="226">
        <f t="shared" si="156"/>
        <v>0</v>
      </c>
      <c r="S291" s="226">
        <f t="shared" si="156"/>
        <v>0</v>
      </c>
      <c r="T291" s="279">
        <f t="shared" si="156"/>
        <v>0</v>
      </c>
    </row>
    <row r="292" spans="1:20" ht="12.75" customHeight="1" x14ac:dyDescent="0.2">
      <c r="A292" s="198" t="str">
        <f>"      "&amp;Labels!B394</f>
        <v xml:space="preserve">      Contributor</v>
      </c>
      <c r="B292" s="226">
        <f t="shared" ref="B292:T292" si="157">SUM(B266,B279)</f>
        <v>0</v>
      </c>
      <c r="C292" s="226">
        <f t="shared" si="157"/>
        <v>0</v>
      </c>
      <c r="D292" s="226">
        <f t="shared" si="157"/>
        <v>0</v>
      </c>
      <c r="E292" s="226">
        <f t="shared" si="157"/>
        <v>0</v>
      </c>
      <c r="F292" s="226">
        <f t="shared" si="157"/>
        <v>0</v>
      </c>
      <c r="G292" s="226">
        <f t="shared" si="157"/>
        <v>0</v>
      </c>
      <c r="H292" s="226">
        <f t="shared" si="157"/>
        <v>0</v>
      </c>
      <c r="I292" s="226">
        <f t="shared" si="157"/>
        <v>0</v>
      </c>
      <c r="J292" s="226">
        <f t="shared" si="157"/>
        <v>0</v>
      </c>
      <c r="K292" s="226">
        <f t="shared" si="157"/>
        <v>0</v>
      </c>
      <c r="L292" s="226">
        <f t="shared" si="157"/>
        <v>0</v>
      </c>
      <c r="M292" s="226">
        <f t="shared" si="157"/>
        <v>0</v>
      </c>
      <c r="N292" s="226">
        <f t="shared" si="157"/>
        <v>0</v>
      </c>
      <c r="O292" s="226">
        <f t="shared" si="157"/>
        <v>0</v>
      </c>
      <c r="P292" s="226">
        <f t="shared" si="157"/>
        <v>0</v>
      </c>
      <c r="Q292" s="226">
        <f t="shared" si="157"/>
        <v>0</v>
      </c>
      <c r="R292" s="226">
        <f t="shared" si="157"/>
        <v>0</v>
      </c>
      <c r="S292" s="226">
        <f t="shared" si="157"/>
        <v>0</v>
      </c>
      <c r="T292" s="279">
        <f t="shared" si="157"/>
        <v>0</v>
      </c>
    </row>
    <row r="293" spans="1:20" ht="12.75" customHeight="1" x14ac:dyDescent="0.2">
      <c r="A293" s="188" t="str">
        <f>"      "&amp;Labels!C392</f>
        <v xml:space="preserve">      Total</v>
      </c>
      <c r="B293" s="196">
        <f t="shared" ref="B293:T293" si="158">SUM(B267,B280)</f>
        <v>0</v>
      </c>
      <c r="C293" s="196">
        <f t="shared" si="158"/>
        <v>0</v>
      </c>
      <c r="D293" s="196">
        <f t="shared" si="158"/>
        <v>0</v>
      </c>
      <c r="E293" s="196">
        <f t="shared" si="158"/>
        <v>0</v>
      </c>
      <c r="F293" s="196">
        <f t="shared" si="158"/>
        <v>0</v>
      </c>
      <c r="G293" s="196">
        <f t="shared" si="158"/>
        <v>0</v>
      </c>
      <c r="H293" s="196">
        <f t="shared" si="158"/>
        <v>0</v>
      </c>
      <c r="I293" s="196">
        <f t="shared" si="158"/>
        <v>0</v>
      </c>
      <c r="J293" s="196">
        <f t="shared" si="158"/>
        <v>0</v>
      </c>
      <c r="K293" s="196">
        <f t="shared" si="158"/>
        <v>0</v>
      </c>
      <c r="L293" s="196">
        <f t="shared" si="158"/>
        <v>0</v>
      </c>
      <c r="M293" s="196">
        <f t="shared" si="158"/>
        <v>0</v>
      </c>
      <c r="N293" s="196">
        <f t="shared" si="158"/>
        <v>0</v>
      </c>
      <c r="O293" s="196">
        <f t="shared" si="158"/>
        <v>0</v>
      </c>
      <c r="P293" s="196">
        <f t="shared" si="158"/>
        <v>0</v>
      </c>
      <c r="Q293" s="196">
        <f t="shared" si="158"/>
        <v>0</v>
      </c>
      <c r="R293" s="196">
        <f t="shared" si="158"/>
        <v>0</v>
      </c>
      <c r="S293" s="196">
        <f t="shared" si="158"/>
        <v>0</v>
      </c>
      <c r="T293" s="267">
        <f t="shared" si="158"/>
        <v>0</v>
      </c>
    </row>
    <row r="294" spans="1:20" ht="12.75" customHeight="1" x14ac:dyDescent="0.2">
      <c r="A294" s="188" t="str">
        <f>"   "&amp;Labels!B322</f>
        <v xml:space="preserve">   Sales</v>
      </c>
      <c r="B294" s="196"/>
      <c r="C294" s="196"/>
      <c r="D294" s="196"/>
      <c r="E294" s="196"/>
      <c r="F294" s="196"/>
      <c r="G294" s="196"/>
      <c r="H294" s="196"/>
      <c r="I294" s="196"/>
      <c r="J294" s="196"/>
      <c r="K294" s="196"/>
      <c r="L294" s="196"/>
      <c r="M294" s="196"/>
      <c r="N294" s="196"/>
      <c r="O294" s="196"/>
      <c r="P294" s="196"/>
      <c r="Q294" s="196"/>
      <c r="R294" s="196"/>
      <c r="S294" s="196"/>
      <c r="T294" s="267"/>
    </row>
    <row r="295" spans="1:20" ht="12.75" customHeight="1" x14ac:dyDescent="0.2">
      <c r="A295" s="198" t="str">
        <f>"      "&amp;Labels!B393</f>
        <v xml:space="preserve">      Manager</v>
      </c>
      <c r="B295" s="226">
        <f t="shared" ref="B295:T295" si="159">SUM(B269,B282)</f>
        <v>0</v>
      </c>
      <c r="C295" s="226">
        <f t="shared" si="159"/>
        <v>0</v>
      </c>
      <c r="D295" s="226">
        <f t="shared" si="159"/>
        <v>0</v>
      </c>
      <c r="E295" s="226">
        <f t="shared" si="159"/>
        <v>0</v>
      </c>
      <c r="F295" s="226">
        <f t="shared" si="159"/>
        <v>0</v>
      </c>
      <c r="G295" s="226">
        <f t="shared" si="159"/>
        <v>0</v>
      </c>
      <c r="H295" s="226">
        <f t="shared" si="159"/>
        <v>0</v>
      </c>
      <c r="I295" s="226">
        <f t="shared" si="159"/>
        <v>0</v>
      </c>
      <c r="J295" s="226">
        <f t="shared" si="159"/>
        <v>0</v>
      </c>
      <c r="K295" s="226">
        <f t="shared" si="159"/>
        <v>0</v>
      </c>
      <c r="L295" s="226">
        <f t="shared" si="159"/>
        <v>0</v>
      </c>
      <c r="M295" s="226">
        <f t="shared" si="159"/>
        <v>0</v>
      </c>
      <c r="N295" s="226">
        <f t="shared" si="159"/>
        <v>0</v>
      </c>
      <c r="O295" s="226">
        <f t="shared" si="159"/>
        <v>0</v>
      </c>
      <c r="P295" s="226">
        <f t="shared" si="159"/>
        <v>0</v>
      </c>
      <c r="Q295" s="226">
        <f t="shared" si="159"/>
        <v>0</v>
      </c>
      <c r="R295" s="226">
        <f t="shared" si="159"/>
        <v>0</v>
      </c>
      <c r="S295" s="226">
        <f t="shared" si="159"/>
        <v>0</v>
      </c>
      <c r="T295" s="279">
        <f t="shared" si="159"/>
        <v>0</v>
      </c>
    </row>
    <row r="296" spans="1:20" ht="12.75" customHeight="1" x14ac:dyDescent="0.2">
      <c r="A296" s="198" t="str">
        <f>"      "&amp;Labels!B394</f>
        <v xml:space="preserve">      Contributor</v>
      </c>
      <c r="B296" s="226">
        <f t="shared" ref="B296:T296" si="160">SUM(B270,B283)</f>
        <v>0</v>
      </c>
      <c r="C296" s="226">
        <f t="shared" si="160"/>
        <v>0</v>
      </c>
      <c r="D296" s="226">
        <f t="shared" si="160"/>
        <v>0</v>
      </c>
      <c r="E296" s="226">
        <f t="shared" si="160"/>
        <v>0</v>
      </c>
      <c r="F296" s="226">
        <f t="shared" si="160"/>
        <v>0</v>
      </c>
      <c r="G296" s="226">
        <f t="shared" si="160"/>
        <v>0</v>
      </c>
      <c r="H296" s="226">
        <f t="shared" si="160"/>
        <v>0</v>
      </c>
      <c r="I296" s="226">
        <f t="shared" si="160"/>
        <v>0</v>
      </c>
      <c r="J296" s="226">
        <f t="shared" si="160"/>
        <v>0</v>
      </c>
      <c r="K296" s="226">
        <f t="shared" si="160"/>
        <v>0</v>
      </c>
      <c r="L296" s="226">
        <f t="shared" si="160"/>
        <v>0</v>
      </c>
      <c r="M296" s="226">
        <f t="shared" si="160"/>
        <v>0</v>
      </c>
      <c r="N296" s="226">
        <f t="shared" si="160"/>
        <v>0</v>
      </c>
      <c r="O296" s="226">
        <f t="shared" si="160"/>
        <v>0</v>
      </c>
      <c r="P296" s="226">
        <f t="shared" si="160"/>
        <v>0</v>
      </c>
      <c r="Q296" s="226">
        <f t="shared" si="160"/>
        <v>0</v>
      </c>
      <c r="R296" s="226">
        <f t="shared" si="160"/>
        <v>0</v>
      </c>
      <c r="S296" s="226">
        <f t="shared" si="160"/>
        <v>0</v>
      </c>
      <c r="T296" s="279">
        <f t="shared" si="160"/>
        <v>0</v>
      </c>
    </row>
    <row r="297" spans="1:20" ht="12.75" customHeight="1" x14ac:dyDescent="0.2">
      <c r="A297" s="188" t="str">
        <f>"      "&amp;Labels!C392</f>
        <v xml:space="preserve">      Total</v>
      </c>
      <c r="B297" s="196">
        <f t="shared" ref="B297:T297" si="161">SUM(B271,B284)</f>
        <v>0</v>
      </c>
      <c r="C297" s="196">
        <f t="shared" si="161"/>
        <v>0</v>
      </c>
      <c r="D297" s="196">
        <f t="shared" si="161"/>
        <v>0</v>
      </c>
      <c r="E297" s="196">
        <f t="shared" si="161"/>
        <v>0</v>
      </c>
      <c r="F297" s="196">
        <f t="shared" si="161"/>
        <v>0</v>
      </c>
      <c r="G297" s="196">
        <f t="shared" si="161"/>
        <v>0</v>
      </c>
      <c r="H297" s="196">
        <f t="shared" si="161"/>
        <v>0</v>
      </c>
      <c r="I297" s="196">
        <f t="shared" si="161"/>
        <v>0</v>
      </c>
      <c r="J297" s="196">
        <f t="shared" si="161"/>
        <v>0</v>
      </c>
      <c r="K297" s="196">
        <f t="shared" si="161"/>
        <v>0</v>
      </c>
      <c r="L297" s="196">
        <f t="shared" si="161"/>
        <v>0</v>
      </c>
      <c r="M297" s="196">
        <f t="shared" si="161"/>
        <v>0</v>
      </c>
      <c r="N297" s="196">
        <f t="shared" si="161"/>
        <v>0</v>
      </c>
      <c r="O297" s="196">
        <f t="shared" si="161"/>
        <v>0</v>
      </c>
      <c r="P297" s="196">
        <f t="shared" si="161"/>
        <v>0</v>
      </c>
      <c r="Q297" s="196">
        <f t="shared" si="161"/>
        <v>0</v>
      </c>
      <c r="R297" s="196">
        <f t="shared" si="161"/>
        <v>0</v>
      </c>
      <c r="S297" s="196">
        <f t="shared" si="161"/>
        <v>0</v>
      </c>
      <c r="T297" s="267">
        <f t="shared" si="161"/>
        <v>0</v>
      </c>
    </row>
    <row r="298" spans="1:20" ht="12.75" customHeight="1" x14ac:dyDescent="0.2">
      <c r="A298" s="191" t="str">
        <f>"   "&amp;Labels!C320</f>
        <v xml:space="preserve">   Total</v>
      </c>
      <c r="B298" s="192">
        <f t="shared" ref="B298:T298" si="162">SUM(B272,B285)</f>
        <v>0</v>
      </c>
      <c r="C298" s="192">
        <f t="shared" si="162"/>
        <v>0</v>
      </c>
      <c r="D298" s="192">
        <f t="shared" si="162"/>
        <v>0</v>
      </c>
      <c r="E298" s="192">
        <f t="shared" si="162"/>
        <v>0</v>
      </c>
      <c r="F298" s="192">
        <f t="shared" si="162"/>
        <v>0</v>
      </c>
      <c r="G298" s="192">
        <f t="shared" si="162"/>
        <v>0</v>
      </c>
      <c r="H298" s="192">
        <f t="shared" si="162"/>
        <v>0</v>
      </c>
      <c r="I298" s="192">
        <f t="shared" si="162"/>
        <v>0</v>
      </c>
      <c r="J298" s="192">
        <f t="shared" si="162"/>
        <v>0</v>
      </c>
      <c r="K298" s="192">
        <f t="shared" si="162"/>
        <v>0</v>
      </c>
      <c r="L298" s="192">
        <f t="shared" si="162"/>
        <v>0</v>
      </c>
      <c r="M298" s="192">
        <f t="shared" si="162"/>
        <v>0</v>
      </c>
      <c r="N298" s="192">
        <f t="shared" si="162"/>
        <v>0</v>
      </c>
      <c r="O298" s="192">
        <f t="shared" si="162"/>
        <v>0</v>
      </c>
      <c r="P298" s="192">
        <f t="shared" si="162"/>
        <v>0</v>
      </c>
      <c r="Q298" s="192">
        <f t="shared" si="162"/>
        <v>0</v>
      </c>
      <c r="R298" s="192">
        <f t="shared" si="162"/>
        <v>0</v>
      </c>
      <c r="S298" s="192">
        <f t="shared" si="162"/>
        <v>0</v>
      </c>
      <c r="T298" s="280">
        <f t="shared" si="162"/>
        <v>0</v>
      </c>
    </row>
    <row r="299" spans="1:20" ht="12.75" customHeight="1" x14ac:dyDescent="0.2">
      <c r="A299" s="198" t="str">
        <f>"      "&amp;Labels!B393</f>
        <v xml:space="preserve">      Manager</v>
      </c>
      <c r="B299" s="226">
        <f t="shared" ref="B299:T299" si="163">SUM(B273,B286)</f>
        <v>0</v>
      </c>
      <c r="C299" s="226">
        <f t="shared" si="163"/>
        <v>0</v>
      </c>
      <c r="D299" s="226">
        <f t="shared" si="163"/>
        <v>0</v>
      </c>
      <c r="E299" s="226">
        <f t="shared" si="163"/>
        <v>0</v>
      </c>
      <c r="F299" s="226">
        <f t="shared" si="163"/>
        <v>0</v>
      </c>
      <c r="G299" s="226">
        <f t="shared" si="163"/>
        <v>0</v>
      </c>
      <c r="H299" s="226">
        <f t="shared" si="163"/>
        <v>0</v>
      </c>
      <c r="I299" s="226">
        <f t="shared" si="163"/>
        <v>0</v>
      </c>
      <c r="J299" s="226">
        <f t="shared" si="163"/>
        <v>0</v>
      </c>
      <c r="K299" s="226">
        <f t="shared" si="163"/>
        <v>0</v>
      </c>
      <c r="L299" s="226">
        <f t="shared" si="163"/>
        <v>0</v>
      </c>
      <c r="M299" s="226">
        <f t="shared" si="163"/>
        <v>0</v>
      </c>
      <c r="N299" s="226">
        <f t="shared" si="163"/>
        <v>0</v>
      </c>
      <c r="O299" s="226">
        <f t="shared" si="163"/>
        <v>0</v>
      </c>
      <c r="P299" s="226">
        <f t="shared" si="163"/>
        <v>0</v>
      </c>
      <c r="Q299" s="226">
        <f t="shared" si="163"/>
        <v>0</v>
      </c>
      <c r="R299" s="226">
        <f t="shared" si="163"/>
        <v>0</v>
      </c>
      <c r="S299" s="226">
        <f t="shared" si="163"/>
        <v>0</v>
      </c>
      <c r="T299" s="279">
        <f t="shared" si="163"/>
        <v>0</v>
      </c>
    </row>
    <row r="300" spans="1:20" ht="12.75" customHeight="1" x14ac:dyDescent="0.2">
      <c r="A300" s="198" t="str">
        <f>"      "&amp;Labels!B394</f>
        <v xml:space="preserve">      Contributor</v>
      </c>
      <c r="B300" s="226">
        <f t="shared" ref="B300:T300" si="164">SUM(B274,B287)</f>
        <v>0</v>
      </c>
      <c r="C300" s="226">
        <f t="shared" si="164"/>
        <v>0</v>
      </c>
      <c r="D300" s="226">
        <f t="shared" si="164"/>
        <v>0</v>
      </c>
      <c r="E300" s="226">
        <f t="shared" si="164"/>
        <v>0</v>
      </c>
      <c r="F300" s="226">
        <f t="shared" si="164"/>
        <v>0</v>
      </c>
      <c r="G300" s="226">
        <f t="shared" si="164"/>
        <v>0</v>
      </c>
      <c r="H300" s="226">
        <f t="shared" si="164"/>
        <v>0</v>
      </c>
      <c r="I300" s="226">
        <f t="shared" si="164"/>
        <v>0</v>
      </c>
      <c r="J300" s="226">
        <f t="shared" si="164"/>
        <v>0</v>
      </c>
      <c r="K300" s="226">
        <f t="shared" si="164"/>
        <v>0</v>
      </c>
      <c r="L300" s="226">
        <f t="shared" si="164"/>
        <v>0</v>
      </c>
      <c r="M300" s="226">
        <f t="shared" si="164"/>
        <v>0</v>
      </c>
      <c r="N300" s="226">
        <f t="shared" si="164"/>
        <v>0</v>
      </c>
      <c r="O300" s="226">
        <f t="shared" si="164"/>
        <v>0</v>
      </c>
      <c r="P300" s="226">
        <f t="shared" si="164"/>
        <v>0</v>
      </c>
      <c r="Q300" s="226">
        <f t="shared" si="164"/>
        <v>0</v>
      </c>
      <c r="R300" s="226">
        <f t="shared" si="164"/>
        <v>0</v>
      </c>
      <c r="S300" s="226">
        <f t="shared" si="164"/>
        <v>0</v>
      </c>
      <c r="T300" s="279">
        <f t="shared" si="164"/>
        <v>0</v>
      </c>
    </row>
    <row r="301" spans="1:20" ht="12.75" customHeight="1" x14ac:dyDescent="0.2">
      <c r="A301" s="220" t="str">
        <f>"      "&amp;Labels!C392</f>
        <v xml:space="preserve">      Total</v>
      </c>
      <c r="B301" s="228">
        <f t="shared" ref="B301:T301" si="165">SUM(B272,B285)</f>
        <v>0</v>
      </c>
      <c r="C301" s="228">
        <f t="shared" si="165"/>
        <v>0</v>
      </c>
      <c r="D301" s="228">
        <f t="shared" si="165"/>
        <v>0</v>
      </c>
      <c r="E301" s="228">
        <f t="shared" si="165"/>
        <v>0</v>
      </c>
      <c r="F301" s="228">
        <f t="shared" si="165"/>
        <v>0</v>
      </c>
      <c r="G301" s="228">
        <f t="shared" si="165"/>
        <v>0</v>
      </c>
      <c r="H301" s="228">
        <f t="shared" si="165"/>
        <v>0</v>
      </c>
      <c r="I301" s="228">
        <f t="shared" si="165"/>
        <v>0</v>
      </c>
      <c r="J301" s="228">
        <f t="shared" si="165"/>
        <v>0</v>
      </c>
      <c r="K301" s="228">
        <f t="shared" si="165"/>
        <v>0</v>
      </c>
      <c r="L301" s="228">
        <f t="shared" si="165"/>
        <v>0</v>
      </c>
      <c r="M301" s="228">
        <f t="shared" si="165"/>
        <v>0</v>
      </c>
      <c r="N301" s="228">
        <f t="shared" si="165"/>
        <v>0</v>
      </c>
      <c r="O301" s="228">
        <f t="shared" si="165"/>
        <v>0</v>
      </c>
      <c r="P301" s="228">
        <f t="shared" si="165"/>
        <v>0</v>
      </c>
      <c r="Q301" s="228">
        <f t="shared" si="165"/>
        <v>0</v>
      </c>
      <c r="R301" s="228">
        <f t="shared" si="165"/>
        <v>0</v>
      </c>
      <c r="S301" s="228">
        <f t="shared" si="165"/>
        <v>0</v>
      </c>
      <c r="T301" s="281">
        <f t="shared" si="165"/>
        <v>0</v>
      </c>
    </row>
    <row r="302" spans="1:20" ht="12.75" customHeight="1" x14ac:dyDescent="0.2">
      <c r="A302" s="1" t="str">
        <f>"Untagged_Asset_Purch_6"</f>
        <v>Untagged_Asset_Purch_6</v>
      </c>
    </row>
    <row r="303" spans="1:20" ht="12.75" customHeight="1" x14ac:dyDescent="0.2">
      <c r="B303" s="9" t="str">
        <f>'(FnCalls 1)'!F40</f>
        <v>MMM 2009</v>
      </c>
      <c r="C303" s="10" t="str">
        <f>'(FnCalls 1)'!F41</f>
        <v>MMM 2010</v>
      </c>
      <c r="D303" s="10" t="str">
        <f>'(FnCalls 1)'!F42</f>
        <v>MMM 2010</v>
      </c>
      <c r="E303" s="10" t="str">
        <f>'(FnCalls 1)'!F43</f>
        <v>MMM 2010</v>
      </c>
      <c r="F303" s="10" t="str">
        <f>'(FnCalls 1)'!F44</f>
        <v>MMM 2010</v>
      </c>
      <c r="G303" s="10" t="str">
        <f>'(FnCalls 1)'!F45</f>
        <v>MMM 2010</v>
      </c>
      <c r="H303" s="10" t="str">
        <f>'(FnCalls 1)'!F46</f>
        <v>MMM 2010</v>
      </c>
      <c r="I303" s="10" t="str">
        <f>'(FnCalls 1)'!F47</f>
        <v>MMM 2010</v>
      </c>
      <c r="J303" s="10" t="str">
        <f>'(FnCalls 1)'!F48</f>
        <v>MMM 2010</v>
      </c>
      <c r="K303" s="10" t="str">
        <f>'(FnCalls 1)'!F49</f>
        <v>MMM 2010</v>
      </c>
      <c r="L303" s="10" t="str">
        <f>'(FnCalls 1)'!F50</f>
        <v>MMM 2010</v>
      </c>
      <c r="M303" s="10" t="str">
        <f>'(FnCalls 1)'!F51</f>
        <v>MMM 2010</v>
      </c>
      <c r="N303" s="10" t="str">
        <f>'(FnCalls 1)'!F52</f>
        <v>MMM 2010</v>
      </c>
      <c r="O303" s="10" t="str">
        <f>'(FnCalls 1)'!F53</f>
        <v>MMM 2011</v>
      </c>
      <c r="P303" s="10" t="str">
        <f>'(FnCalls 1)'!F54</f>
        <v>MMM 2011</v>
      </c>
      <c r="Q303" s="10" t="str">
        <f>'(FnCalls 1)'!F55</f>
        <v>MMM 2011</v>
      </c>
      <c r="R303" s="10" t="str">
        <f>'(FnCalls 1)'!F56</f>
        <v>MMM 2011</v>
      </c>
      <c r="S303" s="10" t="str">
        <f>'(FnCalls 1)'!F57</f>
        <v>MMM 2011</v>
      </c>
      <c r="T303" s="11" t="str">
        <f>'(FnCalls 1)'!F58</f>
        <v>MMM 2011</v>
      </c>
    </row>
    <row r="304" spans="1:20" ht="12.75" customHeight="1" x14ac:dyDescent="0.2">
      <c r="A304" s="182" t="str">
        <f>Labels!B408</f>
        <v>Furniture</v>
      </c>
      <c r="B304" s="183"/>
      <c r="C304" s="183"/>
      <c r="D304" s="183"/>
      <c r="E304" s="183"/>
      <c r="F304" s="183"/>
      <c r="G304" s="183"/>
      <c r="H304" s="183"/>
      <c r="I304" s="183"/>
      <c r="J304" s="183"/>
      <c r="K304" s="183"/>
      <c r="L304" s="183"/>
      <c r="M304" s="183"/>
      <c r="N304" s="183"/>
      <c r="O304" s="183"/>
      <c r="P304" s="183"/>
      <c r="Q304" s="183"/>
      <c r="R304" s="183"/>
      <c r="S304" s="183"/>
      <c r="T304" s="266"/>
    </row>
    <row r="305" spans="1:20" ht="12.75" customHeight="1" x14ac:dyDescent="0.2">
      <c r="A305" s="188" t="str">
        <f>"   "&amp;Labels!B381</f>
        <v xml:space="preserve">   Practice 1</v>
      </c>
      <c r="B305" s="196"/>
      <c r="C305" s="196"/>
      <c r="D305" s="196"/>
      <c r="E305" s="196"/>
      <c r="F305" s="196"/>
      <c r="G305" s="196"/>
      <c r="H305" s="196"/>
      <c r="I305" s="196"/>
      <c r="J305" s="196"/>
      <c r="K305" s="196"/>
      <c r="L305" s="196"/>
      <c r="M305" s="196"/>
      <c r="N305" s="196"/>
      <c r="O305" s="196"/>
      <c r="P305" s="196"/>
      <c r="Q305" s="196"/>
      <c r="R305" s="196"/>
      <c r="S305" s="196"/>
      <c r="T305" s="267"/>
    </row>
    <row r="306" spans="1:20" ht="12.75" customHeight="1" x14ac:dyDescent="0.2">
      <c r="A306" s="198" t="str">
        <f>"      "&amp;Labels!B385</f>
        <v xml:space="preserve">      Prof Level 1</v>
      </c>
      <c r="B306" s="226">
        <f>Inputs!F387*0/12</f>
        <v>0</v>
      </c>
      <c r="C306" s="226">
        <f>Inputs!F387*0/12</f>
        <v>0</v>
      </c>
      <c r="D306" s="226">
        <f>Inputs!F387*'GM CostSvcs'!B479/12</f>
        <v>0</v>
      </c>
      <c r="E306" s="226">
        <f>Inputs!F387*'GM CostSvcs'!C479/12</f>
        <v>0</v>
      </c>
      <c r="F306" s="226">
        <f>Inputs!F387*'GM CostSvcs'!D479/12</f>
        <v>0</v>
      </c>
      <c r="G306" s="226">
        <f>Inputs!F387*'GM CostSvcs'!F479/12</f>
        <v>0</v>
      </c>
      <c r="H306" s="226">
        <f>Inputs!F387*'GM CostSvcs'!G479/12</f>
        <v>0</v>
      </c>
      <c r="I306" s="226">
        <f>Inputs!F387*'GM CostSvcs'!H479/12</f>
        <v>0</v>
      </c>
      <c r="J306" s="226">
        <f>Inputs!F387*'GM CostSvcs'!J479/12</f>
        <v>0</v>
      </c>
      <c r="K306" s="226">
        <f>Inputs!F387*'GM CostSvcs'!K479/12</f>
        <v>0</v>
      </c>
      <c r="L306" s="226">
        <f>Inputs!F387*'GM CostSvcs'!L479/12</f>
        <v>0</v>
      </c>
      <c r="M306" s="226">
        <f>Inputs!F387*'GM CostSvcs'!N479/12</f>
        <v>0</v>
      </c>
      <c r="N306" s="226">
        <f>Inputs!F387*'GM CostSvcs'!O479/12</f>
        <v>0</v>
      </c>
      <c r="O306" s="226">
        <f>Inputs!F387*'GM CostSvcs'!P479/12</f>
        <v>0</v>
      </c>
      <c r="P306" s="226">
        <f>Inputs!F387*'GM CostSvcs'!R479/12</f>
        <v>0</v>
      </c>
      <c r="Q306" s="226">
        <f>Inputs!F387*'GM CostSvcs'!S479/12</f>
        <v>0</v>
      </c>
      <c r="R306" s="226">
        <f>Inputs!F387*'GM CostSvcs'!T479/12</f>
        <v>0</v>
      </c>
      <c r="S306" s="226">
        <f>Inputs!F387*'GM CostSvcs'!V479/12</f>
        <v>0</v>
      </c>
      <c r="T306" s="279">
        <f>Inputs!F387*'GM CostSvcs'!W479/12</f>
        <v>0</v>
      </c>
    </row>
    <row r="307" spans="1:20" ht="12.75" customHeight="1" x14ac:dyDescent="0.2">
      <c r="A307" s="198" t="str">
        <f>"      "&amp;Labels!B386</f>
        <v xml:space="preserve">      Prof Level 2</v>
      </c>
      <c r="B307" s="226">
        <f>Inputs!F387*0/12</f>
        <v>0</v>
      </c>
      <c r="C307" s="226">
        <f>Inputs!F387*0/12</f>
        <v>0</v>
      </c>
      <c r="D307" s="226">
        <f>Inputs!F387*'GM CostSvcs'!B480/12</f>
        <v>0</v>
      </c>
      <c r="E307" s="226">
        <f>Inputs!F387*'GM CostSvcs'!C480/12</f>
        <v>0</v>
      </c>
      <c r="F307" s="226">
        <f>Inputs!F387*'GM CostSvcs'!D480/12</f>
        <v>0</v>
      </c>
      <c r="G307" s="226">
        <f>Inputs!F387*'GM CostSvcs'!F480/12</f>
        <v>0</v>
      </c>
      <c r="H307" s="226">
        <f>Inputs!F387*'GM CostSvcs'!G480/12</f>
        <v>0</v>
      </c>
      <c r="I307" s="226">
        <f>Inputs!F387*'GM CostSvcs'!H480/12</f>
        <v>0</v>
      </c>
      <c r="J307" s="226">
        <f>Inputs!F387*'GM CostSvcs'!J480/12</f>
        <v>0</v>
      </c>
      <c r="K307" s="226">
        <f>Inputs!F387*'GM CostSvcs'!K480/12</f>
        <v>0</v>
      </c>
      <c r="L307" s="226">
        <f>Inputs!F387*'GM CostSvcs'!L480/12</f>
        <v>0</v>
      </c>
      <c r="M307" s="226">
        <f>Inputs!F387*'GM CostSvcs'!N480/12</f>
        <v>0</v>
      </c>
      <c r="N307" s="226">
        <f>Inputs!F387*'GM CostSvcs'!O480/12</f>
        <v>0</v>
      </c>
      <c r="O307" s="226">
        <f>Inputs!F387*'GM CostSvcs'!P480/12</f>
        <v>0</v>
      </c>
      <c r="P307" s="226">
        <f>Inputs!F387*'GM CostSvcs'!R480/12</f>
        <v>0</v>
      </c>
      <c r="Q307" s="226">
        <f>Inputs!F387*'GM CostSvcs'!S480/12</f>
        <v>0</v>
      </c>
      <c r="R307" s="226">
        <f>Inputs!F387*'GM CostSvcs'!T480/12</f>
        <v>0</v>
      </c>
      <c r="S307" s="226">
        <f>Inputs!F387*'GM CostSvcs'!V480/12</f>
        <v>0</v>
      </c>
      <c r="T307" s="279">
        <f>Inputs!F387*'GM CostSvcs'!W480/12</f>
        <v>0</v>
      </c>
    </row>
    <row r="308" spans="1:20" ht="12.75" customHeight="1" x14ac:dyDescent="0.2">
      <c r="A308" s="188" t="str">
        <f>"      "&amp;Labels!C384</f>
        <v xml:space="preserve">      Total</v>
      </c>
      <c r="B308" s="196">
        <f t="shared" ref="B308:T308" si="166">SUM(B306:B307)</f>
        <v>0</v>
      </c>
      <c r="C308" s="196">
        <f t="shared" si="166"/>
        <v>0</v>
      </c>
      <c r="D308" s="196">
        <f t="shared" si="166"/>
        <v>0</v>
      </c>
      <c r="E308" s="196">
        <f t="shared" si="166"/>
        <v>0</v>
      </c>
      <c r="F308" s="196">
        <f t="shared" si="166"/>
        <v>0</v>
      </c>
      <c r="G308" s="196">
        <f t="shared" si="166"/>
        <v>0</v>
      </c>
      <c r="H308" s="196">
        <f t="shared" si="166"/>
        <v>0</v>
      </c>
      <c r="I308" s="196">
        <f t="shared" si="166"/>
        <v>0</v>
      </c>
      <c r="J308" s="196">
        <f t="shared" si="166"/>
        <v>0</v>
      </c>
      <c r="K308" s="196">
        <f t="shared" si="166"/>
        <v>0</v>
      </c>
      <c r="L308" s="196">
        <f t="shared" si="166"/>
        <v>0</v>
      </c>
      <c r="M308" s="196">
        <f t="shared" si="166"/>
        <v>0</v>
      </c>
      <c r="N308" s="196">
        <f t="shared" si="166"/>
        <v>0</v>
      </c>
      <c r="O308" s="196">
        <f t="shared" si="166"/>
        <v>0</v>
      </c>
      <c r="P308" s="196">
        <f t="shared" si="166"/>
        <v>0</v>
      </c>
      <c r="Q308" s="196">
        <f t="shared" si="166"/>
        <v>0</v>
      </c>
      <c r="R308" s="196">
        <f t="shared" si="166"/>
        <v>0</v>
      </c>
      <c r="S308" s="196">
        <f t="shared" si="166"/>
        <v>0</v>
      </c>
      <c r="T308" s="267">
        <f t="shared" si="166"/>
        <v>0</v>
      </c>
    </row>
    <row r="309" spans="1:20" ht="12.75" customHeight="1" x14ac:dyDescent="0.2">
      <c r="A309" s="188" t="str">
        <f>"   "&amp;Labels!B382</f>
        <v xml:space="preserve">   Practice 2</v>
      </c>
      <c r="B309" s="196"/>
      <c r="C309" s="196"/>
      <c r="D309" s="196"/>
      <c r="E309" s="196"/>
      <c r="F309" s="196"/>
      <c r="G309" s="196"/>
      <c r="H309" s="196"/>
      <c r="I309" s="196"/>
      <c r="J309" s="196"/>
      <c r="K309" s="196"/>
      <c r="L309" s="196"/>
      <c r="M309" s="196"/>
      <c r="N309" s="196"/>
      <c r="O309" s="196"/>
      <c r="P309" s="196"/>
      <c r="Q309" s="196"/>
      <c r="R309" s="196"/>
      <c r="S309" s="196"/>
      <c r="T309" s="267"/>
    </row>
    <row r="310" spans="1:20" ht="12.75" customHeight="1" x14ac:dyDescent="0.2">
      <c r="A310" s="198" t="str">
        <f>"      "&amp;Labels!B385</f>
        <v xml:space="preserve">      Prof Level 1</v>
      </c>
      <c r="B310" s="226">
        <f>Inputs!F387*0/12</f>
        <v>0</v>
      </c>
      <c r="C310" s="226">
        <f>Inputs!F387*0/12</f>
        <v>0</v>
      </c>
      <c r="D310" s="226">
        <f>Inputs!F387*'GM CostSvcs'!B483/12</f>
        <v>0</v>
      </c>
      <c r="E310" s="226">
        <f>Inputs!F387*'GM CostSvcs'!C483/12</f>
        <v>0</v>
      </c>
      <c r="F310" s="226">
        <f>Inputs!F387*'GM CostSvcs'!D483/12</f>
        <v>0</v>
      </c>
      <c r="G310" s="226">
        <f>Inputs!F387*'GM CostSvcs'!F483/12</f>
        <v>0</v>
      </c>
      <c r="H310" s="226">
        <f>Inputs!F387*'GM CostSvcs'!G483/12</f>
        <v>0</v>
      </c>
      <c r="I310" s="226">
        <f>Inputs!F387*'GM CostSvcs'!H483/12</f>
        <v>0</v>
      </c>
      <c r="J310" s="226">
        <f>Inputs!F387*'GM CostSvcs'!J483/12</f>
        <v>0</v>
      </c>
      <c r="K310" s="226">
        <f>Inputs!F387*'GM CostSvcs'!K483/12</f>
        <v>0</v>
      </c>
      <c r="L310" s="226">
        <f>Inputs!F387*'GM CostSvcs'!L483/12</f>
        <v>0</v>
      </c>
      <c r="M310" s="226">
        <f>Inputs!F387*'GM CostSvcs'!N483/12</f>
        <v>0</v>
      </c>
      <c r="N310" s="226">
        <f>Inputs!F387*'GM CostSvcs'!O483/12</f>
        <v>0</v>
      </c>
      <c r="O310" s="226">
        <f>Inputs!F387*'GM CostSvcs'!P483/12</f>
        <v>0</v>
      </c>
      <c r="P310" s="226">
        <f>Inputs!F387*'GM CostSvcs'!R483/12</f>
        <v>0</v>
      </c>
      <c r="Q310" s="226">
        <f>Inputs!F387*'GM CostSvcs'!S483/12</f>
        <v>0</v>
      </c>
      <c r="R310" s="226">
        <f>Inputs!F387*'GM CostSvcs'!T483/12</f>
        <v>0</v>
      </c>
      <c r="S310" s="226">
        <f>Inputs!F387*'GM CostSvcs'!V483/12</f>
        <v>0</v>
      </c>
      <c r="T310" s="279">
        <f>Inputs!F387*'GM CostSvcs'!W483/12</f>
        <v>0</v>
      </c>
    </row>
    <row r="311" spans="1:20" ht="12.75" customHeight="1" x14ac:dyDescent="0.2">
      <c r="A311" s="198" t="str">
        <f>"      "&amp;Labels!B386</f>
        <v xml:space="preserve">      Prof Level 2</v>
      </c>
      <c r="B311" s="226">
        <f>Inputs!F387*0/12</f>
        <v>0</v>
      </c>
      <c r="C311" s="226">
        <f>Inputs!F387*0/12</f>
        <v>0</v>
      </c>
      <c r="D311" s="226">
        <f>Inputs!F387*'GM CostSvcs'!B484/12</f>
        <v>0</v>
      </c>
      <c r="E311" s="226">
        <f>Inputs!F387*'GM CostSvcs'!C484/12</f>
        <v>0</v>
      </c>
      <c r="F311" s="226">
        <f>Inputs!F387*'GM CostSvcs'!D484/12</f>
        <v>0</v>
      </c>
      <c r="G311" s="226">
        <f>Inputs!F387*'GM CostSvcs'!F484/12</f>
        <v>0</v>
      </c>
      <c r="H311" s="226">
        <f>Inputs!F387*'GM CostSvcs'!G484/12</f>
        <v>0</v>
      </c>
      <c r="I311" s="226">
        <f>Inputs!F387*'GM CostSvcs'!H484/12</f>
        <v>0</v>
      </c>
      <c r="J311" s="226">
        <f>Inputs!F387*'GM CostSvcs'!J484/12</f>
        <v>0</v>
      </c>
      <c r="K311" s="226">
        <f>Inputs!F387*'GM CostSvcs'!K484/12</f>
        <v>0</v>
      </c>
      <c r="L311" s="226">
        <f>Inputs!F387*'GM CostSvcs'!L484/12</f>
        <v>0</v>
      </c>
      <c r="M311" s="226">
        <f>Inputs!F387*'GM CostSvcs'!N484/12</f>
        <v>0</v>
      </c>
      <c r="N311" s="226">
        <f>Inputs!F387*'GM CostSvcs'!O484/12</f>
        <v>0</v>
      </c>
      <c r="O311" s="226">
        <f>Inputs!F387*'GM CostSvcs'!P484/12</f>
        <v>0</v>
      </c>
      <c r="P311" s="226">
        <f>Inputs!F387*'GM CostSvcs'!R484/12</f>
        <v>0</v>
      </c>
      <c r="Q311" s="226">
        <f>Inputs!F387*'GM CostSvcs'!S484/12</f>
        <v>0</v>
      </c>
      <c r="R311" s="226">
        <f>Inputs!F387*'GM CostSvcs'!T484/12</f>
        <v>0</v>
      </c>
      <c r="S311" s="226">
        <f>Inputs!F387*'GM CostSvcs'!V484/12</f>
        <v>0</v>
      </c>
      <c r="T311" s="279">
        <f>Inputs!F387*'GM CostSvcs'!W484/12</f>
        <v>0</v>
      </c>
    </row>
    <row r="312" spans="1:20" ht="12.75" customHeight="1" x14ac:dyDescent="0.2">
      <c r="A312" s="188" t="str">
        <f>"      "&amp;Labels!C384</f>
        <v xml:space="preserve">      Total</v>
      </c>
      <c r="B312" s="196">
        <f t="shared" ref="B312:T312" si="167">SUM(B310:B311)</f>
        <v>0</v>
      </c>
      <c r="C312" s="196">
        <f t="shared" si="167"/>
        <v>0</v>
      </c>
      <c r="D312" s="196">
        <f t="shared" si="167"/>
        <v>0</v>
      </c>
      <c r="E312" s="196">
        <f t="shared" si="167"/>
        <v>0</v>
      </c>
      <c r="F312" s="196">
        <f t="shared" si="167"/>
        <v>0</v>
      </c>
      <c r="G312" s="196">
        <f t="shared" si="167"/>
        <v>0</v>
      </c>
      <c r="H312" s="196">
        <f t="shared" si="167"/>
        <v>0</v>
      </c>
      <c r="I312" s="196">
        <f t="shared" si="167"/>
        <v>0</v>
      </c>
      <c r="J312" s="196">
        <f t="shared" si="167"/>
        <v>0</v>
      </c>
      <c r="K312" s="196">
        <f t="shared" si="167"/>
        <v>0</v>
      </c>
      <c r="L312" s="196">
        <f t="shared" si="167"/>
        <v>0</v>
      </c>
      <c r="M312" s="196">
        <f t="shared" si="167"/>
        <v>0</v>
      </c>
      <c r="N312" s="196">
        <f t="shared" si="167"/>
        <v>0</v>
      </c>
      <c r="O312" s="196">
        <f t="shared" si="167"/>
        <v>0</v>
      </c>
      <c r="P312" s="196">
        <f t="shared" si="167"/>
        <v>0</v>
      </c>
      <c r="Q312" s="196">
        <f t="shared" si="167"/>
        <v>0</v>
      </c>
      <c r="R312" s="196">
        <f t="shared" si="167"/>
        <v>0</v>
      </c>
      <c r="S312" s="196">
        <f t="shared" si="167"/>
        <v>0</v>
      </c>
      <c r="T312" s="267">
        <f t="shared" si="167"/>
        <v>0</v>
      </c>
    </row>
    <row r="313" spans="1:20" ht="12.75" customHeight="1" x14ac:dyDescent="0.2">
      <c r="A313" s="191" t="str">
        <f>"   "&amp;Labels!C380</f>
        <v xml:space="preserve">   Total</v>
      </c>
      <c r="B313" s="192">
        <f t="shared" ref="B313:T313" si="168">SUM(B308,B312)</f>
        <v>0</v>
      </c>
      <c r="C313" s="192">
        <f t="shared" si="168"/>
        <v>0</v>
      </c>
      <c r="D313" s="192">
        <f t="shared" si="168"/>
        <v>0</v>
      </c>
      <c r="E313" s="192">
        <f t="shared" si="168"/>
        <v>0</v>
      </c>
      <c r="F313" s="192">
        <f t="shared" si="168"/>
        <v>0</v>
      </c>
      <c r="G313" s="192">
        <f t="shared" si="168"/>
        <v>0</v>
      </c>
      <c r="H313" s="192">
        <f t="shared" si="168"/>
        <v>0</v>
      </c>
      <c r="I313" s="192">
        <f t="shared" si="168"/>
        <v>0</v>
      </c>
      <c r="J313" s="192">
        <f t="shared" si="168"/>
        <v>0</v>
      </c>
      <c r="K313" s="192">
        <f t="shared" si="168"/>
        <v>0</v>
      </c>
      <c r="L313" s="192">
        <f t="shared" si="168"/>
        <v>0</v>
      </c>
      <c r="M313" s="192">
        <f t="shared" si="168"/>
        <v>0</v>
      </c>
      <c r="N313" s="192">
        <f t="shared" si="168"/>
        <v>0</v>
      </c>
      <c r="O313" s="192">
        <f t="shared" si="168"/>
        <v>0</v>
      </c>
      <c r="P313" s="192">
        <f t="shared" si="168"/>
        <v>0</v>
      </c>
      <c r="Q313" s="192">
        <f t="shared" si="168"/>
        <v>0</v>
      </c>
      <c r="R313" s="192">
        <f t="shared" si="168"/>
        <v>0</v>
      </c>
      <c r="S313" s="192">
        <f t="shared" si="168"/>
        <v>0</v>
      </c>
      <c r="T313" s="280">
        <f t="shared" si="168"/>
        <v>0</v>
      </c>
    </row>
    <row r="314" spans="1:20" ht="12.75" customHeight="1" x14ac:dyDescent="0.2">
      <c r="A314" s="198" t="str">
        <f>"      "&amp;Labels!B385</f>
        <v xml:space="preserve">      Prof Level 1</v>
      </c>
      <c r="B314" s="226">
        <f t="shared" ref="B314:T314" si="169">SUM(B306,B310)</f>
        <v>0</v>
      </c>
      <c r="C314" s="226">
        <f t="shared" si="169"/>
        <v>0</v>
      </c>
      <c r="D314" s="226">
        <f t="shared" si="169"/>
        <v>0</v>
      </c>
      <c r="E314" s="226">
        <f t="shared" si="169"/>
        <v>0</v>
      </c>
      <c r="F314" s="226">
        <f t="shared" si="169"/>
        <v>0</v>
      </c>
      <c r="G314" s="226">
        <f t="shared" si="169"/>
        <v>0</v>
      </c>
      <c r="H314" s="226">
        <f t="shared" si="169"/>
        <v>0</v>
      </c>
      <c r="I314" s="226">
        <f t="shared" si="169"/>
        <v>0</v>
      </c>
      <c r="J314" s="226">
        <f t="shared" si="169"/>
        <v>0</v>
      </c>
      <c r="K314" s="226">
        <f t="shared" si="169"/>
        <v>0</v>
      </c>
      <c r="L314" s="226">
        <f t="shared" si="169"/>
        <v>0</v>
      </c>
      <c r="M314" s="226">
        <f t="shared" si="169"/>
        <v>0</v>
      </c>
      <c r="N314" s="226">
        <f t="shared" si="169"/>
        <v>0</v>
      </c>
      <c r="O314" s="226">
        <f t="shared" si="169"/>
        <v>0</v>
      </c>
      <c r="P314" s="226">
        <f t="shared" si="169"/>
        <v>0</v>
      </c>
      <c r="Q314" s="226">
        <f t="shared" si="169"/>
        <v>0</v>
      </c>
      <c r="R314" s="226">
        <f t="shared" si="169"/>
        <v>0</v>
      </c>
      <c r="S314" s="226">
        <f t="shared" si="169"/>
        <v>0</v>
      </c>
      <c r="T314" s="279">
        <f t="shared" si="169"/>
        <v>0</v>
      </c>
    </row>
    <row r="315" spans="1:20" ht="12.75" customHeight="1" x14ac:dyDescent="0.2">
      <c r="A315" s="198" t="str">
        <f>"      "&amp;Labels!B386</f>
        <v xml:space="preserve">      Prof Level 2</v>
      </c>
      <c r="B315" s="226">
        <f t="shared" ref="B315:T315" si="170">SUM(B307,B311)</f>
        <v>0</v>
      </c>
      <c r="C315" s="226">
        <f t="shared" si="170"/>
        <v>0</v>
      </c>
      <c r="D315" s="226">
        <f t="shared" si="170"/>
        <v>0</v>
      </c>
      <c r="E315" s="226">
        <f t="shared" si="170"/>
        <v>0</v>
      </c>
      <c r="F315" s="226">
        <f t="shared" si="170"/>
        <v>0</v>
      </c>
      <c r="G315" s="226">
        <f t="shared" si="170"/>
        <v>0</v>
      </c>
      <c r="H315" s="226">
        <f t="shared" si="170"/>
        <v>0</v>
      </c>
      <c r="I315" s="226">
        <f t="shared" si="170"/>
        <v>0</v>
      </c>
      <c r="J315" s="226">
        <f t="shared" si="170"/>
        <v>0</v>
      </c>
      <c r="K315" s="226">
        <f t="shared" si="170"/>
        <v>0</v>
      </c>
      <c r="L315" s="226">
        <f t="shared" si="170"/>
        <v>0</v>
      </c>
      <c r="M315" s="226">
        <f t="shared" si="170"/>
        <v>0</v>
      </c>
      <c r="N315" s="226">
        <f t="shared" si="170"/>
        <v>0</v>
      </c>
      <c r="O315" s="226">
        <f t="shared" si="170"/>
        <v>0</v>
      </c>
      <c r="P315" s="226">
        <f t="shared" si="170"/>
        <v>0</v>
      </c>
      <c r="Q315" s="226">
        <f t="shared" si="170"/>
        <v>0</v>
      </c>
      <c r="R315" s="226">
        <f t="shared" si="170"/>
        <v>0</v>
      </c>
      <c r="S315" s="226">
        <f t="shared" si="170"/>
        <v>0</v>
      </c>
      <c r="T315" s="279">
        <f t="shared" si="170"/>
        <v>0</v>
      </c>
    </row>
    <row r="316" spans="1:20" ht="12.75" customHeight="1" x14ac:dyDescent="0.2">
      <c r="A316" s="188" t="str">
        <f>"      "&amp;Labels!C384</f>
        <v xml:space="preserve">      Total</v>
      </c>
      <c r="B316" s="196">
        <f t="shared" ref="B316:T316" si="171">SUM(B308,B312)</f>
        <v>0</v>
      </c>
      <c r="C316" s="196">
        <f t="shared" si="171"/>
        <v>0</v>
      </c>
      <c r="D316" s="196">
        <f t="shared" si="171"/>
        <v>0</v>
      </c>
      <c r="E316" s="196">
        <f t="shared" si="171"/>
        <v>0</v>
      </c>
      <c r="F316" s="196">
        <f t="shared" si="171"/>
        <v>0</v>
      </c>
      <c r="G316" s="196">
        <f t="shared" si="171"/>
        <v>0</v>
      </c>
      <c r="H316" s="196">
        <f t="shared" si="171"/>
        <v>0</v>
      </c>
      <c r="I316" s="196">
        <f t="shared" si="171"/>
        <v>0</v>
      </c>
      <c r="J316" s="196">
        <f t="shared" si="171"/>
        <v>0</v>
      </c>
      <c r="K316" s="196">
        <f t="shared" si="171"/>
        <v>0</v>
      </c>
      <c r="L316" s="196">
        <f t="shared" si="171"/>
        <v>0</v>
      </c>
      <c r="M316" s="196">
        <f t="shared" si="171"/>
        <v>0</v>
      </c>
      <c r="N316" s="196">
        <f t="shared" si="171"/>
        <v>0</v>
      </c>
      <c r="O316" s="196">
        <f t="shared" si="171"/>
        <v>0</v>
      </c>
      <c r="P316" s="196">
        <f t="shared" si="171"/>
        <v>0</v>
      </c>
      <c r="Q316" s="196">
        <f t="shared" si="171"/>
        <v>0</v>
      </c>
      <c r="R316" s="196">
        <f t="shared" si="171"/>
        <v>0</v>
      </c>
      <c r="S316" s="196">
        <f t="shared" si="171"/>
        <v>0</v>
      </c>
      <c r="T316" s="267">
        <f t="shared" si="171"/>
        <v>0</v>
      </c>
    </row>
    <row r="317" spans="1:20" ht="12.75" customHeight="1" x14ac:dyDescent="0.2">
      <c r="A317" s="191" t="str">
        <f>Labels!B409</f>
        <v>Office Equip</v>
      </c>
      <c r="B317" s="192"/>
      <c r="C317" s="192"/>
      <c r="D317" s="192"/>
      <c r="E317" s="192"/>
      <c r="F317" s="192"/>
      <c r="G317" s="192"/>
      <c r="H317" s="192"/>
      <c r="I317" s="192"/>
      <c r="J317" s="192"/>
      <c r="K317" s="192"/>
      <c r="L317" s="192"/>
      <c r="M317" s="192"/>
      <c r="N317" s="192"/>
      <c r="O317" s="192"/>
      <c r="P317" s="192"/>
      <c r="Q317" s="192"/>
      <c r="R317" s="192"/>
      <c r="S317" s="192"/>
      <c r="T317" s="280"/>
    </row>
    <row r="318" spans="1:20" ht="12.75" customHeight="1" x14ac:dyDescent="0.2">
      <c r="A318" s="188" t="str">
        <f>"   "&amp;Labels!B381</f>
        <v xml:space="preserve">   Practice 1</v>
      </c>
      <c r="B318" s="196"/>
      <c r="C318" s="196"/>
      <c r="D318" s="196"/>
      <c r="E318" s="196"/>
      <c r="F318" s="196"/>
      <c r="G318" s="196"/>
      <c r="H318" s="196"/>
      <c r="I318" s="196"/>
      <c r="J318" s="196"/>
      <c r="K318" s="196"/>
      <c r="L318" s="196"/>
      <c r="M318" s="196"/>
      <c r="N318" s="196"/>
      <c r="O318" s="196"/>
      <c r="P318" s="196"/>
      <c r="Q318" s="196"/>
      <c r="R318" s="196"/>
      <c r="S318" s="196"/>
      <c r="T318" s="267"/>
    </row>
    <row r="319" spans="1:20" ht="12.75" customHeight="1" x14ac:dyDescent="0.2">
      <c r="A319" s="198" t="str">
        <f>"      "&amp;Labels!B385</f>
        <v xml:space="preserve">      Prof Level 1</v>
      </c>
      <c r="B319" s="226">
        <f>Inputs!G387*0/12</f>
        <v>0</v>
      </c>
      <c r="C319" s="226">
        <f>Inputs!G387*0/12</f>
        <v>0</v>
      </c>
      <c r="D319" s="226">
        <f>Inputs!G387*'GM CostSvcs'!B479/12</f>
        <v>0</v>
      </c>
      <c r="E319" s="226">
        <f>Inputs!G387*'GM CostSvcs'!C479/12</f>
        <v>0</v>
      </c>
      <c r="F319" s="226">
        <f>Inputs!G387*'GM CostSvcs'!D479/12</f>
        <v>0</v>
      </c>
      <c r="G319" s="226">
        <f>Inputs!G387*'GM CostSvcs'!F479/12</f>
        <v>0</v>
      </c>
      <c r="H319" s="226">
        <f>Inputs!G387*'GM CostSvcs'!G479/12</f>
        <v>0</v>
      </c>
      <c r="I319" s="226">
        <f>Inputs!G387*'GM CostSvcs'!H479/12</f>
        <v>0</v>
      </c>
      <c r="J319" s="226">
        <f>Inputs!G387*'GM CostSvcs'!J479/12</f>
        <v>0</v>
      </c>
      <c r="K319" s="226">
        <f>Inputs!G387*'GM CostSvcs'!K479/12</f>
        <v>0</v>
      </c>
      <c r="L319" s="226">
        <f>Inputs!G387*'GM CostSvcs'!L479/12</f>
        <v>0</v>
      </c>
      <c r="M319" s="226">
        <f>Inputs!G387*'GM CostSvcs'!N479/12</f>
        <v>0</v>
      </c>
      <c r="N319" s="226">
        <f>Inputs!G387*'GM CostSvcs'!O479/12</f>
        <v>0</v>
      </c>
      <c r="O319" s="226">
        <f>Inputs!G387*'GM CostSvcs'!P479/12</f>
        <v>0</v>
      </c>
      <c r="P319" s="226">
        <f>Inputs!G387*'GM CostSvcs'!R479/12</f>
        <v>0</v>
      </c>
      <c r="Q319" s="226">
        <f>Inputs!G387*'GM CostSvcs'!S479/12</f>
        <v>0</v>
      </c>
      <c r="R319" s="226">
        <f>Inputs!G387*'GM CostSvcs'!T479/12</f>
        <v>0</v>
      </c>
      <c r="S319" s="226">
        <f>Inputs!G387*'GM CostSvcs'!V479/12</f>
        <v>0</v>
      </c>
      <c r="T319" s="279">
        <f>Inputs!G387*'GM CostSvcs'!W479/12</f>
        <v>0</v>
      </c>
    </row>
    <row r="320" spans="1:20" ht="12.75" customHeight="1" x14ac:dyDescent="0.2">
      <c r="A320" s="198" t="str">
        <f>"      "&amp;Labels!B386</f>
        <v xml:space="preserve">      Prof Level 2</v>
      </c>
      <c r="B320" s="226">
        <f>Inputs!G387*0/12</f>
        <v>0</v>
      </c>
      <c r="C320" s="226">
        <f>Inputs!G387*0/12</f>
        <v>0</v>
      </c>
      <c r="D320" s="226">
        <f>Inputs!G387*'GM CostSvcs'!B480/12</f>
        <v>0</v>
      </c>
      <c r="E320" s="226">
        <f>Inputs!G387*'GM CostSvcs'!C480/12</f>
        <v>0</v>
      </c>
      <c r="F320" s="226">
        <f>Inputs!G387*'GM CostSvcs'!D480/12</f>
        <v>0</v>
      </c>
      <c r="G320" s="226">
        <f>Inputs!G387*'GM CostSvcs'!F480/12</f>
        <v>0</v>
      </c>
      <c r="H320" s="226">
        <f>Inputs!G387*'GM CostSvcs'!G480/12</f>
        <v>0</v>
      </c>
      <c r="I320" s="226">
        <f>Inputs!G387*'GM CostSvcs'!H480/12</f>
        <v>0</v>
      </c>
      <c r="J320" s="226">
        <f>Inputs!G387*'GM CostSvcs'!J480/12</f>
        <v>0</v>
      </c>
      <c r="K320" s="226">
        <f>Inputs!G387*'GM CostSvcs'!K480/12</f>
        <v>0</v>
      </c>
      <c r="L320" s="226">
        <f>Inputs!G387*'GM CostSvcs'!L480/12</f>
        <v>0</v>
      </c>
      <c r="M320" s="226">
        <f>Inputs!G387*'GM CostSvcs'!N480/12</f>
        <v>0</v>
      </c>
      <c r="N320" s="226">
        <f>Inputs!G387*'GM CostSvcs'!O480/12</f>
        <v>0</v>
      </c>
      <c r="O320" s="226">
        <f>Inputs!G387*'GM CostSvcs'!P480/12</f>
        <v>0</v>
      </c>
      <c r="P320" s="226">
        <f>Inputs!G387*'GM CostSvcs'!R480/12</f>
        <v>0</v>
      </c>
      <c r="Q320" s="226">
        <f>Inputs!G387*'GM CostSvcs'!S480/12</f>
        <v>0</v>
      </c>
      <c r="R320" s="226">
        <f>Inputs!G387*'GM CostSvcs'!T480/12</f>
        <v>0</v>
      </c>
      <c r="S320" s="226">
        <f>Inputs!G387*'GM CostSvcs'!V480/12</f>
        <v>0</v>
      </c>
      <c r="T320" s="279">
        <f>Inputs!G387*'GM CostSvcs'!W480/12</f>
        <v>0</v>
      </c>
    </row>
    <row r="321" spans="1:20" ht="12.75" customHeight="1" x14ac:dyDescent="0.2">
      <c r="A321" s="188" t="str">
        <f>"      "&amp;Labels!C384</f>
        <v xml:space="preserve">      Total</v>
      </c>
      <c r="B321" s="196">
        <f t="shared" ref="B321:T321" si="172">SUM(B319:B320)</f>
        <v>0</v>
      </c>
      <c r="C321" s="196">
        <f t="shared" si="172"/>
        <v>0</v>
      </c>
      <c r="D321" s="196">
        <f t="shared" si="172"/>
        <v>0</v>
      </c>
      <c r="E321" s="196">
        <f t="shared" si="172"/>
        <v>0</v>
      </c>
      <c r="F321" s="196">
        <f t="shared" si="172"/>
        <v>0</v>
      </c>
      <c r="G321" s="196">
        <f t="shared" si="172"/>
        <v>0</v>
      </c>
      <c r="H321" s="196">
        <f t="shared" si="172"/>
        <v>0</v>
      </c>
      <c r="I321" s="196">
        <f t="shared" si="172"/>
        <v>0</v>
      </c>
      <c r="J321" s="196">
        <f t="shared" si="172"/>
        <v>0</v>
      </c>
      <c r="K321" s="196">
        <f t="shared" si="172"/>
        <v>0</v>
      </c>
      <c r="L321" s="196">
        <f t="shared" si="172"/>
        <v>0</v>
      </c>
      <c r="M321" s="196">
        <f t="shared" si="172"/>
        <v>0</v>
      </c>
      <c r="N321" s="196">
        <f t="shared" si="172"/>
        <v>0</v>
      </c>
      <c r="O321" s="196">
        <f t="shared" si="172"/>
        <v>0</v>
      </c>
      <c r="P321" s="196">
        <f t="shared" si="172"/>
        <v>0</v>
      </c>
      <c r="Q321" s="196">
        <f t="shared" si="172"/>
        <v>0</v>
      </c>
      <c r="R321" s="196">
        <f t="shared" si="172"/>
        <v>0</v>
      </c>
      <c r="S321" s="196">
        <f t="shared" si="172"/>
        <v>0</v>
      </c>
      <c r="T321" s="267">
        <f t="shared" si="172"/>
        <v>0</v>
      </c>
    </row>
    <row r="322" spans="1:20" ht="12.75" customHeight="1" x14ac:dyDescent="0.2">
      <c r="A322" s="188" t="str">
        <f>"   "&amp;Labels!B382</f>
        <v xml:space="preserve">   Practice 2</v>
      </c>
      <c r="B322" s="196"/>
      <c r="C322" s="196"/>
      <c r="D322" s="196"/>
      <c r="E322" s="196"/>
      <c r="F322" s="196"/>
      <c r="G322" s="196"/>
      <c r="H322" s="196"/>
      <c r="I322" s="196"/>
      <c r="J322" s="196"/>
      <c r="K322" s="196"/>
      <c r="L322" s="196"/>
      <c r="M322" s="196"/>
      <c r="N322" s="196"/>
      <c r="O322" s="196"/>
      <c r="P322" s="196"/>
      <c r="Q322" s="196"/>
      <c r="R322" s="196"/>
      <c r="S322" s="196"/>
      <c r="T322" s="267"/>
    </row>
    <row r="323" spans="1:20" ht="12.75" customHeight="1" x14ac:dyDescent="0.2">
      <c r="A323" s="198" t="str">
        <f>"      "&amp;Labels!B385</f>
        <v xml:space="preserve">      Prof Level 1</v>
      </c>
      <c r="B323" s="226">
        <f>Inputs!G387*0/12</f>
        <v>0</v>
      </c>
      <c r="C323" s="226">
        <f>Inputs!G387*0/12</f>
        <v>0</v>
      </c>
      <c r="D323" s="226">
        <f>Inputs!G387*'GM CostSvcs'!B483/12</f>
        <v>0</v>
      </c>
      <c r="E323" s="226">
        <f>Inputs!G387*'GM CostSvcs'!C483/12</f>
        <v>0</v>
      </c>
      <c r="F323" s="226">
        <f>Inputs!G387*'GM CostSvcs'!D483/12</f>
        <v>0</v>
      </c>
      <c r="G323" s="226">
        <f>Inputs!G387*'GM CostSvcs'!F483/12</f>
        <v>0</v>
      </c>
      <c r="H323" s="226">
        <f>Inputs!G387*'GM CostSvcs'!G483/12</f>
        <v>0</v>
      </c>
      <c r="I323" s="226">
        <f>Inputs!G387*'GM CostSvcs'!H483/12</f>
        <v>0</v>
      </c>
      <c r="J323" s="226">
        <f>Inputs!G387*'GM CostSvcs'!J483/12</f>
        <v>0</v>
      </c>
      <c r="K323" s="226">
        <f>Inputs!G387*'GM CostSvcs'!K483/12</f>
        <v>0</v>
      </c>
      <c r="L323" s="226">
        <f>Inputs!G387*'GM CostSvcs'!L483/12</f>
        <v>0</v>
      </c>
      <c r="M323" s="226">
        <f>Inputs!G387*'GM CostSvcs'!N483/12</f>
        <v>0</v>
      </c>
      <c r="N323" s="226">
        <f>Inputs!G387*'GM CostSvcs'!O483/12</f>
        <v>0</v>
      </c>
      <c r="O323" s="226">
        <f>Inputs!G387*'GM CostSvcs'!P483/12</f>
        <v>0</v>
      </c>
      <c r="P323" s="226">
        <f>Inputs!G387*'GM CostSvcs'!R483/12</f>
        <v>0</v>
      </c>
      <c r="Q323" s="226">
        <f>Inputs!G387*'GM CostSvcs'!S483/12</f>
        <v>0</v>
      </c>
      <c r="R323" s="226">
        <f>Inputs!G387*'GM CostSvcs'!T483/12</f>
        <v>0</v>
      </c>
      <c r="S323" s="226">
        <f>Inputs!G387*'GM CostSvcs'!V483/12</f>
        <v>0</v>
      </c>
      <c r="T323" s="279">
        <f>Inputs!G387*'GM CostSvcs'!W483/12</f>
        <v>0</v>
      </c>
    </row>
    <row r="324" spans="1:20" ht="12.75" customHeight="1" x14ac:dyDescent="0.2">
      <c r="A324" s="198" t="str">
        <f>"      "&amp;Labels!B386</f>
        <v xml:space="preserve">      Prof Level 2</v>
      </c>
      <c r="B324" s="226">
        <f>Inputs!G387*0/12</f>
        <v>0</v>
      </c>
      <c r="C324" s="226">
        <f>Inputs!G387*0/12</f>
        <v>0</v>
      </c>
      <c r="D324" s="226">
        <f>Inputs!G387*'GM CostSvcs'!B484/12</f>
        <v>0</v>
      </c>
      <c r="E324" s="226">
        <f>Inputs!G387*'GM CostSvcs'!C484/12</f>
        <v>0</v>
      </c>
      <c r="F324" s="226">
        <f>Inputs!G387*'GM CostSvcs'!D484/12</f>
        <v>0</v>
      </c>
      <c r="G324" s="226">
        <f>Inputs!G387*'GM CostSvcs'!F484/12</f>
        <v>0</v>
      </c>
      <c r="H324" s="226">
        <f>Inputs!G387*'GM CostSvcs'!G484/12</f>
        <v>0</v>
      </c>
      <c r="I324" s="226">
        <f>Inputs!G387*'GM CostSvcs'!H484/12</f>
        <v>0</v>
      </c>
      <c r="J324" s="226">
        <f>Inputs!G387*'GM CostSvcs'!J484/12</f>
        <v>0</v>
      </c>
      <c r="K324" s="226">
        <f>Inputs!G387*'GM CostSvcs'!K484/12</f>
        <v>0</v>
      </c>
      <c r="L324" s="226">
        <f>Inputs!G387*'GM CostSvcs'!L484/12</f>
        <v>0</v>
      </c>
      <c r="M324" s="226">
        <f>Inputs!G387*'GM CostSvcs'!N484/12</f>
        <v>0</v>
      </c>
      <c r="N324" s="226">
        <f>Inputs!G387*'GM CostSvcs'!O484/12</f>
        <v>0</v>
      </c>
      <c r="O324" s="226">
        <f>Inputs!G387*'GM CostSvcs'!P484/12</f>
        <v>0</v>
      </c>
      <c r="P324" s="226">
        <f>Inputs!G387*'GM CostSvcs'!R484/12</f>
        <v>0</v>
      </c>
      <c r="Q324" s="226">
        <f>Inputs!G387*'GM CostSvcs'!S484/12</f>
        <v>0</v>
      </c>
      <c r="R324" s="226">
        <f>Inputs!G387*'GM CostSvcs'!T484/12</f>
        <v>0</v>
      </c>
      <c r="S324" s="226">
        <f>Inputs!G387*'GM CostSvcs'!V484/12</f>
        <v>0</v>
      </c>
      <c r="T324" s="279">
        <f>Inputs!G387*'GM CostSvcs'!W484/12</f>
        <v>0</v>
      </c>
    </row>
    <row r="325" spans="1:20" ht="12.75" customHeight="1" x14ac:dyDescent="0.2">
      <c r="A325" s="188" t="str">
        <f>"      "&amp;Labels!C384</f>
        <v xml:space="preserve">      Total</v>
      </c>
      <c r="B325" s="196">
        <f t="shared" ref="B325:T325" si="173">SUM(B323:B324)</f>
        <v>0</v>
      </c>
      <c r="C325" s="196">
        <f t="shared" si="173"/>
        <v>0</v>
      </c>
      <c r="D325" s="196">
        <f t="shared" si="173"/>
        <v>0</v>
      </c>
      <c r="E325" s="196">
        <f t="shared" si="173"/>
        <v>0</v>
      </c>
      <c r="F325" s="196">
        <f t="shared" si="173"/>
        <v>0</v>
      </c>
      <c r="G325" s="196">
        <f t="shared" si="173"/>
        <v>0</v>
      </c>
      <c r="H325" s="196">
        <f t="shared" si="173"/>
        <v>0</v>
      </c>
      <c r="I325" s="196">
        <f t="shared" si="173"/>
        <v>0</v>
      </c>
      <c r="J325" s="196">
        <f t="shared" si="173"/>
        <v>0</v>
      </c>
      <c r="K325" s="196">
        <f t="shared" si="173"/>
        <v>0</v>
      </c>
      <c r="L325" s="196">
        <f t="shared" si="173"/>
        <v>0</v>
      </c>
      <c r="M325" s="196">
        <f t="shared" si="173"/>
        <v>0</v>
      </c>
      <c r="N325" s="196">
        <f t="shared" si="173"/>
        <v>0</v>
      </c>
      <c r="O325" s="196">
        <f t="shared" si="173"/>
        <v>0</v>
      </c>
      <c r="P325" s="196">
        <f t="shared" si="173"/>
        <v>0</v>
      </c>
      <c r="Q325" s="196">
        <f t="shared" si="173"/>
        <v>0</v>
      </c>
      <c r="R325" s="196">
        <f t="shared" si="173"/>
        <v>0</v>
      </c>
      <c r="S325" s="196">
        <f t="shared" si="173"/>
        <v>0</v>
      </c>
      <c r="T325" s="267">
        <f t="shared" si="173"/>
        <v>0</v>
      </c>
    </row>
    <row r="326" spans="1:20" ht="12.75" customHeight="1" x14ac:dyDescent="0.2">
      <c r="A326" s="191" t="str">
        <f>"   "&amp;Labels!C380</f>
        <v xml:space="preserve">   Total</v>
      </c>
      <c r="B326" s="192">
        <f t="shared" ref="B326:T326" si="174">SUM(B321,B325)</f>
        <v>0</v>
      </c>
      <c r="C326" s="192">
        <f t="shared" si="174"/>
        <v>0</v>
      </c>
      <c r="D326" s="192">
        <f t="shared" si="174"/>
        <v>0</v>
      </c>
      <c r="E326" s="192">
        <f t="shared" si="174"/>
        <v>0</v>
      </c>
      <c r="F326" s="192">
        <f t="shared" si="174"/>
        <v>0</v>
      </c>
      <c r="G326" s="192">
        <f t="shared" si="174"/>
        <v>0</v>
      </c>
      <c r="H326" s="192">
        <f t="shared" si="174"/>
        <v>0</v>
      </c>
      <c r="I326" s="192">
        <f t="shared" si="174"/>
        <v>0</v>
      </c>
      <c r="J326" s="192">
        <f t="shared" si="174"/>
        <v>0</v>
      </c>
      <c r="K326" s="192">
        <f t="shared" si="174"/>
        <v>0</v>
      </c>
      <c r="L326" s="192">
        <f t="shared" si="174"/>
        <v>0</v>
      </c>
      <c r="M326" s="192">
        <f t="shared" si="174"/>
        <v>0</v>
      </c>
      <c r="N326" s="192">
        <f t="shared" si="174"/>
        <v>0</v>
      </c>
      <c r="O326" s="192">
        <f t="shared" si="174"/>
        <v>0</v>
      </c>
      <c r="P326" s="192">
        <f t="shared" si="174"/>
        <v>0</v>
      </c>
      <c r="Q326" s="192">
        <f t="shared" si="174"/>
        <v>0</v>
      </c>
      <c r="R326" s="192">
        <f t="shared" si="174"/>
        <v>0</v>
      </c>
      <c r="S326" s="192">
        <f t="shared" si="174"/>
        <v>0</v>
      </c>
      <c r="T326" s="280">
        <f t="shared" si="174"/>
        <v>0</v>
      </c>
    </row>
    <row r="327" spans="1:20" ht="12.75" customHeight="1" x14ac:dyDescent="0.2">
      <c r="A327" s="198" t="str">
        <f>"      "&amp;Labels!B385</f>
        <v xml:space="preserve">      Prof Level 1</v>
      </c>
      <c r="B327" s="226">
        <f t="shared" ref="B327:T327" si="175">SUM(B319,B323)</f>
        <v>0</v>
      </c>
      <c r="C327" s="226">
        <f t="shared" si="175"/>
        <v>0</v>
      </c>
      <c r="D327" s="226">
        <f t="shared" si="175"/>
        <v>0</v>
      </c>
      <c r="E327" s="226">
        <f t="shared" si="175"/>
        <v>0</v>
      </c>
      <c r="F327" s="226">
        <f t="shared" si="175"/>
        <v>0</v>
      </c>
      <c r="G327" s="226">
        <f t="shared" si="175"/>
        <v>0</v>
      </c>
      <c r="H327" s="226">
        <f t="shared" si="175"/>
        <v>0</v>
      </c>
      <c r="I327" s="226">
        <f t="shared" si="175"/>
        <v>0</v>
      </c>
      <c r="J327" s="226">
        <f t="shared" si="175"/>
        <v>0</v>
      </c>
      <c r="K327" s="226">
        <f t="shared" si="175"/>
        <v>0</v>
      </c>
      <c r="L327" s="226">
        <f t="shared" si="175"/>
        <v>0</v>
      </c>
      <c r="M327" s="226">
        <f t="shared" si="175"/>
        <v>0</v>
      </c>
      <c r="N327" s="226">
        <f t="shared" si="175"/>
        <v>0</v>
      </c>
      <c r="O327" s="226">
        <f t="shared" si="175"/>
        <v>0</v>
      </c>
      <c r="P327" s="226">
        <f t="shared" si="175"/>
        <v>0</v>
      </c>
      <c r="Q327" s="226">
        <f t="shared" si="175"/>
        <v>0</v>
      </c>
      <c r="R327" s="226">
        <f t="shared" si="175"/>
        <v>0</v>
      </c>
      <c r="S327" s="226">
        <f t="shared" si="175"/>
        <v>0</v>
      </c>
      <c r="T327" s="279">
        <f t="shared" si="175"/>
        <v>0</v>
      </c>
    </row>
    <row r="328" spans="1:20" ht="12.75" customHeight="1" x14ac:dyDescent="0.2">
      <c r="A328" s="198" t="str">
        <f>"      "&amp;Labels!B386</f>
        <v xml:space="preserve">      Prof Level 2</v>
      </c>
      <c r="B328" s="226">
        <f t="shared" ref="B328:T328" si="176">SUM(B320,B324)</f>
        <v>0</v>
      </c>
      <c r="C328" s="226">
        <f t="shared" si="176"/>
        <v>0</v>
      </c>
      <c r="D328" s="226">
        <f t="shared" si="176"/>
        <v>0</v>
      </c>
      <c r="E328" s="226">
        <f t="shared" si="176"/>
        <v>0</v>
      </c>
      <c r="F328" s="226">
        <f t="shared" si="176"/>
        <v>0</v>
      </c>
      <c r="G328" s="226">
        <f t="shared" si="176"/>
        <v>0</v>
      </c>
      <c r="H328" s="226">
        <f t="shared" si="176"/>
        <v>0</v>
      </c>
      <c r="I328" s="226">
        <f t="shared" si="176"/>
        <v>0</v>
      </c>
      <c r="J328" s="226">
        <f t="shared" si="176"/>
        <v>0</v>
      </c>
      <c r="K328" s="226">
        <f t="shared" si="176"/>
        <v>0</v>
      </c>
      <c r="L328" s="226">
        <f t="shared" si="176"/>
        <v>0</v>
      </c>
      <c r="M328" s="226">
        <f t="shared" si="176"/>
        <v>0</v>
      </c>
      <c r="N328" s="226">
        <f t="shared" si="176"/>
        <v>0</v>
      </c>
      <c r="O328" s="226">
        <f t="shared" si="176"/>
        <v>0</v>
      </c>
      <c r="P328" s="226">
        <f t="shared" si="176"/>
        <v>0</v>
      </c>
      <c r="Q328" s="226">
        <f t="shared" si="176"/>
        <v>0</v>
      </c>
      <c r="R328" s="226">
        <f t="shared" si="176"/>
        <v>0</v>
      </c>
      <c r="S328" s="226">
        <f t="shared" si="176"/>
        <v>0</v>
      </c>
      <c r="T328" s="279">
        <f t="shared" si="176"/>
        <v>0</v>
      </c>
    </row>
    <row r="329" spans="1:20" ht="12.75" customHeight="1" x14ac:dyDescent="0.2">
      <c r="A329" s="188" t="str">
        <f>"      "&amp;Labels!C384</f>
        <v xml:space="preserve">      Total</v>
      </c>
      <c r="B329" s="196">
        <f t="shared" ref="B329:T329" si="177">SUM(B321,B325)</f>
        <v>0</v>
      </c>
      <c r="C329" s="196">
        <f t="shared" si="177"/>
        <v>0</v>
      </c>
      <c r="D329" s="196">
        <f t="shared" si="177"/>
        <v>0</v>
      </c>
      <c r="E329" s="196">
        <f t="shared" si="177"/>
        <v>0</v>
      </c>
      <c r="F329" s="196">
        <f t="shared" si="177"/>
        <v>0</v>
      </c>
      <c r="G329" s="196">
        <f t="shared" si="177"/>
        <v>0</v>
      </c>
      <c r="H329" s="196">
        <f t="shared" si="177"/>
        <v>0</v>
      </c>
      <c r="I329" s="196">
        <f t="shared" si="177"/>
        <v>0</v>
      </c>
      <c r="J329" s="196">
        <f t="shared" si="177"/>
        <v>0</v>
      </c>
      <c r="K329" s="196">
        <f t="shared" si="177"/>
        <v>0</v>
      </c>
      <c r="L329" s="196">
        <f t="shared" si="177"/>
        <v>0</v>
      </c>
      <c r="M329" s="196">
        <f t="shared" si="177"/>
        <v>0</v>
      </c>
      <c r="N329" s="196">
        <f t="shared" si="177"/>
        <v>0</v>
      </c>
      <c r="O329" s="196">
        <f t="shared" si="177"/>
        <v>0</v>
      </c>
      <c r="P329" s="196">
        <f t="shared" si="177"/>
        <v>0</v>
      </c>
      <c r="Q329" s="196">
        <f t="shared" si="177"/>
        <v>0</v>
      </c>
      <c r="R329" s="196">
        <f t="shared" si="177"/>
        <v>0</v>
      </c>
      <c r="S329" s="196">
        <f t="shared" si="177"/>
        <v>0</v>
      </c>
      <c r="T329" s="267">
        <f t="shared" si="177"/>
        <v>0</v>
      </c>
    </row>
    <row r="330" spans="1:20" ht="12.75" customHeight="1" x14ac:dyDescent="0.2">
      <c r="A330" s="97" t="str">
        <f>Labels!C407</f>
        <v>Total</v>
      </c>
      <c r="B330" s="194">
        <f t="shared" ref="B330:T330" si="178">SUM(B313,B326)</f>
        <v>0</v>
      </c>
      <c r="C330" s="194">
        <f t="shared" si="178"/>
        <v>0</v>
      </c>
      <c r="D330" s="194">
        <f t="shared" si="178"/>
        <v>0</v>
      </c>
      <c r="E330" s="194">
        <f t="shared" si="178"/>
        <v>0</v>
      </c>
      <c r="F330" s="194">
        <f t="shared" si="178"/>
        <v>0</v>
      </c>
      <c r="G330" s="194">
        <f t="shared" si="178"/>
        <v>0</v>
      </c>
      <c r="H330" s="194">
        <f t="shared" si="178"/>
        <v>0</v>
      </c>
      <c r="I330" s="194">
        <f t="shared" si="178"/>
        <v>0</v>
      </c>
      <c r="J330" s="194">
        <f t="shared" si="178"/>
        <v>0</v>
      </c>
      <c r="K330" s="194">
        <f t="shared" si="178"/>
        <v>0</v>
      </c>
      <c r="L330" s="194">
        <f t="shared" si="178"/>
        <v>0</v>
      </c>
      <c r="M330" s="194">
        <f t="shared" si="178"/>
        <v>0</v>
      </c>
      <c r="N330" s="194">
        <f t="shared" si="178"/>
        <v>0</v>
      </c>
      <c r="O330" s="194">
        <f t="shared" si="178"/>
        <v>0</v>
      </c>
      <c r="P330" s="194">
        <f t="shared" si="178"/>
        <v>0</v>
      </c>
      <c r="Q330" s="194">
        <f t="shared" si="178"/>
        <v>0</v>
      </c>
      <c r="R330" s="194">
        <f t="shared" si="178"/>
        <v>0</v>
      </c>
      <c r="S330" s="194">
        <f t="shared" si="178"/>
        <v>0</v>
      </c>
      <c r="T330" s="351">
        <f t="shared" si="178"/>
        <v>0</v>
      </c>
    </row>
    <row r="331" spans="1:20" ht="12.75" customHeight="1" x14ac:dyDescent="0.2">
      <c r="A331" s="188" t="str">
        <f>"   "&amp;Labels!B381</f>
        <v xml:space="preserve">   Practice 1</v>
      </c>
      <c r="B331" s="196"/>
      <c r="C331" s="196"/>
      <c r="D331" s="196"/>
      <c r="E331" s="196"/>
      <c r="F331" s="196"/>
      <c r="G331" s="196"/>
      <c r="H331" s="196"/>
      <c r="I331" s="196"/>
      <c r="J331" s="196"/>
      <c r="K331" s="196"/>
      <c r="L331" s="196"/>
      <c r="M331" s="196"/>
      <c r="N331" s="196"/>
      <c r="O331" s="196"/>
      <c r="P331" s="196"/>
      <c r="Q331" s="196"/>
      <c r="R331" s="196"/>
      <c r="S331" s="196"/>
      <c r="T331" s="267"/>
    </row>
    <row r="332" spans="1:20" ht="12.75" customHeight="1" x14ac:dyDescent="0.2">
      <c r="A332" s="198" t="str">
        <f>"      "&amp;Labels!B385</f>
        <v xml:space="preserve">      Prof Level 1</v>
      </c>
      <c r="B332" s="226">
        <f t="shared" ref="B332:T332" si="179">SUM(B306,B319)</f>
        <v>0</v>
      </c>
      <c r="C332" s="226">
        <f t="shared" si="179"/>
        <v>0</v>
      </c>
      <c r="D332" s="226">
        <f t="shared" si="179"/>
        <v>0</v>
      </c>
      <c r="E332" s="226">
        <f t="shared" si="179"/>
        <v>0</v>
      </c>
      <c r="F332" s="226">
        <f t="shared" si="179"/>
        <v>0</v>
      </c>
      <c r="G332" s="226">
        <f t="shared" si="179"/>
        <v>0</v>
      </c>
      <c r="H332" s="226">
        <f t="shared" si="179"/>
        <v>0</v>
      </c>
      <c r="I332" s="226">
        <f t="shared" si="179"/>
        <v>0</v>
      </c>
      <c r="J332" s="226">
        <f t="shared" si="179"/>
        <v>0</v>
      </c>
      <c r="K332" s="226">
        <f t="shared" si="179"/>
        <v>0</v>
      </c>
      <c r="L332" s="226">
        <f t="shared" si="179"/>
        <v>0</v>
      </c>
      <c r="M332" s="226">
        <f t="shared" si="179"/>
        <v>0</v>
      </c>
      <c r="N332" s="226">
        <f t="shared" si="179"/>
        <v>0</v>
      </c>
      <c r="O332" s="226">
        <f t="shared" si="179"/>
        <v>0</v>
      </c>
      <c r="P332" s="226">
        <f t="shared" si="179"/>
        <v>0</v>
      </c>
      <c r="Q332" s="226">
        <f t="shared" si="179"/>
        <v>0</v>
      </c>
      <c r="R332" s="226">
        <f t="shared" si="179"/>
        <v>0</v>
      </c>
      <c r="S332" s="226">
        <f t="shared" si="179"/>
        <v>0</v>
      </c>
      <c r="T332" s="279">
        <f t="shared" si="179"/>
        <v>0</v>
      </c>
    </row>
    <row r="333" spans="1:20" ht="12.75" customHeight="1" x14ac:dyDescent="0.2">
      <c r="A333" s="198" t="str">
        <f>"      "&amp;Labels!B386</f>
        <v xml:space="preserve">      Prof Level 2</v>
      </c>
      <c r="B333" s="226">
        <f t="shared" ref="B333:T333" si="180">SUM(B307,B320)</f>
        <v>0</v>
      </c>
      <c r="C333" s="226">
        <f t="shared" si="180"/>
        <v>0</v>
      </c>
      <c r="D333" s="226">
        <f t="shared" si="180"/>
        <v>0</v>
      </c>
      <c r="E333" s="226">
        <f t="shared" si="180"/>
        <v>0</v>
      </c>
      <c r="F333" s="226">
        <f t="shared" si="180"/>
        <v>0</v>
      </c>
      <c r="G333" s="226">
        <f t="shared" si="180"/>
        <v>0</v>
      </c>
      <c r="H333" s="226">
        <f t="shared" si="180"/>
        <v>0</v>
      </c>
      <c r="I333" s="226">
        <f t="shared" si="180"/>
        <v>0</v>
      </c>
      <c r="J333" s="226">
        <f t="shared" si="180"/>
        <v>0</v>
      </c>
      <c r="K333" s="226">
        <f t="shared" si="180"/>
        <v>0</v>
      </c>
      <c r="L333" s="226">
        <f t="shared" si="180"/>
        <v>0</v>
      </c>
      <c r="M333" s="226">
        <f t="shared" si="180"/>
        <v>0</v>
      </c>
      <c r="N333" s="226">
        <f t="shared" si="180"/>
        <v>0</v>
      </c>
      <c r="O333" s="226">
        <f t="shared" si="180"/>
        <v>0</v>
      </c>
      <c r="P333" s="226">
        <f t="shared" si="180"/>
        <v>0</v>
      </c>
      <c r="Q333" s="226">
        <f t="shared" si="180"/>
        <v>0</v>
      </c>
      <c r="R333" s="226">
        <f t="shared" si="180"/>
        <v>0</v>
      </c>
      <c r="S333" s="226">
        <f t="shared" si="180"/>
        <v>0</v>
      </c>
      <c r="T333" s="279">
        <f t="shared" si="180"/>
        <v>0</v>
      </c>
    </row>
    <row r="334" spans="1:20" ht="12.75" customHeight="1" x14ac:dyDescent="0.2">
      <c r="A334" s="188" t="str">
        <f>"      "&amp;Labels!C384</f>
        <v xml:space="preserve">      Total</v>
      </c>
      <c r="B334" s="196">
        <f t="shared" ref="B334:T334" si="181">SUM(B308,B321)</f>
        <v>0</v>
      </c>
      <c r="C334" s="196">
        <f t="shared" si="181"/>
        <v>0</v>
      </c>
      <c r="D334" s="196">
        <f t="shared" si="181"/>
        <v>0</v>
      </c>
      <c r="E334" s="196">
        <f t="shared" si="181"/>
        <v>0</v>
      </c>
      <c r="F334" s="196">
        <f t="shared" si="181"/>
        <v>0</v>
      </c>
      <c r="G334" s="196">
        <f t="shared" si="181"/>
        <v>0</v>
      </c>
      <c r="H334" s="196">
        <f t="shared" si="181"/>
        <v>0</v>
      </c>
      <c r="I334" s="196">
        <f t="shared" si="181"/>
        <v>0</v>
      </c>
      <c r="J334" s="196">
        <f t="shared" si="181"/>
        <v>0</v>
      </c>
      <c r="K334" s="196">
        <f t="shared" si="181"/>
        <v>0</v>
      </c>
      <c r="L334" s="196">
        <f t="shared" si="181"/>
        <v>0</v>
      </c>
      <c r="M334" s="196">
        <f t="shared" si="181"/>
        <v>0</v>
      </c>
      <c r="N334" s="196">
        <f t="shared" si="181"/>
        <v>0</v>
      </c>
      <c r="O334" s="196">
        <f t="shared" si="181"/>
        <v>0</v>
      </c>
      <c r="P334" s="196">
        <f t="shared" si="181"/>
        <v>0</v>
      </c>
      <c r="Q334" s="196">
        <f t="shared" si="181"/>
        <v>0</v>
      </c>
      <c r="R334" s="196">
        <f t="shared" si="181"/>
        <v>0</v>
      </c>
      <c r="S334" s="196">
        <f t="shared" si="181"/>
        <v>0</v>
      </c>
      <c r="T334" s="267">
        <f t="shared" si="181"/>
        <v>0</v>
      </c>
    </row>
    <row r="335" spans="1:20" ht="12.75" customHeight="1" x14ac:dyDescent="0.2">
      <c r="A335" s="188" t="str">
        <f>"   "&amp;Labels!B382</f>
        <v xml:space="preserve">   Practice 2</v>
      </c>
      <c r="B335" s="196"/>
      <c r="C335" s="196"/>
      <c r="D335" s="196"/>
      <c r="E335" s="196"/>
      <c r="F335" s="196"/>
      <c r="G335" s="196"/>
      <c r="H335" s="196"/>
      <c r="I335" s="196"/>
      <c r="J335" s="196"/>
      <c r="K335" s="196"/>
      <c r="L335" s="196"/>
      <c r="M335" s="196"/>
      <c r="N335" s="196"/>
      <c r="O335" s="196"/>
      <c r="P335" s="196"/>
      <c r="Q335" s="196"/>
      <c r="R335" s="196"/>
      <c r="S335" s="196"/>
      <c r="T335" s="267"/>
    </row>
    <row r="336" spans="1:20" ht="12.75" customHeight="1" x14ac:dyDescent="0.2">
      <c r="A336" s="198" t="str">
        <f>"      "&amp;Labels!B385</f>
        <v xml:space="preserve">      Prof Level 1</v>
      </c>
      <c r="B336" s="226">
        <f t="shared" ref="B336:T336" si="182">SUM(B310,B323)</f>
        <v>0</v>
      </c>
      <c r="C336" s="226">
        <f t="shared" si="182"/>
        <v>0</v>
      </c>
      <c r="D336" s="226">
        <f t="shared" si="182"/>
        <v>0</v>
      </c>
      <c r="E336" s="226">
        <f t="shared" si="182"/>
        <v>0</v>
      </c>
      <c r="F336" s="226">
        <f t="shared" si="182"/>
        <v>0</v>
      </c>
      <c r="G336" s="226">
        <f t="shared" si="182"/>
        <v>0</v>
      </c>
      <c r="H336" s="226">
        <f t="shared" si="182"/>
        <v>0</v>
      </c>
      <c r="I336" s="226">
        <f t="shared" si="182"/>
        <v>0</v>
      </c>
      <c r="J336" s="226">
        <f t="shared" si="182"/>
        <v>0</v>
      </c>
      <c r="K336" s="226">
        <f t="shared" si="182"/>
        <v>0</v>
      </c>
      <c r="L336" s="226">
        <f t="shared" si="182"/>
        <v>0</v>
      </c>
      <c r="M336" s="226">
        <f t="shared" si="182"/>
        <v>0</v>
      </c>
      <c r="N336" s="226">
        <f t="shared" si="182"/>
        <v>0</v>
      </c>
      <c r="O336" s="226">
        <f t="shared" si="182"/>
        <v>0</v>
      </c>
      <c r="P336" s="226">
        <f t="shared" si="182"/>
        <v>0</v>
      </c>
      <c r="Q336" s="226">
        <f t="shared" si="182"/>
        <v>0</v>
      </c>
      <c r="R336" s="226">
        <f t="shared" si="182"/>
        <v>0</v>
      </c>
      <c r="S336" s="226">
        <f t="shared" si="182"/>
        <v>0</v>
      </c>
      <c r="T336" s="279">
        <f t="shared" si="182"/>
        <v>0</v>
      </c>
    </row>
    <row r="337" spans="1:20" ht="12.75" customHeight="1" x14ac:dyDescent="0.2">
      <c r="A337" s="198" t="str">
        <f>"      "&amp;Labels!B386</f>
        <v xml:space="preserve">      Prof Level 2</v>
      </c>
      <c r="B337" s="226">
        <f t="shared" ref="B337:T337" si="183">SUM(B311,B324)</f>
        <v>0</v>
      </c>
      <c r="C337" s="226">
        <f t="shared" si="183"/>
        <v>0</v>
      </c>
      <c r="D337" s="226">
        <f t="shared" si="183"/>
        <v>0</v>
      </c>
      <c r="E337" s="226">
        <f t="shared" si="183"/>
        <v>0</v>
      </c>
      <c r="F337" s="226">
        <f t="shared" si="183"/>
        <v>0</v>
      </c>
      <c r="G337" s="226">
        <f t="shared" si="183"/>
        <v>0</v>
      </c>
      <c r="H337" s="226">
        <f t="shared" si="183"/>
        <v>0</v>
      </c>
      <c r="I337" s="226">
        <f t="shared" si="183"/>
        <v>0</v>
      </c>
      <c r="J337" s="226">
        <f t="shared" si="183"/>
        <v>0</v>
      </c>
      <c r="K337" s="226">
        <f t="shared" si="183"/>
        <v>0</v>
      </c>
      <c r="L337" s="226">
        <f t="shared" si="183"/>
        <v>0</v>
      </c>
      <c r="M337" s="226">
        <f t="shared" si="183"/>
        <v>0</v>
      </c>
      <c r="N337" s="226">
        <f t="shared" si="183"/>
        <v>0</v>
      </c>
      <c r="O337" s="226">
        <f t="shared" si="183"/>
        <v>0</v>
      </c>
      <c r="P337" s="226">
        <f t="shared" si="183"/>
        <v>0</v>
      </c>
      <c r="Q337" s="226">
        <f t="shared" si="183"/>
        <v>0</v>
      </c>
      <c r="R337" s="226">
        <f t="shared" si="183"/>
        <v>0</v>
      </c>
      <c r="S337" s="226">
        <f t="shared" si="183"/>
        <v>0</v>
      </c>
      <c r="T337" s="279">
        <f t="shared" si="183"/>
        <v>0</v>
      </c>
    </row>
    <row r="338" spans="1:20" ht="12.75" customHeight="1" x14ac:dyDescent="0.2">
      <c r="A338" s="188" t="str">
        <f>"      "&amp;Labels!C384</f>
        <v xml:space="preserve">      Total</v>
      </c>
      <c r="B338" s="196">
        <f t="shared" ref="B338:T338" si="184">SUM(B312,B325)</f>
        <v>0</v>
      </c>
      <c r="C338" s="196">
        <f t="shared" si="184"/>
        <v>0</v>
      </c>
      <c r="D338" s="196">
        <f t="shared" si="184"/>
        <v>0</v>
      </c>
      <c r="E338" s="196">
        <f t="shared" si="184"/>
        <v>0</v>
      </c>
      <c r="F338" s="196">
        <f t="shared" si="184"/>
        <v>0</v>
      </c>
      <c r="G338" s="196">
        <f t="shared" si="184"/>
        <v>0</v>
      </c>
      <c r="H338" s="196">
        <f t="shared" si="184"/>
        <v>0</v>
      </c>
      <c r="I338" s="196">
        <f t="shared" si="184"/>
        <v>0</v>
      </c>
      <c r="J338" s="196">
        <f t="shared" si="184"/>
        <v>0</v>
      </c>
      <c r="K338" s="196">
        <f t="shared" si="184"/>
        <v>0</v>
      </c>
      <c r="L338" s="196">
        <f t="shared" si="184"/>
        <v>0</v>
      </c>
      <c r="M338" s="196">
        <f t="shared" si="184"/>
        <v>0</v>
      </c>
      <c r="N338" s="196">
        <f t="shared" si="184"/>
        <v>0</v>
      </c>
      <c r="O338" s="196">
        <f t="shared" si="184"/>
        <v>0</v>
      </c>
      <c r="P338" s="196">
        <f t="shared" si="184"/>
        <v>0</v>
      </c>
      <c r="Q338" s="196">
        <f t="shared" si="184"/>
        <v>0</v>
      </c>
      <c r="R338" s="196">
        <f t="shared" si="184"/>
        <v>0</v>
      </c>
      <c r="S338" s="196">
        <f t="shared" si="184"/>
        <v>0</v>
      </c>
      <c r="T338" s="267">
        <f t="shared" si="184"/>
        <v>0</v>
      </c>
    </row>
    <row r="339" spans="1:20" ht="12.75" customHeight="1" x14ac:dyDescent="0.2">
      <c r="A339" s="191" t="str">
        <f>"   "&amp;Labels!C380</f>
        <v xml:space="preserve">   Total</v>
      </c>
      <c r="B339" s="192">
        <f t="shared" ref="B339:T339" si="185">SUM(B313,B326)</f>
        <v>0</v>
      </c>
      <c r="C339" s="192">
        <f t="shared" si="185"/>
        <v>0</v>
      </c>
      <c r="D339" s="192">
        <f t="shared" si="185"/>
        <v>0</v>
      </c>
      <c r="E339" s="192">
        <f t="shared" si="185"/>
        <v>0</v>
      </c>
      <c r="F339" s="192">
        <f t="shared" si="185"/>
        <v>0</v>
      </c>
      <c r="G339" s="192">
        <f t="shared" si="185"/>
        <v>0</v>
      </c>
      <c r="H339" s="192">
        <f t="shared" si="185"/>
        <v>0</v>
      </c>
      <c r="I339" s="192">
        <f t="shared" si="185"/>
        <v>0</v>
      </c>
      <c r="J339" s="192">
        <f t="shared" si="185"/>
        <v>0</v>
      </c>
      <c r="K339" s="192">
        <f t="shared" si="185"/>
        <v>0</v>
      </c>
      <c r="L339" s="192">
        <f t="shared" si="185"/>
        <v>0</v>
      </c>
      <c r="M339" s="192">
        <f t="shared" si="185"/>
        <v>0</v>
      </c>
      <c r="N339" s="192">
        <f t="shared" si="185"/>
        <v>0</v>
      </c>
      <c r="O339" s="192">
        <f t="shared" si="185"/>
        <v>0</v>
      </c>
      <c r="P339" s="192">
        <f t="shared" si="185"/>
        <v>0</v>
      </c>
      <c r="Q339" s="192">
        <f t="shared" si="185"/>
        <v>0</v>
      </c>
      <c r="R339" s="192">
        <f t="shared" si="185"/>
        <v>0</v>
      </c>
      <c r="S339" s="192">
        <f t="shared" si="185"/>
        <v>0</v>
      </c>
      <c r="T339" s="280">
        <f t="shared" si="185"/>
        <v>0</v>
      </c>
    </row>
    <row r="340" spans="1:20" ht="12.75" customHeight="1" x14ac:dyDescent="0.2">
      <c r="A340" s="198" t="str">
        <f>"      "&amp;Labels!B385</f>
        <v xml:space="preserve">      Prof Level 1</v>
      </c>
      <c r="B340" s="226">
        <f t="shared" ref="B340:T340" si="186">SUM(B314,B327)</f>
        <v>0</v>
      </c>
      <c r="C340" s="226">
        <f t="shared" si="186"/>
        <v>0</v>
      </c>
      <c r="D340" s="226">
        <f t="shared" si="186"/>
        <v>0</v>
      </c>
      <c r="E340" s="226">
        <f t="shared" si="186"/>
        <v>0</v>
      </c>
      <c r="F340" s="226">
        <f t="shared" si="186"/>
        <v>0</v>
      </c>
      <c r="G340" s="226">
        <f t="shared" si="186"/>
        <v>0</v>
      </c>
      <c r="H340" s="226">
        <f t="shared" si="186"/>
        <v>0</v>
      </c>
      <c r="I340" s="226">
        <f t="shared" si="186"/>
        <v>0</v>
      </c>
      <c r="J340" s="226">
        <f t="shared" si="186"/>
        <v>0</v>
      </c>
      <c r="K340" s="226">
        <f t="shared" si="186"/>
        <v>0</v>
      </c>
      <c r="L340" s="226">
        <f t="shared" si="186"/>
        <v>0</v>
      </c>
      <c r="M340" s="226">
        <f t="shared" si="186"/>
        <v>0</v>
      </c>
      <c r="N340" s="226">
        <f t="shared" si="186"/>
        <v>0</v>
      </c>
      <c r="O340" s="226">
        <f t="shared" si="186"/>
        <v>0</v>
      </c>
      <c r="P340" s="226">
        <f t="shared" si="186"/>
        <v>0</v>
      </c>
      <c r="Q340" s="226">
        <f t="shared" si="186"/>
        <v>0</v>
      </c>
      <c r="R340" s="226">
        <f t="shared" si="186"/>
        <v>0</v>
      </c>
      <c r="S340" s="226">
        <f t="shared" si="186"/>
        <v>0</v>
      </c>
      <c r="T340" s="279">
        <f t="shared" si="186"/>
        <v>0</v>
      </c>
    </row>
    <row r="341" spans="1:20" ht="12.75" customHeight="1" x14ac:dyDescent="0.2">
      <c r="A341" s="198" t="str">
        <f>"      "&amp;Labels!B386</f>
        <v xml:space="preserve">      Prof Level 2</v>
      </c>
      <c r="B341" s="226">
        <f t="shared" ref="B341:T341" si="187">SUM(B315,B328)</f>
        <v>0</v>
      </c>
      <c r="C341" s="226">
        <f t="shared" si="187"/>
        <v>0</v>
      </c>
      <c r="D341" s="226">
        <f t="shared" si="187"/>
        <v>0</v>
      </c>
      <c r="E341" s="226">
        <f t="shared" si="187"/>
        <v>0</v>
      </c>
      <c r="F341" s="226">
        <f t="shared" si="187"/>
        <v>0</v>
      </c>
      <c r="G341" s="226">
        <f t="shared" si="187"/>
        <v>0</v>
      </c>
      <c r="H341" s="226">
        <f t="shared" si="187"/>
        <v>0</v>
      </c>
      <c r="I341" s="226">
        <f t="shared" si="187"/>
        <v>0</v>
      </c>
      <c r="J341" s="226">
        <f t="shared" si="187"/>
        <v>0</v>
      </c>
      <c r="K341" s="226">
        <f t="shared" si="187"/>
        <v>0</v>
      </c>
      <c r="L341" s="226">
        <f t="shared" si="187"/>
        <v>0</v>
      </c>
      <c r="M341" s="226">
        <f t="shared" si="187"/>
        <v>0</v>
      </c>
      <c r="N341" s="226">
        <f t="shared" si="187"/>
        <v>0</v>
      </c>
      <c r="O341" s="226">
        <f t="shared" si="187"/>
        <v>0</v>
      </c>
      <c r="P341" s="226">
        <f t="shared" si="187"/>
        <v>0</v>
      </c>
      <c r="Q341" s="226">
        <f t="shared" si="187"/>
        <v>0</v>
      </c>
      <c r="R341" s="226">
        <f t="shared" si="187"/>
        <v>0</v>
      </c>
      <c r="S341" s="226">
        <f t="shared" si="187"/>
        <v>0</v>
      </c>
      <c r="T341" s="279">
        <f t="shared" si="187"/>
        <v>0</v>
      </c>
    </row>
    <row r="342" spans="1:20" ht="12.75" customHeight="1" x14ac:dyDescent="0.2">
      <c r="A342" s="220" t="str">
        <f>"      "&amp;Labels!C384</f>
        <v xml:space="preserve">      Total</v>
      </c>
      <c r="B342" s="228">
        <f t="shared" ref="B342:T342" si="188">SUM(B313,B326)</f>
        <v>0</v>
      </c>
      <c r="C342" s="228">
        <f t="shared" si="188"/>
        <v>0</v>
      </c>
      <c r="D342" s="228">
        <f t="shared" si="188"/>
        <v>0</v>
      </c>
      <c r="E342" s="228">
        <f t="shared" si="188"/>
        <v>0</v>
      </c>
      <c r="F342" s="228">
        <f t="shared" si="188"/>
        <v>0</v>
      </c>
      <c r="G342" s="228">
        <f t="shared" si="188"/>
        <v>0</v>
      </c>
      <c r="H342" s="228">
        <f t="shared" si="188"/>
        <v>0</v>
      </c>
      <c r="I342" s="228">
        <f t="shared" si="188"/>
        <v>0</v>
      </c>
      <c r="J342" s="228">
        <f t="shared" si="188"/>
        <v>0</v>
      </c>
      <c r="K342" s="228">
        <f t="shared" si="188"/>
        <v>0</v>
      </c>
      <c r="L342" s="228">
        <f t="shared" si="188"/>
        <v>0</v>
      </c>
      <c r="M342" s="228">
        <f t="shared" si="188"/>
        <v>0</v>
      </c>
      <c r="N342" s="228">
        <f t="shared" si="188"/>
        <v>0</v>
      </c>
      <c r="O342" s="228">
        <f t="shared" si="188"/>
        <v>0</v>
      </c>
      <c r="P342" s="228">
        <f t="shared" si="188"/>
        <v>0</v>
      </c>
      <c r="Q342" s="228">
        <f t="shared" si="188"/>
        <v>0</v>
      </c>
      <c r="R342" s="228">
        <f t="shared" si="188"/>
        <v>0</v>
      </c>
      <c r="S342" s="228">
        <f t="shared" si="188"/>
        <v>0</v>
      </c>
      <c r="T342" s="281">
        <f t="shared" si="188"/>
        <v>0</v>
      </c>
    </row>
    <row r="343" spans="1:20" ht="12.75" customHeight="1" x14ac:dyDescent="0.2">
      <c r="A343" s="1" t="str">
        <f>"Facil_Util_Exp_1"</f>
        <v>Facil_Util_Exp_1</v>
      </c>
    </row>
    <row r="344" spans="1:20" ht="12.75" customHeight="1" x14ac:dyDescent="0.2">
      <c r="B344" s="9" t="str">
        <f>'(FnCalls 1)'!F41</f>
        <v>MMM 2010</v>
      </c>
      <c r="C344" s="10" t="str">
        <f>'(FnCalls 1)'!F42</f>
        <v>MMM 2010</v>
      </c>
      <c r="D344" s="10" t="str">
        <f>'(FnCalls 1)'!F43</f>
        <v>MMM 2010</v>
      </c>
      <c r="E344" s="10" t="str">
        <f>'(FnCalls 1)'!F44</f>
        <v>MMM 2010</v>
      </c>
      <c r="F344" s="10" t="str">
        <f>'(FnCalls 1)'!F45</f>
        <v>MMM 2010</v>
      </c>
      <c r="G344" s="10" t="str">
        <f>'(FnCalls 1)'!F46</f>
        <v>MMM 2010</v>
      </c>
      <c r="H344" s="10" t="str">
        <f>'(FnCalls 1)'!F47</f>
        <v>MMM 2010</v>
      </c>
      <c r="I344" s="10" t="str">
        <f>'(FnCalls 1)'!F48</f>
        <v>MMM 2010</v>
      </c>
      <c r="J344" s="10" t="str">
        <f>'(FnCalls 1)'!F49</f>
        <v>MMM 2010</v>
      </c>
      <c r="K344" s="10" t="str">
        <f>'(FnCalls 1)'!F50</f>
        <v>MMM 2010</v>
      </c>
      <c r="L344" s="10" t="str">
        <f>'(FnCalls 1)'!F51</f>
        <v>MMM 2010</v>
      </c>
      <c r="M344" s="10" t="str">
        <f>'(FnCalls 1)'!F52</f>
        <v>MMM 2010</v>
      </c>
      <c r="N344" s="10" t="str">
        <f>'(FnCalls 1)'!F53</f>
        <v>MMM 2011</v>
      </c>
      <c r="O344" s="10" t="str">
        <f>'(FnCalls 1)'!F54</f>
        <v>MMM 2011</v>
      </c>
      <c r="P344" s="10" t="str">
        <f>'(FnCalls 1)'!F55</f>
        <v>MMM 2011</v>
      </c>
      <c r="Q344" s="10" t="str">
        <f>'(FnCalls 1)'!F56</f>
        <v>MMM 2011</v>
      </c>
      <c r="R344" s="10" t="str">
        <f>'(FnCalls 1)'!F57</f>
        <v>MMM 2011</v>
      </c>
      <c r="S344" s="11" t="str">
        <f>'(FnCalls 1)'!F58</f>
        <v>MMM 2011</v>
      </c>
    </row>
    <row r="345" spans="1:20" ht="12.75" customHeight="1" x14ac:dyDescent="0.2">
      <c r="A345" s="182" t="str">
        <f>Labels!B321</f>
        <v>Marketing</v>
      </c>
      <c r="B345" s="239"/>
      <c r="C345" s="239"/>
      <c r="D345" s="239"/>
      <c r="E345" s="239"/>
      <c r="F345" s="239"/>
      <c r="G345" s="239"/>
      <c r="H345" s="239"/>
      <c r="I345" s="239"/>
      <c r="J345" s="239"/>
      <c r="K345" s="239"/>
      <c r="L345" s="239"/>
      <c r="M345" s="239"/>
      <c r="N345" s="239"/>
      <c r="O345" s="239"/>
      <c r="P345" s="239"/>
      <c r="Q345" s="239"/>
      <c r="R345" s="239"/>
      <c r="S345" s="335"/>
    </row>
    <row r="346" spans="1:20" ht="12.75" customHeight="1" x14ac:dyDescent="0.2">
      <c r="A346" s="188" t="str">
        <f>"   "&amp;Labels!B393</f>
        <v xml:space="preserve">   Manager</v>
      </c>
      <c r="B346" s="241">
        <f>Inputs!F304*'Sup Staff'!B23*Inputs!F305/12</f>
        <v>0</v>
      </c>
      <c r="C346" s="241">
        <f>Inputs!G304*'Sup Staff'!C23*Inputs!G305/12</f>
        <v>0</v>
      </c>
      <c r="D346" s="241">
        <f>Inputs!H304*'Sup Staff'!D23*Inputs!H305/12</f>
        <v>0</v>
      </c>
      <c r="E346" s="241">
        <f>Inputs!I304*'Sup Staff'!F23*Inputs!I305/12</f>
        <v>0</v>
      </c>
      <c r="F346" s="241">
        <f>Inputs!J304*'Sup Staff'!G23*Inputs!J305/12</f>
        <v>0</v>
      </c>
      <c r="G346" s="241">
        <f>Inputs!K304*'Sup Staff'!H23*Inputs!K305/12</f>
        <v>0</v>
      </c>
      <c r="H346" s="241">
        <f>Inputs!L304*'Sup Staff'!J23*Inputs!L305/12</f>
        <v>0</v>
      </c>
      <c r="I346" s="241">
        <f>Inputs!M304*'Sup Staff'!K23*Inputs!M305/12</f>
        <v>0</v>
      </c>
      <c r="J346" s="241">
        <f>Inputs!N304*'Sup Staff'!L23*Inputs!N305/12</f>
        <v>0</v>
      </c>
      <c r="K346" s="241">
        <f>Inputs!O304*'Sup Staff'!N23*Inputs!O305/12</f>
        <v>0</v>
      </c>
      <c r="L346" s="241">
        <f>Inputs!P304*'Sup Staff'!O23*Inputs!P305/12</f>
        <v>0</v>
      </c>
      <c r="M346" s="241">
        <f>Inputs!Q304*'Sup Staff'!P23*Inputs!Q305/12</f>
        <v>0</v>
      </c>
      <c r="N346" s="241">
        <f>Inputs!R304*'Sup Staff'!R23*Inputs!R305/12</f>
        <v>0</v>
      </c>
      <c r="O346" s="241">
        <f>Inputs!S304*'Sup Staff'!S23*Inputs!S305/12</f>
        <v>0</v>
      </c>
      <c r="P346" s="241">
        <f>Inputs!T304*'Sup Staff'!T23*Inputs!T305/12</f>
        <v>0</v>
      </c>
      <c r="Q346" s="241">
        <f>Inputs!U304*'Sup Staff'!V23*Inputs!U305/12</f>
        <v>0</v>
      </c>
      <c r="R346" s="241">
        <f>Inputs!V304*'Sup Staff'!W23*Inputs!V305/12</f>
        <v>0</v>
      </c>
      <c r="S346" s="352">
        <f>Inputs!W304*'Sup Staff'!X23*Inputs!W305/12</f>
        <v>0</v>
      </c>
    </row>
    <row r="347" spans="1:20" ht="12.75" customHeight="1" x14ac:dyDescent="0.2">
      <c r="A347" s="188" t="str">
        <f>"   "&amp;Labels!B394</f>
        <v xml:space="preserve">   Contributor</v>
      </c>
      <c r="B347" s="241">
        <f>Inputs!F304*'Sup Staff'!B24*Inputs!F305/12</f>
        <v>0</v>
      </c>
      <c r="C347" s="241">
        <f>Inputs!G304*'Sup Staff'!C24*Inputs!G305/12</f>
        <v>0</v>
      </c>
      <c r="D347" s="241">
        <f>Inputs!H304*'Sup Staff'!D24*Inputs!H305/12</f>
        <v>0</v>
      </c>
      <c r="E347" s="241">
        <f>Inputs!I304*'Sup Staff'!F24*Inputs!I305/12</f>
        <v>0</v>
      </c>
      <c r="F347" s="241">
        <f>Inputs!J304*'Sup Staff'!G24*Inputs!J305/12</f>
        <v>0</v>
      </c>
      <c r="G347" s="241">
        <f>Inputs!K304*'Sup Staff'!H24*Inputs!K305/12</f>
        <v>0</v>
      </c>
      <c r="H347" s="241">
        <f>Inputs!L304*'Sup Staff'!J24*Inputs!L305/12</f>
        <v>0</v>
      </c>
      <c r="I347" s="241">
        <f>Inputs!M304*'Sup Staff'!K24*Inputs!M305/12</f>
        <v>0</v>
      </c>
      <c r="J347" s="241">
        <f>Inputs!N304*'Sup Staff'!L24*Inputs!N305/12</f>
        <v>0</v>
      </c>
      <c r="K347" s="241">
        <f>Inputs!O304*'Sup Staff'!N24*Inputs!O305/12</f>
        <v>0</v>
      </c>
      <c r="L347" s="241">
        <f>Inputs!P304*'Sup Staff'!O24*Inputs!P305/12</f>
        <v>0</v>
      </c>
      <c r="M347" s="241">
        <f>Inputs!Q304*'Sup Staff'!P24*Inputs!Q305/12</f>
        <v>0</v>
      </c>
      <c r="N347" s="241">
        <f>Inputs!R304*'Sup Staff'!R24*Inputs!R305/12</f>
        <v>0</v>
      </c>
      <c r="O347" s="241">
        <f>Inputs!S304*'Sup Staff'!S24*Inputs!S305/12</f>
        <v>0</v>
      </c>
      <c r="P347" s="241">
        <f>Inputs!T304*'Sup Staff'!T24*Inputs!T305/12</f>
        <v>0</v>
      </c>
      <c r="Q347" s="241">
        <f>Inputs!U304*'Sup Staff'!V24*Inputs!U305/12</f>
        <v>0</v>
      </c>
      <c r="R347" s="241">
        <f>Inputs!V304*'Sup Staff'!W24*Inputs!V305/12</f>
        <v>0</v>
      </c>
      <c r="S347" s="352">
        <f>Inputs!W304*'Sup Staff'!X24*Inputs!W305/12</f>
        <v>0</v>
      </c>
    </row>
    <row r="348" spans="1:20" ht="12.75" customHeight="1" x14ac:dyDescent="0.2">
      <c r="A348" s="191" t="str">
        <f>"   "&amp;Labels!C392</f>
        <v xml:space="preserve">   Total</v>
      </c>
      <c r="B348" s="245">
        <f t="shared" ref="B348:S348" si="189">SUM(B346:B347)</f>
        <v>0</v>
      </c>
      <c r="C348" s="245">
        <f t="shared" si="189"/>
        <v>0</v>
      </c>
      <c r="D348" s="245">
        <f t="shared" si="189"/>
        <v>0</v>
      </c>
      <c r="E348" s="245">
        <f t="shared" si="189"/>
        <v>0</v>
      </c>
      <c r="F348" s="245">
        <f t="shared" si="189"/>
        <v>0</v>
      </c>
      <c r="G348" s="245">
        <f t="shared" si="189"/>
        <v>0</v>
      </c>
      <c r="H348" s="245">
        <f t="shared" si="189"/>
        <v>0</v>
      </c>
      <c r="I348" s="245">
        <f t="shared" si="189"/>
        <v>0</v>
      </c>
      <c r="J348" s="245">
        <f t="shared" si="189"/>
        <v>0</v>
      </c>
      <c r="K348" s="245">
        <f t="shared" si="189"/>
        <v>0</v>
      </c>
      <c r="L348" s="245">
        <f t="shared" si="189"/>
        <v>0</v>
      </c>
      <c r="M348" s="245">
        <f t="shared" si="189"/>
        <v>0</v>
      </c>
      <c r="N348" s="245">
        <f t="shared" si="189"/>
        <v>0</v>
      </c>
      <c r="O348" s="245">
        <f t="shared" si="189"/>
        <v>0</v>
      </c>
      <c r="P348" s="245">
        <f t="shared" si="189"/>
        <v>0</v>
      </c>
      <c r="Q348" s="245">
        <f t="shared" si="189"/>
        <v>0</v>
      </c>
      <c r="R348" s="245">
        <f t="shared" si="189"/>
        <v>0</v>
      </c>
      <c r="S348" s="353">
        <f t="shared" si="189"/>
        <v>0</v>
      </c>
    </row>
    <row r="349" spans="1:20" ht="12.75" customHeight="1" x14ac:dyDescent="0.2">
      <c r="A349" s="191" t="str">
        <f>Labels!B322</f>
        <v>Sales</v>
      </c>
      <c r="B349" s="245"/>
      <c r="C349" s="245"/>
      <c r="D349" s="245"/>
      <c r="E349" s="245"/>
      <c r="F349" s="245"/>
      <c r="G349" s="245"/>
      <c r="H349" s="245"/>
      <c r="I349" s="245"/>
      <c r="J349" s="245"/>
      <c r="K349" s="245"/>
      <c r="L349" s="245"/>
      <c r="M349" s="245"/>
      <c r="N349" s="245"/>
      <c r="O349" s="245"/>
      <c r="P349" s="245"/>
      <c r="Q349" s="245"/>
      <c r="R349" s="245"/>
      <c r="S349" s="353"/>
    </row>
    <row r="350" spans="1:20" ht="12.75" customHeight="1" x14ac:dyDescent="0.2">
      <c r="A350" s="188" t="str">
        <f>"   "&amp;Labels!B393</f>
        <v xml:space="preserve">   Manager</v>
      </c>
      <c r="B350" s="241">
        <f>Inputs!F304*'Sup Staff'!B27*Inputs!F305/12</f>
        <v>0</v>
      </c>
      <c r="C350" s="241">
        <f>Inputs!G304*'Sup Staff'!C27*Inputs!G305/12</f>
        <v>0</v>
      </c>
      <c r="D350" s="241">
        <f>Inputs!H304*'Sup Staff'!D27*Inputs!H305/12</f>
        <v>0</v>
      </c>
      <c r="E350" s="241">
        <f>Inputs!I304*'Sup Staff'!F27*Inputs!I305/12</f>
        <v>0</v>
      </c>
      <c r="F350" s="241">
        <f>Inputs!J304*'Sup Staff'!G27*Inputs!J305/12</f>
        <v>0</v>
      </c>
      <c r="G350" s="241">
        <f>Inputs!K304*'Sup Staff'!H27*Inputs!K305/12</f>
        <v>0</v>
      </c>
      <c r="H350" s="241">
        <f>Inputs!L304*'Sup Staff'!J27*Inputs!L305/12</f>
        <v>0</v>
      </c>
      <c r="I350" s="241">
        <f>Inputs!M304*'Sup Staff'!K27*Inputs!M305/12</f>
        <v>0</v>
      </c>
      <c r="J350" s="241">
        <f>Inputs!N304*'Sup Staff'!L27*Inputs!N305/12</f>
        <v>0</v>
      </c>
      <c r="K350" s="241">
        <f>Inputs!O304*'Sup Staff'!N27*Inputs!O305/12</f>
        <v>0</v>
      </c>
      <c r="L350" s="241">
        <f>Inputs!P304*'Sup Staff'!O27*Inputs!P305/12</f>
        <v>0</v>
      </c>
      <c r="M350" s="241">
        <f>Inputs!Q304*'Sup Staff'!P27*Inputs!Q305/12</f>
        <v>0</v>
      </c>
      <c r="N350" s="241">
        <f>Inputs!R304*'Sup Staff'!R27*Inputs!R305/12</f>
        <v>0</v>
      </c>
      <c r="O350" s="241">
        <f>Inputs!S304*'Sup Staff'!S27*Inputs!S305/12</f>
        <v>0</v>
      </c>
      <c r="P350" s="241">
        <f>Inputs!T304*'Sup Staff'!T27*Inputs!T305/12</f>
        <v>0</v>
      </c>
      <c r="Q350" s="241">
        <f>Inputs!U304*'Sup Staff'!V27*Inputs!U305/12</f>
        <v>0</v>
      </c>
      <c r="R350" s="241">
        <f>Inputs!V304*'Sup Staff'!W27*Inputs!V305/12</f>
        <v>0</v>
      </c>
      <c r="S350" s="352">
        <f>Inputs!W304*'Sup Staff'!X27*Inputs!W305/12</f>
        <v>0</v>
      </c>
    </row>
    <row r="351" spans="1:20" ht="12.75" customHeight="1" x14ac:dyDescent="0.2">
      <c r="A351" s="188" t="str">
        <f>"   "&amp;Labels!B394</f>
        <v xml:space="preserve">   Contributor</v>
      </c>
      <c r="B351" s="241">
        <f>Inputs!F304*'Sup Staff'!B28*Inputs!F305/12</f>
        <v>0</v>
      </c>
      <c r="C351" s="241">
        <f>Inputs!G304*'Sup Staff'!C28*Inputs!G305/12</f>
        <v>0</v>
      </c>
      <c r="D351" s="241">
        <f>Inputs!H304*'Sup Staff'!D28*Inputs!H305/12</f>
        <v>0</v>
      </c>
      <c r="E351" s="241">
        <f>Inputs!I304*'Sup Staff'!F28*Inputs!I305/12</f>
        <v>0</v>
      </c>
      <c r="F351" s="241">
        <f>Inputs!J304*'Sup Staff'!G28*Inputs!J305/12</f>
        <v>0</v>
      </c>
      <c r="G351" s="241">
        <f>Inputs!K304*'Sup Staff'!H28*Inputs!K305/12</f>
        <v>0</v>
      </c>
      <c r="H351" s="241">
        <f>Inputs!L304*'Sup Staff'!J28*Inputs!L305/12</f>
        <v>0</v>
      </c>
      <c r="I351" s="241">
        <f>Inputs!M304*'Sup Staff'!K28*Inputs!M305/12</f>
        <v>0</v>
      </c>
      <c r="J351" s="241">
        <f>Inputs!N304*'Sup Staff'!L28*Inputs!N305/12</f>
        <v>0</v>
      </c>
      <c r="K351" s="241">
        <f>Inputs!O304*'Sup Staff'!N28*Inputs!O305/12</f>
        <v>0</v>
      </c>
      <c r="L351" s="241">
        <f>Inputs!P304*'Sup Staff'!O28*Inputs!P305/12</f>
        <v>0</v>
      </c>
      <c r="M351" s="241">
        <f>Inputs!Q304*'Sup Staff'!P28*Inputs!Q305/12</f>
        <v>0</v>
      </c>
      <c r="N351" s="241">
        <f>Inputs!R304*'Sup Staff'!R28*Inputs!R305/12</f>
        <v>0</v>
      </c>
      <c r="O351" s="241">
        <f>Inputs!S304*'Sup Staff'!S28*Inputs!S305/12</f>
        <v>0</v>
      </c>
      <c r="P351" s="241">
        <f>Inputs!T304*'Sup Staff'!T28*Inputs!T305/12</f>
        <v>0</v>
      </c>
      <c r="Q351" s="241">
        <f>Inputs!U304*'Sup Staff'!V28*Inputs!U305/12</f>
        <v>0</v>
      </c>
      <c r="R351" s="241">
        <f>Inputs!V304*'Sup Staff'!W28*Inputs!V305/12</f>
        <v>0</v>
      </c>
      <c r="S351" s="352">
        <f>Inputs!W304*'Sup Staff'!X28*Inputs!W305/12</f>
        <v>0</v>
      </c>
    </row>
    <row r="352" spans="1:20" ht="12.75" customHeight="1" x14ac:dyDescent="0.2">
      <c r="A352" s="191" t="str">
        <f>"   "&amp;Labels!C392</f>
        <v xml:space="preserve">   Total</v>
      </c>
      <c r="B352" s="245">
        <f t="shared" ref="B352:S352" si="190">SUM(B350:B351)</f>
        <v>0</v>
      </c>
      <c r="C352" s="245">
        <f t="shared" si="190"/>
        <v>0</v>
      </c>
      <c r="D352" s="245">
        <f t="shared" si="190"/>
        <v>0</v>
      </c>
      <c r="E352" s="245">
        <f t="shared" si="190"/>
        <v>0</v>
      </c>
      <c r="F352" s="245">
        <f t="shared" si="190"/>
        <v>0</v>
      </c>
      <c r="G352" s="245">
        <f t="shared" si="190"/>
        <v>0</v>
      </c>
      <c r="H352" s="245">
        <f t="shared" si="190"/>
        <v>0</v>
      </c>
      <c r="I352" s="245">
        <f t="shared" si="190"/>
        <v>0</v>
      </c>
      <c r="J352" s="245">
        <f t="shared" si="190"/>
        <v>0</v>
      </c>
      <c r="K352" s="245">
        <f t="shared" si="190"/>
        <v>0</v>
      </c>
      <c r="L352" s="245">
        <f t="shared" si="190"/>
        <v>0</v>
      </c>
      <c r="M352" s="245">
        <f t="shared" si="190"/>
        <v>0</v>
      </c>
      <c r="N352" s="245">
        <f t="shared" si="190"/>
        <v>0</v>
      </c>
      <c r="O352" s="245">
        <f t="shared" si="190"/>
        <v>0</v>
      </c>
      <c r="P352" s="245">
        <f t="shared" si="190"/>
        <v>0</v>
      </c>
      <c r="Q352" s="245">
        <f t="shared" si="190"/>
        <v>0</v>
      </c>
      <c r="R352" s="245">
        <f t="shared" si="190"/>
        <v>0</v>
      </c>
      <c r="S352" s="353">
        <f t="shared" si="190"/>
        <v>0</v>
      </c>
    </row>
    <row r="353" spans="1:19" ht="12.75" customHeight="1" x14ac:dyDescent="0.2">
      <c r="A353" s="97" t="str">
        <f>Labels!C320</f>
        <v>Total</v>
      </c>
      <c r="B353" s="199">
        <f t="shared" ref="B353:S353" si="191">SUM(B348,B352)</f>
        <v>0</v>
      </c>
      <c r="C353" s="199">
        <f t="shared" si="191"/>
        <v>0</v>
      </c>
      <c r="D353" s="199">
        <f t="shared" si="191"/>
        <v>0</v>
      </c>
      <c r="E353" s="199">
        <f t="shared" si="191"/>
        <v>0</v>
      </c>
      <c r="F353" s="199">
        <f t="shared" si="191"/>
        <v>0</v>
      </c>
      <c r="G353" s="199">
        <f t="shared" si="191"/>
        <v>0</v>
      </c>
      <c r="H353" s="199">
        <f t="shared" si="191"/>
        <v>0</v>
      </c>
      <c r="I353" s="199">
        <f t="shared" si="191"/>
        <v>0</v>
      </c>
      <c r="J353" s="199">
        <f t="shared" si="191"/>
        <v>0</v>
      </c>
      <c r="K353" s="199">
        <f t="shared" si="191"/>
        <v>0</v>
      </c>
      <c r="L353" s="199">
        <f t="shared" si="191"/>
        <v>0</v>
      </c>
      <c r="M353" s="199">
        <f t="shared" si="191"/>
        <v>0</v>
      </c>
      <c r="N353" s="199">
        <f t="shared" si="191"/>
        <v>0</v>
      </c>
      <c r="O353" s="199">
        <f t="shared" si="191"/>
        <v>0</v>
      </c>
      <c r="P353" s="199">
        <f t="shared" si="191"/>
        <v>0</v>
      </c>
      <c r="Q353" s="199">
        <f t="shared" si="191"/>
        <v>0</v>
      </c>
      <c r="R353" s="199">
        <f t="shared" si="191"/>
        <v>0</v>
      </c>
      <c r="S353" s="354">
        <f t="shared" si="191"/>
        <v>0</v>
      </c>
    </row>
    <row r="354" spans="1:19" ht="12.75" customHeight="1" x14ac:dyDescent="0.2">
      <c r="A354" s="188" t="str">
        <f>"   "&amp;Labels!B393</f>
        <v xml:space="preserve">   Manager</v>
      </c>
      <c r="B354" s="241">
        <f t="shared" ref="B354:S354" si="192">SUM(B346,B350)</f>
        <v>0</v>
      </c>
      <c r="C354" s="241">
        <f t="shared" si="192"/>
        <v>0</v>
      </c>
      <c r="D354" s="241">
        <f t="shared" si="192"/>
        <v>0</v>
      </c>
      <c r="E354" s="241">
        <f t="shared" si="192"/>
        <v>0</v>
      </c>
      <c r="F354" s="241">
        <f t="shared" si="192"/>
        <v>0</v>
      </c>
      <c r="G354" s="241">
        <f t="shared" si="192"/>
        <v>0</v>
      </c>
      <c r="H354" s="241">
        <f t="shared" si="192"/>
        <v>0</v>
      </c>
      <c r="I354" s="241">
        <f t="shared" si="192"/>
        <v>0</v>
      </c>
      <c r="J354" s="241">
        <f t="shared" si="192"/>
        <v>0</v>
      </c>
      <c r="K354" s="241">
        <f t="shared" si="192"/>
        <v>0</v>
      </c>
      <c r="L354" s="241">
        <f t="shared" si="192"/>
        <v>0</v>
      </c>
      <c r="M354" s="241">
        <f t="shared" si="192"/>
        <v>0</v>
      </c>
      <c r="N354" s="241">
        <f t="shared" si="192"/>
        <v>0</v>
      </c>
      <c r="O354" s="241">
        <f t="shared" si="192"/>
        <v>0</v>
      </c>
      <c r="P354" s="241">
        <f t="shared" si="192"/>
        <v>0</v>
      </c>
      <c r="Q354" s="241">
        <f t="shared" si="192"/>
        <v>0</v>
      </c>
      <c r="R354" s="241">
        <f t="shared" si="192"/>
        <v>0</v>
      </c>
      <c r="S354" s="352">
        <f t="shared" si="192"/>
        <v>0</v>
      </c>
    </row>
    <row r="355" spans="1:19" ht="12.75" customHeight="1" x14ac:dyDescent="0.2">
      <c r="A355" s="188" t="str">
        <f>"   "&amp;Labels!B394</f>
        <v xml:space="preserve">   Contributor</v>
      </c>
      <c r="B355" s="241">
        <f t="shared" ref="B355:S355" si="193">SUM(B347,B351)</f>
        <v>0</v>
      </c>
      <c r="C355" s="241">
        <f t="shared" si="193"/>
        <v>0</v>
      </c>
      <c r="D355" s="241">
        <f t="shared" si="193"/>
        <v>0</v>
      </c>
      <c r="E355" s="241">
        <f t="shared" si="193"/>
        <v>0</v>
      </c>
      <c r="F355" s="241">
        <f t="shared" si="193"/>
        <v>0</v>
      </c>
      <c r="G355" s="241">
        <f t="shared" si="193"/>
        <v>0</v>
      </c>
      <c r="H355" s="241">
        <f t="shared" si="193"/>
        <v>0</v>
      </c>
      <c r="I355" s="241">
        <f t="shared" si="193"/>
        <v>0</v>
      </c>
      <c r="J355" s="241">
        <f t="shared" si="193"/>
        <v>0</v>
      </c>
      <c r="K355" s="241">
        <f t="shared" si="193"/>
        <v>0</v>
      </c>
      <c r="L355" s="241">
        <f t="shared" si="193"/>
        <v>0</v>
      </c>
      <c r="M355" s="241">
        <f t="shared" si="193"/>
        <v>0</v>
      </c>
      <c r="N355" s="241">
        <f t="shared" si="193"/>
        <v>0</v>
      </c>
      <c r="O355" s="241">
        <f t="shared" si="193"/>
        <v>0</v>
      </c>
      <c r="P355" s="241">
        <f t="shared" si="193"/>
        <v>0</v>
      </c>
      <c r="Q355" s="241">
        <f t="shared" si="193"/>
        <v>0</v>
      </c>
      <c r="R355" s="241">
        <f t="shared" si="193"/>
        <v>0</v>
      </c>
      <c r="S355" s="352">
        <f t="shared" si="193"/>
        <v>0</v>
      </c>
    </row>
    <row r="356" spans="1:19" ht="12.75" customHeight="1" x14ac:dyDescent="0.2">
      <c r="A356" s="185" t="str">
        <f>"   "&amp;Labels!C392</f>
        <v xml:space="preserve">   Total</v>
      </c>
      <c r="B356" s="338">
        <f t="shared" ref="B356:S356" si="194">SUM(B348,B352)</f>
        <v>0</v>
      </c>
      <c r="C356" s="338">
        <f t="shared" si="194"/>
        <v>0</v>
      </c>
      <c r="D356" s="338">
        <f t="shared" si="194"/>
        <v>0</v>
      </c>
      <c r="E356" s="338">
        <f t="shared" si="194"/>
        <v>0</v>
      </c>
      <c r="F356" s="338">
        <f t="shared" si="194"/>
        <v>0</v>
      </c>
      <c r="G356" s="338">
        <f t="shared" si="194"/>
        <v>0</v>
      </c>
      <c r="H356" s="338">
        <f t="shared" si="194"/>
        <v>0</v>
      </c>
      <c r="I356" s="338">
        <f t="shared" si="194"/>
        <v>0</v>
      </c>
      <c r="J356" s="338">
        <f t="shared" si="194"/>
        <v>0</v>
      </c>
      <c r="K356" s="338">
        <f t="shared" si="194"/>
        <v>0</v>
      </c>
      <c r="L356" s="338">
        <f t="shared" si="194"/>
        <v>0</v>
      </c>
      <c r="M356" s="338">
        <f t="shared" si="194"/>
        <v>0</v>
      </c>
      <c r="N356" s="338">
        <f t="shared" si="194"/>
        <v>0</v>
      </c>
      <c r="O356" s="338">
        <f t="shared" si="194"/>
        <v>0</v>
      </c>
      <c r="P356" s="338">
        <f t="shared" si="194"/>
        <v>0</v>
      </c>
      <c r="Q356" s="338">
        <f t="shared" si="194"/>
        <v>0</v>
      </c>
      <c r="R356" s="338">
        <f t="shared" si="194"/>
        <v>0</v>
      </c>
      <c r="S356" s="339">
        <f t="shared" si="194"/>
        <v>0</v>
      </c>
    </row>
    <row r="357" spans="1:19" ht="12.75" customHeight="1" x14ac:dyDescent="0.2">
      <c r="A357" s="1" t="str">
        <f>"Facil_Util_Exp_2"</f>
        <v>Facil_Util_Exp_2</v>
      </c>
    </row>
    <row r="358" spans="1:19" ht="12.75" customHeight="1" x14ac:dyDescent="0.2">
      <c r="B358" s="9" t="str">
        <f>'(FnCalls 1)'!F41</f>
        <v>MMM 2010</v>
      </c>
      <c r="C358" s="10" t="str">
        <f>'(FnCalls 1)'!F42</f>
        <v>MMM 2010</v>
      </c>
      <c r="D358" s="10" t="str">
        <f>'(FnCalls 1)'!F43</f>
        <v>MMM 2010</v>
      </c>
      <c r="E358" s="10" t="str">
        <f>'(FnCalls 1)'!F44</f>
        <v>MMM 2010</v>
      </c>
      <c r="F358" s="10" t="str">
        <f>'(FnCalls 1)'!F45</f>
        <v>MMM 2010</v>
      </c>
      <c r="G358" s="10" t="str">
        <f>'(FnCalls 1)'!F46</f>
        <v>MMM 2010</v>
      </c>
      <c r="H358" s="10" t="str">
        <f>'(FnCalls 1)'!F47</f>
        <v>MMM 2010</v>
      </c>
      <c r="I358" s="10" t="str">
        <f>'(FnCalls 1)'!F48</f>
        <v>MMM 2010</v>
      </c>
      <c r="J358" s="10" t="str">
        <f>'(FnCalls 1)'!F49</f>
        <v>MMM 2010</v>
      </c>
      <c r="K358" s="10" t="str">
        <f>'(FnCalls 1)'!F50</f>
        <v>MMM 2010</v>
      </c>
      <c r="L358" s="10" t="str">
        <f>'(FnCalls 1)'!F51</f>
        <v>MMM 2010</v>
      </c>
      <c r="M358" s="10" t="str">
        <f>'(FnCalls 1)'!F52</f>
        <v>MMM 2010</v>
      </c>
      <c r="N358" s="10" t="str">
        <f>'(FnCalls 1)'!F53</f>
        <v>MMM 2011</v>
      </c>
      <c r="O358" s="10" t="str">
        <f>'(FnCalls 1)'!F54</f>
        <v>MMM 2011</v>
      </c>
      <c r="P358" s="10" t="str">
        <f>'(FnCalls 1)'!F55</f>
        <v>MMM 2011</v>
      </c>
      <c r="Q358" s="10" t="str">
        <f>'(FnCalls 1)'!F56</f>
        <v>MMM 2011</v>
      </c>
      <c r="R358" s="10" t="str">
        <f>'(FnCalls 1)'!F57</f>
        <v>MMM 2011</v>
      </c>
      <c r="S358" s="11" t="str">
        <f>'(FnCalls 1)'!F58</f>
        <v>MMM 2011</v>
      </c>
    </row>
    <row r="359" spans="1:19" ht="12.75" customHeight="1" x14ac:dyDescent="0.2">
      <c r="A359" s="182" t="str">
        <f>Labels!B321</f>
        <v>Marketing</v>
      </c>
      <c r="B359" s="239"/>
      <c r="C359" s="239"/>
      <c r="D359" s="239"/>
      <c r="E359" s="239"/>
      <c r="F359" s="239"/>
      <c r="G359" s="239"/>
      <c r="H359" s="239"/>
      <c r="I359" s="239"/>
      <c r="J359" s="239"/>
      <c r="K359" s="239"/>
      <c r="L359" s="239"/>
      <c r="M359" s="239"/>
      <c r="N359" s="239"/>
      <c r="O359" s="239"/>
      <c r="P359" s="239"/>
      <c r="Q359" s="239"/>
      <c r="R359" s="239"/>
      <c r="S359" s="335"/>
    </row>
    <row r="360" spans="1:19" ht="12.75" customHeight="1" x14ac:dyDescent="0.2">
      <c r="A360" s="188" t="str">
        <f>"   "&amp;Labels!B393</f>
        <v xml:space="preserve">   Manager</v>
      </c>
      <c r="B360" s="241">
        <f>Inputs!F304*'Sup Staff'!B23*Inputs!F306/12</f>
        <v>0</v>
      </c>
      <c r="C360" s="241">
        <f>Inputs!G304*'Sup Staff'!C23*Inputs!G306/12</f>
        <v>0</v>
      </c>
      <c r="D360" s="241">
        <f>Inputs!H304*'Sup Staff'!D23*Inputs!H306/12</f>
        <v>0</v>
      </c>
      <c r="E360" s="241">
        <f>Inputs!I304*'Sup Staff'!F23*Inputs!I306/12</f>
        <v>0</v>
      </c>
      <c r="F360" s="241">
        <f>Inputs!J304*'Sup Staff'!G23*Inputs!J306/12</f>
        <v>0</v>
      </c>
      <c r="G360" s="241">
        <f>Inputs!K304*'Sup Staff'!H23*Inputs!K306/12</f>
        <v>0</v>
      </c>
      <c r="H360" s="241">
        <f>Inputs!L304*'Sup Staff'!J23*Inputs!L306/12</f>
        <v>0</v>
      </c>
      <c r="I360" s="241">
        <f>Inputs!M304*'Sup Staff'!K23*Inputs!M306/12</f>
        <v>0</v>
      </c>
      <c r="J360" s="241">
        <f>Inputs!N304*'Sup Staff'!L23*Inputs!N306/12</f>
        <v>0</v>
      </c>
      <c r="K360" s="241">
        <f>Inputs!O304*'Sup Staff'!N23*Inputs!O306/12</f>
        <v>0</v>
      </c>
      <c r="L360" s="241">
        <f>Inputs!P304*'Sup Staff'!O23*Inputs!P306/12</f>
        <v>0</v>
      </c>
      <c r="M360" s="241">
        <f>Inputs!Q304*'Sup Staff'!P23*Inputs!Q306/12</f>
        <v>0</v>
      </c>
      <c r="N360" s="241">
        <f>Inputs!R304*'Sup Staff'!R23*Inputs!R306/12</f>
        <v>0</v>
      </c>
      <c r="O360" s="241">
        <f>Inputs!S304*'Sup Staff'!S23*Inputs!S306/12</f>
        <v>0</v>
      </c>
      <c r="P360" s="241">
        <f>Inputs!T304*'Sup Staff'!T23*Inputs!T306/12</f>
        <v>0</v>
      </c>
      <c r="Q360" s="241">
        <f>Inputs!U304*'Sup Staff'!V23*Inputs!U306/12</f>
        <v>0</v>
      </c>
      <c r="R360" s="241">
        <f>Inputs!V304*'Sup Staff'!W23*Inputs!V306/12</f>
        <v>0</v>
      </c>
      <c r="S360" s="352">
        <f>Inputs!W304*'Sup Staff'!X23*Inputs!W306/12</f>
        <v>0</v>
      </c>
    </row>
    <row r="361" spans="1:19" ht="12.75" customHeight="1" x14ac:dyDescent="0.2">
      <c r="A361" s="188" t="str">
        <f>"   "&amp;Labels!B394</f>
        <v xml:space="preserve">   Contributor</v>
      </c>
      <c r="B361" s="241">
        <f>Inputs!F304*'Sup Staff'!B24*Inputs!F306/12</f>
        <v>0</v>
      </c>
      <c r="C361" s="241">
        <f>Inputs!G304*'Sup Staff'!C24*Inputs!G306/12</f>
        <v>0</v>
      </c>
      <c r="D361" s="241">
        <f>Inputs!H304*'Sup Staff'!D24*Inputs!H306/12</f>
        <v>0</v>
      </c>
      <c r="E361" s="241">
        <f>Inputs!I304*'Sup Staff'!F24*Inputs!I306/12</f>
        <v>0</v>
      </c>
      <c r="F361" s="241">
        <f>Inputs!J304*'Sup Staff'!G24*Inputs!J306/12</f>
        <v>0</v>
      </c>
      <c r="G361" s="241">
        <f>Inputs!K304*'Sup Staff'!H24*Inputs!K306/12</f>
        <v>0</v>
      </c>
      <c r="H361" s="241">
        <f>Inputs!L304*'Sup Staff'!J24*Inputs!L306/12</f>
        <v>0</v>
      </c>
      <c r="I361" s="241">
        <f>Inputs!M304*'Sup Staff'!K24*Inputs!M306/12</f>
        <v>0</v>
      </c>
      <c r="J361" s="241">
        <f>Inputs!N304*'Sup Staff'!L24*Inputs!N306/12</f>
        <v>0</v>
      </c>
      <c r="K361" s="241">
        <f>Inputs!O304*'Sup Staff'!N24*Inputs!O306/12</f>
        <v>0</v>
      </c>
      <c r="L361" s="241">
        <f>Inputs!P304*'Sup Staff'!O24*Inputs!P306/12</f>
        <v>0</v>
      </c>
      <c r="M361" s="241">
        <f>Inputs!Q304*'Sup Staff'!P24*Inputs!Q306/12</f>
        <v>0</v>
      </c>
      <c r="N361" s="241">
        <f>Inputs!R304*'Sup Staff'!R24*Inputs!R306/12</f>
        <v>0</v>
      </c>
      <c r="O361" s="241">
        <f>Inputs!S304*'Sup Staff'!S24*Inputs!S306/12</f>
        <v>0</v>
      </c>
      <c r="P361" s="241">
        <f>Inputs!T304*'Sup Staff'!T24*Inputs!T306/12</f>
        <v>0</v>
      </c>
      <c r="Q361" s="241">
        <f>Inputs!U304*'Sup Staff'!V24*Inputs!U306/12</f>
        <v>0</v>
      </c>
      <c r="R361" s="241">
        <f>Inputs!V304*'Sup Staff'!W24*Inputs!V306/12</f>
        <v>0</v>
      </c>
      <c r="S361" s="352">
        <f>Inputs!W304*'Sup Staff'!X24*Inputs!W306/12</f>
        <v>0</v>
      </c>
    </row>
    <row r="362" spans="1:19" ht="12.75" customHeight="1" x14ac:dyDescent="0.2">
      <c r="A362" s="191" t="str">
        <f>"   "&amp;Labels!C392</f>
        <v xml:space="preserve">   Total</v>
      </c>
      <c r="B362" s="245">
        <f t="shared" ref="B362:S362" si="195">SUM(B360:B361)</f>
        <v>0</v>
      </c>
      <c r="C362" s="245">
        <f t="shared" si="195"/>
        <v>0</v>
      </c>
      <c r="D362" s="245">
        <f t="shared" si="195"/>
        <v>0</v>
      </c>
      <c r="E362" s="245">
        <f t="shared" si="195"/>
        <v>0</v>
      </c>
      <c r="F362" s="245">
        <f t="shared" si="195"/>
        <v>0</v>
      </c>
      <c r="G362" s="245">
        <f t="shared" si="195"/>
        <v>0</v>
      </c>
      <c r="H362" s="245">
        <f t="shared" si="195"/>
        <v>0</v>
      </c>
      <c r="I362" s="245">
        <f t="shared" si="195"/>
        <v>0</v>
      </c>
      <c r="J362" s="245">
        <f t="shared" si="195"/>
        <v>0</v>
      </c>
      <c r="K362" s="245">
        <f t="shared" si="195"/>
        <v>0</v>
      </c>
      <c r="L362" s="245">
        <f t="shared" si="195"/>
        <v>0</v>
      </c>
      <c r="M362" s="245">
        <f t="shared" si="195"/>
        <v>0</v>
      </c>
      <c r="N362" s="245">
        <f t="shared" si="195"/>
        <v>0</v>
      </c>
      <c r="O362" s="245">
        <f t="shared" si="195"/>
        <v>0</v>
      </c>
      <c r="P362" s="245">
        <f t="shared" si="195"/>
        <v>0</v>
      </c>
      <c r="Q362" s="245">
        <f t="shared" si="195"/>
        <v>0</v>
      </c>
      <c r="R362" s="245">
        <f t="shared" si="195"/>
        <v>0</v>
      </c>
      <c r="S362" s="353">
        <f t="shared" si="195"/>
        <v>0</v>
      </c>
    </row>
    <row r="363" spans="1:19" ht="12.75" customHeight="1" x14ac:dyDescent="0.2">
      <c r="A363" s="191" t="str">
        <f>Labels!B322</f>
        <v>Sales</v>
      </c>
      <c r="B363" s="245"/>
      <c r="C363" s="245"/>
      <c r="D363" s="245"/>
      <c r="E363" s="245"/>
      <c r="F363" s="245"/>
      <c r="G363" s="245"/>
      <c r="H363" s="245"/>
      <c r="I363" s="245"/>
      <c r="J363" s="245"/>
      <c r="K363" s="245"/>
      <c r="L363" s="245"/>
      <c r="M363" s="245"/>
      <c r="N363" s="245"/>
      <c r="O363" s="245"/>
      <c r="P363" s="245"/>
      <c r="Q363" s="245"/>
      <c r="R363" s="245"/>
      <c r="S363" s="353"/>
    </row>
    <row r="364" spans="1:19" ht="12.75" customHeight="1" x14ac:dyDescent="0.2">
      <c r="A364" s="188" t="str">
        <f>"   "&amp;Labels!B393</f>
        <v xml:space="preserve">   Manager</v>
      </c>
      <c r="B364" s="241">
        <f>Inputs!F304*'Sup Staff'!B27*Inputs!F306/12</f>
        <v>0</v>
      </c>
      <c r="C364" s="241">
        <f>Inputs!G304*'Sup Staff'!C27*Inputs!G306/12</f>
        <v>0</v>
      </c>
      <c r="D364" s="241">
        <f>Inputs!H304*'Sup Staff'!D27*Inputs!H306/12</f>
        <v>0</v>
      </c>
      <c r="E364" s="241">
        <f>Inputs!I304*'Sup Staff'!F27*Inputs!I306/12</f>
        <v>0</v>
      </c>
      <c r="F364" s="241">
        <f>Inputs!J304*'Sup Staff'!G27*Inputs!J306/12</f>
        <v>0</v>
      </c>
      <c r="G364" s="241">
        <f>Inputs!K304*'Sup Staff'!H27*Inputs!K306/12</f>
        <v>0</v>
      </c>
      <c r="H364" s="241">
        <f>Inputs!L304*'Sup Staff'!J27*Inputs!L306/12</f>
        <v>0</v>
      </c>
      <c r="I364" s="241">
        <f>Inputs!M304*'Sup Staff'!K27*Inputs!M306/12</f>
        <v>0</v>
      </c>
      <c r="J364" s="241">
        <f>Inputs!N304*'Sup Staff'!L27*Inputs!N306/12</f>
        <v>0</v>
      </c>
      <c r="K364" s="241">
        <f>Inputs!O304*'Sup Staff'!N27*Inputs!O306/12</f>
        <v>0</v>
      </c>
      <c r="L364" s="241">
        <f>Inputs!P304*'Sup Staff'!O27*Inputs!P306/12</f>
        <v>0</v>
      </c>
      <c r="M364" s="241">
        <f>Inputs!Q304*'Sup Staff'!P27*Inputs!Q306/12</f>
        <v>0</v>
      </c>
      <c r="N364" s="241">
        <f>Inputs!R304*'Sup Staff'!R27*Inputs!R306/12</f>
        <v>0</v>
      </c>
      <c r="O364" s="241">
        <f>Inputs!S304*'Sup Staff'!S27*Inputs!S306/12</f>
        <v>0</v>
      </c>
      <c r="P364" s="241">
        <f>Inputs!T304*'Sup Staff'!T27*Inputs!T306/12</f>
        <v>0</v>
      </c>
      <c r="Q364" s="241">
        <f>Inputs!U304*'Sup Staff'!V27*Inputs!U306/12</f>
        <v>0</v>
      </c>
      <c r="R364" s="241">
        <f>Inputs!V304*'Sup Staff'!W27*Inputs!V306/12</f>
        <v>0</v>
      </c>
      <c r="S364" s="352">
        <f>Inputs!W304*'Sup Staff'!X27*Inputs!W306/12</f>
        <v>0</v>
      </c>
    </row>
    <row r="365" spans="1:19" ht="12.75" customHeight="1" x14ac:dyDescent="0.2">
      <c r="A365" s="188" t="str">
        <f>"   "&amp;Labels!B394</f>
        <v xml:space="preserve">   Contributor</v>
      </c>
      <c r="B365" s="241">
        <f>Inputs!F304*'Sup Staff'!B28*Inputs!F306/12</f>
        <v>0</v>
      </c>
      <c r="C365" s="241">
        <f>Inputs!G304*'Sup Staff'!C28*Inputs!G306/12</f>
        <v>0</v>
      </c>
      <c r="D365" s="241">
        <f>Inputs!H304*'Sup Staff'!D28*Inputs!H306/12</f>
        <v>0</v>
      </c>
      <c r="E365" s="241">
        <f>Inputs!I304*'Sup Staff'!F28*Inputs!I306/12</f>
        <v>0</v>
      </c>
      <c r="F365" s="241">
        <f>Inputs!J304*'Sup Staff'!G28*Inputs!J306/12</f>
        <v>0</v>
      </c>
      <c r="G365" s="241">
        <f>Inputs!K304*'Sup Staff'!H28*Inputs!K306/12</f>
        <v>0</v>
      </c>
      <c r="H365" s="241">
        <f>Inputs!L304*'Sup Staff'!J28*Inputs!L306/12</f>
        <v>0</v>
      </c>
      <c r="I365" s="241">
        <f>Inputs!M304*'Sup Staff'!K28*Inputs!M306/12</f>
        <v>0</v>
      </c>
      <c r="J365" s="241">
        <f>Inputs!N304*'Sup Staff'!L28*Inputs!N306/12</f>
        <v>0</v>
      </c>
      <c r="K365" s="241">
        <f>Inputs!O304*'Sup Staff'!N28*Inputs!O306/12</f>
        <v>0</v>
      </c>
      <c r="L365" s="241">
        <f>Inputs!P304*'Sup Staff'!O28*Inputs!P306/12</f>
        <v>0</v>
      </c>
      <c r="M365" s="241">
        <f>Inputs!Q304*'Sup Staff'!P28*Inputs!Q306/12</f>
        <v>0</v>
      </c>
      <c r="N365" s="241">
        <f>Inputs!R304*'Sup Staff'!R28*Inputs!R306/12</f>
        <v>0</v>
      </c>
      <c r="O365" s="241">
        <f>Inputs!S304*'Sup Staff'!S28*Inputs!S306/12</f>
        <v>0</v>
      </c>
      <c r="P365" s="241">
        <f>Inputs!T304*'Sup Staff'!T28*Inputs!T306/12</f>
        <v>0</v>
      </c>
      <c r="Q365" s="241">
        <f>Inputs!U304*'Sup Staff'!V28*Inputs!U306/12</f>
        <v>0</v>
      </c>
      <c r="R365" s="241">
        <f>Inputs!V304*'Sup Staff'!W28*Inputs!V306/12</f>
        <v>0</v>
      </c>
      <c r="S365" s="352">
        <f>Inputs!W304*'Sup Staff'!X28*Inputs!W306/12</f>
        <v>0</v>
      </c>
    </row>
    <row r="366" spans="1:19" ht="12.75" customHeight="1" x14ac:dyDescent="0.2">
      <c r="A366" s="191" t="str">
        <f>"   "&amp;Labels!C392</f>
        <v xml:space="preserve">   Total</v>
      </c>
      <c r="B366" s="245">
        <f t="shared" ref="B366:S366" si="196">SUM(B364:B365)</f>
        <v>0</v>
      </c>
      <c r="C366" s="245">
        <f t="shared" si="196"/>
        <v>0</v>
      </c>
      <c r="D366" s="245">
        <f t="shared" si="196"/>
        <v>0</v>
      </c>
      <c r="E366" s="245">
        <f t="shared" si="196"/>
        <v>0</v>
      </c>
      <c r="F366" s="245">
        <f t="shared" si="196"/>
        <v>0</v>
      </c>
      <c r="G366" s="245">
        <f t="shared" si="196"/>
        <v>0</v>
      </c>
      <c r="H366" s="245">
        <f t="shared" si="196"/>
        <v>0</v>
      </c>
      <c r="I366" s="245">
        <f t="shared" si="196"/>
        <v>0</v>
      </c>
      <c r="J366" s="245">
        <f t="shared" si="196"/>
        <v>0</v>
      </c>
      <c r="K366" s="245">
        <f t="shared" si="196"/>
        <v>0</v>
      </c>
      <c r="L366" s="245">
        <f t="shared" si="196"/>
        <v>0</v>
      </c>
      <c r="M366" s="245">
        <f t="shared" si="196"/>
        <v>0</v>
      </c>
      <c r="N366" s="245">
        <f t="shared" si="196"/>
        <v>0</v>
      </c>
      <c r="O366" s="245">
        <f t="shared" si="196"/>
        <v>0</v>
      </c>
      <c r="P366" s="245">
        <f t="shared" si="196"/>
        <v>0</v>
      </c>
      <c r="Q366" s="245">
        <f t="shared" si="196"/>
        <v>0</v>
      </c>
      <c r="R366" s="245">
        <f t="shared" si="196"/>
        <v>0</v>
      </c>
      <c r="S366" s="353">
        <f t="shared" si="196"/>
        <v>0</v>
      </c>
    </row>
    <row r="367" spans="1:19" ht="12.75" customHeight="1" x14ac:dyDescent="0.2">
      <c r="A367" s="97" t="str">
        <f>Labels!C320</f>
        <v>Total</v>
      </c>
      <c r="B367" s="199">
        <f t="shared" ref="B367:S367" si="197">SUM(B362,B366)</f>
        <v>0</v>
      </c>
      <c r="C367" s="199">
        <f t="shared" si="197"/>
        <v>0</v>
      </c>
      <c r="D367" s="199">
        <f t="shared" si="197"/>
        <v>0</v>
      </c>
      <c r="E367" s="199">
        <f t="shared" si="197"/>
        <v>0</v>
      </c>
      <c r="F367" s="199">
        <f t="shared" si="197"/>
        <v>0</v>
      </c>
      <c r="G367" s="199">
        <f t="shared" si="197"/>
        <v>0</v>
      </c>
      <c r="H367" s="199">
        <f t="shared" si="197"/>
        <v>0</v>
      </c>
      <c r="I367" s="199">
        <f t="shared" si="197"/>
        <v>0</v>
      </c>
      <c r="J367" s="199">
        <f t="shared" si="197"/>
        <v>0</v>
      </c>
      <c r="K367" s="199">
        <f t="shared" si="197"/>
        <v>0</v>
      </c>
      <c r="L367" s="199">
        <f t="shared" si="197"/>
        <v>0</v>
      </c>
      <c r="M367" s="199">
        <f t="shared" si="197"/>
        <v>0</v>
      </c>
      <c r="N367" s="199">
        <f t="shared" si="197"/>
        <v>0</v>
      </c>
      <c r="O367" s="199">
        <f t="shared" si="197"/>
        <v>0</v>
      </c>
      <c r="P367" s="199">
        <f t="shared" si="197"/>
        <v>0</v>
      </c>
      <c r="Q367" s="199">
        <f t="shared" si="197"/>
        <v>0</v>
      </c>
      <c r="R367" s="199">
        <f t="shared" si="197"/>
        <v>0</v>
      </c>
      <c r="S367" s="354">
        <f t="shared" si="197"/>
        <v>0</v>
      </c>
    </row>
    <row r="368" spans="1:19" ht="12.75" customHeight="1" x14ac:dyDescent="0.2">
      <c r="A368" s="188" t="str">
        <f>"   "&amp;Labels!B393</f>
        <v xml:space="preserve">   Manager</v>
      </c>
      <c r="B368" s="241">
        <f t="shared" ref="B368:S368" si="198">SUM(B360,B364)</f>
        <v>0</v>
      </c>
      <c r="C368" s="241">
        <f t="shared" si="198"/>
        <v>0</v>
      </c>
      <c r="D368" s="241">
        <f t="shared" si="198"/>
        <v>0</v>
      </c>
      <c r="E368" s="241">
        <f t="shared" si="198"/>
        <v>0</v>
      </c>
      <c r="F368" s="241">
        <f t="shared" si="198"/>
        <v>0</v>
      </c>
      <c r="G368" s="241">
        <f t="shared" si="198"/>
        <v>0</v>
      </c>
      <c r="H368" s="241">
        <f t="shared" si="198"/>
        <v>0</v>
      </c>
      <c r="I368" s="241">
        <f t="shared" si="198"/>
        <v>0</v>
      </c>
      <c r="J368" s="241">
        <f t="shared" si="198"/>
        <v>0</v>
      </c>
      <c r="K368" s="241">
        <f t="shared" si="198"/>
        <v>0</v>
      </c>
      <c r="L368" s="241">
        <f t="shared" si="198"/>
        <v>0</v>
      </c>
      <c r="M368" s="241">
        <f t="shared" si="198"/>
        <v>0</v>
      </c>
      <c r="N368" s="241">
        <f t="shared" si="198"/>
        <v>0</v>
      </c>
      <c r="O368" s="241">
        <f t="shared" si="198"/>
        <v>0</v>
      </c>
      <c r="P368" s="241">
        <f t="shared" si="198"/>
        <v>0</v>
      </c>
      <c r="Q368" s="241">
        <f t="shared" si="198"/>
        <v>0</v>
      </c>
      <c r="R368" s="241">
        <f t="shared" si="198"/>
        <v>0</v>
      </c>
      <c r="S368" s="352">
        <f t="shared" si="198"/>
        <v>0</v>
      </c>
    </row>
    <row r="369" spans="1:19" ht="12.75" customHeight="1" x14ac:dyDescent="0.2">
      <c r="A369" s="188" t="str">
        <f>"   "&amp;Labels!B394</f>
        <v xml:space="preserve">   Contributor</v>
      </c>
      <c r="B369" s="241">
        <f t="shared" ref="B369:S369" si="199">SUM(B361,B365)</f>
        <v>0</v>
      </c>
      <c r="C369" s="241">
        <f t="shared" si="199"/>
        <v>0</v>
      </c>
      <c r="D369" s="241">
        <f t="shared" si="199"/>
        <v>0</v>
      </c>
      <c r="E369" s="241">
        <f t="shared" si="199"/>
        <v>0</v>
      </c>
      <c r="F369" s="241">
        <f t="shared" si="199"/>
        <v>0</v>
      </c>
      <c r="G369" s="241">
        <f t="shared" si="199"/>
        <v>0</v>
      </c>
      <c r="H369" s="241">
        <f t="shared" si="199"/>
        <v>0</v>
      </c>
      <c r="I369" s="241">
        <f t="shared" si="199"/>
        <v>0</v>
      </c>
      <c r="J369" s="241">
        <f t="shared" si="199"/>
        <v>0</v>
      </c>
      <c r="K369" s="241">
        <f t="shared" si="199"/>
        <v>0</v>
      </c>
      <c r="L369" s="241">
        <f t="shared" si="199"/>
        <v>0</v>
      </c>
      <c r="M369" s="241">
        <f t="shared" si="199"/>
        <v>0</v>
      </c>
      <c r="N369" s="241">
        <f t="shared" si="199"/>
        <v>0</v>
      </c>
      <c r="O369" s="241">
        <f t="shared" si="199"/>
        <v>0</v>
      </c>
      <c r="P369" s="241">
        <f t="shared" si="199"/>
        <v>0</v>
      </c>
      <c r="Q369" s="241">
        <f t="shared" si="199"/>
        <v>0</v>
      </c>
      <c r="R369" s="241">
        <f t="shared" si="199"/>
        <v>0</v>
      </c>
      <c r="S369" s="352">
        <f t="shared" si="199"/>
        <v>0</v>
      </c>
    </row>
    <row r="370" spans="1:19" ht="12.75" customHeight="1" x14ac:dyDescent="0.2">
      <c r="A370" s="185" t="str">
        <f>"   "&amp;Labels!C392</f>
        <v xml:space="preserve">   Total</v>
      </c>
      <c r="B370" s="338">
        <f t="shared" ref="B370:S370" si="200">SUM(B362,B366)</f>
        <v>0</v>
      </c>
      <c r="C370" s="338">
        <f t="shared" si="200"/>
        <v>0</v>
      </c>
      <c r="D370" s="338">
        <f t="shared" si="200"/>
        <v>0</v>
      </c>
      <c r="E370" s="338">
        <f t="shared" si="200"/>
        <v>0</v>
      </c>
      <c r="F370" s="338">
        <f t="shared" si="200"/>
        <v>0</v>
      </c>
      <c r="G370" s="338">
        <f t="shared" si="200"/>
        <v>0</v>
      </c>
      <c r="H370" s="338">
        <f t="shared" si="200"/>
        <v>0</v>
      </c>
      <c r="I370" s="338">
        <f t="shared" si="200"/>
        <v>0</v>
      </c>
      <c r="J370" s="338">
        <f t="shared" si="200"/>
        <v>0</v>
      </c>
      <c r="K370" s="338">
        <f t="shared" si="200"/>
        <v>0</v>
      </c>
      <c r="L370" s="338">
        <f t="shared" si="200"/>
        <v>0</v>
      </c>
      <c r="M370" s="338">
        <f t="shared" si="200"/>
        <v>0</v>
      </c>
      <c r="N370" s="338">
        <f t="shared" si="200"/>
        <v>0</v>
      </c>
      <c r="O370" s="338">
        <f t="shared" si="200"/>
        <v>0</v>
      </c>
      <c r="P370" s="338">
        <f t="shared" si="200"/>
        <v>0</v>
      </c>
      <c r="Q370" s="338">
        <f t="shared" si="200"/>
        <v>0</v>
      </c>
      <c r="R370" s="338">
        <f t="shared" si="200"/>
        <v>0</v>
      </c>
      <c r="S370" s="339">
        <f t="shared" si="200"/>
        <v>0</v>
      </c>
    </row>
    <row r="371" spans="1:19" ht="12.75" customHeight="1" x14ac:dyDescent="0.2">
      <c r="A371" s="1" t="str">
        <f>"Facil_Util_Exp_3"</f>
        <v>Facil_Util_Exp_3</v>
      </c>
    </row>
    <row r="372" spans="1:19" ht="12.75" customHeight="1" x14ac:dyDescent="0.2">
      <c r="B372" s="9" t="str">
        <f>'(FnCalls 1)'!F41</f>
        <v>MMM 2010</v>
      </c>
      <c r="C372" s="10" t="str">
        <f>'(FnCalls 1)'!F42</f>
        <v>MMM 2010</v>
      </c>
      <c r="D372" s="10" t="str">
        <f>'(FnCalls 1)'!F43</f>
        <v>MMM 2010</v>
      </c>
      <c r="E372" s="10" t="str">
        <f>'(FnCalls 1)'!F44</f>
        <v>MMM 2010</v>
      </c>
      <c r="F372" s="10" t="str">
        <f>'(FnCalls 1)'!F45</f>
        <v>MMM 2010</v>
      </c>
      <c r="G372" s="10" t="str">
        <f>'(FnCalls 1)'!F46</f>
        <v>MMM 2010</v>
      </c>
      <c r="H372" s="10" t="str">
        <f>'(FnCalls 1)'!F47</f>
        <v>MMM 2010</v>
      </c>
      <c r="I372" s="10" t="str">
        <f>'(FnCalls 1)'!F48</f>
        <v>MMM 2010</v>
      </c>
      <c r="J372" s="10" t="str">
        <f>'(FnCalls 1)'!F49</f>
        <v>MMM 2010</v>
      </c>
      <c r="K372" s="10" t="str">
        <f>'(FnCalls 1)'!F50</f>
        <v>MMM 2010</v>
      </c>
      <c r="L372" s="10" t="str">
        <f>'(FnCalls 1)'!F51</f>
        <v>MMM 2010</v>
      </c>
      <c r="M372" s="10" t="str">
        <f>'(FnCalls 1)'!F52</f>
        <v>MMM 2010</v>
      </c>
      <c r="N372" s="10" t="str">
        <f>'(FnCalls 1)'!F53</f>
        <v>MMM 2011</v>
      </c>
      <c r="O372" s="10" t="str">
        <f>'(FnCalls 1)'!F54</f>
        <v>MMM 2011</v>
      </c>
      <c r="P372" s="10" t="str">
        <f>'(FnCalls 1)'!F55</f>
        <v>MMM 2011</v>
      </c>
      <c r="Q372" s="10" t="str">
        <f>'(FnCalls 1)'!F56</f>
        <v>MMM 2011</v>
      </c>
      <c r="R372" s="10" t="str">
        <f>'(FnCalls 1)'!F57</f>
        <v>MMM 2011</v>
      </c>
      <c r="S372" s="11" t="str">
        <f>'(FnCalls 1)'!F58</f>
        <v>MMM 2011</v>
      </c>
    </row>
    <row r="373" spans="1:19" ht="12.75" customHeight="1" x14ac:dyDescent="0.2">
      <c r="A373" s="182" t="str">
        <f>Labels!B321</f>
        <v>Marketing</v>
      </c>
      <c r="B373" s="239"/>
      <c r="C373" s="239"/>
      <c r="D373" s="239"/>
      <c r="E373" s="239"/>
      <c r="F373" s="239"/>
      <c r="G373" s="239"/>
      <c r="H373" s="239"/>
      <c r="I373" s="239"/>
      <c r="J373" s="239"/>
      <c r="K373" s="239"/>
      <c r="L373" s="239"/>
      <c r="M373" s="239"/>
      <c r="N373" s="239"/>
      <c r="O373" s="239"/>
      <c r="P373" s="239"/>
      <c r="Q373" s="239"/>
      <c r="R373" s="239"/>
      <c r="S373" s="335"/>
    </row>
    <row r="374" spans="1:19" ht="12.75" customHeight="1" x14ac:dyDescent="0.2">
      <c r="A374" s="188" t="str">
        <f>"   "&amp;Labels!B393</f>
        <v xml:space="preserve">   Manager</v>
      </c>
      <c r="B374" s="241">
        <f>Inputs!F304*'Sup Staff'!B23*Inputs!F307/12</f>
        <v>0</v>
      </c>
      <c r="C374" s="241">
        <f>Inputs!G304*'Sup Staff'!C23*Inputs!G307/12</f>
        <v>0</v>
      </c>
      <c r="D374" s="241">
        <f>Inputs!H304*'Sup Staff'!D23*Inputs!H307/12</f>
        <v>0</v>
      </c>
      <c r="E374" s="241">
        <f>Inputs!I304*'Sup Staff'!F23*Inputs!I307/12</f>
        <v>0</v>
      </c>
      <c r="F374" s="241">
        <f>Inputs!J304*'Sup Staff'!G23*Inputs!J307/12</f>
        <v>0</v>
      </c>
      <c r="G374" s="241">
        <f>Inputs!K304*'Sup Staff'!H23*Inputs!K307/12</f>
        <v>0</v>
      </c>
      <c r="H374" s="241">
        <f>Inputs!L304*'Sup Staff'!J23*Inputs!L307/12</f>
        <v>0</v>
      </c>
      <c r="I374" s="241">
        <f>Inputs!M304*'Sup Staff'!K23*Inputs!M307/12</f>
        <v>0</v>
      </c>
      <c r="J374" s="241">
        <f>Inputs!N304*'Sup Staff'!L23*Inputs!N307/12</f>
        <v>0</v>
      </c>
      <c r="K374" s="241">
        <f>Inputs!O304*'Sup Staff'!N23*Inputs!O307/12</f>
        <v>0</v>
      </c>
      <c r="L374" s="241">
        <f>Inputs!P304*'Sup Staff'!O23*Inputs!P307/12</f>
        <v>0</v>
      </c>
      <c r="M374" s="241">
        <f>Inputs!Q304*'Sup Staff'!P23*Inputs!Q307/12</f>
        <v>0</v>
      </c>
      <c r="N374" s="241">
        <f>Inputs!R304*'Sup Staff'!R23*Inputs!R307/12</f>
        <v>0</v>
      </c>
      <c r="O374" s="241">
        <f>Inputs!S304*'Sup Staff'!S23*Inputs!S307/12</f>
        <v>0</v>
      </c>
      <c r="P374" s="241">
        <f>Inputs!T304*'Sup Staff'!T23*Inputs!T307/12</f>
        <v>0</v>
      </c>
      <c r="Q374" s="241">
        <f>Inputs!U304*'Sup Staff'!V23*Inputs!U307/12</f>
        <v>0</v>
      </c>
      <c r="R374" s="241">
        <f>Inputs!V304*'Sup Staff'!W23*Inputs!V307/12</f>
        <v>0</v>
      </c>
      <c r="S374" s="352">
        <f>Inputs!W304*'Sup Staff'!X23*Inputs!W307/12</f>
        <v>0</v>
      </c>
    </row>
    <row r="375" spans="1:19" ht="12.75" customHeight="1" x14ac:dyDescent="0.2">
      <c r="A375" s="188" t="str">
        <f>"   "&amp;Labels!B394</f>
        <v xml:space="preserve">   Contributor</v>
      </c>
      <c r="B375" s="241">
        <f>Inputs!F304*'Sup Staff'!B24*Inputs!F307/12</f>
        <v>0</v>
      </c>
      <c r="C375" s="241">
        <f>Inputs!G304*'Sup Staff'!C24*Inputs!G307/12</f>
        <v>0</v>
      </c>
      <c r="D375" s="241">
        <f>Inputs!H304*'Sup Staff'!D24*Inputs!H307/12</f>
        <v>0</v>
      </c>
      <c r="E375" s="241">
        <f>Inputs!I304*'Sup Staff'!F24*Inputs!I307/12</f>
        <v>0</v>
      </c>
      <c r="F375" s="241">
        <f>Inputs!J304*'Sup Staff'!G24*Inputs!J307/12</f>
        <v>0</v>
      </c>
      <c r="G375" s="241">
        <f>Inputs!K304*'Sup Staff'!H24*Inputs!K307/12</f>
        <v>0</v>
      </c>
      <c r="H375" s="241">
        <f>Inputs!L304*'Sup Staff'!J24*Inputs!L307/12</f>
        <v>0</v>
      </c>
      <c r="I375" s="241">
        <f>Inputs!M304*'Sup Staff'!K24*Inputs!M307/12</f>
        <v>0</v>
      </c>
      <c r="J375" s="241">
        <f>Inputs!N304*'Sup Staff'!L24*Inputs!N307/12</f>
        <v>0</v>
      </c>
      <c r="K375" s="241">
        <f>Inputs!O304*'Sup Staff'!N24*Inputs!O307/12</f>
        <v>0</v>
      </c>
      <c r="L375" s="241">
        <f>Inputs!P304*'Sup Staff'!O24*Inputs!P307/12</f>
        <v>0</v>
      </c>
      <c r="M375" s="241">
        <f>Inputs!Q304*'Sup Staff'!P24*Inputs!Q307/12</f>
        <v>0</v>
      </c>
      <c r="N375" s="241">
        <f>Inputs!R304*'Sup Staff'!R24*Inputs!R307/12</f>
        <v>0</v>
      </c>
      <c r="O375" s="241">
        <f>Inputs!S304*'Sup Staff'!S24*Inputs!S307/12</f>
        <v>0</v>
      </c>
      <c r="P375" s="241">
        <f>Inputs!T304*'Sup Staff'!T24*Inputs!T307/12</f>
        <v>0</v>
      </c>
      <c r="Q375" s="241">
        <f>Inputs!U304*'Sup Staff'!V24*Inputs!U307/12</f>
        <v>0</v>
      </c>
      <c r="R375" s="241">
        <f>Inputs!V304*'Sup Staff'!W24*Inputs!V307/12</f>
        <v>0</v>
      </c>
      <c r="S375" s="352">
        <f>Inputs!W304*'Sup Staff'!X24*Inputs!W307/12</f>
        <v>0</v>
      </c>
    </row>
    <row r="376" spans="1:19" ht="12.75" customHeight="1" x14ac:dyDescent="0.2">
      <c r="A376" s="191" t="str">
        <f>"   "&amp;Labels!C392</f>
        <v xml:space="preserve">   Total</v>
      </c>
      <c r="B376" s="245">
        <f t="shared" ref="B376:S376" si="201">SUM(B374:B375)</f>
        <v>0</v>
      </c>
      <c r="C376" s="245">
        <f t="shared" si="201"/>
        <v>0</v>
      </c>
      <c r="D376" s="245">
        <f t="shared" si="201"/>
        <v>0</v>
      </c>
      <c r="E376" s="245">
        <f t="shared" si="201"/>
        <v>0</v>
      </c>
      <c r="F376" s="245">
        <f t="shared" si="201"/>
        <v>0</v>
      </c>
      <c r="G376" s="245">
        <f t="shared" si="201"/>
        <v>0</v>
      </c>
      <c r="H376" s="245">
        <f t="shared" si="201"/>
        <v>0</v>
      </c>
      <c r="I376" s="245">
        <f t="shared" si="201"/>
        <v>0</v>
      </c>
      <c r="J376" s="245">
        <f t="shared" si="201"/>
        <v>0</v>
      </c>
      <c r="K376" s="245">
        <f t="shared" si="201"/>
        <v>0</v>
      </c>
      <c r="L376" s="245">
        <f t="shared" si="201"/>
        <v>0</v>
      </c>
      <c r="M376" s="245">
        <f t="shared" si="201"/>
        <v>0</v>
      </c>
      <c r="N376" s="245">
        <f t="shared" si="201"/>
        <v>0</v>
      </c>
      <c r="O376" s="245">
        <f t="shared" si="201"/>
        <v>0</v>
      </c>
      <c r="P376" s="245">
        <f t="shared" si="201"/>
        <v>0</v>
      </c>
      <c r="Q376" s="245">
        <f t="shared" si="201"/>
        <v>0</v>
      </c>
      <c r="R376" s="245">
        <f t="shared" si="201"/>
        <v>0</v>
      </c>
      <c r="S376" s="353">
        <f t="shared" si="201"/>
        <v>0</v>
      </c>
    </row>
    <row r="377" spans="1:19" ht="12.75" customHeight="1" x14ac:dyDescent="0.2">
      <c r="A377" s="191" t="str">
        <f>Labels!B322</f>
        <v>Sales</v>
      </c>
      <c r="B377" s="245"/>
      <c r="C377" s="245"/>
      <c r="D377" s="245"/>
      <c r="E377" s="245"/>
      <c r="F377" s="245"/>
      <c r="G377" s="245"/>
      <c r="H377" s="245"/>
      <c r="I377" s="245"/>
      <c r="J377" s="245"/>
      <c r="K377" s="245"/>
      <c r="L377" s="245"/>
      <c r="M377" s="245"/>
      <c r="N377" s="245"/>
      <c r="O377" s="245"/>
      <c r="P377" s="245"/>
      <c r="Q377" s="245"/>
      <c r="R377" s="245"/>
      <c r="S377" s="353"/>
    </row>
    <row r="378" spans="1:19" ht="12.75" customHeight="1" x14ac:dyDescent="0.2">
      <c r="A378" s="188" t="str">
        <f>"   "&amp;Labels!B393</f>
        <v xml:space="preserve">   Manager</v>
      </c>
      <c r="B378" s="241">
        <f>Inputs!F304*'Sup Staff'!B27*Inputs!F307/12</f>
        <v>0</v>
      </c>
      <c r="C378" s="241">
        <f>Inputs!G304*'Sup Staff'!C27*Inputs!G307/12</f>
        <v>0</v>
      </c>
      <c r="D378" s="241">
        <f>Inputs!H304*'Sup Staff'!D27*Inputs!H307/12</f>
        <v>0</v>
      </c>
      <c r="E378" s="241">
        <f>Inputs!I304*'Sup Staff'!F27*Inputs!I307/12</f>
        <v>0</v>
      </c>
      <c r="F378" s="241">
        <f>Inputs!J304*'Sup Staff'!G27*Inputs!J307/12</f>
        <v>0</v>
      </c>
      <c r="G378" s="241">
        <f>Inputs!K304*'Sup Staff'!H27*Inputs!K307/12</f>
        <v>0</v>
      </c>
      <c r="H378" s="241">
        <f>Inputs!L304*'Sup Staff'!J27*Inputs!L307/12</f>
        <v>0</v>
      </c>
      <c r="I378" s="241">
        <f>Inputs!M304*'Sup Staff'!K27*Inputs!M307/12</f>
        <v>0</v>
      </c>
      <c r="J378" s="241">
        <f>Inputs!N304*'Sup Staff'!L27*Inputs!N307/12</f>
        <v>0</v>
      </c>
      <c r="K378" s="241">
        <f>Inputs!O304*'Sup Staff'!N27*Inputs!O307/12</f>
        <v>0</v>
      </c>
      <c r="L378" s="241">
        <f>Inputs!P304*'Sup Staff'!O27*Inputs!P307/12</f>
        <v>0</v>
      </c>
      <c r="M378" s="241">
        <f>Inputs!Q304*'Sup Staff'!P27*Inputs!Q307/12</f>
        <v>0</v>
      </c>
      <c r="N378" s="241">
        <f>Inputs!R304*'Sup Staff'!R27*Inputs!R307/12</f>
        <v>0</v>
      </c>
      <c r="O378" s="241">
        <f>Inputs!S304*'Sup Staff'!S27*Inputs!S307/12</f>
        <v>0</v>
      </c>
      <c r="P378" s="241">
        <f>Inputs!T304*'Sup Staff'!T27*Inputs!T307/12</f>
        <v>0</v>
      </c>
      <c r="Q378" s="241">
        <f>Inputs!U304*'Sup Staff'!V27*Inputs!U307/12</f>
        <v>0</v>
      </c>
      <c r="R378" s="241">
        <f>Inputs!V304*'Sup Staff'!W27*Inputs!V307/12</f>
        <v>0</v>
      </c>
      <c r="S378" s="352">
        <f>Inputs!W304*'Sup Staff'!X27*Inputs!W307/12</f>
        <v>0</v>
      </c>
    </row>
    <row r="379" spans="1:19" ht="12.75" customHeight="1" x14ac:dyDescent="0.2">
      <c r="A379" s="188" t="str">
        <f>"   "&amp;Labels!B394</f>
        <v xml:space="preserve">   Contributor</v>
      </c>
      <c r="B379" s="241">
        <f>Inputs!F304*'Sup Staff'!B28*Inputs!F307/12</f>
        <v>0</v>
      </c>
      <c r="C379" s="241">
        <f>Inputs!G304*'Sup Staff'!C28*Inputs!G307/12</f>
        <v>0</v>
      </c>
      <c r="D379" s="241">
        <f>Inputs!H304*'Sup Staff'!D28*Inputs!H307/12</f>
        <v>0</v>
      </c>
      <c r="E379" s="241">
        <f>Inputs!I304*'Sup Staff'!F28*Inputs!I307/12</f>
        <v>0</v>
      </c>
      <c r="F379" s="241">
        <f>Inputs!J304*'Sup Staff'!G28*Inputs!J307/12</f>
        <v>0</v>
      </c>
      <c r="G379" s="241">
        <f>Inputs!K304*'Sup Staff'!H28*Inputs!K307/12</f>
        <v>0</v>
      </c>
      <c r="H379" s="241">
        <f>Inputs!L304*'Sup Staff'!J28*Inputs!L307/12</f>
        <v>0</v>
      </c>
      <c r="I379" s="241">
        <f>Inputs!M304*'Sup Staff'!K28*Inputs!M307/12</f>
        <v>0</v>
      </c>
      <c r="J379" s="241">
        <f>Inputs!N304*'Sup Staff'!L28*Inputs!N307/12</f>
        <v>0</v>
      </c>
      <c r="K379" s="241">
        <f>Inputs!O304*'Sup Staff'!N28*Inputs!O307/12</f>
        <v>0</v>
      </c>
      <c r="L379" s="241">
        <f>Inputs!P304*'Sup Staff'!O28*Inputs!P307/12</f>
        <v>0</v>
      </c>
      <c r="M379" s="241">
        <f>Inputs!Q304*'Sup Staff'!P28*Inputs!Q307/12</f>
        <v>0</v>
      </c>
      <c r="N379" s="241">
        <f>Inputs!R304*'Sup Staff'!R28*Inputs!R307/12</f>
        <v>0</v>
      </c>
      <c r="O379" s="241">
        <f>Inputs!S304*'Sup Staff'!S28*Inputs!S307/12</f>
        <v>0</v>
      </c>
      <c r="P379" s="241">
        <f>Inputs!T304*'Sup Staff'!T28*Inputs!T307/12</f>
        <v>0</v>
      </c>
      <c r="Q379" s="241">
        <f>Inputs!U304*'Sup Staff'!V28*Inputs!U307/12</f>
        <v>0</v>
      </c>
      <c r="R379" s="241">
        <f>Inputs!V304*'Sup Staff'!W28*Inputs!V307/12</f>
        <v>0</v>
      </c>
      <c r="S379" s="352">
        <f>Inputs!W304*'Sup Staff'!X28*Inputs!W307/12</f>
        <v>0</v>
      </c>
    </row>
    <row r="380" spans="1:19" ht="12.75" customHeight="1" x14ac:dyDescent="0.2">
      <c r="A380" s="191" t="str">
        <f>"   "&amp;Labels!C392</f>
        <v xml:space="preserve">   Total</v>
      </c>
      <c r="B380" s="245">
        <f t="shared" ref="B380:S380" si="202">SUM(B378:B379)</f>
        <v>0</v>
      </c>
      <c r="C380" s="245">
        <f t="shared" si="202"/>
        <v>0</v>
      </c>
      <c r="D380" s="245">
        <f t="shared" si="202"/>
        <v>0</v>
      </c>
      <c r="E380" s="245">
        <f t="shared" si="202"/>
        <v>0</v>
      </c>
      <c r="F380" s="245">
        <f t="shared" si="202"/>
        <v>0</v>
      </c>
      <c r="G380" s="245">
        <f t="shared" si="202"/>
        <v>0</v>
      </c>
      <c r="H380" s="245">
        <f t="shared" si="202"/>
        <v>0</v>
      </c>
      <c r="I380" s="245">
        <f t="shared" si="202"/>
        <v>0</v>
      </c>
      <c r="J380" s="245">
        <f t="shared" si="202"/>
        <v>0</v>
      </c>
      <c r="K380" s="245">
        <f t="shared" si="202"/>
        <v>0</v>
      </c>
      <c r="L380" s="245">
        <f t="shared" si="202"/>
        <v>0</v>
      </c>
      <c r="M380" s="245">
        <f t="shared" si="202"/>
        <v>0</v>
      </c>
      <c r="N380" s="245">
        <f t="shared" si="202"/>
        <v>0</v>
      </c>
      <c r="O380" s="245">
        <f t="shared" si="202"/>
        <v>0</v>
      </c>
      <c r="P380" s="245">
        <f t="shared" si="202"/>
        <v>0</v>
      </c>
      <c r="Q380" s="245">
        <f t="shared" si="202"/>
        <v>0</v>
      </c>
      <c r="R380" s="245">
        <f t="shared" si="202"/>
        <v>0</v>
      </c>
      <c r="S380" s="353">
        <f t="shared" si="202"/>
        <v>0</v>
      </c>
    </row>
    <row r="381" spans="1:19" ht="12.75" customHeight="1" x14ac:dyDescent="0.2">
      <c r="A381" s="97" t="str">
        <f>Labels!C320</f>
        <v>Total</v>
      </c>
      <c r="B381" s="199">
        <f t="shared" ref="B381:S381" si="203">SUM(B376,B380)</f>
        <v>0</v>
      </c>
      <c r="C381" s="199">
        <f t="shared" si="203"/>
        <v>0</v>
      </c>
      <c r="D381" s="199">
        <f t="shared" si="203"/>
        <v>0</v>
      </c>
      <c r="E381" s="199">
        <f t="shared" si="203"/>
        <v>0</v>
      </c>
      <c r="F381" s="199">
        <f t="shared" si="203"/>
        <v>0</v>
      </c>
      <c r="G381" s="199">
        <f t="shared" si="203"/>
        <v>0</v>
      </c>
      <c r="H381" s="199">
        <f t="shared" si="203"/>
        <v>0</v>
      </c>
      <c r="I381" s="199">
        <f t="shared" si="203"/>
        <v>0</v>
      </c>
      <c r="J381" s="199">
        <f t="shared" si="203"/>
        <v>0</v>
      </c>
      <c r="K381" s="199">
        <f t="shared" si="203"/>
        <v>0</v>
      </c>
      <c r="L381" s="199">
        <f t="shared" si="203"/>
        <v>0</v>
      </c>
      <c r="M381" s="199">
        <f t="shared" si="203"/>
        <v>0</v>
      </c>
      <c r="N381" s="199">
        <f t="shared" si="203"/>
        <v>0</v>
      </c>
      <c r="O381" s="199">
        <f t="shared" si="203"/>
        <v>0</v>
      </c>
      <c r="P381" s="199">
        <f t="shared" si="203"/>
        <v>0</v>
      </c>
      <c r="Q381" s="199">
        <f t="shared" si="203"/>
        <v>0</v>
      </c>
      <c r="R381" s="199">
        <f t="shared" si="203"/>
        <v>0</v>
      </c>
      <c r="S381" s="354">
        <f t="shared" si="203"/>
        <v>0</v>
      </c>
    </row>
    <row r="382" spans="1:19" ht="12.75" customHeight="1" x14ac:dyDescent="0.2">
      <c r="A382" s="188" t="str">
        <f>"   "&amp;Labels!B393</f>
        <v xml:space="preserve">   Manager</v>
      </c>
      <c r="B382" s="241">
        <f t="shared" ref="B382:S382" si="204">SUM(B374,B378)</f>
        <v>0</v>
      </c>
      <c r="C382" s="241">
        <f t="shared" si="204"/>
        <v>0</v>
      </c>
      <c r="D382" s="241">
        <f t="shared" si="204"/>
        <v>0</v>
      </c>
      <c r="E382" s="241">
        <f t="shared" si="204"/>
        <v>0</v>
      </c>
      <c r="F382" s="241">
        <f t="shared" si="204"/>
        <v>0</v>
      </c>
      <c r="G382" s="241">
        <f t="shared" si="204"/>
        <v>0</v>
      </c>
      <c r="H382" s="241">
        <f t="shared" si="204"/>
        <v>0</v>
      </c>
      <c r="I382" s="241">
        <f t="shared" si="204"/>
        <v>0</v>
      </c>
      <c r="J382" s="241">
        <f t="shared" si="204"/>
        <v>0</v>
      </c>
      <c r="K382" s="241">
        <f t="shared" si="204"/>
        <v>0</v>
      </c>
      <c r="L382" s="241">
        <f t="shared" si="204"/>
        <v>0</v>
      </c>
      <c r="M382" s="241">
        <f t="shared" si="204"/>
        <v>0</v>
      </c>
      <c r="N382" s="241">
        <f t="shared" si="204"/>
        <v>0</v>
      </c>
      <c r="O382" s="241">
        <f t="shared" si="204"/>
        <v>0</v>
      </c>
      <c r="P382" s="241">
        <f t="shared" si="204"/>
        <v>0</v>
      </c>
      <c r="Q382" s="241">
        <f t="shared" si="204"/>
        <v>0</v>
      </c>
      <c r="R382" s="241">
        <f t="shared" si="204"/>
        <v>0</v>
      </c>
      <c r="S382" s="352">
        <f t="shared" si="204"/>
        <v>0</v>
      </c>
    </row>
    <row r="383" spans="1:19" ht="12.75" customHeight="1" x14ac:dyDescent="0.2">
      <c r="A383" s="188" t="str">
        <f>"   "&amp;Labels!B394</f>
        <v xml:space="preserve">   Contributor</v>
      </c>
      <c r="B383" s="241">
        <f t="shared" ref="B383:S383" si="205">SUM(B375,B379)</f>
        <v>0</v>
      </c>
      <c r="C383" s="241">
        <f t="shared" si="205"/>
        <v>0</v>
      </c>
      <c r="D383" s="241">
        <f t="shared" si="205"/>
        <v>0</v>
      </c>
      <c r="E383" s="241">
        <f t="shared" si="205"/>
        <v>0</v>
      </c>
      <c r="F383" s="241">
        <f t="shared" si="205"/>
        <v>0</v>
      </c>
      <c r="G383" s="241">
        <f t="shared" si="205"/>
        <v>0</v>
      </c>
      <c r="H383" s="241">
        <f t="shared" si="205"/>
        <v>0</v>
      </c>
      <c r="I383" s="241">
        <f t="shared" si="205"/>
        <v>0</v>
      </c>
      <c r="J383" s="241">
        <f t="shared" si="205"/>
        <v>0</v>
      </c>
      <c r="K383" s="241">
        <f t="shared" si="205"/>
        <v>0</v>
      </c>
      <c r="L383" s="241">
        <f t="shared" si="205"/>
        <v>0</v>
      </c>
      <c r="M383" s="241">
        <f t="shared" si="205"/>
        <v>0</v>
      </c>
      <c r="N383" s="241">
        <f t="shared" si="205"/>
        <v>0</v>
      </c>
      <c r="O383" s="241">
        <f t="shared" si="205"/>
        <v>0</v>
      </c>
      <c r="P383" s="241">
        <f t="shared" si="205"/>
        <v>0</v>
      </c>
      <c r="Q383" s="241">
        <f t="shared" si="205"/>
        <v>0</v>
      </c>
      <c r="R383" s="241">
        <f t="shared" si="205"/>
        <v>0</v>
      </c>
      <c r="S383" s="352">
        <f t="shared" si="205"/>
        <v>0</v>
      </c>
    </row>
    <row r="384" spans="1:19" ht="12.75" customHeight="1" x14ac:dyDescent="0.2">
      <c r="A384" s="185" t="str">
        <f>"   "&amp;Labels!C392</f>
        <v xml:space="preserve">   Total</v>
      </c>
      <c r="B384" s="338">
        <f t="shared" ref="B384:S384" si="206">SUM(B376,B380)</f>
        <v>0</v>
      </c>
      <c r="C384" s="338">
        <f t="shared" si="206"/>
        <v>0</v>
      </c>
      <c r="D384" s="338">
        <f t="shared" si="206"/>
        <v>0</v>
      </c>
      <c r="E384" s="338">
        <f t="shared" si="206"/>
        <v>0</v>
      </c>
      <c r="F384" s="338">
        <f t="shared" si="206"/>
        <v>0</v>
      </c>
      <c r="G384" s="338">
        <f t="shared" si="206"/>
        <v>0</v>
      </c>
      <c r="H384" s="338">
        <f t="shared" si="206"/>
        <v>0</v>
      </c>
      <c r="I384" s="338">
        <f t="shared" si="206"/>
        <v>0</v>
      </c>
      <c r="J384" s="338">
        <f t="shared" si="206"/>
        <v>0</v>
      </c>
      <c r="K384" s="338">
        <f t="shared" si="206"/>
        <v>0</v>
      </c>
      <c r="L384" s="338">
        <f t="shared" si="206"/>
        <v>0</v>
      </c>
      <c r="M384" s="338">
        <f t="shared" si="206"/>
        <v>0</v>
      </c>
      <c r="N384" s="338">
        <f t="shared" si="206"/>
        <v>0</v>
      </c>
      <c r="O384" s="338">
        <f t="shared" si="206"/>
        <v>0</v>
      </c>
      <c r="P384" s="338">
        <f t="shared" si="206"/>
        <v>0</v>
      </c>
      <c r="Q384" s="338">
        <f t="shared" si="206"/>
        <v>0</v>
      </c>
      <c r="R384" s="338">
        <f t="shared" si="206"/>
        <v>0</v>
      </c>
      <c r="S384" s="339">
        <f t="shared" si="206"/>
        <v>0</v>
      </c>
    </row>
    <row r="385" spans="1:19" ht="12.75" customHeight="1" x14ac:dyDescent="0.2">
      <c r="A385" s="1" t="str">
        <f>"Sales_Commission_1"</f>
        <v>Sales_Commission_1</v>
      </c>
    </row>
    <row r="386" spans="1:19" ht="12.75" customHeight="1" x14ac:dyDescent="0.2">
      <c r="B386" s="9" t="str">
        <f>'(FnCalls 1)'!F41</f>
        <v>MMM 2010</v>
      </c>
      <c r="C386" s="10" t="str">
        <f>'(FnCalls 1)'!F42</f>
        <v>MMM 2010</v>
      </c>
      <c r="D386" s="10" t="str">
        <f>'(FnCalls 1)'!F43</f>
        <v>MMM 2010</v>
      </c>
      <c r="E386" s="10" t="str">
        <f>'(FnCalls 1)'!F44</f>
        <v>MMM 2010</v>
      </c>
      <c r="F386" s="10" t="str">
        <f>'(FnCalls 1)'!F45</f>
        <v>MMM 2010</v>
      </c>
      <c r="G386" s="10" t="str">
        <f>'(FnCalls 1)'!F46</f>
        <v>MMM 2010</v>
      </c>
      <c r="H386" s="10" t="str">
        <f>'(FnCalls 1)'!F47</f>
        <v>MMM 2010</v>
      </c>
      <c r="I386" s="10" t="str">
        <f>'(FnCalls 1)'!F48</f>
        <v>MMM 2010</v>
      </c>
      <c r="J386" s="10" t="str">
        <f>'(FnCalls 1)'!F49</f>
        <v>MMM 2010</v>
      </c>
      <c r="K386" s="10" t="str">
        <f>'(FnCalls 1)'!F50</f>
        <v>MMM 2010</v>
      </c>
      <c r="L386" s="10" t="str">
        <f>'(FnCalls 1)'!F51</f>
        <v>MMM 2010</v>
      </c>
      <c r="M386" s="10" t="str">
        <f>'(FnCalls 1)'!F52</f>
        <v>MMM 2010</v>
      </c>
      <c r="N386" s="10" t="str">
        <f>'(FnCalls 1)'!F53</f>
        <v>MMM 2011</v>
      </c>
      <c r="O386" s="10" t="str">
        <f>'(FnCalls 1)'!F54</f>
        <v>MMM 2011</v>
      </c>
      <c r="P386" s="10" t="str">
        <f>'(FnCalls 1)'!F55</f>
        <v>MMM 2011</v>
      </c>
      <c r="Q386" s="10" t="str">
        <f>'(FnCalls 1)'!F56</f>
        <v>MMM 2011</v>
      </c>
      <c r="R386" s="10" t="str">
        <f>'(FnCalls 1)'!F57</f>
        <v>MMM 2011</v>
      </c>
      <c r="S386" s="11" t="str">
        <f>'(FnCalls 1)'!F58</f>
        <v>MMM 2011</v>
      </c>
    </row>
    <row r="387" spans="1:19" ht="12.75" customHeight="1" x14ac:dyDescent="0.2">
      <c r="A387" s="182" t="str">
        <f>Labels!B381</f>
        <v>Practice 1</v>
      </c>
      <c r="B387" s="269"/>
      <c r="C387" s="269"/>
      <c r="D387" s="269"/>
      <c r="E387" s="269"/>
      <c r="F387" s="269"/>
      <c r="G387" s="269"/>
      <c r="H387" s="269"/>
      <c r="I387" s="269"/>
      <c r="J387" s="269"/>
      <c r="K387" s="269"/>
      <c r="L387" s="269"/>
      <c r="M387" s="269"/>
      <c r="N387" s="269"/>
      <c r="O387" s="269"/>
      <c r="P387" s="269"/>
      <c r="Q387" s="269"/>
      <c r="R387" s="269"/>
      <c r="S387" s="270"/>
    </row>
    <row r="388" spans="1:19" ht="12.75" customHeight="1" x14ac:dyDescent="0.2">
      <c r="A388" s="188" t="str">
        <f>"   "&amp;Labels!B385</f>
        <v xml:space="preserve">   Prof Level 1</v>
      </c>
      <c r="B388" s="248"/>
      <c r="C388" s="248"/>
      <c r="D388" s="248"/>
      <c r="E388" s="248"/>
      <c r="F388" s="248"/>
      <c r="G388" s="248"/>
      <c r="H388" s="248"/>
      <c r="I388" s="248"/>
      <c r="J388" s="248"/>
      <c r="K388" s="248"/>
      <c r="L388" s="248"/>
      <c r="M388" s="248"/>
      <c r="N388" s="248"/>
      <c r="O388" s="248"/>
      <c r="P388" s="248"/>
      <c r="Q388" s="248"/>
      <c r="R388" s="248"/>
      <c r="S388" s="271"/>
    </row>
    <row r="389" spans="1:19" ht="12.75" customHeight="1" x14ac:dyDescent="0.2">
      <c r="A389" s="198" t="str">
        <f>"      "&amp;Labels!B317</f>
        <v xml:space="preserve">      Channels 1</v>
      </c>
      <c r="B389" s="250">
        <f>Inputs!F246*Inputs!F247*Sales!B109</f>
        <v>0</v>
      </c>
      <c r="C389" s="250">
        <f>Inputs!G246*Inputs!G247*Sales!C109</f>
        <v>0</v>
      </c>
      <c r="D389" s="250">
        <f>Inputs!H246*Inputs!H247*Sales!D109</f>
        <v>0</v>
      </c>
      <c r="E389" s="250">
        <f>Inputs!I246*Inputs!I247*Sales!F109</f>
        <v>0</v>
      </c>
      <c r="F389" s="250">
        <f>Inputs!J246*Inputs!J247*Sales!G109</f>
        <v>0</v>
      </c>
      <c r="G389" s="250">
        <f>Inputs!K246*Inputs!K247*Sales!H109</f>
        <v>0</v>
      </c>
      <c r="H389" s="250">
        <f>Inputs!L246*Inputs!L247*Sales!J109</f>
        <v>0</v>
      </c>
      <c r="I389" s="250">
        <f>Inputs!M246*Inputs!M247*Sales!K109</f>
        <v>0</v>
      </c>
      <c r="J389" s="250">
        <f>Inputs!N246*Inputs!N247*Sales!L109</f>
        <v>0</v>
      </c>
      <c r="K389" s="250">
        <f>Inputs!O246*Inputs!O247*Sales!N109</f>
        <v>0</v>
      </c>
      <c r="L389" s="250">
        <f>Inputs!P246*Inputs!P247*Sales!O109</f>
        <v>0</v>
      </c>
      <c r="M389" s="250">
        <f>Inputs!Q246*Inputs!Q247*Sales!P109</f>
        <v>0</v>
      </c>
      <c r="N389" s="250">
        <f>Inputs!R246*Inputs!R247*Sales!R109</f>
        <v>0</v>
      </c>
      <c r="O389" s="250">
        <f>Inputs!S246*Inputs!S247*Sales!S109</f>
        <v>0</v>
      </c>
      <c r="P389" s="250">
        <f>Inputs!T246*Inputs!T247*Sales!T109</f>
        <v>0</v>
      </c>
      <c r="Q389" s="250">
        <f>Inputs!U246*Inputs!U247*Sales!V109</f>
        <v>0</v>
      </c>
      <c r="R389" s="250">
        <f>Inputs!V246*Inputs!V247*Sales!W109</f>
        <v>0</v>
      </c>
      <c r="S389" s="282">
        <f>Inputs!W246*Inputs!W247*Sales!X109</f>
        <v>0</v>
      </c>
    </row>
    <row r="390" spans="1:19" ht="12.75" customHeight="1" x14ac:dyDescent="0.2">
      <c r="A390" s="198" t="str">
        <f>"      "&amp;Labels!B318</f>
        <v xml:space="preserve">      Channels 2</v>
      </c>
      <c r="B390" s="250">
        <f>Inputs!F246*Inputs!F247*Sales!B110</f>
        <v>0</v>
      </c>
      <c r="C390" s="250">
        <f>Inputs!G246*Inputs!G247*Sales!C110</f>
        <v>0</v>
      </c>
      <c r="D390" s="250">
        <f>Inputs!H246*Inputs!H247*Sales!D110</f>
        <v>0</v>
      </c>
      <c r="E390" s="250">
        <f>Inputs!I246*Inputs!I247*Sales!F110</f>
        <v>0</v>
      </c>
      <c r="F390" s="250">
        <f>Inputs!J246*Inputs!J247*Sales!G110</f>
        <v>0</v>
      </c>
      <c r="G390" s="250">
        <f>Inputs!K246*Inputs!K247*Sales!H110</f>
        <v>0</v>
      </c>
      <c r="H390" s="250">
        <f>Inputs!L246*Inputs!L247*Sales!J110</f>
        <v>0</v>
      </c>
      <c r="I390" s="250">
        <f>Inputs!M246*Inputs!M247*Sales!K110</f>
        <v>0</v>
      </c>
      <c r="J390" s="250">
        <f>Inputs!N246*Inputs!N247*Sales!L110</f>
        <v>0</v>
      </c>
      <c r="K390" s="250">
        <f>Inputs!O246*Inputs!O247*Sales!N110</f>
        <v>0</v>
      </c>
      <c r="L390" s="250">
        <f>Inputs!P246*Inputs!P247*Sales!O110</f>
        <v>0</v>
      </c>
      <c r="M390" s="250">
        <f>Inputs!Q246*Inputs!Q247*Sales!P110</f>
        <v>0</v>
      </c>
      <c r="N390" s="250">
        <f>Inputs!R246*Inputs!R247*Sales!R110</f>
        <v>0</v>
      </c>
      <c r="O390" s="250">
        <f>Inputs!S246*Inputs!S247*Sales!S110</f>
        <v>0</v>
      </c>
      <c r="P390" s="250">
        <f>Inputs!T246*Inputs!T247*Sales!T110</f>
        <v>0</v>
      </c>
      <c r="Q390" s="250">
        <f>Inputs!U246*Inputs!U247*Sales!V110</f>
        <v>0</v>
      </c>
      <c r="R390" s="250">
        <f>Inputs!V246*Inputs!V247*Sales!W110</f>
        <v>0</v>
      </c>
      <c r="S390" s="282">
        <f>Inputs!W246*Inputs!W247*Sales!X110</f>
        <v>0</v>
      </c>
    </row>
    <row r="391" spans="1:19" ht="12.75" customHeight="1" x14ac:dyDescent="0.2">
      <c r="A391" s="188" t="str">
        <f>"      "&amp;Labels!C316</f>
        <v xml:space="preserve">      Total</v>
      </c>
      <c r="B391" s="248">
        <f t="shared" ref="B391:S391" si="207">SUM(B389:B390)</f>
        <v>0</v>
      </c>
      <c r="C391" s="248">
        <f t="shared" si="207"/>
        <v>0</v>
      </c>
      <c r="D391" s="248">
        <f t="shared" si="207"/>
        <v>0</v>
      </c>
      <c r="E391" s="248">
        <f t="shared" si="207"/>
        <v>0</v>
      </c>
      <c r="F391" s="248">
        <f t="shared" si="207"/>
        <v>0</v>
      </c>
      <c r="G391" s="248">
        <f t="shared" si="207"/>
        <v>0</v>
      </c>
      <c r="H391" s="248">
        <f t="shared" si="207"/>
        <v>0</v>
      </c>
      <c r="I391" s="248">
        <f t="shared" si="207"/>
        <v>0</v>
      </c>
      <c r="J391" s="248">
        <f t="shared" si="207"/>
        <v>0</v>
      </c>
      <c r="K391" s="248">
        <f t="shared" si="207"/>
        <v>0</v>
      </c>
      <c r="L391" s="248">
        <f t="shared" si="207"/>
        <v>0</v>
      </c>
      <c r="M391" s="248">
        <f t="shared" si="207"/>
        <v>0</v>
      </c>
      <c r="N391" s="248">
        <f t="shared" si="207"/>
        <v>0</v>
      </c>
      <c r="O391" s="248">
        <f t="shared" si="207"/>
        <v>0</v>
      </c>
      <c r="P391" s="248">
        <f t="shared" si="207"/>
        <v>0</v>
      </c>
      <c r="Q391" s="248">
        <f t="shared" si="207"/>
        <v>0</v>
      </c>
      <c r="R391" s="248">
        <f t="shared" si="207"/>
        <v>0</v>
      </c>
      <c r="S391" s="271">
        <f t="shared" si="207"/>
        <v>0</v>
      </c>
    </row>
    <row r="392" spans="1:19" ht="12.75" customHeight="1" x14ac:dyDescent="0.2">
      <c r="A392" s="188" t="str">
        <f>"   "&amp;Labels!B386</f>
        <v xml:space="preserve">   Prof Level 2</v>
      </c>
      <c r="B392" s="248"/>
      <c r="C392" s="248"/>
      <c r="D392" s="248"/>
      <c r="E392" s="248"/>
      <c r="F392" s="248"/>
      <c r="G392" s="248"/>
      <c r="H392" s="248"/>
      <c r="I392" s="248"/>
      <c r="J392" s="248"/>
      <c r="K392" s="248"/>
      <c r="L392" s="248"/>
      <c r="M392" s="248"/>
      <c r="N392" s="248"/>
      <c r="O392" s="248"/>
      <c r="P392" s="248"/>
      <c r="Q392" s="248"/>
      <c r="R392" s="248"/>
      <c r="S392" s="271"/>
    </row>
    <row r="393" spans="1:19" ht="12.75" customHeight="1" x14ac:dyDescent="0.2">
      <c r="A393" s="198" t="str">
        <f>"      "&amp;Labels!B317</f>
        <v xml:space="preserve">      Channels 1</v>
      </c>
      <c r="B393" s="250">
        <f>Inputs!F246*Inputs!F247*Sales!B113</f>
        <v>0</v>
      </c>
      <c r="C393" s="250">
        <f>Inputs!G246*Inputs!G247*Sales!C113</f>
        <v>0</v>
      </c>
      <c r="D393" s="250">
        <f>Inputs!H246*Inputs!H247*Sales!D113</f>
        <v>0</v>
      </c>
      <c r="E393" s="250">
        <f>Inputs!I246*Inputs!I247*Sales!F113</f>
        <v>0</v>
      </c>
      <c r="F393" s="250">
        <f>Inputs!J246*Inputs!J247*Sales!G113</f>
        <v>0</v>
      </c>
      <c r="G393" s="250">
        <f>Inputs!K246*Inputs!K247*Sales!H113</f>
        <v>0</v>
      </c>
      <c r="H393" s="250">
        <f>Inputs!L246*Inputs!L247*Sales!J113</f>
        <v>0</v>
      </c>
      <c r="I393" s="250">
        <f>Inputs!M246*Inputs!M247*Sales!K113</f>
        <v>0</v>
      </c>
      <c r="J393" s="250">
        <f>Inputs!N246*Inputs!N247*Sales!L113</f>
        <v>0</v>
      </c>
      <c r="K393" s="250">
        <f>Inputs!O246*Inputs!O247*Sales!N113</f>
        <v>0</v>
      </c>
      <c r="L393" s="250">
        <f>Inputs!P246*Inputs!P247*Sales!O113</f>
        <v>0</v>
      </c>
      <c r="M393" s="250">
        <f>Inputs!Q246*Inputs!Q247*Sales!P113</f>
        <v>0</v>
      </c>
      <c r="N393" s="250">
        <f>Inputs!R246*Inputs!R247*Sales!R113</f>
        <v>0</v>
      </c>
      <c r="O393" s="250">
        <f>Inputs!S246*Inputs!S247*Sales!S113</f>
        <v>0</v>
      </c>
      <c r="P393" s="250">
        <f>Inputs!T246*Inputs!T247*Sales!T113</f>
        <v>0</v>
      </c>
      <c r="Q393" s="250">
        <f>Inputs!U246*Inputs!U247*Sales!V113</f>
        <v>0</v>
      </c>
      <c r="R393" s="250">
        <f>Inputs!V246*Inputs!V247*Sales!W113</f>
        <v>0</v>
      </c>
      <c r="S393" s="282">
        <f>Inputs!W246*Inputs!W247*Sales!X113</f>
        <v>0</v>
      </c>
    </row>
    <row r="394" spans="1:19" ht="12.75" customHeight="1" x14ac:dyDescent="0.2">
      <c r="A394" s="198" t="str">
        <f>"      "&amp;Labels!B318</f>
        <v xml:space="preserve">      Channels 2</v>
      </c>
      <c r="B394" s="250">
        <f>Inputs!F246*Inputs!F247*Sales!B114</f>
        <v>0</v>
      </c>
      <c r="C394" s="250">
        <f>Inputs!G246*Inputs!G247*Sales!C114</f>
        <v>0</v>
      </c>
      <c r="D394" s="250">
        <f>Inputs!H246*Inputs!H247*Sales!D114</f>
        <v>0</v>
      </c>
      <c r="E394" s="250">
        <f>Inputs!I246*Inputs!I247*Sales!F114</f>
        <v>0</v>
      </c>
      <c r="F394" s="250">
        <f>Inputs!J246*Inputs!J247*Sales!G114</f>
        <v>0</v>
      </c>
      <c r="G394" s="250">
        <f>Inputs!K246*Inputs!K247*Sales!H114</f>
        <v>0</v>
      </c>
      <c r="H394" s="250">
        <f>Inputs!L246*Inputs!L247*Sales!J114</f>
        <v>0</v>
      </c>
      <c r="I394" s="250">
        <f>Inputs!M246*Inputs!M247*Sales!K114</f>
        <v>0</v>
      </c>
      <c r="J394" s="250">
        <f>Inputs!N246*Inputs!N247*Sales!L114</f>
        <v>0</v>
      </c>
      <c r="K394" s="250">
        <f>Inputs!O246*Inputs!O247*Sales!N114</f>
        <v>0</v>
      </c>
      <c r="L394" s="250">
        <f>Inputs!P246*Inputs!P247*Sales!O114</f>
        <v>0</v>
      </c>
      <c r="M394" s="250">
        <f>Inputs!Q246*Inputs!Q247*Sales!P114</f>
        <v>0</v>
      </c>
      <c r="N394" s="250">
        <f>Inputs!R246*Inputs!R247*Sales!R114</f>
        <v>0</v>
      </c>
      <c r="O394" s="250">
        <f>Inputs!S246*Inputs!S247*Sales!S114</f>
        <v>0</v>
      </c>
      <c r="P394" s="250">
        <f>Inputs!T246*Inputs!T247*Sales!T114</f>
        <v>0</v>
      </c>
      <c r="Q394" s="250">
        <f>Inputs!U246*Inputs!U247*Sales!V114</f>
        <v>0</v>
      </c>
      <c r="R394" s="250">
        <f>Inputs!V246*Inputs!V247*Sales!W114</f>
        <v>0</v>
      </c>
      <c r="S394" s="282">
        <f>Inputs!W246*Inputs!W247*Sales!X114</f>
        <v>0</v>
      </c>
    </row>
    <row r="395" spans="1:19" ht="12.75" customHeight="1" x14ac:dyDescent="0.2">
      <c r="A395" s="188" t="str">
        <f>"      "&amp;Labels!C316</f>
        <v xml:space="preserve">      Total</v>
      </c>
      <c r="B395" s="248">
        <f t="shared" ref="B395:S395" si="208">SUM(B393:B394)</f>
        <v>0</v>
      </c>
      <c r="C395" s="248">
        <f t="shared" si="208"/>
        <v>0</v>
      </c>
      <c r="D395" s="248">
        <f t="shared" si="208"/>
        <v>0</v>
      </c>
      <c r="E395" s="248">
        <f t="shared" si="208"/>
        <v>0</v>
      </c>
      <c r="F395" s="248">
        <f t="shared" si="208"/>
        <v>0</v>
      </c>
      <c r="G395" s="248">
        <f t="shared" si="208"/>
        <v>0</v>
      </c>
      <c r="H395" s="248">
        <f t="shared" si="208"/>
        <v>0</v>
      </c>
      <c r="I395" s="248">
        <f t="shared" si="208"/>
        <v>0</v>
      </c>
      <c r="J395" s="248">
        <f t="shared" si="208"/>
        <v>0</v>
      </c>
      <c r="K395" s="248">
        <f t="shared" si="208"/>
        <v>0</v>
      </c>
      <c r="L395" s="248">
        <f t="shared" si="208"/>
        <v>0</v>
      </c>
      <c r="M395" s="248">
        <f t="shared" si="208"/>
        <v>0</v>
      </c>
      <c r="N395" s="248">
        <f t="shared" si="208"/>
        <v>0</v>
      </c>
      <c r="O395" s="248">
        <f t="shared" si="208"/>
        <v>0</v>
      </c>
      <c r="P395" s="248">
        <f t="shared" si="208"/>
        <v>0</v>
      </c>
      <c r="Q395" s="248">
        <f t="shared" si="208"/>
        <v>0</v>
      </c>
      <c r="R395" s="248">
        <f t="shared" si="208"/>
        <v>0</v>
      </c>
      <c r="S395" s="271">
        <f t="shared" si="208"/>
        <v>0</v>
      </c>
    </row>
    <row r="396" spans="1:19" ht="12.75" customHeight="1" x14ac:dyDescent="0.2">
      <c r="A396" s="191" t="str">
        <f>"   "&amp;Labels!C384</f>
        <v xml:space="preserve">   Total</v>
      </c>
      <c r="B396" s="247">
        <f t="shared" ref="B396:S396" si="209">SUM(B391,B395)</f>
        <v>0</v>
      </c>
      <c r="C396" s="247">
        <f t="shared" si="209"/>
        <v>0</v>
      </c>
      <c r="D396" s="247">
        <f t="shared" si="209"/>
        <v>0</v>
      </c>
      <c r="E396" s="247">
        <f t="shared" si="209"/>
        <v>0</v>
      </c>
      <c r="F396" s="247">
        <f t="shared" si="209"/>
        <v>0</v>
      </c>
      <c r="G396" s="247">
        <f t="shared" si="209"/>
        <v>0</v>
      </c>
      <c r="H396" s="247">
        <f t="shared" si="209"/>
        <v>0</v>
      </c>
      <c r="I396" s="247">
        <f t="shared" si="209"/>
        <v>0</v>
      </c>
      <c r="J396" s="247">
        <f t="shared" si="209"/>
        <v>0</v>
      </c>
      <c r="K396" s="247">
        <f t="shared" si="209"/>
        <v>0</v>
      </c>
      <c r="L396" s="247">
        <f t="shared" si="209"/>
        <v>0</v>
      </c>
      <c r="M396" s="247">
        <f t="shared" si="209"/>
        <v>0</v>
      </c>
      <c r="N396" s="247">
        <f t="shared" si="209"/>
        <v>0</v>
      </c>
      <c r="O396" s="247">
        <f t="shared" si="209"/>
        <v>0</v>
      </c>
      <c r="P396" s="247">
        <f t="shared" si="209"/>
        <v>0</v>
      </c>
      <c r="Q396" s="247">
        <f t="shared" si="209"/>
        <v>0</v>
      </c>
      <c r="R396" s="247">
        <f t="shared" si="209"/>
        <v>0</v>
      </c>
      <c r="S396" s="272">
        <f t="shared" si="209"/>
        <v>0</v>
      </c>
    </row>
    <row r="397" spans="1:19" ht="12.75" customHeight="1" x14ac:dyDescent="0.2">
      <c r="A397" s="198" t="str">
        <f>"      "&amp;Labels!B317</f>
        <v xml:space="preserve">      Channels 1</v>
      </c>
      <c r="B397" s="250">
        <f t="shared" ref="B397:S397" si="210">SUM(B389,B393)</f>
        <v>0</v>
      </c>
      <c r="C397" s="250">
        <f t="shared" si="210"/>
        <v>0</v>
      </c>
      <c r="D397" s="250">
        <f t="shared" si="210"/>
        <v>0</v>
      </c>
      <c r="E397" s="250">
        <f t="shared" si="210"/>
        <v>0</v>
      </c>
      <c r="F397" s="250">
        <f t="shared" si="210"/>
        <v>0</v>
      </c>
      <c r="G397" s="250">
        <f t="shared" si="210"/>
        <v>0</v>
      </c>
      <c r="H397" s="250">
        <f t="shared" si="210"/>
        <v>0</v>
      </c>
      <c r="I397" s="250">
        <f t="shared" si="210"/>
        <v>0</v>
      </c>
      <c r="J397" s="250">
        <f t="shared" si="210"/>
        <v>0</v>
      </c>
      <c r="K397" s="250">
        <f t="shared" si="210"/>
        <v>0</v>
      </c>
      <c r="L397" s="250">
        <f t="shared" si="210"/>
        <v>0</v>
      </c>
      <c r="M397" s="250">
        <f t="shared" si="210"/>
        <v>0</v>
      </c>
      <c r="N397" s="250">
        <f t="shared" si="210"/>
        <v>0</v>
      </c>
      <c r="O397" s="250">
        <f t="shared" si="210"/>
        <v>0</v>
      </c>
      <c r="P397" s="250">
        <f t="shared" si="210"/>
        <v>0</v>
      </c>
      <c r="Q397" s="250">
        <f t="shared" si="210"/>
        <v>0</v>
      </c>
      <c r="R397" s="250">
        <f t="shared" si="210"/>
        <v>0</v>
      </c>
      <c r="S397" s="282">
        <f t="shared" si="210"/>
        <v>0</v>
      </c>
    </row>
    <row r="398" spans="1:19" ht="12.75" customHeight="1" x14ac:dyDescent="0.2">
      <c r="A398" s="198" t="str">
        <f>"      "&amp;Labels!B318</f>
        <v xml:space="preserve">      Channels 2</v>
      </c>
      <c r="B398" s="250">
        <f t="shared" ref="B398:S398" si="211">SUM(B390,B394)</f>
        <v>0</v>
      </c>
      <c r="C398" s="250">
        <f t="shared" si="211"/>
        <v>0</v>
      </c>
      <c r="D398" s="250">
        <f t="shared" si="211"/>
        <v>0</v>
      </c>
      <c r="E398" s="250">
        <f t="shared" si="211"/>
        <v>0</v>
      </c>
      <c r="F398" s="250">
        <f t="shared" si="211"/>
        <v>0</v>
      </c>
      <c r="G398" s="250">
        <f t="shared" si="211"/>
        <v>0</v>
      </c>
      <c r="H398" s="250">
        <f t="shared" si="211"/>
        <v>0</v>
      </c>
      <c r="I398" s="250">
        <f t="shared" si="211"/>
        <v>0</v>
      </c>
      <c r="J398" s="250">
        <f t="shared" si="211"/>
        <v>0</v>
      </c>
      <c r="K398" s="250">
        <f t="shared" si="211"/>
        <v>0</v>
      </c>
      <c r="L398" s="250">
        <f t="shared" si="211"/>
        <v>0</v>
      </c>
      <c r="M398" s="250">
        <f t="shared" si="211"/>
        <v>0</v>
      </c>
      <c r="N398" s="250">
        <f t="shared" si="211"/>
        <v>0</v>
      </c>
      <c r="O398" s="250">
        <f t="shared" si="211"/>
        <v>0</v>
      </c>
      <c r="P398" s="250">
        <f t="shared" si="211"/>
        <v>0</v>
      </c>
      <c r="Q398" s="250">
        <f t="shared" si="211"/>
        <v>0</v>
      </c>
      <c r="R398" s="250">
        <f t="shared" si="211"/>
        <v>0</v>
      </c>
      <c r="S398" s="282">
        <f t="shared" si="211"/>
        <v>0</v>
      </c>
    </row>
    <row r="399" spans="1:19" ht="12.75" customHeight="1" x14ac:dyDescent="0.2">
      <c r="A399" s="188" t="str">
        <f>"      "&amp;Labels!C316</f>
        <v xml:space="preserve">      Total</v>
      </c>
      <c r="B399" s="248">
        <f t="shared" ref="B399:S399" si="212">SUM(B391,B395)</f>
        <v>0</v>
      </c>
      <c r="C399" s="248">
        <f t="shared" si="212"/>
        <v>0</v>
      </c>
      <c r="D399" s="248">
        <f t="shared" si="212"/>
        <v>0</v>
      </c>
      <c r="E399" s="248">
        <f t="shared" si="212"/>
        <v>0</v>
      </c>
      <c r="F399" s="248">
        <f t="shared" si="212"/>
        <v>0</v>
      </c>
      <c r="G399" s="248">
        <f t="shared" si="212"/>
        <v>0</v>
      </c>
      <c r="H399" s="248">
        <f t="shared" si="212"/>
        <v>0</v>
      </c>
      <c r="I399" s="248">
        <f t="shared" si="212"/>
        <v>0</v>
      </c>
      <c r="J399" s="248">
        <f t="shared" si="212"/>
        <v>0</v>
      </c>
      <c r="K399" s="248">
        <f t="shared" si="212"/>
        <v>0</v>
      </c>
      <c r="L399" s="248">
        <f t="shared" si="212"/>
        <v>0</v>
      </c>
      <c r="M399" s="248">
        <f t="shared" si="212"/>
        <v>0</v>
      </c>
      <c r="N399" s="248">
        <f t="shared" si="212"/>
        <v>0</v>
      </c>
      <c r="O399" s="248">
        <f t="shared" si="212"/>
        <v>0</v>
      </c>
      <c r="P399" s="248">
        <f t="shared" si="212"/>
        <v>0</v>
      </c>
      <c r="Q399" s="248">
        <f t="shared" si="212"/>
        <v>0</v>
      </c>
      <c r="R399" s="248">
        <f t="shared" si="212"/>
        <v>0</v>
      </c>
      <c r="S399" s="271">
        <f t="shared" si="212"/>
        <v>0</v>
      </c>
    </row>
    <row r="400" spans="1:19" ht="12.75" customHeight="1" x14ac:dyDescent="0.2">
      <c r="A400" s="191" t="str">
        <f>Labels!B382</f>
        <v>Practice 2</v>
      </c>
      <c r="B400" s="247"/>
      <c r="C400" s="247"/>
      <c r="D400" s="247"/>
      <c r="E400" s="247"/>
      <c r="F400" s="247"/>
      <c r="G400" s="247"/>
      <c r="H400" s="247"/>
      <c r="I400" s="247"/>
      <c r="J400" s="247"/>
      <c r="K400" s="247"/>
      <c r="L400" s="247"/>
      <c r="M400" s="247"/>
      <c r="N400" s="247"/>
      <c r="O400" s="247"/>
      <c r="P400" s="247"/>
      <c r="Q400" s="247"/>
      <c r="R400" s="247"/>
      <c r="S400" s="272"/>
    </row>
    <row r="401" spans="1:19" ht="12.75" customHeight="1" x14ac:dyDescent="0.2">
      <c r="A401" s="188" t="str">
        <f>"   "&amp;Labels!B385</f>
        <v xml:space="preserve">   Prof Level 1</v>
      </c>
      <c r="B401" s="248"/>
      <c r="C401" s="248"/>
      <c r="D401" s="248"/>
      <c r="E401" s="248"/>
      <c r="F401" s="248"/>
      <c r="G401" s="248"/>
      <c r="H401" s="248"/>
      <c r="I401" s="248"/>
      <c r="J401" s="248"/>
      <c r="K401" s="248"/>
      <c r="L401" s="248"/>
      <c r="M401" s="248"/>
      <c r="N401" s="248"/>
      <c r="O401" s="248"/>
      <c r="P401" s="248"/>
      <c r="Q401" s="248"/>
      <c r="R401" s="248"/>
      <c r="S401" s="271"/>
    </row>
    <row r="402" spans="1:19" ht="12.75" customHeight="1" x14ac:dyDescent="0.2">
      <c r="A402" s="198" t="str">
        <f>"      "&amp;Labels!B317</f>
        <v xml:space="preserve">      Channels 1</v>
      </c>
      <c r="B402" s="250">
        <f>Inputs!F246*Inputs!F247*Sales!B122</f>
        <v>0</v>
      </c>
      <c r="C402" s="250">
        <f>Inputs!G246*Inputs!G247*Sales!C122</f>
        <v>0</v>
      </c>
      <c r="D402" s="250">
        <f>Inputs!H246*Inputs!H247*Sales!D122</f>
        <v>0</v>
      </c>
      <c r="E402" s="250">
        <f>Inputs!I246*Inputs!I247*Sales!F122</f>
        <v>0</v>
      </c>
      <c r="F402" s="250">
        <f>Inputs!J246*Inputs!J247*Sales!G122</f>
        <v>0</v>
      </c>
      <c r="G402" s="250">
        <f>Inputs!K246*Inputs!K247*Sales!H122</f>
        <v>0</v>
      </c>
      <c r="H402" s="250">
        <f>Inputs!L246*Inputs!L247*Sales!J122</f>
        <v>0</v>
      </c>
      <c r="I402" s="250">
        <f>Inputs!M246*Inputs!M247*Sales!K122</f>
        <v>0</v>
      </c>
      <c r="J402" s="250">
        <f>Inputs!N246*Inputs!N247*Sales!L122</f>
        <v>0</v>
      </c>
      <c r="K402" s="250">
        <f>Inputs!O246*Inputs!O247*Sales!N122</f>
        <v>0</v>
      </c>
      <c r="L402" s="250">
        <f>Inputs!P246*Inputs!P247*Sales!O122</f>
        <v>0</v>
      </c>
      <c r="M402" s="250">
        <f>Inputs!Q246*Inputs!Q247*Sales!P122</f>
        <v>0</v>
      </c>
      <c r="N402" s="250">
        <f>Inputs!R246*Inputs!R247*Sales!R122</f>
        <v>0</v>
      </c>
      <c r="O402" s="250">
        <f>Inputs!S246*Inputs!S247*Sales!S122</f>
        <v>0</v>
      </c>
      <c r="P402" s="250">
        <f>Inputs!T246*Inputs!T247*Sales!T122</f>
        <v>0</v>
      </c>
      <c r="Q402" s="250">
        <f>Inputs!U246*Inputs!U247*Sales!V122</f>
        <v>0</v>
      </c>
      <c r="R402" s="250">
        <f>Inputs!V246*Inputs!V247*Sales!W122</f>
        <v>0</v>
      </c>
      <c r="S402" s="282">
        <f>Inputs!W246*Inputs!W247*Sales!X122</f>
        <v>0</v>
      </c>
    </row>
    <row r="403" spans="1:19" ht="12.75" customHeight="1" x14ac:dyDescent="0.2">
      <c r="A403" s="198" t="str">
        <f>"      "&amp;Labels!B318</f>
        <v xml:space="preserve">      Channels 2</v>
      </c>
      <c r="B403" s="250">
        <f>Inputs!F246*Inputs!F247*Sales!B123</f>
        <v>0</v>
      </c>
      <c r="C403" s="250">
        <f>Inputs!G246*Inputs!G247*Sales!C123</f>
        <v>0</v>
      </c>
      <c r="D403" s="250">
        <f>Inputs!H246*Inputs!H247*Sales!D123</f>
        <v>0</v>
      </c>
      <c r="E403" s="250">
        <f>Inputs!I246*Inputs!I247*Sales!F123</f>
        <v>0</v>
      </c>
      <c r="F403" s="250">
        <f>Inputs!J246*Inputs!J247*Sales!G123</f>
        <v>0</v>
      </c>
      <c r="G403" s="250">
        <f>Inputs!K246*Inputs!K247*Sales!H123</f>
        <v>0</v>
      </c>
      <c r="H403" s="250">
        <f>Inputs!L246*Inputs!L247*Sales!J123</f>
        <v>0</v>
      </c>
      <c r="I403" s="250">
        <f>Inputs!M246*Inputs!M247*Sales!K123</f>
        <v>0</v>
      </c>
      <c r="J403" s="250">
        <f>Inputs!N246*Inputs!N247*Sales!L123</f>
        <v>0</v>
      </c>
      <c r="K403" s="250">
        <f>Inputs!O246*Inputs!O247*Sales!N123</f>
        <v>0</v>
      </c>
      <c r="L403" s="250">
        <f>Inputs!P246*Inputs!P247*Sales!O123</f>
        <v>0</v>
      </c>
      <c r="M403" s="250">
        <f>Inputs!Q246*Inputs!Q247*Sales!P123</f>
        <v>0</v>
      </c>
      <c r="N403" s="250">
        <f>Inputs!R246*Inputs!R247*Sales!R123</f>
        <v>0</v>
      </c>
      <c r="O403" s="250">
        <f>Inputs!S246*Inputs!S247*Sales!S123</f>
        <v>0</v>
      </c>
      <c r="P403" s="250">
        <f>Inputs!T246*Inputs!T247*Sales!T123</f>
        <v>0</v>
      </c>
      <c r="Q403" s="250">
        <f>Inputs!U246*Inputs!U247*Sales!V123</f>
        <v>0</v>
      </c>
      <c r="R403" s="250">
        <f>Inputs!V246*Inputs!V247*Sales!W123</f>
        <v>0</v>
      </c>
      <c r="S403" s="282">
        <f>Inputs!W246*Inputs!W247*Sales!X123</f>
        <v>0</v>
      </c>
    </row>
    <row r="404" spans="1:19" ht="12.75" customHeight="1" x14ac:dyDescent="0.2">
      <c r="A404" s="188" t="str">
        <f>"      "&amp;Labels!C316</f>
        <v xml:space="preserve">      Total</v>
      </c>
      <c r="B404" s="248">
        <f t="shared" ref="B404:S404" si="213">SUM(B402:B403)</f>
        <v>0</v>
      </c>
      <c r="C404" s="248">
        <f t="shared" si="213"/>
        <v>0</v>
      </c>
      <c r="D404" s="248">
        <f t="shared" si="213"/>
        <v>0</v>
      </c>
      <c r="E404" s="248">
        <f t="shared" si="213"/>
        <v>0</v>
      </c>
      <c r="F404" s="248">
        <f t="shared" si="213"/>
        <v>0</v>
      </c>
      <c r="G404" s="248">
        <f t="shared" si="213"/>
        <v>0</v>
      </c>
      <c r="H404" s="248">
        <f t="shared" si="213"/>
        <v>0</v>
      </c>
      <c r="I404" s="248">
        <f t="shared" si="213"/>
        <v>0</v>
      </c>
      <c r="J404" s="248">
        <f t="shared" si="213"/>
        <v>0</v>
      </c>
      <c r="K404" s="248">
        <f t="shared" si="213"/>
        <v>0</v>
      </c>
      <c r="L404" s="248">
        <f t="shared" si="213"/>
        <v>0</v>
      </c>
      <c r="M404" s="248">
        <f t="shared" si="213"/>
        <v>0</v>
      </c>
      <c r="N404" s="248">
        <f t="shared" si="213"/>
        <v>0</v>
      </c>
      <c r="O404" s="248">
        <f t="shared" si="213"/>
        <v>0</v>
      </c>
      <c r="P404" s="248">
        <f t="shared" si="213"/>
        <v>0</v>
      </c>
      <c r="Q404" s="248">
        <f t="shared" si="213"/>
        <v>0</v>
      </c>
      <c r="R404" s="248">
        <f t="shared" si="213"/>
        <v>0</v>
      </c>
      <c r="S404" s="271">
        <f t="shared" si="213"/>
        <v>0</v>
      </c>
    </row>
    <row r="405" spans="1:19" ht="12.75" customHeight="1" x14ac:dyDescent="0.2">
      <c r="A405" s="188" t="str">
        <f>"   "&amp;Labels!B386</f>
        <v xml:space="preserve">   Prof Level 2</v>
      </c>
      <c r="B405" s="248"/>
      <c r="C405" s="248"/>
      <c r="D405" s="248"/>
      <c r="E405" s="248"/>
      <c r="F405" s="248"/>
      <c r="G405" s="248"/>
      <c r="H405" s="248"/>
      <c r="I405" s="248"/>
      <c r="J405" s="248"/>
      <c r="K405" s="248"/>
      <c r="L405" s="248"/>
      <c r="M405" s="248"/>
      <c r="N405" s="248"/>
      <c r="O405" s="248"/>
      <c r="P405" s="248"/>
      <c r="Q405" s="248"/>
      <c r="R405" s="248"/>
      <c r="S405" s="271"/>
    </row>
    <row r="406" spans="1:19" ht="12.75" customHeight="1" x14ac:dyDescent="0.2">
      <c r="A406" s="198" t="str">
        <f>"      "&amp;Labels!B317</f>
        <v xml:space="preserve">      Channels 1</v>
      </c>
      <c r="B406" s="250">
        <f>Inputs!F246*Inputs!F247*Sales!B126</f>
        <v>0</v>
      </c>
      <c r="C406" s="250">
        <f>Inputs!G246*Inputs!G247*Sales!C126</f>
        <v>0</v>
      </c>
      <c r="D406" s="250">
        <f>Inputs!H246*Inputs!H247*Sales!D126</f>
        <v>0</v>
      </c>
      <c r="E406" s="250">
        <f>Inputs!I246*Inputs!I247*Sales!F126</f>
        <v>0</v>
      </c>
      <c r="F406" s="250">
        <f>Inputs!J246*Inputs!J247*Sales!G126</f>
        <v>0</v>
      </c>
      <c r="G406" s="250">
        <f>Inputs!K246*Inputs!K247*Sales!H126</f>
        <v>0</v>
      </c>
      <c r="H406" s="250">
        <f>Inputs!L246*Inputs!L247*Sales!J126</f>
        <v>0</v>
      </c>
      <c r="I406" s="250">
        <f>Inputs!M246*Inputs!M247*Sales!K126</f>
        <v>0</v>
      </c>
      <c r="J406" s="250">
        <f>Inputs!N246*Inputs!N247*Sales!L126</f>
        <v>0</v>
      </c>
      <c r="K406" s="250">
        <f>Inputs!O246*Inputs!O247*Sales!N126</f>
        <v>0</v>
      </c>
      <c r="L406" s="250">
        <f>Inputs!P246*Inputs!P247*Sales!O126</f>
        <v>0</v>
      </c>
      <c r="M406" s="250">
        <f>Inputs!Q246*Inputs!Q247*Sales!P126</f>
        <v>0</v>
      </c>
      <c r="N406" s="250">
        <f>Inputs!R246*Inputs!R247*Sales!R126</f>
        <v>0</v>
      </c>
      <c r="O406" s="250">
        <f>Inputs!S246*Inputs!S247*Sales!S126</f>
        <v>0</v>
      </c>
      <c r="P406" s="250">
        <f>Inputs!T246*Inputs!T247*Sales!T126</f>
        <v>0</v>
      </c>
      <c r="Q406" s="250">
        <f>Inputs!U246*Inputs!U247*Sales!V126</f>
        <v>0</v>
      </c>
      <c r="R406" s="250">
        <f>Inputs!V246*Inputs!V247*Sales!W126</f>
        <v>0</v>
      </c>
      <c r="S406" s="282">
        <f>Inputs!W246*Inputs!W247*Sales!X126</f>
        <v>0</v>
      </c>
    </row>
    <row r="407" spans="1:19" ht="12.75" customHeight="1" x14ac:dyDescent="0.2">
      <c r="A407" s="198" t="str">
        <f>"      "&amp;Labels!B318</f>
        <v xml:space="preserve">      Channels 2</v>
      </c>
      <c r="B407" s="250">
        <f>Inputs!F246*Inputs!F247*Sales!B127</f>
        <v>0</v>
      </c>
      <c r="C407" s="250">
        <f>Inputs!G246*Inputs!G247*Sales!C127</f>
        <v>0</v>
      </c>
      <c r="D407" s="250">
        <f>Inputs!H246*Inputs!H247*Sales!D127</f>
        <v>0</v>
      </c>
      <c r="E407" s="250">
        <f>Inputs!I246*Inputs!I247*Sales!F127</f>
        <v>0</v>
      </c>
      <c r="F407" s="250">
        <f>Inputs!J246*Inputs!J247*Sales!G127</f>
        <v>0</v>
      </c>
      <c r="G407" s="250">
        <f>Inputs!K246*Inputs!K247*Sales!H127</f>
        <v>0</v>
      </c>
      <c r="H407" s="250">
        <f>Inputs!L246*Inputs!L247*Sales!J127</f>
        <v>0</v>
      </c>
      <c r="I407" s="250">
        <f>Inputs!M246*Inputs!M247*Sales!K127</f>
        <v>0</v>
      </c>
      <c r="J407" s="250">
        <f>Inputs!N246*Inputs!N247*Sales!L127</f>
        <v>0</v>
      </c>
      <c r="K407" s="250">
        <f>Inputs!O246*Inputs!O247*Sales!N127</f>
        <v>0</v>
      </c>
      <c r="L407" s="250">
        <f>Inputs!P246*Inputs!P247*Sales!O127</f>
        <v>0</v>
      </c>
      <c r="M407" s="250">
        <f>Inputs!Q246*Inputs!Q247*Sales!P127</f>
        <v>0</v>
      </c>
      <c r="N407" s="250">
        <f>Inputs!R246*Inputs!R247*Sales!R127</f>
        <v>0</v>
      </c>
      <c r="O407" s="250">
        <f>Inputs!S246*Inputs!S247*Sales!S127</f>
        <v>0</v>
      </c>
      <c r="P407" s="250">
        <f>Inputs!T246*Inputs!T247*Sales!T127</f>
        <v>0</v>
      </c>
      <c r="Q407" s="250">
        <f>Inputs!U246*Inputs!U247*Sales!V127</f>
        <v>0</v>
      </c>
      <c r="R407" s="250">
        <f>Inputs!V246*Inputs!V247*Sales!W127</f>
        <v>0</v>
      </c>
      <c r="S407" s="282">
        <f>Inputs!W246*Inputs!W247*Sales!X127</f>
        <v>0</v>
      </c>
    </row>
    <row r="408" spans="1:19" ht="12.75" customHeight="1" x14ac:dyDescent="0.2">
      <c r="A408" s="188" t="str">
        <f>"      "&amp;Labels!C316</f>
        <v xml:space="preserve">      Total</v>
      </c>
      <c r="B408" s="248">
        <f t="shared" ref="B408:S408" si="214">SUM(B406:B407)</f>
        <v>0</v>
      </c>
      <c r="C408" s="248">
        <f t="shared" si="214"/>
        <v>0</v>
      </c>
      <c r="D408" s="248">
        <f t="shared" si="214"/>
        <v>0</v>
      </c>
      <c r="E408" s="248">
        <f t="shared" si="214"/>
        <v>0</v>
      </c>
      <c r="F408" s="248">
        <f t="shared" si="214"/>
        <v>0</v>
      </c>
      <c r="G408" s="248">
        <f t="shared" si="214"/>
        <v>0</v>
      </c>
      <c r="H408" s="248">
        <f t="shared" si="214"/>
        <v>0</v>
      </c>
      <c r="I408" s="248">
        <f t="shared" si="214"/>
        <v>0</v>
      </c>
      <c r="J408" s="248">
        <f t="shared" si="214"/>
        <v>0</v>
      </c>
      <c r="K408" s="248">
        <f t="shared" si="214"/>
        <v>0</v>
      </c>
      <c r="L408" s="248">
        <f t="shared" si="214"/>
        <v>0</v>
      </c>
      <c r="M408" s="248">
        <f t="shared" si="214"/>
        <v>0</v>
      </c>
      <c r="N408" s="248">
        <f t="shared" si="214"/>
        <v>0</v>
      </c>
      <c r="O408" s="248">
        <f t="shared" si="214"/>
        <v>0</v>
      </c>
      <c r="P408" s="248">
        <f t="shared" si="214"/>
        <v>0</v>
      </c>
      <c r="Q408" s="248">
        <f t="shared" si="214"/>
        <v>0</v>
      </c>
      <c r="R408" s="248">
        <f t="shared" si="214"/>
        <v>0</v>
      </c>
      <c r="S408" s="271">
        <f t="shared" si="214"/>
        <v>0</v>
      </c>
    </row>
    <row r="409" spans="1:19" ht="12.75" customHeight="1" x14ac:dyDescent="0.2">
      <c r="A409" s="191" t="str">
        <f>"   "&amp;Labels!C384</f>
        <v xml:space="preserve">   Total</v>
      </c>
      <c r="B409" s="247">
        <f t="shared" ref="B409:S409" si="215">SUM(B404,B408)</f>
        <v>0</v>
      </c>
      <c r="C409" s="247">
        <f t="shared" si="215"/>
        <v>0</v>
      </c>
      <c r="D409" s="247">
        <f t="shared" si="215"/>
        <v>0</v>
      </c>
      <c r="E409" s="247">
        <f t="shared" si="215"/>
        <v>0</v>
      </c>
      <c r="F409" s="247">
        <f t="shared" si="215"/>
        <v>0</v>
      </c>
      <c r="G409" s="247">
        <f t="shared" si="215"/>
        <v>0</v>
      </c>
      <c r="H409" s="247">
        <f t="shared" si="215"/>
        <v>0</v>
      </c>
      <c r="I409" s="247">
        <f t="shared" si="215"/>
        <v>0</v>
      </c>
      <c r="J409" s="247">
        <f t="shared" si="215"/>
        <v>0</v>
      </c>
      <c r="K409" s="247">
        <f t="shared" si="215"/>
        <v>0</v>
      </c>
      <c r="L409" s="247">
        <f t="shared" si="215"/>
        <v>0</v>
      </c>
      <c r="M409" s="247">
        <f t="shared" si="215"/>
        <v>0</v>
      </c>
      <c r="N409" s="247">
        <f t="shared" si="215"/>
        <v>0</v>
      </c>
      <c r="O409" s="247">
        <f t="shared" si="215"/>
        <v>0</v>
      </c>
      <c r="P409" s="247">
        <f t="shared" si="215"/>
        <v>0</v>
      </c>
      <c r="Q409" s="247">
        <f t="shared" si="215"/>
        <v>0</v>
      </c>
      <c r="R409" s="247">
        <f t="shared" si="215"/>
        <v>0</v>
      </c>
      <c r="S409" s="272">
        <f t="shared" si="215"/>
        <v>0</v>
      </c>
    </row>
    <row r="410" spans="1:19" ht="12.75" customHeight="1" x14ac:dyDescent="0.2">
      <c r="A410" s="198" t="str">
        <f>"      "&amp;Labels!B317</f>
        <v xml:space="preserve">      Channels 1</v>
      </c>
      <c r="B410" s="250">
        <f t="shared" ref="B410:S410" si="216">SUM(B402,B406)</f>
        <v>0</v>
      </c>
      <c r="C410" s="250">
        <f t="shared" si="216"/>
        <v>0</v>
      </c>
      <c r="D410" s="250">
        <f t="shared" si="216"/>
        <v>0</v>
      </c>
      <c r="E410" s="250">
        <f t="shared" si="216"/>
        <v>0</v>
      </c>
      <c r="F410" s="250">
        <f t="shared" si="216"/>
        <v>0</v>
      </c>
      <c r="G410" s="250">
        <f t="shared" si="216"/>
        <v>0</v>
      </c>
      <c r="H410" s="250">
        <f t="shared" si="216"/>
        <v>0</v>
      </c>
      <c r="I410" s="250">
        <f t="shared" si="216"/>
        <v>0</v>
      </c>
      <c r="J410" s="250">
        <f t="shared" si="216"/>
        <v>0</v>
      </c>
      <c r="K410" s="250">
        <f t="shared" si="216"/>
        <v>0</v>
      </c>
      <c r="L410" s="250">
        <f t="shared" si="216"/>
        <v>0</v>
      </c>
      <c r="M410" s="250">
        <f t="shared" si="216"/>
        <v>0</v>
      </c>
      <c r="N410" s="250">
        <f t="shared" si="216"/>
        <v>0</v>
      </c>
      <c r="O410" s="250">
        <f t="shared" si="216"/>
        <v>0</v>
      </c>
      <c r="P410" s="250">
        <f t="shared" si="216"/>
        <v>0</v>
      </c>
      <c r="Q410" s="250">
        <f t="shared" si="216"/>
        <v>0</v>
      </c>
      <c r="R410" s="250">
        <f t="shared" si="216"/>
        <v>0</v>
      </c>
      <c r="S410" s="282">
        <f t="shared" si="216"/>
        <v>0</v>
      </c>
    </row>
    <row r="411" spans="1:19" ht="12.75" customHeight="1" x14ac:dyDescent="0.2">
      <c r="A411" s="198" t="str">
        <f>"      "&amp;Labels!B318</f>
        <v xml:space="preserve">      Channels 2</v>
      </c>
      <c r="B411" s="250">
        <f t="shared" ref="B411:S411" si="217">SUM(B403,B407)</f>
        <v>0</v>
      </c>
      <c r="C411" s="250">
        <f t="shared" si="217"/>
        <v>0</v>
      </c>
      <c r="D411" s="250">
        <f t="shared" si="217"/>
        <v>0</v>
      </c>
      <c r="E411" s="250">
        <f t="shared" si="217"/>
        <v>0</v>
      </c>
      <c r="F411" s="250">
        <f t="shared" si="217"/>
        <v>0</v>
      </c>
      <c r="G411" s="250">
        <f t="shared" si="217"/>
        <v>0</v>
      </c>
      <c r="H411" s="250">
        <f t="shared" si="217"/>
        <v>0</v>
      </c>
      <c r="I411" s="250">
        <f t="shared" si="217"/>
        <v>0</v>
      </c>
      <c r="J411" s="250">
        <f t="shared" si="217"/>
        <v>0</v>
      </c>
      <c r="K411" s="250">
        <f t="shared" si="217"/>
        <v>0</v>
      </c>
      <c r="L411" s="250">
        <f t="shared" si="217"/>
        <v>0</v>
      </c>
      <c r="M411" s="250">
        <f t="shared" si="217"/>
        <v>0</v>
      </c>
      <c r="N411" s="250">
        <f t="shared" si="217"/>
        <v>0</v>
      </c>
      <c r="O411" s="250">
        <f t="shared" si="217"/>
        <v>0</v>
      </c>
      <c r="P411" s="250">
        <f t="shared" si="217"/>
        <v>0</v>
      </c>
      <c r="Q411" s="250">
        <f t="shared" si="217"/>
        <v>0</v>
      </c>
      <c r="R411" s="250">
        <f t="shared" si="217"/>
        <v>0</v>
      </c>
      <c r="S411" s="282">
        <f t="shared" si="217"/>
        <v>0</v>
      </c>
    </row>
    <row r="412" spans="1:19" ht="12.75" customHeight="1" x14ac:dyDescent="0.2">
      <c r="A412" s="188" t="str">
        <f>"      "&amp;Labels!C316</f>
        <v xml:space="preserve">      Total</v>
      </c>
      <c r="B412" s="248">
        <f t="shared" ref="B412:S412" si="218">SUM(B404,B408)</f>
        <v>0</v>
      </c>
      <c r="C412" s="248">
        <f t="shared" si="218"/>
        <v>0</v>
      </c>
      <c r="D412" s="248">
        <f t="shared" si="218"/>
        <v>0</v>
      </c>
      <c r="E412" s="248">
        <f t="shared" si="218"/>
        <v>0</v>
      </c>
      <c r="F412" s="248">
        <f t="shared" si="218"/>
        <v>0</v>
      </c>
      <c r="G412" s="248">
        <f t="shared" si="218"/>
        <v>0</v>
      </c>
      <c r="H412" s="248">
        <f t="shared" si="218"/>
        <v>0</v>
      </c>
      <c r="I412" s="248">
        <f t="shared" si="218"/>
        <v>0</v>
      </c>
      <c r="J412" s="248">
        <f t="shared" si="218"/>
        <v>0</v>
      </c>
      <c r="K412" s="248">
        <f t="shared" si="218"/>
        <v>0</v>
      </c>
      <c r="L412" s="248">
        <f t="shared" si="218"/>
        <v>0</v>
      </c>
      <c r="M412" s="248">
        <f t="shared" si="218"/>
        <v>0</v>
      </c>
      <c r="N412" s="248">
        <f t="shared" si="218"/>
        <v>0</v>
      </c>
      <c r="O412" s="248">
        <f t="shared" si="218"/>
        <v>0</v>
      </c>
      <c r="P412" s="248">
        <f t="shared" si="218"/>
        <v>0</v>
      </c>
      <c r="Q412" s="248">
        <f t="shared" si="218"/>
        <v>0</v>
      </c>
      <c r="R412" s="248">
        <f t="shared" si="218"/>
        <v>0</v>
      </c>
      <c r="S412" s="271">
        <f t="shared" si="218"/>
        <v>0</v>
      </c>
    </row>
    <row r="413" spans="1:19" ht="12.75" customHeight="1" x14ac:dyDescent="0.2">
      <c r="A413" s="97" t="str">
        <f>Labels!C380</f>
        <v>Total</v>
      </c>
      <c r="B413" s="355">
        <f t="shared" ref="B413:S413" si="219">SUM(B396,B409)</f>
        <v>0</v>
      </c>
      <c r="C413" s="355">
        <f t="shared" si="219"/>
        <v>0</v>
      </c>
      <c r="D413" s="355">
        <f t="shared" si="219"/>
        <v>0</v>
      </c>
      <c r="E413" s="355">
        <f t="shared" si="219"/>
        <v>0</v>
      </c>
      <c r="F413" s="355">
        <f t="shared" si="219"/>
        <v>0</v>
      </c>
      <c r="G413" s="355">
        <f t="shared" si="219"/>
        <v>0</v>
      </c>
      <c r="H413" s="355">
        <f t="shared" si="219"/>
        <v>0</v>
      </c>
      <c r="I413" s="355">
        <f t="shared" si="219"/>
        <v>0</v>
      </c>
      <c r="J413" s="355">
        <f t="shared" si="219"/>
        <v>0</v>
      </c>
      <c r="K413" s="355">
        <f t="shared" si="219"/>
        <v>0</v>
      </c>
      <c r="L413" s="355">
        <f t="shared" si="219"/>
        <v>0</v>
      </c>
      <c r="M413" s="355">
        <f t="shared" si="219"/>
        <v>0</v>
      </c>
      <c r="N413" s="355">
        <f t="shared" si="219"/>
        <v>0</v>
      </c>
      <c r="O413" s="355">
        <f t="shared" si="219"/>
        <v>0</v>
      </c>
      <c r="P413" s="355">
        <f t="shared" si="219"/>
        <v>0</v>
      </c>
      <c r="Q413" s="355">
        <f t="shared" si="219"/>
        <v>0</v>
      </c>
      <c r="R413" s="355">
        <f t="shared" si="219"/>
        <v>0</v>
      </c>
      <c r="S413" s="356">
        <f t="shared" si="219"/>
        <v>0</v>
      </c>
    </row>
    <row r="414" spans="1:19" ht="12.75" customHeight="1" x14ac:dyDescent="0.2">
      <c r="A414" s="188" t="str">
        <f>"   "&amp;Labels!B385</f>
        <v xml:space="preserve">   Prof Level 1</v>
      </c>
      <c r="B414" s="248"/>
      <c r="C414" s="248"/>
      <c r="D414" s="248"/>
      <c r="E414" s="248"/>
      <c r="F414" s="248"/>
      <c r="G414" s="248"/>
      <c r="H414" s="248"/>
      <c r="I414" s="248"/>
      <c r="J414" s="248"/>
      <c r="K414" s="248"/>
      <c r="L414" s="248"/>
      <c r="M414" s="248"/>
      <c r="N414" s="248"/>
      <c r="O414" s="248"/>
      <c r="P414" s="248"/>
      <c r="Q414" s="248"/>
      <c r="R414" s="248"/>
      <c r="S414" s="271"/>
    </row>
    <row r="415" spans="1:19" ht="12.75" customHeight="1" x14ac:dyDescent="0.2">
      <c r="A415" s="198" t="str">
        <f>"      "&amp;Labels!B317</f>
        <v xml:space="preserve">      Channels 1</v>
      </c>
      <c r="B415" s="250">
        <f t="shared" ref="B415:S415" si="220">SUM(B389,B402)</f>
        <v>0</v>
      </c>
      <c r="C415" s="250">
        <f t="shared" si="220"/>
        <v>0</v>
      </c>
      <c r="D415" s="250">
        <f t="shared" si="220"/>
        <v>0</v>
      </c>
      <c r="E415" s="250">
        <f t="shared" si="220"/>
        <v>0</v>
      </c>
      <c r="F415" s="250">
        <f t="shared" si="220"/>
        <v>0</v>
      </c>
      <c r="G415" s="250">
        <f t="shared" si="220"/>
        <v>0</v>
      </c>
      <c r="H415" s="250">
        <f t="shared" si="220"/>
        <v>0</v>
      </c>
      <c r="I415" s="250">
        <f t="shared" si="220"/>
        <v>0</v>
      </c>
      <c r="J415" s="250">
        <f t="shared" si="220"/>
        <v>0</v>
      </c>
      <c r="K415" s="250">
        <f t="shared" si="220"/>
        <v>0</v>
      </c>
      <c r="L415" s="250">
        <f t="shared" si="220"/>
        <v>0</v>
      </c>
      <c r="M415" s="250">
        <f t="shared" si="220"/>
        <v>0</v>
      </c>
      <c r="N415" s="250">
        <f t="shared" si="220"/>
        <v>0</v>
      </c>
      <c r="O415" s="250">
        <f t="shared" si="220"/>
        <v>0</v>
      </c>
      <c r="P415" s="250">
        <f t="shared" si="220"/>
        <v>0</v>
      </c>
      <c r="Q415" s="250">
        <f t="shared" si="220"/>
        <v>0</v>
      </c>
      <c r="R415" s="250">
        <f t="shared" si="220"/>
        <v>0</v>
      </c>
      <c r="S415" s="282">
        <f t="shared" si="220"/>
        <v>0</v>
      </c>
    </row>
    <row r="416" spans="1:19" ht="12.75" customHeight="1" x14ac:dyDescent="0.2">
      <c r="A416" s="198" t="str">
        <f>"      "&amp;Labels!B318</f>
        <v xml:space="preserve">      Channels 2</v>
      </c>
      <c r="B416" s="250">
        <f t="shared" ref="B416:S416" si="221">SUM(B390,B403)</f>
        <v>0</v>
      </c>
      <c r="C416" s="250">
        <f t="shared" si="221"/>
        <v>0</v>
      </c>
      <c r="D416" s="250">
        <f t="shared" si="221"/>
        <v>0</v>
      </c>
      <c r="E416" s="250">
        <f t="shared" si="221"/>
        <v>0</v>
      </c>
      <c r="F416" s="250">
        <f t="shared" si="221"/>
        <v>0</v>
      </c>
      <c r="G416" s="250">
        <f t="shared" si="221"/>
        <v>0</v>
      </c>
      <c r="H416" s="250">
        <f t="shared" si="221"/>
        <v>0</v>
      </c>
      <c r="I416" s="250">
        <f t="shared" si="221"/>
        <v>0</v>
      </c>
      <c r="J416" s="250">
        <f t="shared" si="221"/>
        <v>0</v>
      </c>
      <c r="K416" s="250">
        <f t="shared" si="221"/>
        <v>0</v>
      </c>
      <c r="L416" s="250">
        <f t="shared" si="221"/>
        <v>0</v>
      </c>
      <c r="M416" s="250">
        <f t="shared" si="221"/>
        <v>0</v>
      </c>
      <c r="N416" s="250">
        <f t="shared" si="221"/>
        <v>0</v>
      </c>
      <c r="O416" s="250">
        <f t="shared" si="221"/>
        <v>0</v>
      </c>
      <c r="P416" s="250">
        <f t="shared" si="221"/>
        <v>0</v>
      </c>
      <c r="Q416" s="250">
        <f t="shared" si="221"/>
        <v>0</v>
      </c>
      <c r="R416" s="250">
        <f t="shared" si="221"/>
        <v>0</v>
      </c>
      <c r="S416" s="282">
        <f t="shared" si="221"/>
        <v>0</v>
      </c>
    </row>
    <row r="417" spans="1:19" ht="12.75" customHeight="1" x14ac:dyDescent="0.2">
      <c r="A417" s="188" t="str">
        <f>"      "&amp;Labels!C316</f>
        <v xml:space="preserve">      Total</v>
      </c>
      <c r="B417" s="248">
        <f t="shared" ref="B417:S417" si="222">SUM(B391,B404)</f>
        <v>0</v>
      </c>
      <c r="C417" s="248">
        <f t="shared" si="222"/>
        <v>0</v>
      </c>
      <c r="D417" s="248">
        <f t="shared" si="222"/>
        <v>0</v>
      </c>
      <c r="E417" s="248">
        <f t="shared" si="222"/>
        <v>0</v>
      </c>
      <c r="F417" s="248">
        <f t="shared" si="222"/>
        <v>0</v>
      </c>
      <c r="G417" s="248">
        <f t="shared" si="222"/>
        <v>0</v>
      </c>
      <c r="H417" s="248">
        <f t="shared" si="222"/>
        <v>0</v>
      </c>
      <c r="I417" s="248">
        <f t="shared" si="222"/>
        <v>0</v>
      </c>
      <c r="J417" s="248">
        <f t="shared" si="222"/>
        <v>0</v>
      </c>
      <c r="K417" s="248">
        <f t="shared" si="222"/>
        <v>0</v>
      </c>
      <c r="L417" s="248">
        <f t="shared" si="222"/>
        <v>0</v>
      </c>
      <c r="M417" s="248">
        <f t="shared" si="222"/>
        <v>0</v>
      </c>
      <c r="N417" s="248">
        <f t="shared" si="222"/>
        <v>0</v>
      </c>
      <c r="O417" s="248">
        <f t="shared" si="222"/>
        <v>0</v>
      </c>
      <c r="P417" s="248">
        <f t="shared" si="222"/>
        <v>0</v>
      </c>
      <c r="Q417" s="248">
        <f t="shared" si="222"/>
        <v>0</v>
      </c>
      <c r="R417" s="248">
        <f t="shared" si="222"/>
        <v>0</v>
      </c>
      <c r="S417" s="271">
        <f t="shared" si="222"/>
        <v>0</v>
      </c>
    </row>
    <row r="418" spans="1:19" ht="12.75" customHeight="1" x14ac:dyDescent="0.2">
      <c r="A418" s="188" t="str">
        <f>"   "&amp;Labels!B386</f>
        <v xml:space="preserve">   Prof Level 2</v>
      </c>
      <c r="B418" s="248"/>
      <c r="C418" s="248"/>
      <c r="D418" s="248"/>
      <c r="E418" s="248"/>
      <c r="F418" s="248"/>
      <c r="G418" s="248"/>
      <c r="H418" s="248"/>
      <c r="I418" s="248"/>
      <c r="J418" s="248"/>
      <c r="K418" s="248"/>
      <c r="L418" s="248"/>
      <c r="M418" s="248"/>
      <c r="N418" s="248"/>
      <c r="O418" s="248"/>
      <c r="P418" s="248"/>
      <c r="Q418" s="248"/>
      <c r="R418" s="248"/>
      <c r="S418" s="271"/>
    </row>
    <row r="419" spans="1:19" ht="12.75" customHeight="1" x14ac:dyDescent="0.2">
      <c r="A419" s="198" t="str">
        <f>"      "&amp;Labels!B317</f>
        <v xml:space="preserve">      Channels 1</v>
      </c>
      <c r="B419" s="250">
        <f t="shared" ref="B419:S419" si="223">SUM(B393,B406)</f>
        <v>0</v>
      </c>
      <c r="C419" s="250">
        <f t="shared" si="223"/>
        <v>0</v>
      </c>
      <c r="D419" s="250">
        <f t="shared" si="223"/>
        <v>0</v>
      </c>
      <c r="E419" s="250">
        <f t="shared" si="223"/>
        <v>0</v>
      </c>
      <c r="F419" s="250">
        <f t="shared" si="223"/>
        <v>0</v>
      </c>
      <c r="G419" s="250">
        <f t="shared" si="223"/>
        <v>0</v>
      </c>
      <c r="H419" s="250">
        <f t="shared" si="223"/>
        <v>0</v>
      </c>
      <c r="I419" s="250">
        <f t="shared" si="223"/>
        <v>0</v>
      </c>
      <c r="J419" s="250">
        <f t="shared" si="223"/>
        <v>0</v>
      </c>
      <c r="K419" s="250">
        <f t="shared" si="223"/>
        <v>0</v>
      </c>
      <c r="L419" s="250">
        <f t="shared" si="223"/>
        <v>0</v>
      </c>
      <c r="M419" s="250">
        <f t="shared" si="223"/>
        <v>0</v>
      </c>
      <c r="N419" s="250">
        <f t="shared" si="223"/>
        <v>0</v>
      </c>
      <c r="O419" s="250">
        <f t="shared" si="223"/>
        <v>0</v>
      </c>
      <c r="P419" s="250">
        <f t="shared" si="223"/>
        <v>0</v>
      </c>
      <c r="Q419" s="250">
        <f t="shared" si="223"/>
        <v>0</v>
      </c>
      <c r="R419" s="250">
        <f t="shared" si="223"/>
        <v>0</v>
      </c>
      <c r="S419" s="282">
        <f t="shared" si="223"/>
        <v>0</v>
      </c>
    </row>
    <row r="420" spans="1:19" ht="12.75" customHeight="1" x14ac:dyDescent="0.2">
      <c r="A420" s="198" t="str">
        <f>"      "&amp;Labels!B318</f>
        <v xml:space="preserve">      Channels 2</v>
      </c>
      <c r="B420" s="250">
        <f t="shared" ref="B420:S420" si="224">SUM(B394,B407)</f>
        <v>0</v>
      </c>
      <c r="C420" s="250">
        <f t="shared" si="224"/>
        <v>0</v>
      </c>
      <c r="D420" s="250">
        <f t="shared" si="224"/>
        <v>0</v>
      </c>
      <c r="E420" s="250">
        <f t="shared" si="224"/>
        <v>0</v>
      </c>
      <c r="F420" s="250">
        <f t="shared" si="224"/>
        <v>0</v>
      </c>
      <c r="G420" s="250">
        <f t="shared" si="224"/>
        <v>0</v>
      </c>
      <c r="H420" s="250">
        <f t="shared" si="224"/>
        <v>0</v>
      </c>
      <c r="I420" s="250">
        <f t="shared" si="224"/>
        <v>0</v>
      </c>
      <c r="J420" s="250">
        <f t="shared" si="224"/>
        <v>0</v>
      </c>
      <c r="K420" s="250">
        <f t="shared" si="224"/>
        <v>0</v>
      </c>
      <c r="L420" s="250">
        <f t="shared" si="224"/>
        <v>0</v>
      </c>
      <c r="M420" s="250">
        <f t="shared" si="224"/>
        <v>0</v>
      </c>
      <c r="N420" s="250">
        <f t="shared" si="224"/>
        <v>0</v>
      </c>
      <c r="O420" s="250">
        <f t="shared" si="224"/>
        <v>0</v>
      </c>
      <c r="P420" s="250">
        <f t="shared" si="224"/>
        <v>0</v>
      </c>
      <c r="Q420" s="250">
        <f t="shared" si="224"/>
        <v>0</v>
      </c>
      <c r="R420" s="250">
        <f t="shared" si="224"/>
        <v>0</v>
      </c>
      <c r="S420" s="282">
        <f t="shared" si="224"/>
        <v>0</v>
      </c>
    </row>
    <row r="421" spans="1:19" ht="12.75" customHeight="1" x14ac:dyDescent="0.2">
      <c r="A421" s="188" t="str">
        <f>"      "&amp;Labels!C316</f>
        <v xml:space="preserve">      Total</v>
      </c>
      <c r="B421" s="248">
        <f t="shared" ref="B421:S421" si="225">SUM(B395,B408)</f>
        <v>0</v>
      </c>
      <c r="C421" s="248">
        <f t="shared" si="225"/>
        <v>0</v>
      </c>
      <c r="D421" s="248">
        <f t="shared" si="225"/>
        <v>0</v>
      </c>
      <c r="E421" s="248">
        <f t="shared" si="225"/>
        <v>0</v>
      </c>
      <c r="F421" s="248">
        <f t="shared" si="225"/>
        <v>0</v>
      </c>
      <c r="G421" s="248">
        <f t="shared" si="225"/>
        <v>0</v>
      </c>
      <c r="H421" s="248">
        <f t="shared" si="225"/>
        <v>0</v>
      </c>
      <c r="I421" s="248">
        <f t="shared" si="225"/>
        <v>0</v>
      </c>
      <c r="J421" s="248">
        <f t="shared" si="225"/>
        <v>0</v>
      </c>
      <c r="K421" s="248">
        <f t="shared" si="225"/>
        <v>0</v>
      </c>
      <c r="L421" s="248">
        <f t="shared" si="225"/>
        <v>0</v>
      </c>
      <c r="M421" s="248">
        <f t="shared" si="225"/>
        <v>0</v>
      </c>
      <c r="N421" s="248">
        <f t="shared" si="225"/>
        <v>0</v>
      </c>
      <c r="O421" s="248">
        <f t="shared" si="225"/>
        <v>0</v>
      </c>
      <c r="P421" s="248">
        <f t="shared" si="225"/>
        <v>0</v>
      </c>
      <c r="Q421" s="248">
        <f t="shared" si="225"/>
        <v>0</v>
      </c>
      <c r="R421" s="248">
        <f t="shared" si="225"/>
        <v>0</v>
      </c>
      <c r="S421" s="271">
        <f t="shared" si="225"/>
        <v>0</v>
      </c>
    </row>
    <row r="422" spans="1:19" ht="12.75" customHeight="1" x14ac:dyDescent="0.2">
      <c r="A422" s="191" t="str">
        <f>"   "&amp;Labels!C384</f>
        <v xml:space="preserve">   Total</v>
      </c>
      <c r="B422" s="247">
        <f t="shared" ref="B422:S422" si="226">SUM(B396,B409)</f>
        <v>0</v>
      </c>
      <c r="C422" s="247">
        <f t="shared" si="226"/>
        <v>0</v>
      </c>
      <c r="D422" s="247">
        <f t="shared" si="226"/>
        <v>0</v>
      </c>
      <c r="E422" s="247">
        <f t="shared" si="226"/>
        <v>0</v>
      </c>
      <c r="F422" s="247">
        <f t="shared" si="226"/>
        <v>0</v>
      </c>
      <c r="G422" s="247">
        <f t="shared" si="226"/>
        <v>0</v>
      </c>
      <c r="H422" s="247">
        <f t="shared" si="226"/>
        <v>0</v>
      </c>
      <c r="I422" s="247">
        <f t="shared" si="226"/>
        <v>0</v>
      </c>
      <c r="J422" s="247">
        <f t="shared" si="226"/>
        <v>0</v>
      </c>
      <c r="K422" s="247">
        <f t="shared" si="226"/>
        <v>0</v>
      </c>
      <c r="L422" s="247">
        <f t="shared" si="226"/>
        <v>0</v>
      </c>
      <c r="M422" s="247">
        <f t="shared" si="226"/>
        <v>0</v>
      </c>
      <c r="N422" s="247">
        <f t="shared" si="226"/>
        <v>0</v>
      </c>
      <c r="O422" s="247">
        <f t="shared" si="226"/>
        <v>0</v>
      </c>
      <c r="P422" s="247">
        <f t="shared" si="226"/>
        <v>0</v>
      </c>
      <c r="Q422" s="247">
        <f t="shared" si="226"/>
        <v>0</v>
      </c>
      <c r="R422" s="247">
        <f t="shared" si="226"/>
        <v>0</v>
      </c>
      <c r="S422" s="272">
        <f t="shared" si="226"/>
        <v>0</v>
      </c>
    </row>
    <row r="423" spans="1:19" ht="12.75" customHeight="1" x14ac:dyDescent="0.2">
      <c r="A423" s="198" t="str">
        <f>"      "&amp;Labels!B317</f>
        <v xml:space="preserve">      Channels 1</v>
      </c>
      <c r="B423" s="250">
        <f t="shared" ref="B423:S423" si="227">SUM(B397,B410)</f>
        <v>0</v>
      </c>
      <c r="C423" s="250">
        <f t="shared" si="227"/>
        <v>0</v>
      </c>
      <c r="D423" s="250">
        <f t="shared" si="227"/>
        <v>0</v>
      </c>
      <c r="E423" s="250">
        <f t="shared" si="227"/>
        <v>0</v>
      </c>
      <c r="F423" s="250">
        <f t="shared" si="227"/>
        <v>0</v>
      </c>
      <c r="G423" s="250">
        <f t="shared" si="227"/>
        <v>0</v>
      </c>
      <c r="H423" s="250">
        <f t="shared" si="227"/>
        <v>0</v>
      </c>
      <c r="I423" s="250">
        <f t="shared" si="227"/>
        <v>0</v>
      </c>
      <c r="J423" s="250">
        <f t="shared" si="227"/>
        <v>0</v>
      </c>
      <c r="K423" s="250">
        <f t="shared" si="227"/>
        <v>0</v>
      </c>
      <c r="L423" s="250">
        <f t="shared" si="227"/>
        <v>0</v>
      </c>
      <c r="M423" s="250">
        <f t="shared" si="227"/>
        <v>0</v>
      </c>
      <c r="N423" s="250">
        <f t="shared" si="227"/>
        <v>0</v>
      </c>
      <c r="O423" s="250">
        <f t="shared" si="227"/>
        <v>0</v>
      </c>
      <c r="P423" s="250">
        <f t="shared" si="227"/>
        <v>0</v>
      </c>
      <c r="Q423" s="250">
        <f t="shared" si="227"/>
        <v>0</v>
      </c>
      <c r="R423" s="250">
        <f t="shared" si="227"/>
        <v>0</v>
      </c>
      <c r="S423" s="282">
        <f t="shared" si="227"/>
        <v>0</v>
      </c>
    </row>
    <row r="424" spans="1:19" ht="12.75" customHeight="1" x14ac:dyDescent="0.2">
      <c r="A424" s="198" t="str">
        <f>"      "&amp;Labels!B318</f>
        <v xml:space="preserve">      Channels 2</v>
      </c>
      <c r="B424" s="250">
        <f t="shared" ref="B424:S424" si="228">SUM(B398,B411)</f>
        <v>0</v>
      </c>
      <c r="C424" s="250">
        <f t="shared" si="228"/>
        <v>0</v>
      </c>
      <c r="D424" s="250">
        <f t="shared" si="228"/>
        <v>0</v>
      </c>
      <c r="E424" s="250">
        <f t="shared" si="228"/>
        <v>0</v>
      </c>
      <c r="F424" s="250">
        <f t="shared" si="228"/>
        <v>0</v>
      </c>
      <c r="G424" s="250">
        <f t="shared" si="228"/>
        <v>0</v>
      </c>
      <c r="H424" s="250">
        <f t="shared" si="228"/>
        <v>0</v>
      </c>
      <c r="I424" s="250">
        <f t="shared" si="228"/>
        <v>0</v>
      </c>
      <c r="J424" s="250">
        <f t="shared" si="228"/>
        <v>0</v>
      </c>
      <c r="K424" s="250">
        <f t="shared" si="228"/>
        <v>0</v>
      </c>
      <c r="L424" s="250">
        <f t="shared" si="228"/>
        <v>0</v>
      </c>
      <c r="M424" s="250">
        <f t="shared" si="228"/>
        <v>0</v>
      </c>
      <c r="N424" s="250">
        <f t="shared" si="228"/>
        <v>0</v>
      </c>
      <c r="O424" s="250">
        <f t="shared" si="228"/>
        <v>0</v>
      </c>
      <c r="P424" s="250">
        <f t="shared" si="228"/>
        <v>0</v>
      </c>
      <c r="Q424" s="250">
        <f t="shared" si="228"/>
        <v>0</v>
      </c>
      <c r="R424" s="250">
        <f t="shared" si="228"/>
        <v>0</v>
      </c>
      <c r="S424" s="282">
        <f t="shared" si="228"/>
        <v>0</v>
      </c>
    </row>
    <row r="425" spans="1:19" ht="12.75" customHeight="1" x14ac:dyDescent="0.2">
      <c r="A425" s="220" t="str">
        <f>"      "&amp;Labels!C316</f>
        <v xml:space="preserve">      Total</v>
      </c>
      <c r="B425" s="357">
        <f t="shared" ref="B425:S425" si="229">SUM(B396,B409)</f>
        <v>0</v>
      </c>
      <c r="C425" s="357">
        <f t="shared" si="229"/>
        <v>0</v>
      </c>
      <c r="D425" s="357">
        <f t="shared" si="229"/>
        <v>0</v>
      </c>
      <c r="E425" s="357">
        <f t="shared" si="229"/>
        <v>0</v>
      </c>
      <c r="F425" s="357">
        <f t="shared" si="229"/>
        <v>0</v>
      </c>
      <c r="G425" s="357">
        <f t="shared" si="229"/>
        <v>0</v>
      </c>
      <c r="H425" s="357">
        <f t="shared" si="229"/>
        <v>0</v>
      </c>
      <c r="I425" s="357">
        <f t="shared" si="229"/>
        <v>0</v>
      </c>
      <c r="J425" s="357">
        <f t="shared" si="229"/>
        <v>0</v>
      </c>
      <c r="K425" s="357">
        <f t="shared" si="229"/>
        <v>0</v>
      </c>
      <c r="L425" s="357">
        <f t="shared" si="229"/>
        <v>0</v>
      </c>
      <c r="M425" s="357">
        <f t="shared" si="229"/>
        <v>0</v>
      </c>
      <c r="N425" s="357">
        <f t="shared" si="229"/>
        <v>0</v>
      </c>
      <c r="O425" s="357">
        <f t="shared" si="229"/>
        <v>0</v>
      </c>
      <c r="P425" s="357">
        <f t="shared" si="229"/>
        <v>0</v>
      </c>
      <c r="Q425" s="357">
        <f t="shared" si="229"/>
        <v>0</v>
      </c>
      <c r="R425" s="357">
        <f t="shared" si="229"/>
        <v>0</v>
      </c>
      <c r="S425" s="358">
        <f t="shared" si="229"/>
        <v>0</v>
      </c>
    </row>
    <row r="426" spans="1:19" ht="12.75" customHeight="1" x14ac:dyDescent="0.2">
      <c r="A426" s="1" t="str">
        <f>"Gen_Admin_Exp_1"</f>
        <v>Gen_Admin_Exp_1</v>
      </c>
    </row>
    <row r="427" spans="1:19" ht="12.75" customHeight="1" x14ac:dyDescent="0.2">
      <c r="B427" s="9" t="str">
        <f>'(FnCalls 1)'!F41</f>
        <v>MMM 2010</v>
      </c>
      <c r="C427" s="10" t="str">
        <f>'(FnCalls 1)'!F42</f>
        <v>MMM 2010</v>
      </c>
      <c r="D427" s="10" t="str">
        <f>'(FnCalls 1)'!F43</f>
        <v>MMM 2010</v>
      </c>
      <c r="E427" s="10" t="str">
        <f>'(FnCalls 1)'!F44</f>
        <v>MMM 2010</v>
      </c>
      <c r="F427" s="10" t="str">
        <f>'(FnCalls 1)'!F45</f>
        <v>MMM 2010</v>
      </c>
      <c r="G427" s="10" t="str">
        <f>'(FnCalls 1)'!F46</f>
        <v>MMM 2010</v>
      </c>
      <c r="H427" s="10" t="str">
        <f>'(FnCalls 1)'!F47</f>
        <v>MMM 2010</v>
      </c>
      <c r="I427" s="10" t="str">
        <f>'(FnCalls 1)'!F48</f>
        <v>MMM 2010</v>
      </c>
      <c r="J427" s="10" t="str">
        <f>'(FnCalls 1)'!F49</f>
        <v>MMM 2010</v>
      </c>
      <c r="K427" s="10" t="str">
        <f>'(FnCalls 1)'!F50</f>
        <v>MMM 2010</v>
      </c>
      <c r="L427" s="10" t="str">
        <f>'(FnCalls 1)'!F51</f>
        <v>MMM 2010</v>
      </c>
      <c r="M427" s="10" t="str">
        <f>'(FnCalls 1)'!F52</f>
        <v>MMM 2010</v>
      </c>
      <c r="N427" s="10" t="str">
        <f>'(FnCalls 1)'!F53</f>
        <v>MMM 2011</v>
      </c>
      <c r="O427" s="10" t="str">
        <f>'(FnCalls 1)'!F54</f>
        <v>MMM 2011</v>
      </c>
      <c r="P427" s="10" t="str">
        <f>'(FnCalls 1)'!F55</f>
        <v>MMM 2011</v>
      </c>
      <c r="Q427" s="10" t="str">
        <f>'(FnCalls 1)'!F56</f>
        <v>MMM 2011</v>
      </c>
      <c r="R427" s="10" t="str">
        <f>'(FnCalls 1)'!F57</f>
        <v>MMM 2011</v>
      </c>
      <c r="S427" s="11" t="str">
        <f>'(FnCalls 1)'!F58</f>
        <v>MMM 2011</v>
      </c>
    </row>
    <row r="428" spans="1:19" ht="12.75" customHeight="1" x14ac:dyDescent="0.2">
      <c r="A428" s="182" t="str">
        <f>Labels!B321</f>
        <v>Marketing</v>
      </c>
      <c r="B428" s="183"/>
      <c r="C428" s="183"/>
      <c r="D428" s="183"/>
      <c r="E428" s="183"/>
      <c r="F428" s="183"/>
      <c r="G428" s="183"/>
      <c r="H428" s="183"/>
      <c r="I428" s="183"/>
      <c r="J428" s="183"/>
      <c r="K428" s="183"/>
      <c r="L428" s="183"/>
      <c r="M428" s="183"/>
      <c r="N428" s="183"/>
      <c r="O428" s="183"/>
      <c r="P428" s="183"/>
      <c r="Q428" s="183"/>
      <c r="R428" s="183"/>
      <c r="S428" s="266"/>
    </row>
    <row r="429" spans="1:19" ht="12.75" customHeight="1" x14ac:dyDescent="0.2">
      <c r="A429" s="188" t="str">
        <f>"   "&amp;Labels!B353</f>
        <v xml:space="preserve">   GA Exp 1</v>
      </c>
      <c r="B429" s="196"/>
      <c r="C429" s="196"/>
      <c r="D429" s="196"/>
      <c r="E429" s="196"/>
      <c r="F429" s="196"/>
      <c r="G429" s="196"/>
      <c r="H429" s="196"/>
      <c r="I429" s="196"/>
      <c r="J429" s="196"/>
      <c r="K429" s="196"/>
      <c r="L429" s="196"/>
      <c r="M429" s="196"/>
      <c r="N429" s="196"/>
      <c r="O429" s="196"/>
      <c r="P429" s="196"/>
      <c r="Q429" s="196"/>
      <c r="R429" s="196"/>
      <c r="S429" s="267"/>
    </row>
    <row r="430" spans="1:19" ht="12.75" customHeight="1" x14ac:dyDescent="0.2">
      <c r="A430" s="198" t="str">
        <f>"      "&amp;Labels!B381</f>
        <v xml:space="preserve">      Practice 1</v>
      </c>
      <c r="B430" s="226"/>
      <c r="C430" s="226"/>
      <c r="D430" s="226"/>
      <c r="E430" s="226"/>
      <c r="F430" s="226"/>
      <c r="G430" s="226"/>
      <c r="H430" s="226"/>
      <c r="I430" s="226"/>
      <c r="J430" s="226"/>
      <c r="K430" s="226"/>
      <c r="L430" s="226"/>
      <c r="M430" s="226"/>
      <c r="N430" s="226"/>
      <c r="O430" s="226"/>
      <c r="P430" s="226"/>
      <c r="Q430" s="226"/>
      <c r="R430" s="226"/>
      <c r="S430" s="279"/>
    </row>
    <row r="431" spans="1:19" ht="12.75" customHeight="1" x14ac:dyDescent="0.2">
      <c r="A431" s="198" t="str">
        <f>"         "&amp;Labels!B385</f>
        <v xml:space="preserve">         Prof Level 1</v>
      </c>
      <c r="B431" s="226"/>
      <c r="C431" s="226"/>
      <c r="D431" s="226"/>
      <c r="E431" s="226"/>
      <c r="F431" s="226"/>
      <c r="G431" s="226"/>
      <c r="H431" s="226"/>
      <c r="I431" s="226"/>
      <c r="J431" s="226"/>
      <c r="K431" s="226"/>
      <c r="L431" s="226"/>
      <c r="M431" s="226"/>
      <c r="N431" s="226"/>
      <c r="O431" s="226"/>
      <c r="P431" s="226"/>
      <c r="Q431" s="226"/>
      <c r="R431" s="226"/>
      <c r="S431" s="279"/>
    </row>
    <row r="432" spans="1:19" ht="12.75" customHeight="1" x14ac:dyDescent="0.2">
      <c r="A432" s="198" t="str">
        <f>"            "&amp;Labels!B317</f>
        <v xml:space="preserve">            Channels 1</v>
      </c>
      <c r="B432" s="189">
        <f>(Sales!B109*12/1000)/2</f>
        <v>0</v>
      </c>
      <c r="C432" s="189">
        <f>(Sales!C109*12/1000)/2</f>
        <v>0</v>
      </c>
      <c r="D432" s="189">
        <f>(Sales!D109*12/1000)/2</f>
        <v>173.25</v>
      </c>
      <c r="E432" s="189">
        <f>(Sales!F109*12/1000)/2</f>
        <v>173.25</v>
      </c>
      <c r="F432" s="189">
        <f>(Sales!G109*12/1000)/2</f>
        <v>0</v>
      </c>
      <c r="G432" s="189">
        <f>(Sales!H109*12/1000)/2</f>
        <v>126</v>
      </c>
      <c r="H432" s="189">
        <f>(Sales!J109*12/1000)/2</f>
        <v>126</v>
      </c>
      <c r="I432" s="189">
        <f>(Sales!K109*12/1000)/2</f>
        <v>126</v>
      </c>
      <c r="J432" s="189">
        <f>(Sales!L109*12/1000)/2</f>
        <v>0</v>
      </c>
      <c r="K432" s="189">
        <f>(Sales!N109*12/1000)/2</f>
        <v>0</v>
      </c>
      <c r="L432" s="189">
        <f>(Sales!O109*12/1000)/2</f>
        <v>0</v>
      </c>
      <c r="M432" s="189">
        <f>(Sales!P109*12/1000)/2</f>
        <v>0</v>
      </c>
      <c r="N432" s="189">
        <f>(Sales!R109*12/1000)/2</f>
        <v>0</v>
      </c>
      <c r="O432" s="189">
        <f>(Sales!S109*12/1000)/2</f>
        <v>0</v>
      </c>
      <c r="P432" s="189">
        <f>(Sales!T109*12/1000)/2</f>
        <v>0</v>
      </c>
      <c r="Q432" s="189">
        <f>(Sales!V109*12/1000)/2</f>
        <v>0</v>
      </c>
      <c r="R432" s="189">
        <f>(Sales!W109*12/1000)/2</f>
        <v>0</v>
      </c>
      <c r="S432" s="294">
        <f>(Sales!X109*12/1000)/2</f>
        <v>0</v>
      </c>
    </row>
    <row r="433" spans="1:19" ht="12.75" customHeight="1" x14ac:dyDescent="0.2">
      <c r="A433" s="198" t="str">
        <f>"            "&amp;Labels!B318</f>
        <v xml:space="preserve">            Channels 2</v>
      </c>
      <c r="B433" s="189">
        <f>(Sales!B110*12/1000)/2</f>
        <v>0</v>
      </c>
      <c r="C433" s="189">
        <f>(Sales!C110*12/1000)/2</f>
        <v>0</v>
      </c>
      <c r="D433" s="189">
        <f>(Sales!D110*12/1000)/2</f>
        <v>165</v>
      </c>
      <c r="E433" s="189">
        <f>(Sales!F110*12/1000)/2</f>
        <v>165</v>
      </c>
      <c r="F433" s="189">
        <f>(Sales!G110*12/1000)/2</f>
        <v>0</v>
      </c>
      <c r="G433" s="189">
        <f>(Sales!H110*12/1000)/2</f>
        <v>120</v>
      </c>
      <c r="H433" s="189">
        <f>(Sales!J110*12/1000)/2</f>
        <v>120</v>
      </c>
      <c r="I433" s="189">
        <f>(Sales!K110*12/1000)/2</f>
        <v>120</v>
      </c>
      <c r="J433" s="189">
        <f>(Sales!L110*12/1000)/2</f>
        <v>0</v>
      </c>
      <c r="K433" s="189">
        <f>(Sales!N110*12/1000)/2</f>
        <v>0</v>
      </c>
      <c r="L433" s="189">
        <f>(Sales!O110*12/1000)/2</f>
        <v>0</v>
      </c>
      <c r="M433" s="189">
        <f>(Sales!P110*12/1000)/2</f>
        <v>0</v>
      </c>
      <c r="N433" s="189">
        <f>(Sales!R110*12/1000)/2</f>
        <v>0</v>
      </c>
      <c r="O433" s="189">
        <f>(Sales!S110*12/1000)/2</f>
        <v>0</v>
      </c>
      <c r="P433" s="189">
        <f>(Sales!T110*12/1000)/2</f>
        <v>0</v>
      </c>
      <c r="Q433" s="189">
        <f>(Sales!V110*12/1000)/2</f>
        <v>0</v>
      </c>
      <c r="R433" s="189">
        <f>(Sales!W110*12/1000)/2</f>
        <v>0</v>
      </c>
      <c r="S433" s="294">
        <f>(Sales!X110*12/1000)/2</f>
        <v>0</v>
      </c>
    </row>
    <row r="434" spans="1:19" ht="12.75" customHeight="1" x14ac:dyDescent="0.2">
      <c r="A434" s="198" t="str">
        <f>"            "&amp;Labels!C316</f>
        <v xml:space="preserve">            Total</v>
      </c>
      <c r="B434" s="226">
        <f t="shared" ref="B434:S434" si="230">SUM(B432:B433)</f>
        <v>0</v>
      </c>
      <c r="C434" s="226">
        <f t="shared" si="230"/>
        <v>0</v>
      </c>
      <c r="D434" s="226">
        <f t="shared" si="230"/>
        <v>338.25</v>
      </c>
      <c r="E434" s="226">
        <f t="shared" si="230"/>
        <v>338.25</v>
      </c>
      <c r="F434" s="226">
        <f t="shared" si="230"/>
        <v>0</v>
      </c>
      <c r="G434" s="226">
        <f t="shared" si="230"/>
        <v>246</v>
      </c>
      <c r="H434" s="226">
        <f t="shared" si="230"/>
        <v>246</v>
      </c>
      <c r="I434" s="226">
        <f t="shared" si="230"/>
        <v>246</v>
      </c>
      <c r="J434" s="226">
        <f t="shared" si="230"/>
        <v>0</v>
      </c>
      <c r="K434" s="226">
        <f t="shared" si="230"/>
        <v>0</v>
      </c>
      <c r="L434" s="226">
        <f t="shared" si="230"/>
        <v>0</v>
      </c>
      <c r="M434" s="226">
        <f t="shared" si="230"/>
        <v>0</v>
      </c>
      <c r="N434" s="226">
        <f t="shared" si="230"/>
        <v>0</v>
      </c>
      <c r="O434" s="226">
        <f t="shared" si="230"/>
        <v>0</v>
      </c>
      <c r="P434" s="226">
        <f t="shared" si="230"/>
        <v>0</v>
      </c>
      <c r="Q434" s="226">
        <f t="shared" si="230"/>
        <v>0</v>
      </c>
      <c r="R434" s="226">
        <f t="shared" si="230"/>
        <v>0</v>
      </c>
      <c r="S434" s="279">
        <f t="shared" si="230"/>
        <v>0</v>
      </c>
    </row>
    <row r="435" spans="1:19" ht="12.75" customHeight="1" x14ac:dyDescent="0.2">
      <c r="A435" s="198" t="str">
        <f>"         "&amp;Labels!B386</f>
        <v xml:space="preserve">         Prof Level 2</v>
      </c>
      <c r="B435" s="226"/>
      <c r="C435" s="226"/>
      <c r="D435" s="226"/>
      <c r="E435" s="226"/>
      <c r="F435" s="226"/>
      <c r="G435" s="226"/>
      <c r="H435" s="226"/>
      <c r="I435" s="226"/>
      <c r="J435" s="226"/>
      <c r="K435" s="226"/>
      <c r="L435" s="226"/>
      <c r="M435" s="226"/>
      <c r="N435" s="226"/>
      <c r="O435" s="226"/>
      <c r="P435" s="226"/>
      <c r="Q435" s="226"/>
      <c r="R435" s="226"/>
      <c r="S435" s="279"/>
    </row>
    <row r="436" spans="1:19" ht="12.75" customHeight="1" x14ac:dyDescent="0.2">
      <c r="A436" s="198" t="str">
        <f>"            "&amp;Labels!B317</f>
        <v xml:space="preserve">            Channels 1</v>
      </c>
      <c r="B436" s="189">
        <f>(Sales!B113*12/1000)/2</f>
        <v>0</v>
      </c>
      <c r="C436" s="189">
        <f>(Sales!C113*12/1000)/2</f>
        <v>0</v>
      </c>
      <c r="D436" s="189">
        <f>(Sales!D113*12/1000)/2</f>
        <v>173.25</v>
      </c>
      <c r="E436" s="189">
        <f>(Sales!F113*12/1000)/2</f>
        <v>173.25</v>
      </c>
      <c r="F436" s="189">
        <f>(Sales!G113*12/1000)/2</f>
        <v>0</v>
      </c>
      <c r="G436" s="189">
        <f>(Sales!H113*12/1000)/2</f>
        <v>126</v>
      </c>
      <c r="H436" s="189">
        <f>(Sales!J113*12/1000)/2</f>
        <v>126</v>
      </c>
      <c r="I436" s="189">
        <f>(Sales!K113*12/1000)/2</f>
        <v>126</v>
      </c>
      <c r="J436" s="189">
        <f>(Sales!L113*12/1000)/2</f>
        <v>0</v>
      </c>
      <c r="K436" s="189">
        <f>(Sales!N113*12/1000)/2</f>
        <v>0</v>
      </c>
      <c r="L436" s="189">
        <f>(Sales!O113*12/1000)/2</f>
        <v>0</v>
      </c>
      <c r="M436" s="189">
        <f>(Sales!P113*12/1000)/2</f>
        <v>0</v>
      </c>
      <c r="N436" s="189">
        <f>(Sales!R113*12/1000)/2</f>
        <v>0</v>
      </c>
      <c r="O436" s="189">
        <f>(Sales!S113*12/1000)/2</f>
        <v>0</v>
      </c>
      <c r="P436" s="189">
        <f>(Sales!T113*12/1000)/2</f>
        <v>0</v>
      </c>
      <c r="Q436" s="189">
        <f>(Sales!V113*12/1000)/2</f>
        <v>0</v>
      </c>
      <c r="R436" s="189">
        <f>(Sales!W113*12/1000)/2</f>
        <v>0</v>
      </c>
      <c r="S436" s="294">
        <f>(Sales!X113*12/1000)/2</f>
        <v>0</v>
      </c>
    </row>
    <row r="437" spans="1:19" ht="12.75" customHeight="1" x14ac:dyDescent="0.2">
      <c r="A437" s="198" t="str">
        <f>"            "&amp;Labels!B318</f>
        <v xml:space="preserve">            Channels 2</v>
      </c>
      <c r="B437" s="189">
        <f>(Sales!B114*12/1000)/2</f>
        <v>0</v>
      </c>
      <c r="C437" s="189">
        <f>(Sales!C114*12/1000)/2</f>
        <v>0</v>
      </c>
      <c r="D437" s="189">
        <f>(Sales!D114*12/1000)/2</f>
        <v>165</v>
      </c>
      <c r="E437" s="189">
        <f>(Sales!F114*12/1000)/2</f>
        <v>165</v>
      </c>
      <c r="F437" s="189">
        <f>(Sales!G114*12/1000)/2</f>
        <v>0</v>
      </c>
      <c r="G437" s="189">
        <f>(Sales!H114*12/1000)/2</f>
        <v>120</v>
      </c>
      <c r="H437" s="189">
        <f>(Sales!J114*12/1000)/2</f>
        <v>120</v>
      </c>
      <c r="I437" s="189">
        <f>(Sales!K114*12/1000)/2</f>
        <v>120</v>
      </c>
      <c r="J437" s="189">
        <f>(Sales!L114*12/1000)/2</f>
        <v>0</v>
      </c>
      <c r="K437" s="189">
        <f>(Sales!N114*12/1000)/2</f>
        <v>0</v>
      </c>
      <c r="L437" s="189">
        <f>(Sales!O114*12/1000)/2</f>
        <v>0</v>
      </c>
      <c r="M437" s="189">
        <f>(Sales!P114*12/1000)/2</f>
        <v>0</v>
      </c>
      <c r="N437" s="189">
        <f>(Sales!R114*12/1000)/2</f>
        <v>0</v>
      </c>
      <c r="O437" s="189">
        <f>(Sales!S114*12/1000)/2</f>
        <v>0</v>
      </c>
      <c r="P437" s="189">
        <f>(Sales!T114*12/1000)/2</f>
        <v>0</v>
      </c>
      <c r="Q437" s="189">
        <f>(Sales!V114*12/1000)/2</f>
        <v>0</v>
      </c>
      <c r="R437" s="189">
        <f>(Sales!W114*12/1000)/2</f>
        <v>0</v>
      </c>
      <c r="S437" s="294">
        <f>(Sales!X114*12/1000)/2</f>
        <v>0</v>
      </c>
    </row>
    <row r="438" spans="1:19" ht="12.75" customHeight="1" x14ac:dyDescent="0.2">
      <c r="A438" s="198" t="str">
        <f>"            "&amp;Labels!C316</f>
        <v xml:space="preserve">            Total</v>
      </c>
      <c r="B438" s="226">
        <f t="shared" ref="B438:S438" si="231">SUM(B436:B437)</f>
        <v>0</v>
      </c>
      <c r="C438" s="226">
        <f t="shared" si="231"/>
        <v>0</v>
      </c>
      <c r="D438" s="226">
        <f t="shared" si="231"/>
        <v>338.25</v>
      </c>
      <c r="E438" s="226">
        <f t="shared" si="231"/>
        <v>338.25</v>
      </c>
      <c r="F438" s="226">
        <f t="shared" si="231"/>
        <v>0</v>
      </c>
      <c r="G438" s="226">
        <f t="shared" si="231"/>
        <v>246</v>
      </c>
      <c r="H438" s="226">
        <f t="shared" si="231"/>
        <v>246</v>
      </c>
      <c r="I438" s="226">
        <f t="shared" si="231"/>
        <v>246</v>
      </c>
      <c r="J438" s="226">
        <f t="shared" si="231"/>
        <v>0</v>
      </c>
      <c r="K438" s="226">
        <f t="shared" si="231"/>
        <v>0</v>
      </c>
      <c r="L438" s="226">
        <f t="shared" si="231"/>
        <v>0</v>
      </c>
      <c r="M438" s="226">
        <f t="shared" si="231"/>
        <v>0</v>
      </c>
      <c r="N438" s="226">
        <f t="shared" si="231"/>
        <v>0</v>
      </c>
      <c r="O438" s="226">
        <f t="shared" si="231"/>
        <v>0</v>
      </c>
      <c r="P438" s="226">
        <f t="shared" si="231"/>
        <v>0</v>
      </c>
      <c r="Q438" s="226">
        <f t="shared" si="231"/>
        <v>0</v>
      </c>
      <c r="R438" s="226">
        <f t="shared" si="231"/>
        <v>0</v>
      </c>
      <c r="S438" s="279">
        <f t="shared" si="231"/>
        <v>0</v>
      </c>
    </row>
    <row r="439" spans="1:19" ht="12.75" customHeight="1" x14ac:dyDescent="0.2">
      <c r="A439" s="198" t="str">
        <f>"         "&amp;Labels!C384</f>
        <v xml:space="preserve">         Total</v>
      </c>
      <c r="B439" s="226">
        <f t="shared" ref="B439:S439" si="232">SUM(B434,B438)</f>
        <v>0</v>
      </c>
      <c r="C439" s="226">
        <f t="shared" si="232"/>
        <v>0</v>
      </c>
      <c r="D439" s="226">
        <f t="shared" si="232"/>
        <v>676.5</v>
      </c>
      <c r="E439" s="226">
        <f t="shared" si="232"/>
        <v>676.5</v>
      </c>
      <c r="F439" s="226">
        <f t="shared" si="232"/>
        <v>0</v>
      </c>
      <c r="G439" s="226">
        <f t="shared" si="232"/>
        <v>492</v>
      </c>
      <c r="H439" s="226">
        <f t="shared" si="232"/>
        <v>492</v>
      </c>
      <c r="I439" s="226">
        <f t="shared" si="232"/>
        <v>492</v>
      </c>
      <c r="J439" s="226">
        <f t="shared" si="232"/>
        <v>0</v>
      </c>
      <c r="K439" s="226">
        <f t="shared" si="232"/>
        <v>0</v>
      </c>
      <c r="L439" s="226">
        <f t="shared" si="232"/>
        <v>0</v>
      </c>
      <c r="M439" s="226">
        <f t="shared" si="232"/>
        <v>0</v>
      </c>
      <c r="N439" s="226">
        <f t="shared" si="232"/>
        <v>0</v>
      </c>
      <c r="O439" s="226">
        <f t="shared" si="232"/>
        <v>0</v>
      </c>
      <c r="P439" s="226">
        <f t="shared" si="232"/>
        <v>0</v>
      </c>
      <c r="Q439" s="226">
        <f t="shared" si="232"/>
        <v>0</v>
      </c>
      <c r="R439" s="226">
        <f t="shared" si="232"/>
        <v>0</v>
      </c>
      <c r="S439" s="279">
        <f t="shared" si="232"/>
        <v>0</v>
      </c>
    </row>
    <row r="440" spans="1:19" ht="12.75" customHeight="1" x14ac:dyDescent="0.2">
      <c r="A440" s="198" t="str">
        <f>"            "&amp;Labels!B317</f>
        <v xml:space="preserve">            Channels 1</v>
      </c>
      <c r="B440" s="189">
        <f t="shared" ref="B440:S440" si="233">SUM(B432,B436)</f>
        <v>0</v>
      </c>
      <c r="C440" s="189">
        <f t="shared" si="233"/>
        <v>0</v>
      </c>
      <c r="D440" s="189">
        <f t="shared" si="233"/>
        <v>346.5</v>
      </c>
      <c r="E440" s="189">
        <f t="shared" si="233"/>
        <v>346.5</v>
      </c>
      <c r="F440" s="189">
        <f t="shared" si="233"/>
        <v>0</v>
      </c>
      <c r="G440" s="189">
        <f t="shared" si="233"/>
        <v>252</v>
      </c>
      <c r="H440" s="189">
        <f t="shared" si="233"/>
        <v>252</v>
      </c>
      <c r="I440" s="189">
        <f t="shared" si="233"/>
        <v>252</v>
      </c>
      <c r="J440" s="189">
        <f t="shared" si="233"/>
        <v>0</v>
      </c>
      <c r="K440" s="189">
        <f t="shared" si="233"/>
        <v>0</v>
      </c>
      <c r="L440" s="189">
        <f t="shared" si="233"/>
        <v>0</v>
      </c>
      <c r="M440" s="189">
        <f t="shared" si="233"/>
        <v>0</v>
      </c>
      <c r="N440" s="189">
        <f t="shared" si="233"/>
        <v>0</v>
      </c>
      <c r="O440" s="189">
        <f t="shared" si="233"/>
        <v>0</v>
      </c>
      <c r="P440" s="189">
        <f t="shared" si="233"/>
        <v>0</v>
      </c>
      <c r="Q440" s="189">
        <f t="shared" si="233"/>
        <v>0</v>
      </c>
      <c r="R440" s="189">
        <f t="shared" si="233"/>
        <v>0</v>
      </c>
      <c r="S440" s="294">
        <f t="shared" si="233"/>
        <v>0</v>
      </c>
    </row>
    <row r="441" spans="1:19" ht="12.75" customHeight="1" x14ac:dyDescent="0.2">
      <c r="A441" s="198" t="str">
        <f>"            "&amp;Labels!B318</f>
        <v xml:space="preserve">            Channels 2</v>
      </c>
      <c r="B441" s="189">
        <f t="shared" ref="B441:S441" si="234">SUM(B433,B437)</f>
        <v>0</v>
      </c>
      <c r="C441" s="189">
        <f t="shared" si="234"/>
        <v>0</v>
      </c>
      <c r="D441" s="189">
        <f t="shared" si="234"/>
        <v>330</v>
      </c>
      <c r="E441" s="189">
        <f t="shared" si="234"/>
        <v>330</v>
      </c>
      <c r="F441" s="189">
        <f t="shared" si="234"/>
        <v>0</v>
      </c>
      <c r="G441" s="189">
        <f t="shared" si="234"/>
        <v>240</v>
      </c>
      <c r="H441" s="189">
        <f t="shared" si="234"/>
        <v>240</v>
      </c>
      <c r="I441" s="189">
        <f t="shared" si="234"/>
        <v>240</v>
      </c>
      <c r="J441" s="189">
        <f t="shared" si="234"/>
        <v>0</v>
      </c>
      <c r="K441" s="189">
        <f t="shared" si="234"/>
        <v>0</v>
      </c>
      <c r="L441" s="189">
        <f t="shared" si="234"/>
        <v>0</v>
      </c>
      <c r="M441" s="189">
        <f t="shared" si="234"/>
        <v>0</v>
      </c>
      <c r="N441" s="189">
        <f t="shared" si="234"/>
        <v>0</v>
      </c>
      <c r="O441" s="189">
        <f t="shared" si="234"/>
        <v>0</v>
      </c>
      <c r="P441" s="189">
        <f t="shared" si="234"/>
        <v>0</v>
      </c>
      <c r="Q441" s="189">
        <f t="shared" si="234"/>
        <v>0</v>
      </c>
      <c r="R441" s="189">
        <f t="shared" si="234"/>
        <v>0</v>
      </c>
      <c r="S441" s="294">
        <f t="shared" si="234"/>
        <v>0</v>
      </c>
    </row>
    <row r="442" spans="1:19" ht="12.75" customHeight="1" x14ac:dyDescent="0.2">
      <c r="A442" s="198" t="str">
        <f>"            "&amp;Labels!C316</f>
        <v xml:space="preserve">            Total</v>
      </c>
      <c r="B442" s="226">
        <f t="shared" ref="B442:S442" si="235">SUM(B434,B438)</f>
        <v>0</v>
      </c>
      <c r="C442" s="226">
        <f t="shared" si="235"/>
        <v>0</v>
      </c>
      <c r="D442" s="226">
        <f t="shared" si="235"/>
        <v>676.5</v>
      </c>
      <c r="E442" s="226">
        <f t="shared" si="235"/>
        <v>676.5</v>
      </c>
      <c r="F442" s="226">
        <f t="shared" si="235"/>
        <v>0</v>
      </c>
      <c r="G442" s="226">
        <f t="shared" si="235"/>
        <v>492</v>
      </c>
      <c r="H442" s="226">
        <f t="shared" si="235"/>
        <v>492</v>
      </c>
      <c r="I442" s="226">
        <f t="shared" si="235"/>
        <v>492</v>
      </c>
      <c r="J442" s="226">
        <f t="shared" si="235"/>
        <v>0</v>
      </c>
      <c r="K442" s="226">
        <f t="shared" si="235"/>
        <v>0</v>
      </c>
      <c r="L442" s="226">
        <f t="shared" si="235"/>
        <v>0</v>
      </c>
      <c r="M442" s="226">
        <f t="shared" si="235"/>
        <v>0</v>
      </c>
      <c r="N442" s="226">
        <f t="shared" si="235"/>
        <v>0</v>
      </c>
      <c r="O442" s="226">
        <f t="shared" si="235"/>
        <v>0</v>
      </c>
      <c r="P442" s="226">
        <f t="shared" si="235"/>
        <v>0</v>
      </c>
      <c r="Q442" s="226">
        <f t="shared" si="235"/>
        <v>0</v>
      </c>
      <c r="R442" s="226">
        <f t="shared" si="235"/>
        <v>0</v>
      </c>
      <c r="S442" s="279">
        <f t="shared" si="235"/>
        <v>0</v>
      </c>
    </row>
    <row r="443" spans="1:19" ht="12.75" customHeight="1" x14ac:dyDescent="0.2">
      <c r="A443" s="198" t="str">
        <f>"      "&amp;Labels!B382</f>
        <v xml:space="preserve">      Practice 2</v>
      </c>
      <c r="B443" s="226"/>
      <c r="C443" s="226"/>
      <c r="D443" s="226"/>
      <c r="E443" s="226"/>
      <c r="F443" s="226"/>
      <c r="G443" s="226"/>
      <c r="H443" s="226"/>
      <c r="I443" s="226"/>
      <c r="J443" s="226"/>
      <c r="K443" s="226"/>
      <c r="L443" s="226"/>
      <c r="M443" s="226"/>
      <c r="N443" s="226"/>
      <c r="O443" s="226"/>
      <c r="P443" s="226"/>
      <c r="Q443" s="226"/>
      <c r="R443" s="226"/>
      <c r="S443" s="279"/>
    </row>
    <row r="444" spans="1:19" ht="12.75" customHeight="1" x14ac:dyDescent="0.2">
      <c r="A444" s="198" t="str">
        <f>"         "&amp;Labels!B385</f>
        <v xml:space="preserve">         Prof Level 1</v>
      </c>
      <c r="B444" s="226"/>
      <c r="C444" s="226"/>
      <c r="D444" s="226"/>
      <c r="E444" s="226"/>
      <c r="F444" s="226"/>
      <c r="G444" s="226"/>
      <c r="H444" s="226"/>
      <c r="I444" s="226"/>
      <c r="J444" s="226"/>
      <c r="K444" s="226"/>
      <c r="L444" s="226"/>
      <c r="M444" s="226"/>
      <c r="N444" s="226"/>
      <c r="O444" s="226"/>
      <c r="P444" s="226"/>
      <c r="Q444" s="226"/>
      <c r="R444" s="226"/>
      <c r="S444" s="279"/>
    </row>
    <row r="445" spans="1:19" ht="12.75" customHeight="1" x14ac:dyDescent="0.2">
      <c r="A445" s="198" t="str">
        <f>"            "&amp;Labels!B317</f>
        <v xml:space="preserve">            Channels 1</v>
      </c>
      <c r="B445" s="189">
        <f>(Sales!B122*12/1000)/2</f>
        <v>0</v>
      </c>
      <c r="C445" s="189">
        <f>(Sales!C122*12/1000)/2</f>
        <v>0</v>
      </c>
      <c r="D445" s="189">
        <f>(Sales!D122*12/1000)/2</f>
        <v>0</v>
      </c>
      <c r="E445" s="189">
        <f>(Sales!F122*12/1000)/2</f>
        <v>0</v>
      </c>
      <c r="F445" s="189">
        <f>(Sales!G122*12/1000)/2</f>
        <v>0</v>
      </c>
      <c r="G445" s="189">
        <f>(Sales!H122*12/1000)/2</f>
        <v>0</v>
      </c>
      <c r="H445" s="189">
        <f>(Sales!J122*12/1000)/2</f>
        <v>0</v>
      </c>
      <c r="I445" s="189">
        <f>(Sales!K122*12/1000)/2</f>
        <v>0</v>
      </c>
      <c r="J445" s="189">
        <f>(Sales!L122*12/1000)/2</f>
        <v>0</v>
      </c>
      <c r="K445" s="189">
        <f>(Sales!N122*12/1000)/2</f>
        <v>0</v>
      </c>
      <c r="L445" s="189">
        <f>(Sales!O122*12/1000)/2</f>
        <v>0</v>
      </c>
      <c r="M445" s="189">
        <f>(Sales!P122*12/1000)/2</f>
        <v>0</v>
      </c>
      <c r="N445" s="189">
        <f>(Sales!R122*12/1000)/2</f>
        <v>0</v>
      </c>
      <c r="O445" s="189">
        <f>(Sales!S122*12/1000)/2</f>
        <v>0</v>
      </c>
      <c r="P445" s="189">
        <f>(Sales!T122*12/1000)/2</f>
        <v>0</v>
      </c>
      <c r="Q445" s="189">
        <f>(Sales!V122*12/1000)/2</f>
        <v>0</v>
      </c>
      <c r="R445" s="189">
        <f>(Sales!W122*12/1000)/2</f>
        <v>0</v>
      </c>
      <c r="S445" s="294">
        <f>(Sales!X122*12/1000)/2</f>
        <v>0</v>
      </c>
    </row>
    <row r="446" spans="1:19" ht="12.75" customHeight="1" x14ac:dyDescent="0.2">
      <c r="A446" s="198" t="str">
        <f>"            "&amp;Labels!B318</f>
        <v xml:space="preserve">            Channels 2</v>
      </c>
      <c r="B446" s="189">
        <f>(Sales!B123*12/1000)/2</f>
        <v>0</v>
      </c>
      <c r="C446" s="189">
        <f>(Sales!C123*12/1000)/2</f>
        <v>0</v>
      </c>
      <c r="D446" s="189">
        <f>(Sales!D123*12/1000)/2</f>
        <v>0</v>
      </c>
      <c r="E446" s="189">
        <f>(Sales!F123*12/1000)/2</f>
        <v>0</v>
      </c>
      <c r="F446" s="189">
        <f>(Sales!G123*12/1000)/2</f>
        <v>0</v>
      </c>
      <c r="G446" s="189">
        <f>(Sales!H123*12/1000)/2</f>
        <v>0</v>
      </c>
      <c r="H446" s="189">
        <f>(Sales!J123*12/1000)/2</f>
        <v>0</v>
      </c>
      <c r="I446" s="189">
        <f>(Sales!K123*12/1000)/2</f>
        <v>0</v>
      </c>
      <c r="J446" s="189">
        <f>(Sales!L123*12/1000)/2</f>
        <v>0</v>
      </c>
      <c r="K446" s="189">
        <f>(Sales!N123*12/1000)/2</f>
        <v>0</v>
      </c>
      <c r="L446" s="189">
        <f>(Sales!O123*12/1000)/2</f>
        <v>0</v>
      </c>
      <c r="M446" s="189">
        <f>(Sales!P123*12/1000)/2</f>
        <v>0</v>
      </c>
      <c r="N446" s="189">
        <f>(Sales!R123*12/1000)/2</f>
        <v>0</v>
      </c>
      <c r="O446" s="189">
        <f>(Sales!S123*12/1000)/2</f>
        <v>0</v>
      </c>
      <c r="P446" s="189">
        <f>(Sales!T123*12/1000)/2</f>
        <v>0</v>
      </c>
      <c r="Q446" s="189">
        <f>(Sales!V123*12/1000)/2</f>
        <v>0</v>
      </c>
      <c r="R446" s="189">
        <f>(Sales!W123*12/1000)/2</f>
        <v>0</v>
      </c>
      <c r="S446" s="294">
        <f>(Sales!X123*12/1000)/2</f>
        <v>0</v>
      </c>
    </row>
    <row r="447" spans="1:19" ht="12.75" customHeight="1" x14ac:dyDescent="0.2">
      <c r="A447" s="198" t="str">
        <f>"            "&amp;Labels!C316</f>
        <v xml:space="preserve">            Total</v>
      </c>
      <c r="B447" s="226">
        <f t="shared" ref="B447:S447" si="236">SUM(B445:B446)</f>
        <v>0</v>
      </c>
      <c r="C447" s="226">
        <f t="shared" si="236"/>
        <v>0</v>
      </c>
      <c r="D447" s="226">
        <f t="shared" si="236"/>
        <v>0</v>
      </c>
      <c r="E447" s="226">
        <f t="shared" si="236"/>
        <v>0</v>
      </c>
      <c r="F447" s="226">
        <f t="shared" si="236"/>
        <v>0</v>
      </c>
      <c r="G447" s="226">
        <f t="shared" si="236"/>
        <v>0</v>
      </c>
      <c r="H447" s="226">
        <f t="shared" si="236"/>
        <v>0</v>
      </c>
      <c r="I447" s="226">
        <f t="shared" si="236"/>
        <v>0</v>
      </c>
      <c r="J447" s="226">
        <f t="shared" si="236"/>
        <v>0</v>
      </c>
      <c r="K447" s="226">
        <f t="shared" si="236"/>
        <v>0</v>
      </c>
      <c r="L447" s="226">
        <f t="shared" si="236"/>
        <v>0</v>
      </c>
      <c r="M447" s="226">
        <f t="shared" si="236"/>
        <v>0</v>
      </c>
      <c r="N447" s="226">
        <f t="shared" si="236"/>
        <v>0</v>
      </c>
      <c r="O447" s="226">
        <f t="shared" si="236"/>
        <v>0</v>
      </c>
      <c r="P447" s="226">
        <f t="shared" si="236"/>
        <v>0</v>
      </c>
      <c r="Q447" s="226">
        <f t="shared" si="236"/>
        <v>0</v>
      </c>
      <c r="R447" s="226">
        <f t="shared" si="236"/>
        <v>0</v>
      </c>
      <c r="S447" s="279">
        <f t="shared" si="236"/>
        <v>0</v>
      </c>
    </row>
    <row r="448" spans="1:19" ht="12.75" customHeight="1" x14ac:dyDescent="0.2">
      <c r="A448" s="198" t="str">
        <f>"         "&amp;Labels!B386</f>
        <v xml:space="preserve">         Prof Level 2</v>
      </c>
      <c r="B448" s="226"/>
      <c r="C448" s="226"/>
      <c r="D448" s="226"/>
      <c r="E448" s="226"/>
      <c r="F448" s="226"/>
      <c r="G448" s="226"/>
      <c r="H448" s="226"/>
      <c r="I448" s="226"/>
      <c r="J448" s="226"/>
      <c r="K448" s="226"/>
      <c r="L448" s="226"/>
      <c r="M448" s="226"/>
      <c r="N448" s="226"/>
      <c r="O448" s="226"/>
      <c r="P448" s="226"/>
      <c r="Q448" s="226"/>
      <c r="R448" s="226"/>
      <c r="S448" s="279"/>
    </row>
    <row r="449" spans="1:19" ht="12.75" customHeight="1" x14ac:dyDescent="0.2">
      <c r="A449" s="198" t="str">
        <f>"            "&amp;Labels!B317</f>
        <v xml:space="preserve">            Channels 1</v>
      </c>
      <c r="B449" s="189">
        <f>(Sales!B126*12/1000)/2</f>
        <v>0</v>
      </c>
      <c r="C449" s="189">
        <f>(Sales!C126*12/1000)/2</f>
        <v>0</v>
      </c>
      <c r="D449" s="189">
        <f>(Sales!D126*12/1000)/2</f>
        <v>0</v>
      </c>
      <c r="E449" s="189">
        <f>(Sales!F126*12/1000)/2</f>
        <v>0</v>
      </c>
      <c r="F449" s="189">
        <f>(Sales!G126*12/1000)/2</f>
        <v>0</v>
      </c>
      <c r="G449" s="189">
        <f>(Sales!H126*12/1000)/2</f>
        <v>0</v>
      </c>
      <c r="H449" s="189">
        <f>(Sales!J126*12/1000)/2</f>
        <v>0</v>
      </c>
      <c r="I449" s="189">
        <f>(Sales!K126*12/1000)/2</f>
        <v>0</v>
      </c>
      <c r="J449" s="189">
        <f>(Sales!L126*12/1000)/2</f>
        <v>0</v>
      </c>
      <c r="K449" s="189">
        <f>(Sales!N126*12/1000)/2</f>
        <v>0</v>
      </c>
      <c r="L449" s="189">
        <f>(Sales!O126*12/1000)/2</f>
        <v>0</v>
      </c>
      <c r="M449" s="189">
        <f>(Sales!P126*12/1000)/2</f>
        <v>0</v>
      </c>
      <c r="N449" s="189">
        <f>(Sales!R126*12/1000)/2</f>
        <v>0</v>
      </c>
      <c r="O449" s="189">
        <f>(Sales!S126*12/1000)/2</f>
        <v>0</v>
      </c>
      <c r="P449" s="189">
        <f>(Sales!T126*12/1000)/2</f>
        <v>0</v>
      </c>
      <c r="Q449" s="189">
        <f>(Sales!V126*12/1000)/2</f>
        <v>0</v>
      </c>
      <c r="R449" s="189">
        <f>(Sales!W126*12/1000)/2</f>
        <v>0</v>
      </c>
      <c r="S449" s="294">
        <f>(Sales!X126*12/1000)/2</f>
        <v>0</v>
      </c>
    </row>
    <row r="450" spans="1:19" ht="12.75" customHeight="1" x14ac:dyDescent="0.2">
      <c r="A450" s="198" t="str">
        <f>"            "&amp;Labels!B318</f>
        <v xml:space="preserve">            Channels 2</v>
      </c>
      <c r="B450" s="189">
        <f>(Sales!B127*12/1000)/2</f>
        <v>0</v>
      </c>
      <c r="C450" s="189">
        <f>(Sales!C127*12/1000)/2</f>
        <v>0</v>
      </c>
      <c r="D450" s="189">
        <f>(Sales!D127*12/1000)/2</f>
        <v>0</v>
      </c>
      <c r="E450" s="189">
        <f>(Sales!F127*12/1000)/2</f>
        <v>0</v>
      </c>
      <c r="F450" s="189">
        <f>(Sales!G127*12/1000)/2</f>
        <v>0</v>
      </c>
      <c r="G450" s="189">
        <f>(Sales!H127*12/1000)/2</f>
        <v>0</v>
      </c>
      <c r="H450" s="189">
        <f>(Sales!J127*12/1000)/2</f>
        <v>0</v>
      </c>
      <c r="I450" s="189">
        <f>(Sales!K127*12/1000)/2</f>
        <v>0</v>
      </c>
      <c r="J450" s="189">
        <f>(Sales!L127*12/1000)/2</f>
        <v>0</v>
      </c>
      <c r="K450" s="189">
        <f>(Sales!N127*12/1000)/2</f>
        <v>0</v>
      </c>
      <c r="L450" s="189">
        <f>(Sales!O127*12/1000)/2</f>
        <v>0</v>
      </c>
      <c r="M450" s="189">
        <f>(Sales!P127*12/1000)/2</f>
        <v>0</v>
      </c>
      <c r="N450" s="189">
        <f>(Sales!R127*12/1000)/2</f>
        <v>0</v>
      </c>
      <c r="O450" s="189">
        <f>(Sales!S127*12/1000)/2</f>
        <v>0</v>
      </c>
      <c r="P450" s="189">
        <f>(Sales!T127*12/1000)/2</f>
        <v>0</v>
      </c>
      <c r="Q450" s="189">
        <f>(Sales!V127*12/1000)/2</f>
        <v>0</v>
      </c>
      <c r="R450" s="189">
        <f>(Sales!W127*12/1000)/2</f>
        <v>0</v>
      </c>
      <c r="S450" s="294">
        <f>(Sales!X127*12/1000)/2</f>
        <v>0</v>
      </c>
    </row>
    <row r="451" spans="1:19" ht="12.75" customHeight="1" x14ac:dyDescent="0.2">
      <c r="A451" s="198" t="str">
        <f>"            "&amp;Labels!C316</f>
        <v xml:space="preserve">            Total</v>
      </c>
      <c r="B451" s="226">
        <f t="shared" ref="B451:S451" si="237">SUM(B449:B450)</f>
        <v>0</v>
      </c>
      <c r="C451" s="226">
        <f t="shared" si="237"/>
        <v>0</v>
      </c>
      <c r="D451" s="226">
        <f t="shared" si="237"/>
        <v>0</v>
      </c>
      <c r="E451" s="226">
        <f t="shared" si="237"/>
        <v>0</v>
      </c>
      <c r="F451" s="226">
        <f t="shared" si="237"/>
        <v>0</v>
      </c>
      <c r="G451" s="226">
        <f t="shared" si="237"/>
        <v>0</v>
      </c>
      <c r="H451" s="226">
        <f t="shared" si="237"/>
        <v>0</v>
      </c>
      <c r="I451" s="226">
        <f t="shared" si="237"/>
        <v>0</v>
      </c>
      <c r="J451" s="226">
        <f t="shared" si="237"/>
        <v>0</v>
      </c>
      <c r="K451" s="226">
        <f t="shared" si="237"/>
        <v>0</v>
      </c>
      <c r="L451" s="226">
        <f t="shared" si="237"/>
        <v>0</v>
      </c>
      <c r="M451" s="226">
        <f t="shared" si="237"/>
        <v>0</v>
      </c>
      <c r="N451" s="226">
        <f t="shared" si="237"/>
        <v>0</v>
      </c>
      <c r="O451" s="226">
        <f t="shared" si="237"/>
        <v>0</v>
      </c>
      <c r="P451" s="226">
        <f t="shared" si="237"/>
        <v>0</v>
      </c>
      <c r="Q451" s="226">
        <f t="shared" si="237"/>
        <v>0</v>
      </c>
      <c r="R451" s="226">
        <f t="shared" si="237"/>
        <v>0</v>
      </c>
      <c r="S451" s="279">
        <f t="shared" si="237"/>
        <v>0</v>
      </c>
    </row>
    <row r="452" spans="1:19" ht="12.75" customHeight="1" x14ac:dyDescent="0.2">
      <c r="A452" s="198" t="str">
        <f>"         "&amp;Labels!C384</f>
        <v xml:space="preserve">         Total</v>
      </c>
      <c r="B452" s="226">
        <f t="shared" ref="B452:S452" si="238">SUM(B447,B451)</f>
        <v>0</v>
      </c>
      <c r="C452" s="226">
        <f t="shared" si="238"/>
        <v>0</v>
      </c>
      <c r="D452" s="226">
        <f t="shared" si="238"/>
        <v>0</v>
      </c>
      <c r="E452" s="226">
        <f t="shared" si="238"/>
        <v>0</v>
      </c>
      <c r="F452" s="226">
        <f t="shared" si="238"/>
        <v>0</v>
      </c>
      <c r="G452" s="226">
        <f t="shared" si="238"/>
        <v>0</v>
      </c>
      <c r="H452" s="226">
        <f t="shared" si="238"/>
        <v>0</v>
      </c>
      <c r="I452" s="226">
        <f t="shared" si="238"/>
        <v>0</v>
      </c>
      <c r="J452" s="226">
        <f t="shared" si="238"/>
        <v>0</v>
      </c>
      <c r="K452" s="226">
        <f t="shared" si="238"/>
        <v>0</v>
      </c>
      <c r="L452" s="226">
        <f t="shared" si="238"/>
        <v>0</v>
      </c>
      <c r="M452" s="226">
        <f t="shared" si="238"/>
        <v>0</v>
      </c>
      <c r="N452" s="226">
        <f t="shared" si="238"/>
        <v>0</v>
      </c>
      <c r="O452" s="226">
        <f t="shared" si="238"/>
        <v>0</v>
      </c>
      <c r="P452" s="226">
        <f t="shared" si="238"/>
        <v>0</v>
      </c>
      <c r="Q452" s="226">
        <f t="shared" si="238"/>
        <v>0</v>
      </c>
      <c r="R452" s="226">
        <f t="shared" si="238"/>
        <v>0</v>
      </c>
      <c r="S452" s="279">
        <f t="shared" si="238"/>
        <v>0</v>
      </c>
    </row>
    <row r="453" spans="1:19" ht="12.75" customHeight="1" x14ac:dyDescent="0.2">
      <c r="A453" s="198" t="str">
        <f>"            "&amp;Labels!B317</f>
        <v xml:space="preserve">            Channels 1</v>
      </c>
      <c r="B453" s="189">
        <f t="shared" ref="B453:S453" si="239">SUM(B445,B449)</f>
        <v>0</v>
      </c>
      <c r="C453" s="189">
        <f t="shared" si="239"/>
        <v>0</v>
      </c>
      <c r="D453" s="189">
        <f t="shared" si="239"/>
        <v>0</v>
      </c>
      <c r="E453" s="189">
        <f t="shared" si="239"/>
        <v>0</v>
      </c>
      <c r="F453" s="189">
        <f t="shared" si="239"/>
        <v>0</v>
      </c>
      <c r="G453" s="189">
        <f t="shared" si="239"/>
        <v>0</v>
      </c>
      <c r="H453" s="189">
        <f t="shared" si="239"/>
        <v>0</v>
      </c>
      <c r="I453" s="189">
        <f t="shared" si="239"/>
        <v>0</v>
      </c>
      <c r="J453" s="189">
        <f t="shared" si="239"/>
        <v>0</v>
      </c>
      <c r="K453" s="189">
        <f t="shared" si="239"/>
        <v>0</v>
      </c>
      <c r="L453" s="189">
        <f t="shared" si="239"/>
        <v>0</v>
      </c>
      <c r="M453" s="189">
        <f t="shared" si="239"/>
        <v>0</v>
      </c>
      <c r="N453" s="189">
        <f t="shared" si="239"/>
        <v>0</v>
      </c>
      <c r="O453" s="189">
        <f t="shared" si="239"/>
        <v>0</v>
      </c>
      <c r="P453" s="189">
        <f t="shared" si="239"/>
        <v>0</v>
      </c>
      <c r="Q453" s="189">
        <f t="shared" si="239"/>
        <v>0</v>
      </c>
      <c r="R453" s="189">
        <f t="shared" si="239"/>
        <v>0</v>
      </c>
      <c r="S453" s="294">
        <f t="shared" si="239"/>
        <v>0</v>
      </c>
    </row>
    <row r="454" spans="1:19" ht="12.75" customHeight="1" x14ac:dyDescent="0.2">
      <c r="A454" s="198" t="str">
        <f>"            "&amp;Labels!B318</f>
        <v xml:space="preserve">            Channels 2</v>
      </c>
      <c r="B454" s="189">
        <f t="shared" ref="B454:S454" si="240">SUM(B446,B450)</f>
        <v>0</v>
      </c>
      <c r="C454" s="189">
        <f t="shared" si="240"/>
        <v>0</v>
      </c>
      <c r="D454" s="189">
        <f t="shared" si="240"/>
        <v>0</v>
      </c>
      <c r="E454" s="189">
        <f t="shared" si="240"/>
        <v>0</v>
      </c>
      <c r="F454" s="189">
        <f t="shared" si="240"/>
        <v>0</v>
      </c>
      <c r="G454" s="189">
        <f t="shared" si="240"/>
        <v>0</v>
      </c>
      <c r="H454" s="189">
        <f t="shared" si="240"/>
        <v>0</v>
      </c>
      <c r="I454" s="189">
        <f t="shared" si="240"/>
        <v>0</v>
      </c>
      <c r="J454" s="189">
        <f t="shared" si="240"/>
        <v>0</v>
      </c>
      <c r="K454" s="189">
        <f t="shared" si="240"/>
        <v>0</v>
      </c>
      <c r="L454" s="189">
        <f t="shared" si="240"/>
        <v>0</v>
      </c>
      <c r="M454" s="189">
        <f t="shared" si="240"/>
        <v>0</v>
      </c>
      <c r="N454" s="189">
        <f t="shared" si="240"/>
        <v>0</v>
      </c>
      <c r="O454" s="189">
        <f t="shared" si="240"/>
        <v>0</v>
      </c>
      <c r="P454" s="189">
        <f t="shared" si="240"/>
        <v>0</v>
      </c>
      <c r="Q454" s="189">
        <f t="shared" si="240"/>
        <v>0</v>
      </c>
      <c r="R454" s="189">
        <f t="shared" si="240"/>
        <v>0</v>
      </c>
      <c r="S454" s="294">
        <f t="shared" si="240"/>
        <v>0</v>
      </c>
    </row>
    <row r="455" spans="1:19" ht="12.75" customHeight="1" x14ac:dyDescent="0.2">
      <c r="A455" s="198" t="str">
        <f>"            "&amp;Labels!C316</f>
        <v xml:space="preserve">            Total</v>
      </c>
      <c r="B455" s="226">
        <f t="shared" ref="B455:S455" si="241">SUM(B447,B451)</f>
        <v>0</v>
      </c>
      <c r="C455" s="226">
        <f t="shared" si="241"/>
        <v>0</v>
      </c>
      <c r="D455" s="226">
        <f t="shared" si="241"/>
        <v>0</v>
      </c>
      <c r="E455" s="226">
        <f t="shared" si="241"/>
        <v>0</v>
      </c>
      <c r="F455" s="226">
        <f t="shared" si="241"/>
        <v>0</v>
      </c>
      <c r="G455" s="226">
        <f t="shared" si="241"/>
        <v>0</v>
      </c>
      <c r="H455" s="226">
        <f t="shared" si="241"/>
        <v>0</v>
      </c>
      <c r="I455" s="226">
        <f t="shared" si="241"/>
        <v>0</v>
      </c>
      <c r="J455" s="226">
        <f t="shared" si="241"/>
        <v>0</v>
      </c>
      <c r="K455" s="226">
        <f t="shared" si="241"/>
        <v>0</v>
      </c>
      <c r="L455" s="226">
        <f t="shared" si="241"/>
        <v>0</v>
      </c>
      <c r="M455" s="226">
        <f t="shared" si="241"/>
        <v>0</v>
      </c>
      <c r="N455" s="226">
        <f t="shared" si="241"/>
        <v>0</v>
      </c>
      <c r="O455" s="226">
        <f t="shared" si="241"/>
        <v>0</v>
      </c>
      <c r="P455" s="226">
        <f t="shared" si="241"/>
        <v>0</v>
      </c>
      <c r="Q455" s="226">
        <f t="shared" si="241"/>
        <v>0</v>
      </c>
      <c r="R455" s="226">
        <f t="shared" si="241"/>
        <v>0</v>
      </c>
      <c r="S455" s="279">
        <f t="shared" si="241"/>
        <v>0</v>
      </c>
    </row>
    <row r="456" spans="1:19" ht="12.75" customHeight="1" x14ac:dyDescent="0.2">
      <c r="A456" s="188" t="str">
        <f>"      "&amp;Labels!C380</f>
        <v xml:space="preserve">      Total</v>
      </c>
      <c r="B456" s="196">
        <f t="shared" ref="B456:S456" si="242">SUM(B439,B452)</f>
        <v>0</v>
      </c>
      <c r="C456" s="196">
        <f t="shared" si="242"/>
        <v>0</v>
      </c>
      <c r="D456" s="196">
        <f t="shared" si="242"/>
        <v>676.5</v>
      </c>
      <c r="E456" s="196">
        <f t="shared" si="242"/>
        <v>676.5</v>
      </c>
      <c r="F456" s="196">
        <f t="shared" si="242"/>
        <v>0</v>
      </c>
      <c r="G456" s="196">
        <f t="shared" si="242"/>
        <v>492</v>
      </c>
      <c r="H456" s="196">
        <f t="shared" si="242"/>
        <v>492</v>
      </c>
      <c r="I456" s="196">
        <f t="shared" si="242"/>
        <v>492</v>
      </c>
      <c r="J456" s="196">
        <f t="shared" si="242"/>
        <v>0</v>
      </c>
      <c r="K456" s="196">
        <f t="shared" si="242"/>
        <v>0</v>
      </c>
      <c r="L456" s="196">
        <f t="shared" si="242"/>
        <v>0</v>
      </c>
      <c r="M456" s="196">
        <f t="shared" si="242"/>
        <v>0</v>
      </c>
      <c r="N456" s="196">
        <f t="shared" si="242"/>
        <v>0</v>
      </c>
      <c r="O456" s="196">
        <f t="shared" si="242"/>
        <v>0</v>
      </c>
      <c r="P456" s="196">
        <f t="shared" si="242"/>
        <v>0</v>
      </c>
      <c r="Q456" s="196">
        <f t="shared" si="242"/>
        <v>0</v>
      </c>
      <c r="R456" s="196">
        <f t="shared" si="242"/>
        <v>0</v>
      </c>
      <c r="S456" s="267">
        <f t="shared" si="242"/>
        <v>0</v>
      </c>
    </row>
    <row r="457" spans="1:19" ht="12.75" customHeight="1" x14ac:dyDescent="0.2">
      <c r="A457" s="198" t="str">
        <f>"         "&amp;Labels!B385</f>
        <v xml:space="preserve">         Prof Level 1</v>
      </c>
      <c r="B457" s="226"/>
      <c r="C457" s="226"/>
      <c r="D457" s="226"/>
      <c r="E457" s="226"/>
      <c r="F457" s="226"/>
      <c r="G457" s="226"/>
      <c r="H457" s="226"/>
      <c r="I457" s="226"/>
      <c r="J457" s="226"/>
      <c r="K457" s="226"/>
      <c r="L457" s="226"/>
      <c r="M457" s="226"/>
      <c r="N457" s="226"/>
      <c r="O457" s="226"/>
      <c r="P457" s="226"/>
      <c r="Q457" s="226"/>
      <c r="R457" s="226"/>
      <c r="S457" s="279"/>
    </row>
    <row r="458" spans="1:19" ht="12.75" customHeight="1" x14ac:dyDescent="0.2">
      <c r="A458" s="198" t="str">
        <f>"            "&amp;Labels!B317</f>
        <v xml:space="preserve">            Channels 1</v>
      </c>
      <c r="B458" s="189">
        <f t="shared" ref="B458:S458" si="243">SUM(B432,B445)</f>
        <v>0</v>
      </c>
      <c r="C458" s="189">
        <f t="shared" si="243"/>
        <v>0</v>
      </c>
      <c r="D458" s="189">
        <f t="shared" si="243"/>
        <v>173.25</v>
      </c>
      <c r="E458" s="189">
        <f t="shared" si="243"/>
        <v>173.25</v>
      </c>
      <c r="F458" s="189">
        <f t="shared" si="243"/>
        <v>0</v>
      </c>
      <c r="G458" s="189">
        <f t="shared" si="243"/>
        <v>126</v>
      </c>
      <c r="H458" s="189">
        <f t="shared" si="243"/>
        <v>126</v>
      </c>
      <c r="I458" s="189">
        <f t="shared" si="243"/>
        <v>126</v>
      </c>
      <c r="J458" s="189">
        <f t="shared" si="243"/>
        <v>0</v>
      </c>
      <c r="K458" s="189">
        <f t="shared" si="243"/>
        <v>0</v>
      </c>
      <c r="L458" s="189">
        <f t="shared" si="243"/>
        <v>0</v>
      </c>
      <c r="M458" s="189">
        <f t="shared" si="243"/>
        <v>0</v>
      </c>
      <c r="N458" s="189">
        <f t="shared" si="243"/>
        <v>0</v>
      </c>
      <c r="O458" s="189">
        <f t="shared" si="243"/>
        <v>0</v>
      </c>
      <c r="P458" s="189">
        <f t="shared" si="243"/>
        <v>0</v>
      </c>
      <c r="Q458" s="189">
        <f t="shared" si="243"/>
        <v>0</v>
      </c>
      <c r="R458" s="189">
        <f t="shared" si="243"/>
        <v>0</v>
      </c>
      <c r="S458" s="294">
        <f t="shared" si="243"/>
        <v>0</v>
      </c>
    </row>
    <row r="459" spans="1:19" ht="12.75" customHeight="1" x14ac:dyDescent="0.2">
      <c r="A459" s="198" t="str">
        <f>"            "&amp;Labels!B318</f>
        <v xml:space="preserve">            Channels 2</v>
      </c>
      <c r="B459" s="189">
        <f t="shared" ref="B459:S459" si="244">SUM(B433,B446)</f>
        <v>0</v>
      </c>
      <c r="C459" s="189">
        <f t="shared" si="244"/>
        <v>0</v>
      </c>
      <c r="D459" s="189">
        <f t="shared" si="244"/>
        <v>165</v>
      </c>
      <c r="E459" s="189">
        <f t="shared" si="244"/>
        <v>165</v>
      </c>
      <c r="F459" s="189">
        <f t="shared" si="244"/>
        <v>0</v>
      </c>
      <c r="G459" s="189">
        <f t="shared" si="244"/>
        <v>120</v>
      </c>
      <c r="H459" s="189">
        <f t="shared" si="244"/>
        <v>120</v>
      </c>
      <c r="I459" s="189">
        <f t="shared" si="244"/>
        <v>120</v>
      </c>
      <c r="J459" s="189">
        <f t="shared" si="244"/>
        <v>0</v>
      </c>
      <c r="K459" s="189">
        <f t="shared" si="244"/>
        <v>0</v>
      </c>
      <c r="L459" s="189">
        <f t="shared" si="244"/>
        <v>0</v>
      </c>
      <c r="M459" s="189">
        <f t="shared" si="244"/>
        <v>0</v>
      </c>
      <c r="N459" s="189">
        <f t="shared" si="244"/>
        <v>0</v>
      </c>
      <c r="O459" s="189">
        <f t="shared" si="244"/>
        <v>0</v>
      </c>
      <c r="P459" s="189">
        <f t="shared" si="244"/>
        <v>0</v>
      </c>
      <c r="Q459" s="189">
        <f t="shared" si="244"/>
        <v>0</v>
      </c>
      <c r="R459" s="189">
        <f t="shared" si="244"/>
        <v>0</v>
      </c>
      <c r="S459" s="294">
        <f t="shared" si="244"/>
        <v>0</v>
      </c>
    </row>
    <row r="460" spans="1:19" ht="12.75" customHeight="1" x14ac:dyDescent="0.2">
      <c r="A460" s="198" t="str">
        <f>"            "&amp;Labels!C316</f>
        <v xml:space="preserve">            Total</v>
      </c>
      <c r="B460" s="226">
        <f t="shared" ref="B460:S460" si="245">SUM(B434,B447)</f>
        <v>0</v>
      </c>
      <c r="C460" s="226">
        <f t="shared" si="245"/>
        <v>0</v>
      </c>
      <c r="D460" s="226">
        <f t="shared" si="245"/>
        <v>338.25</v>
      </c>
      <c r="E460" s="226">
        <f t="shared" si="245"/>
        <v>338.25</v>
      </c>
      <c r="F460" s="226">
        <f t="shared" si="245"/>
        <v>0</v>
      </c>
      <c r="G460" s="226">
        <f t="shared" si="245"/>
        <v>246</v>
      </c>
      <c r="H460" s="226">
        <f t="shared" si="245"/>
        <v>246</v>
      </c>
      <c r="I460" s="226">
        <f t="shared" si="245"/>
        <v>246</v>
      </c>
      <c r="J460" s="226">
        <f t="shared" si="245"/>
        <v>0</v>
      </c>
      <c r="K460" s="226">
        <f t="shared" si="245"/>
        <v>0</v>
      </c>
      <c r="L460" s="226">
        <f t="shared" si="245"/>
        <v>0</v>
      </c>
      <c r="M460" s="226">
        <f t="shared" si="245"/>
        <v>0</v>
      </c>
      <c r="N460" s="226">
        <f t="shared" si="245"/>
        <v>0</v>
      </c>
      <c r="O460" s="226">
        <f t="shared" si="245"/>
        <v>0</v>
      </c>
      <c r="P460" s="226">
        <f t="shared" si="245"/>
        <v>0</v>
      </c>
      <c r="Q460" s="226">
        <f t="shared" si="245"/>
        <v>0</v>
      </c>
      <c r="R460" s="226">
        <f t="shared" si="245"/>
        <v>0</v>
      </c>
      <c r="S460" s="279">
        <f t="shared" si="245"/>
        <v>0</v>
      </c>
    </row>
    <row r="461" spans="1:19" ht="12.75" customHeight="1" x14ac:dyDescent="0.2">
      <c r="A461" s="198" t="str">
        <f>"         "&amp;Labels!B386</f>
        <v xml:space="preserve">         Prof Level 2</v>
      </c>
      <c r="B461" s="226"/>
      <c r="C461" s="226"/>
      <c r="D461" s="226"/>
      <c r="E461" s="226"/>
      <c r="F461" s="226"/>
      <c r="G461" s="226"/>
      <c r="H461" s="226"/>
      <c r="I461" s="226"/>
      <c r="J461" s="226"/>
      <c r="K461" s="226"/>
      <c r="L461" s="226"/>
      <c r="M461" s="226"/>
      <c r="N461" s="226"/>
      <c r="O461" s="226"/>
      <c r="P461" s="226"/>
      <c r="Q461" s="226"/>
      <c r="R461" s="226"/>
      <c r="S461" s="279"/>
    </row>
    <row r="462" spans="1:19" ht="12.75" customHeight="1" x14ac:dyDescent="0.2">
      <c r="A462" s="198" t="str">
        <f>"            "&amp;Labels!B317</f>
        <v xml:space="preserve">            Channels 1</v>
      </c>
      <c r="B462" s="189">
        <f t="shared" ref="B462:S462" si="246">SUM(B436,B449)</f>
        <v>0</v>
      </c>
      <c r="C462" s="189">
        <f t="shared" si="246"/>
        <v>0</v>
      </c>
      <c r="D462" s="189">
        <f t="shared" si="246"/>
        <v>173.25</v>
      </c>
      <c r="E462" s="189">
        <f t="shared" si="246"/>
        <v>173.25</v>
      </c>
      <c r="F462" s="189">
        <f t="shared" si="246"/>
        <v>0</v>
      </c>
      <c r="G462" s="189">
        <f t="shared" si="246"/>
        <v>126</v>
      </c>
      <c r="H462" s="189">
        <f t="shared" si="246"/>
        <v>126</v>
      </c>
      <c r="I462" s="189">
        <f t="shared" si="246"/>
        <v>126</v>
      </c>
      <c r="J462" s="189">
        <f t="shared" si="246"/>
        <v>0</v>
      </c>
      <c r="K462" s="189">
        <f t="shared" si="246"/>
        <v>0</v>
      </c>
      <c r="L462" s="189">
        <f t="shared" si="246"/>
        <v>0</v>
      </c>
      <c r="M462" s="189">
        <f t="shared" si="246"/>
        <v>0</v>
      </c>
      <c r="N462" s="189">
        <f t="shared" si="246"/>
        <v>0</v>
      </c>
      <c r="O462" s="189">
        <f t="shared" si="246"/>
        <v>0</v>
      </c>
      <c r="P462" s="189">
        <f t="shared" si="246"/>
        <v>0</v>
      </c>
      <c r="Q462" s="189">
        <f t="shared" si="246"/>
        <v>0</v>
      </c>
      <c r="R462" s="189">
        <f t="shared" si="246"/>
        <v>0</v>
      </c>
      <c r="S462" s="294">
        <f t="shared" si="246"/>
        <v>0</v>
      </c>
    </row>
    <row r="463" spans="1:19" ht="12.75" customHeight="1" x14ac:dyDescent="0.2">
      <c r="A463" s="198" t="str">
        <f>"            "&amp;Labels!B318</f>
        <v xml:space="preserve">            Channels 2</v>
      </c>
      <c r="B463" s="189">
        <f t="shared" ref="B463:S463" si="247">SUM(B437,B450)</f>
        <v>0</v>
      </c>
      <c r="C463" s="189">
        <f t="shared" si="247"/>
        <v>0</v>
      </c>
      <c r="D463" s="189">
        <f t="shared" si="247"/>
        <v>165</v>
      </c>
      <c r="E463" s="189">
        <f t="shared" si="247"/>
        <v>165</v>
      </c>
      <c r="F463" s="189">
        <f t="shared" si="247"/>
        <v>0</v>
      </c>
      <c r="G463" s="189">
        <f t="shared" si="247"/>
        <v>120</v>
      </c>
      <c r="H463" s="189">
        <f t="shared" si="247"/>
        <v>120</v>
      </c>
      <c r="I463" s="189">
        <f t="shared" si="247"/>
        <v>120</v>
      </c>
      <c r="J463" s="189">
        <f t="shared" si="247"/>
        <v>0</v>
      </c>
      <c r="K463" s="189">
        <f t="shared" si="247"/>
        <v>0</v>
      </c>
      <c r="L463" s="189">
        <f t="shared" si="247"/>
        <v>0</v>
      </c>
      <c r="M463" s="189">
        <f t="shared" si="247"/>
        <v>0</v>
      </c>
      <c r="N463" s="189">
        <f t="shared" si="247"/>
        <v>0</v>
      </c>
      <c r="O463" s="189">
        <f t="shared" si="247"/>
        <v>0</v>
      </c>
      <c r="P463" s="189">
        <f t="shared" si="247"/>
        <v>0</v>
      </c>
      <c r="Q463" s="189">
        <f t="shared" si="247"/>
        <v>0</v>
      </c>
      <c r="R463" s="189">
        <f t="shared" si="247"/>
        <v>0</v>
      </c>
      <c r="S463" s="294">
        <f t="shared" si="247"/>
        <v>0</v>
      </c>
    </row>
    <row r="464" spans="1:19" ht="12.75" customHeight="1" x14ac:dyDescent="0.2">
      <c r="A464" s="198" t="str">
        <f>"            "&amp;Labels!C316</f>
        <v xml:space="preserve">            Total</v>
      </c>
      <c r="B464" s="226">
        <f t="shared" ref="B464:S464" si="248">SUM(B438,B451)</f>
        <v>0</v>
      </c>
      <c r="C464" s="226">
        <f t="shared" si="248"/>
        <v>0</v>
      </c>
      <c r="D464" s="226">
        <f t="shared" si="248"/>
        <v>338.25</v>
      </c>
      <c r="E464" s="226">
        <f t="shared" si="248"/>
        <v>338.25</v>
      </c>
      <c r="F464" s="226">
        <f t="shared" si="248"/>
        <v>0</v>
      </c>
      <c r="G464" s="226">
        <f t="shared" si="248"/>
        <v>246</v>
      </c>
      <c r="H464" s="226">
        <f t="shared" si="248"/>
        <v>246</v>
      </c>
      <c r="I464" s="226">
        <f t="shared" si="248"/>
        <v>246</v>
      </c>
      <c r="J464" s="226">
        <f t="shared" si="248"/>
        <v>0</v>
      </c>
      <c r="K464" s="226">
        <f t="shared" si="248"/>
        <v>0</v>
      </c>
      <c r="L464" s="226">
        <f t="shared" si="248"/>
        <v>0</v>
      </c>
      <c r="M464" s="226">
        <f t="shared" si="248"/>
        <v>0</v>
      </c>
      <c r="N464" s="226">
        <f t="shared" si="248"/>
        <v>0</v>
      </c>
      <c r="O464" s="226">
        <f t="shared" si="248"/>
        <v>0</v>
      </c>
      <c r="P464" s="226">
        <f t="shared" si="248"/>
        <v>0</v>
      </c>
      <c r="Q464" s="226">
        <f t="shared" si="248"/>
        <v>0</v>
      </c>
      <c r="R464" s="226">
        <f t="shared" si="248"/>
        <v>0</v>
      </c>
      <c r="S464" s="279">
        <f t="shared" si="248"/>
        <v>0</v>
      </c>
    </row>
    <row r="465" spans="1:19" ht="12.75" customHeight="1" x14ac:dyDescent="0.2">
      <c r="A465" s="198" t="str">
        <f>"         "&amp;Labels!C384</f>
        <v xml:space="preserve">         Total</v>
      </c>
      <c r="B465" s="226">
        <f t="shared" ref="B465:S465" si="249">SUM(B439,B452)</f>
        <v>0</v>
      </c>
      <c r="C465" s="226">
        <f t="shared" si="249"/>
        <v>0</v>
      </c>
      <c r="D465" s="226">
        <f t="shared" si="249"/>
        <v>676.5</v>
      </c>
      <c r="E465" s="226">
        <f t="shared" si="249"/>
        <v>676.5</v>
      </c>
      <c r="F465" s="226">
        <f t="shared" si="249"/>
        <v>0</v>
      </c>
      <c r="G465" s="226">
        <f t="shared" si="249"/>
        <v>492</v>
      </c>
      <c r="H465" s="226">
        <f t="shared" si="249"/>
        <v>492</v>
      </c>
      <c r="I465" s="226">
        <f t="shared" si="249"/>
        <v>492</v>
      </c>
      <c r="J465" s="226">
        <f t="shared" si="249"/>
        <v>0</v>
      </c>
      <c r="K465" s="226">
        <f t="shared" si="249"/>
        <v>0</v>
      </c>
      <c r="L465" s="226">
        <f t="shared" si="249"/>
        <v>0</v>
      </c>
      <c r="M465" s="226">
        <f t="shared" si="249"/>
        <v>0</v>
      </c>
      <c r="N465" s="226">
        <f t="shared" si="249"/>
        <v>0</v>
      </c>
      <c r="O465" s="226">
        <f t="shared" si="249"/>
        <v>0</v>
      </c>
      <c r="P465" s="226">
        <f t="shared" si="249"/>
        <v>0</v>
      </c>
      <c r="Q465" s="226">
        <f t="shared" si="249"/>
        <v>0</v>
      </c>
      <c r="R465" s="226">
        <f t="shared" si="249"/>
        <v>0</v>
      </c>
      <c r="S465" s="279">
        <f t="shared" si="249"/>
        <v>0</v>
      </c>
    </row>
    <row r="466" spans="1:19" ht="12.75" customHeight="1" x14ac:dyDescent="0.2">
      <c r="A466" s="198" t="str">
        <f>"            "&amp;Labels!B317</f>
        <v xml:space="preserve">            Channels 1</v>
      </c>
      <c r="B466" s="189">
        <f t="shared" ref="B466:S466" si="250">SUM(B440,B453)</f>
        <v>0</v>
      </c>
      <c r="C466" s="189">
        <f t="shared" si="250"/>
        <v>0</v>
      </c>
      <c r="D466" s="189">
        <f t="shared" si="250"/>
        <v>346.5</v>
      </c>
      <c r="E466" s="189">
        <f t="shared" si="250"/>
        <v>346.5</v>
      </c>
      <c r="F466" s="189">
        <f t="shared" si="250"/>
        <v>0</v>
      </c>
      <c r="G466" s="189">
        <f t="shared" si="250"/>
        <v>252</v>
      </c>
      <c r="H466" s="189">
        <f t="shared" si="250"/>
        <v>252</v>
      </c>
      <c r="I466" s="189">
        <f t="shared" si="250"/>
        <v>252</v>
      </c>
      <c r="J466" s="189">
        <f t="shared" si="250"/>
        <v>0</v>
      </c>
      <c r="K466" s="189">
        <f t="shared" si="250"/>
        <v>0</v>
      </c>
      <c r="L466" s="189">
        <f t="shared" si="250"/>
        <v>0</v>
      </c>
      <c r="M466" s="189">
        <f t="shared" si="250"/>
        <v>0</v>
      </c>
      <c r="N466" s="189">
        <f t="shared" si="250"/>
        <v>0</v>
      </c>
      <c r="O466" s="189">
        <f t="shared" si="250"/>
        <v>0</v>
      </c>
      <c r="P466" s="189">
        <f t="shared" si="250"/>
        <v>0</v>
      </c>
      <c r="Q466" s="189">
        <f t="shared" si="250"/>
        <v>0</v>
      </c>
      <c r="R466" s="189">
        <f t="shared" si="250"/>
        <v>0</v>
      </c>
      <c r="S466" s="294">
        <f t="shared" si="250"/>
        <v>0</v>
      </c>
    </row>
    <row r="467" spans="1:19" ht="12.75" customHeight="1" x14ac:dyDescent="0.2">
      <c r="A467" s="198" t="str">
        <f>"            "&amp;Labels!B318</f>
        <v xml:space="preserve">            Channels 2</v>
      </c>
      <c r="B467" s="189">
        <f t="shared" ref="B467:S467" si="251">SUM(B441,B454)</f>
        <v>0</v>
      </c>
      <c r="C467" s="189">
        <f t="shared" si="251"/>
        <v>0</v>
      </c>
      <c r="D467" s="189">
        <f t="shared" si="251"/>
        <v>330</v>
      </c>
      <c r="E467" s="189">
        <f t="shared" si="251"/>
        <v>330</v>
      </c>
      <c r="F467" s="189">
        <f t="shared" si="251"/>
        <v>0</v>
      </c>
      <c r="G467" s="189">
        <f t="shared" si="251"/>
        <v>240</v>
      </c>
      <c r="H467" s="189">
        <f t="shared" si="251"/>
        <v>240</v>
      </c>
      <c r="I467" s="189">
        <f t="shared" si="251"/>
        <v>240</v>
      </c>
      <c r="J467" s="189">
        <f t="shared" si="251"/>
        <v>0</v>
      </c>
      <c r="K467" s="189">
        <f t="shared" si="251"/>
        <v>0</v>
      </c>
      <c r="L467" s="189">
        <f t="shared" si="251"/>
        <v>0</v>
      </c>
      <c r="M467" s="189">
        <f t="shared" si="251"/>
        <v>0</v>
      </c>
      <c r="N467" s="189">
        <f t="shared" si="251"/>
        <v>0</v>
      </c>
      <c r="O467" s="189">
        <f t="shared" si="251"/>
        <v>0</v>
      </c>
      <c r="P467" s="189">
        <f t="shared" si="251"/>
        <v>0</v>
      </c>
      <c r="Q467" s="189">
        <f t="shared" si="251"/>
        <v>0</v>
      </c>
      <c r="R467" s="189">
        <f t="shared" si="251"/>
        <v>0</v>
      </c>
      <c r="S467" s="294">
        <f t="shared" si="251"/>
        <v>0</v>
      </c>
    </row>
    <row r="468" spans="1:19" ht="12.75" customHeight="1" x14ac:dyDescent="0.2">
      <c r="A468" s="198" t="str">
        <f>"            "&amp;Labels!C316</f>
        <v xml:space="preserve">            Total</v>
      </c>
      <c r="B468" s="226">
        <f t="shared" ref="B468:S468" si="252">SUM(B439,B452)</f>
        <v>0</v>
      </c>
      <c r="C468" s="226">
        <f t="shared" si="252"/>
        <v>0</v>
      </c>
      <c r="D468" s="226">
        <f t="shared" si="252"/>
        <v>676.5</v>
      </c>
      <c r="E468" s="226">
        <f t="shared" si="252"/>
        <v>676.5</v>
      </c>
      <c r="F468" s="226">
        <f t="shared" si="252"/>
        <v>0</v>
      </c>
      <c r="G468" s="226">
        <f t="shared" si="252"/>
        <v>492</v>
      </c>
      <c r="H468" s="226">
        <f t="shared" si="252"/>
        <v>492</v>
      </c>
      <c r="I468" s="226">
        <f t="shared" si="252"/>
        <v>492</v>
      </c>
      <c r="J468" s="226">
        <f t="shared" si="252"/>
        <v>0</v>
      </c>
      <c r="K468" s="226">
        <f t="shared" si="252"/>
        <v>0</v>
      </c>
      <c r="L468" s="226">
        <f t="shared" si="252"/>
        <v>0</v>
      </c>
      <c r="M468" s="226">
        <f t="shared" si="252"/>
        <v>0</v>
      </c>
      <c r="N468" s="226">
        <f t="shared" si="252"/>
        <v>0</v>
      </c>
      <c r="O468" s="226">
        <f t="shared" si="252"/>
        <v>0</v>
      </c>
      <c r="P468" s="226">
        <f t="shared" si="252"/>
        <v>0</v>
      </c>
      <c r="Q468" s="226">
        <f t="shared" si="252"/>
        <v>0</v>
      </c>
      <c r="R468" s="226">
        <f t="shared" si="252"/>
        <v>0</v>
      </c>
      <c r="S468" s="279">
        <f t="shared" si="252"/>
        <v>0</v>
      </c>
    </row>
    <row r="469" spans="1:19" ht="12.75" customHeight="1" x14ac:dyDescent="0.2">
      <c r="A469" s="191" t="str">
        <f>"   "&amp;Labels!C352</f>
        <v xml:space="preserve">   Total</v>
      </c>
      <c r="B469" s="192">
        <f t="shared" ref="B469:S469" si="253">B456</f>
        <v>0</v>
      </c>
      <c r="C469" s="192">
        <f t="shared" si="253"/>
        <v>0</v>
      </c>
      <c r="D469" s="192">
        <f t="shared" si="253"/>
        <v>676.5</v>
      </c>
      <c r="E469" s="192">
        <f t="shared" si="253"/>
        <v>676.5</v>
      </c>
      <c r="F469" s="192">
        <f t="shared" si="253"/>
        <v>0</v>
      </c>
      <c r="G469" s="192">
        <f t="shared" si="253"/>
        <v>492</v>
      </c>
      <c r="H469" s="192">
        <f t="shared" si="253"/>
        <v>492</v>
      </c>
      <c r="I469" s="192">
        <f t="shared" si="253"/>
        <v>492</v>
      </c>
      <c r="J469" s="192">
        <f t="shared" si="253"/>
        <v>0</v>
      </c>
      <c r="K469" s="192">
        <f t="shared" si="253"/>
        <v>0</v>
      </c>
      <c r="L469" s="192">
        <f t="shared" si="253"/>
        <v>0</v>
      </c>
      <c r="M469" s="192">
        <f t="shared" si="253"/>
        <v>0</v>
      </c>
      <c r="N469" s="192">
        <f t="shared" si="253"/>
        <v>0</v>
      </c>
      <c r="O469" s="192">
        <f t="shared" si="253"/>
        <v>0</v>
      </c>
      <c r="P469" s="192">
        <f t="shared" si="253"/>
        <v>0</v>
      </c>
      <c r="Q469" s="192">
        <f t="shared" si="253"/>
        <v>0</v>
      </c>
      <c r="R469" s="192">
        <f t="shared" si="253"/>
        <v>0</v>
      </c>
      <c r="S469" s="280">
        <f t="shared" si="253"/>
        <v>0</v>
      </c>
    </row>
    <row r="470" spans="1:19" ht="12.75" customHeight="1" x14ac:dyDescent="0.2">
      <c r="A470" s="198" t="str">
        <f>"      "&amp;Labels!B381</f>
        <v xml:space="preserve">      Practice 1</v>
      </c>
      <c r="B470" s="226"/>
      <c r="C470" s="226"/>
      <c r="D470" s="226"/>
      <c r="E470" s="226"/>
      <c r="F470" s="226"/>
      <c r="G470" s="226"/>
      <c r="H470" s="226"/>
      <c r="I470" s="226"/>
      <c r="J470" s="226"/>
      <c r="K470" s="226"/>
      <c r="L470" s="226"/>
      <c r="M470" s="226"/>
      <c r="N470" s="226"/>
      <c r="O470" s="226"/>
      <c r="P470" s="226"/>
      <c r="Q470" s="226"/>
      <c r="R470" s="226"/>
      <c r="S470" s="279"/>
    </row>
    <row r="471" spans="1:19" ht="12.75" customHeight="1" x14ac:dyDescent="0.2">
      <c r="A471" s="198" t="str">
        <f>"         "&amp;Labels!B385</f>
        <v xml:space="preserve">         Prof Level 1</v>
      </c>
      <c r="B471" s="226"/>
      <c r="C471" s="226"/>
      <c r="D471" s="226"/>
      <c r="E471" s="226"/>
      <c r="F471" s="226"/>
      <c r="G471" s="226"/>
      <c r="H471" s="226"/>
      <c r="I471" s="226"/>
      <c r="J471" s="226"/>
      <c r="K471" s="226"/>
      <c r="L471" s="226"/>
      <c r="M471" s="226"/>
      <c r="N471" s="226"/>
      <c r="O471" s="226"/>
      <c r="P471" s="226"/>
      <c r="Q471" s="226"/>
      <c r="R471" s="226"/>
      <c r="S471" s="279"/>
    </row>
    <row r="472" spans="1:19" ht="12.75" customHeight="1" x14ac:dyDescent="0.2">
      <c r="A472" s="198" t="str">
        <f>"            "&amp;Labels!B317</f>
        <v xml:space="preserve">            Channels 1</v>
      </c>
      <c r="B472" s="189">
        <f t="shared" ref="B472:S472" si="254">B432</f>
        <v>0</v>
      </c>
      <c r="C472" s="189">
        <f t="shared" si="254"/>
        <v>0</v>
      </c>
      <c r="D472" s="189">
        <f t="shared" si="254"/>
        <v>173.25</v>
      </c>
      <c r="E472" s="189">
        <f t="shared" si="254"/>
        <v>173.25</v>
      </c>
      <c r="F472" s="189">
        <f t="shared" si="254"/>
        <v>0</v>
      </c>
      <c r="G472" s="189">
        <f t="shared" si="254"/>
        <v>126</v>
      </c>
      <c r="H472" s="189">
        <f t="shared" si="254"/>
        <v>126</v>
      </c>
      <c r="I472" s="189">
        <f t="shared" si="254"/>
        <v>126</v>
      </c>
      <c r="J472" s="189">
        <f t="shared" si="254"/>
        <v>0</v>
      </c>
      <c r="K472" s="189">
        <f t="shared" si="254"/>
        <v>0</v>
      </c>
      <c r="L472" s="189">
        <f t="shared" si="254"/>
        <v>0</v>
      </c>
      <c r="M472" s="189">
        <f t="shared" si="254"/>
        <v>0</v>
      </c>
      <c r="N472" s="189">
        <f t="shared" si="254"/>
        <v>0</v>
      </c>
      <c r="O472" s="189">
        <f t="shared" si="254"/>
        <v>0</v>
      </c>
      <c r="P472" s="189">
        <f t="shared" si="254"/>
        <v>0</v>
      </c>
      <c r="Q472" s="189">
        <f t="shared" si="254"/>
        <v>0</v>
      </c>
      <c r="R472" s="189">
        <f t="shared" si="254"/>
        <v>0</v>
      </c>
      <c r="S472" s="294">
        <f t="shared" si="254"/>
        <v>0</v>
      </c>
    </row>
    <row r="473" spans="1:19" ht="12.75" customHeight="1" x14ac:dyDescent="0.2">
      <c r="A473" s="198" t="str">
        <f>"            "&amp;Labels!B318</f>
        <v xml:space="preserve">            Channels 2</v>
      </c>
      <c r="B473" s="189">
        <f t="shared" ref="B473:S473" si="255">B433</f>
        <v>0</v>
      </c>
      <c r="C473" s="189">
        <f t="shared" si="255"/>
        <v>0</v>
      </c>
      <c r="D473" s="189">
        <f t="shared" si="255"/>
        <v>165</v>
      </c>
      <c r="E473" s="189">
        <f t="shared" si="255"/>
        <v>165</v>
      </c>
      <c r="F473" s="189">
        <f t="shared" si="255"/>
        <v>0</v>
      </c>
      <c r="G473" s="189">
        <f t="shared" si="255"/>
        <v>120</v>
      </c>
      <c r="H473" s="189">
        <f t="shared" si="255"/>
        <v>120</v>
      </c>
      <c r="I473" s="189">
        <f t="shared" si="255"/>
        <v>120</v>
      </c>
      <c r="J473" s="189">
        <f t="shared" si="255"/>
        <v>0</v>
      </c>
      <c r="K473" s="189">
        <f t="shared" si="255"/>
        <v>0</v>
      </c>
      <c r="L473" s="189">
        <f t="shared" si="255"/>
        <v>0</v>
      </c>
      <c r="M473" s="189">
        <f t="shared" si="255"/>
        <v>0</v>
      </c>
      <c r="N473" s="189">
        <f t="shared" si="255"/>
        <v>0</v>
      </c>
      <c r="O473" s="189">
        <f t="shared" si="255"/>
        <v>0</v>
      </c>
      <c r="P473" s="189">
        <f t="shared" si="255"/>
        <v>0</v>
      </c>
      <c r="Q473" s="189">
        <f t="shared" si="255"/>
        <v>0</v>
      </c>
      <c r="R473" s="189">
        <f t="shared" si="255"/>
        <v>0</v>
      </c>
      <c r="S473" s="294">
        <f t="shared" si="255"/>
        <v>0</v>
      </c>
    </row>
    <row r="474" spans="1:19" ht="12.75" customHeight="1" x14ac:dyDescent="0.2">
      <c r="A474" s="198" t="str">
        <f>"            "&amp;Labels!C316</f>
        <v xml:space="preserve">            Total</v>
      </c>
      <c r="B474" s="226">
        <f t="shared" ref="B474:S474" si="256">B434</f>
        <v>0</v>
      </c>
      <c r="C474" s="226">
        <f t="shared" si="256"/>
        <v>0</v>
      </c>
      <c r="D474" s="226">
        <f t="shared" si="256"/>
        <v>338.25</v>
      </c>
      <c r="E474" s="226">
        <f t="shared" si="256"/>
        <v>338.25</v>
      </c>
      <c r="F474" s="226">
        <f t="shared" si="256"/>
        <v>0</v>
      </c>
      <c r="G474" s="226">
        <f t="shared" si="256"/>
        <v>246</v>
      </c>
      <c r="H474" s="226">
        <f t="shared" si="256"/>
        <v>246</v>
      </c>
      <c r="I474" s="226">
        <f t="shared" si="256"/>
        <v>246</v>
      </c>
      <c r="J474" s="226">
        <f t="shared" si="256"/>
        <v>0</v>
      </c>
      <c r="K474" s="226">
        <f t="shared" si="256"/>
        <v>0</v>
      </c>
      <c r="L474" s="226">
        <f t="shared" si="256"/>
        <v>0</v>
      </c>
      <c r="M474" s="226">
        <f t="shared" si="256"/>
        <v>0</v>
      </c>
      <c r="N474" s="226">
        <f t="shared" si="256"/>
        <v>0</v>
      </c>
      <c r="O474" s="226">
        <f t="shared" si="256"/>
        <v>0</v>
      </c>
      <c r="P474" s="226">
        <f t="shared" si="256"/>
        <v>0</v>
      </c>
      <c r="Q474" s="226">
        <f t="shared" si="256"/>
        <v>0</v>
      </c>
      <c r="R474" s="226">
        <f t="shared" si="256"/>
        <v>0</v>
      </c>
      <c r="S474" s="279">
        <f t="shared" si="256"/>
        <v>0</v>
      </c>
    </row>
    <row r="475" spans="1:19" ht="12.75" customHeight="1" x14ac:dyDescent="0.2">
      <c r="A475" s="198" t="str">
        <f>"         "&amp;Labels!B386</f>
        <v xml:space="preserve">         Prof Level 2</v>
      </c>
      <c r="B475" s="226"/>
      <c r="C475" s="226"/>
      <c r="D475" s="226"/>
      <c r="E475" s="226"/>
      <c r="F475" s="226"/>
      <c r="G475" s="226"/>
      <c r="H475" s="226"/>
      <c r="I475" s="226"/>
      <c r="J475" s="226"/>
      <c r="K475" s="226"/>
      <c r="L475" s="226"/>
      <c r="M475" s="226"/>
      <c r="N475" s="226"/>
      <c r="O475" s="226"/>
      <c r="P475" s="226"/>
      <c r="Q475" s="226"/>
      <c r="R475" s="226"/>
      <c r="S475" s="279"/>
    </row>
    <row r="476" spans="1:19" ht="12.75" customHeight="1" x14ac:dyDescent="0.2">
      <c r="A476" s="198" t="str">
        <f>"            "&amp;Labels!B317</f>
        <v xml:space="preserve">            Channels 1</v>
      </c>
      <c r="B476" s="189">
        <f t="shared" ref="B476:S476" si="257">B436</f>
        <v>0</v>
      </c>
      <c r="C476" s="189">
        <f t="shared" si="257"/>
        <v>0</v>
      </c>
      <c r="D476" s="189">
        <f t="shared" si="257"/>
        <v>173.25</v>
      </c>
      <c r="E476" s="189">
        <f t="shared" si="257"/>
        <v>173.25</v>
      </c>
      <c r="F476" s="189">
        <f t="shared" si="257"/>
        <v>0</v>
      </c>
      <c r="G476" s="189">
        <f t="shared" si="257"/>
        <v>126</v>
      </c>
      <c r="H476" s="189">
        <f t="shared" si="257"/>
        <v>126</v>
      </c>
      <c r="I476" s="189">
        <f t="shared" si="257"/>
        <v>126</v>
      </c>
      <c r="J476" s="189">
        <f t="shared" si="257"/>
        <v>0</v>
      </c>
      <c r="K476" s="189">
        <f t="shared" si="257"/>
        <v>0</v>
      </c>
      <c r="L476" s="189">
        <f t="shared" si="257"/>
        <v>0</v>
      </c>
      <c r="M476" s="189">
        <f t="shared" si="257"/>
        <v>0</v>
      </c>
      <c r="N476" s="189">
        <f t="shared" si="257"/>
        <v>0</v>
      </c>
      <c r="O476" s="189">
        <f t="shared" si="257"/>
        <v>0</v>
      </c>
      <c r="P476" s="189">
        <f t="shared" si="257"/>
        <v>0</v>
      </c>
      <c r="Q476" s="189">
        <f t="shared" si="257"/>
        <v>0</v>
      </c>
      <c r="R476" s="189">
        <f t="shared" si="257"/>
        <v>0</v>
      </c>
      <c r="S476" s="294">
        <f t="shared" si="257"/>
        <v>0</v>
      </c>
    </row>
    <row r="477" spans="1:19" ht="12.75" customHeight="1" x14ac:dyDescent="0.2">
      <c r="A477" s="198" t="str">
        <f>"            "&amp;Labels!B318</f>
        <v xml:space="preserve">            Channels 2</v>
      </c>
      <c r="B477" s="189">
        <f t="shared" ref="B477:S477" si="258">B437</f>
        <v>0</v>
      </c>
      <c r="C477" s="189">
        <f t="shared" si="258"/>
        <v>0</v>
      </c>
      <c r="D477" s="189">
        <f t="shared" si="258"/>
        <v>165</v>
      </c>
      <c r="E477" s="189">
        <f t="shared" si="258"/>
        <v>165</v>
      </c>
      <c r="F477" s="189">
        <f t="shared" si="258"/>
        <v>0</v>
      </c>
      <c r="G477" s="189">
        <f t="shared" si="258"/>
        <v>120</v>
      </c>
      <c r="H477" s="189">
        <f t="shared" si="258"/>
        <v>120</v>
      </c>
      <c r="I477" s="189">
        <f t="shared" si="258"/>
        <v>120</v>
      </c>
      <c r="J477" s="189">
        <f t="shared" si="258"/>
        <v>0</v>
      </c>
      <c r="K477" s="189">
        <f t="shared" si="258"/>
        <v>0</v>
      </c>
      <c r="L477" s="189">
        <f t="shared" si="258"/>
        <v>0</v>
      </c>
      <c r="M477" s="189">
        <f t="shared" si="258"/>
        <v>0</v>
      </c>
      <c r="N477" s="189">
        <f t="shared" si="258"/>
        <v>0</v>
      </c>
      <c r="O477" s="189">
        <f t="shared" si="258"/>
        <v>0</v>
      </c>
      <c r="P477" s="189">
        <f t="shared" si="258"/>
        <v>0</v>
      </c>
      <c r="Q477" s="189">
        <f t="shared" si="258"/>
        <v>0</v>
      </c>
      <c r="R477" s="189">
        <f t="shared" si="258"/>
        <v>0</v>
      </c>
      <c r="S477" s="294">
        <f t="shared" si="258"/>
        <v>0</v>
      </c>
    </row>
    <row r="478" spans="1:19" ht="12.75" customHeight="1" x14ac:dyDescent="0.2">
      <c r="A478" s="198" t="str">
        <f>"            "&amp;Labels!C316</f>
        <v xml:space="preserve">            Total</v>
      </c>
      <c r="B478" s="226">
        <f t="shared" ref="B478:S478" si="259">B438</f>
        <v>0</v>
      </c>
      <c r="C478" s="226">
        <f t="shared" si="259"/>
        <v>0</v>
      </c>
      <c r="D478" s="226">
        <f t="shared" si="259"/>
        <v>338.25</v>
      </c>
      <c r="E478" s="226">
        <f t="shared" si="259"/>
        <v>338.25</v>
      </c>
      <c r="F478" s="226">
        <f t="shared" si="259"/>
        <v>0</v>
      </c>
      <c r="G478" s="226">
        <f t="shared" si="259"/>
        <v>246</v>
      </c>
      <c r="H478" s="226">
        <f t="shared" si="259"/>
        <v>246</v>
      </c>
      <c r="I478" s="226">
        <f t="shared" si="259"/>
        <v>246</v>
      </c>
      <c r="J478" s="226">
        <f t="shared" si="259"/>
        <v>0</v>
      </c>
      <c r="K478" s="226">
        <f t="shared" si="259"/>
        <v>0</v>
      </c>
      <c r="L478" s="226">
        <f t="shared" si="259"/>
        <v>0</v>
      </c>
      <c r="M478" s="226">
        <f t="shared" si="259"/>
        <v>0</v>
      </c>
      <c r="N478" s="226">
        <f t="shared" si="259"/>
        <v>0</v>
      </c>
      <c r="O478" s="226">
        <f t="shared" si="259"/>
        <v>0</v>
      </c>
      <c r="P478" s="226">
        <f t="shared" si="259"/>
        <v>0</v>
      </c>
      <c r="Q478" s="226">
        <f t="shared" si="259"/>
        <v>0</v>
      </c>
      <c r="R478" s="226">
        <f t="shared" si="259"/>
        <v>0</v>
      </c>
      <c r="S478" s="279">
        <f t="shared" si="259"/>
        <v>0</v>
      </c>
    </row>
    <row r="479" spans="1:19" ht="12.75" customHeight="1" x14ac:dyDescent="0.2">
      <c r="A479" s="198" t="str">
        <f>"         "&amp;Labels!C384</f>
        <v xml:space="preserve">         Total</v>
      </c>
      <c r="B479" s="226">
        <f t="shared" ref="B479:S479" si="260">B439</f>
        <v>0</v>
      </c>
      <c r="C479" s="226">
        <f t="shared" si="260"/>
        <v>0</v>
      </c>
      <c r="D479" s="226">
        <f t="shared" si="260"/>
        <v>676.5</v>
      </c>
      <c r="E479" s="226">
        <f t="shared" si="260"/>
        <v>676.5</v>
      </c>
      <c r="F479" s="226">
        <f t="shared" si="260"/>
        <v>0</v>
      </c>
      <c r="G479" s="226">
        <f t="shared" si="260"/>
        <v>492</v>
      </c>
      <c r="H479" s="226">
        <f t="shared" si="260"/>
        <v>492</v>
      </c>
      <c r="I479" s="226">
        <f t="shared" si="260"/>
        <v>492</v>
      </c>
      <c r="J479" s="226">
        <f t="shared" si="260"/>
        <v>0</v>
      </c>
      <c r="K479" s="226">
        <f t="shared" si="260"/>
        <v>0</v>
      </c>
      <c r="L479" s="226">
        <f t="shared" si="260"/>
        <v>0</v>
      </c>
      <c r="M479" s="226">
        <f t="shared" si="260"/>
        <v>0</v>
      </c>
      <c r="N479" s="226">
        <f t="shared" si="260"/>
        <v>0</v>
      </c>
      <c r="O479" s="226">
        <f t="shared" si="260"/>
        <v>0</v>
      </c>
      <c r="P479" s="226">
        <f t="shared" si="260"/>
        <v>0</v>
      </c>
      <c r="Q479" s="226">
        <f t="shared" si="260"/>
        <v>0</v>
      </c>
      <c r="R479" s="226">
        <f t="shared" si="260"/>
        <v>0</v>
      </c>
      <c r="S479" s="279">
        <f t="shared" si="260"/>
        <v>0</v>
      </c>
    </row>
    <row r="480" spans="1:19" ht="12.75" customHeight="1" x14ac:dyDescent="0.2">
      <c r="A480" s="198" t="str">
        <f>"            "&amp;Labels!B317</f>
        <v xml:space="preserve">            Channels 1</v>
      </c>
      <c r="B480" s="189">
        <f t="shared" ref="B480:S480" si="261">B440</f>
        <v>0</v>
      </c>
      <c r="C480" s="189">
        <f t="shared" si="261"/>
        <v>0</v>
      </c>
      <c r="D480" s="189">
        <f t="shared" si="261"/>
        <v>346.5</v>
      </c>
      <c r="E480" s="189">
        <f t="shared" si="261"/>
        <v>346.5</v>
      </c>
      <c r="F480" s="189">
        <f t="shared" si="261"/>
        <v>0</v>
      </c>
      <c r="G480" s="189">
        <f t="shared" si="261"/>
        <v>252</v>
      </c>
      <c r="H480" s="189">
        <f t="shared" si="261"/>
        <v>252</v>
      </c>
      <c r="I480" s="189">
        <f t="shared" si="261"/>
        <v>252</v>
      </c>
      <c r="J480" s="189">
        <f t="shared" si="261"/>
        <v>0</v>
      </c>
      <c r="K480" s="189">
        <f t="shared" si="261"/>
        <v>0</v>
      </c>
      <c r="L480" s="189">
        <f t="shared" si="261"/>
        <v>0</v>
      </c>
      <c r="M480" s="189">
        <f t="shared" si="261"/>
        <v>0</v>
      </c>
      <c r="N480" s="189">
        <f t="shared" si="261"/>
        <v>0</v>
      </c>
      <c r="O480" s="189">
        <f t="shared" si="261"/>
        <v>0</v>
      </c>
      <c r="P480" s="189">
        <f t="shared" si="261"/>
        <v>0</v>
      </c>
      <c r="Q480" s="189">
        <f t="shared" si="261"/>
        <v>0</v>
      </c>
      <c r="R480" s="189">
        <f t="shared" si="261"/>
        <v>0</v>
      </c>
      <c r="S480" s="294">
        <f t="shared" si="261"/>
        <v>0</v>
      </c>
    </row>
    <row r="481" spans="1:19" ht="12.75" customHeight="1" x14ac:dyDescent="0.2">
      <c r="A481" s="198" t="str">
        <f>"            "&amp;Labels!B318</f>
        <v xml:space="preserve">            Channels 2</v>
      </c>
      <c r="B481" s="189">
        <f t="shared" ref="B481:S481" si="262">B441</f>
        <v>0</v>
      </c>
      <c r="C481" s="189">
        <f t="shared" si="262"/>
        <v>0</v>
      </c>
      <c r="D481" s="189">
        <f t="shared" si="262"/>
        <v>330</v>
      </c>
      <c r="E481" s="189">
        <f t="shared" si="262"/>
        <v>330</v>
      </c>
      <c r="F481" s="189">
        <f t="shared" si="262"/>
        <v>0</v>
      </c>
      <c r="G481" s="189">
        <f t="shared" si="262"/>
        <v>240</v>
      </c>
      <c r="H481" s="189">
        <f t="shared" si="262"/>
        <v>240</v>
      </c>
      <c r="I481" s="189">
        <f t="shared" si="262"/>
        <v>240</v>
      </c>
      <c r="J481" s="189">
        <f t="shared" si="262"/>
        <v>0</v>
      </c>
      <c r="K481" s="189">
        <f t="shared" si="262"/>
        <v>0</v>
      </c>
      <c r="L481" s="189">
        <f t="shared" si="262"/>
        <v>0</v>
      </c>
      <c r="M481" s="189">
        <f t="shared" si="262"/>
        <v>0</v>
      </c>
      <c r="N481" s="189">
        <f t="shared" si="262"/>
        <v>0</v>
      </c>
      <c r="O481" s="189">
        <f t="shared" si="262"/>
        <v>0</v>
      </c>
      <c r="P481" s="189">
        <f t="shared" si="262"/>
        <v>0</v>
      </c>
      <c r="Q481" s="189">
        <f t="shared" si="262"/>
        <v>0</v>
      </c>
      <c r="R481" s="189">
        <f t="shared" si="262"/>
        <v>0</v>
      </c>
      <c r="S481" s="294">
        <f t="shared" si="262"/>
        <v>0</v>
      </c>
    </row>
    <row r="482" spans="1:19" ht="12.75" customHeight="1" x14ac:dyDescent="0.2">
      <c r="A482" s="198" t="str">
        <f>"            "&amp;Labels!C316</f>
        <v xml:space="preserve">            Total</v>
      </c>
      <c r="B482" s="226">
        <f t="shared" ref="B482:S482" si="263">B439</f>
        <v>0</v>
      </c>
      <c r="C482" s="226">
        <f t="shared" si="263"/>
        <v>0</v>
      </c>
      <c r="D482" s="226">
        <f t="shared" si="263"/>
        <v>676.5</v>
      </c>
      <c r="E482" s="226">
        <f t="shared" si="263"/>
        <v>676.5</v>
      </c>
      <c r="F482" s="226">
        <f t="shared" si="263"/>
        <v>0</v>
      </c>
      <c r="G482" s="226">
        <f t="shared" si="263"/>
        <v>492</v>
      </c>
      <c r="H482" s="226">
        <f t="shared" si="263"/>
        <v>492</v>
      </c>
      <c r="I482" s="226">
        <f t="shared" si="263"/>
        <v>492</v>
      </c>
      <c r="J482" s="226">
        <f t="shared" si="263"/>
        <v>0</v>
      </c>
      <c r="K482" s="226">
        <f t="shared" si="263"/>
        <v>0</v>
      </c>
      <c r="L482" s="226">
        <f t="shared" si="263"/>
        <v>0</v>
      </c>
      <c r="M482" s="226">
        <f t="shared" si="263"/>
        <v>0</v>
      </c>
      <c r="N482" s="226">
        <f t="shared" si="263"/>
        <v>0</v>
      </c>
      <c r="O482" s="226">
        <f t="shared" si="263"/>
        <v>0</v>
      </c>
      <c r="P482" s="226">
        <f t="shared" si="263"/>
        <v>0</v>
      </c>
      <c r="Q482" s="226">
        <f t="shared" si="263"/>
        <v>0</v>
      </c>
      <c r="R482" s="226">
        <f t="shared" si="263"/>
        <v>0</v>
      </c>
      <c r="S482" s="279">
        <f t="shared" si="263"/>
        <v>0</v>
      </c>
    </row>
    <row r="483" spans="1:19" ht="12.75" customHeight="1" x14ac:dyDescent="0.2">
      <c r="A483" s="198" t="str">
        <f>"      "&amp;Labels!B382</f>
        <v xml:space="preserve">      Practice 2</v>
      </c>
      <c r="B483" s="226"/>
      <c r="C483" s="226"/>
      <c r="D483" s="226"/>
      <c r="E483" s="226"/>
      <c r="F483" s="226"/>
      <c r="G483" s="226"/>
      <c r="H483" s="226"/>
      <c r="I483" s="226"/>
      <c r="J483" s="226"/>
      <c r="K483" s="226"/>
      <c r="L483" s="226"/>
      <c r="M483" s="226"/>
      <c r="N483" s="226"/>
      <c r="O483" s="226"/>
      <c r="P483" s="226"/>
      <c r="Q483" s="226"/>
      <c r="R483" s="226"/>
      <c r="S483" s="279"/>
    </row>
    <row r="484" spans="1:19" ht="12.75" customHeight="1" x14ac:dyDescent="0.2">
      <c r="A484" s="198" t="str">
        <f>"         "&amp;Labels!B385</f>
        <v xml:space="preserve">         Prof Level 1</v>
      </c>
      <c r="B484" s="226"/>
      <c r="C484" s="226"/>
      <c r="D484" s="226"/>
      <c r="E484" s="226"/>
      <c r="F484" s="226"/>
      <c r="G484" s="226"/>
      <c r="H484" s="226"/>
      <c r="I484" s="226"/>
      <c r="J484" s="226"/>
      <c r="K484" s="226"/>
      <c r="L484" s="226"/>
      <c r="M484" s="226"/>
      <c r="N484" s="226"/>
      <c r="O484" s="226"/>
      <c r="P484" s="226"/>
      <c r="Q484" s="226"/>
      <c r="R484" s="226"/>
      <c r="S484" s="279"/>
    </row>
    <row r="485" spans="1:19" ht="12.75" customHeight="1" x14ac:dyDescent="0.2">
      <c r="A485" s="198" t="str">
        <f>"            "&amp;Labels!B317</f>
        <v xml:space="preserve">            Channels 1</v>
      </c>
      <c r="B485" s="189">
        <f t="shared" ref="B485:S485" si="264">B445</f>
        <v>0</v>
      </c>
      <c r="C485" s="189">
        <f t="shared" si="264"/>
        <v>0</v>
      </c>
      <c r="D485" s="189">
        <f t="shared" si="264"/>
        <v>0</v>
      </c>
      <c r="E485" s="189">
        <f t="shared" si="264"/>
        <v>0</v>
      </c>
      <c r="F485" s="189">
        <f t="shared" si="264"/>
        <v>0</v>
      </c>
      <c r="G485" s="189">
        <f t="shared" si="264"/>
        <v>0</v>
      </c>
      <c r="H485" s="189">
        <f t="shared" si="264"/>
        <v>0</v>
      </c>
      <c r="I485" s="189">
        <f t="shared" si="264"/>
        <v>0</v>
      </c>
      <c r="J485" s="189">
        <f t="shared" si="264"/>
        <v>0</v>
      </c>
      <c r="K485" s="189">
        <f t="shared" si="264"/>
        <v>0</v>
      </c>
      <c r="L485" s="189">
        <f t="shared" si="264"/>
        <v>0</v>
      </c>
      <c r="M485" s="189">
        <f t="shared" si="264"/>
        <v>0</v>
      </c>
      <c r="N485" s="189">
        <f t="shared" si="264"/>
        <v>0</v>
      </c>
      <c r="O485" s="189">
        <f t="shared" si="264"/>
        <v>0</v>
      </c>
      <c r="P485" s="189">
        <f t="shared" si="264"/>
        <v>0</v>
      </c>
      <c r="Q485" s="189">
        <f t="shared" si="264"/>
        <v>0</v>
      </c>
      <c r="R485" s="189">
        <f t="shared" si="264"/>
        <v>0</v>
      </c>
      <c r="S485" s="294">
        <f t="shared" si="264"/>
        <v>0</v>
      </c>
    </row>
    <row r="486" spans="1:19" ht="12.75" customHeight="1" x14ac:dyDescent="0.2">
      <c r="A486" s="198" t="str">
        <f>"            "&amp;Labels!B318</f>
        <v xml:space="preserve">            Channels 2</v>
      </c>
      <c r="B486" s="189">
        <f t="shared" ref="B486:S486" si="265">B446</f>
        <v>0</v>
      </c>
      <c r="C486" s="189">
        <f t="shared" si="265"/>
        <v>0</v>
      </c>
      <c r="D486" s="189">
        <f t="shared" si="265"/>
        <v>0</v>
      </c>
      <c r="E486" s="189">
        <f t="shared" si="265"/>
        <v>0</v>
      </c>
      <c r="F486" s="189">
        <f t="shared" si="265"/>
        <v>0</v>
      </c>
      <c r="G486" s="189">
        <f t="shared" si="265"/>
        <v>0</v>
      </c>
      <c r="H486" s="189">
        <f t="shared" si="265"/>
        <v>0</v>
      </c>
      <c r="I486" s="189">
        <f t="shared" si="265"/>
        <v>0</v>
      </c>
      <c r="J486" s="189">
        <f t="shared" si="265"/>
        <v>0</v>
      </c>
      <c r="K486" s="189">
        <f t="shared" si="265"/>
        <v>0</v>
      </c>
      <c r="L486" s="189">
        <f t="shared" si="265"/>
        <v>0</v>
      </c>
      <c r="M486" s="189">
        <f t="shared" si="265"/>
        <v>0</v>
      </c>
      <c r="N486" s="189">
        <f t="shared" si="265"/>
        <v>0</v>
      </c>
      <c r="O486" s="189">
        <f t="shared" si="265"/>
        <v>0</v>
      </c>
      <c r="P486" s="189">
        <f t="shared" si="265"/>
        <v>0</v>
      </c>
      <c r="Q486" s="189">
        <f t="shared" si="265"/>
        <v>0</v>
      </c>
      <c r="R486" s="189">
        <f t="shared" si="265"/>
        <v>0</v>
      </c>
      <c r="S486" s="294">
        <f t="shared" si="265"/>
        <v>0</v>
      </c>
    </row>
    <row r="487" spans="1:19" ht="12.75" customHeight="1" x14ac:dyDescent="0.2">
      <c r="A487" s="198" t="str">
        <f>"            "&amp;Labels!C316</f>
        <v xml:space="preserve">            Total</v>
      </c>
      <c r="B487" s="226">
        <f t="shared" ref="B487:S487" si="266">B447</f>
        <v>0</v>
      </c>
      <c r="C487" s="226">
        <f t="shared" si="266"/>
        <v>0</v>
      </c>
      <c r="D487" s="226">
        <f t="shared" si="266"/>
        <v>0</v>
      </c>
      <c r="E487" s="226">
        <f t="shared" si="266"/>
        <v>0</v>
      </c>
      <c r="F487" s="226">
        <f t="shared" si="266"/>
        <v>0</v>
      </c>
      <c r="G487" s="226">
        <f t="shared" si="266"/>
        <v>0</v>
      </c>
      <c r="H487" s="226">
        <f t="shared" si="266"/>
        <v>0</v>
      </c>
      <c r="I487" s="226">
        <f t="shared" si="266"/>
        <v>0</v>
      </c>
      <c r="J487" s="226">
        <f t="shared" si="266"/>
        <v>0</v>
      </c>
      <c r="K487" s="226">
        <f t="shared" si="266"/>
        <v>0</v>
      </c>
      <c r="L487" s="226">
        <f t="shared" si="266"/>
        <v>0</v>
      </c>
      <c r="M487" s="226">
        <f t="shared" si="266"/>
        <v>0</v>
      </c>
      <c r="N487" s="226">
        <f t="shared" si="266"/>
        <v>0</v>
      </c>
      <c r="O487" s="226">
        <f t="shared" si="266"/>
        <v>0</v>
      </c>
      <c r="P487" s="226">
        <f t="shared" si="266"/>
        <v>0</v>
      </c>
      <c r="Q487" s="226">
        <f t="shared" si="266"/>
        <v>0</v>
      </c>
      <c r="R487" s="226">
        <f t="shared" si="266"/>
        <v>0</v>
      </c>
      <c r="S487" s="279">
        <f t="shared" si="266"/>
        <v>0</v>
      </c>
    </row>
    <row r="488" spans="1:19" ht="12.75" customHeight="1" x14ac:dyDescent="0.2">
      <c r="A488" s="198" t="str">
        <f>"         "&amp;Labels!B386</f>
        <v xml:space="preserve">         Prof Level 2</v>
      </c>
      <c r="B488" s="226"/>
      <c r="C488" s="226"/>
      <c r="D488" s="226"/>
      <c r="E488" s="226"/>
      <c r="F488" s="226"/>
      <c r="G488" s="226"/>
      <c r="H488" s="226"/>
      <c r="I488" s="226"/>
      <c r="J488" s="226"/>
      <c r="K488" s="226"/>
      <c r="L488" s="226"/>
      <c r="M488" s="226"/>
      <c r="N488" s="226"/>
      <c r="O488" s="226"/>
      <c r="P488" s="226"/>
      <c r="Q488" s="226"/>
      <c r="R488" s="226"/>
      <c r="S488" s="279"/>
    </row>
    <row r="489" spans="1:19" ht="12.75" customHeight="1" x14ac:dyDescent="0.2">
      <c r="A489" s="198" t="str">
        <f>"            "&amp;Labels!B317</f>
        <v xml:space="preserve">            Channels 1</v>
      </c>
      <c r="B489" s="189">
        <f t="shared" ref="B489:S489" si="267">B449</f>
        <v>0</v>
      </c>
      <c r="C489" s="189">
        <f t="shared" si="267"/>
        <v>0</v>
      </c>
      <c r="D489" s="189">
        <f t="shared" si="267"/>
        <v>0</v>
      </c>
      <c r="E489" s="189">
        <f t="shared" si="267"/>
        <v>0</v>
      </c>
      <c r="F489" s="189">
        <f t="shared" si="267"/>
        <v>0</v>
      </c>
      <c r="G489" s="189">
        <f t="shared" si="267"/>
        <v>0</v>
      </c>
      <c r="H489" s="189">
        <f t="shared" si="267"/>
        <v>0</v>
      </c>
      <c r="I489" s="189">
        <f t="shared" si="267"/>
        <v>0</v>
      </c>
      <c r="J489" s="189">
        <f t="shared" si="267"/>
        <v>0</v>
      </c>
      <c r="K489" s="189">
        <f t="shared" si="267"/>
        <v>0</v>
      </c>
      <c r="L489" s="189">
        <f t="shared" si="267"/>
        <v>0</v>
      </c>
      <c r="M489" s="189">
        <f t="shared" si="267"/>
        <v>0</v>
      </c>
      <c r="N489" s="189">
        <f t="shared" si="267"/>
        <v>0</v>
      </c>
      <c r="O489" s="189">
        <f t="shared" si="267"/>
        <v>0</v>
      </c>
      <c r="P489" s="189">
        <f t="shared" si="267"/>
        <v>0</v>
      </c>
      <c r="Q489" s="189">
        <f t="shared" si="267"/>
        <v>0</v>
      </c>
      <c r="R489" s="189">
        <f t="shared" si="267"/>
        <v>0</v>
      </c>
      <c r="S489" s="294">
        <f t="shared" si="267"/>
        <v>0</v>
      </c>
    </row>
    <row r="490" spans="1:19" ht="12.75" customHeight="1" x14ac:dyDescent="0.2">
      <c r="A490" s="198" t="str">
        <f>"            "&amp;Labels!B318</f>
        <v xml:space="preserve">            Channels 2</v>
      </c>
      <c r="B490" s="189">
        <f t="shared" ref="B490:S490" si="268">B450</f>
        <v>0</v>
      </c>
      <c r="C490" s="189">
        <f t="shared" si="268"/>
        <v>0</v>
      </c>
      <c r="D490" s="189">
        <f t="shared" si="268"/>
        <v>0</v>
      </c>
      <c r="E490" s="189">
        <f t="shared" si="268"/>
        <v>0</v>
      </c>
      <c r="F490" s="189">
        <f t="shared" si="268"/>
        <v>0</v>
      </c>
      <c r="G490" s="189">
        <f t="shared" si="268"/>
        <v>0</v>
      </c>
      <c r="H490" s="189">
        <f t="shared" si="268"/>
        <v>0</v>
      </c>
      <c r="I490" s="189">
        <f t="shared" si="268"/>
        <v>0</v>
      </c>
      <c r="J490" s="189">
        <f t="shared" si="268"/>
        <v>0</v>
      </c>
      <c r="K490" s="189">
        <f t="shared" si="268"/>
        <v>0</v>
      </c>
      <c r="L490" s="189">
        <f t="shared" si="268"/>
        <v>0</v>
      </c>
      <c r="M490" s="189">
        <f t="shared" si="268"/>
        <v>0</v>
      </c>
      <c r="N490" s="189">
        <f t="shared" si="268"/>
        <v>0</v>
      </c>
      <c r="O490" s="189">
        <f t="shared" si="268"/>
        <v>0</v>
      </c>
      <c r="P490" s="189">
        <f t="shared" si="268"/>
        <v>0</v>
      </c>
      <c r="Q490" s="189">
        <f t="shared" si="268"/>
        <v>0</v>
      </c>
      <c r="R490" s="189">
        <f t="shared" si="268"/>
        <v>0</v>
      </c>
      <c r="S490" s="294">
        <f t="shared" si="268"/>
        <v>0</v>
      </c>
    </row>
    <row r="491" spans="1:19" ht="12.75" customHeight="1" x14ac:dyDescent="0.2">
      <c r="A491" s="198" t="str">
        <f>"            "&amp;Labels!C316</f>
        <v xml:space="preserve">            Total</v>
      </c>
      <c r="B491" s="226">
        <f t="shared" ref="B491:S491" si="269">B451</f>
        <v>0</v>
      </c>
      <c r="C491" s="226">
        <f t="shared" si="269"/>
        <v>0</v>
      </c>
      <c r="D491" s="226">
        <f t="shared" si="269"/>
        <v>0</v>
      </c>
      <c r="E491" s="226">
        <f t="shared" si="269"/>
        <v>0</v>
      </c>
      <c r="F491" s="226">
        <f t="shared" si="269"/>
        <v>0</v>
      </c>
      <c r="G491" s="226">
        <f t="shared" si="269"/>
        <v>0</v>
      </c>
      <c r="H491" s="226">
        <f t="shared" si="269"/>
        <v>0</v>
      </c>
      <c r="I491" s="226">
        <f t="shared" si="269"/>
        <v>0</v>
      </c>
      <c r="J491" s="226">
        <f t="shared" si="269"/>
        <v>0</v>
      </c>
      <c r="K491" s="226">
        <f t="shared" si="269"/>
        <v>0</v>
      </c>
      <c r="L491" s="226">
        <f t="shared" si="269"/>
        <v>0</v>
      </c>
      <c r="M491" s="226">
        <f t="shared" si="269"/>
        <v>0</v>
      </c>
      <c r="N491" s="226">
        <f t="shared" si="269"/>
        <v>0</v>
      </c>
      <c r="O491" s="226">
        <f t="shared" si="269"/>
        <v>0</v>
      </c>
      <c r="P491" s="226">
        <f t="shared" si="269"/>
        <v>0</v>
      </c>
      <c r="Q491" s="226">
        <f t="shared" si="269"/>
        <v>0</v>
      </c>
      <c r="R491" s="226">
        <f t="shared" si="269"/>
        <v>0</v>
      </c>
      <c r="S491" s="279">
        <f t="shared" si="269"/>
        <v>0</v>
      </c>
    </row>
    <row r="492" spans="1:19" ht="12.75" customHeight="1" x14ac:dyDescent="0.2">
      <c r="A492" s="198" t="str">
        <f>"         "&amp;Labels!C384</f>
        <v xml:space="preserve">         Total</v>
      </c>
      <c r="B492" s="226">
        <f t="shared" ref="B492:S492" si="270">B452</f>
        <v>0</v>
      </c>
      <c r="C492" s="226">
        <f t="shared" si="270"/>
        <v>0</v>
      </c>
      <c r="D492" s="226">
        <f t="shared" si="270"/>
        <v>0</v>
      </c>
      <c r="E492" s="226">
        <f t="shared" si="270"/>
        <v>0</v>
      </c>
      <c r="F492" s="226">
        <f t="shared" si="270"/>
        <v>0</v>
      </c>
      <c r="G492" s="226">
        <f t="shared" si="270"/>
        <v>0</v>
      </c>
      <c r="H492" s="226">
        <f t="shared" si="270"/>
        <v>0</v>
      </c>
      <c r="I492" s="226">
        <f t="shared" si="270"/>
        <v>0</v>
      </c>
      <c r="J492" s="226">
        <f t="shared" si="270"/>
        <v>0</v>
      </c>
      <c r="K492" s="226">
        <f t="shared" si="270"/>
        <v>0</v>
      </c>
      <c r="L492" s="226">
        <f t="shared" si="270"/>
        <v>0</v>
      </c>
      <c r="M492" s="226">
        <f t="shared" si="270"/>
        <v>0</v>
      </c>
      <c r="N492" s="226">
        <f t="shared" si="270"/>
        <v>0</v>
      </c>
      <c r="O492" s="226">
        <f t="shared" si="270"/>
        <v>0</v>
      </c>
      <c r="P492" s="226">
        <f t="shared" si="270"/>
        <v>0</v>
      </c>
      <c r="Q492" s="226">
        <f t="shared" si="270"/>
        <v>0</v>
      </c>
      <c r="R492" s="226">
        <f t="shared" si="270"/>
        <v>0</v>
      </c>
      <c r="S492" s="279">
        <f t="shared" si="270"/>
        <v>0</v>
      </c>
    </row>
    <row r="493" spans="1:19" ht="12.75" customHeight="1" x14ac:dyDescent="0.2">
      <c r="A493" s="198" t="str">
        <f>"            "&amp;Labels!B317</f>
        <v xml:space="preserve">            Channels 1</v>
      </c>
      <c r="B493" s="189">
        <f t="shared" ref="B493:S493" si="271">B453</f>
        <v>0</v>
      </c>
      <c r="C493" s="189">
        <f t="shared" si="271"/>
        <v>0</v>
      </c>
      <c r="D493" s="189">
        <f t="shared" si="271"/>
        <v>0</v>
      </c>
      <c r="E493" s="189">
        <f t="shared" si="271"/>
        <v>0</v>
      </c>
      <c r="F493" s="189">
        <f t="shared" si="271"/>
        <v>0</v>
      </c>
      <c r="G493" s="189">
        <f t="shared" si="271"/>
        <v>0</v>
      </c>
      <c r="H493" s="189">
        <f t="shared" si="271"/>
        <v>0</v>
      </c>
      <c r="I493" s="189">
        <f t="shared" si="271"/>
        <v>0</v>
      </c>
      <c r="J493" s="189">
        <f t="shared" si="271"/>
        <v>0</v>
      </c>
      <c r="K493" s="189">
        <f t="shared" si="271"/>
        <v>0</v>
      </c>
      <c r="L493" s="189">
        <f t="shared" si="271"/>
        <v>0</v>
      </c>
      <c r="M493" s="189">
        <f t="shared" si="271"/>
        <v>0</v>
      </c>
      <c r="N493" s="189">
        <f t="shared" si="271"/>
        <v>0</v>
      </c>
      <c r="O493" s="189">
        <f t="shared" si="271"/>
        <v>0</v>
      </c>
      <c r="P493" s="189">
        <f t="shared" si="271"/>
        <v>0</v>
      </c>
      <c r="Q493" s="189">
        <f t="shared" si="271"/>
        <v>0</v>
      </c>
      <c r="R493" s="189">
        <f t="shared" si="271"/>
        <v>0</v>
      </c>
      <c r="S493" s="294">
        <f t="shared" si="271"/>
        <v>0</v>
      </c>
    </row>
    <row r="494" spans="1:19" ht="12.75" customHeight="1" x14ac:dyDescent="0.2">
      <c r="A494" s="198" t="str">
        <f>"            "&amp;Labels!B318</f>
        <v xml:space="preserve">            Channels 2</v>
      </c>
      <c r="B494" s="189">
        <f t="shared" ref="B494:S494" si="272">B454</f>
        <v>0</v>
      </c>
      <c r="C494" s="189">
        <f t="shared" si="272"/>
        <v>0</v>
      </c>
      <c r="D494" s="189">
        <f t="shared" si="272"/>
        <v>0</v>
      </c>
      <c r="E494" s="189">
        <f t="shared" si="272"/>
        <v>0</v>
      </c>
      <c r="F494" s="189">
        <f t="shared" si="272"/>
        <v>0</v>
      </c>
      <c r="G494" s="189">
        <f t="shared" si="272"/>
        <v>0</v>
      </c>
      <c r="H494" s="189">
        <f t="shared" si="272"/>
        <v>0</v>
      </c>
      <c r="I494" s="189">
        <f t="shared" si="272"/>
        <v>0</v>
      </c>
      <c r="J494" s="189">
        <f t="shared" si="272"/>
        <v>0</v>
      </c>
      <c r="K494" s="189">
        <f t="shared" si="272"/>
        <v>0</v>
      </c>
      <c r="L494" s="189">
        <f t="shared" si="272"/>
        <v>0</v>
      </c>
      <c r="M494" s="189">
        <f t="shared" si="272"/>
        <v>0</v>
      </c>
      <c r="N494" s="189">
        <f t="shared" si="272"/>
        <v>0</v>
      </c>
      <c r="O494" s="189">
        <f t="shared" si="272"/>
        <v>0</v>
      </c>
      <c r="P494" s="189">
        <f t="shared" si="272"/>
        <v>0</v>
      </c>
      <c r="Q494" s="189">
        <f t="shared" si="272"/>
        <v>0</v>
      </c>
      <c r="R494" s="189">
        <f t="shared" si="272"/>
        <v>0</v>
      </c>
      <c r="S494" s="294">
        <f t="shared" si="272"/>
        <v>0</v>
      </c>
    </row>
    <row r="495" spans="1:19" ht="12.75" customHeight="1" x14ac:dyDescent="0.2">
      <c r="A495" s="198" t="str">
        <f>"            "&amp;Labels!C316</f>
        <v xml:space="preserve">            Total</v>
      </c>
      <c r="B495" s="226">
        <f t="shared" ref="B495:S495" si="273">B452</f>
        <v>0</v>
      </c>
      <c r="C495" s="226">
        <f t="shared" si="273"/>
        <v>0</v>
      </c>
      <c r="D495" s="226">
        <f t="shared" si="273"/>
        <v>0</v>
      </c>
      <c r="E495" s="226">
        <f t="shared" si="273"/>
        <v>0</v>
      </c>
      <c r="F495" s="226">
        <f t="shared" si="273"/>
        <v>0</v>
      </c>
      <c r="G495" s="226">
        <f t="shared" si="273"/>
        <v>0</v>
      </c>
      <c r="H495" s="226">
        <f t="shared" si="273"/>
        <v>0</v>
      </c>
      <c r="I495" s="226">
        <f t="shared" si="273"/>
        <v>0</v>
      </c>
      <c r="J495" s="226">
        <f t="shared" si="273"/>
        <v>0</v>
      </c>
      <c r="K495" s="226">
        <f t="shared" si="273"/>
        <v>0</v>
      </c>
      <c r="L495" s="226">
        <f t="shared" si="273"/>
        <v>0</v>
      </c>
      <c r="M495" s="226">
        <f t="shared" si="273"/>
        <v>0</v>
      </c>
      <c r="N495" s="226">
        <f t="shared" si="273"/>
        <v>0</v>
      </c>
      <c r="O495" s="226">
        <f t="shared" si="273"/>
        <v>0</v>
      </c>
      <c r="P495" s="226">
        <f t="shared" si="273"/>
        <v>0</v>
      </c>
      <c r="Q495" s="226">
        <f t="shared" si="273"/>
        <v>0</v>
      </c>
      <c r="R495" s="226">
        <f t="shared" si="273"/>
        <v>0</v>
      </c>
      <c r="S495" s="279">
        <f t="shared" si="273"/>
        <v>0</v>
      </c>
    </row>
    <row r="496" spans="1:19" ht="12.75" customHeight="1" x14ac:dyDescent="0.2">
      <c r="A496" s="188" t="str">
        <f>"      "&amp;Labels!C380</f>
        <v xml:space="preserve">      Total</v>
      </c>
      <c r="B496" s="196">
        <f t="shared" ref="B496:S496" si="274">B456</f>
        <v>0</v>
      </c>
      <c r="C496" s="196">
        <f t="shared" si="274"/>
        <v>0</v>
      </c>
      <c r="D496" s="196">
        <f t="shared" si="274"/>
        <v>676.5</v>
      </c>
      <c r="E496" s="196">
        <f t="shared" si="274"/>
        <v>676.5</v>
      </c>
      <c r="F496" s="196">
        <f t="shared" si="274"/>
        <v>0</v>
      </c>
      <c r="G496" s="196">
        <f t="shared" si="274"/>
        <v>492</v>
      </c>
      <c r="H496" s="196">
        <f t="shared" si="274"/>
        <v>492</v>
      </c>
      <c r="I496" s="196">
        <f t="shared" si="274"/>
        <v>492</v>
      </c>
      <c r="J496" s="196">
        <f t="shared" si="274"/>
        <v>0</v>
      </c>
      <c r="K496" s="196">
        <f t="shared" si="274"/>
        <v>0</v>
      </c>
      <c r="L496" s="196">
        <f t="shared" si="274"/>
        <v>0</v>
      </c>
      <c r="M496" s="196">
        <f t="shared" si="274"/>
        <v>0</v>
      </c>
      <c r="N496" s="196">
        <f t="shared" si="274"/>
        <v>0</v>
      </c>
      <c r="O496" s="196">
        <f t="shared" si="274"/>
        <v>0</v>
      </c>
      <c r="P496" s="196">
        <f t="shared" si="274"/>
        <v>0</v>
      </c>
      <c r="Q496" s="196">
        <f t="shared" si="274"/>
        <v>0</v>
      </c>
      <c r="R496" s="196">
        <f t="shared" si="274"/>
        <v>0</v>
      </c>
      <c r="S496" s="267">
        <f t="shared" si="274"/>
        <v>0</v>
      </c>
    </row>
    <row r="497" spans="1:19" ht="12.75" customHeight="1" x14ac:dyDescent="0.2">
      <c r="A497" s="198" t="str">
        <f>"         "&amp;Labels!B385</f>
        <v xml:space="preserve">         Prof Level 1</v>
      </c>
      <c r="B497" s="226"/>
      <c r="C497" s="226"/>
      <c r="D497" s="226"/>
      <c r="E497" s="226"/>
      <c r="F497" s="226"/>
      <c r="G497" s="226"/>
      <c r="H497" s="226"/>
      <c r="I497" s="226"/>
      <c r="J497" s="226"/>
      <c r="K497" s="226"/>
      <c r="L497" s="226"/>
      <c r="M497" s="226"/>
      <c r="N497" s="226"/>
      <c r="O497" s="226"/>
      <c r="P497" s="226"/>
      <c r="Q497" s="226"/>
      <c r="R497" s="226"/>
      <c r="S497" s="279"/>
    </row>
    <row r="498" spans="1:19" ht="12.75" customHeight="1" x14ac:dyDescent="0.2">
      <c r="A498" s="198" t="str">
        <f>"            "&amp;Labels!B317</f>
        <v xml:space="preserve">            Channels 1</v>
      </c>
      <c r="B498" s="189">
        <f t="shared" ref="B498:S498" si="275">B458</f>
        <v>0</v>
      </c>
      <c r="C498" s="189">
        <f t="shared" si="275"/>
        <v>0</v>
      </c>
      <c r="D498" s="189">
        <f t="shared" si="275"/>
        <v>173.25</v>
      </c>
      <c r="E498" s="189">
        <f t="shared" si="275"/>
        <v>173.25</v>
      </c>
      <c r="F498" s="189">
        <f t="shared" si="275"/>
        <v>0</v>
      </c>
      <c r="G498" s="189">
        <f t="shared" si="275"/>
        <v>126</v>
      </c>
      <c r="H498" s="189">
        <f t="shared" si="275"/>
        <v>126</v>
      </c>
      <c r="I498" s="189">
        <f t="shared" si="275"/>
        <v>126</v>
      </c>
      <c r="J498" s="189">
        <f t="shared" si="275"/>
        <v>0</v>
      </c>
      <c r="K498" s="189">
        <f t="shared" si="275"/>
        <v>0</v>
      </c>
      <c r="L498" s="189">
        <f t="shared" si="275"/>
        <v>0</v>
      </c>
      <c r="M498" s="189">
        <f t="shared" si="275"/>
        <v>0</v>
      </c>
      <c r="N498" s="189">
        <f t="shared" si="275"/>
        <v>0</v>
      </c>
      <c r="O498" s="189">
        <f t="shared" si="275"/>
        <v>0</v>
      </c>
      <c r="P498" s="189">
        <f t="shared" si="275"/>
        <v>0</v>
      </c>
      <c r="Q498" s="189">
        <f t="shared" si="275"/>
        <v>0</v>
      </c>
      <c r="R498" s="189">
        <f t="shared" si="275"/>
        <v>0</v>
      </c>
      <c r="S498" s="294">
        <f t="shared" si="275"/>
        <v>0</v>
      </c>
    </row>
    <row r="499" spans="1:19" ht="12.75" customHeight="1" x14ac:dyDescent="0.2">
      <c r="A499" s="198" t="str">
        <f>"            "&amp;Labels!B318</f>
        <v xml:space="preserve">            Channels 2</v>
      </c>
      <c r="B499" s="189">
        <f t="shared" ref="B499:S499" si="276">B459</f>
        <v>0</v>
      </c>
      <c r="C499" s="189">
        <f t="shared" si="276"/>
        <v>0</v>
      </c>
      <c r="D499" s="189">
        <f t="shared" si="276"/>
        <v>165</v>
      </c>
      <c r="E499" s="189">
        <f t="shared" si="276"/>
        <v>165</v>
      </c>
      <c r="F499" s="189">
        <f t="shared" si="276"/>
        <v>0</v>
      </c>
      <c r="G499" s="189">
        <f t="shared" si="276"/>
        <v>120</v>
      </c>
      <c r="H499" s="189">
        <f t="shared" si="276"/>
        <v>120</v>
      </c>
      <c r="I499" s="189">
        <f t="shared" si="276"/>
        <v>120</v>
      </c>
      <c r="J499" s="189">
        <f t="shared" si="276"/>
        <v>0</v>
      </c>
      <c r="K499" s="189">
        <f t="shared" si="276"/>
        <v>0</v>
      </c>
      <c r="L499" s="189">
        <f t="shared" si="276"/>
        <v>0</v>
      </c>
      <c r="M499" s="189">
        <f t="shared" si="276"/>
        <v>0</v>
      </c>
      <c r="N499" s="189">
        <f t="shared" si="276"/>
        <v>0</v>
      </c>
      <c r="O499" s="189">
        <f t="shared" si="276"/>
        <v>0</v>
      </c>
      <c r="P499" s="189">
        <f t="shared" si="276"/>
        <v>0</v>
      </c>
      <c r="Q499" s="189">
        <f t="shared" si="276"/>
        <v>0</v>
      </c>
      <c r="R499" s="189">
        <f t="shared" si="276"/>
        <v>0</v>
      </c>
      <c r="S499" s="294">
        <f t="shared" si="276"/>
        <v>0</v>
      </c>
    </row>
    <row r="500" spans="1:19" ht="12.75" customHeight="1" x14ac:dyDescent="0.2">
      <c r="A500" s="198" t="str">
        <f>"            "&amp;Labels!C316</f>
        <v xml:space="preserve">            Total</v>
      </c>
      <c r="B500" s="226">
        <f t="shared" ref="B500:S500" si="277">B460</f>
        <v>0</v>
      </c>
      <c r="C500" s="226">
        <f t="shared" si="277"/>
        <v>0</v>
      </c>
      <c r="D500" s="226">
        <f t="shared" si="277"/>
        <v>338.25</v>
      </c>
      <c r="E500" s="226">
        <f t="shared" si="277"/>
        <v>338.25</v>
      </c>
      <c r="F500" s="226">
        <f t="shared" si="277"/>
        <v>0</v>
      </c>
      <c r="G500" s="226">
        <f t="shared" si="277"/>
        <v>246</v>
      </c>
      <c r="H500" s="226">
        <f t="shared" si="277"/>
        <v>246</v>
      </c>
      <c r="I500" s="226">
        <f t="shared" si="277"/>
        <v>246</v>
      </c>
      <c r="J500" s="226">
        <f t="shared" si="277"/>
        <v>0</v>
      </c>
      <c r="K500" s="226">
        <f t="shared" si="277"/>
        <v>0</v>
      </c>
      <c r="L500" s="226">
        <f t="shared" si="277"/>
        <v>0</v>
      </c>
      <c r="M500" s="226">
        <f t="shared" si="277"/>
        <v>0</v>
      </c>
      <c r="N500" s="226">
        <f t="shared" si="277"/>
        <v>0</v>
      </c>
      <c r="O500" s="226">
        <f t="shared" si="277"/>
        <v>0</v>
      </c>
      <c r="P500" s="226">
        <f t="shared" si="277"/>
        <v>0</v>
      </c>
      <c r="Q500" s="226">
        <f t="shared" si="277"/>
        <v>0</v>
      </c>
      <c r="R500" s="226">
        <f t="shared" si="277"/>
        <v>0</v>
      </c>
      <c r="S500" s="279">
        <f t="shared" si="277"/>
        <v>0</v>
      </c>
    </row>
    <row r="501" spans="1:19" ht="12.75" customHeight="1" x14ac:dyDescent="0.2">
      <c r="A501" s="198" t="str">
        <f>"         "&amp;Labels!B386</f>
        <v xml:space="preserve">         Prof Level 2</v>
      </c>
      <c r="B501" s="226"/>
      <c r="C501" s="226"/>
      <c r="D501" s="226"/>
      <c r="E501" s="226"/>
      <c r="F501" s="226"/>
      <c r="G501" s="226"/>
      <c r="H501" s="226"/>
      <c r="I501" s="226"/>
      <c r="J501" s="226"/>
      <c r="K501" s="226"/>
      <c r="L501" s="226"/>
      <c r="M501" s="226"/>
      <c r="N501" s="226"/>
      <c r="O501" s="226"/>
      <c r="P501" s="226"/>
      <c r="Q501" s="226"/>
      <c r="R501" s="226"/>
      <c r="S501" s="279"/>
    </row>
    <row r="502" spans="1:19" ht="12.75" customHeight="1" x14ac:dyDescent="0.2">
      <c r="A502" s="198" t="str">
        <f>"            "&amp;Labels!B317</f>
        <v xml:space="preserve">            Channels 1</v>
      </c>
      <c r="B502" s="189">
        <f t="shared" ref="B502:S502" si="278">B462</f>
        <v>0</v>
      </c>
      <c r="C502" s="189">
        <f t="shared" si="278"/>
        <v>0</v>
      </c>
      <c r="D502" s="189">
        <f t="shared" si="278"/>
        <v>173.25</v>
      </c>
      <c r="E502" s="189">
        <f t="shared" si="278"/>
        <v>173.25</v>
      </c>
      <c r="F502" s="189">
        <f t="shared" si="278"/>
        <v>0</v>
      </c>
      <c r="G502" s="189">
        <f t="shared" si="278"/>
        <v>126</v>
      </c>
      <c r="H502" s="189">
        <f t="shared" si="278"/>
        <v>126</v>
      </c>
      <c r="I502" s="189">
        <f t="shared" si="278"/>
        <v>126</v>
      </c>
      <c r="J502" s="189">
        <f t="shared" si="278"/>
        <v>0</v>
      </c>
      <c r="K502" s="189">
        <f t="shared" si="278"/>
        <v>0</v>
      </c>
      <c r="L502" s="189">
        <f t="shared" si="278"/>
        <v>0</v>
      </c>
      <c r="M502" s="189">
        <f t="shared" si="278"/>
        <v>0</v>
      </c>
      <c r="N502" s="189">
        <f t="shared" si="278"/>
        <v>0</v>
      </c>
      <c r="O502" s="189">
        <f t="shared" si="278"/>
        <v>0</v>
      </c>
      <c r="P502" s="189">
        <f t="shared" si="278"/>
        <v>0</v>
      </c>
      <c r="Q502" s="189">
        <f t="shared" si="278"/>
        <v>0</v>
      </c>
      <c r="R502" s="189">
        <f t="shared" si="278"/>
        <v>0</v>
      </c>
      <c r="S502" s="294">
        <f t="shared" si="278"/>
        <v>0</v>
      </c>
    </row>
    <row r="503" spans="1:19" ht="12.75" customHeight="1" x14ac:dyDescent="0.2">
      <c r="A503" s="198" t="str">
        <f>"            "&amp;Labels!B318</f>
        <v xml:space="preserve">            Channels 2</v>
      </c>
      <c r="B503" s="189">
        <f t="shared" ref="B503:S503" si="279">B463</f>
        <v>0</v>
      </c>
      <c r="C503" s="189">
        <f t="shared" si="279"/>
        <v>0</v>
      </c>
      <c r="D503" s="189">
        <f t="shared" si="279"/>
        <v>165</v>
      </c>
      <c r="E503" s="189">
        <f t="shared" si="279"/>
        <v>165</v>
      </c>
      <c r="F503" s="189">
        <f t="shared" si="279"/>
        <v>0</v>
      </c>
      <c r="G503" s="189">
        <f t="shared" si="279"/>
        <v>120</v>
      </c>
      <c r="H503" s="189">
        <f t="shared" si="279"/>
        <v>120</v>
      </c>
      <c r="I503" s="189">
        <f t="shared" si="279"/>
        <v>120</v>
      </c>
      <c r="J503" s="189">
        <f t="shared" si="279"/>
        <v>0</v>
      </c>
      <c r="K503" s="189">
        <f t="shared" si="279"/>
        <v>0</v>
      </c>
      <c r="L503" s="189">
        <f t="shared" si="279"/>
        <v>0</v>
      </c>
      <c r="M503" s="189">
        <f t="shared" si="279"/>
        <v>0</v>
      </c>
      <c r="N503" s="189">
        <f t="shared" si="279"/>
        <v>0</v>
      </c>
      <c r="O503" s="189">
        <f t="shared" si="279"/>
        <v>0</v>
      </c>
      <c r="P503" s="189">
        <f t="shared" si="279"/>
        <v>0</v>
      </c>
      <c r="Q503" s="189">
        <f t="shared" si="279"/>
        <v>0</v>
      </c>
      <c r="R503" s="189">
        <f t="shared" si="279"/>
        <v>0</v>
      </c>
      <c r="S503" s="294">
        <f t="shared" si="279"/>
        <v>0</v>
      </c>
    </row>
    <row r="504" spans="1:19" ht="12.75" customHeight="1" x14ac:dyDescent="0.2">
      <c r="A504" s="198" t="str">
        <f>"            "&amp;Labels!C316</f>
        <v xml:space="preserve">            Total</v>
      </c>
      <c r="B504" s="226">
        <f t="shared" ref="B504:S504" si="280">B464</f>
        <v>0</v>
      </c>
      <c r="C504" s="226">
        <f t="shared" si="280"/>
        <v>0</v>
      </c>
      <c r="D504" s="226">
        <f t="shared" si="280"/>
        <v>338.25</v>
      </c>
      <c r="E504" s="226">
        <f t="shared" si="280"/>
        <v>338.25</v>
      </c>
      <c r="F504" s="226">
        <f t="shared" si="280"/>
        <v>0</v>
      </c>
      <c r="G504" s="226">
        <f t="shared" si="280"/>
        <v>246</v>
      </c>
      <c r="H504" s="226">
        <f t="shared" si="280"/>
        <v>246</v>
      </c>
      <c r="I504" s="226">
        <f t="shared" si="280"/>
        <v>246</v>
      </c>
      <c r="J504" s="226">
        <f t="shared" si="280"/>
        <v>0</v>
      </c>
      <c r="K504" s="226">
        <f t="shared" si="280"/>
        <v>0</v>
      </c>
      <c r="L504" s="226">
        <f t="shared" si="280"/>
        <v>0</v>
      </c>
      <c r="M504" s="226">
        <f t="shared" si="280"/>
        <v>0</v>
      </c>
      <c r="N504" s="226">
        <f t="shared" si="280"/>
        <v>0</v>
      </c>
      <c r="O504" s="226">
        <f t="shared" si="280"/>
        <v>0</v>
      </c>
      <c r="P504" s="226">
        <f t="shared" si="280"/>
        <v>0</v>
      </c>
      <c r="Q504" s="226">
        <f t="shared" si="280"/>
        <v>0</v>
      </c>
      <c r="R504" s="226">
        <f t="shared" si="280"/>
        <v>0</v>
      </c>
      <c r="S504" s="279">
        <f t="shared" si="280"/>
        <v>0</v>
      </c>
    </row>
    <row r="505" spans="1:19" ht="12.75" customHeight="1" x14ac:dyDescent="0.2">
      <c r="A505" s="198" t="str">
        <f>"         "&amp;Labels!C384</f>
        <v xml:space="preserve">         Total</v>
      </c>
      <c r="B505" s="226">
        <f t="shared" ref="B505:S505" si="281">B456</f>
        <v>0</v>
      </c>
      <c r="C505" s="226">
        <f t="shared" si="281"/>
        <v>0</v>
      </c>
      <c r="D505" s="226">
        <f t="shared" si="281"/>
        <v>676.5</v>
      </c>
      <c r="E505" s="226">
        <f t="shared" si="281"/>
        <v>676.5</v>
      </c>
      <c r="F505" s="226">
        <f t="shared" si="281"/>
        <v>0</v>
      </c>
      <c r="G505" s="226">
        <f t="shared" si="281"/>
        <v>492</v>
      </c>
      <c r="H505" s="226">
        <f t="shared" si="281"/>
        <v>492</v>
      </c>
      <c r="I505" s="226">
        <f t="shared" si="281"/>
        <v>492</v>
      </c>
      <c r="J505" s="226">
        <f t="shared" si="281"/>
        <v>0</v>
      </c>
      <c r="K505" s="226">
        <f t="shared" si="281"/>
        <v>0</v>
      </c>
      <c r="L505" s="226">
        <f t="shared" si="281"/>
        <v>0</v>
      </c>
      <c r="M505" s="226">
        <f t="shared" si="281"/>
        <v>0</v>
      </c>
      <c r="N505" s="226">
        <f t="shared" si="281"/>
        <v>0</v>
      </c>
      <c r="O505" s="226">
        <f t="shared" si="281"/>
        <v>0</v>
      </c>
      <c r="P505" s="226">
        <f t="shared" si="281"/>
        <v>0</v>
      </c>
      <c r="Q505" s="226">
        <f t="shared" si="281"/>
        <v>0</v>
      </c>
      <c r="R505" s="226">
        <f t="shared" si="281"/>
        <v>0</v>
      </c>
      <c r="S505" s="279">
        <f t="shared" si="281"/>
        <v>0</v>
      </c>
    </row>
    <row r="506" spans="1:19" ht="12.75" customHeight="1" x14ac:dyDescent="0.2">
      <c r="A506" s="198" t="str">
        <f>"            "&amp;Labels!B317</f>
        <v xml:space="preserve">            Channels 1</v>
      </c>
      <c r="B506" s="189">
        <f t="shared" ref="B506:S506" si="282">B466</f>
        <v>0</v>
      </c>
      <c r="C506" s="189">
        <f t="shared" si="282"/>
        <v>0</v>
      </c>
      <c r="D506" s="189">
        <f t="shared" si="282"/>
        <v>346.5</v>
      </c>
      <c r="E506" s="189">
        <f t="shared" si="282"/>
        <v>346.5</v>
      </c>
      <c r="F506" s="189">
        <f t="shared" si="282"/>
        <v>0</v>
      </c>
      <c r="G506" s="189">
        <f t="shared" si="282"/>
        <v>252</v>
      </c>
      <c r="H506" s="189">
        <f t="shared" si="282"/>
        <v>252</v>
      </c>
      <c r="I506" s="189">
        <f t="shared" si="282"/>
        <v>252</v>
      </c>
      <c r="J506" s="189">
        <f t="shared" si="282"/>
        <v>0</v>
      </c>
      <c r="K506" s="189">
        <f t="shared" si="282"/>
        <v>0</v>
      </c>
      <c r="L506" s="189">
        <f t="shared" si="282"/>
        <v>0</v>
      </c>
      <c r="M506" s="189">
        <f t="shared" si="282"/>
        <v>0</v>
      </c>
      <c r="N506" s="189">
        <f t="shared" si="282"/>
        <v>0</v>
      </c>
      <c r="O506" s="189">
        <f t="shared" si="282"/>
        <v>0</v>
      </c>
      <c r="P506" s="189">
        <f t="shared" si="282"/>
        <v>0</v>
      </c>
      <c r="Q506" s="189">
        <f t="shared" si="282"/>
        <v>0</v>
      </c>
      <c r="R506" s="189">
        <f t="shared" si="282"/>
        <v>0</v>
      </c>
      <c r="S506" s="294">
        <f t="shared" si="282"/>
        <v>0</v>
      </c>
    </row>
    <row r="507" spans="1:19" ht="12.75" customHeight="1" x14ac:dyDescent="0.2">
      <c r="A507" s="198" t="str">
        <f>"            "&amp;Labels!B318</f>
        <v xml:space="preserve">            Channels 2</v>
      </c>
      <c r="B507" s="189">
        <f t="shared" ref="B507:S507" si="283">B467</f>
        <v>0</v>
      </c>
      <c r="C507" s="189">
        <f t="shared" si="283"/>
        <v>0</v>
      </c>
      <c r="D507" s="189">
        <f t="shared" si="283"/>
        <v>330</v>
      </c>
      <c r="E507" s="189">
        <f t="shared" si="283"/>
        <v>330</v>
      </c>
      <c r="F507" s="189">
        <f t="shared" si="283"/>
        <v>0</v>
      </c>
      <c r="G507" s="189">
        <f t="shared" si="283"/>
        <v>240</v>
      </c>
      <c r="H507" s="189">
        <f t="shared" si="283"/>
        <v>240</v>
      </c>
      <c r="I507" s="189">
        <f t="shared" si="283"/>
        <v>240</v>
      </c>
      <c r="J507" s="189">
        <f t="shared" si="283"/>
        <v>0</v>
      </c>
      <c r="K507" s="189">
        <f t="shared" si="283"/>
        <v>0</v>
      </c>
      <c r="L507" s="189">
        <f t="shared" si="283"/>
        <v>0</v>
      </c>
      <c r="M507" s="189">
        <f t="shared" si="283"/>
        <v>0</v>
      </c>
      <c r="N507" s="189">
        <f t="shared" si="283"/>
        <v>0</v>
      </c>
      <c r="O507" s="189">
        <f t="shared" si="283"/>
        <v>0</v>
      </c>
      <c r="P507" s="189">
        <f t="shared" si="283"/>
        <v>0</v>
      </c>
      <c r="Q507" s="189">
        <f t="shared" si="283"/>
        <v>0</v>
      </c>
      <c r="R507" s="189">
        <f t="shared" si="283"/>
        <v>0</v>
      </c>
      <c r="S507" s="294">
        <f t="shared" si="283"/>
        <v>0</v>
      </c>
    </row>
    <row r="508" spans="1:19" ht="12.75" customHeight="1" x14ac:dyDescent="0.2">
      <c r="A508" s="198" t="str">
        <f>"            "&amp;Labels!C316</f>
        <v xml:space="preserve">            Total</v>
      </c>
      <c r="B508" s="226">
        <f t="shared" ref="B508:S508" si="284">B456</f>
        <v>0</v>
      </c>
      <c r="C508" s="226">
        <f t="shared" si="284"/>
        <v>0</v>
      </c>
      <c r="D508" s="226">
        <f t="shared" si="284"/>
        <v>676.5</v>
      </c>
      <c r="E508" s="226">
        <f t="shared" si="284"/>
        <v>676.5</v>
      </c>
      <c r="F508" s="226">
        <f t="shared" si="284"/>
        <v>0</v>
      </c>
      <c r="G508" s="226">
        <f t="shared" si="284"/>
        <v>492</v>
      </c>
      <c r="H508" s="226">
        <f t="shared" si="284"/>
        <v>492</v>
      </c>
      <c r="I508" s="226">
        <f t="shared" si="284"/>
        <v>492</v>
      </c>
      <c r="J508" s="226">
        <f t="shared" si="284"/>
        <v>0</v>
      </c>
      <c r="K508" s="226">
        <f t="shared" si="284"/>
        <v>0</v>
      </c>
      <c r="L508" s="226">
        <f t="shared" si="284"/>
        <v>0</v>
      </c>
      <c r="M508" s="226">
        <f t="shared" si="284"/>
        <v>0</v>
      </c>
      <c r="N508" s="226">
        <f t="shared" si="284"/>
        <v>0</v>
      </c>
      <c r="O508" s="226">
        <f t="shared" si="284"/>
        <v>0</v>
      </c>
      <c r="P508" s="226">
        <f t="shared" si="284"/>
        <v>0</v>
      </c>
      <c r="Q508" s="226">
        <f t="shared" si="284"/>
        <v>0</v>
      </c>
      <c r="R508" s="226">
        <f t="shared" si="284"/>
        <v>0</v>
      </c>
      <c r="S508" s="279">
        <f t="shared" si="284"/>
        <v>0</v>
      </c>
    </row>
    <row r="509" spans="1:19" ht="12.75" customHeight="1" x14ac:dyDescent="0.2">
      <c r="A509" s="191" t="str">
        <f>Labels!B322</f>
        <v>Sales</v>
      </c>
      <c r="B509" s="192"/>
      <c r="C509" s="192"/>
      <c r="D509" s="192"/>
      <c r="E509" s="192"/>
      <c r="F509" s="192"/>
      <c r="G509" s="192"/>
      <c r="H509" s="192"/>
      <c r="I509" s="192"/>
      <c r="J509" s="192"/>
      <c r="K509" s="192"/>
      <c r="L509" s="192"/>
      <c r="M509" s="192"/>
      <c r="N509" s="192"/>
      <c r="O509" s="192"/>
      <c r="P509" s="192"/>
      <c r="Q509" s="192"/>
      <c r="R509" s="192"/>
      <c r="S509" s="280"/>
    </row>
    <row r="510" spans="1:19" ht="12.75" customHeight="1" x14ac:dyDescent="0.2">
      <c r="A510" s="188" t="str">
        <f>"   "&amp;Labels!B353</f>
        <v xml:space="preserve">   GA Exp 1</v>
      </c>
      <c r="B510" s="196"/>
      <c r="C510" s="196"/>
      <c r="D510" s="196"/>
      <c r="E510" s="196"/>
      <c r="F510" s="196"/>
      <c r="G510" s="196"/>
      <c r="H510" s="196"/>
      <c r="I510" s="196"/>
      <c r="J510" s="196"/>
      <c r="K510" s="196"/>
      <c r="L510" s="196"/>
      <c r="M510" s="196"/>
      <c r="N510" s="196"/>
      <c r="O510" s="196"/>
      <c r="P510" s="196"/>
      <c r="Q510" s="196"/>
      <c r="R510" s="196"/>
      <c r="S510" s="267"/>
    </row>
    <row r="511" spans="1:19" ht="12.75" customHeight="1" x14ac:dyDescent="0.2">
      <c r="A511" s="198" t="str">
        <f>"      "&amp;Labels!B381</f>
        <v xml:space="preserve">      Practice 1</v>
      </c>
      <c r="B511" s="226"/>
      <c r="C511" s="226"/>
      <c r="D511" s="226"/>
      <c r="E511" s="226"/>
      <c r="F511" s="226"/>
      <c r="G511" s="226"/>
      <c r="H511" s="226"/>
      <c r="I511" s="226"/>
      <c r="J511" s="226"/>
      <c r="K511" s="226"/>
      <c r="L511" s="226"/>
      <c r="M511" s="226"/>
      <c r="N511" s="226"/>
      <c r="O511" s="226"/>
      <c r="P511" s="226"/>
      <c r="Q511" s="226"/>
      <c r="R511" s="226"/>
      <c r="S511" s="279"/>
    </row>
    <row r="512" spans="1:19" ht="12.75" customHeight="1" x14ac:dyDescent="0.2">
      <c r="A512" s="198" t="str">
        <f>"         "&amp;Labels!B385</f>
        <v xml:space="preserve">         Prof Level 1</v>
      </c>
      <c r="B512" s="226"/>
      <c r="C512" s="226"/>
      <c r="D512" s="226"/>
      <c r="E512" s="226"/>
      <c r="F512" s="226"/>
      <c r="G512" s="226"/>
      <c r="H512" s="226"/>
      <c r="I512" s="226"/>
      <c r="J512" s="226"/>
      <c r="K512" s="226"/>
      <c r="L512" s="226"/>
      <c r="M512" s="226"/>
      <c r="N512" s="226"/>
      <c r="O512" s="226"/>
      <c r="P512" s="226"/>
      <c r="Q512" s="226"/>
      <c r="R512" s="226"/>
      <c r="S512" s="279"/>
    </row>
    <row r="513" spans="1:19" ht="12.75" customHeight="1" x14ac:dyDescent="0.2">
      <c r="A513" s="198" t="str">
        <f>"            "&amp;Labels!B317</f>
        <v xml:space="preserve">            Channels 1</v>
      </c>
      <c r="B513" s="189">
        <f>(Sales!B109*12/1000)/2</f>
        <v>0</v>
      </c>
      <c r="C513" s="189">
        <f>(Sales!C109*12/1000)/2</f>
        <v>0</v>
      </c>
      <c r="D513" s="189">
        <f>(Sales!D109*12/1000)/2</f>
        <v>173.25</v>
      </c>
      <c r="E513" s="189">
        <f>(Sales!F109*12/1000)/2</f>
        <v>173.25</v>
      </c>
      <c r="F513" s="189">
        <f>(Sales!G109*12/1000)/2</f>
        <v>0</v>
      </c>
      <c r="G513" s="189">
        <f>(Sales!H109*12/1000)/2</f>
        <v>126</v>
      </c>
      <c r="H513" s="189">
        <f>(Sales!J109*12/1000)/2</f>
        <v>126</v>
      </c>
      <c r="I513" s="189">
        <f>(Sales!K109*12/1000)/2</f>
        <v>126</v>
      </c>
      <c r="J513" s="189">
        <f>(Sales!L109*12/1000)/2</f>
        <v>0</v>
      </c>
      <c r="K513" s="189">
        <f>(Sales!N109*12/1000)/2</f>
        <v>0</v>
      </c>
      <c r="L513" s="189">
        <f>(Sales!O109*12/1000)/2</f>
        <v>0</v>
      </c>
      <c r="M513" s="189">
        <f>(Sales!P109*12/1000)/2</f>
        <v>0</v>
      </c>
      <c r="N513" s="189">
        <f>(Sales!R109*12/1000)/2</f>
        <v>0</v>
      </c>
      <c r="O513" s="189">
        <f>(Sales!S109*12/1000)/2</f>
        <v>0</v>
      </c>
      <c r="P513" s="189">
        <f>(Sales!T109*12/1000)/2</f>
        <v>0</v>
      </c>
      <c r="Q513" s="189">
        <f>(Sales!V109*12/1000)/2</f>
        <v>0</v>
      </c>
      <c r="R513" s="189">
        <f>(Sales!W109*12/1000)/2</f>
        <v>0</v>
      </c>
      <c r="S513" s="294">
        <f>(Sales!X109*12/1000)/2</f>
        <v>0</v>
      </c>
    </row>
    <row r="514" spans="1:19" ht="12.75" customHeight="1" x14ac:dyDescent="0.2">
      <c r="A514" s="198" t="str">
        <f>"            "&amp;Labels!B318</f>
        <v xml:space="preserve">            Channels 2</v>
      </c>
      <c r="B514" s="189">
        <f>(Sales!B110*12/1000)/2</f>
        <v>0</v>
      </c>
      <c r="C514" s="189">
        <f>(Sales!C110*12/1000)/2</f>
        <v>0</v>
      </c>
      <c r="D514" s="189">
        <f>(Sales!D110*12/1000)/2</f>
        <v>165</v>
      </c>
      <c r="E514" s="189">
        <f>(Sales!F110*12/1000)/2</f>
        <v>165</v>
      </c>
      <c r="F514" s="189">
        <f>(Sales!G110*12/1000)/2</f>
        <v>0</v>
      </c>
      <c r="G514" s="189">
        <f>(Sales!H110*12/1000)/2</f>
        <v>120</v>
      </c>
      <c r="H514" s="189">
        <f>(Sales!J110*12/1000)/2</f>
        <v>120</v>
      </c>
      <c r="I514" s="189">
        <f>(Sales!K110*12/1000)/2</f>
        <v>120</v>
      </c>
      <c r="J514" s="189">
        <f>(Sales!L110*12/1000)/2</f>
        <v>0</v>
      </c>
      <c r="K514" s="189">
        <f>(Sales!N110*12/1000)/2</f>
        <v>0</v>
      </c>
      <c r="L514" s="189">
        <f>(Sales!O110*12/1000)/2</f>
        <v>0</v>
      </c>
      <c r="M514" s="189">
        <f>(Sales!P110*12/1000)/2</f>
        <v>0</v>
      </c>
      <c r="N514" s="189">
        <f>(Sales!R110*12/1000)/2</f>
        <v>0</v>
      </c>
      <c r="O514" s="189">
        <f>(Sales!S110*12/1000)/2</f>
        <v>0</v>
      </c>
      <c r="P514" s="189">
        <f>(Sales!T110*12/1000)/2</f>
        <v>0</v>
      </c>
      <c r="Q514" s="189">
        <f>(Sales!V110*12/1000)/2</f>
        <v>0</v>
      </c>
      <c r="R514" s="189">
        <f>(Sales!W110*12/1000)/2</f>
        <v>0</v>
      </c>
      <c r="S514" s="294">
        <f>(Sales!X110*12/1000)/2</f>
        <v>0</v>
      </c>
    </row>
    <row r="515" spans="1:19" ht="12.75" customHeight="1" x14ac:dyDescent="0.2">
      <c r="A515" s="198" t="str">
        <f>"            "&amp;Labels!C316</f>
        <v xml:space="preserve">            Total</v>
      </c>
      <c r="B515" s="226">
        <f t="shared" ref="B515:S515" si="285">SUM(B513:B514)</f>
        <v>0</v>
      </c>
      <c r="C515" s="226">
        <f t="shared" si="285"/>
        <v>0</v>
      </c>
      <c r="D515" s="226">
        <f t="shared" si="285"/>
        <v>338.25</v>
      </c>
      <c r="E515" s="226">
        <f t="shared" si="285"/>
        <v>338.25</v>
      </c>
      <c r="F515" s="226">
        <f t="shared" si="285"/>
        <v>0</v>
      </c>
      <c r="G515" s="226">
        <f t="shared" si="285"/>
        <v>246</v>
      </c>
      <c r="H515" s="226">
        <f t="shared" si="285"/>
        <v>246</v>
      </c>
      <c r="I515" s="226">
        <f t="shared" si="285"/>
        <v>246</v>
      </c>
      <c r="J515" s="226">
        <f t="shared" si="285"/>
        <v>0</v>
      </c>
      <c r="K515" s="226">
        <f t="shared" si="285"/>
        <v>0</v>
      </c>
      <c r="L515" s="226">
        <f t="shared" si="285"/>
        <v>0</v>
      </c>
      <c r="M515" s="226">
        <f t="shared" si="285"/>
        <v>0</v>
      </c>
      <c r="N515" s="226">
        <f t="shared" si="285"/>
        <v>0</v>
      </c>
      <c r="O515" s="226">
        <f t="shared" si="285"/>
        <v>0</v>
      </c>
      <c r="P515" s="226">
        <f t="shared" si="285"/>
        <v>0</v>
      </c>
      <c r="Q515" s="226">
        <f t="shared" si="285"/>
        <v>0</v>
      </c>
      <c r="R515" s="226">
        <f t="shared" si="285"/>
        <v>0</v>
      </c>
      <c r="S515" s="279">
        <f t="shared" si="285"/>
        <v>0</v>
      </c>
    </row>
    <row r="516" spans="1:19" ht="12.75" customHeight="1" x14ac:dyDescent="0.2">
      <c r="A516" s="198" t="str">
        <f>"         "&amp;Labels!B386</f>
        <v xml:space="preserve">         Prof Level 2</v>
      </c>
      <c r="B516" s="226"/>
      <c r="C516" s="226"/>
      <c r="D516" s="226"/>
      <c r="E516" s="226"/>
      <c r="F516" s="226"/>
      <c r="G516" s="226"/>
      <c r="H516" s="226"/>
      <c r="I516" s="226"/>
      <c r="J516" s="226"/>
      <c r="K516" s="226"/>
      <c r="L516" s="226"/>
      <c r="M516" s="226"/>
      <c r="N516" s="226"/>
      <c r="O516" s="226"/>
      <c r="P516" s="226"/>
      <c r="Q516" s="226"/>
      <c r="R516" s="226"/>
      <c r="S516" s="279"/>
    </row>
    <row r="517" spans="1:19" ht="12.75" customHeight="1" x14ac:dyDescent="0.2">
      <c r="A517" s="198" t="str">
        <f>"            "&amp;Labels!B317</f>
        <v xml:space="preserve">            Channels 1</v>
      </c>
      <c r="B517" s="189">
        <f>(Sales!B113*12/1000)/2</f>
        <v>0</v>
      </c>
      <c r="C517" s="189">
        <f>(Sales!C113*12/1000)/2</f>
        <v>0</v>
      </c>
      <c r="D517" s="189">
        <f>(Sales!D113*12/1000)/2</f>
        <v>173.25</v>
      </c>
      <c r="E517" s="189">
        <f>(Sales!F113*12/1000)/2</f>
        <v>173.25</v>
      </c>
      <c r="F517" s="189">
        <f>(Sales!G113*12/1000)/2</f>
        <v>0</v>
      </c>
      <c r="G517" s="189">
        <f>(Sales!H113*12/1000)/2</f>
        <v>126</v>
      </c>
      <c r="H517" s="189">
        <f>(Sales!J113*12/1000)/2</f>
        <v>126</v>
      </c>
      <c r="I517" s="189">
        <f>(Sales!K113*12/1000)/2</f>
        <v>126</v>
      </c>
      <c r="J517" s="189">
        <f>(Sales!L113*12/1000)/2</f>
        <v>0</v>
      </c>
      <c r="K517" s="189">
        <f>(Sales!N113*12/1000)/2</f>
        <v>0</v>
      </c>
      <c r="L517" s="189">
        <f>(Sales!O113*12/1000)/2</f>
        <v>0</v>
      </c>
      <c r="M517" s="189">
        <f>(Sales!P113*12/1000)/2</f>
        <v>0</v>
      </c>
      <c r="N517" s="189">
        <f>(Sales!R113*12/1000)/2</f>
        <v>0</v>
      </c>
      <c r="O517" s="189">
        <f>(Sales!S113*12/1000)/2</f>
        <v>0</v>
      </c>
      <c r="P517" s="189">
        <f>(Sales!T113*12/1000)/2</f>
        <v>0</v>
      </c>
      <c r="Q517" s="189">
        <f>(Sales!V113*12/1000)/2</f>
        <v>0</v>
      </c>
      <c r="R517" s="189">
        <f>(Sales!W113*12/1000)/2</f>
        <v>0</v>
      </c>
      <c r="S517" s="294">
        <f>(Sales!X113*12/1000)/2</f>
        <v>0</v>
      </c>
    </row>
    <row r="518" spans="1:19" ht="12.75" customHeight="1" x14ac:dyDescent="0.2">
      <c r="A518" s="198" t="str">
        <f>"            "&amp;Labels!B318</f>
        <v xml:space="preserve">            Channels 2</v>
      </c>
      <c r="B518" s="189">
        <f>(Sales!B114*12/1000)/2</f>
        <v>0</v>
      </c>
      <c r="C518" s="189">
        <f>(Sales!C114*12/1000)/2</f>
        <v>0</v>
      </c>
      <c r="D518" s="189">
        <f>(Sales!D114*12/1000)/2</f>
        <v>165</v>
      </c>
      <c r="E518" s="189">
        <f>(Sales!F114*12/1000)/2</f>
        <v>165</v>
      </c>
      <c r="F518" s="189">
        <f>(Sales!G114*12/1000)/2</f>
        <v>0</v>
      </c>
      <c r="G518" s="189">
        <f>(Sales!H114*12/1000)/2</f>
        <v>120</v>
      </c>
      <c r="H518" s="189">
        <f>(Sales!J114*12/1000)/2</f>
        <v>120</v>
      </c>
      <c r="I518" s="189">
        <f>(Sales!K114*12/1000)/2</f>
        <v>120</v>
      </c>
      <c r="J518" s="189">
        <f>(Sales!L114*12/1000)/2</f>
        <v>0</v>
      </c>
      <c r="K518" s="189">
        <f>(Sales!N114*12/1000)/2</f>
        <v>0</v>
      </c>
      <c r="L518" s="189">
        <f>(Sales!O114*12/1000)/2</f>
        <v>0</v>
      </c>
      <c r="M518" s="189">
        <f>(Sales!P114*12/1000)/2</f>
        <v>0</v>
      </c>
      <c r="N518" s="189">
        <f>(Sales!R114*12/1000)/2</f>
        <v>0</v>
      </c>
      <c r="O518" s="189">
        <f>(Sales!S114*12/1000)/2</f>
        <v>0</v>
      </c>
      <c r="P518" s="189">
        <f>(Sales!T114*12/1000)/2</f>
        <v>0</v>
      </c>
      <c r="Q518" s="189">
        <f>(Sales!V114*12/1000)/2</f>
        <v>0</v>
      </c>
      <c r="R518" s="189">
        <f>(Sales!W114*12/1000)/2</f>
        <v>0</v>
      </c>
      <c r="S518" s="294">
        <f>(Sales!X114*12/1000)/2</f>
        <v>0</v>
      </c>
    </row>
    <row r="519" spans="1:19" ht="12.75" customHeight="1" x14ac:dyDescent="0.2">
      <c r="A519" s="198" t="str">
        <f>"            "&amp;Labels!C316</f>
        <v xml:space="preserve">            Total</v>
      </c>
      <c r="B519" s="226">
        <f t="shared" ref="B519:S519" si="286">SUM(B517:B518)</f>
        <v>0</v>
      </c>
      <c r="C519" s="226">
        <f t="shared" si="286"/>
        <v>0</v>
      </c>
      <c r="D519" s="226">
        <f t="shared" si="286"/>
        <v>338.25</v>
      </c>
      <c r="E519" s="226">
        <f t="shared" si="286"/>
        <v>338.25</v>
      </c>
      <c r="F519" s="226">
        <f t="shared" si="286"/>
        <v>0</v>
      </c>
      <c r="G519" s="226">
        <f t="shared" si="286"/>
        <v>246</v>
      </c>
      <c r="H519" s="226">
        <f t="shared" si="286"/>
        <v>246</v>
      </c>
      <c r="I519" s="226">
        <f t="shared" si="286"/>
        <v>246</v>
      </c>
      <c r="J519" s="226">
        <f t="shared" si="286"/>
        <v>0</v>
      </c>
      <c r="K519" s="226">
        <f t="shared" si="286"/>
        <v>0</v>
      </c>
      <c r="L519" s="226">
        <f t="shared" si="286"/>
        <v>0</v>
      </c>
      <c r="M519" s="226">
        <f t="shared" si="286"/>
        <v>0</v>
      </c>
      <c r="N519" s="226">
        <f t="shared" si="286"/>
        <v>0</v>
      </c>
      <c r="O519" s="226">
        <f t="shared" si="286"/>
        <v>0</v>
      </c>
      <c r="P519" s="226">
        <f t="shared" si="286"/>
        <v>0</v>
      </c>
      <c r="Q519" s="226">
        <f t="shared" si="286"/>
        <v>0</v>
      </c>
      <c r="R519" s="226">
        <f t="shared" si="286"/>
        <v>0</v>
      </c>
      <c r="S519" s="279">
        <f t="shared" si="286"/>
        <v>0</v>
      </c>
    </row>
    <row r="520" spans="1:19" ht="12.75" customHeight="1" x14ac:dyDescent="0.2">
      <c r="A520" s="198" t="str">
        <f>"         "&amp;Labels!C384</f>
        <v xml:space="preserve">         Total</v>
      </c>
      <c r="B520" s="226">
        <f t="shared" ref="B520:S520" si="287">SUM(B515,B519)</f>
        <v>0</v>
      </c>
      <c r="C520" s="226">
        <f t="shared" si="287"/>
        <v>0</v>
      </c>
      <c r="D520" s="226">
        <f t="shared" si="287"/>
        <v>676.5</v>
      </c>
      <c r="E520" s="226">
        <f t="shared" si="287"/>
        <v>676.5</v>
      </c>
      <c r="F520" s="226">
        <f t="shared" si="287"/>
        <v>0</v>
      </c>
      <c r="G520" s="226">
        <f t="shared" si="287"/>
        <v>492</v>
      </c>
      <c r="H520" s="226">
        <f t="shared" si="287"/>
        <v>492</v>
      </c>
      <c r="I520" s="226">
        <f t="shared" si="287"/>
        <v>492</v>
      </c>
      <c r="J520" s="226">
        <f t="shared" si="287"/>
        <v>0</v>
      </c>
      <c r="K520" s="226">
        <f t="shared" si="287"/>
        <v>0</v>
      </c>
      <c r="L520" s="226">
        <f t="shared" si="287"/>
        <v>0</v>
      </c>
      <c r="M520" s="226">
        <f t="shared" si="287"/>
        <v>0</v>
      </c>
      <c r="N520" s="226">
        <f t="shared" si="287"/>
        <v>0</v>
      </c>
      <c r="O520" s="226">
        <f t="shared" si="287"/>
        <v>0</v>
      </c>
      <c r="P520" s="226">
        <f t="shared" si="287"/>
        <v>0</v>
      </c>
      <c r="Q520" s="226">
        <f t="shared" si="287"/>
        <v>0</v>
      </c>
      <c r="R520" s="226">
        <f t="shared" si="287"/>
        <v>0</v>
      </c>
      <c r="S520" s="279">
        <f t="shared" si="287"/>
        <v>0</v>
      </c>
    </row>
    <row r="521" spans="1:19" ht="12.75" customHeight="1" x14ac:dyDescent="0.2">
      <c r="A521" s="198" t="str">
        <f>"            "&amp;Labels!B317</f>
        <v xml:space="preserve">            Channels 1</v>
      </c>
      <c r="B521" s="189">
        <f t="shared" ref="B521:S521" si="288">SUM(B513,B517)</f>
        <v>0</v>
      </c>
      <c r="C521" s="189">
        <f t="shared" si="288"/>
        <v>0</v>
      </c>
      <c r="D521" s="189">
        <f t="shared" si="288"/>
        <v>346.5</v>
      </c>
      <c r="E521" s="189">
        <f t="shared" si="288"/>
        <v>346.5</v>
      </c>
      <c r="F521" s="189">
        <f t="shared" si="288"/>
        <v>0</v>
      </c>
      <c r="G521" s="189">
        <f t="shared" si="288"/>
        <v>252</v>
      </c>
      <c r="H521" s="189">
        <f t="shared" si="288"/>
        <v>252</v>
      </c>
      <c r="I521" s="189">
        <f t="shared" si="288"/>
        <v>252</v>
      </c>
      <c r="J521" s="189">
        <f t="shared" si="288"/>
        <v>0</v>
      </c>
      <c r="K521" s="189">
        <f t="shared" si="288"/>
        <v>0</v>
      </c>
      <c r="L521" s="189">
        <f t="shared" si="288"/>
        <v>0</v>
      </c>
      <c r="M521" s="189">
        <f t="shared" si="288"/>
        <v>0</v>
      </c>
      <c r="N521" s="189">
        <f t="shared" si="288"/>
        <v>0</v>
      </c>
      <c r="O521" s="189">
        <f t="shared" si="288"/>
        <v>0</v>
      </c>
      <c r="P521" s="189">
        <f t="shared" si="288"/>
        <v>0</v>
      </c>
      <c r="Q521" s="189">
        <f t="shared" si="288"/>
        <v>0</v>
      </c>
      <c r="R521" s="189">
        <f t="shared" si="288"/>
        <v>0</v>
      </c>
      <c r="S521" s="294">
        <f t="shared" si="288"/>
        <v>0</v>
      </c>
    </row>
    <row r="522" spans="1:19" ht="12.75" customHeight="1" x14ac:dyDescent="0.2">
      <c r="A522" s="198" t="str">
        <f>"            "&amp;Labels!B318</f>
        <v xml:space="preserve">            Channels 2</v>
      </c>
      <c r="B522" s="189">
        <f t="shared" ref="B522:S522" si="289">SUM(B514,B518)</f>
        <v>0</v>
      </c>
      <c r="C522" s="189">
        <f t="shared" si="289"/>
        <v>0</v>
      </c>
      <c r="D522" s="189">
        <f t="shared" si="289"/>
        <v>330</v>
      </c>
      <c r="E522" s="189">
        <f t="shared" si="289"/>
        <v>330</v>
      </c>
      <c r="F522" s="189">
        <f t="shared" si="289"/>
        <v>0</v>
      </c>
      <c r="G522" s="189">
        <f t="shared" si="289"/>
        <v>240</v>
      </c>
      <c r="H522" s="189">
        <f t="shared" si="289"/>
        <v>240</v>
      </c>
      <c r="I522" s="189">
        <f t="shared" si="289"/>
        <v>240</v>
      </c>
      <c r="J522" s="189">
        <f t="shared" si="289"/>
        <v>0</v>
      </c>
      <c r="K522" s="189">
        <f t="shared" si="289"/>
        <v>0</v>
      </c>
      <c r="L522" s="189">
        <f t="shared" si="289"/>
        <v>0</v>
      </c>
      <c r="M522" s="189">
        <f t="shared" si="289"/>
        <v>0</v>
      </c>
      <c r="N522" s="189">
        <f t="shared" si="289"/>
        <v>0</v>
      </c>
      <c r="O522" s="189">
        <f t="shared" si="289"/>
        <v>0</v>
      </c>
      <c r="P522" s="189">
        <f t="shared" si="289"/>
        <v>0</v>
      </c>
      <c r="Q522" s="189">
        <f t="shared" si="289"/>
        <v>0</v>
      </c>
      <c r="R522" s="189">
        <f t="shared" si="289"/>
        <v>0</v>
      </c>
      <c r="S522" s="294">
        <f t="shared" si="289"/>
        <v>0</v>
      </c>
    </row>
    <row r="523" spans="1:19" ht="12.75" customHeight="1" x14ac:dyDescent="0.2">
      <c r="A523" s="198" t="str">
        <f>"            "&amp;Labels!C316</f>
        <v xml:space="preserve">            Total</v>
      </c>
      <c r="B523" s="226">
        <f t="shared" ref="B523:S523" si="290">SUM(B515,B519)</f>
        <v>0</v>
      </c>
      <c r="C523" s="226">
        <f t="shared" si="290"/>
        <v>0</v>
      </c>
      <c r="D523" s="226">
        <f t="shared" si="290"/>
        <v>676.5</v>
      </c>
      <c r="E523" s="226">
        <f t="shared" si="290"/>
        <v>676.5</v>
      </c>
      <c r="F523" s="226">
        <f t="shared" si="290"/>
        <v>0</v>
      </c>
      <c r="G523" s="226">
        <f t="shared" si="290"/>
        <v>492</v>
      </c>
      <c r="H523" s="226">
        <f t="shared" si="290"/>
        <v>492</v>
      </c>
      <c r="I523" s="226">
        <f t="shared" si="290"/>
        <v>492</v>
      </c>
      <c r="J523" s="226">
        <f t="shared" si="290"/>
        <v>0</v>
      </c>
      <c r="K523" s="226">
        <f t="shared" si="290"/>
        <v>0</v>
      </c>
      <c r="L523" s="226">
        <f t="shared" si="290"/>
        <v>0</v>
      </c>
      <c r="M523" s="226">
        <f t="shared" si="290"/>
        <v>0</v>
      </c>
      <c r="N523" s="226">
        <f t="shared" si="290"/>
        <v>0</v>
      </c>
      <c r="O523" s="226">
        <f t="shared" si="290"/>
        <v>0</v>
      </c>
      <c r="P523" s="226">
        <f t="shared" si="290"/>
        <v>0</v>
      </c>
      <c r="Q523" s="226">
        <f t="shared" si="290"/>
        <v>0</v>
      </c>
      <c r="R523" s="226">
        <f t="shared" si="290"/>
        <v>0</v>
      </c>
      <c r="S523" s="279">
        <f t="shared" si="290"/>
        <v>0</v>
      </c>
    </row>
    <row r="524" spans="1:19" ht="12.75" customHeight="1" x14ac:dyDescent="0.2">
      <c r="A524" s="198" t="str">
        <f>"      "&amp;Labels!B382</f>
        <v xml:space="preserve">      Practice 2</v>
      </c>
      <c r="B524" s="226"/>
      <c r="C524" s="226"/>
      <c r="D524" s="226"/>
      <c r="E524" s="226"/>
      <c r="F524" s="226"/>
      <c r="G524" s="226"/>
      <c r="H524" s="226"/>
      <c r="I524" s="226"/>
      <c r="J524" s="226"/>
      <c r="K524" s="226"/>
      <c r="L524" s="226"/>
      <c r="M524" s="226"/>
      <c r="N524" s="226"/>
      <c r="O524" s="226"/>
      <c r="P524" s="226"/>
      <c r="Q524" s="226"/>
      <c r="R524" s="226"/>
      <c r="S524" s="279"/>
    </row>
    <row r="525" spans="1:19" ht="12.75" customHeight="1" x14ac:dyDescent="0.2">
      <c r="A525" s="198" t="str">
        <f>"         "&amp;Labels!B385</f>
        <v xml:space="preserve">         Prof Level 1</v>
      </c>
      <c r="B525" s="226"/>
      <c r="C525" s="226"/>
      <c r="D525" s="226"/>
      <c r="E525" s="226"/>
      <c r="F525" s="226"/>
      <c r="G525" s="226"/>
      <c r="H525" s="226"/>
      <c r="I525" s="226"/>
      <c r="J525" s="226"/>
      <c r="K525" s="226"/>
      <c r="L525" s="226"/>
      <c r="M525" s="226"/>
      <c r="N525" s="226"/>
      <c r="O525" s="226"/>
      <c r="P525" s="226"/>
      <c r="Q525" s="226"/>
      <c r="R525" s="226"/>
      <c r="S525" s="279"/>
    </row>
    <row r="526" spans="1:19" ht="12.75" customHeight="1" x14ac:dyDescent="0.2">
      <c r="A526" s="198" t="str">
        <f>"            "&amp;Labels!B317</f>
        <v xml:space="preserve">            Channels 1</v>
      </c>
      <c r="B526" s="189">
        <f>(Sales!B122*12/1000)/2</f>
        <v>0</v>
      </c>
      <c r="C526" s="189">
        <f>(Sales!C122*12/1000)/2</f>
        <v>0</v>
      </c>
      <c r="D526" s="189">
        <f>(Sales!D122*12/1000)/2</f>
        <v>0</v>
      </c>
      <c r="E526" s="189">
        <f>(Sales!F122*12/1000)/2</f>
        <v>0</v>
      </c>
      <c r="F526" s="189">
        <f>(Sales!G122*12/1000)/2</f>
        <v>0</v>
      </c>
      <c r="G526" s="189">
        <f>(Sales!H122*12/1000)/2</f>
        <v>0</v>
      </c>
      <c r="H526" s="189">
        <f>(Sales!J122*12/1000)/2</f>
        <v>0</v>
      </c>
      <c r="I526" s="189">
        <f>(Sales!K122*12/1000)/2</f>
        <v>0</v>
      </c>
      <c r="J526" s="189">
        <f>(Sales!L122*12/1000)/2</f>
        <v>0</v>
      </c>
      <c r="K526" s="189">
        <f>(Sales!N122*12/1000)/2</f>
        <v>0</v>
      </c>
      <c r="L526" s="189">
        <f>(Sales!O122*12/1000)/2</f>
        <v>0</v>
      </c>
      <c r="M526" s="189">
        <f>(Sales!P122*12/1000)/2</f>
        <v>0</v>
      </c>
      <c r="N526" s="189">
        <f>(Sales!R122*12/1000)/2</f>
        <v>0</v>
      </c>
      <c r="O526" s="189">
        <f>(Sales!S122*12/1000)/2</f>
        <v>0</v>
      </c>
      <c r="P526" s="189">
        <f>(Sales!T122*12/1000)/2</f>
        <v>0</v>
      </c>
      <c r="Q526" s="189">
        <f>(Sales!V122*12/1000)/2</f>
        <v>0</v>
      </c>
      <c r="R526" s="189">
        <f>(Sales!W122*12/1000)/2</f>
        <v>0</v>
      </c>
      <c r="S526" s="294">
        <f>(Sales!X122*12/1000)/2</f>
        <v>0</v>
      </c>
    </row>
    <row r="527" spans="1:19" ht="12.75" customHeight="1" x14ac:dyDescent="0.2">
      <c r="A527" s="198" t="str">
        <f>"            "&amp;Labels!B318</f>
        <v xml:space="preserve">            Channels 2</v>
      </c>
      <c r="B527" s="189">
        <f>(Sales!B123*12/1000)/2</f>
        <v>0</v>
      </c>
      <c r="C527" s="189">
        <f>(Sales!C123*12/1000)/2</f>
        <v>0</v>
      </c>
      <c r="D527" s="189">
        <f>(Sales!D123*12/1000)/2</f>
        <v>0</v>
      </c>
      <c r="E527" s="189">
        <f>(Sales!F123*12/1000)/2</f>
        <v>0</v>
      </c>
      <c r="F527" s="189">
        <f>(Sales!G123*12/1000)/2</f>
        <v>0</v>
      </c>
      <c r="G527" s="189">
        <f>(Sales!H123*12/1000)/2</f>
        <v>0</v>
      </c>
      <c r="H527" s="189">
        <f>(Sales!J123*12/1000)/2</f>
        <v>0</v>
      </c>
      <c r="I527" s="189">
        <f>(Sales!K123*12/1000)/2</f>
        <v>0</v>
      </c>
      <c r="J527" s="189">
        <f>(Sales!L123*12/1000)/2</f>
        <v>0</v>
      </c>
      <c r="K527" s="189">
        <f>(Sales!N123*12/1000)/2</f>
        <v>0</v>
      </c>
      <c r="L527" s="189">
        <f>(Sales!O123*12/1000)/2</f>
        <v>0</v>
      </c>
      <c r="M527" s="189">
        <f>(Sales!P123*12/1000)/2</f>
        <v>0</v>
      </c>
      <c r="N527" s="189">
        <f>(Sales!R123*12/1000)/2</f>
        <v>0</v>
      </c>
      <c r="O527" s="189">
        <f>(Sales!S123*12/1000)/2</f>
        <v>0</v>
      </c>
      <c r="P527" s="189">
        <f>(Sales!T123*12/1000)/2</f>
        <v>0</v>
      </c>
      <c r="Q527" s="189">
        <f>(Sales!V123*12/1000)/2</f>
        <v>0</v>
      </c>
      <c r="R527" s="189">
        <f>(Sales!W123*12/1000)/2</f>
        <v>0</v>
      </c>
      <c r="S527" s="294">
        <f>(Sales!X123*12/1000)/2</f>
        <v>0</v>
      </c>
    </row>
    <row r="528" spans="1:19" ht="12.75" customHeight="1" x14ac:dyDescent="0.2">
      <c r="A528" s="198" t="str">
        <f>"            "&amp;Labels!C316</f>
        <v xml:space="preserve">            Total</v>
      </c>
      <c r="B528" s="226">
        <f t="shared" ref="B528:S528" si="291">SUM(B526:B527)</f>
        <v>0</v>
      </c>
      <c r="C528" s="226">
        <f t="shared" si="291"/>
        <v>0</v>
      </c>
      <c r="D528" s="226">
        <f t="shared" si="291"/>
        <v>0</v>
      </c>
      <c r="E528" s="226">
        <f t="shared" si="291"/>
        <v>0</v>
      </c>
      <c r="F528" s="226">
        <f t="shared" si="291"/>
        <v>0</v>
      </c>
      <c r="G528" s="226">
        <f t="shared" si="291"/>
        <v>0</v>
      </c>
      <c r="H528" s="226">
        <f t="shared" si="291"/>
        <v>0</v>
      </c>
      <c r="I528" s="226">
        <f t="shared" si="291"/>
        <v>0</v>
      </c>
      <c r="J528" s="226">
        <f t="shared" si="291"/>
        <v>0</v>
      </c>
      <c r="K528" s="226">
        <f t="shared" si="291"/>
        <v>0</v>
      </c>
      <c r="L528" s="226">
        <f t="shared" si="291"/>
        <v>0</v>
      </c>
      <c r="M528" s="226">
        <f t="shared" si="291"/>
        <v>0</v>
      </c>
      <c r="N528" s="226">
        <f t="shared" si="291"/>
        <v>0</v>
      </c>
      <c r="O528" s="226">
        <f t="shared" si="291"/>
        <v>0</v>
      </c>
      <c r="P528" s="226">
        <f t="shared" si="291"/>
        <v>0</v>
      </c>
      <c r="Q528" s="226">
        <f t="shared" si="291"/>
        <v>0</v>
      </c>
      <c r="R528" s="226">
        <f t="shared" si="291"/>
        <v>0</v>
      </c>
      <c r="S528" s="279">
        <f t="shared" si="291"/>
        <v>0</v>
      </c>
    </row>
    <row r="529" spans="1:19" ht="12.75" customHeight="1" x14ac:dyDescent="0.2">
      <c r="A529" s="198" t="str">
        <f>"         "&amp;Labels!B386</f>
        <v xml:space="preserve">         Prof Level 2</v>
      </c>
      <c r="B529" s="226"/>
      <c r="C529" s="226"/>
      <c r="D529" s="226"/>
      <c r="E529" s="226"/>
      <c r="F529" s="226"/>
      <c r="G529" s="226"/>
      <c r="H529" s="226"/>
      <c r="I529" s="226"/>
      <c r="J529" s="226"/>
      <c r="K529" s="226"/>
      <c r="L529" s="226"/>
      <c r="M529" s="226"/>
      <c r="N529" s="226"/>
      <c r="O529" s="226"/>
      <c r="P529" s="226"/>
      <c r="Q529" s="226"/>
      <c r="R529" s="226"/>
      <c r="S529" s="279"/>
    </row>
    <row r="530" spans="1:19" ht="12.75" customHeight="1" x14ac:dyDescent="0.2">
      <c r="A530" s="198" t="str">
        <f>"            "&amp;Labels!B317</f>
        <v xml:space="preserve">            Channels 1</v>
      </c>
      <c r="B530" s="189">
        <f>(Sales!B126*12/1000)/2</f>
        <v>0</v>
      </c>
      <c r="C530" s="189">
        <f>(Sales!C126*12/1000)/2</f>
        <v>0</v>
      </c>
      <c r="D530" s="189">
        <f>(Sales!D126*12/1000)/2</f>
        <v>0</v>
      </c>
      <c r="E530" s="189">
        <f>(Sales!F126*12/1000)/2</f>
        <v>0</v>
      </c>
      <c r="F530" s="189">
        <f>(Sales!G126*12/1000)/2</f>
        <v>0</v>
      </c>
      <c r="G530" s="189">
        <f>(Sales!H126*12/1000)/2</f>
        <v>0</v>
      </c>
      <c r="H530" s="189">
        <f>(Sales!J126*12/1000)/2</f>
        <v>0</v>
      </c>
      <c r="I530" s="189">
        <f>(Sales!K126*12/1000)/2</f>
        <v>0</v>
      </c>
      <c r="J530" s="189">
        <f>(Sales!L126*12/1000)/2</f>
        <v>0</v>
      </c>
      <c r="K530" s="189">
        <f>(Sales!N126*12/1000)/2</f>
        <v>0</v>
      </c>
      <c r="L530" s="189">
        <f>(Sales!O126*12/1000)/2</f>
        <v>0</v>
      </c>
      <c r="M530" s="189">
        <f>(Sales!P126*12/1000)/2</f>
        <v>0</v>
      </c>
      <c r="N530" s="189">
        <f>(Sales!R126*12/1000)/2</f>
        <v>0</v>
      </c>
      <c r="O530" s="189">
        <f>(Sales!S126*12/1000)/2</f>
        <v>0</v>
      </c>
      <c r="P530" s="189">
        <f>(Sales!T126*12/1000)/2</f>
        <v>0</v>
      </c>
      <c r="Q530" s="189">
        <f>(Sales!V126*12/1000)/2</f>
        <v>0</v>
      </c>
      <c r="R530" s="189">
        <f>(Sales!W126*12/1000)/2</f>
        <v>0</v>
      </c>
      <c r="S530" s="294">
        <f>(Sales!X126*12/1000)/2</f>
        <v>0</v>
      </c>
    </row>
    <row r="531" spans="1:19" ht="12.75" customHeight="1" x14ac:dyDescent="0.2">
      <c r="A531" s="198" t="str">
        <f>"            "&amp;Labels!B318</f>
        <v xml:space="preserve">            Channels 2</v>
      </c>
      <c r="B531" s="189">
        <f>(Sales!B127*12/1000)/2</f>
        <v>0</v>
      </c>
      <c r="C531" s="189">
        <f>(Sales!C127*12/1000)/2</f>
        <v>0</v>
      </c>
      <c r="D531" s="189">
        <f>(Sales!D127*12/1000)/2</f>
        <v>0</v>
      </c>
      <c r="E531" s="189">
        <f>(Sales!F127*12/1000)/2</f>
        <v>0</v>
      </c>
      <c r="F531" s="189">
        <f>(Sales!G127*12/1000)/2</f>
        <v>0</v>
      </c>
      <c r="G531" s="189">
        <f>(Sales!H127*12/1000)/2</f>
        <v>0</v>
      </c>
      <c r="H531" s="189">
        <f>(Sales!J127*12/1000)/2</f>
        <v>0</v>
      </c>
      <c r="I531" s="189">
        <f>(Sales!K127*12/1000)/2</f>
        <v>0</v>
      </c>
      <c r="J531" s="189">
        <f>(Sales!L127*12/1000)/2</f>
        <v>0</v>
      </c>
      <c r="K531" s="189">
        <f>(Sales!N127*12/1000)/2</f>
        <v>0</v>
      </c>
      <c r="L531" s="189">
        <f>(Sales!O127*12/1000)/2</f>
        <v>0</v>
      </c>
      <c r="M531" s="189">
        <f>(Sales!P127*12/1000)/2</f>
        <v>0</v>
      </c>
      <c r="N531" s="189">
        <f>(Sales!R127*12/1000)/2</f>
        <v>0</v>
      </c>
      <c r="O531" s="189">
        <f>(Sales!S127*12/1000)/2</f>
        <v>0</v>
      </c>
      <c r="P531" s="189">
        <f>(Sales!T127*12/1000)/2</f>
        <v>0</v>
      </c>
      <c r="Q531" s="189">
        <f>(Sales!V127*12/1000)/2</f>
        <v>0</v>
      </c>
      <c r="R531" s="189">
        <f>(Sales!W127*12/1000)/2</f>
        <v>0</v>
      </c>
      <c r="S531" s="294">
        <f>(Sales!X127*12/1000)/2</f>
        <v>0</v>
      </c>
    </row>
    <row r="532" spans="1:19" ht="12.75" customHeight="1" x14ac:dyDescent="0.2">
      <c r="A532" s="198" t="str">
        <f>"            "&amp;Labels!C316</f>
        <v xml:space="preserve">            Total</v>
      </c>
      <c r="B532" s="226">
        <f t="shared" ref="B532:S532" si="292">SUM(B530:B531)</f>
        <v>0</v>
      </c>
      <c r="C532" s="226">
        <f t="shared" si="292"/>
        <v>0</v>
      </c>
      <c r="D532" s="226">
        <f t="shared" si="292"/>
        <v>0</v>
      </c>
      <c r="E532" s="226">
        <f t="shared" si="292"/>
        <v>0</v>
      </c>
      <c r="F532" s="226">
        <f t="shared" si="292"/>
        <v>0</v>
      </c>
      <c r="G532" s="226">
        <f t="shared" si="292"/>
        <v>0</v>
      </c>
      <c r="H532" s="226">
        <f t="shared" si="292"/>
        <v>0</v>
      </c>
      <c r="I532" s="226">
        <f t="shared" si="292"/>
        <v>0</v>
      </c>
      <c r="J532" s="226">
        <f t="shared" si="292"/>
        <v>0</v>
      </c>
      <c r="K532" s="226">
        <f t="shared" si="292"/>
        <v>0</v>
      </c>
      <c r="L532" s="226">
        <f t="shared" si="292"/>
        <v>0</v>
      </c>
      <c r="M532" s="226">
        <f t="shared" si="292"/>
        <v>0</v>
      </c>
      <c r="N532" s="226">
        <f t="shared" si="292"/>
        <v>0</v>
      </c>
      <c r="O532" s="226">
        <f t="shared" si="292"/>
        <v>0</v>
      </c>
      <c r="P532" s="226">
        <f t="shared" si="292"/>
        <v>0</v>
      </c>
      <c r="Q532" s="226">
        <f t="shared" si="292"/>
        <v>0</v>
      </c>
      <c r="R532" s="226">
        <f t="shared" si="292"/>
        <v>0</v>
      </c>
      <c r="S532" s="279">
        <f t="shared" si="292"/>
        <v>0</v>
      </c>
    </row>
    <row r="533" spans="1:19" ht="12.75" customHeight="1" x14ac:dyDescent="0.2">
      <c r="A533" s="198" t="str">
        <f>"         "&amp;Labels!C384</f>
        <v xml:space="preserve">         Total</v>
      </c>
      <c r="B533" s="226">
        <f t="shared" ref="B533:S533" si="293">SUM(B528,B532)</f>
        <v>0</v>
      </c>
      <c r="C533" s="226">
        <f t="shared" si="293"/>
        <v>0</v>
      </c>
      <c r="D533" s="226">
        <f t="shared" si="293"/>
        <v>0</v>
      </c>
      <c r="E533" s="226">
        <f t="shared" si="293"/>
        <v>0</v>
      </c>
      <c r="F533" s="226">
        <f t="shared" si="293"/>
        <v>0</v>
      </c>
      <c r="G533" s="226">
        <f t="shared" si="293"/>
        <v>0</v>
      </c>
      <c r="H533" s="226">
        <f t="shared" si="293"/>
        <v>0</v>
      </c>
      <c r="I533" s="226">
        <f t="shared" si="293"/>
        <v>0</v>
      </c>
      <c r="J533" s="226">
        <f t="shared" si="293"/>
        <v>0</v>
      </c>
      <c r="K533" s="226">
        <f t="shared" si="293"/>
        <v>0</v>
      </c>
      <c r="L533" s="226">
        <f t="shared" si="293"/>
        <v>0</v>
      </c>
      <c r="M533" s="226">
        <f t="shared" si="293"/>
        <v>0</v>
      </c>
      <c r="N533" s="226">
        <f t="shared" si="293"/>
        <v>0</v>
      </c>
      <c r="O533" s="226">
        <f t="shared" si="293"/>
        <v>0</v>
      </c>
      <c r="P533" s="226">
        <f t="shared" si="293"/>
        <v>0</v>
      </c>
      <c r="Q533" s="226">
        <f t="shared" si="293"/>
        <v>0</v>
      </c>
      <c r="R533" s="226">
        <f t="shared" si="293"/>
        <v>0</v>
      </c>
      <c r="S533" s="279">
        <f t="shared" si="293"/>
        <v>0</v>
      </c>
    </row>
    <row r="534" spans="1:19" ht="12.75" customHeight="1" x14ac:dyDescent="0.2">
      <c r="A534" s="198" t="str">
        <f>"            "&amp;Labels!B317</f>
        <v xml:space="preserve">            Channels 1</v>
      </c>
      <c r="B534" s="189">
        <f t="shared" ref="B534:S534" si="294">SUM(B526,B530)</f>
        <v>0</v>
      </c>
      <c r="C534" s="189">
        <f t="shared" si="294"/>
        <v>0</v>
      </c>
      <c r="D534" s="189">
        <f t="shared" si="294"/>
        <v>0</v>
      </c>
      <c r="E534" s="189">
        <f t="shared" si="294"/>
        <v>0</v>
      </c>
      <c r="F534" s="189">
        <f t="shared" si="294"/>
        <v>0</v>
      </c>
      <c r="G534" s="189">
        <f t="shared" si="294"/>
        <v>0</v>
      </c>
      <c r="H534" s="189">
        <f t="shared" si="294"/>
        <v>0</v>
      </c>
      <c r="I534" s="189">
        <f t="shared" si="294"/>
        <v>0</v>
      </c>
      <c r="J534" s="189">
        <f t="shared" si="294"/>
        <v>0</v>
      </c>
      <c r="K534" s="189">
        <f t="shared" si="294"/>
        <v>0</v>
      </c>
      <c r="L534" s="189">
        <f t="shared" si="294"/>
        <v>0</v>
      </c>
      <c r="M534" s="189">
        <f t="shared" si="294"/>
        <v>0</v>
      </c>
      <c r="N534" s="189">
        <f t="shared" si="294"/>
        <v>0</v>
      </c>
      <c r="O534" s="189">
        <f t="shared" si="294"/>
        <v>0</v>
      </c>
      <c r="P534" s="189">
        <f t="shared" si="294"/>
        <v>0</v>
      </c>
      <c r="Q534" s="189">
        <f t="shared" si="294"/>
        <v>0</v>
      </c>
      <c r="R534" s="189">
        <f t="shared" si="294"/>
        <v>0</v>
      </c>
      <c r="S534" s="294">
        <f t="shared" si="294"/>
        <v>0</v>
      </c>
    </row>
    <row r="535" spans="1:19" ht="12.75" customHeight="1" x14ac:dyDescent="0.2">
      <c r="A535" s="198" t="str">
        <f>"            "&amp;Labels!B318</f>
        <v xml:space="preserve">            Channels 2</v>
      </c>
      <c r="B535" s="189">
        <f t="shared" ref="B535:S535" si="295">SUM(B527,B531)</f>
        <v>0</v>
      </c>
      <c r="C535" s="189">
        <f t="shared" si="295"/>
        <v>0</v>
      </c>
      <c r="D535" s="189">
        <f t="shared" si="295"/>
        <v>0</v>
      </c>
      <c r="E535" s="189">
        <f t="shared" si="295"/>
        <v>0</v>
      </c>
      <c r="F535" s="189">
        <f t="shared" si="295"/>
        <v>0</v>
      </c>
      <c r="G535" s="189">
        <f t="shared" si="295"/>
        <v>0</v>
      </c>
      <c r="H535" s="189">
        <f t="shared" si="295"/>
        <v>0</v>
      </c>
      <c r="I535" s="189">
        <f t="shared" si="295"/>
        <v>0</v>
      </c>
      <c r="J535" s="189">
        <f t="shared" si="295"/>
        <v>0</v>
      </c>
      <c r="K535" s="189">
        <f t="shared" si="295"/>
        <v>0</v>
      </c>
      <c r="L535" s="189">
        <f t="shared" si="295"/>
        <v>0</v>
      </c>
      <c r="M535" s="189">
        <f t="shared" si="295"/>
        <v>0</v>
      </c>
      <c r="N535" s="189">
        <f t="shared" si="295"/>
        <v>0</v>
      </c>
      <c r="O535" s="189">
        <f t="shared" si="295"/>
        <v>0</v>
      </c>
      <c r="P535" s="189">
        <f t="shared" si="295"/>
        <v>0</v>
      </c>
      <c r="Q535" s="189">
        <f t="shared" si="295"/>
        <v>0</v>
      </c>
      <c r="R535" s="189">
        <f t="shared" si="295"/>
        <v>0</v>
      </c>
      <c r="S535" s="294">
        <f t="shared" si="295"/>
        <v>0</v>
      </c>
    </row>
    <row r="536" spans="1:19" ht="12.75" customHeight="1" x14ac:dyDescent="0.2">
      <c r="A536" s="198" t="str">
        <f>"            "&amp;Labels!C316</f>
        <v xml:space="preserve">            Total</v>
      </c>
      <c r="B536" s="226">
        <f t="shared" ref="B536:S536" si="296">SUM(B528,B532)</f>
        <v>0</v>
      </c>
      <c r="C536" s="226">
        <f t="shared" si="296"/>
        <v>0</v>
      </c>
      <c r="D536" s="226">
        <f t="shared" si="296"/>
        <v>0</v>
      </c>
      <c r="E536" s="226">
        <f t="shared" si="296"/>
        <v>0</v>
      </c>
      <c r="F536" s="226">
        <f t="shared" si="296"/>
        <v>0</v>
      </c>
      <c r="G536" s="226">
        <f t="shared" si="296"/>
        <v>0</v>
      </c>
      <c r="H536" s="226">
        <f t="shared" si="296"/>
        <v>0</v>
      </c>
      <c r="I536" s="226">
        <f t="shared" si="296"/>
        <v>0</v>
      </c>
      <c r="J536" s="226">
        <f t="shared" si="296"/>
        <v>0</v>
      </c>
      <c r="K536" s="226">
        <f t="shared" si="296"/>
        <v>0</v>
      </c>
      <c r="L536" s="226">
        <f t="shared" si="296"/>
        <v>0</v>
      </c>
      <c r="M536" s="226">
        <f t="shared" si="296"/>
        <v>0</v>
      </c>
      <c r="N536" s="226">
        <f t="shared" si="296"/>
        <v>0</v>
      </c>
      <c r="O536" s="226">
        <f t="shared" si="296"/>
        <v>0</v>
      </c>
      <c r="P536" s="226">
        <f t="shared" si="296"/>
        <v>0</v>
      </c>
      <c r="Q536" s="226">
        <f t="shared" si="296"/>
        <v>0</v>
      </c>
      <c r="R536" s="226">
        <f t="shared" si="296"/>
        <v>0</v>
      </c>
      <c r="S536" s="279">
        <f t="shared" si="296"/>
        <v>0</v>
      </c>
    </row>
    <row r="537" spans="1:19" ht="12.75" customHeight="1" x14ac:dyDescent="0.2">
      <c r="A537" s="188" t="str">
        <f>"      "&amp;Labels!C380</f>
        <v xml:space="preserve">      Total</v>
      </c>
      <c r="B537" s="196">
        <f t="shared" ref="B537:S537" si="297">SUM(B520,B533)</f>
        <v>0</v>
      </c>
      <c r="C537" s="196">
        <f t="shared" si="297"/>
        <v>0</v>
      </c>
      <c r="D537" s="196">
        <f t="shared" si="297"/>
        <v>676.5</v>
      </c>
      <c r="E537" s="196">
        <f t="shared" si="297"/>
        <v>676.5</v>
      </c>
      <c r="F537" s="196">
        <f t="shared" si="297"/>
        <v>0</v>
      </c>
      <c r="G537" s="196">
        <f t="shared" si="297"/>
        <v>492</v>
      </c>
      <c r="H537" s="196">
        <f t="shared" si="297"/>
        <v>492</v>
      </c>
      <c r="I537" s="196">
        <f t="shared" si="297"/>
        <v>492</v>
      </c>
      <c r="J537" s="196">
        <f t="shared" si="297"/>
        <v>0</v>
      </c>
      <c r="K537" s="196">
        <f t="shared" si="297"/>
        <v>0</v>
      </c>
      <c r="L537" s="196">
        <f t="shared" si="297"/>
        <v>0</v>
      </c>
      <c r="M537" s="196">
        <f t="shared" si="297"/>
        <v>0</v>
      </c>
      <c r="N537" s="196">
        <f t="shared" si="297"/>
        <v>0</v>
      </c>
      <c r="O537" s="196">
        <f t="shared" si="297"/>
        <v>0</v>
      </c>
      <c r="P537" s="196">
        <f t="shared" si="297"/>
        <v>0</v>
      </c>
      <c r="Q537" s="196">
        <f t="shared" si="297"/>
        <v>0</v>
      </c>
      <c r="R537" s="196">
        <f t="shared" si="297"/>
        <v>0</v>
      </c>
      <c r="S537" s="267">
        <f t="shared" si="297"/>
        <v>0</v>
      </c>
    </row>
    <row r="538" spans="1:19" ht="12.75" customHeight="1" x14ac:dyDescent="0.2">
      <c r="A538" s="198" t="str">
        <f>"         "&amp;Labels!B385</f>
        <v xml:space="preserve">         Prof Level 1</v>
      </c>
      <c r="B538" s="226"/>
      <c r="C538" s="226"/>
      <c r="D538" s="226"/>
      <c r="E538" s="226"/>
      <c r="F538" s="226"/>
      <c r="G538" s="226"/>
      <c r="H538" s="226"/>
      <c r="I538" s="226"/>
      <c r="J538" s="226"/>
      <c r="K538" s="226"/>
      <c r="L538" s="226"/>
      <c r="M538" s="226"/>
      <c r="N538" s="226"/>
      <c r="O538" s="226"/>
      <c r="P538" s="226"/>
      <c r="Q538" s="226"/>
      <c r="R538" s="226"/>
      <c r="S538" s="279"/>
    </row>
    <row r="539" spans="1:19" ht="12.75" customHeight="1" x14ac:dyDescent="0.2">
      <c r="A539" s="198" t="str">
        <f>"            "&amp;Labels!B317</f>
        <v xml:space="preserve">            Channels 1</v>
      </c>
      <c r="B539" s="189">
        <f t="shared" ref="B539:S539" si="298">SUM(B513,B526)</f>
        <v>0</v>
      </c>
      <c r="C539" s="189">
        <f t="shared" si="298"/>
        <v>0</v>
      </c>
      <c r="D539" s="189">
        <f t="shared" si="298"/>
        <v>173.25</v>
      </c>
      <c r="E539" s="189">
        <f t="shared" si="298"/>
        <v>173.25</v>
      </c>
      <c r="F539" s="189">
        <f t="shared" si="298"/>
        <v>0</v>
      </c>
      <c r="G539" s="189">
        <f t="shared" si="298"/>
        <v>126</v>
      </c>
      <c r="H539" s="189">
        <f t="shared" si="298"/>
        <v>126</v>
      </c>
      <c r="I539" s="189">
        <f t="shared" si="298"/>
        <v>126</v>
      </c>
      <c r="J539" s="189">
        <f t="shared" si="298"/>
        <v>0</v>
      </c>
      <c r="K539" s="189">
        <f t="shared" si="298"/>
        <v>0</v>
      </c>
      <c r="L539" s="189">
        <f t="shared" si="298"/>
        <v>0</v>
      </c>
      <c r="M539" s="189">
        <f t="shared" si="298"/>
        <v>0</v>
      </c>
      <c r="N539" s="189">
        <f t="shared" si="298"/>
        <v>0</v>
      </c>
      <c r="O539" s="189">
        <f t="shared" si="298"/>
        <v>0</v>
      </c>
      <c r="P539" s="189">
        <f t="shared" si="298"/>
        <v>0</v>
      </c>
      <c r="Q539" s="189">
        <f t="shared" si="298"/>
        <v>0</v>
      </c>
      <c r="R539" s="189">
        <f t="shared" si="298"/>
        <v>0</v>
      </c>
      <c r="S539" s="294">
        <f t="shared" si="298"/>
        <v>0</v>
      </c>
    </row>
    <row r="540" spans="1:19" ht="12.75" customHeight="1" x14ac:dyDescent="0.2">
      <c r="A540" s="198" t="str">
        <f>"            "&amp;Labels!B318</f>
        <v xml:space="preserve">            Channels 2</v>
      </c>
      <c r="B540" s="189">
        <f t="shared" ref="B540:S540" si="299">SUM(B514,B527)</f>
        <v>0</v>
      </c>
      <c r="C540" s="189">
        <f t="shared" si="299"/>
        <v>0</v>
      </c>
      <c r="D540" s="189">
        <f t="shared" si="299"/>
        <v>165</v>
      </c>
      <c r="E540" s="189">
        <f t="shared" si="299"/>
        <v>165</v>
      </c>
      <c r="F540" s="189">
        <f t="shared" si="299"/>
        <v>0</v>
      </c>
      <c r="G540" s="189">
        <f t="shared" si="299"/>
        <v>120</v>
      </c>
      <c r="H540" s="189">
        <f t="shared" si="299"/>
        <v>120</v>
      </c>
      <c r="I540" s="189">
        <f t="shared" si="299"/>
        <v>120</v>
      </c>
      <c r="J540" s="189">
        <f t="shared" si="299"/>
        <v>0</v>
      </c>
      <c r="K540" s="189">
        <f t="shared" si="299"/>
        <v>0</v>
      </c>
      <c r="L540" s="189">
        <f t="shared" si="299"/>
        <v>0</v>
      </c>
      <c r="M540" s="189">
        <f t="shared" si="299"/>
        <v>0</v>
      </c>
      <c r="N540" s="189">
        <f t="shared" si="299"/>
        <v>0</v>
      </c>
      <c r="O540" s="189">
        <f t="shared" si="299"/>
        <v>0</v>
      </c>
      <c r="P540" s="189">
        <f t="shared" si="299"/>
        <v>0</v>
      </c>
      <c r="Q540" s="189">
        <f t="shared" si="299"/>
        <v>0</v>
      </c>
      <c r="R540" s="189">
        <f t="shared" si="299"/>
        <v>0</v>
      </c>
      <c r="S540" s="294">
        <f t="shared" si="299"/>
        <v>0</v>
      </c>
    </row>
    <row r="541" spans="1:19" ht="12.75" customHeight="1" x14ac:dyDescent="0.2">
      <c r="A541" s="198" t="str">
        <f>"            "&amp;Labels!C316</f>
        <v xml:space="preserve">            Total</v>
      </c>
      <c r="B541" s="226">
        <f t="shared" ref="B541:S541" si="300">SUM(B515,B528)</f>
        <v>0</v>
      </c>
      <c r="C541" s="226">
        <f t="shared" si="300"/>
        <v>0</v>
      </c>
      <c r="D541" s="226">
        <f t="shared" si="300"/>
        <v>338.25</v>
      </c>
      <c r="E541" s="226">
        <f t="shared" si="300"/>
        <v>338.25</v>
      </c>
      <c r="F541" s="226">
        <f t="shared" si="300"/>
        <v>0</v>
      </c>
      <c r="G541" s="226">
        <f t="shared" si="300"/>
        <v>246</v>
      </c>
      <c r="H541" s="226">
        <f t="shared" si="300"/>
        <v>246</v>
      </c>
      <c r="I541" s="226">
        <f t="shared" si="300"/>
        <v>246</v>
      </c>
      <c r="J541" s="226">
        <f t="shared" si="300"/>
        <v>0</v>
      </c>
      <c r="K541" s="226">
        <f t="shared" si="300"/>
        <v>0</v>
      </c>
      <c r="L541" s="226">
        <f t="shared" si="300"/>
        <v>0</v>
      </c>
      <c r="M541" s="226">
        <f t="shared" si="300"/>
        <v>0</v>
      </c>
      <c r="N541" s="226">
        <f t="shared" si="300"/>
        <v>0</v>
      </c>
      <c r="O541" s="226">
        <f t="shared" si="300"/>
        <v>0</v>
      </c>
      <c r="P541" s="226">
        <f t="shared" si="300"/>
        <v>0</v>
      </c>
      <c r="Q541" s="226">
        <f t="shared" si="300"/>
        <v>0</v>
      </c>
      <c r="R541" s="226">
        <f t="shared" si="300"/>
        <v>0</v>
      </c>
      <c r="S541" s="279">
        <f t="shared" si="300"/>
        <v>0</v>
      </c>
    </row>
    <row r="542" spans="1:19" ht="12.75" customHeight="1" x14ac:dyDescent="0.2">
      <c r="A542" s="198" t="str">
        <f>"         "&amp;Labels!B386</f>
        <v xml:space="preserve">         Prof Level 2</v>
      </c>
      <c r="B542" s="226"/>
      <c r="C542" s="226"/>
      <c r="D542" s="226"/>
      <c r="E542" s="226"/>
      <c r="F542" s="226"/>
      <c r="G542" s="226"/>
      <c r="H542" s="226"/>
      <c r="I542" s="226"/>
      <c r="J542" s="226"/>
      <c r="K542" s="226"/>
      <c r="L542" s="226"/>
      <c r="M542" s="226"/>
      <c r="N542" s="226"/>
      <c r="O542" s="226"/>
      <c r="P542" s="226"/>
      <c r="Q542" s="226"/>
      <c r="R542" s="226"/>
      <c r="S542" s="279"/>
    </row>
    <row r="543" spans="1:19" ht="12.75" customHeight="1" x14ac:dyDescent="0.2">
      <c r="A543" s="198" t="str">
        <f>"            "&amp;Labels!B317</f>
        <v xml:space="preserve">            Channels 1</v>
      </c>
      <c r="B543" s="189">
        <f t="shared" ref="B543:S543" si="301">SUM(B517,B530)</f>
        <v>0</v>
      </c>
      <c r="C543" s="189">
        <f t="shared" si="301"/>
        <v>0</v>
      </c>
      <c r="D543" s="189">
        <f t="shared" si="301"/>
        <v>173.25</v>
      </c>
      <c r="E543" s="189">
        <f t="shared" si="301"/>
        <v>173.25</v>
      </c>
      <c r="F543" s="189">
        <f t="shared" si="301"/>
        <v>0</v>
      </c>
      <c r="G543" s="189">
        <f t="shared" si="301"/>
        <v>126</v>
      </c>
      <c r="H543" s="189">
        <f t="shared" si="301"/>
        <v>126</v>
      </c>
      <c r="I543" s="189">
        <f t="shared" si="301"/>
        <v>126</v>
      </c>
      <c r="J543" s="189">
        <f t="shared" si="301"/>
        <v>0</v>
      </c>
      <c r="K543" s="189">
        <f t="shared" si="301"/>
        <v>0</v>
      </c>
      <c r="L543" s="189">
        <f t="shared" si="301"/>
        <v>0</v>
      </c>
      <c r="M543" s="189">
        <f t="shared" si="301"/>
        <v>0</v>
      </c>
      <c r="N543" s="189">
        <f t="shared" si="301"/>
        <v>0</v>
      </c>
      <c r="O543" s="189">
        <f t="shared" si="301"/>
        <v>0</v>
      </c>
      <c r="P543" s="189">
        <f t="shared" si="301"/>
        <v>0</v>
      </c>
      <c r="Q543" s="189">
        <f t="shared" si="301"/>
        <v>0</v>
      </c>
      <c r="R543" s="189">
        <f t="shared" si="301"/>
        <v>0</v>
      </c>
      <c r="S543" s="294">
        <f t="shared" si="301"/>
        <v>0</v>
      </c>
    </row>
    <row r="544" spans="1:19" ht="12.75" customHeight="1" x14ac:dyDescent="0.2">
      <c r="A544" s="198" t="str">
        <f>"            "&amp;Labels!B318</f>
        <v xml:space="preserve">            Channels 2</v>
      </c>
      <c r="B544" s="189">
        <f t="shared" ref="B544:S544" si="302">SUM(B518,B531)</f>
        <v>0</v>
      </c>
      <c r="C544" s="189">
        <f t="shared" si="302"/>
        <v>0</v>
      </c>
      <c r="D544" s="189">
        <f t="shared" si="302"/>
        <v>165</v>
      </c>
      <c r="E544" s="189">
        <f t="shared" si="302"/>
        <v>165</v>
      </c>
      <c r="F544" s="189">
        <f t="shared" si="302"/>
        <v>0</v>
      </c>
      <c r="G544" s="189">
        <f t="shared" si="302"/>
        <v>120</v>
      </c>
      <c r="H544" s="189">
        <f t="shared" si="302"/>
        <v>120</v>
      </c>
      <c r="I544" s="189">
        <f t="shared" si="302"/>
        <v>120</v>
      </c>
      <c r="J544" s="189">
        <f t="shared" si="302"/>
        <v>0</v>
      </c>
      <c r="K544" s="189">
        <f t="shared" si="302"/>
        <v>0</v>
      </c>
      <c r="L544" s="189">
        <f t="shared" si="302"/>
        <v>0</v>
      </c>
      <c r="M544" s="189">
        <f t="shared" si="302"/>
        <v>0</v>
      </c>
      <c r="N544" s="189">
        <f t="shared" si="302"/>
        <v>0</v>
      </c>
      <c r="O544" s="189">
        <f t="shared" si="302"/>
        <v>0</v>
      </c>
      <c r="P544" s="189">
        <f t="shared" si="302"/>
        <v>0</v>
      </c>
      <c r="Q544" s="189">
        <f t="shared" si="302"/>
        <v>0</v>
      </c>
      <c r="R544" s="189">
        <f t="shared" si="302"/>
        <v>0</v>
      </c>
      <c r="S544" s="294">
        <f t="shared" si="302"/>
        <v>0</v>
      </c>
    </row>
    <row r="545" spans="1:19" ht="12.75" customHeight="1" x14ac:dyDescent="0.2">
      <c r="A545" s="198" t="str">
        <f>"            "&amp;Labels!C316</f>
        <v xml:space="preserve">            Total</v>
      </c>
      <c r="B545" s="226">
        <f t="shared" ref="B545:S545" si="303">SUM(B519,B532)</f>
        <v>0</v>
      </c>
      <c r="C545" s="226">
        <f t="shared" si="303"/>
        <v>0</v>
      </c>
      <c r="D545" s="226">
        <f t="shared" si="303"/>
        <v>338.25</v>
      </c>
      <c r="E545" s="226">
        <f t="shared" si="303"/>
        <v>338.25</v>
      </c>
      <c r="F545" s="226">
        <f t="shared" si="303"/>
        <v>0</v>
      </c>
      <c r="G545" s="226">
        <f t="shared" si="303"/>
        <v>246</v>
      </c>
      <c r="H545" s="226">
        <f t="shared" si="303"/>
        <v>246</v>
      </c>
      <c r="I545" s="226">
        <f t="shared" si="303"/>
        <v>246</v>
      </c>
      <c r="J545" s="226">
        <f t="shared" si="303"/>
        <v>0</v>
      </c>
      <c r="K545" s="226">
        <f t="shared" si="303"/>
        <v>0</v>
      </c>
      <c r="L545" s="226">
        <f t="shared" si="303"/>
        <v>0</v>
      </c>
      <c r="M545" s="226">
        <f t="shared" si="303"/>
        <v>0</v>
      </c>
      <c r="N545" s="226">
        <f t="shared" si="303"/>
        <v>0</v>
      </c>
      <c r="O545" s="226">
        <f t="shared" si="303"/>
        <v>0</v>
      </c>
      <c r="P545" s="226">
        <f t="shared" si="303"/>
        <v>0</v>
      </c>
      <c r="Q545" s="226">
        <f t="shared" si="303"/>
        <v>0</v>
      </c>
      <c r="R545" s="226">
        <f t="shared" si="303"/>
        <v>0</v>
      </c>
      <c r="S545" s="279">
        <f t="shared" si="303"/>
        <v>0</v>
      </c>
    </row>
    <row r="546" spans="1:19" ht="12.75" customHeight="1" x14ac:dyDescent="0.2">
      <c r="A546" s="198" t="str">
        <f>"         "&amp;Labels!C384</f>
        <v xml:space="preserve">         Total</v>
      </c>
      <c r="B546" s="226">
        <f t="shared" ref="B546:S546" si="304">SUM(B520,B533)</f>
        <v>0</v>
      </c>
      <c r="C546" s="226">
        <f t="shared" si="304"/>
        <v>0</v>
      </c>
      <c r="D546" s="226">
        <f t="shared" si="304"/>
        <v>676.5</v>
      </c>
      <c r="E546" s="226">
        <f t="shared" si="304"/>
        <v>676.5</v>
      </c>
      <c r="F546" s="226">
        <f t="shared" si="304"/>
        <v>0</v>
      </c>
      <c r="G546" s="226">
        <f t="shared" si="304"/>
        <v>492</v>
      </c>
      <c r="H546" s="226">
        <f t="shared" si="304"/>
        <v>492</v>
      </c>
      <c r="I546" s="226">
        <f t="shared" si="304"/>
        <v>492</v>
      </c>
      <c r="J546" s="226">
        <f t="shared" si="304"/>
        <v>0</v>
      </c>
      <c r="K546" s="226">
        <f t="shared" si="304"/>
        <v>0</v>
      </c>
      <c r="L546" s="226">
        <f t="shared" si="304"/>
        <v>0</v>
      </c>
      <c r="M546" s="226">
        <f t="shared" si="304"/>
        <v>0</v>
      </c>
      <c r="N546" s="226">
        <f t="shared" si="304"/>
        <v>0</v>
      </c>
      <c r="O546" s="226">
        <f t="shared" si="304"/>
        <v>0</v>
      </c>
      <c r="P546" s="226">
        <f t="shared" si="304"/>
        <v>0</v>
      </c>
      <c r="Q546" s="226">
        <f t="shared" si="304"/>
        <v>0</v>
      </c>
      <c r="R546" s="226">
        <f t="shared" si="304"/>
        <v>0</v>
      </c>
      <c r="S546" s="279">
        <f t="shared" si="304"/>
        <v>0</v>
      </c>
    </row>
    <row r="547" spans="1:19" ht="12.75" customHeight="1" x14ac:dyDescent="0.2">
      <c r="A547" s="198" t="str">
        <f>"            "&amp;Labels!B317</f>
        <v xml:space="preserve">            Channels 1</v>
      </c>
      <c r="B547" s="189">
        <f t="shared" ref="B547:S547" si="305">SUM(B521,B534)</f>
        <v>0</v>
      </c>
      <c r="C547" s="189">
        <f t="shared" si="305"/>
        <v>0</v>
      </c>
      <c r="D547" s="189">
        <f t="shared" si="305"/>
        <v>346.5</v>
      </c>
      <c r="E547" s="189">
        <f t="shared" si="305"/>
        <v>346.5</v>
      </c>
      <c r="F547" s="189">
        <f t="shared" si="305"/>
        <v>0</v>
      </c>
      <c r="G547" s="189">
        <f t="shared" si="305"/>
        <v>252</v>
      </c>
      <c r="H547" s="189">
        <f t="shared" si="305"/>
        <v>252</v>
      </c>
      <c r="I547" s="189">
        <f t="shared" si="305"/>
        <v>252</v>
      </c>
      <c r="J547" s="189">
        <f t="shared" si="305"/>
        <v>0</v>
      </c>
      <c r="K547" s="189">
        <f t="shared" si="305"/>
        <v>0</v>
      </c>
      <c r="L547" s="189">
        <f t="shared" si="305"/>
        <v>0</v>
      </c>
      <c r="M547" s="189">
        <f t="shared" si="305"/>
        <v>0</v>
      </c>
      <c r="N547" s="189">
        <f t="shared" si="305"/>
        <v>0</v>
      </c>
      <c r="O547" s="189">
        <f t="shared" si="305"/>
        <v>0</v>
      </c>
      <c r="P547" s="189">
        <f t="shared" si="305"/>
        <v>0</v>
      </c>
      <c r="Q547" s="189">
        <f t="shared" si="305"/>
        <v>0</v>
      </c>
      <c r="R547" s="189">
        <f t="shared" si="305"/>
        <v>0</v>
      </c>
      <c r="S547" s="294">
        <f t="shared" si="305"/>
        <v>0</v>
      </c>
    </row>
    <row r="548" spans="1:19" ht="12.75" customHeight="1" x14ac:dyDescent="0.2">
      <c r="A548" s="198" t="str">
        <f>"            "&amp;Labels!B318</f>
        <v xml:space="preserve">            Channels 2</v>
      </c>
      <c r="B548" s="189">
        <f t="shared" ref="B548:S548" si="306">SUM(B522,B535)</f>
        <v>0</v>
      </c>
      <c r="C548" s="189">
        <f t="shared" si="306"/>
        <v>0</v>
      </c>
      <c r="D548" s="189">
        <f t="shared" si="306"/>
        <v>330</v>
      </c>
      <c r="E548" s="189">
        <f t="shared" si="306"/>
        <v>330</v>
      </c>
      <c r="F548" s="189">
        <f t="shared" si="306"/>
        <v>0</v>
      </c>
      <c r="G548" s="189">
        <f t="shared" si="306"/>
        <v>240</v>
      </c>
      <c r="H548" s="189">
        <f t="shared" si="306"/>
        <v>240</v>
      </c>
      <c r="I548" s="189">
        <f t="shared" si="306"/>
        <v>240</v>
      </c>
      <c r="J548" s="189">
        <f t="shared" si="306"/>
        <v>0</v>
      </c>
      <c r="K548" s="189">
        <f t="shared" si="306"/>
        <v>0</v>
      </c>
      <c r="L548" s="189">
        <f t="shared" si="306"/>
        <v>0</v>
      </c>
      <c r="M548" s="189">
        <f t="shared" si="306"/>
        <v>0</v>
      </c>
      <c r="N548" s="189">
        <f t="shared" si="306"/>
        <v>0</v>
      </c>
      <c r="O548" s="189">
        <f t="shared" si="306"/>
        <v>0</v>
      </c>
      <c r="P548" s="189">
        <f t="shared" si="306"/>
        <v>0</v>
      </c>
      <c r="Q548" s="189">
        <f t="shared" si="306"/>
        <v>0</v>
      </c>
      <c r="R548" s="189">
        <f t="shared" si="306"/>
        <v>0</v>
      </c>
      <c r="S548" s="294">
        <f t="shared" si="306"/>
        <v>0</v>
      </c>
    </row>
    <row r="549" spans="1:19" ht="12.75" customHeight="1" x14ac:dyDescent="0.2">
      <c r="A549" s="198" t="str">
        <f>"            "&amp;Labels!C316</f>
        <v xml:space="preserve">            Total</v>
      </c>
      <c r="B549" s="226">
        <f t="shared" ref="B549:S549" si="307">SUM(B520,B533)</f>
        <v>0</v>
      </c>
      <c r="C549" s="226">
        <f t="shared" si="307"/>
        <v>0</v>
      </c>
      <c r="D549" s="226">
        <f t="shared" si="307"/>
        <v>676.5</v>
      </c>
      <c r="E549" s="226">
        <f t="shared" si="307"/>
        <v>676.5</v>
      </c>
      <c r="F549" s="226">
        <f t="shared" si="307"/>
        <v>0</v>
      </c>
      <c r="G549" s="226">
        <f t="shared" si="307"/>
        <v>492</v>
      </c>
      <c r="H549" s="226">
        <f t="shared" si="307"/>
        <v>492</v>
      </c>
      <c r="I549" s="226">
        <f t="shared" si="307"/>
        <v>492</v>
      </c>
      <c r="J549" s="226">
        <f t="shared" si="307"/>
        <v>0</v>
      </c>
      <c r="K549" s="226">
        <f t="shared" si="307"/>
        <v>0</v>
      </c>
      <c r="L549" s="226">
        <f t="shared" si="307"/>
        <v>0</v>
      </c>
      <c r="M549" s="226">
        <f t="shared" si="307"/>
        <v>0</v>
      </c>
      <c r="N549" s="226">
        <f t="shared" si="307"/>
        <v>0</v>
      </c>
      <c r="O549" s="226">
        <f t="shared" si="307"/>
        <v>0</v>
      </c>
      <c r="P549" s="226">
        <f t="shared" si="307"/>
        <v>0</v>
      </c>
      <c r="Q549" s="226">
        <f t="shared" si="307"/>
        <v>0</v>
      </c>
      <c r="R549" s="226">
        <f t="shared" si="307"/>
        <v>0</v>
      </c>
      <c r="S549" s="279">
        <f t="shared" si="307"/>
        <v>0</v>
      </c>
    </row>
    <row r="550" spans="1:19" ht="12.75" customHeight="1" x14ac:dyDescent="0.2">
      <c r="A550" s="191" t="str">
        <f>"   "&amp;Labels!C352</f>
        <v xml:space="preserve">   Total</v>
      </c>
      <c r="B550" s="192">
        <f t="shared" ref="B550:S550" si="308">B537</f>
        <v>0</v>
      </c>
      <c r="C550" s="192">
        <f t="shared" si="308"/>
        <v>0</v>
      </c>
      <c r="D550" s="192">
        <f t="shared" si="308"/>
        <v>676.5</v>
      </c>
      <c r="E550" s="192">
        <f t="shared" si="308"/>
        <v>676.5</v>
      </c>
      <c r="F550" s="192">
        <f t="shared" si="308"/>
        <v>0</v>
      </c>
      <c r="G550" s="192">
        <f t="shared" si="308"/>
        <v>492</v>
      </c>
      <c r="H550" s="192">
        <f t="shared" si="308"/>
        <v>492</v>
      </c>
      <c r="I550" s="192">
        <f t="shared" si="308"/>
        <v>492</v>
      </c>
      <c r="J550" s="192">
        <f t="shared" si="308"/>
        <v>0</v>
      </c>
      <c r="K550" s="192">
        <f t="shared" si="308"/>
        <v>0</v>
      </c>
      <c r="L550" s="192">
        <f t="shared" si="308"/>
        <v>0</v>
      </c>
      <c r="M550" s="192">
        <f t="shared" si="308"/>
        <v>0</v>
      </c>
      <c r="N550" s="192">
        <f t="shared" si="308"/>
        <v>0</v>
      </c>
      <c r="O550" s="192">
        <f t="shared" si="308"/>
        <v>0</v>
      </c>
      <c r="P550" s="192">
        <f t="shared" si="308"/>
        <v>0</v>
      </c>
      <c r="Q550" s="192">
        <f t="shared" si="308"/>
        <v>0</v>
      </c>
      <c r="R550" s="192">
        <f t="shared" si="308"/>
        <v>0</v>
      </c>
      <c r="S550" s="280">
        <f t="shared" si="308"/>
        <v>0</v>
      </c>
    </row>
    <row r="551" spans="1:19" ht="12.75" customHeight="1" x14ac:dyDescent="0.2">
      <c r="A551" s="198" t="str">
        <f>"      "&amp;Labels!B381</f>
        <v xml:space="preserve">      Practice 1</v>
      </c>
      <c r="B551" s="226"/>
      <c r="C551" s="226"/>
      <c r="D551" s="226"/>
      <c r="E551" s="226"/>
      <c r="F551" s="226"/>
      <c r="G551" s="226"/>
      <c r="H551" s="226"/>
      <c r="I551" s="226"/>
      <c r="J551" s="226"/>
      <c r="K551" s="226"/>
      <c r="L551" s="226"/>
      <c r="M551" s="226"/>
      <c r="N551" s="226"/>
      <c r="O551" s="226"/>
      <c r="P551" s="226"/>
      <c r="Q551" s="226"/>
      <c r="R551" s="226"/>
      <c r="S551" s="279"/>
    </row>
    <row r="552" spans="1:19" ht="12.75" customHeight="1" x14ac:dyDescent="0.2">
      <c r="A552" s="198" t="str">
        <f>"         "&amp;Labels!B385</f>
        <v xml:space="preserve">         Prof Level 1</v>
      </c>
      <c r="B552" s="226"/>
      <c r="C552" s="226"/>
      <c r="D552" s="226"/>
      <c r="E552" s="226"/>
      <c r="F552" s="226"/>
      <c r="G552" s="226"/>
      <c r="H552" s="226"/>
      <c r="I552" s="226"/>
      <c r="J552" s="226"/>
      <c r="K552" s="226"/>
      <c r="L552" s="226"/>
      <c r="M552" s="226"/>
      <c r="N552" s="226"/>
      <c r="O552" s="226"/>
      <c r="P552" s="226"/>
      <c r="Q552" s="226"/>
      <c r="R552" s="226"/>
      <c r="S552" s="279"/>
    </row>
    <row r="553" spans="1:19" ht="12.75" customHeight="1" x14ac:dyDescent="0.2">
      <c r="A553" s="198" t="str">
        <f>"            "&amp;Labels!B317</f>
        <v xml:space="preserve">            Channels 1</v>
      </c>
      <c r="B553" s="189">
        <f t="shared" ref="B553:S553" si="309">B513</f>
        <v>0</v>
      </c>
      <c r="C553" s="189">
        <f t="shared" si="309"/>
        <v>0</v>
      </c>
      <c r="D553" s="189">
        <f t="shared" si="309"/>
        <v>173.25</v>
      </c>
      <c r="E553" s="189">
        <f t="shared" si="309"/>
        <v>173.25</v>
      </c>
      <c r="F553" s="189">
        <f t="shared" si="309"/>
        <v>0</v>
      </c>
      <c r="G553" s="189">
        <f t="shared" si="309"/>
        <v>126</v>
      </c>
      <c r="H553" s="189">
        <f t="shared" si="309"/>
        <v>126</v>
      </c>
      <c r="I553" s="189">
        <f t="shared" si="309"/>
        <v>126</v>
      </c>
      <c r="J553" s="189">
        <f t="shared" si="309"/>
        <v>0</v>
      </c>
      <c r="K553" s="189">
        <f t="shared" si="309"/>
        <v>0</v>
      </c>
      <c r="L553" s="189">
        <f t="shared" si="309"/>
        <v>0</v>
      </c>
      <c r="M553" s="189">
        <f t="shared" si="309"/>
        <v>0</v>
      </c>
      <c r="N553" s="189">
        <f t="shared" si="309"/>
        <v>0</v>
      </c>
      <c r="O553" s="189">
        <f t="shared" si="309"/>
        <v>0</v>
      </c>
      <c r="P553" s="189">
        <f t="shared" si="309"/>
        <v>0</v>
      </c>
      <c r="Q553" s="189">
        <f t="shared" si="309"/>
        <v>0</v>
      </c>
      <c r="R553" s="189">
        <f t="shared" si="309"/>
        <v>0</v>
      </c>
      <c r="S553" s="294">
        <f t="shared" si="309"/>
        <v>0</v>
      </c>
    </row>
    <row r="554" spans="1:19" ht="12.75" customHeight="1" x14ac:dyDescent="0.2">
      <c r="A554" s="198" t="str">
        <f>"            "&amp;Labels!B318</f>
        <v xml:space="preserve">            Channels 2</v>
      </c>
      <c r="B554" s="189">
        <f t="shared" ref="B554:S554" si="310">B514</f>
        <v>0</v>
      </c>
      <c r="C554" s="189">
        <f t="shared" si="310"/>
        <v>0</v>
      </c>
      <c r="D554" s="189">
        <f t="shared" si="310"/>
        <v>165</v>
      </c>
      <c r="E554" s="189">
        <f t="shared" si="310"/>
        <v>165</v>
      </c>
      <c r="F554" s="189">
        <f t="shared" si="310"/>
        <v>0</v>
      </c>
      <c r="G554" s="189">
        <f t="shared" si="310"/>
        <v>120</v>
      </c>
      <c r="H554" s="189">
        <f t="shared" si="310"/>
        <v>120</v>
      </c>
      <c r="I554" s="189">
        <f t="shared" si="310"/>
        <v>120</v>
      </c>
      <c r="J554" s="189">
        <f t="shared" si="310"/>
        <v>0</v>
      </c>
      <c r="K554" s="189">
        <f t="shared" si="310"/>
        <v>0</v>
      </c>
      <c r="L554" s="189">
        <f t="shared" si="310"/>
        <v>0</v>
      </c>
      <c r="M554" s="189">
        <f t="shared" si="310"/>
        <v>0</v>
      </c>
      <c r="N554" s="189">
        <f t="shared" si="310"/>
        <v>0</v>
      </c>
      <c r="O554" s="189">
        <f t="shared" si="310"/>
        <v>0</v>
      </c>
      <c r="P554" s="189">
        <f t="shared" si="310"/>
        <v>0</v>
      </c>
      <c r="Q554" s="189">
        <f t="shared" si="310"/>
        <v>0</v>
      </c>
      <c r="R554" s="189">
        <f t="shared" si="310"/>
        <v>0</v>
      </c>
      <c r="S554" s="294">
        <f t="shared" si="310"/>
        <v>0</v>
      </c>
    </row>
    <row r="555" spans="1:19" ht="12.75" customHeight="1" x14ac:dyDescent="0.2">
      <c r="A555" s="198" t="str">
        <f>"            "&amp;Labels!C316</f>
        <v xml:space="preserve">            Total</v>
      </c>
      <c r="B555" s="226">
        <f t="shared" ref="B555:S555" si="311">B515</f>
        <v>0</v>
      </c>
      <c r="C555" s="226">
        <f t="shared" si="311"/>
        <v>0</v>
      </c>
      <c r="D555" s="226">
        <f t="shared" si="311"/>
        <v>338.25</v>
      </c>
      <c r="E555" s="226">
        <f t="shared" si="311"/>
        <v>338.25</v>
      </c>
      <c r="F555" s="226">
        <f t="shared" si="311"/>
        <v>0</v>
      </c>
      <c r="G555" s="226">
        <f t="shared" si="311"/>
        <v>246</v>
      </c>
      <c r="H555" s="226">
        <f t="shared" si="311"/>
        <v>246</v>
      </c>
      <c r="I555" s="226">
        <f t="shared" si="311"/>
        <v>246</v>
      </c>
      <c r="J555" s="226">
        <f t="shared" si="311"/>
        <v>0</v>
      </c>
      <c r="K555" s="226">
        <f t="shared" si="311"/>
        <v>0</v>
      </c>
      <c r="L555" s="226">
        <f t="shared" si="311"/>
        <v>0</v>
      </c>
      <c r="M555" s="226">
        <f t="shared" si="311"/>
        <v>0</v>
      </c>
      <c r="N555" s="226">
        <f t="shared" si="311"/>
        <v>0</v>
      </c>
      <c r="O555" s="226">
        <f t="shared" si="311"/>
        <v>0</v>
      </c>
      <c r="P555" s="226">
        <f t="shared" si="311"/>
        <v>0</v>
      </c>
      <c r="Q555" s="226">
        <f t="shared" si="311"/>
        <v>0</v>
      </c>
      <c r="R555" s="226">
        <f t="shared" si="311"/>
        <v>0</v>
      </c>
      <c r="S555" s="279">
        <f t="shared" si="311"/>
        <v>0</v>
      </c>
    </row>
    <row r="556" spans="1:19" ht="12.75" customHeight="1" x14ac:dyDescent="0.2">
      <c r="A556" s="198" t="str">
        <f>"         "&amp;Labels!B386</f>
        <v xml:space="preserve">         Prof Level 2</v>
      </c>
      <c r="B556" s="226"/>
      <c r="C556" s="226"/>
      <c r="D556" s="226"/>
      <c r="E556" s="226"/>
      <c r="F556" s="226"/>
      <c r="G556" s="226"/>
      <c r="H556" s="226"/>
      <c r="I556" s="226"/>
      <c r="J556" s="226"/>
      <c r="K556" s="226"/>
      <c r="L556" s="226"/>
      <c r="M556" s="226"/>
      <c r="N556" s="226"/>
      <c r="O556" s="226"/>
      <c r="P556" s="226"/>
      <c r="Q556" s="226"/>
      <c r="R556" s="226"/>
      <c r="S556" s="279"/>
    </row>
    <row r="557" spans="1:19" ht="12.75" customHeight="1" x14ac:dyDescent="0.2">
      <c r="A557" s="198" t="str">
        <f>"            "&amp;Labels!B317</f>
        <v xml:space="preserve">            Channels 1</v>
      </c>
      <c r="B557" s="189">
        <f t="shared" ref="B557:S557" si="312">B517</f>
        <v>0</v>
      </c>
      <c r="C557" s="189">
        <f t="shared" si="312"/>
        <v>0</v>
      </c>
      <c r="D557" s="189">
        <f t="shared" si="312"/>
        <v>173.25</v>
      </c>
      <c r="E557" s="189">
        <f t="shared" si="312"/>
        <v>173.25</v>
      </c>
      <c r="F557" s="189">
        <f t="shared" si="312"/>
        <v>0</v>
      </c>
      <c r="G557" s="189">
        <f t="shared" si="312"/>
        <v>126</v>
      </c>
      <c r="H557" s="189">
        <f t="shared" si="312"/>
        <v>126</v>
      </c>
      <c r="I557" s="189">
        <f t="shared" si="312"/>
        <v>126</v>
      </c>
      <c r="J557" s="189">
        <f t="shared" si="312"/>
        <v>0</v>
      </c>
      <c r="K557" s="189">
        <f t="shared" si="312"/>
        <v>0</v>
      </c>
      <c r="L557" s="189">
        <f t="shared" si="312"/>
        <v>0</v>
      </c>
      <c r="M557" s="189">
        <f t="shared" si="312"/>
        <v>0</v>
      </c>
      <c r="N557" s="189">
        <f t="shared" si="312"/>
        <v>0</v>
      </c>
      <c r="O557" s="189">
        <f t="shared" si="312"/>
        <v>0</v>
      </c>
      <c r="P557" s="189">
        <f t="shared" si="312"/>
        <v>0</v>
      </c>
      <c r="Q557" s="189">
        <f t="shared" si="312"/>
        <v>0</v>
      </c>
      <c r="R557" s="189">
        <f t="shared" si="312"/>
        <v>0</v>
      </c>
      <c r="S557" s="294">
        <f t="shared" si="312"/>
        <v>0</v>
      </c>
    </row>
    <row r="558" spans="1:19" ht="12.75" customHeight="1" x14ac:dyDescent="0.2">
      <c r="A558" s="198" t="str">
        <f>"            "&amp;Labels!B318</f>
        <v xml:space="preserve">            Channels 2</v>
      </c>
      <c r="B558" s="189">
        <f t="shared" ref="B558:S558" si="313">B518</f>
        <v>0</v>
      </c>
      <c r="C558" s="189">
        <f t="shared" si="313"/>
        <v>0</v>
      </c>
      <c r="D558" s="189">
        <f t="shared" si="313"/>
        <v>165</v>
      </c>
      <c r="E558" s="189">
        <f t="shared" si="313"/>
        <v>165</v>
      </c>
      <c r="F558" s="189">
        <f t="shared" si="313"/>
        <v>0</v>
      </c>
      <c r="G558" s="189">
        <f t="shared" si="313"/>
        <v>120</v>
      </c>
      <c r="H558" s="189">
        <f t="shared" si="313"/>
        <v>120</v>
      </c>
      <c r="I558" s="189">
        <f t="shared" si="313"/>
        <v>120</v>
      </c>
      <c r="J558" s="189">
        <f t="shared" si="313"/>
        <v>0</v>
      </c>
      <c r="K558" s="189">
        <f t="shared" si="313"/>
        <v>0</v>
      </c>
      <c r="L558" s="189">
        <f t="shared" si="313"/>
        <v>0</v>
      </c>
      <c r="M558" s="189">
        <f t="shared" si="313"/>
        <v>0</v>
      </c>
      <c r="N558" s="189">
        <f t="shared" si="313"/>
        <v>0</v>
      </c>
      <c r="O558" s="189">
        <f t="shared" si="313"/>
        <v>0</v>
      </c>
      <c r="P558" s="189">
        <f t="shared" si="313"/>
        <v>0</v>
      </c>
      <c r="Q558" s="189">
        <f t="shared" si="313"/>
        <v>0</v>
      </c>
      <c r="R558" s="189">
        <f t="shared" si="313"/>
        <v>0</v>
      </c>
      <c r="S558" s="294">
        <f t="shared" si="313"/>
        <v>0</v>
      </c>
    </row>
    <row r="559" spans="1:19" ht="12.75" customHeight="1" x14ac:dyDescent="0.2">
      <c r="A559" s="198" t="str">
        <f>"            "&amp;Labels!C316</f>
        <v xml:space="preserve">            Total</v>
      </c>
      <c r="B559" s="226">
        <f t="shared" ref="B559:S559" si="314">B519</f>
        <v>0</v>
      </c>
      <c r="C559" s="226">
        <f t="shared" si="314"/>
        <v>0</v>
      </c>
      <c r="D559" s="226">
        <f t="shared" si="314"/>
        <v>338.25</v>
      </c>
      <c r="E559" s="226">
        <f t="shared" si="314"/>
        <v>338.25</v>
      </c>
      <c r="F559" s="226">
        <f t="shared" si="314"/>
        <v>0</v>
      </c>
      <c r="G559" s="226">
        <f t="shared" si="314"/>
        <v>246</v>
      </c>
      <c r="H559" s="226">
        <f t="shared" si="314"/>
        <v>246</v>
      </c>
      <c r="I559" s="226">
        <f t="shared" si="314"/>
        <v>246</v>
      </c>
      <c r="J559" s="226">
        <f t="shared" si="314"/>
        <v>0</v>
      </c>
      <c r="K559" s="226">
        <f t="shared" si="314"/>
        <v>0</v>
      </c>
      <c r="L559" s="226">
        <f t="shared" si="314"/>
        <v>0</v>
      </c>
      <c r="M559" s="226">
        <f t="shared" si="314"/>
        <v>0</v>
      </c>
      <c r="N559" s="226">
        <f t="shared" si="314"/>
        <v>0</v>
      </c>
      <c r="O559" s="226">
        <f t="shared" si="314"/>
        <v>0</v>
      </c>
      <c r="P559" s="226">
        <f t="shared" si="314"/>
        <v>0</v>
      </c>
      <c r="Q559" s="226">
        <f t="shared" si="314"/>
        <v>0</v>
      </c>
      <c r="R559" s="226">
        <f t="shared" si="314"/>
        <v>0</v>
      </c>
      <c r="S559" s="279">
        <f t="shared" si="314"/>
        <v>0</v>
      </c>
    </row>
    <row r="560" spans="1:19" ht="12.75" customHeight="1" x14ac:dyDescent="0.2">
      <c r="A560" s="198" t="str">
        <f>"         "&amp;Labels!C384</f>
        <v xml:space="preserve">         Total</v>
      </c>
      <c r="B560" s="226">
        <f t="shared" ref="B560:S560" si="315">B520</f>
        <v>0</v>
      </c>
      <c r="C560" s="226">
        <f t="shared" si="315"/>
        <v>0</v>
      </c>
      <c r="D560" s="226">
        <f t="shared" si="315"/>
        <v>676.5</v>
      </c>
      <c r="E560" s="226">
        <f t="shared" si="315"/>
        <v>676.5</v>
      </c>
      <c r="F560" s="226">
        <f t="shared" si="315"/>
        <v>0</v>
      </c>
      <c r="G560" s="226">
        <f t="shared" si="315"/>
        <v>492</v>
      </c>
      <c r="H560" s="226">
        <f t="shared" si="315"/>
        <v>492</v>
      </c>
      <c r="I560" s="226">
        <f t="shared" si="315"/>
        <v>492</v>
      </c>
      <c r="J560" s="226">
        <f t="shared" si="315"/>
        <v>0</v>
      </c>
      <c r="K560" s="226">
        <f t="shared" si="315"/>
        <v>0</v>
      </c>
      <c r="L560" s="226">
        <f t="shared" si="315"/>
        <v>0</v>
      </c>
      <c r="M560" s="226">
        <f t="shared" si="315"/>
        <v>0</v>
      </c>
      <c r="N560" s="226">
        <f t="shared" si="315"/>
        <v>0</v>
      </c>
      <c r="O560" s="226">
        <f t="shared" si="315"/>
        <v>0</v>
      </c>
      <c r="P560" s="226">
        <f t="shared" si="315"/>
        <v>0</v>
      </c>
      <c r="Q560" s="226">
        <f t="shared" si="315"/>
        <v>0</v>
      </c>
      <c r="R560" s="226">
        <f t="shared" si="315"/>
        <v>0</v>
      </c>
      <c r="S560" s="279">
        <f t="shared" si="315"/>
        <v>0</v>
      </c>
    </row>
    <row r="561" spans="1:19" ht="12.75" customHeight="1" x14ac:dyDescent="0.2">
      <c r="A561" s="198" t="str">
        <f>"            "&amp;Labels!B317</f>
        <v xml:space="preserve">            Channels 1</v>
      </c>
      <c r="B561" s="189">
        <f t="shared" ref="B561:S561" si="316">B521</f>
        <v>0</v>
      </c>
      <c r="C561" s="189">
        <f t="shared" si="316"/>
        <v>0</v>
      </c>
      <c r="D561" s="189">
        <f t="shared" si="316"/>
        <v>346.5</v>
      </c>
      <c r="E561" s="189">
        <f t="shared" si="316"/>
        <v>346.5</v>
      </c>
      <c r="F561" s="189">
        <f t="shared" si="316"/>
        <v>0</v>
      </c>
      <c r="G561" s="189">
        <f t="shared" si="316"/>
        <v>252</v>
      </c>
      <c r="H561" s="189">
        <f t="shared" si="316"/>
        <v>252</v>
      </c>
      <c r="I561" s="189">
        <f t="shared" si="316"/>
        <v>252</v>
      </c>
      <c r="J561" s="189">
        <f t="shared" si="316"/>
        <v>0</v>
      </c>
      <c r="K561" s="189">
        <f t="shared" si="316"/>
        <v>0</v>
      </c>
      <c r="L561" s="189">
        <f t="shared" si="316"/>
        <v>0</v>
      </c>
      <c r="M561" s="189">
        <f t="shared" si="316"/>
        <v>0</v>
      </c>
      <c r="N561" s="189">
        <f t="shared" si="316"/>
        <v>0</v>
      </c>
      <c r="O561" s="189">
        <f t="shared" si="316"/>
        <v>0</v>
      </c>
      <c r="P561" s="189">
        <f t="shared" si="316"/>
        <v>0</v>
      </c>
      <c r="Q561" s="189">
        <f t="shared" si="316"/>
        <v>0</v>
      </c>
      <c r="R561" s="189">
        <f t="shared" si="316"/>
        <v>0</v>
      </c>
      <c r="S561" s="294">
        <f t="shared" si="316"/>
        <v>0</v>
      </c>
    </row>
    <row r="562" spans="1:19" ht="12.75" customHeight="1" x14ac:dyDescent="0.2">
      <c r="A562" s="198" t="str">
        <f>"            "&amp;Labels!B318</f>
        <v xml:space="preserve">            Channels 2</v>
      </c>
      <c r="B562" s="189">
        <f t="shared" ref="B562:S562" si="317">B522</f>
        <v>0</v>
      </c>
      <c r="C562" s="189">
        <f t="shared" si="317"/>
        <v>0</v>
      </c>
      <c r="D562" s="189">
        <f t="shared" si="317"/>
        <v>330</v>
      </c>
      <c r="E562" s="189">
        <f t="shared" si="317"/>
        <v>330</v>
      </c>
      <c r="F562" s="189">
        <f t="shared" si="317"/>
        <v>0</v>
      </c>
      <c r="G562" s="189">
        <f t="shared" si="317"/>
        <v>240</v>
      </c>
      <c r="H562" s="189">
        <f t="shared" si="317"/>
        <v>240</v>
      </c>
      <c r="I562" s="189">
        <f t="shared" si="317"/>
        <v>240</v>
      </c>
      <c r="J562" s="189">
        <f t="shared" si="317"/>
        <v>0</v>
      </c>
      <c r="K562" s="189">
        <f t="shared" si="317"/>
        <v>0</v>
      </c>
      <c r="L562" s="189">
        <f t="shared" si="317"/>
        <v>0</v>
      </c>
      <c r="M562" s="189">
        <f t="shared" si="317"/>
        <v>0</v>
      </c>
      <c r="N562" s="189">
        <f t="shared" si="317"/>
        <v>0</v>
      </c>
      <c r="O562" s="189">
        <f t="shared" si="317"/>
        <v>0</v>
      </c>
      <c r="P562" s="189">
        <f t="shared" si="317"/>
        <v>0</v>
      </c>
      <c r="Q562" s="189">
        <f t="shared" si="317"/>
        <v>0</v>
      </c>
      <c r="R562" s="189">
        <f t="shared" si="317"/>
        <v>0</v>
      </c>
      <c r="S562" s="294">
        <f t="shared" si="317"/>
        <v>0</v>
      </c>
    </row>
    <row r="563" spans="1:19" ht="12.75" customHeight="1" x14ac:dyDescent="0.2">
      <c r="A563" s="198" t="str">
        <f>"            "&amp;Labels!C316</f>
        <v xml:space="preserve">            Total</v>
      </c>
      <c r="B563" s="226">
        <f t="shared" ref="B563:S563" si="318">B520</f>
        <v>0</v>
      </c>
      <c r="C563" s="226">
        <f t="shared" si="318"/>
        <v>0</v>
      </c>
      <c r="D563" s="226">
        <f t="shared" si="318"/>
        <v>676.5</v>
      </c>
      <c r="E563" s="226">
        <f t="shared" si="318"/>
        <v>676.5</v>
      </c>
      <c r="F563" s="226">
        <f t="shared" si="318"/>
        <v>0</v>
      </c>
      <c r="G563" s="226">
        <f t="shared" si="318"/>
        <v>492</v>
      </c>
      <c r="H563" s="226">
        <f t="shared" si="318"/>
        <v>492</v>
      </c>
      <c r="I563" s="226">
        <f t="shared" si="318"/>
        <v>492</v>
      </c>
      <c r="J563" s="226">
        <f t="shared" si="318"/>
        <v>0</v>
      </c>
      <c r="K563" s="226">
        <f t="shared" si="318"/>
        <v>0</v>
      </c>
      <c r="L563" s="226">
        <f t="shared" si="318"/>
        <v>0</v>
      </c>
      <c r="M563" s="226">
        <f t="shared" si="318"/>
        <v>0</v>
      </c>
      <c r="N563" s="226">
        <f t="shared" si="318"/>
        <v>0</v>
      </c>
      <c r="O563" s="226">
        <f t="shared" si="318"/>
        <v>0</v>
      </c>
      <c r="P563" s="226">
        <f t="shared" si="318"/>
        <v>0</v>
      </c>
      <c r="Q563" s="226">
        <f t="shared" si="318"/>
        <v>0</v>
      </c>
      <c r="R563" s="226">
        <f t="shared" si="318"/>
        <v>0</v>
      </c>
      <c r="S563" s="279">
        <f t="shared" si="318"/>
        <v>0</v>
      </c>
    </row>
    <row r="564" spans="1:19" ht="12.75" customHeight="1" x14ac:dyDescent="0.2">
      <c r="A564" s="198" t="str">
        <f>"      "&amp;Labels!B382</f>
        <v xml:space="preserve">      Practice 2</v>
      </c>
      <c r="B564" s="226"/>
      <c r="C564" s="226"/>
      <c r="D564" s="226"/>
      <c r="E564" s="226"/>
      <c r="F564" s="226"/>
      <c r="G564" s="226"/>
      <c r="H564" s="226"/>
      <c r="I564" s="226"/>
      <c r="J564" s="226"/>
      <c r="K564" s="226"/>
      <c r="L564" s="226"/>
      <c r="M564" s="226"/>
      <c r="N564" s="226"/>
      <c r="O564" s="226"/>
      <c r="P564" s="226"/>
      <c r="Q564" s="226"/>
      <c r="R564" s="226"/>
      <c r="S564" s="279"/>
    </row>
    <row r="565" spans="1:19" ht="12.75" customHeight="1" x14ac:dyDescent="0.2">
      <c r="A565" s="198" t="str">
        <f>"         "&amp;Labels!B385</f>
        <v xml:space="preserve">         Prof Level 1</v>
      </c>
      <c r="B565" s="226"/>
      <c r="C565" s="226"/>
      <c r="D565" s="226"/>
      <c r="E565" s="226"/>
      <c r="F565" s="226"/>
      <c r="G565" s="226"/>
      <c r="H565" s="226"/>
      <c r="I565" s="226"/>
      <c r="J565" s="226"/>
      <c r="K565" s="226"/>
      <c r="L565" s="226"/>
      <c r="M565" s="226"/>
      <c r="N565" s="226"/>
      <c r="O565" s="226"/>
      <c r="P565" s="226"/>
      <c r="Q565" s="226"/>
      <c r="R565" s="226"/>
      <c r="S565" s="279"/>
    </row>
    <row r="566" spans="1:19" ht="12.75" customHeight="1" x14ac:dyDescent="0.2">
      <c r="A566" s="198" t="str">
        <f>"            "&amp;Labels!B317</f>
        <v xml:space="preserve">            Channels 1</v>
      </c>
      <c r="B566" s="189">
        <f t="shared" ref="B566:S566" si="319">B526</f>
        <v>0</v>
      </c>
      <c r="C566" s="189">
        <f t="shared" si="319"/>
        <v>0</v>
      </c>
      <c r="D566" s="189">
        <f t="shared" si="319"/>
        <v>0</v>
      </c>
      <c r="E566" s="189">
        <f t="shared" si="319"/>
        <v>0</v>
      </c>
      <c r="F566" s="189">
        <f t="shared" si="319"/>
        <v>0</v>
      </c>
      <c r="G566" s="189">
        <f t="shared" si="319"/>
        <v>0</v>
      </c>
      <c r="H566" s="189">
        <f t="shared" si="319"/>
        <v>0</v>
      </c>
      <c r="I566" s="189">
        <f t="shared" si="319"/>
        <v>0</v>
      </c>
      <c r="J566" s="189">
        <f t="shared" si="319"/>
        <v>0</v>
      </c>
      <c r="K566" s="189">
        <f t="shared" si="319"/>
        <v>0</v>
      </c>
      <c r="L566" s="189">
        <f t="shared" si="319"/>
        <v>0</v>
      </c>
      <c r="M566" s="189">
        <f t="shared" si="319"/>
        <v>0</v>
      </c>
      <c r="N566" s="189">
        <f t="shared" si="319"/>
        <v>0</v>
      </c>
      <c r="O566" s="189">
        <f t="shared" si="319"/>
        <v>0</v>
      </c>
      <c r="P566" s="189">
        <f t="shared" si="319"/>
        <v>0</v>
      </c>
      <c r="Q566" s="189">
        <f t="shared" si="319"/>
        <v>0</v>
      </c>
      <c r="R566" s="189">
        <f t="shared" si="319"/>
        <v>0</v>
      </c>
      <c r="S566" s="294">
        <f t="shared" si="319"/>
        <v>0</v>
      </c>
    </row>
    <row r="567" spans="1:19" ht="12.75" customHeight="1" x14ac:dyDescent="0.2">
      <c r="A567" s="198" t="str">
        <f>"            "&amp;Labels!B318</f>
        <v xml:space="preserve">            Channels 2</v>
      </c>
      <c r="B567" s="189">
        <f t="shared" ref="B567:S567" si="320">B527</f>
        <v>0</v>
      </c>
      <c r="C567" s="189">
        <f t="shared" si="320"/>
        <v>0</v>
      </c>
      <c r="D567" s="189">
        <f t="shared" si="320"/>
        <v>0</v>
      </c>
      <c r="E567" s="189">
        <f t="shared" si="320"/>
        <v>0</v>
      </c>
      <c r="F567" s="189">
        <f t="shared" si="320"/>
        <v>0</v>
      </c>
      <c r="G567" s="189">
        <f t="shared" si="320"/>
        <v>0</v>
      </c>
      <c r="H567" s="189">
        <f t="shared" si="320"/>
        <v>0</v>
      </c>
      <c r="I567" s="189">
        <f t="shared" si="320"/>
        <v>0</v>
      </c>
      <c r="J567" s="189">
        <f t="shared" si="320"/>
        <v>0</v>
      </c>
      <c r="K567" s="189">
        <f t="shared" si="320"/>
        <v>0</v>
      </c>
      <c r="L567" s="189">
        <f t="shared" si="320"/>
        <v>0</v>
      </c>
      <c r="M567" s="189">
        <f t="shared" si="320"/>
        <v>0</v>
      </c>
      <c r="N567" s="189">
        <f t="shared" si="320"/>
        <v>0</v>
      </c>
      <c r="O567" s="189">
        <f t="shared" si="320"/>
        <v>0</v>
      </c>
      <c r="P567" s="189">
        <f t="shared" si="320"/>
        <v>0</v>
      </c>
      <c r="Q567" s="189">
        <f t="shared" si="320"/>
        <v>0</v>
      </c>
      <c r="R567" s="189">
        <f t="shared" si="320"/>
        <v>0</v>
      </c>
      <c r="S567" s="294">
        <f t="shared" si="320"/>
        <v>0</v>
      </c>
    </row>
    <row r="568" spans="1:19" ht="12.75" customHeight="1" x14ac:dyDescent="0.2">
      <c r="A568" s="198" t="str">
        <f>"            "&amp;Labels!C316</f>
        <v xml:space="preserve">            Total</v>
      </c>
      <c r="B568" s="226">
        <f t="shared" ref="B568:S568" si="321">B528</f>
        <v>0</v>
      </c>
      <c r="C568" s="226">
        <f t="shared" si="321"/>
        <v>0</v>
      </c>
      <c r="D568" s="226">
        <f t="shared" si="321"/>
        <v>0</v>
      </c>
      <c r="E568" s="226">
        <f t="shared" si="321"/>
        <v>0</v>
      </c>
      <c r="F568" s="226">
        <f t="shared" si="321"/>
        <v>0</v>
      </c>
      <c r="G568" s="226">
        <f t="shared" si="321"/>
        <v>0</v>
      </c>
      <c r="H568" s="226">
        <f t="shared" si="321"/>
        <v>0</v>
      </c>
      <c r="I568" s="226">
        <f t="shared" si="321"/>
        <v>0</v>
      </c>
      <c r="J568" s="226">
        <f t="shared" si="321"/>
        <v>0</v>
      </c>
      <c r="K568" s="226">
        <f t="shared" si="321"/>
        <v>0</v>
      </c>
      <c r="L568" s="226">
        <f t="shared" si="321"/>
        <v>0</v>
      </c>
      <c r="M568" s="226">
        <f t="shared" si="321"/>
        <v>0</v>
      </c>
      <c r="N568" s="226">
        <f t="shared" si="321"/>
        <v>0</v>
      </c>
      <c r="O568" s="226">
        <f t="shared" si="321"/>
        <v>0</v>
      </c>
      <c r="P568" s="226">
        <f t="shared" si="321"/>
        <v>0</v>
      </c>
      <c r="Q568" s="226">
        <f t="shared" si="321"/>
        <v>0</v>
      </c>
      <c r="R568" s="226">
        <f t="shared" si="321"/>
        <v>0</v>
      </c>
      <c r="S568" s="279">
        <f t="shared" si="321"/>
        <v>0</v>
      </c>
    </row>
    <row r="569" spans="1:19" ht="12.75" customHeight="1" x14ac:dyDescent="0.2">
      <c r="A569" s="198" t="str">
        <f>"         "&amp;Labels!B386</f>
        <v xml:space="preserve">         Prof Level 2</v>
      </c>
      <c r="B569" s="226"/>
      <c r="C569" s="226"/>
      <c r="D569" s="226"/>
      <c r="E569" s="226"/>
      <c r="F569" s="226"/>
      <c r="G569" s="226"/>
      <c r="H569" s="226"/>
      <c r="I569" s="226"/>
      <c r="J569" s="226"/>
      <c r="K569" s="226"/>
      <c r="L569" s="226"/>
      <c r="M569" s="226"/>
      <c r="N569" s="226"/>
      <c r="O569" s="226"/>
      <c r="P569" s="226"/>
      <c r="Q569" s="226"/>
      <c r="R569" s="226"/>
      <c r="S569" s="279"/>
    </row>
    <row r="570" spans="1:19" ht="12.75" customHeight="1" x14ac:dyDescent="0.2">
      <c r="A570" s="198" t="str">
        <f>"            "&amp;Labels!B317</f>
        <v xml:space="preserve">            Channels 1</v>
      </c>
      <c r="B570" s="189">
        <f t="shared" ref="B570:S570" si="322">B530</f>
        <v>0</v>
      </c>
      <c r="C570" s="189">
        <f t="shared" si="322"/>
        <v>0</v>
      </c>
      <c r="D570" s="189">
        <f t="shared" si="322"/>
        <v>0</v>
      </c>
      <c r="E570" s="189">
        <f t="shared" si="322"/>
        <v>0</v>
      </c>
      <c r="F570" s="189">
        <f t="shared" si="322"/>
        <v>0</v>
      </c>
      <c r="G570" s="189">
        <f t="shared" si="322"/>
        <v>0</v>
      </c>
      <c r="H570" s="189">
        <f t="shared" si="322"/>
        <v>0</v>
      </c>
      <c r="I570" s="189">
        <f t="shared" si="322"/>
        <v>0</v>
      </c>
      <c r="J570" s="189">
        <f t="shared" si="322"/>
        <v>0</v>
      </c>
      <c r="K570" s="189">
        <f t="shared" si="322"/>
        <v>0</v>
      </c>
      <c r="L570" s="189">
        <f t="shared" si="322"/>
        <v>0</v>
      </c>
      <c r="M570" s="189">
        <f t="shared" si="322"/>
        <v>0</v>
      </c>
      <c r="N570" s="189">
        <f t="shared" si="322"/>
        <v>0</v>
      </c>
      <c r="O570" s="189">
        <f t="shared" si="322"/>
        <v>0</v>
      </c>
      <c r="P570" s="189">
        <f t="shared" si="322"/>
        <v>0</v>
      </c>
      <c r="Q570" s="189">
        <f t="shared" si="322"/>
        <v>0</v>
      </c>
      <c r="R570" s="189">
        <f t="shared" si="322"/>
        <v>0</v>
      </c>
      <c r="S570" s="294">
        <f t="shared" si="322"/>
        <v>0</v>
      </c>
    </row>
    <row r="571" spans="1:19" ht="12.75" customHeight="1" x14ac:dyDescent="0.2">
      <c r="A571" s="198" t="str">
        <f>"            "&amp;Labels!B318</f>
        <v xml:space="preserve">            Channels 2</v>
      </c>
      <c r="B571" s="189">
        <f t="shared" ref="B571:S571" si="323">B531</f>
        <v>0</v>
      </c>
      <c r="C571" s="189">
        <f t="shared" si="323"/>
        <v>0</v>
      </c>
      <c r="D571" s="189">
        <f t="shared" si="323"/>
        <v>0</v>
      </c>
      <c r="E571" s="189">
        <f t="shared" si="323"/>
        <v>0</v>
      </c>
      <c r="F571" s="189">
        <f t="shared" si="323"/>
        <v>0</v>
      </c>
      <c r="G571" s="189">
        <f t="shared" si="323"/>
        <v>0</v>
      </c>
      <c r="H571" s="189">
        <f t="shared" si="323"/>
        <v>0</v>
      </c>
      <c r="I571" s="189">
        <f t="shared" si="323"/>
        <v>0</v>
      </c>
      <c r="J571" s="189">
        <f t="shared" si="323"/>
        <v>0</v>
      </c>
      <c r="K571" s="189">
        <f t="shared" si="323"/>
        <v>0</v>
      </c>
      <c r="L571" s="189">
        <f t="shared" si="323"/>
        <v>0</v>
      </c>
      <c r="M571" s="189">
        <f t="shared" si="323"/>
        <v>0</v>
      </c>
      <c r="N571" s="189">
        <f t="shared" si="323"/>
        <v>0</v>
      </c>
      <c r="O571" s="189">
        <f t="shared" si="323"/>
        <v>0</v>
      </c>
      <c r="P571" s="189">
        <f t="shared" si="323"/>
        <v>0</v>
      </c>
      <c r="Q571" s="189">
        <f t="shared" si="323"/>
        <v>0</v>
      </c>
      <c r="R571" s="189">
        <f t="shared" si="323"/>
        <v>0</v>
      </c>
      <c r="S571" s="294">
        <f t="shared" si="323"/>
        <v>0</v>
      </c>
    </row>
    <row r="572" spans="1:19" ht="12.75" customHeight="1" x14ac:dyDescent="0.2">
      <c r="A572" s="198" t="str">
        <f>"            "&amp;Labels!C316</f>
        <v xml:space="preserve">            Total</v>
      </c>
      <c r="B572" s="226">
        <f t="shared" ref="B572:S572" si="324">B532</f>
        <v>0</v>
      </c>
      <c r="C572" s="226">
        <f t="shared" si="324"/>
        <v>0</v>
      </c>
      <c r="D572" s="226">
        <f t="shared" si="324"/>
        <v>0</v>
      </c>
      <c r="E572" s="226">
        <f t="shared" si="324"/>
        <v>0</v>
      </c>
      <c r="F572" s="226">
        <f t="shared" si="324"/>
        <v>0</v>
      </c>
      <c r="G572" s="226">
        <f t="shared" si="324"/>
        <v>0</v>
      </c>
      <c r="H572" s="226">
        <f t="shared" si="324"/>
        <v>0</v>
      </c>
      <c r="I572" s="226">
        <f t="shared" si="324"/>
        <v>0</v>
      </c>
      <c r="J572" s="226">
        <f t="shared" si="324"/>
        <v>0</v>
      </c>
      <c r="K572" s="226">
        <f t="shared" si="324"/>
        <v>0</v>
      </c>
      <c r="L572" s="226">
        <f t="shared" si="324"/>
        <v>0</v>
      </c>
      <c r="M572" s="226">
        <f t="shared" si="324"/>
        <v>0</v>
      </c>
      <c r="N572" s="226">
        <f t="shared" si="324"/>
        <v>0</v>
      </c>
      <c r="O572" s="226">
        <f t="shared" si="324"/>
        <v>0</v>
      </c>
      <c r="P572" s="226">
        <f t="shared" si="324"/>
        <v>0</v>
      </c>
      <c r="Q572" s="226">
        <f t="shared" si="324"/>
        <v>0</v>
      </c>
      <c r="R572" s="226">
        <f t="shared" si="324"/>
        <v>0</v>
      </c>
      <c r="S572" s="279">
        <f t="shared" si="324"/>
        <v>0</v>
      </c>
    </row>
    <row r="573" spans="1:19" ht="12.75" customHeight="1" x14ac:dyDescent="0.2">
      <c r="A573" s="198" t="str">
        <f>"         "&amp;Labels!C384</f>
        <v xml:space="preserve">         Total</v>
      </c>
      <c r="B573" s="226">
        <f t="shared" ref="B573:S573" si="325">B533</f>
        <v>0</v>
      </c>
      <c r="C573" s="226">
        <f t="shared" si="325"/>
        <v>0</v>
      </c>
      <c r="D573" s="226">
        <f t="shared" si="325"/>
        <v>0</v>
      </c>
      <c r="E573" s="226">
        <f t="shared" si="325"/>
        <v>0</v>
      </c>
      <c r="F573" s="226">
        <f t="shared" si="325"/>
        <v>0</v>
      </c>
      <c r="G573" s="226">
        <f t="shared" si="325"/>
        <v>0</v>
      </c>
      <c r="H573" s="226">
        <f t="shared" si="325"/>
        <v>0</v>
      </c>
      <c r="I573" s="226">
        <f t="shared" si="325"/>
        <v>0</v>
      </c>
      <c r="J573" s="226">
        <f t="shared" si="325"/>
        <v>0</v>
      </c>
      <c r="K573" s="226">
        <f t="shared" si="325"/>
        <v>0</v>
      </c>
      <c r="L573" s="226">
        <f t="shared" si="325"/>
        <v>0</v>
      </c>
      <c r="M573" s="226">
        <f t="shared" si="325"/>
        <v>0</v>
      </c>
      <c r="N573" s="226">
        <f t="shared" si="325"/>
        <v>0</v>
      </c>
      <c r="O573" s="226">
        <f t="shared" si="325"/>
        <v>0</v>
      </c>
      <c r="P573" s="226">
        <f t="shared" si="325"/>
        <v>0</v>
      </c>
      <c r="Q573" s="226">
        <f t="shared" si="325"/>
        <v>0</v>
      </c>
      <c r="R573" s="226">
        <f t="shared" si="325"/>
        <v>0</v>
      </c>
      <c r="S573" s="279">
        <f t="shared" si="325"/>
        <v>0</v>
      </c>
    </row>
    <row r="574" spans="1:19" ht="12.75" customHeight="1" x14ac:dyDescent="0.2">
      <c r="A574" s="198" t="str">
        <f>"            "&amp;Labels!B317</f>
        <v xml:space="preserve">            Channels 1</v>
      </c>
      <c r="B574" s="189">
        <f t="shared" ref="B574:S574" si="326">B534</f>
        <v>0</v>
      </c>
      <c r="C574" s="189">
        <f t="shared" si="326"/>
        <v>0</v>
      </c>
      <c r="D574" s="189">
        <f t="shared" si="326"/>
        <v>0</v>
      </c>
      <c r="E574" s="189">
        <f t="shared" si="326"/>
        <v>0</v>
      </c>
      <c r="F574" s="189">
        <f t="shared" si="326"/>
        <v>0</v>
      </c>
      <c r="G574" s="189">
        <f t="shared" si="326"/>
        <v>0</v>
      </c>
      <c r="H574" s="189">
        <f t="shared" si="326"/>
        <v>0</v>
      </c>
      <c r="I574" s="189">
        <f t="shared" si="326"/>
        <v>0</v>
      </c>
      <c r="J574" s="189">
        <f t="shared" si="326"/>
        <v>0</v>
      </c>
      <c r="K574" s="189">
        <f t="shared" si="326"/>
        <v>0</v>
      </c>
      <c r="L574" s="189">
        <f t="shared" si="326"/>
        <v>0</v>
      </c>
      <c r="M574" s="189">
        <f t="shared" si="326"/>
        <v>0</v>
      </c>
      <c r="N574" s="189">
        <f t="shared" si="326"/>
        <v>0</v>
      </c>
      <c r="O574" s="189">
        <f t="shared" si="326"/>
        <v>0</v>
      </c>
      <c r="P574" s="189">
        <f t="shared" si="326"/>
        <v>0</v>
      </c>
      <c r="Q574" s="189">
        <f t="shared" si="326"/>
        <v>0</v>
      </c>
      <c r="R574" s="189">
        <f t="shared" si="326"/>
        <v>0</v>
      </c>
      <c r="S574" s="294">
        <f t="shared" si="326"/>
        <v>0</v>
      </c>
    </row>
    <row r="575" spans="1:19" ht="12.75" customHeight="1" x14ac:dyDescent="0.2">
      <c r="A575" s="198" t="str">
        <f>"            "&amp;Labels!B318</f>
        <v xml:space="preserve">            Channels 2</v>
      </c>
      <c r="B575" s="189">
        <f t="shared" ref="B575:S575" si="327">B535</f>
        <v>0</v>
      </c>
      <c r="C575" s="189">
        <f t="shared" si="327"/>
        <v>0</v>
      </c>
      <c r="D575" s="189">
        <f t="shared" si="327"/>
        <v>0</v>
      </c>
      <c r="E575" s="189">
        <f t="shared" si="327"/>
        <v>0</v>
      </c>
      <c r="F575" s="189">
        <f t="shared" si="327"/>
        <v>0</v>
      </c>
      <c r="G575" s="189">
        <f t="shared" si="327"/>
        <v>0</v>
      </c>
      <c r="H575" s="189">
        <f t="shared" si="327"/>
        <v>0</v>
      </c>
      <c r="I575" s="189">
        <f t="shared" si="327"/>
        <v>0</v>
      </c>
      <c r="J575" s="189">
        <f t="shared" si="327"/>
        <v>0</v>
      </c>
      <c r="K575" s="189">
        <f t="shared" si="327"/>
        <v>0</v>
      </c>
      <c r="L575" s="189">
        <f t="shared" si="327"/>
        <v>0</v>
      </c>
      <c r="M575" s="189">
        <f t="shared" si="327"/>
        <v>0</v>
      </c>
      <c r="N575" s="189">
        <f t="shared" si="327"/>
        <v>0</v>
      </c>
      <c r="O575" s="189">
        <f t="shared" si="327"/>
        <v>0</v>
      </c>
      <c r="P575" s="189">
        <f t="shared" si="327"/>
        <v>0</v>
      </c>
      <c r="Q575" s="189">
        <f t="shared" si="327"/>
        <v>0</v>
      </c>
      <c r="R575" s="189">
        <f t="shared" si="327"/>
        <v>0</v>
      </c>
      <c r="S575" s="294">
        <f t="shared" si="327"/>
        <v>0</v>
      </c>
    </row>
    <row r="576" spans="1:19" ht="12.75" customHeight="1" x14ac:dyDescent="0.2">
      <c r="A576" s="198" t="str">
        <f>"            "&amp;Labels!C316</f>
        <v xml:space="preserve">            Total</v>
      </c>
      <c r="B576" s="226">
        <f t="shared" ref="B576:S576" si="328">B533</f>
        <v>0</v>
      </c>
      <c r="C576" s="226">
        <f t="shared" si="328"/>
        <v>0</v>
      </c>
      <c r="D576" s="226">
        <f t="shared" si="328"/>
        <v>0</v>
      </c>
      <c r="E576" s="226">
        <f t="shared" si="328"/>
        <v>0</v>
      </c>
      <c r="F576" s="226">
        <f t="shared" si="328"/>
        <v>0</v>
      </c>
      <c r="G576" s="226">
        <f t="shared" si="328"/>
        <v>0</v>
      </c>
      <c r="H576" s="226">
        <f t="shared" si="328"/>
        <v>0</v>
      </c>
      <c r="I576" s="226">
        <f t="shared" si="328"/>
        <v>0</v>
      </c>
      <c r="J576" s="226">
        <f t="shared" si="328"/>
        <v>0</v>
      </c>
      <c r="K576" s="226">
        <f t="shared" si="328"/>
        <v>0</v>
      </c>
      <c r="L576" s="226">
        <f t="shared" si="328"/>
        <v>0</v>
      </c>
      <c r="M576" s="226">
        <f t="shared" si="328"/>
        <v>0</v>
      </c>
      <c r="N576" s="226">
        <f t="shared" si="328"/>
        <v>0</v>
      </c>
      <c r="O576" s="226">
        <f t="shared" si="328"/>
        <v>0</v>
      </c>
      <c r="P576" s="226">
        <f t="shared" si="328"/>
        <v>0</v>
      </c>
      <c r="Q576" s="226">
        <f t="shared" si="328"/>
        <v>0</v>
      </c>
      <c r="R576" s="226">
        <f t="shared" si="328"/>
        <v>0</v>
      </c>
      <c r="S576" s="279">
        <f t="shared" si="328"/>
        <v>0</v>
      </c>
    </row>
    <row r="577" spans="1:19" ht="12.75" customHeight="1" x14ac:dyDescent="0.2">
      <c r="A577" s="188" t="str">
        <f>"      "&amp;Labels!C380</f>
        <v xml:space="preserve">      Total</v>
      </c>
      <c r="B577" s="196">
        <f t="shared" ref="B577:S577" si="329">B537</f>
        <v>0</v>
      </c>
      <c r="C577" s="196">
        <f t="shared" si="329"/>
        <v>0</v>
      </c>
      <c r="D577" s="196">
        <f t="shared" si="329"/>
        <v>676.5</v>
      </c>
      <c r="E577" s="196">
        <f t="shared" si="329"/>
        <v>676.5</v>
      </c>
      <c r="F577" s="196">
        <f t="shared" si="329"/>
        <v>0</v>
      </c>
      <c r="G577" s="196">
        <f t="shared" si="329"/>
        <v>492</v>
      </c>
      <c r="H577" s="196">
        <f t="shared" si="329"/>
        <v>492</v>
      </c>
      <c r="I577" s="196">
        <f t="shared" si="329"/>
        <v>492</v>
      </c>
      <c r="J577" s="196">
        <f t="shared" si="329"/>
        <v>0</v>
      </c>
      <c r="K577" s="196">
        <f t="shared" si="329"/>
        <v>0</v>
      </c>
      <c r="L577" s="196">
        <f t="shared" si="329"/>
        <v>0</v>
      </c>
      <c r="M577" s="196">
        <f t="shared" si="329"/>
        <v>0</v>
      </c>
      <c r="N577" s="196">
        <f t="shared" si="329"/>
        <v>0</v>
      </c>
      <c r="O577" s="196">
        <f t="shared" si="329"/>
        <v>0</v>
      </c>
      <c r="P577" s="196">
        <f t="shared" si="329"/>
        <v>0</v>
      </c>
      <c r="Q577" s="196">
        <f t="shared" si="329"/>
        <v>0</v>
      </c>
      <c r="R577" s="196">
        <f t="shared" si="329"/>
        <v>0</v>
      </c>
      <c r="S577" s="267">
        <f t="shared" si="329"/>
        <v>0</v>
      </c>
    </row>
    <row r="578" spans="1:19" ht="12.75" customHeight="1" x14ac:dyDescent="0.2">
      <c r="A578" s="198" t="str">
        <f>"         "&amp;Labels!B385</f>
        <v xml:space="preserve">         Prof Level 1</v>
      </c>
      <c r="B578" s="226"/>
      <c r="C578" s="226"/>
      <c r="D578" s="226"/>
      <c r="E578" s="226"/>
      <c r="F578" s="226"/>
      <c r="G578" s="226"/>
      <c r="H578" s="226"/>
      <c r="I578" s="226"/>
      <c r="J578" s="226"/>
      <c r="K578" s="226"/>
      <c r="L578" s="226"/>
      <c r="M578" s="226"/>
      <c r="N578" s="226"/>
      <c r="O578" s="226"/>
      <c r="P578" s="226"/>
      <c r="Q578" s="226"/>
      <c r="R578" s="226"/>
      <c r="S578" s="279"/>
    </row>
    <row r="579" spans="1:19" ht="12.75" customHeight="1" x14ac:dyDescent="0.2">
      <c r="A579" s="198" t="str">
        <f>"            "&amp;Labels!B317</f>
        <v xml:space="preserve">            Channels 1</v>
      </c>
      <c r="B579" s="189">
        <f t="shared" ref="B579:S579" si="330">B539</f>
        <v>0</v>
      </c>
      <c r="C579" s="189">
        <f t="shared" si="330"/>
        <v>0</v>
      </c>
      <c r="D579" s="189">
        <f t="shared" si="330"/>
        <v>173.25</v>
      </c>
      <c r="E579" s="189">
        <f t="shared" si="330"/>
        <v>173.25</v>
      </c>
      <c r="F579" s="189">
        <f t="shared" si="330"/>
        <v>0</v>
      </c>
      <c r="G579" s="189">
        <f t="shared" si="330"/>
        <v>126</v>
      </c>
      <c r="H579" s="189">
        <f t="shared" si="330"/>
        <v>126</v>
      </c>
      <c r="I579" s="189">
        <f t="shared" si="330"/>
        <v>126</v>
      </c>
      <c r="J579" s="189">
        <f t="shared" si="330"/>
        <v>0</v>
      </c>
      <c r="K579" s="189">
        <f t="shared" si="330"/>
        <v>0</v>
      </c>
      <c r="L579" s="189">
        <f t="shared" si="330"/>
        <v>0</v>
      </c>
      <c r="M579" s="189">
        <f t="shared" si="330"/>
        <v>0</v>
      </c>
      <c r="N579" s="189">
        <f t="shared" si="330"/>
        <v>0</v>
      </c>
      <c r="O579" s="189">
        <f t="shared" si="330"/>
        <v>0</v>
      </c>
      <c r="P579" s="189">
        <f t="shared" si="330"/>
        <v>0</v>
      </c>
      <c r="Q579" s="189">
        <f t="shared" si="330"/>
        <v>0</v>
      </c>
      <c r="R579" s="189">
        <f t="shared" si="330"/>
        <v>0</v>
      </c>
      <c r="S579" s="294">
        <f t="shared" si="330"/>
        <v>0</v>
      </c>
    </row>
    <row r="580" spans="1:19" ht="12.75" customHeight="1" x14ac:dyDescent="0.2">
      <c r="A580" s="198" t="str">
        <f>"            "&amp;Labels!B318</f>
        <v xml:space="preserve">            Channels 2</v>
      </c>
      <c r="B580" s="189">
        <f t="shared" ref="B580:S580" si="331">B540</f>
        <v>0</v>
      </c>
      <c r="C580" s="189">
        <f t="shared" si="331"/>
        <v>0</v>
      </c>
      <c r="D580" s="189">
        <f t="shared" si="331"/>
        <v>165</v>
      </c>
      <c r="E580" s="189">
        <f t="shared" si="331"/>
        <v>165</v>
      </c>
      <c r="F580" s="189">
        <f t="shared" si="331"/>
        <v>0</v>
      </c>
      <c r="G580" s="189">
        <f t="shared" si="331"/>
        <v>120</v>
      </c>
      <c r="H580" s="189">
        <f t="shared" si="331"/>
        <v>120</v>
      </c>
      <c r="I580" s="189">
        <f t="shared" si="331"/>
        <v>120</v>
      </c>
      <c r="J580" s="189">
        <f t="shared" si="331"/>
        <v>0</v>
      </c>
      <c r="K580" s="189">
        <f t="shared" si="331"/>
        <v>0</v>
      </c>
      <c r="L580" s="189">
        <f t="shared" si="331"/>
        <v>0</v>
      </c>
      <c r="M580" s="189">
        <f t="shared" si="331"/>
        <v>0</v>
      </c>
      <c r="N580" s="189">
        <f t="shared" si="331"/>
        <v>0</v>
      </c>
      <c r="O580" s="189">
        <f t="shared" si="331"/>
        <v>0</v>
      </c>
      <c r="P580" s="189">
        <f t="shared" si="331"/>
        <v>0</v>
      </c>
      <c r="Q580" s="189">
        <f t="shared" si="331"/>
        <v>0</v>
      </c>
      <c r="R580" s="189">
        <f t="shared" si="331"/>
        <v>0</v>
      </c>
      <c r="S580" s="294">
        <f t="shared" si="331"/>
        <v>0</v>
      </c>
    </row>
    <row r="581" spans="1:19" ht="12.75" customHeight="1" x14ac:dyDescent="0.2">
      <c r="A581" s="198" t="str">
        <f>"            "&amp;Labels!C316</f>
        <v xml:space="preserve">            Total</v>
      </c>
      <c r="B581" s="226">
        <f t="shared" ref="B581:S581" si="332">B541</f>
        <v>0</v>
      </c>
      <c r="C581" s="226">
        <f t="shared" si="332"/>
        <v>0</v>
      </c>
      <c r="D581" s="226">
        <f t="shared" si="332"/>
        <v>338.25</v>
      </c>
      <c r="E581" s="226">
        <f t="shared" si="332"/>
        <v>338.25</v>
      </c>
      <c r="F581" s="226">
        <f t="shared" si="332"/>
        <v>0</v>
      </c>
      <c r="G581" s="226">
        <f t="shared" si="332"/>
        <v>246</v>
      </c>
      <c r="H581" s="226">
        <f t="shared" si="332"/>
        <v>246</v>
      </c>
      <c r="I581" s="226">
        <f t="shared" si="332"/>
        <v>246</v>
      </c>
      <c r="J581" s="226">
        <f t="shared" si="332"/>
        <v>0</v>
      </c>
      <c r="K581" s="226">
        <f t="shared" si="332"/>
        <v>0</v>
      </c>
      <c r="L581" s="226">
        <f t="shared" si="332"/>
        <v>0</v>
      </c>
      <c r="M581" s="226">
        <f t="shared" si="332"/>
        <v>0</v>
      </c>
      <c r="N581" s="226">
        <f t="shared" si="332"/>
        <v>0</v>
      </c>
      <c r="O581" s="226">
        <f t="shared" si="332"/>
        <v>0</v>
      </c>
      <c r="P581" s="226">
        <f t="shared" si="332"/>
        <v>0</v>
      </c>
      <c r="Q581" s="226">
        <f t="shared" si="332"/>
        <v>0</v>
      </c>
      <c r="R581" s="226">
        <f t="shared" si="332"/>
        <v>0</v>
      </c>
      <c r="S581" s="279">
        <f t="shared" si="332"/>
        <v>0</v>
      </c>
    </row>
    <row r="582" spans="1:19" ht="12.75" customHeight="1" x14ac:dyDescent="0.2">
      <c r="A582" s="198" t="str">
        <f>"         "&amp;Labels!B386</f>
        <v xml:space="preserve">         Prof Level 2</v>
      </c>
      <c r="B582" s="226"/>
      <c r="C582" s="226"/>
      <c r="D582" s="226"/>
      <c r="E582" s="226"/>
      <c r="F582" s="226"/>
      <c r="G582" s="226"/>
      <c r="H582" s="226"/>
      <c r="I582" s="226"/>
      <c r="J582" s="226"/>
      <c r="K582" s="226"/>
      <c r="L582" s="226"/>
      <c r="M582" s="226"/>
      <c r="N582" s="226"/>
      <c r="O582" s="226"/>
      <c r="P582" s="226"/>
      <c r="Q582" s="226"/>
      <c r="R582" s="226"/>
      <c r="S582" s="279"/>
    </row>
    <row r="583" spans="1:19" ht="12.75" customHeight="1" x14ac:dyDescent="0.2">
      <c r="A583" s="198" t="str">
        <f>"            "&amp;Labels!B317</f>
        <v xml:space="preserve">            Channels 1</v>
      </c>
      <c r="B583" s="189">
        <f t="shared" ref="B583:S583" si="333">B543</f>
        <v>0</v>
      </c>
      <c r="C583" s="189">
        <f t="shared" si="333"/>
        <v>0</v>
      </c>
      <c r="D583" s="189">
        <f t="shared" si="333"/>
        <v>173.25</v>
      </c>
      <c r="E583" s="189">
        <f t="shared" si="333"/>
        <v>173.25</v>
      </c>
      <c r="F583" s="189">
        <f t="shared" si="333"/>
        <v>0</v>
      </c>
      <c r="G583" s="189">
        <f t="shared" si="333"/>
        <v>126</v>
      </c>
      <c r="H583" s="189">
        <f t="shared" si="333"/>
        <v>126</v>
      </c>
      <c r="I583" s="189">
        <f t="shared" si="333"/>
        <v>126</v>
      </c>
      <c r="J583" s="189">
        <f t="shared" si="333"/>
        <v>0</v>
      </c>
      <c r="K583" s="189">
        <f t="shared" si="333"/>
        <v>0</v>
      </c>
      <c r="L583" s="189">
        <f t="shared" si="333"/>
        <v>0</v>
      </c>
      <c r="M583" s="189">
        <f t="shared" si="333"/>
        <v>0</v>
      </c>
      <c r="N583" s="189">
        <f t="shared" si="333"/>
        <v>0</v>
      </c>
      <c r="O583" s="189">
        <f t="shared" si="333"/>
        <v>0</v>
      </c>
      <c r="P583" s="189">
        <f t="shared" si="333"/>
        <v>0</v>
      </c>
      <c r="Q583" s="189">
        <f t="shared" si="333"/>
        <v>0</v>
      </c>
      <c r="R583" s="189">
        <f t="shared" si="333"/>
        <v>0</v>
      </c>
      <c r="S583" s="294">
        <f t="shared" si="333"/>
        <v>0</v>
      </c>
    </row>
    <row r="584" spans="1:19" ht="12.75" customHeight="1" x14ac:dyDescent="0.2">
      <c r="A584" s="198" t="str">
        <f>"            "&amp;Labels!B318</f>
        <v xml:space="preserve">            Channels 2</v>
      </c>
      <c r="B584" s="189">
        <f t="shared" ref="B584:S584" si="334">B544</f>
        <v>0</v>
      </c>
      <c r="C584" s="189">
        <f t="shared" si="334"/>
        <v>0</v>
      </c>
      <c r="D584" s="189">
        <f t="shared" si="334"/>
        <v>165</v>
      </c>
      <c r="E584" s="189">
        <f t="shared" si="334"/>
        <v>165</v>
      </c>
      <c r="F584" s="189">
        <f t="shared" si="334"/>
        <v>0</v>
      </c>
      <c r="G584" s="189">
        <f t="shared" si="334"/>
        <v>120</v>
      </c>
      <c r="H584" s="189">
        <f t="shared" si="334"/>
        <v>120</v>
      </c>
      <c r="I584" s="189">
        <f t="shared" si="334"/>
        <v>120</v>
      </c>
      <c r="J584" s="189">
        <f t="shared" si="334"/>
        <v>0</v>
      </c>
      <c r="K584" s="189">
        <f t="shared" si="334"/>
        <v>0</v>
      </c>
      <c r="L584" s="189">
        <f t="shared" si="334"/>
        <v>0</v>
      </c>
      <c r="M584" s="189">
        <f t="shared" si="334"/>
        <v>0</v>
      </c>
      <c r="N584" s="189">
        <f t="shared" si="334"/>
        <v>0</v>
      </c>
      <c r="O584" s="189">
        <f t="shared" si="334"/>
        <v>0</v>
      </c>
      <c r="P584" s="189">
        <f t="shared" si="334"/>
        <v>0</v>
      </c>
      <c r="Q584" s="189">
        <f t="shared" si="334"/>
        <v>0</v>
      </c>
      <c r="R584" s="189">
        <f t="shared" si="334"/>
        <v>0</v>
      </c>
      <c r="S584" s="294">
        <f t="shared" si="334"/>
        <v>0</v>
      </c>
    </row>
    <row r="585" spans="1:19" ht="12.75" customHeight="1" x14ac:dyDescent="0.2">
      <c r="A585" s="198" t="str">
        <f>"            "&amp;Labels!C316</f>
        <v xml:space="preserve">            Total</v>
      </c>
      <c r="B585" s="226">
        <f t="shared" ref="B585:S585" si="335">B545</f>
        <v>0</v>
      </c>
      <c r="C585" s="226">
        <f t="shared" si="335"/>
        <v>0</v>
      </c>
      <c r="D585" s="226">
        <f t="shared" si="335"/>
        <v>338.25</v>
      </c>
      <c r="E585" s="226">
        <f t="shared" si="335"/>
        <v>338.25</v>
      </c>
      <c r="F585" s="226">
        <f t="shared" si="335"/>
        <v>0</v>
      </c>
      <c r="G585" s="226">
        <f t="shared" si="335"/>
        <v>246</v>
      </c>
      <c r="H585" s="226">
        <f t="shared" si="335"/>
        <v>246</v>
      </c>
      <c r="I585" s="226">
        <f t="shared" si="335"/>
        <v>246</v>
      </c>
      <c r="J585" s="226">
        <f t="shared" si="335"/>
        <v>0</v>
      </c>
      <c r="K585" s="226">
        <f t="shared" si="335"/>
        <v>0</v>
      </c>
      <c r="L585" s="226">
        <f t="shared" si="335"/>
        <v>0</v>
      </c>
      <c r="M585" s="226">
        <f t="shared" si="335"/>
        <v>0</v>
      </c>
      <c r="N585" s="226">
        <f t="shared" si="335"/>
        <v>0</v>
      </c>
      <c r="O585" s="226">
        <f t="shared" si="335"/>
        <v>0</v>
      </c>
      <c r="P585" s="226">
        <f t="shared" si="335"/>
        <v>0</v>
      </c>
      <c r="Q585" s="226">
        <f t="shared" si="335"/>
        <v>0</v>
      </c>
      <c r="R585" s="226">
        <f t="shared" si="335"/>
        <v>0</v>
      </c>
      <c r="S585" s="279">
        <f t="shared" si="335"/>
        <v>0</v>
      </c>
    </row>
    <row r="586" spans="1:19" ht="12.75" customHeight="1" x14ac:dyDescent="0.2">
      <c r="A586" s="198" t="str">
        <f>"         "&amp;Labels!C384</f>
        <v xml:space="preserve">         Total</v>
      </c>
      <c r="B586" s="226">
        <f t="shared" ref="B586:S586" si="336">B537</f>
        <v>0</v>
      </c>
      <c r="C586" s="226">
        <f t="shared" si="336"/>
        <v>0</v>
      </c>
      <c r="D586" s="226">
        <f t="shared" si="336"/>
        <v>676.5</v>
      </c>
      <c r="E586" s="226">
        <f t="shared" si="336"/>
        <v>676.5</v>
      </c>
      <c r="F586" s="226">
        <f t="shared" si="336"/>
        <v>0</v>
      </c>
      <c r="G586" s="226">
        <f t="shared" si="336"/>
        <v>492</v>
      </c>
      <c r="H586" s="226">
        <f t="shared" si="336"/>
        <v>492</v>
      </c>
      <c r="I586" s="226">
        <f t="shared" si="336"/>
        <v>492</v>
      </c>
      <c r="J586" s="226">
        <f t="shared" si="336"/>
        <v>0</v>
      </c>
      <c r="K586" s="226">
        <f t="shared" si="336"/>
        <v>0</v>
      </c>
      <c r="L586" s="226">
        <f t="shared" si="336"/>
        <v>0</v>
      </c>
      <c r="M586" s="226">
        <f t="shared" si="336"/>
        <v>0</v>
      </c>
      <c r="N586" s="226">
        <f t="shared" si="336"/>
        <v>0</v>
      </c>
      <c r="O586" s="226">
        <f t="shared" si="336"/>
        <v>0</v>
      </c>
      <c r="P586" s="226">
        <f t="shared" si="336"/>
        <v>0</v>
      </c>
      <c r="Q586" s="226">
        <f t="shared" si="336"/>
        <v>0</v>
      </c>
      <c r="R586" s="226">
        <f t="shared" si="336"/>
        <v>0</v>
      </c>
      <c r="S586" s="279">
        <f t="shared" si="336"/>
        <v>0</v>
      </c>
    </row>
    <row r="587" spans="1:19" ht="12.75" customHeight="1" x14ac:dyDescent="0.2">
      <c r="A587" s="198" t="str">
        <f>"            "&amp;Labels!B317</f>
        <v xml:space="preserve">            Channels 1</v>
      </c>
      <c r="B587" s="189">
        <f t="shared" ref="B587:S587" si="337">B547</f>
        <v>0</v>
      </c>
      <c r="C587" s="189">
        <f t="shared" si="337"/>
        <v>0</v>
      </c>
      <c r="D587" s="189">
        <f t="shared" si="337"/>
        <v>346.5</v>
      </c>
      <c r="E587" s="189">
        <f t="shared" si="337"/>
        <v>346.5</v>
      </c>
      <c r="F587" s="189">
        <f t="shared" si="337"/>
        <v>0</v>
      </c>
      <c r="G587" s="189">
        <f t="shared" si="337"/>
        <v>252</v>
      </c>
      <c r="H587" s="189">
        <f t="shared" si="337"/>
        <v>252</v>
      </c>
      <c r="I587" s="189">
        <f t="shared" si="337"/>
        <v>252</v>
      </c>
      <c r="J587" s="189">
        <f t="shared" si="337"/>
        <v>0</v>
      </c>
      <c r="K587" s="189">
        <f t="shared" si="337"/>
        <v>0</v>
      </c>
      <c r="L587" s="189">
        <f t="shared" si="337"/>
        <v>0</v>
      </c>
      <c r="M587" s="189">
        <f t="shared" si="337"/>
        <v>0</v>
      </c>
      <c r="N587" s="189">
        <f t="shared" si="337"/>
        <v>0</v>
      </c>
      <c r="O587" s="189">
        <f t="shared" si="337"/>
        <v>0</v>
      </c>
      <c r="P587" s="189">
        <f t="shared" si="337"/>
        <v>0</v>
      </c>
      <c r="Q587" s="189">
        <f t="shared" si="337"/>
        <v>0</v>
      </c>
      <c r="R587" s="189">
        <f t="shared" si="337"/>
        <v>0</v>
      </c>
      <c r="S587" s="294">
        <f t="shared" si="337"/>
        <v>0</v>
      </c>
    </row>
    <row r="588" spans="1:19" ht="12.75" customHeight="1" x14ac:dyDescent="0.2">
      <c r="A588" s="198" t="str">
        <f>"            "&amp;Labels!B318</f>
        <v xml:space="preserve">            Channels 2</v>
      </c>
      <c r="B588" s="189">
        <f t="shared" ref="B588:S588" si="338">B548</f>
        <v>0</v>
      </c>
      <c r="C588" s="189">
        <f t="shared" si="338"/>
        <v>0</v>
      </c>
      <c r="D588" s="189">
        <f t="shared" si="338"/>
        <v>330</v>
      </c>
      <c r="E588" s="189">
        <f t="shared" si="338"/>
        <v>330</v>
      </c>
      <c r="F588" s="189">
        <f t="shared" si="338"/>
        <v>0</v>
      </c>
      <c r="G588" s="189">
        <f t="shared" si="338"/>
        <v>240</v>
      </c>
      <c r="H588" s="189">
        <f t="shared" si="338"/>
        <v>240</v>
      </c>
      <c r="I588" s="189">
        <f t="shared" si="338"/>
        <v>240</v>
      </c>
      <c r="J588" s="189">
        <f t="shared" si="338"/>
        <v>0</v>
      </c>
      <c r="K588" s="189">
        <f t="shared" si="338"/>
        <v>0</v>
      </c>
      <c r="L588" s="189">
        <f t="shared" si="338"/>
        <v>0</v>
      </c>
      <c r="M588" s="189">
        <f t="shared" si="338"/>
        <v>0</v>
      </c>
      <c r="N588" s="189">
        <f t="shared" si="338"/>
        <v>0</v>
      </c>
      <c r="O588" s="189">
        <f t="shared" si="338"/>
        <v>0</v>
      </c>
      <c r="P588" s="189">
        <f t="shared" si="338"/>
        <v>0</v>
      </c>
      <c r="Q588" s="189">
        <f t="shared" si="338"/>
        <v>0</v>
      </c>
      <c r="R588" s="189">
        <f t="shared" si="338"/>
        <v>0</v>
      </c>
      <c r="S588" s="294">
        <f t="shared" si="338"/>
        <v>0</v>
      </c>
    </row>
    <row r="589" spans="1:19" ht="12.75" customHeight="1" x14ac:dyDescent="0.2">
      <c r="A589" s="198" t="str">
        <f>"            "&amp;Labels!C316</f>
        <v xml:space="preserve">            Total</v>
      </c>
      <c r="B589" s="226">
        <f t="shared" ref="B589:S589" si="339">B537</f>
        <v>0</v>
      </c>
      <c r="C589" s="226">
        <f t="shared" si="339"/>
        <v>0</v>
      </c>
      <c r="D589" s="226">
        <f t="shared" si="339"/>
        <v>676.5</v>
      </c>
      <c r="E589" s="226">
        <f t="shared" si="339"/>
        <v>676.5</v>
      </c>
      <c r="F589" s="226">
        <f t="shared" si="339"/>
        <v>0</v>
      </c>
      <c r="G589" s="226">
        <f t="shared" si="339"/>
        <v>492</v>
      </c>
      <c r="H589" s="226">
        <f t="shared" si="339"/>
        <v>492</v>
      </c>
      <c r="I589" s="226">
        <f t="shared" si="339"/>
        <v>492</v>
      </c>
      <c r="J589" s="226">
        <f t="shared" si="339"/>
        <v>0</v>
      </c>
      <c r="K589" s="226">
        <f t="shared" si="339"/>
        <v>0</v>
      </c>
      <c r="L589" s="226">
        <f t="shared" si="339"/>
        <v>0</v>
      </c>
      <c r="M589" s="226">
        <f t="shared" si="339"/>
        <v>0</v>
      </c>
      <c r="N589" s="226">
        <f t="shared" si="339"/>
        <v>0</v>
      </c>
      <c r="O589" s="226">
        <f t="shared" si="339"/>
        <v>0</v>
      </c>
      <c r="P589" s="226">
        <f t="shared" si="339"/>
        <v>0</v>
      </c>
      <c r="Q589" s="226">
        <f t="shared" si="339"/>
        <v>0</v>
      </c>
      <c r="R589" s="226">
        <f t="shared" si="339"/>
        <v>0</v>
      </c>
      <c r="S589" s="279">
        <f t="shared" si="339"/>
        <v>0</v>
      </c>
    </row>
    <row r="590" spans="1:19" ht="12.75" customHeight="1" x14ac:dyDescent="0.2">
      <c r="A590" s="97" t="str">
        <f>Labels!C320</f>
        <v>Total</v>
      </c>
      <c r="B590" s="194">
        <f t="shared" ref="B590:S590" si="340">SUM(B469,B550)</f>
        <v>0</v>
      </c>
      <c r="C590" s="194">
        <f t="shared" si="340"/>
        <v>0</v>
      </c>
      <c r="D590" s="194">
        <f t="shared" si="340"/>
        <v>1353</v>
      </c>
      <c r="E590" s="194">
        <f t="shared" si="340"/>
        <v>1353</v>
      </c>
      <c r="F590" s="194">
        <f t="shared" si="340"/>
        <v>0</v>
      </c>
      <c r="G590" s="194">
        <f t="shared" si="340"/>
        <v>984</v>
      </c>
      <c r="H590" s="194">
        <f t="shared" si="340"/>
        <v>984</v>
      </c>
      <c r="I590" s="194">
        <f t="shared" si="340"/>
        <v>984</v>
      </c>
      <c r="J590" s="194">
        <f t="shared" si="340"/>
        <v>0</v>
      </c>
      <c r="K590" s="194">
        <f t="shared" si="340"/>
        <v>0</v>
      </c>
      <c r="L590" s="194">
        <f t="shared" si="340"/>
        <v>0</v>
      </c>
      <c r="M590" s="194">
        <f t="shared" si="340"/>
        <v>0</v>
      </c>
      <c r="N590" s="194">
        <f t="shared" si="340"/>
        <v>0</v>
      </c>
      <c r="O590" s="194">
        <f t="shared" si="340"/>
        <v>0</v>
      </c>
      <c r="P590" s="194">
        <f t="shared" si="340"/>
        <v>0</v>
      </c>
      <c r="Q590" s="194">
        <f t="shared" si="340"/>
        <v>0</v>
      </c>
      <c r="R590" s="194">
        <f t="shared" si="340"/>
        <v>0</v>
      </c>
      <c r="S590" s="351">
        <f t="shared" si="340"/>
        <v>0</v>
      </c>
    </row>
    <row r="591" spans="1:19" ht="12.75" customHeight="1" x14ac:dyDescent="0.2">
      <c r="A591" s="188" t="str">
        <f>"   "&amp;Labels!B353</f>
        <v xml:space="preserve">   GA Exp 1</v>
      </c>
      <c r="B591" s="196"/>
      <c r="C591" s="196"/>
      <c r="D591" s="196"/>
      <c r="E591" s="196"/>
      <c r="F591" s="196"/>
      <c r="G591" s="196"/>
      <c r="H591" s="196"/>
      <c r="I591" s="196"/>
      <c r="J591" s="196"/>
      <c r="K591" s="196"/>
      <c r="L591" s="196"/>
      <c r="M591" s="196"/>
      <c r="N591" s="196"/>
      <c r="O591" s="196"/>
      <c r="P591" s="196"/>
      <c r="Q591" s="196"/>
      <c r="R591" s="196"/>
      <c r="S591" s="267"/>
    </row>
    <row r="592" spans="1:19" ht="12.75" customHeight="1" x14ac:dyDescent="0.2">
      <c r="A592" s="198" t="str">
        <f>"      "&amp;Labels!B381</f>
        <v xml:space="preserve">      Practice 1</v>
      </c>
      <c r="B592" s="226"/>
      <c r="C592" s="226"/>
      <c r="D592" s="226"/>
      <c r="E592" s="226"/>
      <c r="F592" s="226"/>
      <c r="G592" s="226"/>
      <c r="H592" s="226"/>
      <c r="I592" s="226"/>
      <c r="J592" s="226"/>
      <c r="K592" s="226"/>
      <c r="L592" s="226"/>
      <c r="M592" s="226"/>
      <c r="N592" s="226"/>
      <c r="O592" s="226"/>
      <c r="P592" s="226"/>
      <c r="Q592" s="226"/>
      <c r="R592" s="226"/>
      <c r="S592" s="279"/>
    </row>
    <row r="593" spans="1:19" ht="12.75" customHeight="1" x14ac:dyDescent="0.2">
      <c r="A593" s="198" t="str">
        <f>"         "&amp;Labels!B385</f>
        <v xml:space="preserve">         Prof Level 1</v>
      </c>
      <c r="B593" s="226"/>
      <c r="C593" s="226"/>
      <c r="D593" s="226"/>
      <c r="E593" s="226"/>
      <c r="F593" s="226"/>
      <c r="G593" s="226"/>
      <c r="H593" s="226"/>
      <c r="I593" s="226"/>
      <c r="J593" s="226"/>
      <c r="K593" s="226"/>
      <c r="L593" s="226"/>
      <c r="M593" s="226"/>
      <c r="N593" s="226"/>
      <c r="O593" s="226"/>
      <c r="P593" s="226"/>
      <c r="Q593" s="226"/>
      <c r="R593" s="226"/>
      <c r="S593" s="279"/>
    </row>
    <row r="594" spans="1:19" ht="12.75" customHeight="1" x14ac:dyDescent="0.2">
      <c r="A594" s="198" t="str">
        <f>"            "&amp;Labels!B317</f>
        <v xml:space="preserve">            Channels 1</v>
      </c>
      <c r="B594" s="189">
        <f t="shared" ref="B594:S594" si="341">SUM(B432,B513)</f>
        <v>0</v>
      </c>
      <c r="C594" s="189">
        <f t="shared" si="341"/>
        <v>0</v>
      </c>
      <c r="D594" s="189">
        <f t="shared" si="341"/>
        <v>346.5</v>
      </c>
      <c r="E594" s="189">
        <f t="shared" si="341"/>
        <v>346.5</v>
      </c>
      <c r="F594" s="189">
        <f t="shared" si="341"/>
        <v>0</v>
      </c>
      <c r="G594" s="189">
        <f t="shared" si="341"/>
        <v>252</v>
      </c>
      <c r="H594" s="189">
        <f t="shared" si="341"/>
        <v>252</v>
      </c>
      <c r="I594" s="189">
        <f t="shared" si="341"/>
        <v>252</v>
      </c>
      <c r="J594" s="189">
        <f t="shared" si="341"/>
        <v>0</v>
      </c>
      <c r="K594" s="189">
        <f t="shared" si="341"/>
        <v>0</v>
      </c>
      <c r="L594" s="189">
        <f t="shared" si="341"/>
        <v>0</v>
      </c>
      <c r="M594" s="189">
        <f t="shared" si="341"/>
        <v>0</v>
      </c>
      <c r="N594" s="189">
        <f t="shared" si="341"/>
        <v>0</v>
      </c>
      <c r="O594" s="189">
        <f t="shared" si="341"/>
        <v>0</v>
      </c>
      <c r="P594" s="189">
        <f t="shared" si="341"/>
        <v>0</v>
      </c>
      <c r="Q594" s="189">
        <f t="shared" si="341"/>
        <v>0</v>
      </c>
      <c r="R594" s="189">
        <f t="shared" si="341"/>
        <v>0</v>
      </c>
      <c r="S594" s="294">
        <f t="shared" si="341"/>
        <v>0</v>
      </c>
    </row>
    <row r="595" spans="1:19" ht="12.75" customHeight="1" x14ac:dyDescent="0.2">
      <c r="A595" s="198" t="str">
        <f>"            "&amp;Labels!B318</f>
        <v xml:space="preserve">            Channels 2</v>
      </c>
      <c r="B595" s="189">
        <f t="shared" ref="B595:S595" si="342">SUM(B433,B514)</f>
        <v>0</v>
      </c>
      <c r="C595" s="189">
        <f t="shared" si="342"/>
        <v>0</v>
      </c>
      <c r="D595" s="189">
        <f t="shared" si="342"/>
        <v>330</v>
      </c>
      <c r="E595" s="189">
        <f t="shared" si="342"/>
        <v>330</v>
      </c>
      <c r="F595" s="189">
        <f t="shared" si="342"/>
        <v>0</v>
      </c>
      <c r="G595" s="189">
        <f t="shared" si="342"/>
        <v>240</v>
      </c>
      <c r="H595" s="189">
        <f t="shared" si="342"/>
        <v>240</v>
      </c>
      <c r="I595" s="189">
        <f t="shared" si="342"/>
        <v>240</v>
      </c>
      <c r="J595" s="189">
        <f t="shared" si="342"/>
        <v>0</v>
      </c>
      <c r="K595" s="189">
        <f t="shared" si="342"/>
        <v>0</v>
      </c>
      <c r="L595" s="189">
        <f t="shared" si="342"/>
        <v>0</v>
      </c>
      <c r="M595" s="189">
        <f t="shared" si="342"/>
        <v>0</v>
      </c>
      <c r="N595" s="189">
        <f t="shared" si="342"/>
        <v>0</v>
      </c>
      <c r="O595" s="189">
        <f t="shared" si="342"/>
        <v>0</v>
      </c>
      <c r="P595" s="189">
        <f t="shared" si="342"/>
        <v>0</v>
      </c>
      <c r="Q595" s="189">
        <f t="shared" si="342"/>
        <v>0</v>
      </c>
      <c r="R595" s="189">
        <f t="shared" si="342"/>
        <v>0</v>
      </c>
      <c r="S595" s="294">
        <f t="shared" si="342"/>
        <v>0</v>
      </c>
    </row>
    <row r="596" spans="1:19" ht="12.75" customHeight="1" x14ac:dyDescent="0.2">
      <c r="A596" s="198" t="str">
        <f>"            "&amp;Labels!C316</f>
        <v xml:space="preserve">            Total</v>
      </c>
      <c r="B596" s="226">
        <f t="shared" ref="B596:S596" si="343">SUM(B434,B515)</f>
        <v>0</v>
      </c>
      <c r="C596" s="226">
        <f t="shared" si="343"/>
        <v>0</v>
      </c>
      <c r="D596" s="226">
        <f t="shared" si="343"/>
        <v>676.5</v>
      </c>
      <c r="E596" s="226">
        <f t="shared" si="343"/>
        <v>676.5</v>
      </c>
      <c r="F596" s="226">
        <f t="shared" si="343"/>
        <v>0</v>
      </c>
      <c r="G596" s="226">
        <f t="shared" si="343"/>
        <v>492</v>
      </c>
      <c r="H596" s="226">
        <f t="shared" si="343"/>
        <v>492</v>
      </c>
      <c r="I596" s="226">
        <f t="shared" si="343"/>
        <v>492</v>
      </c>
      <c r="J596" s="226">
        <f t="shared" si="343"/>
        <v>0</v>
      </c>
      <c r="K596" s="226">
        <f t="shared" si="343"/>
        <v>0</v>
      </c>
      <c r="L596" s="226">
        <f t="shared" si="343"/>
        <v>0</v>
      </c>
      <c r="M596" s="226">
        <f t="shared" si="343"/>
        <v>0</v>
      </c>
      <c r="N596" s="226">
        <f t="shared" si="343"/>
        <v>0</v>
      </c>
      <c r="O596" s="226">
        <f t="shared" si="343"/>
        <v>0</v>
      </c>
      <c r="P596" s="226">
        <f t="shared" si="343"/>
        <v>0</v>
      </c>
      <c r="Q596" s="226">
        <f t="shared" si="343"/>
        <v>0</v>
      </c>
      <c r="R596" s="226">
        <f t="shared" si="343"/>
        <v>0</v>
      </c>
      <c r="S596" s="279">
        <f t="shared" si="343"/>
        <v>0</v>
      </c>
    </row>
    <row r="597" spans="1:19" ht="12.75" customHeight="1" x14ac:dyDescent="0.2">
      <c r="A597" s="198" t="str">
        <f>"         "&amp;Labels!B386</f>
        <v xml:space="preserve">         Prof Level 2</v>
      </c>
      <c r="B597" s="226"/>
      <c r="C597" s="226"/>
      <c r="D597" s="226"/>
      <c r="E597" s="226"/>
      <c r="F597" s="226"/>
      <c r="G597" s="226"/>
      <c r="H597" s="226"/>
      <c r="I597" s="226"/>
      <c r="J597" s="226"/>
      <c r="K597" s="226"/>
      <c r="L597" s="226"/>
      <c r="M597" s="226"/>
      <c r="N597" s="226"/>
      <c r="O597" s="226"/>
      <c r="P597" s="226"/>
      <c r="Q597" s="226"/>
      <c r="R597" s="226"/>
      <c r="S597" s="279"/>
    </row>
    <row r="598" spans="1:19" ht="12.75" customHeight="1" x14ac:dyDescent="0.2">
      <c r="A598" s="198" t="str">
        <f>"            "&amp;Labels!B317</f>
        <v xml:space="preserve">            Channels 1</v>
      </c>
      <c r="B598" s="189">
        <f t="shared" ref="B598:S598" si="344">SUM(B436,B517)</f>
        <v>0</v>
      </c>
      <c r="C598" s="189">
        <f t="shared" si="344"/>
        <v>0</v>
      </c>
      <c r="D598" s="189">
        <f t="shared" si="344"/>
        <v>346.5</v>
      </c>
      <c r="E598" s="189">
        <f t="shared" si="344"/>
        <v>346.5</v>
      </c>
      <c r="F598" s="189">
        <f t="shared" si="344"/>
        <v>0</v>
      </c>
      <c r="G598" s="189">
        <f t="shared" si="344"/>
        <v>252</v>
      </c>
      <c r="H598" s="189">
        <f t="shared" si="344"/>
        <v>252</v>
      </c>
      <c r="I598" s="189">
        <f t="shared" si="344"/>
        <v>252</v>
      </c>
      <c r="J598" s="189">
        <f t="shared" si="344"/>
        <v>0</v>
      </c>
      <c r="K598" s="189">
        <f t="shared" si="344"/>
        <v>0</v>
      </c>
      <c r="L598" s="189">
        <f t="shared" si="344"/>
        <v>0</v>
      </c>
      <c r="M598" s="189">
        <f t="shared" si="344"/>
        <v>0</v>
      </c>
      <c r="N598" s="189">
        <f t="shared" si="344"/>
        <v>0</v>
      </c>
      <c r="O598" s="189">
        <f t="shared" si="344"/>
        <v>0</v>
      </c>
      <c r="P598" s="189">
        <f t="shared" si="344"/>
        <v>0</v>
      </c>
      <c r="Q598" s="189">
        <f t="shared" si="344"/>
        <v>0</v>
      </c>
      <c r="R598" s="189">
        <f t="shared" si="344"/>
        <v>0</v>
      </c>
      <c r="S598" s="294">
        <f t="shared" si="344"/>
        <v>0</v>
      </c>
    </row>
    <row r="599" spans="1:19" ht="12.75" customHeight="1" x14ac:dyDescent="0.2">
      <c r="A599" s="198" t="str">
        <f>"            "&amp;Labels!B318</f>
        <v xml:space="preserve">            Channels 2</v>
      </c>
      <c r="B599" s="189">
        <f t="shared" ref="B599:S599" si="345">SUM(B437,B518)</f>
        <v>0</v>
      </c>
      <c r="C599" s="189">
        <f t="shared" si="345"/>
        <v>0</v>
      </c>
      <c r="D599" s="189">
        <f t="shared" si="345"/>
        <v>330</v>
      </c>
      <c r="E599" s="189">
        <f t="shared" si="345"/>
        <v>330</v>
      </c>
      <c r="F599" s="189">
        <f t="shared" si="345"/>
        <v>0</v>
      </c>
      <c r="G599" s="189">
        <f t="shared" si="345"/>
        <v>240</v>
      </c>
      <c r="H599" s="189">
        <f t="shared" si="345"/>
        <v>240</v>
      </c>
      <c r="I599" s="189">
        <f t="shared" si="345"/>
        <v>240</v>
      </c>
      <c r="J599" s="189">
        <f t="shared" si="345"/>
        <v>0</v>
      </c>
      <c r="K599" s="189">
        <f t="shared" si="345"/>
        <v>0</v>
      </c>
      <c r="L599" s="189">
        <f t="shared" si="345"/>
        <v>0</v>
      </c>
      <c r="M599" s="189">
        <f t="shared" si="345"/>
        <v>0</v>
      </c>
      <c r="N599" s="189">
        <f t="shared" si="345"/>
        <v>0</v>
      </c>
      <c r="O599" s="189">
        <f t="shared" si="345"/>
        <v>0</v>
      </c>
      <c r="P599" s="189">
        <f t="shared" si="345"/>
        <v>0</v>
      </c>
      <c r="Q599" s="189">
        <f t="shared" si="345"/>
        <v>0</v>
      </c>
      <c r="R599" s="189">
        <f t="shared" si="345"/>
        <v>0</v>
      </c>
      <c r="S599" s="294">
        <f t="shared" si="345"/>
        <v>0</v>
      </c>
    </row>
    <row r="600" spans="1:19" ht="12.75" customHeight="1" x14ac:dyDescent="0.2">
      <c r="A600" s="198" t="str">
        <f>"            "&amp;Labels!C316</f>
        <v xml:space="preserve">            Total</v>
      </c>
      <c r="B600" s="226">
        <f t="shared" ref="B600:S600" si="346">SUM(B438,B519)</f>
        <v>0</v>
      </c>
      <c r="C600" s="226">
        <f t="shared" si="346"/>
        <v>0</v>
      </c>
      <c r="D600" s="226">
        <f t="shared" si="346"/>
        <v>676.5</v>
      </c>
      <c r="E600" s="226">
        <f t="shared" si="346"/>
        <v>676.5</v>
      </c>
      <c r="F600" s="226">
        <f t="shared" si="346"/>
        <v>0</v>
      </c>
      <c r="G600" s="226">
        <f t="shared" si="346"/>
        <v>492</v>
      </c>
      <c r="H600" s="226">
        <f t="shared" si="346"/>
        <v>492</v>
      </c>
      <c r="I600" s="226">
        <f t="shared" si="346"/>
        <v>492</v>
      </c>
      <c r="J600" s="226">
        <f t="shared" si="346"/>
        <v>0</v>
      </c>
      <c r="K600" s="226">
        <f t="shared" si="346"/>
        <v>0</v>
      </c>
      <c r="L600" s="226">
        <f t="shared" si="346"/>
        <v>0</v>
      </c>
      <c r="M600" s="226">
        <f t="shared" si="346"/>
        <v>0</v>
      </c>
      <c r="N600" s="226">
        <f t="shared" si="346"/>
        <v>0</v>
      </c>
      <c r="O600" s="226">
        <f t="shared" si="346"/>
        <v>0</v>
      </c>
      <c r="P600" s="226">
        <f t="shared" si="346"/>
        <v>0</v>
      </c>
      <c r="Q600" s="226">
        <f t="shared" si="346"/>
        <v>0</v>
      </c>
      <c r="R600" s="226">
        <f t="shared" si="346"/>
        <v>0</v>
      </c>
      <c r="S600" s="279">
        <f t="shared" si="346"/>
        <v>0</v>
      </c>
    </row>
    <row r="601" spans="1:19" ht="12.75" customHeight="1" x14ac:dyDescent="0.2">
      <c r="A601" s="198" t="str">
        <f>"         "&amp;Labels!C384</f>
        <v xml:space="preserve">         Total</v>
      </c>
      <c r="B601" s="226">
        <f t="shared" ref="B601:S601" si="347">SUM(B439,B520)</f>
        <v>0</v>
      </c>
      <c r="C601" s="226">
        <f t="shared" si="347"/>
        <v>0</v>
      </c>
      <c r="D601" s="226">
        <f t="shared" si="347"/>
        <v>1353</v>
      </c>
      <c r="E601" s="226">
        <f t="shared" si="347"/>
        <v>1353</v>
      </c>
      <c r="F601" s="226">
        <f t="shared" si="347"/>
        <v>0</v>
      </c>
      <c r="G601" s="226">
        <f t="shared" si="347"/>
        <v>984</v>
      </c>
      <c r="H601" s="226">
        <f t="shared" si="347"/>
        <v>984</v>
      </c>
      <c r="I601" s="226">
        <f t="shared" si="347"/>
        <v>984</v>
      </c>
      <c r="J601" s="226">
        <f t="shared" si="347"/>
        <v>0</v>
      </c>
      <c r="K601" s="226">
        <f t="shared" si="347"/>
        <v>0</v>
      </c>
      <c r="L601" s="226">
        <f t="shared" si="347"/>
        <v>0</v>
      </c>
      <c r="M601" s="226">
        <f t="shared" si="347"/>
        <v>0</v>
      </c>
      <c r="N601" s="226">
        <f t="shared" si="347"/>
        <v>0</v>
      </c>
      <c r="O601" s="226">
        <f t="shared" si="347"/>
        <v>0</v>
      </c>
      <c r="P601" s="226">
        <f t="shared" si="347"/>
        <v>0</v>
      </c>
      <c r="Q601" s="226">
        <f t="shared" si="347"/>
        <v>0</v>
      </c>
      <c r="R601" s="226">
        <f t="shared" si="347"/>
        <v>0</v>
      </c>
      <c r="S601" s="279">
        <f t="shared" si="347"/>
        <v>0</v>
      </c>
    </row>
    <row r="602" spans="1:19" ht="12.75" customHeight="1" x14ac:dyDescent="0.2">
      <c r="A602" s="198" t="str">
        <f>"            "&amp;Labels!B317</f>
        <v xml:space="preserve">            Channels 1</v>
      </c>
      <c r="B602" s="189">
        <f t="shared" ref="B602:S602" si="348">SUM(B440,B521)</f>
        <v>0</v>
      </c>
      <c r="C602" s="189">
        <f t="shared" si="348"/>
        <v>0</v>
      </c>
      <c r="D602" s="189">
        <f t="shared" si="348"/>
        <v>693</v>
      </c>
      <c r="E602" s="189">
        <f t="shared" si="348"/>
        <v>693</v>
      </c>
      <c r="F602" s="189">
        <f t="shared" si="348"/>
        <v>0</v>
      </c>
      <c r="G602" s="189">
        <f t="shared" si="348"/>
        <v>504</v>
      </c>
      <c r="H602" s="189">
        <f t="shared" si="348"/>
        <v>504</v>
      </c>
      <c r="I602" s="189">
        <f t="shared" si="348"/>
        <v>504</v>
      </c>
      <c r="J602" s="189">
        <f t="shared" si="348"/>
        <v>0</v>
      </c>
      <c r="K602" s="189">
        <f t="shared" si="348"/>
        <v>0</v>
      </c>
      <c r="L602" s="189">
        <f t="shared" si="348"/>
        <v>0</v>
      </c>
      <c r="M602" s="189">
        <f t="shared" si="348"/>
        <v>0</v>
      </c>
      <c r="N602" s="189">
        <f t="shared" si="348"/>
        <v>0</v>
      </c>
      <c r="O602" s="189">
        <f t="shared" si="348"/>
        <v>0</v>
      </c>
      <c r="P602" s="189">
        <f t="shared" si="348"/>
        <v>0</v>
      </c>
      <c r="Q602" s="189">
        <f t="shared" si="348"/>
        <v>0</v>
      </c>
      <c r="R602" s="189">
        <f t="shared" si="348"/>
        <v>0</v>
      </c>
      <c r="S602" s="294">
        <f t="shared" si="348"/>
        <v>0</v>
      </c>
    </row>
    <row r="603" spans="1:19" ht="12.75" customHeight="1" x14ac:dyDescent="0.2">
      <c r="A603" s="198" t="str">
        <f>"            "&amp;Labels!B318</f>
        <v xml:space="preserve">            Channels 2</v>
      </c>
      <c r="B603" s="189">
        <f t="shared" ref="B603:S603" si="349">SUM(B441,B522)</f>
        <v>0</v>
      </c>
      <c r="C603" s="189">
        <f t="shared" si="349"/>
        <v>0</v>
      </c>
      <c r="D603" s="189">
        <f t="shared" si="349"/>
        <v>660</v>
      </c>
      <c r="E603" s="189">
        <f t="shared" si="349"/>
        <v>660</v>
      </c>
      <c r="F603" s="189">
        <f t="shared" si="349"/>
        <v>0</v>
      </c>
      <c r="G603" s="189">
        <f t="shared" si="349"/>
        <v>480</v>
      </c>
      <c r="H603" s="189">
        <f t="shared" si="349"/>
        <v>480</v>
      </c>
      <c r="I603" s="189">
        <f t="shared" si="349"/>
        <v>480</v>
      </c>
      <c r="J603" s="189">
        <f t="shared" si="349"/>
        <v>0</v>
      </c>
      <c r="K603" s="189">
        <f t="shared" si="349"/>
        <v>0</v>
      </c>
      <c r="L603" s="189">
        <f t="shared" si="349"/>
        <v>0</v>
      </c>
      <c r="M603" s="189">
        <f t="shared" si="349"/>
        <v>0</v>
      </c>
      <c r="N603" s="189">
        <f t="shared" si="349"/>
        <v>0</v>
      </c>
      <c r="O603" s="189">
        <f t="shared" si="349"/>
        <v>0</v>
      </c>
      <c r="P603" s="189">
        <f t="shared" si="349"/>
        <v>0</v>
      </c>
      <c r="Q603" s="189">
        <f t="shared" si="349"/>
        <v>0</v>
      </c>
      <c r="R603" s="189">
        <f t="shared" si="349"/>
        <v>0</v>
      </c>
      <c r="S603" s="294">
        <f t="shared" si="349"/>
        <v>0</v>
      </c>
    </row>
    <row r="604" spans="1:19" ht="12.75" customHeight="1" x14ac:dyDescent="0.2">
      <c r="A604" s="198" t="str">
        <f>"            "&amp;Labels!C316</f>
        <v xml:space="preserve">            Total</v>
      </c>
      <c r="B604" s="226">
        <f t="shared" ref="B604:S604" si="350">SUM(B439,B520)</f>
        <v>0</v>
      </c>
      <c r="C604" s="226">
        <f t="shared" si="350"/>
        <v>0</v>
      </c>
      <c r="D604" s="226">
        <f t="shared" si="350"/>
        <v>1353</v>
      </c>
      <c r="E604" s="226">
        <f t="shared" si="350"/>
        <v>1353</v>
      </c>
      <c r="F604" s="226">
        <f t="shared" si="350"/>
        <v>0</v>
      </c>
      <c r="G604" s="226">
        <f t="shared" si="350"/>
        <v>984</v>
      </c>
      <c r="H604" s="226">
        <f t="shared" si="350"/>
        <v>984</v>
      </c>
      <c r="I604" s="226">
        <f t="shared" si="350"/>
        <v>984</v>
      </c>
      <c r="J604" s="226">
        <f t="shared" si="350"/>
        <v>0</v>
      </c>
      <c r="K604" s="226">
        <f t="shared" si="350"/>
        <v>0</v>
      </c>
      <c r="L604" s="226">
        <f t="shared" si="350"/>
        <v>0</v>
      </c>
      <c r="M604" s="226">
        <f t="shared" si="350"/>
        <v>0</v>
      </c>
      <c r="N604" s="226">
        <f t="shared" si="350"/>
        <v>0</v>
      </c>
      <c r="O604" s="226">
        <f t="shared" si="350"/>
        <v>0</v>
      </c>
      <c r="P604" s="226">
        <f t="shared" si="350"/>
        <v>0</v>
      </c>
      <c r="Q604" s="226">
        <f t="shared" si="350"/>
        <v>0</v>
      </c>
      <c r="R604" s="226">
        <f t="shared" si="350"/>
        <v>0</v>
      </c>
      <c r="S604" s="279">
        <f t="shared" si="350"/>
        <v>0</v>
      </c>
    </row>
    <row r="605" spans="1:19" ht="12.75" customHeight="1" x14ac:dyDescent="0.2">
      <c r="A605" s="198" t="str">
        <f>"      "&amp;Labels!B382</f>
        <v xml:space="preserve">      Practice 2</v>
      </c>
      <c r="B605" s="226"/>
      <c r="C605" s="226"/>
      <c r="D605" s="226"/>
      <c r="E605" s="226"/>
      <c r="F605" s="226"/>
      <c r="G605" s="226"/>
      <c r="H605" s="226"/>
      <c r="I605" s="226"/>
      <c r="J605" s="226"/>
      <c r="K605" s="226"/>
      <c r="L605" s="226"/>
      <c r="M605" s="226"/>
      <c r="N605" s="226"/>
      <c r="O605" s="226"/>
      <c r="P605" s="226"/>
      <c r="Q605" s="226"/>
      <c r="R605" s="226"/>
      <c r="S605" s="279"/>
    </row>
    <row r="606" spans="1:19" ht="12.75" customHeight="1" x14ac:dyDescent="0.2">
      <c r="A606" s="198" t="str">
        <f>"         "&amp;Labels!B385</f>
        <v xml:space="preserve">         Prof Level 1</v>
      </c>
      <c r="B606" s="226"/>
      <c r="C606" s="226"/>
      <c r="D606" s="226"/>
      <c r="E606" s="226"/>
      <c r="F606" s="226"/>
      <c r="G606" s="226"/>
      <c r="H606" s="226"/>
      <c r="I606" s="226"/>
      <c r="J606" s="226"/>
      <c r="K606" s="226"/>
      <c r="L606" s="226"/>
      <c r="M606" s="226"/>
      <c r="N606" s="226"/>
      <c r="O606" s="226"/>
      <c r="P606" s="226"/>
      <c r="Q606" s="226"/>
      <c r="R606" s="226"/>
      <c r="S606" s="279"/>
    </row>
    <row r="607" spans="1:19" ht="12.75" customHeight="1" x14ac:dyDescent="0.2">
      <c r="A607" s="198" t="str">
        <f>"            "&amp;Labels!B317</f>
        <v xml:space="preserve">            Channels 1</v>
      </c>
      <c r="B607" s="189">
        <f t="shared" ref="B607:S607" si="351">SUM(B445,B526)</f>
        <v>0</v>
      </c>
      <c r="C607" s="189">
        <f t="shared" si="351"/>
        <v>0</v>
      </c>
      <c r="D607" s="189">
        <f t="shared" si="351"/>
        <v>0</v>
      </c>
      <c r="E607" s="189">
        <f t="shared" si="351"/>
        <v>0</v>
      </c>
      <c r="F607" s="189">
        <f t="shared" si="351"/>
        <v>0</v>
      </c>
      <c r="G607" s="189">
        <f t="shared" si="351"/>
        <v>0</v>
      </c>
      <c r="H607" s="189">
        <f t="shared" si="351"/>
        <v>0</v>
      </c>
      <c r="I607" s="189">
        <f t="shared" si="351"/>
        <v>0</v>
      </c>
      <c r="J607" s="189">
        <f t="shared" si="351"/>
        <v>0</v>
      </c>
      <c r="K607" s="189">
        <f t="shared" si="351"/>
        <v>0</v>
      </c>
      <c r="L607" s="189">
        <f t="shared" si="351"/>
        <v>0</v>
      </c>
      <c r="M607" s="189">
        <f t="shared" si="351"/>
        <v>0</v>
      </c>
      <c r="N607" s="189">
        <f t="shared" si="351"/>
        <v>0</v>
      </c>
      <c r="O607" s="189">
        <f t="shared" si="351"/>
        <v>0</v>
      </c>
      <c r="P607" s="189">
        <f t="shared" si="351"/>
        <v>0</v>
      </c>
      <c r="Q607" s="189">
        <f t="shared" si="351"/>
        <v>0</v>
      </c>
      <c r="R607" s="189">
        <f t="shared" si="351"/>
        <v>0</v>
      </c>
      <c r="S607" s="294">
        <f t="shared" si="351"/>
        <v>0</v>
      </c>
    </row>
    <row r="608" spans="1:19" ht="12.75" customHeight="1" x14ac:dyDescent="0.2">
      <c r="A608" s="198" t="str">
        <f>"            "&amp;Labels!B318</f>
        <v xml:space="preserve">            Channels 2</v>
      </c>
      <c r="B608" s="189">
        <f t="shared" ref="B608:S608" si="352">SUM(B446,B527)</f>
        <v>0</v>
      </c>
      <c r="C608" s="189">
        <f t="shared" si="352"/>
        <v>0</v>
      </c>
      <c r="D608" s="189">
        <f t="shared" si="352"/>
        <v>0</v>
      </c>
      <c r="E608" s="189">
        <f t="shared" si="352"/>
        <v>0</v>
      </c>
      <c r="F608" s="189">
        <f t="shared" si="352"/>
        <v>0</v>
      </c>
      <c r="G608" s="189">
        <f t="shared" si="352"/>
        <v>0</v>
      </c>
      <c r="H608" s="189">
        <f t="shared" si="352"/>
        <v>0</v>
      </c>
      <c r="I608" s="189">
        <f t="shared" si="352"/>
        <v>0</v>
      </c>
      <c r="J608" s="189">
        <f t="shared" si="352"/>
        <v>0</v>
      </c>
      <c r="K608" s="189">
        <f t="shared" si="352"/>
        <v>0</v>
      </c>
      <c r="L608" s="189">
        <f t="shared" si="352"/>
        <v>0</v>
      </c>
      <c r="M608" s="189">
        <f t="shared" si="352"/>
        <v>0</v>
      </c>
      <c r="N608" s="189">
        <f t="shared" si="352"/>
        <v>0</v>
      </c>
      <c r="O608" s="189">
        <f t="shared" si="352"/>
        <v>0</v>
      </c>
      <c r="P608" s="189">
        <f t="shared" si="352"/>
        <v>0</v>
      </c>
      <c r="Q608" s="189">
        <f t="shared" si="352"/>
        <v>0</v>
      </c>
      <c r="R608" s="189">
        <f t="shared" si="352"/>
        <v>0</v>
      </c>
      <c r="S608" s="294">
        <f t="shared" si="352"/>
        <v>0</v>
      </c>
    </row>
    <row r="609" spans="1:19" ht="12.75" customHeight="1" x14ac:dyDescent="0.2">
      <c r="A609" s="198" t="str">
        <f>"            "&amp;Labels!C316</f>
        <v xml:space="preserve">            Total</v>
      </c>
      <c r="B609" s="226">
        <f t="shared" ref="B609:S609" si="353">SUM(B447,B528)</f>
        <v>0</v>
      </c>
      <c r="C609" s="226">
        <f t="shared" si="353"/>
        <v>0</v>
      </c>
      <c r="D609" s="226">
        <f t="shared" si="353"/>
        <v>0</v>
      </c>
      <c r="E609" s="226">
        <f t="shared" si="353"/>
        <v>0</v>
      </c>
      <c r="F609" s="226">
        <f t="shared" si="353"/>
        <v>0</v>
      </c>
      <c r="G609" s="226">
        <f t="shared" si="353"/>
        <v>0</v>
      </c>
      <c r="H609" s="226">
        <f t="shared" si="353"/>
        <v>0</v>
      </c>
      <c r="I609" s="226">
        <f t="shared" si="353"/>
        <v>0</v>
      </c>
      <c r="J609" s="226">
        <f t="shared" si="353"/>
        <v>0</v>
      </c>
      <c r="K609" s="226">
        <f t="shared" si="353"/>
        <v>0</v>
      </c>
      <c r="L609" s="226">
        <f t="shared" si="353"/>
        <v>0</v>
      </c>
      <c r="M609" s="226">
        <f t="shared" si="353"/>
        <v>0</v>
      </c>
      <c r="N609" s="226">
        <f t="shared" si="353"/>
        <v>0</v>
      </c>
      <c r="O609" s="226">
        <f t="shared" si="353"/>
        <v>0</v>
      </c>
      <c r="P609" s="226">
        <f t="shared" si="353"/>
        <v>0</v>
      </c>
      <c r="Q609" s="226">
        <f t="shared" si="353"/>
        <v>0</v>
      </c>
      <c r="R609" s="226">
        <f t="shared" si="353"/>
        <v>0</v>
      </c>
      <c r="S609" s="279">
        <f t="shared" si="353"/>
        <v>0</v>
      </c>
    </row>
    <row r="610" spans="1:19" ht="12.75" customHeight="1" x14ac:dyDescent="0.2">
      <c r="A610" s="198" t="str">
        <f>"         "&amp;Labels!B386</f>
        <v xml:space="preserve">         Prof Level 2</v>
      </c>
      <c r="B610" s="226"/>
      <c r="C610" s="226"/>
      <c r="D610" s="226"/>
      <c r="E610" s="226"/>
      <c r="F610" s="226"/>
      <c r="G610" s="226"/>
      <c r="H610" s="226"/>
      <c r="I610" s="226"/>
      <c r="J610" s="226"/>
      <c r="K610" s="226"/>
      <c r="L610" s="226"/>
      <c r="M610" s="226"/>
      <c r="N610" s="226"/>
      <c r="O610" s="226"/>
      <c r="P610" s="226"/>
      <c r="Q610" s="226"/>
      <c r="R610" s="226"/>
      <c r="S610" s="279"/>
    </row>
    <row r="611" spans="1:19" ht="12.75" customHeight="1" x14ac:dyDescent="0.2">
      <c r="A611" s="198" t="str">
        <f>"            "&amp;Labels!B317</f>
        <v xml:space="preserve">            Channels 1</v>
      </c>
      <c r="B611" s="189">
        <f t="shared" ref="B611:S611" si="354">SUM(B449,B530)</f>
        <v>0</v>
      </c>
      <c r="C611" s="189">
        <f t="shared" si="354"/>
        <v>0</v>
      </c>
      <c r="D611" s="189">
        <f t="shared" si="354"/>
        <v>0</v>
      </c>
      <c r="E611" s="189">
        <f t="shared" si="354"/>
        <v>0</v>
      </c>
      <c r="F611" s="189">
        <f t="shared" si="354"/>
        <v>0</v>
      </c>
      <c r="G611" s="189">
        <f t="shared" si="354"/>
        <v>0</v>
      </c>
      <c r="H611" s="189">
        <f t="shared" si="354"/>
        <v>0</v>
      </c>
      <c r="I611" s="189">
        <f t="shared" si="354"/>
        <v>0</v>
      </c>
      <c r="J611" s="189">
        <f t="shared" si="354"/>
        <v>0</v>
      </c>
      <c r="K611" s="189">
        <f t="shared" si="354"/>
        <v>0</v>
      </c>
      <c r="L611" s="189">
        <f t="shared" si="354"/>
        <v>0</v>
      </c>
      <c r="M611" s="189">
        <f t="shared" si="354"/>
        <v>0</v>
      </c>
      <c r="N611" s="189">
        <f t="shared" si="354"/>
        <v>0</v>
      </c>
      <c r="O611" s="189">
        <f t="shared" si="354"/>
        <v>0</v>
      </c>
      <c r="P611" s="189">
        <f t="shared" si="354"/>
        <v>0</v>
      </c>
      <c r="Q611" s="189">
        <f t="shared" si="354"/>
        <v>0</v>
      </c>
      <c r="R611" s="189">
        <f t="shared" si="354"/>
        <v>0</v>
      </c>
      <c r="S611" s="294">
        <f t="shared" si="354"/>
        <v>0</v>
      </c>
    </row>
    <row r="612" spans="1:19" ht="12.75" customHeight="1" x14ac:dyDescent="0.2">
      <c r="A612" s="198" t="str">
        <f>"            "&amp;Labels!B318</f>
        <v xml:space="preserve">            Channels 2</v>
      </c>
      <c r="B612" s="189">
        <f t="shared" ref="B612:S612" si="355">SUM(B450,B531)</f>
        <v>0</v>
      </c>
      <c r="C612" s="189">
        <f t="shared" si="355"/>
        <v>0</v>
      </c>
      <c r="D612" s="189">
        <f t="shared" si="355"/>
        <v>0</v>
      </c>
      <c r="E612" s="189">
        <f t="shared" si="355"/>
        <v>0</v>
      </c>
      <c r="F612" s="189">
        <f t="shared" si="355"/>
        <v>0</v>
      </c>
      <c r="G612" s="189">
        <f t="shared" si="355"/>
        <v>0</v>
      </c>
      <c r="H612" s="189">
        <f t="shared" si="355"/>
        <v>0</v>
      </c>
      <c r="I612" s="189">
        <f t="shared" si="355"/>
        <v>0</v>
      </c>
      <c r="J612" s="189">
        <f t="shared" si="355"/>
        <v>0</v>
      </c>
      <c r="K612" s="189">
        <f t="shared" si="355"/>
        <v>0</v>
      </c>
      <c r="L612" s="189">
        <f t="shared" si="355"/>
        <v>0</v>
      </c>
      <c r="M612" s="189">
        <f t="shared" si="355"/>
        <v>0</v>
      </c>
      <c r="N612" s="189">
        <f t="shared" si="355"/>
        <v>0</v>
      </c>
      <c r="O612" s="189">
        <f t="shared" si="355"/>
        <v>0</v>
      </c>
      <c r="P612" s="189">
        <f t="shared" si="355"/>
        <v>0</v>
      </c>
      <c r="Q612" s="189">
        <f t="shared" si="355"/>
        <v>0</v>
      </c>
      <c r="R612" s="189">
        <f t="shared" si="355"/>
        <v>0</v>
      </c>
      <c r="S612" s="294">
        <f t="shared" si="355"/>
        <v>0</v>
      </c>
    </row>
    <row r="613" spans="1:19" ht="12.75" customHeight="1" x14ac:dyDescent="0.2">
      <c r="A613" s="198" t="str">
        <f>"            "&amp;Labels!C316</f>
        <v xml:space="preserve">            Total</v>
      </c>
      <c r="B613" s="226">
        <f t="shared" ref="B613:S613" si="356">SUM(B451,B532)</f>
        <v>0</v>
      </c>
      <c r="C613" s="226">
        <f t="shared" si="356"/>
        <v>0</v>
      </c>
      <c r="D613" s="226">
        <f t="shared" si="356"/>
        <v>0</v>
      </c>
      <c r="E613" s="226">
        <f t="shared" si="356"/>
        <v>0</v>
      </c>
      <c r="F613" s="226">
        <f t="shared" si="356"/>
        <v>0</v>
      </c>
      <c r="G613" s="226">
        <f t="shared" si="356"/>
        <v>0</v>
      </c>
      <c r="H613" s="226">
        <f t="shared" si="356"/>
        <v>0</v>
      </c>
      <c r="I613" s="226">
        <f t="shared" si="356"/>
        <v>0</v>
      </c>
      <c r="J613" s="226">
        <f t="shared" si="356"/>
        <v>0</v>
      </c>
      <c r="K613" s="226">
        <f t="shared" si="356"/>
        <v>0</v>
      </c>
      <c r="L613" s="226">
        <f t="shared" si="356"/>
        <v>0</v>
      </c>
      <c r="M613" s="226">
        <f t="shared" si="356"/>
        <v>0</v>
      </c>
      <c r="N613" s="226">
        <f t="shared" si="356"/>
        <v>0</v>
      </c>
      <c r="O613" s="226">
        <f t="shared" si="356"/>
        <v>0</v>
      </c>
      <c r="P613" s="226">
        <f t="shared" si="356"/>
        <v>0</v>
      </c>
      <c r="Q613" s="226">
        <f t="shared" si="356"/>
        <v>0</v>
      </c>
      <c r="R613" s="226">
        <f t="shared" si="356"/>
        <v>0</v>
      </c>
      <c r="S613" s="279">
        <f t="shared" si="356"/>
        <v>0</v>
      </c>
    </row>
    <row r="614" spans="1:19" ht="12.75" customHeight="1" x14ac:dyDescent="0.2">
      <c r="A614" s="198" t="str">
        <f>"         "&amp;Labels!C384</f>
        <v xml:space="preserve">         Total</v>
      </c>
      <c r="B614" s="226">
        <f t="shared" ref="B614:S614" si="357">SUM(B452,B533)</f>
        <v>0</v>
      </c>
      <c r="C614" s="226">
        <f t="shared" si="357"/>
        <v>0</v>
      </c>
      <c r="D614" s="226">
        <f t="shared" si="357"/>
        <v>0</v>
      </c>
      <c r="E614" s="226">
        <f t="shared" si="357"/>
        <v>0</v>
      </c>
      <c r="F614" s="226">
        <f t="shared" si="357"/>
        <v>0</v>
      </c>
      <c r="G614" s="226">
        <f t="shared" si="357"/>
        <v>0</v>
      </c>
      <c r="H614" s="226">
        <f t="shared" si="357"/>
        <v>0</v>
      </c>
      <c r="I614" s="226">
        <f t="shared" si="357"/>
        <v>0</v>
      </c>
      <c r="J614" s="226">
        <f t="shared" si="357"/>
        <v>0</v>
      </c>
      <c r="K614" s="226">
        <f t="shared" si="357"/>
        <v>0</v>
      </c>
      <c r="L614" s="226">
        <f t="shared" si="357"/>
        <v>0</v>
      </c>
      <c r="M614" s="226">
        <f t="shared" si="357"/>
        <v>0</v>
      </c>
      <c r="N614" s="226">
        <f t="shared" si="357"/>
        <v>0</v>
      </c>
      <c r="O614" s="226">
        <f t="shared" si="357"/>
        <v>0</v>
      </c>
      <c r="P614" s="226">
        <f t="shared" si="357"/>
        <v>0</v>
      </c>
      <c r="Q614" s="226">
        <f t="shared" si="357"/>
        <v>0</v>
      </c>
      <c r="R614" s="226">
        <f t="shared" si="357"/>
        <v>0</v>
      </c>
      <c r="S614" s="279">
        <f t="shared" si="357"/>
        <v>0</v>
      </c>
    </row>
    <row r="615" spans="1:19" ht="12.75" customHeight="1" x14ac:dyDescent="0.2">
      <c r="A615" s="198" t="str">
        <f>"            "&amp;Labels!B317</f>
        <v xml:space="preserve">            Channels 1</v>
      </c>
      <c r="B615" s="189">
        <f t="shared" ref="B615:S615" si="358">SUM(B453,B534)</f>
        <v>0</v>
      </c>
      <c r="C615" s="189">
        <f t="shared" si="358"/>
        <v>0</v>
      </c>
      <c r="D615" s="189">
        <f t="shared" si="358"/>
        <v>0</v>
      </c>
      <c r="E615" s="189">
        <f t="shared" si="358"/>
        <v>0</v>
      </c>
      <c r="F615" s="189">
        <f t="shared" si="358"/>
        <v>0</v>
      </c>
      <c r="G615" s="189">
        <f t="shared" si="358"/>
        <v>0</v>
      </c>
      <c r="H615" s="189">
        <f t="shared" si="358"/>
        <v>0</v>
      </c>
      <c r="I615" s="189">
        <f t="shared" si="358"/>
        <v>0</v>
      </c>
      <c r="J615" s="189">
        <f t="shared" si="358"/>
        <v>0</v>
      </c>
      <c r="K615" s="189">
        <f t="shared" si="358"/>
        <v>0</v>
      </c>
      <c r="L615" s="189">
        <f t="shared" si="358"/>
        <v>0</v>
      </c>
      <c r="M615" s="189">
        <f t="shared" si="358"/>
        <v>0</v>
      </c>
      <c r="N615" s="189">
        <f t="shared" si="358"/>
        <v>0</v>
      </c>
      <c r="O615" s="189">
        <f t="shared" si="358"/>
        <v>0</v>
      </c>
      <c r="P615" s="189">
        <f t="shared" si="358"/>
        <v>0</v>
      </c>
      <c r="Q615" s="189">
        <f t="shared" si="358"/>
        <v>0</v>
      </c>
      <c r="R615" s="189">
        <f t="shared" si="358"/>
        <v>0</v>
      </c>
      <c r="S615" s="294">
        <f t="shared" si="358"/>
        <v>0</v>
      </c>
    </row>
    <row r="616" spans="1:19" ht="12.75" customHeight="1" x14ac:dyDescent="0.2">
      <c r="A616" s="198" t="str">
        <f>"            "&amp;Labels!B318</f>
        <v xml:space="preserve">            Channels 2</v>
      </c>
      <c r="B616" s="189">
        <f t="shared" ref="B616:S616" si="359">SUM(B454,B535)</f>
        <v>0</v>
      </c>
      <c r="C616" s="189">
        <f t="shared" si="359"/>
        <v>0</v>
      </c>
      <c r="D616" s="189">
        <f t="shared" si="359"/>
        <v>0</v>
      </c>
      <c r="E616" s="189">
        <f t="shared" si="359"/>
        <v>0</v>
      </c>
      <c r="F616" s="189">
        <f t="shared" si="359"/>
        <v>0</v>
      </c>
      <c r="G616" s="189">
        <f t="shared" si="359"/>
        <v>0</v>
      </c>
      <c r="H616" s="189">
        <f t="shared" si="359"/>
        <v>0</v>
      </c>
      <c r="I616" s="189">
        <f t="shared" si="359"/>
        <v>0</v>
      </c>
      <c r="J616" s="189">
        <f t="shared" si="359"/>
        <v>0</v>
      </c>
      <c r="K616" s="189">
        <f t="shared" si="359"/>
        <v>0</v>
      </c>
      <c r="L616" s="189">
        <f t="shared" si="359"/>
        <v>0</v>
      </c>
      <c r="M616" s="189">
        <f t="shared" si="359"/>
        <v>0</v>
      </c>
      <c r="N616" s="189">
        <f t="shared" si="359"/>
        <v>0</v>
      </c>
      <c r="O616" s="189">
        <f t="shared" si="359"/>
        <v>0</v>
      </c>
      <c r="P616" s="189">
        <f t="shared" si="359"/>
        <v>0</v>
      </c>
      <c r="Q616" s="189">
        <f t="shared" si="359"/>
        <v>0</v>
      </c>
      <c r="R616" s="189">
        <f t="shared" si="359"/>
        <v>0</v>
      </c>
      <c r="S616" s="294">
        <f t="shared" si="359"/>
        <v>0</v>
      </c>
    </row>
    <row r="617" spans="1:19" ht="12.75" customHeight="1" x14ac:dyDescent="0.2">
      <c r="A617" s="198" t="str">
        <f>"            "&amp;Labels!C316</f>
        <v xml:space="preserve">            Total</v>
      </c>
      <c r="B617" s="226">
        <f t="shared" ref="B617:S617" si="360">SUM(B452,B533)</f>
        <v>0</v>
      </c>
      <c r="C617" s="226">
        <f t="shared" si="360"/>
        <v>0</v>
      </c>
      <c r="D617" s="226">
        <f t="shared" si="360"/>
        <v>0</v>
      </c>
      <c r="E617" s="226">
        <f t="shared" si="360"/>
        <v>0</v>
      </c>
      <c r="F617" s="226">
        <f t="shared" si="360"/>
        <v>0</v>
      </c>
      <c r="G617" s="226">
        <f t="shared" si="360"/>
        <v>0</v>
      </c>
      <c r="H617" s="226">
        <f t="shared" si="360"/>
        <v>0</v>
      </c>
      <c r="I617" s="226">
        <f t="shared" si="360"/>
        <v>0</v>
      </c>
      <c r="J617" s="226">
        <f t="shared" si="360"/>
        <v>0</v>
      </c>
      <c r="K617" s="226">
        <f t="shared" si="360"/>
        <v>0</v>
      </c>
      <c r="L617" s="226">
        <f t="shared" si="360"/>
        <v>0</v>
      </c>
      <c r="M617" s="226">
        <f t="shared" si="360"/>
        <v>0</v>
      </c>
      <c r="N617" s="226">
        <f t="shared" si="360"/>
        <v>0</v>
      </c>
      <c r="O617" s="226">
        <f t="shared" si="360"/>
        <v>0</v>
      </c>
      <c r="P617" s="226">
        <f t="shared" si="360"/>
        <v>0</v>
      </c>
      <c r="Q617" s="226">
        <f t="shared" si="360"/>
        <v>0</v>
      </c>
      <c r="R617" s="226">
        <f t="shared" si="360"/>
        <v>0</v>
      </c>
      <c r="S617" s="279">
        <f t="shared" si="360"/>
        <v>0</v>
      </c>
    </row>
    <row r="618" spans="1:19" ht="12.75" customHeight="1" x14ac:dyDescent="0.2">
      <c r="A618" s="188" t="str">
        <f>"      "&amp;Labels!C380</f>
        <v xml:space="preserve">      Total</v>
      </c>
      <c r="B618" s="196">
        <f t="shared" ref="B618:S618" si="361">SUM(B456,B537)</f>
        <v>0</v>
      </c>
      <c r="C618" s="196">
        <f t="shared" si="361"/>
        <v>0</v>
      </c>
      <c r="D618" s="196">
        <f t="shared" si="361"/>
        <v>1353</v>
      </c>
      <c r="E618" s="196">
        <f t="shared" si="361"/>
        <v>1353</v>
      </c>
      <c r="F618" s="196">
        <f t="shared" si="361"/>
        <v>0</v>
      </c>
      <c r="G618" s="196">
        <f t="shared" si="361"/>
        <v>984</v>
      </c>
      <c r="H618" s="196">
        <f t="shared" si="361"/>
        <v>984</v>
      </c>
      <c r="I618" s="196">
        <f t="shared" si="361"/>
        <v>984</v>
      </c>
      <c r="J618" s="196">
        <f t="shared" si="361"/>
        <v>0</v>
      </c>
      <c r="K618" s="196">
        <f t="shared" si="361"/>
        <v>0</v>
      </c>
      <c r="L618" s="196">
        <f t="shared" si="361"/>
        <v>0</v>
      </c>
      <c r="M618" s="196">
        <f t="shared" si="361"/>
        <v>0</v>
      </c>
      <c r="N618" s="196">
        <f t="shared" si="361"/>
        <v>0</v>
      </c>
      <c r="O618" s="196">
        <f t="shared" si="361"/>
        <v>0</v>
      </c>
      <c r="P618" s="196">
        <f t="shared" si="361"/>
        <v>0</v>
      </c>
      <c r="Q618" s="196">
        <f t="shared" si="361"/>
        <v>0</v>
      </c>
      <c r="R618" s="196">
        <f t="shared" si="361"/>
        <v>0</v>
      </c>
      <c r="S618" s="267">
        <f t="shared" si="361"/>
        <v>0</v>
      </c>
    </row>
    <row r="619" spans="1:19" ht="12.75" customHeight="1" x14ac:dyDescent="0.2">
      <c r="A619" s="198" t="str">
        <f>"         "&amp;Labels!B385</f>
        <v xml:space="preserve">         Prof Level 1</v>
      </c>
      <c r="B619" s="226"/>
      <c r="C619" s="226"/>
      <c r="D619" s="226"/>
      <c r="E619" s="226"/>
      <c r="F619" s="226"/>
      <c r="G619" s="226"/>
      <c r="H619" s="226"/>
      <c r="I619" s="226"/>
      <c r="J619" s="226"/>
      <c r="K619" s="226"/>
      <c r="L619" s="226"/>
      <c r="M619" s="226"/>
      <c r="N619" s="226"/>
      <c r="O619" s="226"/>
      <c r="P619" s="226"/>
      <c r="Q619" s="226"/>
      <c r="R619" s="226"/>
      <c r="S619" s="279"/>
    </row>
    <row r="620" spans="1:19" ht="12.75" customHeight="1" x14ac:dyDescent="0.2">
      <c r="A620" s="198" t="str">
        <f>"            "&amp;Labels!B317</f>
        <v xml:space="preserve">            Channels 1</v>
      </c>
      <c r="B620" s="189">
        <f t="shared" ref="B620:S620" si="362">SUM(B458,B539)</f>
        <v>0</v>
      </c>
      <c r="C620" s="189">
        <f t="shared" si="362"/>
        <v>0</v>
      </c>
      <c r="D620" s="189">
        <f t="shared" si="362"/>
        <v>346.5</v>
      </c>
      <c r="E620" s="189">
        <f t="shared" si="362"/>
        <v>346.5</v>
      </c>
      <c r="F620" s="189">
        <f t="shared" si="362"/>
        <v>0</v>
      </c>
      <c r="G620" s="189">
        <f t="shared" si="362"/>
        <v>252</v>
      </c>
      <c r="H620" s="189">
        <f t="shared" si="362"/>
        <v>252</v>
      </c>
      <c r="I620" s="189">
        <f t="shared" si="362"/>
        <v>252</v>
      </c>
      <c r="J620" s="189">
        <f t="shared" si="362"/>
        <v>0</v>
      </c>
      <c r="K620" s="189">
        <f t="shared" si="362"/>
        <v>0</v>
      </c>
      <c r="L620" s="189">
        <f t="shared" si="362"/>
        <v>0</v>
      </c>
      <c r="M620" s="189">
        <f t="shared" si="362"/>
        <v>0</v>
      </c>
      <c r="N620" s="189">
        <f t="shared" si="362"/>
        <v>0</v>
      </c>
      <c r="O620" s="189">
        <f t="shared" si="362"/>
        <v>0</v>
      </c>
      <c r="P620" s="189">
        <f t="shared" si="362"/>
        <v>0</v>
      </c>
      <c r="Q620" s="189">
        <f t="shared" si="362"/>
        <v>0</v>
      </c>
      <c r="R620" s="189">
        <f t="shared" si="362"/>
        <v>0</v>
      </c>
      <c r="S620" s="294">
        <f t="shared" si="362"/>
        <v>0</v>
      </c>
    </row>
    <row r="621" spans="1:19" ht="12.75" customHeight="1" x14ac:dyDescent="0.2">
      <c r="A621" s="198" t="str">
        <f>"            "&amp;Labels!B318</f>
        <v xml:space="preserve">            Channels 2</v>
      </c>
      <c r="B621" s="189">
        <f t="shared" ref="B621:S621" si="363">SUM(B459,B540)</f>
        <v>0</v>
      </c>
      <c r="C621" s="189">
        <f t="shared" si="363"/>
        <v>0</v>
      </c>
      <c r="D621" s="189">
        <f t="shared" si="363"/>
        <v>330</v>
      </c>
      <c r="E621" s="189">
        <f t="shared" si="363"/>
        <v>330</v>
      </c>
      <c r="F621" s="189">
        <f t="shared" si="363"/>
        <v>0</v>
      </c>
      <c r="G621" s="189">
        <f t="shared" si="363"/>
        <v>240</v>
      </c>
      <c r="H621" s="189">
        <f t="shared" si="363"/>
        <v>240</v>
      </c>
      <c r="I621" s="189">
        <f t="shared" si="363"/>
        <v>240</v>
      </c>
      <c r="J621" s="189">
        <f t="shared" si="363"/>
        <v>0</v>
      </c>
      <c r="K621" s="189">
        <f t="shared" si="363"/>
        <v>0</v>
      </c>
      <c r="L621" s="189">
        <f t="shared" si="363"/>
        <v>0</v>
      </c>
      <c r="M621" s="189">
        <f t="shared" si="363"/>
        <v>0</v>
      </c>
      <c r="N621" s="189">
        <f t="shared" si="363"/>
        <v>0</v>
      </c>
      <c r="O621" s="189">
        <f t="shared" si="363"/>
        <v>0</v>
      </c>
      <c r="P621" s="189">
        <f t="shared" si="363"/>
        <v>0</v>
      </c>
      <c r="Q621" s="189">
        <f t="shared" si="363"/>
        <v>0</v>
      </c>
      <c r="R621" s="189">
        <f t="shared" si="363"/>
        <v>0</v>
      </c>
      <c r="S621" s="294">
        <f t="shared" si="363"/>
        <v>0</v>
      </c>
    </row>
    <row r="622" spans="1:19" ht="12.75" customHeight="1" x14ac:dyDescent="0.2">
      <c r="A622" s="198" t="str">
        <f>"            "&amp;Labels!C316</f>
        <v xml:space="preserve">            Total</v>
      </c>
      <c r="B622" s="226">
        <f t="shared" ref="B622:S622" si="364">SUM(B460,B541)</f>
        <v>0</v>
      </c>
      <c r="C622" s="226">
        <f t="shared" si="364"/>
        <v>0</v>
      </c>
      <c r="D622" s="226">
        <f t="shared" si="364"/>
        <v>676.5</v>
      </c>
      <c r="E622" s="226">
        <f t="shared" si="364"/>
        <v>676.5</v>
      </c>
      <c r="F622" s="226">
        <f t="shared" si="364"/>
        <v>0</v>
      </c>
      <c r="G622" s="226">
        <f t="shared" si="364"/>
        <v>492</v>
      </c>
      <c r="H622" s="226">
        <f t="shared" si="364"/>
        <v>492</v>
      </c>
      <c r="I622" s="226">
        <f t="shared" si="364"/>
        <v>492</v>
      </c>
      <c r="J622" s="226">
        <f t="shared" si="364"/>
        <v>0</v>
      </c>
      <c r="K622" s="226">
        <f t="shared" si="364"/>
        <v>0</v>
      </c>
      <c r="L622" s="226">
        <f t="shared" si="364"/>
        <v>0</v>
      </c>
      <c r="M622" s="226">
        <f t="shared" si="364"/>
        <v>0</v>
      </c>
      <c r="N622" s="226">
        <f t="shared" si="364"/>
        <v>0</v>
      </c>
      <c r="O622" s="226">
        <f t="shared" si="364"/>
        <v>0</v>
      </c>
      <c r="P622" s="226">
        <f t="shared" si="364"/>
        <v>0</v>
      </c>
      <c r="Q622" s="226">
        <f t="shared" si="364"/>
        <v>0</v>
      </c>
      <c r="R622" s="226">
        <f t="shared" si="364"/>
        <v>0</v>
      </c>
      <c r="S622" s="279">
        <f t="shared" si="364"/>
        <v>0</v>
      </c>
    </row>
    <row r="623" spans="1:19" ht="12.75" customHeight="1" x14ac:dyDescent="0.2">
      <c r="A623" s="198" t="str">
        <f>"         "&amp;Labels!B386</f>
        <v xml:space="preserve">         Prof Level 2</v>
      </c>
      <c r="B623" s="226"/>
      <c r="C623" s="226"/>
      <c r="D623" s="226"/>
      <c r="E623" s="226"/>
      <c r="F623" s="226"/>
      <c r="G623" s="226"/>
      <c r="H623" s="226"/>
      <c r="I623" s="226"/>
      <c r="J623" s="226"/>
      <c r="K623" s="226"/>
      <c r="L623" s="226"/>
      <c r="M623" s="226"/>
      <c r="N623" s="226"/>
      <c r="O623" s="226"/>
      <c r="P623" s="226"/>
      <c r="Q623" s="226"/>
      <c r="R623" s="226"/>
      <c r="S623" s="279"/>
    </row>
    <row r="624" spans="1:19" ht="12.75" customHeight="1" x14ac:dyDescent="0.2">
      <c r="A624" s="198" t="str">
        <f>"            "&amp;Labels!B317</f>
        <v xml:space="preserve">            Channels 1</v>
      </c>
      <c r="B624" s="189">
        <f t="shared" ref="B624:S624" si="365">SUM(B462,B543)</f>
        <v>0</v>
      </c>
      <c r="C624" s="189">
        <f t="shared" si="365"/>
        <v>0</v>
      </c>
      <c r="D624" s="189">
        <f t="shared" si="365"/>
        <v>346.5</v>
      </c>
      <c r="E624" s="189">
        <f t="shared" si="365"/>
        <v>346.5</v>
      </c>
      <c r="F624" s="189">
        <f t="shared" si="365"/>
        <v>0</v>
      </c>
      <c r="G624" s="189">
        <f t="shared" si="365"/>
        <v>252</v>
      </c>
      <c r="H624" s="189">
        <f t="shared" si="365"/>
        <v>252</v>
      </c>
      <c r="I624" s="189">
        <f t="shared" si="365"/>
        <v>252</v>
      </c>
      <c r="J624" s="189">
        <f t="shared" si="365"/>
        <v>0</v>
      </c>
      <c r="K624" s="189">
        <f t="shared" si="365"/>
        <v>0</v>
      </c>
      <c r="L624" s="189">
        <f t="shared" si="365"/>
        <v>0</v>
      </c>
      <c r="M624" s="189">
        <f t="shared" si="365"/>
        <v>0</v>
      </c>
      <c r="N624" s="189">
        <f t="shared" si="365"/>
        <v>0</v>
      </c>
      <c r="O624" s="189">
        <f t="shared" si="365"/>
        <v>0</v>
      </c>
      <c r="P624" s="189">
        <f t="shared" si="365"/>
        <v>0</v>
      </c>
      <c r="Q624" s="189">
        <f t="shared" si="365"/>
        <v>0</v>
      </c>
      <c r="R624" s="189">
        <f t="shared" si="365"/>
        <v>0</v>
      </c>
      <c r="S624" s="294">
        <f t="shared" si="365"/>
        <v>0</v>
      </c>
    </row>
    <row r="625" spans="1:19" ht="12.75" customHeight="1" x14ac:dyDescent="0.2">
      <c r="A625" s="198" t="str">
        <f>"            "&amp;Labels!B318</f>
        <v xml:space="preserve">            Channels 2</v>
      </c>
      <c r="B625" s="189">
        <f t="shared" ref="B625:S625" si="366">SUM(B463,B544)</f>
        <v>0</v>
      </c>
      <c r="C625" s="189">
        <f t="shared" si="366"/>
        <v>0</v>
      </c>
      <c r="D625" s="189">
        <f t="shared" si="366"/>
        <v>330</v>
      </c>
      <c r="E625" s="189">
        <f t="shared" si="366"/>
        <v>330</v>
      </c>
      <c r="F625" s="189">
        <f t="shared" si="366"/>
        <v>0</v>
      </c>
      <c r="G625" s="189">
        <f t="shared" si="366"/>
        <v>240</v>
      </c>
      <c r="H625" s="189">
        <f t="shared" si="366"/>
        <v>240</v>
      </c>
      <c r="I625" s="189">
        <f t="shared" si="366"/>
        <v>240</v>
      </c>
      <c r="J625" s="189">
        <f t="shared" si="366"/>
        <v>0</v>
      </c>
      <c r="K625" s="189">
        <f t="shared" si="366"/>
        <v>0</v>
      </c>
      <c r="L625" s="189">
        <f t="shared" si="366"/>
        <v>0</v>
      </c>
      <c r="M625" s="189">
        <f t="shared" si="366"/>
        <v>0</v>
      </c>
      <c r="N625" s="189">
        <f t="shared" si="366"/>
        <v>0</v>
      </c>
      <c r="O625" s="189">
        <f t="shared" si="366"/>
        <v>0</v>
      </c>
      <c r="P625" s="189">
        <f t="shared" si="366"/>
        <v>0</v>
      </c>
      <c r="Q625" s="189">
        <f t="shared" si="366"/>
        <v>0</v>
      </c>
      <c r="R625" s="189">
        <f t="shared" si="366"/>
        <v>0</v>
      </c>
      <c r="S625" s="294">
        <f t="shared" si="366"/>
        <v>0</v>
      </c>
    </row>
    <row r="626" spans="1:19" ht="12.75" customHeight="1" x14ac:dyDescent="0.2">
      <c r="A626" s="198" t="str">
        <f>"            "&amp;Labels!C316</f>
        <v xml:space="preserve">            Total</v>
      </c>
      <c r="B626" s="226">
        <f t="shared" ref="B626:S626" si="367">SUM(B464,B545)</f>
        <v>0</v>
      </c>
      <c r="C626" s="226">
        <f t="shared" si="367"/>
        <v>0</v>
      </c>
      <c r="D626" s="226">
        <f t="shared" si="367"/>
        <v>676.5</v>
      </c>
      <c r="E626" s="226">
        <f t="shared" si="367"/>
        <v>676.5</v>
      </c>
      <c r="F626" s="226">
        <f t="shared" si="367"/>
        <v>0</v>
      </c>
      <c r="G626" s="226">
        <f t="shared" si="367"/>
        <v>492</v>
      </c>
      <c r="H626" s="226">
        <f t="shared" si="367"/>
        <v>492</v>
      </c>
      <c r="I626" s="226">
        <f t="shared" si="367"/>
        <v>492</v>
      </c>
      <c r="J626" s="226">
        <f t="shared" si="367"/>
        <v>0</v>
      </c>
      <c r="K626" s="226">
        <f t="shared" si="367"/>
        <v>0</v>
      </c>
      <c r="L626" s="226">
        <f t="shared" si="367"/>
        <v>0</v>
      </c>
      <c r="M626" s="226">
        <f t="shared" si="367"/>
        <v>0</v>
      </c>
      <c r="N626" s="226">
        <f t="shared" si="367"/>
        <v>0</v>
      </c>
      <c r="O626" s="226">
        <f t="shared" si="367"/>
        <v>0</v>
      </c>
      <c r="P626" s="226">
        <f t="shared" si="367"/>
        <v>0</v>
      </c>
      <c r="Q626" s="226">
        <f t="shared" si="367"/>
        <v>0</v>
      </c>
      <c r="R626" s="226">
        <f t="shared" si="367"/>
        <v>0</v>
      </c>
      <c r="S626" s="279">
        <f t="shared" si="367"/>
        <v>0</v>
      </c>
    </row>
    <row r="627" spans="1:19" ht="12.75" customHeight="1" x14ac:dyDescent="0.2">
      <c r="A627" s="198" t="str">
        <f>"         "&amp;Labels!C384</f>
        <v xml:space="preserve">         Total</v>
      </c>
      <c r="B627" s="226">
        <f t="shared" ref="B627:S627" si="368">SUM(B456,B537)</f>
        <v>0</v>
      </c>
      <c r="C627" s="226">
        <f t="shared" si="368"/>
        <v>0</v>
      </c>
      <c r="D627" s="226">
        <f t="shared" si="368"/>
        <v>1353</v>
      </c>
      <c r="E627" s="226">
        <f t="shared" si="368"/>
        <v>1353</v>
      </c>
      <c r="F627" s="226">
        <f t="shared" si="368"/>
        <v>0</v>
      </c>
      <c r="G627" s="226">
        <f t="shared" si="368"/>
        <v>984</v>
      </c>
      <c r="H627" s="226">
        <f t="shared" si="368"/>
        <v>984</v>
      </c>
      <c r="I627" s="226">
        <f t="shared" si="368"/>
        <v>984</v>
      </c>
      <c r="J627" s="226">
        <f t="shared" si="368"/>
        <v>0</v>
      </c>
      <c r="K627" s="226">
        <f t="shared" si="368"/>
        <v>0</v>
      </c>
      <c r="L627" s="226">
        <f t="shared" si="368"/>
        <v>0</v>
      </c>
      <c r="M627" s="226">
        <f t="shared" si="368"/>
        <v>0</v>
      </c>
      <c r="N627" s="226">
        <f t="shared" si="368"/>
        <v>0</v>
      </c>
      <c r="O627" s="226">
        <f t="shared" si="368"/>
        <v>0</v>
      </c>
      <c r="P627" s="226">
        <f t="shared" si="368"/>
        <v>0</v>
      </c>
      <c r="Q627" s="226">
        <f t="shared" si="368"/>
        <v>0</v>
      </c>
      <c r="R627" s="226">
        <f t="shared" si="368"/>
        <v>0</v>
      </c>
      <c r="S627" s="279">
        <f t="shared" si="368"/>
        <v>0</v>
      </c>
    </row>
    <row r="628" spans="1:19" ht="12.75" customHeight="1" x14ac:dyDescent="0.2">
      <c r="A628" s="198" t="str">
        <f>"            "&amp;Labels!B317</f>
        <v xml:space="preserve">            Channels 1</v>
      </c>
      <c r="B628" s="189">
        <f t="shared" ref="B628:S628" si="369">SUM(B466,B547)</f>
        <v>0</v>
      </c>
      <c r="C628" s="189">
        <f t="shared" si="369"/>
        <v>0</v>
      </c>
      <c r="D628" s="189">
        <f t="shared" si="369"/>
        <v>693</v>
      </c>
      <c r="E628" s="189">
        <f t="shared" si="369"/>
        <v>693</v>
      </c>
      <c r="F628" s="189">
        <f t="shared" si="369"/>
        <v>0</v>
      </c>
      <c r="G628" s="189">
        <f t="shared" si="369"/>
        <v>504</v>
      </c>
      <c r="H628" s="189">
        <f t="shared" si="369"/>
        <v>504</v>
      </c>
      <c r="I628" s="189">
        <f t="shared" si="369"/>
        <v>504</v>
      </c>
      <c r="J628" s="189">
        <f t="shared" si="369"/>
        <v>0</v>
      </c>
      <c r="K628" s="189">
        <f t="shared" si="369"/>
        <v>0</v>
      </c>
      <c r="L628" s="189">
        <f t="shared" si="369"/>
        <v>0</v>
      </c>
      <c r="M628" s="189">
        <f t="shared" si="369"/>
        <v>0</v>
      </c>
      <c r="N628" s="189">
        <f t="shared" si="369"/>
        <v>0</v>
      </c>
      <c r="O628" s="189">
        <f t="shared" si="369"/>
        <v>0</v>
      </c>
      <c r="P628" s="189">
        <f t="shared" si="369"/>
        <v>0</v>
      </c>
      <c r="Q628" s="189">
        <f t="shared" si="369"/>
        <v>0</v>
      </c>
      <c r="R628" s="189">
        <f t="shared" si="369"/>
        <v>0</v>
      </c>
      <c r="S628" s="294">
        <f t="shared" si="369"/>
        <v>0</v>
      </c>
    </row>
    <row r="629" spans="1:19" ht="12.75" customHeight="1" x14ac:dyDescent="0.2">
      <c r="A629" s="198" t="str">
        <f>"            "&amp;Labels!B318</f>
        <v xml:space="preserve">            Channels 2</v>
      </c>
      <c r="B629" s="189">
        <f t="shared" ref="B629:S629" si="370">SUM(B467,B548)</f>
        <v>0</v>
      </c>
      <c r="C629" s="189">
        <f t="shared" si="370"/>
        <v>0</v>
      </c>
      <c r="D629" s="189">
        <f t="shared" si="370"/>
        <v>660</v>
      </c>
      <c r="E629" s="189">
        <f t="shared" si="370"/>
        <v>660</v>
      </c>
      <c r="F629" s="189">
        <f t="shared" si="370"/>
        <v>0</v>
      </c>
      <c r="G629" s="189">
        <f t="shared" si="370"/>
        <v>480</v>
      </c>
      <c r="H629" s="189">
        <f t="shared" si="370"/>
        <v>480</v>
      </c>
      <c r="I629" s="189">
        <f t="shared" si="370"/>
        <v>480</v>
      </c>
      <c r="J629" s="189">
        <f t="shared" si="370"/>
        <v>0</v>
      </c>
      <c r="K629" s="189">
        <f t="shared" si="370"/>
        <v>0</v>
      </c>
      <c r="L629" s="189">
        <f t="shared" si="370"/>
        <v>0</v>
      </c>
      <c r="M629" s="189">
        <f t="shared" si="370"/>
        <v>0</v>
      </c>
      <c r="N629" s="189">
        <f t="shared" si="370"/>
        <v>0</v>
      </c>
      <c r="O629" s="189">
        <f t="shared" si="370"/>
        <v>0</v>
      </c>
      <c r="P629" s="189">
        <f t="shared" si="370"/>
        <v>0</v>
      </c>
      <c r="Q629" s="189">
        <f t="shared" si="370"/>
        <v>0</v>
      </c>
      <c r="R629" s="189">
        <f t="shared" si="370"/>
        <v>0</v>
      </c>
      <c r="S629" s="294">
        <f t="shared" si="370"/>
        <v>0</v>
      </c>
    </row>
    <row r="630" spans="1:19" ht="12.75" customHeight="1" x14ac:dyDescent="0.2">
      <c r="A630" s="198" t="str">
        <f>"            "&amp;Labels!C316</f>
        <v xml:space="preserve">            Total</v>
      </c>
      <c r="B630" s="226">
        <f t="shared" ref="B630:S630" si="371">SUM(B456,B537)</f>
        <v>0</v>
      </c>
      <c r="C630" s="226">
        <f t="shared" si="371"/>
        <v>0</v>
      </c>
      <c r="D630" s="226">
        <f t="shared" si="371"/>
        <v>1353</v>
      </c>
      <c r="E630" s="226">
        <f t="shared" si="371"/>
        <v>1353</v>
      </c>
      <c r="F630" s="226">
        <f t="shared" si="371"/>
        <v>0</v>
      </c>
      <c r="G630" s="226">
        <f t="shared" si="371"/>
        <v>984</v>
      </c>
      <c r="H630" s="226">
        <f t="shared" si="371"/>
        <v>984</v>
      </c>
      <c r="I630" s="226">
        <f t="shared" si="371"/>
        <v>984</v>
      </c>
      <c r="J630" s="226">
        <f t="shared" si="371"/>
        <v>0</v>
      </c>
      <c r="K630" s="226">
        <f t="shared" si="371"/>
        <v>0</v>
      </c>
      <c r="L630" s="226">
        <f t="shared" si="371"/>
        <v>0</v>
      </c>
      <c r="M630" s="226">
        <f t="shared" si="371"/>
        <v>0</v>
      </c>
      <c r="N630" s="226">
        <f t="shared" si="371"/>
        <v>0</v>
      </c>
      <c r="O630" s="226">
        <f t="shared" si="371"/>
        <v>0</v>
      </c>
      <c r="P630" s="226">
        <f t="shared" si="371"/>
        <v>0</v>
      </c>
      <c r="Q630" s="226">
        <f t="shared" si="371"/>
        <v>0</v>
      </c>
      <c r="R630" s="226">
        <f t="shared" si="371"/>
        <v>0</v>
      </c>
      <c r="S630" s="279">
        <f t="shared" si="371"/>
        <v>0</v>
      </c>
    </row>
    <row r="631" spans="1:19" ht="12.75" customHeight="1" x14ac:dyDescent="0.2">
      <c r="A631" s="191" t="str">
        <f>"   "&amp;Labels!C352</f>
        <v xml:space="preserve">   Total</v>
      </c>
      <c r="B631" s="192">
        <f t="shared" ref="B631:S631" si="372">SUM(B469,B550)</f>
        <v>0</v>
      </c>
      <c r="C631" s="192">
        <f t="shared" si="372"/>
        <v>0</v>
      </c>
      <c r="D631" s="192">
        <f t="shared" si="372"/>
        <v>1353</v>
      </c>
      <c r="E631" s="192">
        <f t="shared" si="372"/>
        <v>1353</v>
      </c>
      <c r="F631" s="192">
        <f t="shared" si="372"/>
        <v>0</v>
      </c>
      <c r="G631" s="192">
        <f t="shared" si="372"/>
        <v>984</v>
      </c>
      <c r="H631" s="192">
        <f t="shared" si="372"/>
        <v>984</v>
      </c>
      <c r="I631" s="192">
        <f t="shared" si="372"/>
        <v>984</v>
      </c>
      <c r="J631" s="192">
        <f t="shared" si="372"/>
        <v>0</v>
      </c>
      <c r="K631" s="192">
        <f t="shared" si="372"/>
        <v>0</v>
      </c>
      <c r="L631" s="192">
        <f t="shared" si="372"/>
        <v>0</v>
      </c>
      <c r="M631" s="192">
        <f t="shared" si="372"/>
        <v>0</v>
      </c>
      <c r="N631" s="192">
        <f t="shared" si="372"/>
        <v>0</v>
      </c>
      <c r="O631" s="192">
        <f t="shared" si="372"/>
        <v>0</v>
      </c>
      <c r="P631" s="192">
        <f t="shared" si="372"/>
        <v>0</v>
      </c>
      <c r="Q631" s="192">
        <f t="shared" si="372"/>
        <v>0</v>
      </c>
      <c r="R631" s="192">
        <f t="shared" si="372"/>
        <v>0</v>
      </c>
      <c r="S631" s="280">
        <f t="shared" si="372"/>
        <v>0</v>
      </c>
    </row>
    <row r="632" spans="1:19" ht="12.75" customHeight="1" x14ac:dyDescent="0.2">
      <c r="A632" s="198" t="str">
        <f>"      "&amp;Labels!B381</f>
        <v xml:space="preserve">      Practice 1</v>
      </c>
      <c r="B632" s="226"/>
      <c r="C632" s="226"/>
      <c r="D632" s="226"/>
      <c r="E632" s="226"/>
      <c r="F632" s="226"/>
      <c r="G632" s="226"/>
      <c r="H632" s="226"/>
      <c r="I632" s="226"/>
      <c r="J632" s="226"/>
      <c r="K632" s="226"/>
      <c r="L632" s="226"/>
      <c r="M632" s="226"/>
      <c r="N632" s="226"/>
      <c r="O632" s="226"/>
      <c r="P632" s="226"/>
      <c r="Q632" s="226"/>
      <c r="R632" s="226"/>
      <c r="S632" s="279"/>
    </row>
    <row r="633" spans="1:19" ht="12.75" customHeight="1" x14ac:dyDescent="0.2">
      <c r="A633" s="198" t="str">
        <f>"         "&amp;Labels!B385</f>
        <v xml:space="preserve">         Prof Level 1</v>
      </c>
      <c r="B633" s="226"/>
      <c r="C633" s="226"/>
      <c r="D633" s="226"/>
      <c r="E633" s="226"/>
      <c r="F633" s="226"/>
      <c r="G633" s="226"/>
      <c r="H633" s="226"/>
      <c r="I633" s="226"/>
      <c r="J633" s="226"/>
      <c r="K633" s="226"/>
      <c r="L633" s="226"/>
      <c r="M633" s="226"/>
      <c r="N633" s="226"/>
      <c r="O633" s="226"/>
      <c r="P633" s="226"/>
      <c r="Q633" s="226"/>
      <c r="R633" s="226"/>
      <c r="S633" s="279"/>
    </row>
    <row r="634" spans="1:19" ht="12.75" customHeight="1" x14ac:dyDescent="0.2">
      <c r="A634" s="198" t="str">
        <f>"            "&amp;Labels!B317</f>
        <v xml:space="preserve">            Channels 1</v>
      </c>
      <c r="B634" s="189">
        <f t="shared" ref="B634:S634" si="373">SUM(B472,B553)</f>
        <v>0</v>
      </c>
      <c r="C634" s="189">
        <f t="shared" si="373"/>
        <v>0</v>
      </c>
      <c r="D634" s="189">
        <f t="shared" si="373"/>
        <v>346.5</v>
      </c>
      <c r="E634" s="189">
        <f t="shared" si="373"/>
        <v>346.5</v>
      </c>
      <c r="F634" s="189">
        <f t="shared" si="373"/>
        <v>0</v>
      </c>
      <c r="G634" s="189">
        <f t="shared" si="373"/>
        <v>252</v>
      </c>
      <c r="H634" s="189">
        <f t="shared" si="373"/>
        <v>252</v>
      </c>
      <c r="I634" s="189">
        <f t="shared" si="373"/>
        <v>252</v>
      </c>
      <c r="J634" s="189">
        <f t="shared" si="373"/>
        <v>0</v>
      </c>
      <c r="K634" s="189">
        <f t="shared" si="373"/>
        <v>0</v>
      </c>
      <c r="L634" s="189">
        <f t="shared" si="373"/>
        <v>0</v>
      </c>
      <c r="M634" s="189">
        <f t="shared" si="373"/>
        <v>0</v>
      </c>
      <c r="N634" s="189">
        <f t="shared" si="373"/>
        <v>0</v>
      </c>
      <c r="O634" s="189">
        <f t="shared" si="373"/>
        <v>0</v>
      </c>
      <c r="P634" s="189">
        <f t="shared" si="373"/>
        <v>0</v>
      </c>
      <c r="Q634" s="189">
        <f t="shared" si="373"/>
        <v>0</v>
      </c>
      <c r="R634" s="189">
        <f t="shared" si="373"/>
        <v>0</v>
      </c>
      <c r="S634" s="294">
        <f t="shared" si="373"/>
        <v>0</v>
      </c>
    </row>
    <row r="635" spans="1:19" ht="12.75" customHeight="1" x14ac:dyDescent="0.2">
      <c r="A635" s="198" t="str">
        <f>"            "&amp;Labels!B318</f>
        <v xml:space="preserve">            Channels 2</v>
      </c>
      <c r="B635" s="189">
        <f t="shared" ref="B635:S635" si="374">SUM(B473,B554)</f>
        <v>0</v>
      </c>
      <c r="C635" s="189">
        <f t="shared" si="374"/>
        <v>0</v>
      </c>
      <c r="D635" s="189">
        <f t="shared" si="374"/>
        <v>330</v>
      </c>
      <c r="E635" s="189">
        <f t="shared" si="374"/>
        <v>330</v>
      </c>
      <c r="F635" s="189">
        <f t="shared" si="374"/>
        <v>0</v>
      </c>
      <c r="G635" s="189">
        <f t="shared" si="374"/>
        <v>240</v>
      </c>
      <c r="H635" s="189">
        <f t="shared" si="374"/>
        <v>240</v>
      </c>
      <c r="I635" s="189">
        <f t="shared" si="374"/>
        <v>240</v>
      </c>
      <c r="J635" s="189">
        <f t="shared" si="374"/>
        <v>0</v>
      </c>
      <c r="K635" s="189">
        <f t="shared" si="374"/>
        <v>0</v>
      </c>
      <c r="L635" s="189">
        <f t="shared" si="374"/>
        <v>0</v>
      </c>
      <c r="M635" s="189">
        <f t="shared" si="374"/>
        <v>0</v>
      </c>
      <c r="N635" s="189">
        <f t="shared" si="374"/>
        <v>0</v>
      </c>
      <c r="O635" s="189">
        <f t="shared" si="374"/>
        <v>0</v>
      </c>
      <c r="P635" s="189">
        <f t="shared" si="374"/>
        <v>0</v>
      </c>
      <c r="Q635" s="189">
        <f t="shared" si="374"/>
        <v>0</v>
      </c>
      <c r="R635" s="189">
        <f t="shared" si="374"/>
        <v>0</v>
      </c>
      <c r="S635" s="294">
        <f t="shared" si="374"/>
        <v>0</v>
      </c>
    </row>
    <row r="636" spans="1:19" ht="12.75" customHeight="1" x14ac:dyDescent="0.2">
      <c r="A636" s="198" t="str">
        <f>"            "&amp;Labels!C316</f>
        <v xml:space="preserve">            Total</v>
      </c>
      <c r="B636" s="226">
        <f t="shared" ref="B636:S636" si="375">SUM(B474,B555)</f>
        <v>0</v>
      </c>
      <c r="C636" s="226">
        <f t="shared" si="375"/>
        <v>0</v>
      </c>
      <c r="D636" s="226">
        <f t="shared" si="375"/>
        <v>676.5</v>
      </c>
      <c r="E636" s="226">
        <f t="shared" si="375"/>
        <v>676.5</v>
      </c>
      <c r="F636" s="226">
        <f t="shared" si="375"/>
        <v>0</v>
      </c>
      <c r="G636" s="226">
        <f t="shared" si="375"/>
        <v>492</v>
      </c>
      <c r="H636" s="226">
        <f t="shared" si="375"/>
        <v>492</v>
      </c>
      <c r="I636" s="226">
        <f t="shared" si="375"/>
        <v>492</v>
      </c>
      <c r="J636" s="226">
        <f t="shared" si="375"/>
        <v>0</v>
      </c>
      <c r="K636" s="226">
        <f t="shared" si="375"/>
        <v>0</v>
      </c>
      <c r="L636" s="226">
        <f t="shared" si="375"/>
        <v>0</v>
      </c>
      <c r="M636" s="226">
        <f t="shared" si="375"/>
        <v>0</v>
      </c>
      <c r="N636" s="226">
        <f t="shared" si="375"/>
        <v>0</v>
      </c>
      <c r="O636" s="226">
        <f t="shared" si="375"/>
        <v>0</v>
      </c>
      <c r="P636" s="226">
        <f t="shared" si="375"/>
        <v>0</v>
      </c>
      <c r="Q636" s="226">
        <f t="shared" si="375"/>
        <v>0</v>
      </c>
      <c r="R636" s="226">
        <f t="shared" si="375"/>
        <v>0</v>
      </c>
      <c r="S636" s="279">
        <f t="shared" si="375"/>
        <v>0</v>
      </c>
    </row>
    <row r="637" spans="1:19" ht="12.75" customHeight="1" x14ac:dyDescent="0.2">
      <c r="A637" s="198" t="str">
        <f>"         "&amp;Labels!B386</f>
        <v xml:space="preserve">         Prof Level 2</v>
      </c>
      <c r="B637" s="226"/>
      <c r="C637" s="226"/>
      <c r="D637" s="226"/>
      <c r="E637" s="226"/>
      <c r="F637" s="226"/>
      <c r="G637" s="226"/>
      <c r="H637" s="226"/>
      <c r="I637" s="226"/>
      <c r="J637" s="226"/>
      <c r="K637" s="226"/>
      <c r="L637" s="226"/>
      <c r="M637" s="226"/>
      <c r="N637" s="226"/>
      <c r="O637" s="226"/>
      <c r="P637" s="226"/>
      <c r="Q637" s="226"/>
      <c r="R637" s="226"/>
      <c r="S637" s="279"/>
    </row>
    <row r="638" spans="1:19" ht="12.75" customHeight="1" x14ac:dyDescent="0.2">
      <c r="A638" s="198" t="str">
        <f>"            "&amp;Labels!B317</f>
        <v xml:space="preserve">            Channels 1</v>
      </c>
      <c r="B638" s="189">
        <f t="shared" ref="B638:S638" si="376">SUM(B476,B557)</f>
        <v>0</v>
      </c>
      <c r="C638" s="189">
        <f t="shared" si="376"/>
        <v>0</v>
      </c>
      <c r="D638" s="189">
        <f t="shared" si="376"/>
        <v>346.5</v>
      </c>
      <c r="E638" s="189">
        <f t="shared" si="376"/>
        <v>346.5</v>
      </c>
      <c r="F638" s="189">
        <f t="shared" si="376"/>
        <v>0</v>
      </c>
      <c r="G638" s="189">
        <f t="shared" si="376"/>
        <v>252</v>
      </c>
      <c r="H638" s="189">
        <f t="shared" si="376"/>
        <v>252</v>
      </c>
      <c r="I638" s="189">
        <f t="shared" si="376"/>
        <v>252</v>
      </c>
      <c r="J638" s="189">
        <f t="shared" si="376"/>
        <v>0</v>
      </c>
      <c r="K638" s="189">
        <f t="shared" si="376"/>
        <v>0</v>
      </c>
      <c r="L638" s="189">
        <f t="shared" si="376"/>
        <v>0</v>
      </c>
      <c r="M638" s="189">
        <f t="shared" si="376"/>
        <v>0</v>
      </c>
      <c r="N638" s="189">
        <f t="shared" si="376"/>
        <v>0</v>
      </c>
      <c r="O638" s="189">
        <f t="shared" si="376"/>
        <v>0</v>
      </c>
      <c r="P638" s="189">
        <f t="shared" si="376"/>
        <v>0</v>
      </c>
      <c r="Q638" s="189">
        <f t="shared" si="376"/>
        <v>0</v>
      </c>
      <c r="R638" s="189">
        <f t="shared" si="376"/>
        <v>0</v>
      </c>
      <c r="S638" s="294">
        <f t="shared" si="376"/>
        <v>0</v>
      </c>
    </row>
    <row r="639" spans="1:19" ht="12.75" customHeight="1" x14ac:dyDescent="0.2">
      <c r="A639" s="198" t="str">
        <f>"            "&amp;Labels!B318</f>
        <v xml:space="preserve">            Channels 2</v>
      </c>
      <c r="B639" s="189">
        <f t="shared" ref="B639:S639" si="377">SUM(B477,B558)</f>
        <v>0</v>
      </c>
      <c r="C639" s="189">
        <f t="shared" si="377"/>
        <v>0</v>
      </c>
      <c r="D639" s="189">
        <f t="shared" si="377"/>
        <v>330</v>
      </c>
      <c r="E639" s="189">
        <f t="shared" si="377"/>
        <v>330</v>
      </c>
      <c r="F639" s="189">
        <f t="shared" si="377"/>
        <v>0</v>
      </c>
      <c r="G639" s="189">
        <f t="shared" si="377"/>
        <v>240</v>
      </c>
      <c r="H639" s="189">
        <f t="shared" si="377"/>
        <v>240</v>
      </c>
      <c r="I639" s="189">
        <f t="shared" si="377"/>
        <v>240</v>
      </c>
      <c r="J639" s="189">
        <f t="shared" si="377"/>
        <v>0</v>
      </c>
      <c r="K639" s="189">
        <f t="shared" si="377"/>
        <v>0</v>
      </c>
      <c r="L639" s="189">
        <f t="shared" si="377"/>
        <v>0</v>
      </c>
      <c r="M639" s="189">
        <f t="shared" si="377"/>
        <v>0</v>
      </c>
      <c r="N639" s="189">
        <f t="shared" si="377"/>
        <v>0</v>
      </c>
      <c r="O639" s="189">
        <f t="shared" si="377"/>
        <v>0</v>
      </c>
      <c r="P639" s="189">
        <f t="shared" si="377"/>
        <v>0</v>
      </c>
      <c r="Q639" s="189">
        <f t="shared" si="377"/>
        <v>0</v>
      </c>
      <c r="R639" s="189">
        <f t="shared" si="377"/>
        <v>0</v>
      </c>
      <c r="S639" s="294">
        <f t="shared" si="377"/>
        <v>0</v>
      </c>
    </row>
    <row r="640" spans="1:19" ht="12.75" customHeight="1" x14ac:dyDescent="0.2">
      <c r="A640" s="198" t="str">
        <f>"            "&amp;Labels!C316</f>
        <v xml:space="preserve">            Total</v>
      </c>
      <c r="B640" s="226">
        <f t="shared" ref="B640:S640" si="378">SUM(B478,B559)</f>
        <v>0</v>
      </c>
      <c r="C640" s="226">
        <f t="shared" si="378"/>
        <v>0</v>
      </c>
      <c r="D640" s="226">
        <f t="shared" si="378"/>
        <v>676.5</v>
      </c>
      <c r="E640" s="226">
        <f t="shared" si="378"/>
        <v>676.5</v>
      </c>
      <c r="F640" s="226">
        <f t="shared" si="378"/>
        <v>0</v>
      </c>
      <c r="G640" s="226">
        <f t="shared" si="378"/>
        <v>492</v>
      </c>
      <c r="H640" s="226">
        <f t="shared" si="378"/>
        <v>492</v>
      </c>
      <c r="I640" s="226">
        <f t="shared" si="378"/>
        <v>492</v>
      </c>
      <c r="J640" s="226">
        <f t="shared" si="378"/>
        <v>0</v>
      </c>
      <c r="K640" s="226">
        <f t="shared" si="378"/>
        <v>0</v>
      </c>
      <c r="L640" s="226">
        <f t="shared" si="378"/>
        <v>0</v>
      </c>
      <c r="M640" s="226">
        <f t="shared" si="378"/>
        <v>0</v>
      </c>
      <c r="N640" s="226">
        <f t="shared" si="378"/>
        <v>0</v>
      </c>
      <c r="O640" s="226">
        <f t="shared" si="378"/>
        <v>0</v>
      </c>
      <c r="P640" s="226">
        <f t="shared" si="378"/>
        <v>0</v>
      </c>
      <c r="Q640" s="226">
        <f t="shared" si="378"/>
        <v>0</v>
      </c>
      <c r="R640" s="226">
        <f t="shared" si="378"/>
        <v>0</v>
      </c>
      <c r="S640" s="279">
        <f t="shared" si="378"/>
        <v>0</v>
      </c>
    </row>
    <row r="641" spans="1:19" ht="12.75" customHeight="1" x14ac:dyDescent="0.2">
      <c r="A641" s="198" t="str">
        <f>"         "&amp;Labels!C384</f>
        <v xml:space="preserve">         Total</v>
      </c>
      <c r="B641" s="226">
        <f t="shared" ref="B641:S641" si="379">SUM(B479,B560)</f>
        <v>0</v>
      </c>
      <c r="C641" s="226">
        <f t="shared" si="379"/>
        <v>0</v>
      </c>
      <c r="D641" s="226">
        <f t="shared" si="379"/>
        <v>1353</v>
      </c>
      <c r="E641" s="226">
        <f t="shared" si="379"/>
        <v>1353</v>
      </c>
      <c r="F641" s="226">
        <f t="shared" si="379"/>
        <v>0</v>
      </c>
      <c r="G641" s="226">
        <f t="shared" si="379"/>
        <v>984</v>
      </c>
      <c r="H641" s="226">
        <f t="shared" si="379"/>
        <v>984</v>
      </c>
      <c r="I641" s="226">
        <f t="shared" si="379"/>
        <v>984</v>
      </c>
      <c r="J641" s="226">
        <f t="shared" si="379"/>
        <v>0</v>
      </c>
      <c r="K641" s="226">
        <f t="shared" si="379"/>
        <v>0</v>
      </c>
      <c r="L641" s="226">
        <f t="shared" si="379"/>
        <v>0</v>
      </c>
      <c r="M641" s="226">
        <f t="shared" si="379"/>
        <v>0</v>
      </c>
      <c r="N641" s="226">
        <f t="shared" si="379"/>
        <v>0</v>
      </c>
      <c r="O641" s="226">
        <f t="shared" si="379"/>
        <v>0</v>
      </c>
      <c r="P641" s="226">
        <f t="shared" si="379"/>
        <v>0</v>
      </c>
      <c r="Q641" s="226">
        <f t="shared" si="379"/>
        <v>0</v>
      </c>
      <c r="R641" s="226">
        <f t="shared" si="379"/>
        <v>0</v>
      </c>
      <c r="S641" s="279">
        <f t="shared" si="379"/>
        <v>0</v>
      </c>
    </row>
    <row r="642" spans="1:19" ht="12.75" customHeight="1" x14ac:dyDescent="0.2">
      <c r="A642" s="198" t="str">
        <f>"            "&amp;Labels!B317</f>
        <v xml:space="preserve">            Channels 1</v>
      </c>
      <c r="B642" s="189">
        <f t="shared" ref="B642:S642" si="380">SUM(B480,B561)</f>
        <v>0</v>
      </c>
      <c r="C642" s="189">
        <f t="shared" si="380"/>
        <v>0</v>
      </c>
      <c r="D642" s="189">
        <f t="shared" si="380"/>
        <v>693</v>
      </c>
      <c r="E642" s="189">
        <f t="shared" si="380"/>
        <v>693</v>
      </c>
      <c r="F642" s="189">
        <f t="shared" si="380"/>
        <v>0</v>
      </c>
      <c r="G642" s="189">
        <f t="shared" si="380"/>
        <v>504</v>
      </c>
      <c r="H642" s="189">
        <f t="shared" si="380"/>
        <v>504</v>
      </c>
      <c r="I642" s="189">
        <f t="shared" si="380"/>
        <v>504</v>
      </c>
      <c r="J642" s="189">
        <f t="shared" si="380"/>
        <v>0</v>
      </c>
      <c r="K642" s="189">
        <f t="shared" si="380"/>
        <v>0</v>
      </c>
      <c r="L642" s="189">
        <f t="shared" si="380"/>
        <v>0</v>
      </c>
      <c r="M642" s="189">
        <f t="shared" si="380"/>
        <v>0</v>
      </c>
      <c r="N642" s="189">
        <f t="shared" si="380"/>
        <v>0</v>
      </c>
      <c r="O642" s="189">
        <f t="shared" si="380"/>
        <v>0</v>
      </c>
      <c r="P642" s="189">
        <f t="shared" si="380"/>
        <v>0</v>
      </c>
      <c r="Q642" s="189">
        <f t="shared" si="380"/>
        <v>0</v>
      </c>
      <c r="R642" s="189">
        <f t="shared" si="380"/>
        <v>0</v>
      </c>
      <c r="S642" s="294">
        <f t="shared" si="380"/>
        <v>0</v>
      </c>
    </row>
    <row r="643" spans="1:19" ht="12.75" customHeight="1" x14ac:dyDescent="0.2">
      <c r="A643" s="198" t="str">
        <f>"            "&amp;Labels!B318</f>
        <v xml:space="preserve">            Channels 2</v>
      </c>
      <c r="B643" s="189">
        <f t="shared" ref="B643:S643" si="381">SUM(B481,B562)</f>
        <v>0</v>
      </c>
      <c r="C643" s="189">
        <f t="shared" si="381"/>
        <v>0</v>
      </c>
      <c r="D643" s="189">
        <f t="shared" si="381"/>
        <v>660</v>
      </c>
      <c r="E643" s="189">
        <f t="shared" si="381"/>
        <v>660</v>
      </c>
      <c r="F643" s="189">
        <f t="shared" si="381"/>
        <v>0</v>
      </c>
      <c r="G643" s="189">
        <f t="shared" si="381"/>
        <v>480</v>
      </c>
      <c r="H643" s="189">
        <f t="shared" si="381"/>
        <v>480</v>
      </c>
      <c r="I643" s="189">
        <f t="shared" si="381"/>
        <v>480</v>
      </c>
      <c r="J643" s="189">
        <f t="shared" si="381"/>
        <v>0</v>
      </c>
      <c r="K643" s="189">
        <f t="shared" si="381"/>
        <v>0</v>
      </c>
      <c r="L643" s="189">
        <f t="shared" si="381"/>
        <v>0</v>
      </c>
      <c r="M643" s="189">
        <f t="shared" si="381"/>
        <v>0</v>
      </c>
      <c r="N643" s="189">
        <f t="shared" si="381"/>
        <v>0</v>
      </c>
      <c r="O643" s="189">
        <f t="shared" si="381"/>
        <v>0</v>
      </c>
      <c r="P643" s="189">
        <f t="shared" si="381"/>
        <v>0</v>
      </c>
      <c r="Q643" s="189">
        <f t="shared" si="381"/>
        <v>0</v>
      </c>
      <c r="R643" s="189">
        <f t="shared" si="381"/>
        <v>0</v>
      </c>
      <c r="S643" s="294">
        <f t="shared" si="381"/>
        <v>0</v>
      </c>
    </row>
    <row r="644" spans="1:19" ht="12.75" customHeight="1" x14ac:dyDescent="0.2">
      <c r="A644" s="198" t="str">
        <f>"            "&amp;Labels!C316</f>
        <v xml:space="preserve">            Total</v>
      </c>
      <c r="B644" s="226">
        <f t="shared" ref="B644:S644" si="382">SUM(B479,B560)</f>
        <v>0</v>
      </c>
      <c r="C644" s="226">
        <f t="shared" si="382"/>
        <v>0</v>
      </c>
      <c r="D644" s="226">
        <f t="shared" si="382"/>
        <v>1353</v>
      </c>
      <c r="E644" s="226">
        <f t="shared" si="382"/>
        <v>1353</v>
      </c>
      <c r="F644" s="226">
        <f t="shared" si="382"/>
        <v>0</v>
      </c>
      <c r="G644" s="226">
        <f t="shared" si="382"/>
        <v>984</v>
      </c>
      <c r="H644" s="226">
        <f t="shared" si="382"/>
        <v>984</v>
      </c>
      <c r="I644" s="226">
        <f t="shared" si="382"/>
        <v>984</v>
      </c>
      <c r="J644" s="226">
        <f t="shared" si="382"/>
        <v>0</v>
      </c>
      <c r="K644" s="226">
        <f t="shared" si="382"/>
        <v>0</v>
      </c>
      <c r="L644" s="226">
        <f t="shared" si="382"/>
        <v>0</v>
      </c>
      <c r="M644" s="226">
        <f t="shared" si="382"/>
        <v>0</v>
      </c>
      <c r="N644" s="226">
        <f t="shared" si="382"/>
        <v>0</v>
      </c>
      <c r="O644" s="226">
        <f t="shared" si="382"/>
        <v>0</v>
      </c>
      <c r="P644" s="226">
        <f t="shared" si="382"/>
        <v>0</v>
      </c>
      <c r="Q644" s="226">
        <f t="shared" si="382"/>
        <v>0</v>
      </c>
      <c r="R644" s="226">
        <f t="shared" si="382"/>
        <v>0</v>
      </c>
      <c r="S644" s="279">
        <f t="shared" si="382"/>
        <v>0</v>
      </c>
    </row>
    <row r="645" spans="1:19" ht="12.75" customHeight="1" x14ac:dyDescent="0.2">
      <c r="A645" s="198" t="str">
        <f>"      "&amp;Labels!B382</f>
        <v xml:space="preserve">      Practice 2</v>
      </c>
      <c r="B645" s="226"/>
      <c r="C645" s="226"/>
      <c r="D645" s="226"/>
      <c r="E645" s="226"/>
      <c r="F645" s="226"/>
      <c r="G645" s="226"/>
      <c r="H645" s="226"/>
      <c r="I645" s="226"/>
      <c r="J645" s="226"/>
      <c r="K645" s="226"/>
      <c r="L645" s="226"/>
      <c r="M645" s="226"/>
      <c r="N645" s="226"/>
      <c r="O645" s="226"/>
      <c r="P645" s="226"/>
      <c r="Q645" s="226"/>
      <c r="R645" s="226"/>
      <c r="S645" s="279"/>
    </row>
    <row r="646" spans="1:19" ht="12.75" customHeight="1" x14ac:dyDescent="0.2">
      <c r="A646" s="198" t="str">
        <f>"         "&amp;Labels!B385</f>
        <v xml:space="preserve">         Prof Level 1</v>
      </c>
      <c r="B646" s="226"/>
      <c r="C646" s="226"/>
      <c r="D646" s="226"/>
      <c r="E646" s="226"/>
      <c r="F646" s="226"/>
      <c r="G646" s="226"/>
      <c r="H646" s="226"/>
      <c r="I646" s="226"/>
      <c r="J646" s="226"/>
      <c r="K646" s="226"/>
      <c r="L646" s="226"/>
      <c r="M646" s="226"/>
      <c r="N646" s="226"/>
      <c r="O646" s="226"/>
      <c r="P646" s="226"/>
      <c r="Q646" s="226"/>
      <c r="R646" s="226"/>
      <c r="S646" s="279"/>
    </row>
    <row r="647" spans="1:19" ht="12.75" customHeight="1" x14ac:dyDescent="0.2">
      <c r="A647" s="198" t="str">
        <f>"            "&amp;Labels!B317</f>
        <v xml:space="preserve">            Channels 1</v>
      </c>
      <c r="B647" s="189">
        <f t="shared" ref="B647:S647" si="383">SUM(B485,B566)</f>
        <v>0</v>
      </c>
      <c r="C647" s="189">
        <f t="shared" si="383"/>
        <v>0</v>
      </c>
      <c r="D647" s="189">
        <f t="shared" si="383"/>
        <v>0</v>
      </c>
      <c r="E647" s="189">
        <f t="shared" si="383"/>
        <v>0</v>
      </c>
      <c r="F647" s="189">
        <f t="shared" si="383"/>
        <v>0</v>
      </c>
      <c r="G647" s="189">
        <f t="shared" si="383"/>
        <v>0</v>
      </c>
      <c r="H647" s="189">
        <f t="shared" si="383"/>
        <v>0</v>
      </c>
      <c r="I647" s="189">
        <f t="shared" si="383"/>
        <v>0</v>
      </c>
      <c r="J647" s="189">
        <f t="shared" si="383"/>
        <v>0</v>
      </c>
      <c r="K647" s="189">
        <f t="shared" si="383"/>
        <v>0</v>
      </c>
      <c r="L647" s="189">
        <f t="shared" si="383"/>
        <v>0</v>
      </c>
      <c r="M647" s="189">
        <f t="shared" si="383"/>
        <v>0</v>
      </c>
      <c r="N647" s="189">
        <f t="shared" si="383"/>
        <v>0</v>
      </c>
      <c r="O647" s="189">
        <f t="shared" si="383"/>
        <v>0</v>
      </c>
      <c r="P647" s="189">
        <f t="shared" si="383"/>
        <v>0</v>
      </c>
      <c r="Q647" s="189">
        <f t="shared" si="383"/>
        <v>0</v>
      </c>
      <c r="R647" s="189">
        <f t="shared" si="383"/>
        <v>0</v>
      </c>
      <c r="S647" s="294">
        <f t="shared" si="383"/>
        <v>0</v>
      </c>
    </row>
    <row r="648" spans="1:19" ht="12.75" customHeight="1" x14ac:dyDescent="0.2">
      <c r="A648" s="198" t="str">
        <f>"            "&amp;Labels!B318</f>
        <v xml:space="preserve">            Channels 2</v>
      </c>
      <c r="B648" s="189">
        <f t="shared" ref="B648:S648" si="384">SUM(B486,B567)</f>
        <v>0</v>
      </c>
      <c r="C648" s="189">
        <f t="shared" si="384"/>
        <v>0</v>
      </c>
      <c r="D648" s="189">
        <f t="shared" si="384"/>
        <v>0</v>
      </c>
      <c r="E648" s="189">
        <f t="shared" si="384"/>
        <v>0</v>
      </c>
      <c r="F648" s="189">
        <f t="shared" si="384"/>
        <v>0</v>
      </c>
      <c r="G648" s="189">
        <f t="shared" si="384"/>
        <v>0</v>
      </c>
      <c r="H648" s="189">
        <f t="shared" si="384"/>
        <v>0</v>
      </c>
      <c r="I648" s="189">
        <f t="shared" si="384"/>
        <v>0</v>
      </c>
      <c r="J648" s="189">
        <f t="shared" si="384"/>
        <v>0</v>
      </c>
      <c r="K648" s="189">
        <f t="shared" si="384"/>
        <v>0</v>
      </c>
      <c r="L648" s="189">
        <f t="shared" si="384"/>
        <v>0</v>
      </c>
      <c r="M648" s="189">
        <f t="shared" si="384"/>
        <v>0</v>
      </c>
      <c r="N648" s="189">
        <f t="shared" si="384"/>
        <v>0</v>
      </c>
      <c r="O648" s="189">
        <f t="shared" si="384"/>
        <v>0</v>
      </c>
      <c r="P648" s="189">
        <f t="shared" si="384"/>
        <v>0</v>
      </c>
      <c r="Q648" s="189">
        <f t="shared" si="384"/>
        <v>0</v>
      </c>
      <c r="R648" s="189">
        <f t="shared" si="384"/>
        <v>0</v>
      </c>
      <c r="S648" s="294">
        <f t="shared" si="384"/>
        <v>0</v>
      </c>
    </row>
    <row r="649" spans="1:19" ht="12.75" customHeight="1" x14ac:dyDescent="0.2">
      <c r="A649" s="198" t="str">
        <f>"            "&amp;Labels!C316</f>
        <v xml:space="preserve">            Total</v>
      </c>
      <c r="B649" s="226">
        <f t="shared" ref="B649:S649" si="385">SUM(B487,B568)</f>
        <v>0</v>
      </c>
      <c r="C649" s="226">
        <f t="shared" si="385"/>
        <v>0</v>
      </c>
      <c r="D649" s="226">
        <f t="shared" si="385"/>
        <v>0</v>
      </c>
      <c r="E649" s="226">
        <f t="shared" si="385"/>
        <v>0</v>
      </c>
      <c r="F649" s="226">
        <f t="shared" si="385"/>
        <v>0</v>
      </c>
      <c r="G649" s="226">
        <f t="shared" si="385"/>
        <v>0</v>
      </c>
      <c r="H649" s="226">
        <f t="shared" si="385"/>
        <v>0</v>
      </c>
      <c r="I649" s="226">
        <f t="shared" si="385"/>
        <v>0</v>
      </c>
      <c r="J649" s="226">
        <f t="shared" si="385"/>
        <v>0</v>
      </c>
      <c r="K649" s="226">
        <f t="shared" si="385"/>
        <v>0</v>
      </c>
      <c r="L649" s="226">
        <f t="shared" si="385"/>
        <v>0</v>
      </c>
      <c r="M649" s="226">
        <f t="shared" si="385"/>
        <v>0</v>
      </c>
      <c r="N649" s="226">
        <f t="shared" si="385"/>
        <v>0</v>
      </c>
      <c r="O649" s="226">
        <f t="shared" si="385"/>
        <v>0</v>
      </c>
      <c r="P649" s="226">
        <f t="shared" si="385"/>
        <v>0</v>
      </c>
      <c r="Q649" s="226">
        <f t="shared" si="385"/>
        <v>0</v>
      </c>
      <c r="R649" s="226">
        <f t="shared" si="385"/>
        <v>0</v>
      </c>
      <c r="S649" s="279">
        <f t="shared" si="385"/>
        <v>0</v>
      </c>
    </row>
    <row r="650" spans="1:19" ht="12.75" customHeight="1" x14ac:dyDescent="0.2">
      <c r="A650" s="198" t="str">
        <f>"         "&amp;Labels!B386</f>
        <v xml:space="preserve">         Prof Level 2</v>
      </c>
      <c r="B650" s="226"/>
      <c r="C650" s="226"/>
      <c r="D650" s="226"/>
      <c r="E650" s="226"/>
      <c r="F650" s="226"/>
      <c r="G650" s="226"/>
      <c r="H650" s="226"/>
      <c r="I650" s="226"/>
      <c r="J650" s="226"/>
      <c r="K650" s="226"/>
      <c r="L650" s="226"/>
      <c r="M650" s="226"/>
      <c r="N650" s="226"/>
      <c r="O650" s="226"/>
      <c r="P650" s="226"/>
      <c r="Q650" s="226"/>
      <c r="R650" s="226"/>
      <c r="S650" s="279"/>
    </row>
    <row r="651" spans="1:19" ht="12.75" customHeight="1" x14ac:dyDescent="0.2">
      <c r="A651" s="198" t="str">
        <f>"            "&amp;Labels!B317</f>
        <v xml:space="preserve">            Channels 1</v>
      </c>
      <c r="B651" s="189">
        <f t="shared" ref="B651:S651" si="386">SUM(B489,B570)</f>
        <v>0</v>
      </c>
      <c r="C651" s="189">
        <f t="shared" si="386"/>
        <v>0</v>
      </c>
      <c r="D651" s="189">
        <f t="shared" si="386"/>
        <v>0</v>
      </c>
      <c r="E651" s="189">
        <f t="shared" si="386"/>
        <v>0</v>
      </c>
      <c r="F651" s="189">
        <f t="shared" si="386"/>
        <v>0</v>
      </c>
      <c r="G651" s="189">
        <f t="shared" si="386"/>
        <v>0</v>
      </c>
      <c r="H651" s="189">
        <f t="shared" si="386"/>
        <v>0</v>
      </c>
      <c r="I651" s="189">
        <f t="shared" si="386"/>
        <v>0</v>
      </c>
      <c r="J651" s="189">
        <f t="shared" si="386"/>
        <v>0</v>
      </c>
      <c r="K651" s="189">
        <f t="shared" si="386"/>
        <v>0</v>
      </c>
      <c r="L651" s="189">
        <f t="shared" si="386"/>
        <v>0</v>
      </c>
      <c r="M651" s="189">
        <f t="shared" si="386"/>
        <v>0</v>
      </c>
      <c r="N651" s="189">
        <f t="shared" si="386"/>
        <v>0</v>
      </c>
      <c r="O651" s="189">
        <f t="shared" si="386"/>
        <v>0</v>
      </c>
      <c r="P651" s="189">
        <f t="shared" si="386"/>
        <v>0</v>
      </c>
      <c r="Q651" s="189">
        <f t="shared" si="386"/>
        <v>0</v>
      </c>
      <c r="R651" s="189">
        <f t="shared" si="386"/>
        <v>0</v>
      </c>
      <c r="S651" s="294">
        <f t="shared" si="386"/>
        <v>0</v>
      </c>
    </row>
    <row r="652" spans="1:19" ht="12.75" customHeight="1" x14ac:dyDescent="0.2">
      <c r="A652" s="198" t="str">
        <f>"            "&amp;Labels!B318</f>
        <v xml:space="preserve">            Channels 2</v>
      </c>
      <c r="B652" s="189">
        <f t="shared" ref="B652:S652" si="387">SUM(B490,B571)</f>
        <v>0</v>
      </c>
      <c r="C652" s="189">
        <f t="shared" si="387"/>
        <v>0</v>
      </c>
      <c r="D652" s="189">
        <f t="shared" si="387"/>
        <v>0</v>
      </c>
      <c r="E652" s="189">
        <f t="shared" si="387"/>
        <v>0</v>
      </c>
      <c r="F652" s="189">
        <f t="shared" si="387"/>
        <v>0</v>
      </c>
      <c r="G652" s="189">
        <f t="shared" si="387"/>
        <v>0</v>
      </c>
      <c r="H652" s="189">
        <f t="shared" si="387"/>
        <v>0</v>
      </c>
      <c r="I652" s="189">
        <f t="shared" si="387"/>
        <v>0</v>
      </c>
      <c r="J652" s="189">
        <f t="shared" si="387"/>
        <v>0</v>
      </c>
      <c r="K652" s="189">
        <f t="shared" si="387"/>
        <v>0</v>
      </c>
      <c r="L652" s="189">
        <f t="shared" si="387"/>
        <v>0</v>
      </c>
      <c r="M652" s="189">
        <f t="shared" si="387"/>
        <v>0</v>
      </c>
      <c r="N652" s="189">
        <f t="shared" si="387"/>
        <v>0</v>
      </c>
      <c r="O652" s="189">
        <f t="shared" si="387"/>
        <v>0</v>
      </c>
      <c r="P652" s="189">
        <f t="shared" si="387"/>
        <v>0</v>
      </c>
      <c r="Q652" s="189">
        <f t="shared" si="387"/>
        <v>0</v>
      </c>
      <c r="R652" s="189">
        <f t="shared" si="387"/>
        <v>0</v>
      </c>
      <c r="S652" s="294">
        <f t="shared" si="387"/>
        <v>0</v>
      </c>
    </row>
    <row r="653" spans="1:19" ht="12.75" customHeight="1" x14ac:dyDescent="0.2">
      <c r="A653" s="198" t="str">
        <f>"            "&amp;Labels!C316</f>
        <v xml:space="preserve">            Total</v>
      </c>
      <c r="B653" s="226">
        <f t="shared" ref="B653:S653" si="388">SUM(B491,B572)</f>
        <v>0</v>
      </c>
      <c r="C653" s="226">
        <f t="shared" si="388"/>
        <v>0</v>
      </c>
      <c r="D653" s="226">
        <f t="shared" si="388"/>
        <v>0</v>
      </c>
      <c r="E653" s="226">
        <f t="shared" si="388"/>
        <v>0</v>
      </c>
      <c r="F653" s="226">
        <f t="shared" si="388"/>
        <v>0</v>
      </c>
      <c r="G653" s="226">
        <f t="shared" si="388"/>
        <v>0</v>
      </c>
      <c r="H653" s="226">
        <f t="shared" si="388"/>
        <v>0</v>
      </c>
      <c r="I653" s="226">
        <f t="shared" si="388"/>
        <v>0</v>
      </c>
      <c r="J653" s="226">
        <f t="shared" si="388"/>
        <v>0</v>
      </c>
      <c r="K653" s="226">
        <f t="shared" si="388"/>
        <v>0</v>
      </c>
      <c r="L653" s="226">
        <f t="shared" si="388"/>
        <v>0</v>
      </c>
      <c r="M653" s="226">
        <f t="shared" si="388"/>
        <v>0</v>
      </c>
      <c r="N653" s="226">
        <f t="shared" si="388"/>
        <v>0</v>
      </c>
      <c r="O653" s="226">
        <f t="shared" si="388"/>
        <v>0</v>
      </c>
      <c r="P653" s="226">
        <f t="shared" si="388"/>
        <v>0</v>
      </c>
      <c r="Q653" s="226">
        <f t="shared" si="388"/>
        <v>0</v>
      </c>
      <c r="R653" s="226">
        <f t="shared" si="388"/>
        <v>0</v>
      </c>
      <c r="S653" s="279">
        <f t="shared" si="388"/>
        <v>0</v>
      </c>
    </row>
    <row r="654" spans="1:19" ht="12.75" customHeight="1" x14ac:dyDescent="0.2">
      <c r="A654" s="198" t="str">
        <f>"         "&amp;Labels!C384</f>
        <v xml:space="preserve">         Total</v>
      </c>
      <c r="B654" s="226">
        <f t="shared" ref="B654:S654" si="389">SUM(B492,B573)</f>
        <v>0</v>
      </c>
      <c r="C654" s="226">
        <f t="shared" si="389"/>
        <v>0</v>
      </c>
      <c r="D654" s="226">
        <f t="shared" si="389"/>
        <v>0</v>
      </c>
      <c r="E654" s="226">
        <f t="shared" si="389"/>
        <v>0</v>
      </c>
      <c r="F654" s="226">
        <f t="shared" si="389"/>
        <v>0</v>
      </c>
      <c r="G654" s="226">
        <f t="shared" si="389"/>
        <v>0</v>
      </c>
      <c r="H654" s="226">
        <f t="shared" si="389"/>
        <v>0</v>
      </c>
      <c r="I654" s="226">
        <f t="shared" si="389"/>
        <v>0</v>
      </c>
      <c r="J654" s="226">
        <f t="shared" si="389"/>
        <v>0</v>
      </c>
      <c r="K654" s="226">
        <f t="shared" si="389"/>
        <v>0</v>
      </c>
      <c r="L654" s="226">
        <f t="shared" si="389"/>
        <v>0</v>
      </c>
      <c r="M654" s="226">
        <f t="shared" si="389"/>
        <v>0</v>
      </c>
      <c r="N654" s="226">
        <f t="shared" si="389"/>
        <v>0</v>
      </c>
      <c r="O654" s="226">
        <f t="shared" si="389"/>
        <v>0</v>
      </c>
      <c r="P654" s="226">
        <f t="shared" si="389"/>
        <v>0</v>
      </c>
      <c r="Q654" s="226">
        <f t="shared" si="389"/>
        <v>0</v>
      </c>
      <c r="R654" s="226">
        <f t="shared" si="389"/>
        <v>0</v>
      </c>
      <c r="S654" s="279">
        <f t="shared" si="389"/>
        <v>0</v>
      </c>
    </row>
    <row r="655" spans="1:19" ht="12.75" customHeight="1" x14ac:dyDescent="0.2">
      <c r="A655" s="198" t="str">
        <f>"            "&amp;Labels!B317</f>
        <v xml:space="preserve">            Channels 1</v>
      </c>
      <c r="B655" s="189">
        <f t="shared" ref="B655:S655" si="390">SUM(B493,B574)</f>
        <v>0</v>
      </c>
      <c r="C655" s="189">
        <f t="shared" si="390"/>
        <v>0</v>
      </c>
      <c r="D655" s="189">
        <f t="shared" si="390"/>
        <v>0</v>
      </c>
      <c r="E655" s="189">
        <f t="shared" si="390"/>
        <v>0</v>
      </c>
      <c r="F655" s="189">
        <f t="shared" si="390"/>
        <v>0</v>
      </c>
      <c r="G655" s="189">
        <f t="shared" si="390"/>
        <v>0</v>
      </c>
      <c r="H655" s="189">
        <f t="shared" si="390"/>
        <v>0</v>
      </c>
      <c r="I655" s="189">
        <f t="shared" si="390"/>
        <v>0</v>
      </c>
      <c r="J655" s="189">
        <f t="shared" si="390"/>
        <v>0</v>
      </c>
      <c r="K655" s="189">
        <f t="shared" si="390"/>
        <v>0</v>
      </c>
      <c r="L655" s="189">
        <f t="shared" si="390"/>
        <v>0</v>
      </c>
      <c r="M655" s="189">
        <f t="shared" si="390"/>
        <v>0</v>
      </c>
      <c r="N655" s="189">
        <f t="shared" si="390"/>
        <v>0</v>
      </c>
      <c r="O655" s="189">
        <f t="shared" si="390"/>
        <v>0</v>
      </c>
      <c r="P655" s="189">
        <f t="shared" si="390"/>
        <v>0</v>
      </c>
      <c r="Q655" s="189">
        <f t="shared" si="390"/>
        <v>0</v>
      </c>
      <c r="R655" s="189">
        <f t="shared" si="390"/>
        <v>0</v>
      </c>
      <c r="S655" s="294">
        <f t="shared" si="390"/>
        <v>0</v>
      </c>
    </row>
    <row r="656" spans="1:19" ht="12.75" customHeight="1" x14ac:dyDescent="0.2">
      <c r="A656" s="198" t="str">
        <f>"            "&amp;Labels!B318</f>
        <v xml:space="preserve">            Channels 2</v>
      </c>
      <c r="B656" s="189">
        <f t="shared" ref="B656:S656" si="391">SUM(B494,B575)</f>
        <v>0</v>
      </c>
      <c r="C656" s="189">
        <f t="shared" si="391"/>
        <v>0</v>
      </c>
      <c r="D656" s="189">
        <f t="shared" si="391"/>
        <v>0</v>
      </c>
      <c r="E656" s="189">
        <f t="shared" si="391"/>
        <v>0</v>
      </c>
      <c r="F656" s="189">
        <f t="shared" si="391"/>
        <v>0</v>
      </c>
      <c r="G656" s="189">
        <f t="shared" si="391"/>
        <v>0</v>
      </c>
      <c r="H656" s="189">
        <f t="shared" si="391"/>
        <v>0</v>
      </c>
      <c r="I656" s="189">
        <f t="shared" si="391"/>
        <v>0</v>
      </c>
      <c r="J656" s="189">
        <f t="shared" si="391"/>
        <v>0</v>
      </c>
      <c r="K656" s="189">
        <f t="shared" si="391"/>
        <v>0</v>
      </c>
      <c r="L656" s="189">
        <f t="shared" si="391"/>
        <v>0</v>
      </c>
      <c r="M656" s="189">
        <f t="shared" si="391"/>
        <v>0</v>
      </c>
      <c r="N656" s="189">
        <f t="shared" si="391"/>
        <v>0</v>
      </c>
      <c r="O656" s="189">
        <f t="shared" si="391"/>
        <v>0</v>
      </c>
      <c r="P656" s="189">
        <f t="shared" si="391"/>
        <v>0</v>
      </c>
      <c r="Q656" s="189">
        <f t="shared" si="391"/>
        <v>0</v>
      </c>
      <c r="R656" s="189">
        <f t="shared" si="391"/>
        <v>0</v>
      </c>
      <c r="S656" s="294">
        <f t="shared" si="391"/>
        <v>0</v>
      </c>
    </row>
    <row r="657" spans="1:20" ht="12.75" customHeight="1" x14ac:dyDescent="0.2">
      <c r="A657" s="198" t="str">
        <f>"            "&amp;Labels!C316</f>
        <v xml:space="preserve">            Total</v>
      </c>
      <c r="B657" s="226">
        <f t="shared" ref="B657:S657" si="392">SUM(B492,B573)</f>
        <v>0</v>
      </c>
      <c r="C657" s="226">
        <f t="shared" si="392"/>
        <v>0</v>
      </c>
      <c r="D657" s="226">
        <f t="shared" si="392"/>
        <v>0</v>
      </c>
      <c r="E657" s="226">
        <f t="shared" si="392"/>
        <v>0</v>
      </c>
      <c r="F657" s="226">
        <f t="shared" si="392"/>
        <v>0</v>
      </c>
      <c r="G657" s="226">
        <f t="shared" si="392"/>
        <v>0</v>
      </c>
      <c r="H657" s="226">
        <f t="shared" si="392"/>
        <v>0</v>
      </c>
      <c r="I657" s="226">
        <f t="shared" si="392"/>
        <v>0</v>
      </c>
      <c r="J657" s="226">
        <f t="shared" si="392"/>
        <v>0</v>
      </c>
      <c r="K657" s="226">
        <f t="shared" si="392"/>
        <v>0</v>
      </c>
      <c r="L657" s="226">
        <f t="shared" si="392"/>
        <v>0</v>
      </c>
      <c r="M657" s="226">
        <f t="shared" si="392"/>
        <v>0</v>
      </c>
      <c r="N657" s="226">
        <f t="shared" si="392"/>
        <v>0</v>
      </c>
      <c r="O657" s="226">
        <f t="shared" si="392"/>
        <v>0</v>
      </c>
      <c r="P657" s="226">
        <f t="shared" si="392"/>
        <v>0</v>
      </c>
      <c r="Q657" s="226">
        <f t="shared" si="392"/>
        <v>0</v>
      </c>
      <c r="R657" s="226">
        <f t="shared" si="392"/>
        <v>0</v>
      </c>
      <c r="S657" s="279">
        <f t="shared" si="392"/>
        <v>0</v>
      </c>
    </row>
    <row r="658" spans="1:20" ht="12.75" customHeight="1" x14ac:dyDescent="0.2">
      <c r="A658" s="188" t="str">
        <f>"      "&amp;Labels!C380</f>
        <v xml:space="preserve">      Total</v>
      </c>
      <c r="B658" s="196">
        <f t="shared" ref="B658:S658" si="393">SUM(B469,B550)</f>
        <v>0</v>
      </c>
      <c r="C658" s="196">
        <f t="shared" si="393"/>
        <v>0</v>
      </c>
      <c r="D658" s="196">
        <f t="shared" si="393"/>
        <v>1353</v>
      </c>
      <c r="E658" s="196">
        <f t="shared" si="393"/>
        <v>1353</v>
      </c>
      <c r="F658" s="196">
        <f t="shared" si="393"/>
        <v>0</v>
      </c>
      <c r="G658" s="196">
        <f t="shared" si="393"/>
        <v>984</v>
      </c>
      <c r="H658" s="196">
        <f t="shared" si="393"/>
        <v>984</v>
      </c>
      <c r="I658" s="196">
        <f t="shared" si="393"/>
        <v>984</v>
      </c>
      <c r="J658" s="196">
        <f t="shared" si="393"/>
        <v>0</v>
      </c>
      <c r="K658" s="196">
        <f t="shared" si="393"/>
        <v>0</v>
      </c>
      <c r="L658" s="196">
        <f t="shared" si="393"/>
        <v>0</v>
      </c>
      <c r="M658" s="196">
        <f t="shared" si="393"/>
        <v>0</v>
      </c>
      <c r="N658" s="196">
        <f t="shared" si="393"/>
        <v>0</v>
      </c>
      <c r="O658" s="196">
        <f t="shared" si="393"/>
        <v>0</v>
      </c>
      <c r="P658" s="196">
        <f t="shared" si="393"/>
        <v>0</v>
      </c>
      <c r="Q658" s="196">
        <f t="shared" si="393"/>
        <v>0</v>
      </c>
      <c r="R658" s="196">
        <f t="shared" si="393"/>
        <v>0</v>
      </c>
      <c r="S658" s="267">
        <f t="shared" si="393"/>
        <v>0</v>
      </c>
    </row>
    <row r="659" spans="1:20" ht="12.75" customHeight="1" x14ac:dyDescent="0.2">
      <c r="A659" s="198" t="str">
        <f>"         "&amp;Labels!B385</f>
        <v xml:space="preserve">         Prof Level 1</v>
      </c>
      <c r="B659" s="226"/>
      <c r="C659" s="226"/>
      <c r="D659" s="226"/>
      <c r="E659" s="226"/>
      <c r="F659" s="226"/>
      <c r="G659" s="226"/>
      <c r="H659" s="226"/>
      <c r="I659" s="226"/>
      <c r="J659" s="226"/>
      <c r="K659" s="226"/>
      <c r="L659" s="226"/>
      <c r="M659" s="226"/>
      <c r="N659" s="226"/>
      <c r="O659" s="226"/>
      <c r="P659" s="226"/>
      <c r="Q659" s="226"/>
      <c r="R659" s="226"/>
      <c r="S659" s="279"/>
    </row>
    <row r="660" spans="1:20" ht="12.75" customHeight="1" x14ac:dyDescent="0.2">
      <c r="A660" s="198" t="str">
        <f>"            "&amp;Labels!B317</f>
        <v xml:space="preserve">            Channels 1</v>
      </c>
      <c r="B660" s="189">
        <f t="shared" ref="B660:S660" si="394">SUM(B498,B579)</f>
        <v>0</v>
      </c>
      <c r="C660" s="189">
        <f t="shared" si="394"/>
        <v>0</v>
      </c>
      <c r="D660" s="189">
        <f t="shared" si="394"/>
        <v>346.5</v>
      </c>
      <c r="E660" s="189">
        <f t="shared" si="394"/>
        <v>346.5</v>
      </c>
      <c r="F660" s="189">
        <f t="shared" si="394"/>
        <v>0</v>
      </c>
      <c r="G660" s="189">
        <f t="shared" si="394"/>
        <v>252</v>
      </c>
      <c r="H660" s="189">
        <f t="shared" si="394"/>
        <v>252</v>
      </c>
      <c r="I660" s="189">
        <f t="shared" si="394"/>
        <v>252</v>
      </c>
      <c r="J660" s="189">
        <f t="shared" si="394"/>
        <v>0</v>
      </c>
      <c r="K660" s="189">
        <f t="shared" si="394"/>
        <v>0</v>
      </c>
      <c r="L660" s="189">
        <f t="shared" si="394"/>
        <v>0</v>
      </c>
      <c r="M660" s="189">
        <f t="shared" si="394"/>
        <v>0</v>
      </c>
      <c r="N660" s="189">
        <f t="shared" si="394"/>
        <v>0</v>
      </c>
      <c r="O660" s="189">
        <f t="shared" si="394"/>
        <v>0</v>
      </c>
      <c r="P660" s="189">
        <f t="shared" si="394"/>
        <v>0</v>
      </c>
      <c r="Q660" s="189">
        <f t="shared" si="394"/>
        <v>0</v>
      </c>
      <c r="R660" s="189">
        <f t="shared" si="394"/>
        <v>0</v>
      </c>
      <c r="S660" s="294">
        <f t="shared" si="394"/>
        <v>0</v>
      </c>
    </row>
    <row r="661" spans="1:20" ht="12.75" customHeight="1" x14ac:dyDescent="0.2">
      <c r="A661" s="198" t="str">
        <f>"            "&amp;Labels!B318</f>
        <v xml:space="preserve">            Channels 2</v>
      </c>
      <c r="B661" s="189">
        <f t="shared" ref="B661:S661" si="395">SUM(B499,B580)</f>
        <v>0</v>
      </c>
      <c r="C661" s="189">
        <f t="shared" si="395"/>
        <v>0</v>
      </c>
      <c r="D661" s="189">
        <f t="shared" si="395"/>
        <v>330</v>
      </c>
      <c r="E661" s="189">
        <f t="shared" si="395"/>
        <v>330</v>
      </c>
      <c r="F661" s="189">
        <f t="shared" si="395"/>
        <v>0</v>
      </c>
      <c r="G661" s="189">
        <f t="shared" si="395"/>
        <v>240</v>
      </c>
      <c r="H661" s="189">
        <f t="shared" si="395"/>
        <v>240</v>
      </c>
      <c r="I661" s="189">
        <f t="shared" si="395"/>
        <v>240</v>
      </c>
      <c r="J661" s="189">
        <f t="shared" si="395"/>
        <v>0</v>
      </c>
      <c r="K661" s="189">
        <f t="shared" si="395"/>
        <v>0</v>
      </c>
      <c r="L661" s="189">
        <f t="shared" si="395"/>
        <v>0</v>
      </c>
      <c r="M661" s="189">
        <f t="shared" si="395"/>
        <v>0</v>
      </c>
      <c r="N661" s="189">
        <f t="shared" si="395"/>
        <v>0</v>
      </c>
      <c r="O661" s="189">
        <f t="shared" si="395"/>
        <v>0</v>
      </c>
      <c r="P661" s="189">
        <f t="shared" si="395"/>
        <v>0</v>
      </c>
      <c r="Q661" s="189">
        <f t="shared" si="395"/>
        <v>0</v>
      </c>
      <c r="R661" s="189">
        <f t="shared" si="395"/>
        <v>0</v>
      </c>
      <c r="S661" s="294">
        <f t="shared" si="395"/>
        <v>0</v>
      </c>
    </row>
    <row r="662" spans="1:20" ht="12.75" customHeight="1" x14ac:dyDescent="0.2">
      <c r="A662" s="198" t="str">
        <f>"            "&amp;Labels!C316</f>
        <v xml:space="preserve">            Total</v>
      </c>
      <c r="B662" s="226">
        <f t="shared" ref="B662:S662" si="396">SUM(B500,B581)</f>
        <v>0</v>
      </c>
      <c r="C662" s="226">
        <f t="shared" si="396"/>
        <v>0</v>
      </c>
      <c r="D662" s="226">
        <f t="shared" si="396"/>
        <v>676.5</v>
      </c>
      <c r="E662" s="226">
        <f t="shared" si="396"/>
        <v>676.5</v>
      </c>
      <c r="F662" s="226">
        <f t="shared" si="396"/>
        <v>0</v>
      </c>
      <c r="G662" s="226">
        <f t="shared" si="396"/>
        <v>492</v>
      </c>
      <c r="H662" s="226">
        <f t="shared" si="396"/>
        <v>492</v>
      </c>
      <c r="I662" s="226">
        <f t="shared" si="396"/>
        <v>492</v>
      </c>
      <c r="J662" s="226">
        <f t="shared" si="396"/>
        <v>0</v>
      </c>
      <c r="K662" s="226">
        <f t="shared" si="396"/>
        <v>0</v>
      </c>
      <c r="L662" s="226">
        <f t="shared" si="396"/>
        <v>0</v>
      </c>
      <c r="M662" s="226">
        <f t="shared" si="396"/>
        <v>0</v>
      </c>
      <c r="N662" s="226">
        <f t="shared" si="396"/>
        <v>0</v>
      </c>
      <c r="O662" s="226">
        <f t="shared" si="396"/>
        <v>0</v>
      </c>
      <c r="P662" s="226">
        <f t="shared" si="396"/>
        <v>0</v>
      </c>
      <c r="Q662" s="226">
        <f t="shared" si="396"/>
        <v>0</v>
      </c>
      <c r="R662" s="226">
        <f t="shared" si="396"/>
        <v>0</v>
      </c>
      <c r="S662" s="279">
        <f t="shared" si="396"/>
        <v>0</v>
      </c>
    </row>
    <row r="663" spans="1:20" ht="12.75" customHeight="1" x14ac:dyDescent="0.2">
      <c r="A663" s="198" t="str">
        <f>"         "&amp;Labels!B386</f>
        <v xml:space="preserve">         Prof Level 2</v>
      </c>
      <c r="B663" s="226"/>
      <c r="C663" s="226"/>
      <c r="D663" s="226"/>
      <c r="E663" s="226"/>
      <c r="F663" s="226"/>
      <c r="G663" s="226"/>
      <c r="H663" s="226"/>
      <c r="I663" s="226"/>
      <c r="J663" s="226"/>
      <c r="K663" s="226"/>
      <c r="L663" s="226"/>
      <c r="M663" s="226"/>
      <c r="N663" s="226"/>
      <c r="O663" s="226"/>
      <c r="P663" s="226"/>
      <c r="Q663" s="226"/>
      <c r="R663" s="226"/>
      <c r="S663" s="279"/>
    </row>
    <row r="664" spans="1:20" ht="12.75" customHeight="1" x14ac:dyDescent="0.2">
      <c r="A664" s="198" t="str">
        <f>"            "&amp;Labels!B317</f>
        <v xml:space="preserve">            Channels 1</v>
      </c>
      <c r="B664" s="189">
        <f t="shared" ref="B664:S664" si="397">SUM(B502,B583)</f>
        <v>0</v>
      </c>
      <c r="C664" s="189">
        <f t="shared" si="397"/>
        <v>0</v>
      </c>
      <c r="D664" s="189">
        <f t="shared" si="397"/>
        <v>346.5</v>
      </c>
      <c r="E664" s="189">
        <f t="shared" si="397"/>
        <v>346.5</v>
      </c>
      <c r="F664" s="189">
        <f t="shared" si="397"/>
        <v>0</v>
      </c>
      <c r="G664" s="189">
        <f t="shared" si="397"/>
        <v>252</v>
      </c>
      <c r="H664" s="189">
        <f t="shared" si="397"/>
        <v>252</v>
      </c>
      <c r="I664" s="189">
        <f t="shared" si="397"/>
        <v>252</v>
      </c>
      <c r="J664" s="189">
        <f t="shared" si="397"/>
        <v>0</v>
      </c>
      <c r="K664" s="189">
        <f t="shared" si="397"/>
        <v>0</v>
      </c>
      <c r="L664" s="189">
        <f t="shared" si="397"/>
        <v>0</v>
      </c>
      <c r="M664" s="189">
        <f t="shared" si="397"/>
        <v>0</v>
      </c>
      <c r="N664" s="189">
        <f t="shared" si="397"/>
        <v>0</v>
      </c>
      <c r="O664" s="189">
        <f t="shared" si="397"/>
        <v>0</v>
      </c>
      <c r="P664" s="189">
        <f t="shared" si="397"/>
        <v>0</v>
      </c>
      <c r="Q664" s="189">
        <f t="shared" si="397"/>
        <v>0</v>
      </c>
      <c r="R664" s="189">
        <f t="shared" si="397"/>
        <v>0</v>
      </c>
      <c r="S664" s="294">
        <f t="shared" si="397"/>
        <v>0</v>
      </c>
    </row>
    <row r="665" spans="1:20" ht="12.75" customHeight="1" x14ac:dyDescent="0.2">
      <c r="A665" s="198" t="str">
        <f>"            "&amp;Labels!B318</f>
        <v xml:space="preserve">            Channels 2</v>
      </c>
      <c r="B665" s="189">
        <f t="shared" ref="B665:S665" si="398">SUM(B503,B584)</f>
        <v>0</v>
      </c>
      <c r="C665" s="189">
        <f t="shared" si="398"/>
        <v>0</v>
      </c>
      <c r="D665" s="189">
        <f t="shared" si="398"/>
        <v>330</v>
      </c>
      <c r="E665" s="189">
        <f t="shared" si="398"/>
        <v>330</v>
      </c>
      <c r="F665" s="189">
        <f t="shared" si="398"/>
        <v>0</v>
      </c>
      <c r="G665" s="189">
        <f t="shared" si="398"/>
        <v>240</v>
      </c>
      <c r="H665" s="189">
        <f t="shared" si="398"/>
        <v>240</v>
      </c>
      <c r="I665" s="189">
        <f t="shared" si="398"/>
        <v>240</v>
      </c>
      <c r="J665" s="189">
        <f t="shared" si="398"/>
        <v>0</v>
      </c>
      <c r="K665" s="189">
        <f t="shared" si="398"/>
        <v>0</v>
      </c>
      <c r="L665" s="189">
        <f t="shared" si="398"/>
        <v>0</v>
      </c>
      <c r="M665" s="189">
        <f t="shared" si="398"/>
        <v>0</v>
      </c>
      <c r="N665" s="189">
        <f t="shared" si="398"/>
        <v>0</v>
      </c>
      <c r="O665" s="189">
        <f t="shared" si="398"/>
        <v>0</v>
      </c>
      <c r="P665" s="189">
        <f t="shared" si="398"/>
        <v>0</v>
      </c>
      <c r="Q665" s="189">
        <f t="shared" si="398"/>
        <v>0</v>
      </c>
      <c r="R665" s="189">
        <f t="shared" si="398"/>
        <v>0</v>
      </c>
      <c r="S665" s="294">
        <f t="shared" si="398"/>
        <v>0</v>
      </c>
    </row>
    <row r="666" spans="1:20" ht="12.75" customHeight="1" x14ac:dyDescent="0.2">
      <c r="A666" s="198" t="str">
        <f>"            "&amp;Labels!C316</f>
        <v xml:space="preserve">            Total</v>
      </c>
      <c r="B666" s="226">
        <f t="shared" ref="B666:S666" si="399">SUM(B504,B585)</f>
        <v>0</v>
      </c>
      <c r="C666" s="226">
        <f t="shared" si="399"/>
        <v>0</v>
      </c>
      <c r="D666" s="226">
        <f t="shared" si="399"/>
        <v>676.5</v>
      </c>
      <c r="E666" s="226">
        <f t="shared" si="399"/>
        <v>676.5</v>
      </c>
      <c r="F666" s="226">
        <f t="shared" si="399"/>
        <v>0</v>
      </c>
      <c r="G666" s="226">
        <f t="shared" si="399"/>
        <v>492</v>
      </c>
      <c r="H666" s="226">
        <f t="shared" si="399"/>
        <v>492</v>
      </c>
      <c r="I666" s="226">
        <f t="shared" si="399"/>
        <v>492</v>
      </c>
      <c r="J666" s="226">
        <f t="shared" si="399"/>
        <v>0</v>
      </c>
      <c r="K666" s="226">
        <f t="shared" si="399"/>
        <v>0</v>
      </c>
      <c r="L666" s="226">
        <f t="shared" si="399"/>
        <v>0</v>
      </c>
      <c r="M666" s="226">
        <f t="shared" si="399"/>
        <v>0</v>
      </c>
      <c r="N666" s="226">
        <f t="shared" si="399"/>
        <v>0</v>
      </c>
      <c r="O666" s="226">
        <f t="shared" si="399"/>
        <v>0</v>
      </c>
      <c r="P666" s="226">
        <f t="shared" si="399"/>
        <v>0</v>
      </c>
      <c r="Q666" s="226">
        <f t="shared" si="399"/>
        <v>0</v>
      </c>
      <c r="R666" s="226">
        <f t="shared" si="399"/>
        <v>0</v>
      </c>
      <c r="S666" s="279">
        <f t="shared" si="399"/>
        <v>0</v>
      </c>
    </row>
    <row r="667" spans="1:20" ht="12.75" customHeight="1" x14ac:dyDescent="0.2">
      <c r="A667" s="198" t="str">
        <f>"         "&amp;Labels!C384</f>
        <v xml:space="preserve">         Total</v>
      </c>
      <c r="B667" s="226">
        <f t="shared" ref="B667:S667" si="400">SUM(B469,B550)</f>
        <v>0</v>
      </c>
      <c r="C667" s="226">
        <f t="shared" si="400"/>
        <v>0</v>
      </c>
      <c r="D667" s="226">
        <f t="shared" si="400"/>
        <v>1353</v>
      </c>
      <c r="E667" s="226">
        <f t="shared" si="400"/>
        <v>1353</v>
      </c>
      <c r="F667" s="226">
        <f t="shared" si="400"/>
        <v>0</v>
      </c>
      <c r="G667" s="226">
        <f t="shared" si="400"/>
        <v>984</v>
      </c>
      <c r="H667" s="226">
        <f t="shared" si="400"/>
        <v>984</v>
      </c>
      <c r="I667" s="226">
        <f t="shared" si="400"/>
        <v>984</v>
      </c>
      <c r="J667" s="226">
        <f t="shared" si="400"/>
        <v>0</v>
      </c>
      <c r="K667" s="226">
        <f t="shared" si="400"/>
        <v>0</v>
      </c>
      <c r="L667" s="226">
        <f t="shared" si="400"/>
        <v>0</v>
      </c>
      <c r="M667" s="226">
        <f t="shared" si="400"/>
        <v>0</v>
      </c>
      <c r="N667" s="226">
        <f t="shared" si="400"/>
        <v>0</v>
      </c>
      <c r="O667" s="226">
        <f t="shared" si="400"/>
        <v>0</v>
      </c>
      <c r="P667" s="226">
        <f t="shared" si="400"/>
        <v>0</v>
      </c>
      <c r="Q667" s="226">
        <f t="shared" si="400"/>
        <v>0</v>
      </c>
      <c r="R667" s="226">
        <f t="shared" si="400"/>
        <v>0</v>
      </c>
      <c r="S667" s="279">
        <f t="shared" si="400"/>
        <v>0</v>
      </c>
    </row>
    <row r="668" spans="1:20" ht="12.75" customHeight="1" x14ac:dyDescent="0.2">
      <c r="A668" s="198" t="str">
        <f>"            "&amp;Labels!B317</f>
        <v xml:space="preserve">            Channels 1</v>
      </c>
      <c r="B668" s="189">
        <f t="shared" ref="B668:S668" si="401">SUM(B506,B587)</f>
        <v>0</v>
      </c>
      <c r="C668" s="189">
        <f t="shared" si="401"/>
        <v>0</v>
      </c>
      <c r="D668" s="189">
        <f t="shared" si="401"/>
        <v>693</v>
      </c>
      <c r="E668" s="189">
        <f t="shared" si="401"/>
        <v>693</v>
      </c>
      <c r="F668" s="189">
        <f t="shared" si="401"/>
        <v>0</v>
      </c>
      <c r="G668" s="189">
        <f t="shared" si="401"/>
        <v>504</v>
      </c>
      <c r="H668" s="189">
        <f t="shared" si="401"/>
        <v>504</v>
      </c>
      <c r="I668" s="189">
        <f t="shared" si="401"/>
        <v>504</v>
      </c>
      <c r="J668" s="189">
        <f t="shared" si="401"/>
        <v>0</v>
      </c>
      <c r="K668" s="189">
        <f t="shared" si="401"/>
        <v>0</v>
      </c>
      <c r="L668" s="189">
        <f t="shared" si="401"/>
        <v>0</v>
      </c>
      <c r="M668" s="189">
        <f t="shared" si="401"/>
        <v>0</v>
      </c>
      <c r="N668" s="189">
        <f t="shared" si="401"/>
        <v>0</v>
      </c>
      <c r="O668" s="189">
        <f t="shared" si="401"/>
        <v>0</v>
      </c>
      <c r="P668" s="189">
        <f t="shared" si="401"/>
        <v>0</v>
      </c>
      <c r="Q668" s="189">
        <f t="shared" si="401"/>
        <v>0</v>
      </c>
      <c r="R668" s="189">
        <f t="shared" si="401"/>
        <v>0</v>
      </c>
      <c r="S668" s="294">
        <f t="shared" si="401"/>
        <v>0</v>
      </c>
    </row>
    <row r="669" spans="1:20" ht="12.75" customHeight="1" x14ac:dyDescent="0.2">
      <c r="A669" s="198" t="str">
        <f>"            "&amp;Labels!B318</f>
        <v xml:space="preserve">            Channels 2</v>
      </c>
      <c r="B669" s="189">
        <f t="shared" ref="B669:S669" si="402">SUM(B507,B588)</f>
        <v>0</v>
      </c>
      <c r="C669" s="189">
        <f t="shared" si="402"/>
        <v>0</v>
      </c>
      <c r="D669" s="189">
        <f t="shared" si="402"/>
        <v>660</v>
      </c>
      <c r="E669" s="189">
        <f t="shared" si="402"/>
        <v>660</v>
      </c>
      <c r="F669" s="189">
        <f t="shared" si="402"/>
        <v>0</v>
      </c>
      <c r="G669" s="189">
        <f t="shared" si="402"/>
        <v>480</v>
      </c>
      <c r="H669" s="189">
        <f t="shared" si="402"/>
        <v>480</v>
      </c>
      <c r="I669" s="189">
        <f t="shared" si="402"/>
        <v>480</v>
      </c>
      <c r="J669" s="189">
        <f t="shared" si="402"/>
        <v>0</v>
      </c>
      <c r="K669" s="189">
        <f t="shared" si="402"/>
        <v>0</v>
      </c>
      <c r="L669" s="189">
        <f t="shared" si="402"/>
        <v>0</v>
      </c>
      <c r="M669" s="189">
        <f t="shared" si="402"/>
        <v>0</v>
      </c>
      <c r="N669" s="189">
        <f t="shared" si="402"/>
        <v>0</v>
      </c>
      <c r="O669" s="189">
        <f t="shared" si="402"/>
        <v>0</v>
      </c>
      <c r="P669" s="189">
        <f t="shared" si="402"/>
        <v>0</v>
      </c>
      <c r="Q669" s="189">
        <f t="shared" si="402"/>
        <v>0</v>
      </c>
      <c r="R669" s="189">
        <f t="shared" si="402"/>
        <v>0</v>
      </c>
      <c r="S669" s="294">
        <f t="shared" si="402"/>
        <v>0</v>
      </c>
    </row>
    <row r="670" spans="1:20" ht="12.75" customHeight="1" x14ac:dyDescent="0.2">
      <c r="A670" s="230" t="str">
        <f>"            "&amp;Labels!C316</f>
        <v xml:space="preserve">            Total</v>
      </c>
      <c r="B670" s="231">
        <f t="shared" ref="B670:S670" si="403">SUM(B469,B550)</f>
        <v>0</v>
      </c>
      <c r="C670" s="231">
        <f t="shared" si="403"/>
        <v>0</v>
      </c>
      <c r="D670" s="231">
        <f t="shared" si="403"/>
        <v>1353</v>
      </c>
      <c r="E670" s="231">
        <f t="shared" si="403"/>
        <v>1353</v>
      </c>
      <c r="F670" s="231">
        <f t="shared" si="403"/>
        <v>0</v>
      </c>
      <c r="G670" s="231">
        <f t="shared" si="403"/>
        <v>984</v>
      </c>
      <c r="H670" s="231">
        <f t="shared" si="403"/>
        <v>984</v>
      </c>
      <c r="I670" s="231">
        <f t="shared" si="403"/>
        <v>984</v>
      </c>
      <c r="J670" s="231">
        <f t="shared" si="403"/>
        <v>0</v>
      </c>
      <c r="K670" s="231">
        <f t="shared" si="403"/>
        <v>0</v>
      </c>
      <c r="L670" s="231">
        <f t="shared" si="403"/>
        <v>0</v>
      </c>
      <c r="M670" s="231">
        <f t="shared" si="403"/>
        <v>0</v>
      </c>
      <c r="N670" s="231">
        <f t="shared" si="403"/>
        <v>0</v>
      </c>
      <c r="O670" s="231">
        <f t="shared" si="403"/>
        <v>0</v>
      </c>
      <c r="P670" s="231">
        <f t="shared" si="403"/>
        <v>0</v>
      </c>
      <c r="Q670" s="231">
        <f t="shared" si="403"/>
        <v>0</v>
      </c>
      <c r="R670" s="231">
        <f t="shared" si="403"/>
        <v>0</v>
      </c>
      <c r="S670" s="359">
        <f t="shared" si="403"/>
        <v>0</v>
      </c>
    </row>
    <row r="671" spans="1:20" ht="12.75" customHeight="1" x14ac:dyDescent="0.2">
      <c r="A671" s="1" t="str">
        <f>"Accts_Receivable_1"</f>
        <v>Accts_Receivable_1</v>
      </c>
    </row>
    <row r="672" spans="1:20" ht="12.75" customHeight="1" x14ac:dyDescent="0.2">
      <c r="B672" s="9" t="str">
        <f>'(FnCalls 1)'!F40</f>
        <v>MMM 2009</v>
      </c>
      <c r="C672" s="10" t="str">
        <f>'(FnCalls 1)'!F41</f>
        <v>MMM 2010</v>
      </c>
      <c r="D672" s="10" t="str">
        <f>'(FnCalls 1)'!F42</f>
        <v>MMM 2010</v>
      </c>
      <c r="E672" s="10" t="str">
        <f>'(FnCalls 1)'!F43</f>
        <v>MMM 2010</v>
      </c>
      <c r="F672" s="10" t="str">
        <f>'(FnCalls 1)'!F44</f>
        <v>MMM 2010</v>
      </c>
      <c r="G672" s="10" t="str">
        <f>'(FnCalls 1)'!F45</f>
        <v>MMM 2010</v>
      </c>
      <c r="H672" s="10" t="str">
        <f>'(FnCalls 1)'!F46</f>
        <v>MMM 2010</v>
      </c>
      <c r="I672" s="10" t="str">
        <f>'(FnCalls 1)'!F47</f>
        <v>MMM 2010</v>
      </c>
      <c r="J672" s="10" t="str">
        <f>'(FnCalls 1)'!F48</f>
        <v>MMM 2010</v>
      </c>
      <c r="K672" s="10" t="str">
        <f>'(FnCalls 1)'!F49</f>
        <v>MMM 2010</v>
      </c>
      <c r="L672" s="10" t="str">
        <f>'(FnCalls 1)'!F50</f>
        <v>MMM 2010</v>
      </c>
      <c r="M672" s="10" t="str">
        <f>'(FnCalls 1)'!F51</f>
        <v>MMM 2010</v>
      </c>
      <c r="N672" s="10" t="str">
        <f>'(FnCalls 1)'!F52</f>
        <v>MMM 2010</v>
      </c>
      <c r="O672" s="10" t="str">
        <f>'(FnCalls 1)'!F53</f>
        <v>MMM 2011</v>
      </c>
      <c r="P672" s="10" t="str">
        <f>'(FnCalls 1)'!F54</f>
        <v>MMM 2011</v>
      </c>
      <c r="Q672" s="10" t="str">
        <f>'(FnCalls 1)'!F55</f>
        <v>MMM 2011</v>
      </c>
      <c r="R672" s="10" t="str">
        <f>'(FnCalls 1)'!F56</f>
        <v>MMM 2011</v>
      </c>
      <c r="S672" s="10" t="str">
        <f>'(FnCalls 1)'!F57</f>
        <v>MMM 2011</v>
      </c>
      <c r="T672" s="11" t="str">
        <f>'(FnCalls 1)'!F58</f>
        <v>MMM 2011</v>
      </c>
    </row>
    <row r="673" spans="1:20" ht="12.75" customHeight="1" x14ac:dyDescent="0.2">
      <c r="A673" s="182" t="str">
        <f>Labels!B381</f>
        <v>Practice 1</v>
      </c>
      <c r="B673" s="183"/>
      <c r="C673" s="183"/>
      <c r="D673" s="183"/>
      <c r="E673" s="183"/>
      <c r="F673" s="183"/>
      <c r="G673" s="183"/>
      <c r="H673" s="183"/>
      <c r="I673" s="183"/>
      <c r="J673" s="183"/>
      <c r="K673" s="183"/>
      <c r="L673" s="183"/>
      <c r="M673" s="183"/>
      <c r="N673" s="183"/>
      <c r="O673" s="183"/>
      <c r="P673" s="183"/>
      <c r="Q673" s="183"/>
      <c r="R673" s="183"/>
      <c r="S673" s="183"/>
      <c r="T673" s="266"/>
    </row>
    <row r="674" spans="1:20" ht="12.75" customHeight="1" x14ac:dyDescent="0.2">
      <c r="A674" s="188" t="str">
        <f>"   "&amp;Labels!B385</f>
        <v xml:space="preserve">   Prof Level 1</v>
      </c>
      <c r="B674" s="196"/>
      <c r="C674" s="196"/>
      <c r="D674" s="196"/>
      <c r="E674" s="196"/>
      <c r="F674" s="196"/>
      <c r="G674" s="196"/>
      <c r="H674" s="196"/>
      <c r="I674" s="196"/>
      <c r="J674" s="196"/>
      <c r="K674" s="196"/>
      <c r="L674" s="196"/>
      <c r="M674" s="196"/>
      <c r="N674" s="196"/>
      <c r="O674" s="196"/>
      <c r="P674" s="196"/>
      <c r="Q674" s="196"/>
      <c r="R674" s="196"/>
      <c r="S674" s="196"/>
      <c r="T674" s="267"/>
    </row>
    <row r="675" spans="1:20" ht="12.75" customHeight="1" x14ac:dyDescent="0.2">
      <c r="A675" s="198" t="str">
        <f>"      "&amp;Labels!B317</f>
        <v xml:space="preserve">      Channels 1</v>
      </c>
      <c r="B675" s="226"/>
      <c r="C675" s="226">
        <f>Inputs!F366*1/('(FnCalls 1)'!A42-'(FnCalls 1)'!A41)*Sales!B109</f>
        <v>0</v>
      </c>
      <c r="D675" s="226">
        <f>Inputs!G366*1/('(FnCalls 1)'!A43-'(FnCalls 1)'!A42)*Sales!C109</f>
        <v>0</v>
      </c>
      <c r="E675" s="226">
        <f>Inputs!H366*1/('(FnCalls 1)'!A44-'(FnCalls 1)'!A43)*Sales!D109</f>
        <v>55887.096774193553</v>
      </c>
      <c r="F675" s="226">
        <f>Inputs!I366*1/('(FnCalls 1)'!A45-'(FnCalls 1)'!A44)*Sales!F109</f>
        <v>57750</v>
      </c>
      <c r="G675" s="226">
        <f>Inputs!J366*1/('(FnCalls 1)'!A46-'(FnCalls 1)'!A45)*Sales!G109</f>
        <v>0</v>
      </c>
      <c r="H675" s="226">
        <f>Inputs!K366*1/('(FnCalls 1)'!A47-'(FnCalls 1)'!A46)*Sales!H109</f>
        <v>42000</v>
      </c>
      <c r="I675" s="226">
        <f>Inputs!L366*1/('(FnCalls 1)'!A48-'(FnCalls 1)'!A47)*Sales!J109</f>
        <v>40645.161290322583</v>
      </c>
      <c r="J675" s="226">
        <f>Inputs!M366*1/('(FnCalls 1)'!A49-'(FnCalls 1)'!A48)*Sales!K109</f>
        <v>40645.161290322583</v>
      </c>
      <c r="K675" s="226">
        <f>Inputs!N366*1/('(FnCalls 1)'!A50-'(FnCalls 1)'!A49)*Sales!L109</f>
        <v>0</v>
      </c>
      <c r="L675" s="226">
        <f>Inputs!O366*1/('(FnCalls 1)'!A51-'(FnCalls 1)'!A50)*Sales!N109</f>
        <v>0</v>
      </c>
      <c r="M675" s="226">
        <f>Inputs!P366*1/('(FnCalls 1)'!A52-'(FnCalls 1)'!A51)*Sales!O109</f>
        <v>0</v>
      </c>
      <c r="N675" s="226">
        <f>Inputs!Q366*1/('(FnCalls 1)'!A53-'(FnCalls 1)'!A52)*Sales!P109</f>
        <v>0</v>
      </c>
      <c r="O675" s="226">
        <f>Inputs!R366*1/('(FnCalls 1)'!A54-'(FnCalls 1)'!A53)*Sales!R109</f>
        <v>0</v>
      </c>
      <c r="P675" s="226">
        <f>Inputs!S366*1/('(FnCalls 1)'!A55-'(FnCalls 1)'!A54)*Sales!S109</f>
        <v>0</v>
      </c>
      <c r="Q675" s="226">
        <f>Inputs!T366*1/('(FnCalls 1)'!A56-'(FnCalls 1)'!A55)*Sales!T109</f>
        <v>0</v>
      </c>
      <c r="R675" s="226">
        <f>Inputs!U366*1/('(FnCalls 1)'!A57-'(FnCalls 1)'!A56)*Sales!V109</f>
        <v>0</v>
      </c>
      <c r="S675" s="226">
        <f>Inputs!V366*1/('(FnCalls 1)'!A58-'(FnCalls 1)'!A57)*Sales!W109</f>
        <v>0</v>
      </c>
      <c r="T675" s="279">
        <f>Inputs!W366*1/('(FnCalls 1)'!A59-'(FnCalls 1)'!A58)*Sales!X109</f>
        <v>0</v>
      </c>
    </row>
    <row r="676" spans="1:20" ht="12.75" customHeight="1" x14ac:dyDescent="0.2">
      <c r="A676" s="198" t="str">
        <f>"      "&amp;Labels!B318</f>
        <v xml:space="preserve">      Channels 2</v>
      </c>
      <c r="B676" s="226"/>
      <c r="C676" s="226">
        <f>Inputs!F366*1/('(FnCalls 1)'!A42-'(FnCalls 1)'!A41)*Sales!B110</f>
        <v>0</v>
      </c>
      <c r="D676" s="226">
        <f>Inputs!G366*1/('(FnCalls 1)'!A43-'(FnCalls 1)'!A42)*Sales!C110</f>
        <v>0</v>
      </c>
      <c r="E676" s="226">
        <f>Inputs!H366*1/('(FnCalls 1)'!A44-'(FnCalls 1)'!A43)*Sales!D110</f>
        <v>53225.806451612902</v>
      </c>
      <c r="F676" s="226">
        <f>Inputs!I366*1/('(FnCalls 1)'!A45-'(FnCalls 1)'!A44)*Sales!F110</f>
        <v>55000</v>
      </c>
      <c r="G676" s="226">
        <f>Inputs!J366*1/('(FnCalls 1)'!A46-'(FnCalls 1)'!A45)*Sales!G110</f>
        <v>0</v>
      </c>
      <c r="H676" s="226">
        <f>Inputs!K366*1/('(FnCalls 1)'!A47-'(FnCalls 1)'!A46)*Sales!H110</f>
        <v>40000</v>
      </c>
      <c r="I676" s="226">
        <f>Inputs!L366*1/('(FnCalls 1)'!A48-'(FnCalls 1)'!A47)*Sales!J110</f>
        <v>38709.677419354841</v>
      </c>
      <c r="J676" s="226">
        <f>Inputs!M366*1/('(FnCalls 1)'!A49-'(FnCalls 1)'!A48)*Sales!K110</f>
        <v>38709.677419354841</v>
      </c>
      <c r="K676" s="226">
        <f>Inputs!N366*1/('(FnCalls 1)'!A50-'(FnCalls 1)'!A49)*Sales!L110</f>
        <v>0</v>
      </c>
      <c r="L676" s="226">
        <f>Inputs!O366*1/('(FnCalls 1)'!A51-'(FnCalls 1)'!A50)*Sales!N110</f>
        <v>0</v>
      </c>
      <c r="M676" s="226">
        <f>Inputs!P366*1/('(FnCalls 1)'!A52-'(FnCalls 1)'!A51)*Sales!O110</f>
        <v>0</v>
      </c>
      <c r="N676" s="226">
        <f>Inputs!Q366*1/('(FnCalls 1)'!A53-'(FnCalls 1)'!A52)*Sales!P110</f>
        <v>0</v>
      </c>
      <c r="O676" s="226">
        <f>Inputs!R366*1/('(FnCalls 1)'!A54-'(FnCalls 1)'!A53)*Sales!R110</f>
        <v>0</v>
      </c>
      <c r="P676" s="226">
        <f>Inputs!S366*1/('(FnCalls 1)'!A55-'(FnCalls 1)'!A54)*Sales!S110</f>
        <v>0</v>
      </c>
      <c r="Q676" s="226">
        <f>Inputs!T366*1/('(FnCalls 1)'!A56-'(FnCalls 1)'!A55)*Sales!T110</f>
        <v>0</v>
      </c>
      <c r="R676" s="226">
        <f>Inputs!U366*1/('(FnCalls 1)'!A57-'(FnCalls 1)'!A56)*Sales!V110</f>
        <v>0</v>
      </c>
      <c r="S676" s="226">
        <f>Inputs!V366*1/('(FnCalls 1)'!A58-'(FnCalls 1)'!A57)*Sales!W110</f>
        <v>0</v>
      </c>
      <c r="T676" s="279">
        <f>Inputs!W366*1/('(FnCalls 1)'!A59-'(FnCalls 1)'!A58)*Sales!X110</f>
        <v>0</v>
      </c>
    </row>
    <row r="677" spans="1:20" ht="12.75" customHeight="1" x14ac:dyDescent="0.2">
      <c r="A677" s="188" t="str">
        <f>"      "&amp;Labels!C316</f>
        <v xml:space="preserve">      Total</v>
      </c>
      <c r="B677" s="196">
        <f t="shared" ref="B677:T677" si="404">SUM(B675:B676)</f>
        <v>0</v>
      </c>
      <c r="C677" s="196">
        <f t="shared" si="404"/>
        <v>0</v>
      </c>
      <c r="D677" s="196">
        <f t="shared" si="404"/>
        <v>0</v>
      </c>
      <c r="E677" s="196">
        <f t="shared" si="404"/>
        <v>109112.90322580645</v>
      </c>
      <c r="F677" s="196">
        <f t="shared" si="404"/>
        <v>112750</v>
      </c>
      <c r="G677" s="196">
        <f t="shared" si="404"/>
        <v>0</v>
      </c>
      <c r="H677" s="196">
        <f t="shared" si="404"/>
        <v>82000</v>
      </c>
      <c r="I677" s="196">
        <f t="shared" si="404"/>
        <v>79354.838709677424</v>
      </c>
      <c r="J677" s="196">
        <f t="shared" si="404"/>
        <v>79354.838709677424</v>
      </c>
      <c r="K677" s="196">
        <f t="shared" si="404"/>
        <v>0</v>
      </c>
      <c r="L677" s="196">
        <f t="shared" si="404"/>
        <v>0</v>
      </c>
      <c r="M677" s="196">
        <f t="shared" si="404"/>
        <v>0</v>
      </c>
      <c r="N677" s="196">
        <f t="shared" si="404"/>
        <v>0</v>
      </c>
      <c r="O677" s="196">
        <f t="shared" si="404"/>
        <v>0</v>
      </c>
      <c r="P677" s="196">
        <f t="shared" si="404"/>
        <v>0</v>
      </c>
      <c r="Q677" s="196">
        <f t="shared" si="404"/>
        <v>0</v>
      </c>
      <c r="R677" s="196">
        <f t="shared" si="404"/>
        <v>0</v>
      </c>
      <c r="S677" s="196">
        <f t="shared" si="404"/>
        <v>0</v>
      </c>
      <c r="T677" s="267">
        <f t="shared" si="404"/>
        <v>0</v>
      </c>
    </row>
    <row r="678" spans="1:20" ht="12.75" customHeight="1" x14ac:dyDescent="0.2">
      <c r="A678" s="188" t="str">
        <f>"   "&amp;Labels!B386</f>
        <v xml:space="preserve">   Prof Level 2</v>
      </c>
      <c r="B678" s="196"/>
      <c r="C678" s="196"/>
      <c r="D678" s="196"/>
      <c r="E678" s="196"/>
      <c r="F678" s="196"/>
      <c r="G678" s="196"/>
      <c r="H678" s="196"/>
      <c r="I678" s="196"/>
      <c r="J678" s="196"/>
      <c r="K678" s="196"/>
      <c r="L678" s="196"/>
      <c r="M678" s="196"/>
      <c r="N678" s="196"/>
      <c r="O678" s="196"/>
      <c r="P678" s="196"/>
      <c r="Q678" s="196"/>
      <c r="R678" s="196"/>
      <c r="S678" s="196"/>
      <c r="T678" s="267"/>
    </row>
    <row r="679" spans="1:20" ht="12.75" customHeight="1" x14ac:dyDescent="0.2">
      <c r="A679" s="198" t="str">
        <f>"      "&amp;Labels!B317</f>
        <v xml:space="preserve">      Channels 1</v>
      </c>
      <c r="B679" s="226"/>
      <c r="C679" s="226">
        <f>Inputs!F366*1/('(FnCalls 1)'!A42-'(FnCalls 1)'!A41)*Sales!B113</f>
        <v>0</v>
      </c>
      <c r="D679" s="226">
        <f>Inputs!G366*1/('(FnCalls 1)'!A43-'(FnCalls 1)'!A42)*Sales!C113</f>
        <v>0</v>
      </c>
      <c r="E679" s="226">
        <f>Inputs!H366*1/('(FnCalls 1)'!A44-'(FnCalls 1)'!A43)*Sales!D113</f>
        <v>55887.096774193553</v>
      </c>
      <c r="F679" s="226">
        <f>Inputs!I366*1/('(FnCalls 1)'!A45-'(FnCalls 1)'!A44)*Sales!F113</f>
        <v>57750</v>
      </c>
      <c r="G679" s="226">
        <f>Inputs!J366*1/('(FnCalls 1)'!A46-'(FnCalls 1)'!A45)*Sales!G113</f>
        <v>0</v>
      </c>
      <c r="H679" s="226">
        <f>Inputs!K366*1/('(FnCalls 1)'!A47-'(FnCalls 1)'!A46)*Sales!H113</f>
        <v>42000</v>
      </c>
      <c r="I679" s="226">
        <f>Inputs!L366*1/('(FnCalls 1)'!A48-'(FnCalls 1)'!A47)*Sales!J113</f>
        <v>40645.161290322583</v>
      </c>
      <c r="J679" s="226">
        <f>Inputs!M366*1/('(FnCalls 1)'!A49-'(FnCalls 1)'!A48)*Sales!K113</f>
        <v>40645.161290322583</v>
      </c>
      <c r="K679" s="226">
        <f>Inputs!N366*1/('(FnCalls 1)'!A50-'(FnCalls 1)'!A49)*Sales!L113</f>
        <v>0</v>
      </c>
      <c r="L679" s="226">
        <f>Inputs!O366*1/('(FnCalls 1)'!A51-'(FnCalls 1)'!A50)*Sales!N113</f>
        <v>0</v>
      </c>
      <c r="M679" s="226">
        <f>Inputs!P366*1/('(FnCalls 1)'!A52-'(FnCalls 1)'!A51)*Sales!O113</f>
        <v>0</v>
      </c>
      <c r="N679" s="226">
        <f>Inputs!Q366*1/('(FnCalls 1)'!A53-'(FnCalls 1)'!A52)*Sales!P113</f>
        <v>0</v>
      </c>
      <c r="O679" s="226">
        <f>Inputs!R366*1/('(FnCalls 1)'!A54-'(FnCalls 1)'!A53)*Sales!R113</f>
        <v>0</v>
      </c>
      <c r="P679" s="226">
        <f>Inputs!S366*1/('(FnCalls 1)'!A55-'(FnCalls 1)'!A54)*Sales!S113</f>
        <v>0</v>
      </c>
      <c r="Q679" s="226">
        <f>Inputs!T366*1/('(FnCalls 1)'!A56-'(FnCalls 1)'!A55)*Sales!T113</f>
        <v>0</v>
      </c>
      <c r="R679" s="226">
        <f>Inputs!U366*1/('(FnCalls 1)'!A57-'(FnCalls 1)'!A56)*Sales!V113</f>
        <v>0</v>
      </c>
      <c r="S679" s="226">
        <f>Inputs!V366*1/('(FnCalls 1)'!A58-'(FnCalls 1)'!A57)*Sales!W113</f>
        <v>0</v>
      </c>
      <c r="T679" s="279">
        <f>Inputs!W366*1/('(FnCalls 1)'!A59-'(FnCalls 1)'!A58)*Sales!X113</f>
        <v>0</v>
      </c>
    </row>
    <row r="680" spans="1:20" ht="12.75" customHeight="1" x14ac:dyDescent="0.2">
      <c r="A680" s="198" t="str">
        <f>"      "&amp;Labels!B318</f>
        <v xml:space="preserve">      Channels 2</v>
      </c>
      <c r="B680" s="226"/>
      <c r="C680" s="226">
        <f>Inputs!F366*1/('(FnCalls 1)'!A42-'(FnCalls 1)'!A41)*Sales!B114</f>
        <v>0</v>
      </c>
      <c r="D680" s="226">
        <f>Inputs!G366*1/('(FnCalls 1)'!A43-'(FnCalls 1)'!A42)*Sales!C114</f>
        <v>0</v>
      </c>
      <c r="E680" s="226">
        <f>Inputs!H366*1/('(FnCalls 1)'!A44-'(FnCalls 1)'!A43)*Sales!D114</f>
        <v>53225.806451612902</v>
      </c>
      <c r="F680" s="226">
        <f>Inputs!I366*1/('(FnCalls 1)'!A45-'(FnCalls 1)'!A44)*Sales!F114</f>
        <v>55000</v>
      </c>
      <c r="G680" s="226">
        <f>Inputs!J366*1/('(FnCalls 1)'!A46-'(FnCalls 1)'!A45)*Sales!G114</f>
        <v>0</v>
      </c>
      <c r="H680" s="226">
        <f>Inputs!K366*1/('(FnCalls 1)'!A47-'(FnCalls 1)'!A46)*Sales!H114</f>
        <v>40000</v>
      </c>
      <c r="I680" s="226">
        <f>Inputs!L366*1/('(FnCalls 1)'!A48-'(FnCalls 1)'!A47)*Sales!J114</f>
        <v>38709.677419354841</v>
      </c>
      <c r="J680" s="226">
        <f>Inputs!M366*1/('(FnCalls 1)'!A49-'(FnCalls 1)'!A48)*Sales!K114</f>
        <v>38709.677419354841</v>
      </c>
      <c r="K680" s="226">
        <f>Inputs!N366*1/('(FnCalls 1)'!A50-'(FnCalls 1)'!A49)*Sales!L114</f>
        <v>0</v>
      </c>
      <c r="L680" s="226">
        <f>Inputs!O366*1/('(FnCalls 1)'!A51-'(FnCalls 1)'!A50)*Sales!N114</f>
        <v>0</v>
      </c>
      <c r="M680" s="226">
        <f>Inputs!P366*1/('(FnCalls 1)'!A52-'(FnCalls 1)'!A51)*Sales!O114</f>
        <v>0</v>
      </c>
      <c r="N680" s="226">
        <f>Inputs!Q366*1/('(FnCalls 1)'!A53-'(FnCalls 1)'!A52)*Sales!P114</f>
        <v>0</v>
      </c>
      <c r="O680" s="226">
        <f>Inputs!R366*1/('(FnCalls 1)'!A54-'(FnCalls 1)'!A53)*Sales!R114</f>
        <v>0</v>
      </c>
      <c r="P680" s="226">
        <f>Inputs!S366*1/('(FnCalls 1)'!A55-'(FnCalls 1)'!A54)*Sales!S114</f>
        <v>0</v>
      </c>
      <c r="Q680" s="226">
        <f>Inputs!T366*1/('(FnCalls 1)'!A56-'(FnCalls 1)'!A55)*Sales!T114</f>
        <v>0</v>
      </c>
      <c r="R680" s="226">
        <f>Inputs!U366*1/('(FnCalls 1)'!A57-'(FnCalls 1)'!A56)*Sales!V114</f>
        <v>0</v>
      </c>
      <c r="S680" s="226">
        <f>Inputs!V366*1/('(FnCalls 1)'!A58-'(FnCalls 1)'!A57)*Sales!W114</f>
        <v>0</v>
      </c>
      <c r="T680" s="279">
        <f>Inputs!W366*1/('(FnCalls 1)'!A59-'(FnCalls 1)'!A58)*Sales!X114</f>
        <v>0</v>
      </c>
    </row>
    <row r="681" spans="1:20" ht="12.75" customHeight="1" x14ac:dyDescent="0.2">
      <c r="A681" s="188" t="str">
        <f>"      "&amp;Labels!C316</f>
        <v xml:space="preserve">      Total</v>
      </c>
      <c r="B681" s="196">
        <f t="shared" ref="B681:T681" si="405">SUM(B679:B680)</f>
        <v>0</v>
      </c>
      <c r="C681" s="196">
        <f t="shared" si="405"/>
        <v>0</v>
      </c>
      <c r="D681" s="196">
        <f t="shared" si="405"/>
        <v>0</v>
      </c>
      <c r="E681" s="196">
        <f t="shared" si="405"/>
        <v>109112.90322580645</v>
      </c>
      <c r="F681" s="196">
        <f t="shared" si="405"/>
        <v>112750</v>
      </c>
      <c r="G681" s="196">
        <f t="shared" si="405"/>
        <v>0</v>
      </c>
      <c r="H681" s="196">
        <f t="shared" si="405"/>
        <v>82000</v>
      </c>
      <c r="I681" s="196">
        <f t="shared" si="405"/>
        <v>79354.838709677424</v>
      </c>
      <c r="J681" s="196">
        <f t="shared" si="405"/>
        <v>79354.838709677424</v>
      </c>
      <c r="K681" s="196">
        <f t="shared" si="405"/>
        <v>0</v>
      </c>
      <c r="L681" s="196">
        <f t="shared" si="405"/>
        <v>0</v>
      </c>
      <c r="M681" s="196">
        <f t="shared" si="405"/>
        <v>0</v>
      </c>
      <c r="N681" s="196">
        <f t="shared" si="405"/>
        <v>0</v>
      </c>
      <c r="O681" s="196">
        <f t="shared" si="405"/>
        <v>0</v>
      </c>
      <c r="P681" s="196">
        <f t="shared" si="405"/>
        <v>0</v>
      </c>
      <c r="Q681" s="196">
        <f t="shared" si="405"/>
        <v>0</v>
      </c>
      <c r="R681" s="196">
        <f t="shared" si="405"/>
        <v>0</v>
      </c>
      <c r="S681" s="196">
        <f t="shared" si="405"/>
        <v>0</v>
      </c>
      <c r="T681" s="267">
        <f t="shared" si="405"/>
        <v>0</v>
      </c>
    </row>
    <row r="682" spans="1:20" ht="12.75" customHeight="1" x14ac:dyDescent="0.2">
      <c r="A682" s="191" t="str">
        <f>"   "&amp;Labels!C384</f>
        <v xml:space="preserve">   Total</v>
      </c>
      <c r="B682" s="192">
        <f t="shared" ref="B682:T682" si="406">SUM(B677,B681)</f>
        <v>0</v>
      </c>
      <c r="C682" s="192">
        <f t="shared" si="406"/>
        <v>0</v>
      </c>
      <c r="D682" s="192">
        <f t="shared" si="406"/>
        <v>0</v>
      </c>
      <c r="E682" s="192">
        <f t="shared" si="406"/>
        <v>218225.80645161291</v>
      </c>
      <c r="F682" s="192">
        <f t="shared" si="406"/>
        <v>225500</v>
      </c>
      <c r="G682" s="192">
        <f t="shared" si="406"/>
        <v>0</v>
      </c>
      <c r="H682" s="192">
        <f t="shared" si="406"/>
        <v>164000</v>
      </c>
      <c r="I682" s="192">
        <f t="shared" si="406"/>
        <v>158709.67741935485</v>
      </c>
      <c r="J682" s="192">
        <f t="shared" si="406"/>
        <v>158709.67741935485</v>
      </c>
      <c r="K682" s="192">
        <f t="shared" si="406"/>
        <v>0</v>
      </c>
      <c r="L682" s="192">
        <f t="shared" si="406"/>
        <v>0</v>
      </c>
      <c r="M682" s="192">
        <f t="shared" si="406"/>
        <v>0</v>
      </c>
      <c r="N682" s="192">
        <f t="shared" si="406"/>
        <v>0</v>
      </c>
      <c r="O682" s="192">
        <f t="shared" si="406"/>
        <v>0</v>
      </c>
      <c r="P682" s="192">
        <f t="shared" si="406"/>
        <v>0</v>
      </c>
      <c r="Q682" s="192">
        <f t="shared" si="406"/>
        <v>0</v>
      </c>
      <c r="R682" s="192">
        <f t="shared" si="406"/>
        <v>0</v>
      </c>
      <c r="S682" s="192">
        <f t="shared" si="406"/>
        <v>0</v>
      </c>
      <c r="T682" s="280">
        <f t="shared" si="406"/>
        <v>0</v>
      </c>
    </row>
    <row r="683" spans="1:20" ht="12.75" customHeight="1" x14ac:dyDescent="0.2">
      <c r="A683" s="198" t="str">
        <f>"      "&amp;Labels!B317</f>
        <v xml:space="preserve">      Channels 1</v>
      </c>
      <c r="B683" s="226">
        <f t="shared" ref="B683:T683" si="407">SUM(B675,B679)</f>
        <v>0</v>
      </c>
      <c r="C683" s="226">
        <f t="shared" si="407"/>
        <v>0</v>
      </c>
      <c r="D683" s="226">
        <f t="shared" si="407"/>
        <v>0</v>
      </c>
      <c r="E683" s="226">
        <f t="shared" si="407"/>
        <v>111774.19354838711</v>
      </c>
      <c r="F683" s="226">
        <f t="shared" si="407"/>
        <v>115500</v>
      </c>
      <c r="G683" s="226">
        <f t="shared" si="407"/>
        <v>0</v>
      </c>
      <c r="H683" s="226">
        <f t="shared" si="407"/>
        <v>84000</v>
      </c>
      <c r="I683" s="226">
        <f t="shared" si="407"/>
        <v>81290.322580645166</v>
      </c>
      <c r="J683" s="226">
        <f t="shared" si="407"/>
        <v>81290.322580645166</v>
      </c>
      <c r="K683" s="226">
        <f t="shared" si="407"/>
        <v>0</v>
      </c>
      <c r="L683" s="226">
        <f t="shared" si="407"/>
        <v>0</v>
      </c>
      <c r="M683" s="226">
        <f t="shared" si="407"/>
        <v>0</v>
      </c>
      <c r="N683" s="226">
        <f t="shared" si="407"/>
        <v>0</v>
      </c>
      <c r="O683" s="226">
        <f t="shared" si="407"/>
        <v>0</v>
      </c>
      <c r="P683" s="226">
        <f t="shared" si="407"/>
        <v>0</v>
      </c>
      <c r="Q683" s="226">
        <f t="shared" si="407"/>
        <v>0</v>
      </c>
      <c r="R683" s="226">
        <f t="shared" si="407"/>
        <v>0</v>
      </c>
      <c r="S683" s="226">
        <f t="shared" si="407"/>
        <v>0</v>
      </c>
      <c r="T683" s="279">
        <f t="shared" si="407"/>
        <v>0</v>
      </c>
    </row>
    <row r="684" spans="1:20" ht="12.75" customHeight="1" x14ac:dyDescent="0.2">
      <c r="A684" s="198" t="str">
        <f>"      "&amp;Labels!B318</f>
        <v xml:space="preserve">      Channels 2</v>
      </c>
      <c r="B684" s="226">
        <f t="shared" ref="B684:T684" si="408">SUM(B676,B680)</f>
        <v>0</v>
      </c>
      <c r="C684" s="226">
        <f t="shared" si="408"/>
        <v>0</v>
      </c>
      <c r="D684" s="226">
        <f t="shared" si="408"/>
        <v>0</v>
      </c>
      <c r="E684" s="226">
        <f t="shared" si="408"/>
        <v>106451.6129032258</v>
      </c>
      <c r="F684" s="226">
        <f t="shared" si="408"/>
        <v>110000</v>
      </c>
      <c r="G684" s="226">
        <f t="shared" si="408"/>
        <v>0</v>
      </c>
      <c r="H684" s="226">
        <f t="shared" si="408"/>
        <v>80000</v>
      </c>
      <c r="I684" s="226">
        <f t="shared" si="408"/>
        <v>77419.354838709682</v>
      </c>
      <c r="J684" s="226">
        <f t="shared" si="408"/>
        <v>77419.354838709682</v>
      </c>
      <c r="K684" s="226">
        <f t="shared" si="408"/>
        <v>0</v>
      </c>
      <c r="L684" s="226">
        <f t="shared" si="408"/>
        <v>0</v>
      </c>
      <c r="M684" s="226">
        <f t="shared" si="408"/>
        <v>0</v>
      </c>
      <c r="N684" s="226">
        <f t="shared" si="408"/>
        <v>0</v>
      </c>
      <c r="O684" s="226">
        <f t="shared" si="408"/>
        <v>0</v>
      </c>
      <c r="P684" s="226">
        <f t="shared" si="408"/>
        <v>0</v>
      </c>
      <c r="Q684" s="226">
        <f t="shared" si="408"/>
        <v>0</v>
      </c>
      <c r="R684" s="226">
        <f t="shared" si="408"/>
        <v>0</v>
      </c>
      <c r="S684" s="226">
        <f t="shared" si="408"/>
        <v>0</v>
      </c>
      <c r="T684" s="279">
        <f t="shared" si="408"/>
        <v>0</v>
      </c>
    </row>
    <row r="685" spans="1:20" ht="12.75" customHeight="1" x14ac:dyDescent="0.2">
      <c r="A685" s="188" t="str">
        <f>"      "&amp;Labels!C316</f>
        <v xml:space="preserve">      Total</v>
      </c>
      <c r="B685" s="196">
        <f t="shared" ref="B685:T685" si="409">SUM(B677,B681)</f>
        <v>0</v>
      </c>
      <c r="C685" s="196">
        <f t="shared" si="409"/>
        <v>0</v>
      </c>
      <c r="D685" s="196">
        <f t="shared" si="409"/>
        <v>0</v>
      </c>
      <c r="E685" s="196">
        <f t="shared" si="409"/>
        <v>218225.80645161291</v>
      </c>
      <c r="F685" s="196">
        <f t="shared" si="409"/>
        <v>225500</v>
      </c>
      <c r="G685" s="196">
        <f t="shared" si="409"/>
        <v>0</v>
      </c>
      <c r="H685" s="196">
        <f t="shared" si="409"/>
        <v>164000</v>
      </c>
      <c r="I685" s="196">
        <f t="shared" si="409"/>
        <v>158709.67741935485</v>
      </c>
      <c r="J685" s="196">
        <f t="shared" si="409"/>
        <v>158709.67741935485</v>
      </c>
      <c r="K685" s="196">
        <f t="shared" si="409"/>
        <v>0</v>
      </c>
      <c r="L685" s="196">
        <f t="shared" si="409"/>
        <v>0</v>
      </c>
      <c r="M685" s="196">
        <f t="shared" si="409"/>
        <v>0</v>
      </c>
      <c r="N685" s="196">
        <f t="shared" si="409"/>
        <v>0</v>
      </c>
      <c r="O685" s="196">
        <f t="shared" si="409"/>
        <v>0</v>
      </c>
      <c r="P685" s="196">
        <f t="shared" si="409"/>
        <v>0</v>
      </c>
      <c r="Q685" s="196">
        <f t="shared" si="409"/>
        <v>0</v>
      </c>
      <c r="R685" s="196">
        <f t="shared" si="409"/>
        <v>0</v>
      </c>
      <c r="S685" s="196">
        <f t="shared" si="409"/>
        <v>0</v>
      </c>
      <c r="T685" s="267">
        <f t="shared" si="409"/>
        <v>0</v>
      </c>
    </row>
    <row r="686" spans="1:20" ht="12.75" customHeight="1" x14ac:dyDescent="0.2">
      <c r="A686" s="191" t="str">
        <f>Labels!B382</f>
        <v>Practice 2</v>
      </c>
      <c r="B686" s="192"/>
      <c r="C686" s="192"/>
      <c r="D686" s="192"/>
      <c r="E686" s="192"/>
      <c r="F686" s="192"/>
      <c r="G686" s="192"/>
      <c r="H686" s="192"/>
      <c r="I686" s="192"/>
      <c r="J686" s="192"/>
      <c r="K686" s="192"/>
      <c r="L686" s="192"/>
      <c r="M686" s="192"/>
      <c r="N686" s="192"/>
      <c r="O686" s="192"/>
      <c r="P686" s="192"/>
      <c r="Q686" s="192"/>
      <c r="R686" s="192"/>
      <c r="S686" s="192"/>
      <c r="T686" s="280"/>
    </row>
    <row r="687" spans="1:20" ht="12.75" customHeight="1" x14ac:dyDescent="0.2">
      <c r="A687" s="188" t="str">
        <f>"   "&amp;Labels!B385</f>
        <v xml:space="preserve">   Prof Level 1</v>
      </c>
      <c r="B687" s="196"/>
      <c r="C687" s="196"/>
      <c r="D687" s="196"/>
      <c r="E687" s="196"/>
      <c r="F687" s="196"/>
      <c r="G687" s="196"/>
      <c r="H687" s="196"/>
      <c r="I687" s="196"/>
      <c r="J687" s="196"/>
      <c r="K687" s="196"/>
      <c r="L687" s="196"/>
      <c r="M687" s="196"/>
      <c r="N687" s="196"/>
      <c r="O687" s="196"/>
      <c r="P687" s="196"/>
      <c r="Q687" s="196"/>
      <c r="R687" s="196"/>
      <c r="S687" s="196"/>
      <c r="T687" s="267"/>
    </row>
    <row r="688" spans="1:20" ht="12.75" customHeight="1" x14ac:dyDescent="0.2">
      <c r="A688" s="198" t="str">
        <f>"      "&amp;Labels!B317</f>
        <v xml:space="preserve">      Channels 1</v>
      </c>
      <c r="B688" s="226"/>
      <c r="C688" s="226">
        <f>Inputs!F366*1/('(FnCalls 1)'!A42-'(FnCalls 1)'!A41)*Sales!B122</f>
        <v>0</v>
      </c>
      <c r="D688" s="226">
        <f>Inputs!G366*1/('(FnCalls 1)'!A43-'(FnCalls 1)'!A42)*Sales!C122</f>
        <v>0</v>
      </c>
      <c r="E688" s="226">
        <f>Inputs!H366*1/('(FnCalls 1)'!A44-'(FnCalls 1)'!A43)*Sales!D122</f>
        <v>0</v>
      </c>
      <c r="F688" s="226">
        <f>Inputs!I366*1/('(FnCalls 1)'!A45-'(FnCalls 1)'!A44)*Sales!F122</f>
        <v>0</v>
      </c>
      <c r="G688" s="226">
        <f>Inputs!J366*1/('(FnCalls 1)'!A46-'(FnCalls 1)'!A45)*Sales!G122</f>
        <v>0</v>
      </c>
      <c r="H688" s="226">
        <f>Inputs!K366*1/('(FnCalls 1)'!A47-'(FnCalls 1)'!A46)*Sales!H122</f>
        <v>0</v>
      </c>
      <c r="I688" s="226">
        <f>Inputs!L366*1/('(FnCalls 1)'!A48-'(FnCalls 1)'!A47)*Sales!J122</f>
        <v>0</v>
      </c>
      <c r="J688" s="226">
        <f>Inputs!M366*1/('(FnCalls 1)'!A49-'(FnCalls 1)'!A48)*Sales!K122</f>
        <v>0</v>
      </c>
      <c r="K688" s="226">
        <f>Inputs!N366*1/('(FnCalls 1)'!A50-'(FnCalls 1)'!A49)*Sales!L122</f>
        <v>0</v>
      </c>
      <c r="L688" s="226">
        <f>Inputs!O366*1/('(FnCalls 1)'!A51-'(FnCalls 1)'!A50)*Sales!N122</f>
        <v>0</v>
      </c>
      <c r="M688" s="226">
        <f>Inputs!P366*1/('(FnCalls 1)'!A52-'(FnCalls 1)'!A51)*Sales!O122</f>
        <v>0</v>
      </c>
      <c r="N688" s="226">
        <f>Inputs!Q366*1/('(FnCalls 1)'!A53-'(FnCalls 1)'!A52)*Sales!P122</f>
        <v>0</v>
      </c>
      <c r="O688" s="226">
        <f>Inputs!R366*1/('(FnCalls 1)'!A54-'(FnCalls 1)'!A53)*Sales!R122</f>
        <v>0</v>
      </c>
      <c r="P688" s="226">
        <f>Inputs!S366*1/('(FnCalls 1)'!A55-'(FnCalls 1)'!A54)*Sales!S122</f>
        <v>0</v>
      </c>
      <c r="Q688" s="226">
        <f>Inputs!T366*1/('(FnCalls 1)'!A56-'(FnCalls 1)'!A55)*Sales!T122</f>
        <v>0</v>
      </c>
      <c r="R688" s="226">
        <f>Inputs!U366*1/('(FnCalls 1)'!A57-'(FnCalls 1)'!A56)*Sales!V122</f>
        <v>0</v>
      </c>
      <c r="S688" s="226">
        <f>Inputs!V366*1/('(FnCalls 1)'!A58-'(FnCalls 1)'!A57)*Sales!W122</f>
        <v>0</v>
      </c>
      <c r="T688" s="279">
        <f>Inputs!W366*1/('(FnCalls 1)'!A59-'(FnCalls 1)'!A58)*Sales!X122</f>
        <v>0</v>
      </c>
    </row>
    <row r="689" spans="1:20" ht="12.75" customHeight="1" x14ac:dyDescent="0.2">
      <c r="A689" s="198" t="str">
        <f>"      "&amp;Labels!B318</f>
        <v xml:space="preserve">      Channels 2</v>
      </c>
      <c r="B689" s="226"/>
      <c r="C689" s="226">
        <f>Inputs!F366*1/('(FnCalls 1)'!A42-'(FnCalls 1)'!A41)*Sales!B123</f>
        <v>0</v>
      </c>
      <c r="D689" s="226">
        <f>Inputs!G366*1/('(FnCalls 1)'!A43-'(FnCalls 1)'!A42)*Sales!C123</f>
        <v>0</v>
      </c>
      <c r="E689" s="226">
        <f>Inputs!H366*1/('(FnCalls 1)'!A44-'(FnCalls 1)'!A43)*Sales!D123</f>
        <v>0</v>
      </c>
      <c r="F689" s="226">
        <f>Inputs!I366*1/('(FnCalls 1)'!A45-'(FnCalls 1)'!A44)*Sales!F123</f>
        <v>0</v>
      </c>
      <c r="G689" s="226">
        <f>Inputs!J366*1/('(FnCalls 1)'!A46-'(FnCalls 1)'!A45)*Sales!G123</f>
        <v>0</v>
      </c>
      <c r="H689" s="226">
        <f>Inputs!K366*1/('(FnCalls 1)'!A47-'(FnCalls 1)'!A46)*Sales!H123</f>
        <v>0</v>
      </c>
      <c r="I689" s="226">
        <f>Inputs!L366*1/('(FnCalls 1)'!A48-'(FnCalls 1)'!A47)*Sales!J123</f>
        <v>0</v>
      </c>
      <c r="J689" s="226">
        <f>Inputs!M366*1/('(FnCalls 1)'!A49-'(FnCalls 1)'!A48)*Sales!K123</f>
        <v>0</v>
      </c>
      <c r="K689" s="226">
        <f>Inputs!N366*1/('(FnCalls 1)'!A50-'(FnCalls 1)'!A49)*Sales!L123</f>
        <v>0</v>
      </c>
      <c r="L689" s="226">
        <f>Inputs!O366*1/('(FnCalls 1)'!A51-'(FnCalls 1)'!A50)*Sales!N123</f>
        <v>0</v>
      </c>
      <c r="M689" s="226">
        <f>Inputs!P366*1/('(FnCalls 1)'!A52-'(FnCalls 1)'!A51)*Sales!O123</f>
        <v>0</v>
      </c>
      <c r="N689" s="226">
        <f>Inputs!Q366*1/('(FnCalls 1)'!A53-'(FnCalls 1)'!A52)*Sales!P123</f>
        <v>0</v>
      </c>
      <c r="O689" s="226">
        <f>Inputs!R366*1/('(FnCalls 1)'!A54-'(FnCalls 1)'!A53)*Sales!R123</f>
        <v>0</v>
      </c>
      <c r="P689" s="226">
        <f>Inputs!S366*1/('(FnCalls 1)'!A55-'(FnCalls 1)'!A54)*Sales!S123</f>
        <v>0</v>
      </c>
      <c r="Q689" s="226">
        <f>Inputs!T366*1/('(FnCalls 1)'!A56-'(FnCalls 1)'!A55)*Sales!T123</f>
        <v>0</v>
      </c>
      <c r="R689" s="226">
        <f>Inputs!U366*1/('(FnCalls 1)'!A57-'(FnCalls 1)'!A56)*Sales!V123</f>
        <v>0</v>
      </c>
      <c r="S689" s="226">
        <f>Inputs!V366*1/('(FnCalls 1)'!A58-'(FnCalls 1)'!A57)*Sales!W123</f>
        <v>0</v>
      </c>
      <c r="T689" s="279">
        <f>Inputs!W366*1/('(FnCalls 1)'!A59-'(FnCalls 1)'!A58)*Sales!X123</f>
        <v>0</v>
      </c>
    </row>
    <row r="690" spans="1:20" ht="12.75" customHeight="1" x14ac:dyDescent="0.2">
      <c r="A690" s="188" t="str">
        <f>"      "&amp;Labels!C316</f>
        <v xml:space="preserve">      Total</v>
      </c>
      <c r="B690" s="196">
        <f t="shared" ref="B690:T690" si="410">SUM(B688:B689)</f>
        <v>0</v>
      </c>
      <c r="C690" s="196">
        <f t="shared" si="410"/>
        <v>0</v>
      </c>
      <c r="D690" s="196">
        <f t="shared" si="410"/>
        <v>0</v>
      </c>
      <c r="E690" s="196">
        <f t="shared" si="410"/>
        <v>0</v>
      </c>
      <c r="F690" s="196">
        <f t="shared" si="410"/>
        <v>0</v>
      </c>
      <c r="G690" s="196">
        <f t="shared" si="410"/>
        <v>0</v>
      </c>
      <c r="H690" s="196">
        <f t="shared" si="410"/>
        <v>0</v>
      </c>
      <c r="I690" s="196">
        <f t="shared" si="410"/>
        <v>0</v>
      </c>
      <c r="J690" s="196">
        <f t="shared" si="410"/>
        <v>0</v>
      </c>
      <c r="K690" s="196">
        <f t="shared" si="410"/>
        <v>0</v>
      </c>
      <c r="L690" s="196">
        <f t="shared" si="410"/>
        <v>0</v>
      </c>
      <c r="M690" s="196">
        <f t="shared" si="410"/>
        <v>0</v>
      </c>
      <c r="N690" s="196">
        <f t="shared" si="410"/>
        <v>0</v>
      </c>
      <c r="O690" s="196">
        <f t="shared" si="410"/>
        <v>0</v>
      </c>
      <c r="P690" s="196">
        <f t="shared" si="410"/>
        <v>0</v>
      </c>
      <c r="Q690" s="196">
        <f t="shared" si="410"/>
        <v>0</v>
      </c>
      <c r="R690" s="196">
        <f t="shared" si="410"/>
        <v>0</v>
      </c>
      <c r="S690" s="196">
        <f t="shared" si="410"/>
        <v>0</v>
      </c>
      <c r="T690" s="267">
        <f t="shared" si="410"/>
        <v>0</v>
      </c>
    </row>
    <row r="691" spans="1:20" ht="12.75" customHeight="1" x14ac:dyDescent="0.2">
      <c r="A691" s="188" t="str">
        <f>"   "&amp;Labels!B386</f>
        <v xml:space="preserve">   Prof Level 2</v>
      </c>
      <c r="B691" s="196"/>
      <c r="C691" s="196"/>
      <c r="D691" s="196"/>
      <c r="E691" s="196"/>
      <c r="F691" s="196"/>
      <c r="G691" s="196"/>
      <c r="H691" s="196"/>
      <c r="I691" s="196"/>
      <c r="J691" s="196"/>
      <c r="K691" s="196"/>
      <c r="L691" s="196"/>
      <c r="M691" s="196"/>
      <c r="N691" s="196"/>
      <c r="O691" s="196"/>
      <c r="P691" s="196"/>
      <c r="Q691" s="196"/>
      <c r="R691" s="196"/>
      <c r="S691" s="196"/>
      <c r="T691" s="267"/>
    </row>
    <row r="692" spans="1:20" ht="12.75" customHeight="1" x14ac:dyDescent="0.2">
      <c r="A692" s="198" t="str">
        <f>"      "&amp;Labels!B317</f>
        <v xml:space="preserve">      Channels 1</v>
      </c>
      <c r="B692" s="226"/>
      <c r="C692" s="226">
        <f>Inputs!F366*1/('(FnCalls 1)'!A42-'(FnCalls 1)'!A41)*Sales!B126</f>
        <v>0</v>
      </c>
      <c r="D692" s="226">
        <f>Inputs!G366*1/('(FnCalls 1)'!A43-'(FnCalls 1)'!A42)*Sales!C126</f>
        <v>0</v>
      </c>
      <c r="E692" s="226">
        <f>Inputs!H366*1/('(FnCalls 1)'!A44-'(FnCalls 1)'!A43)*Sales!D126</f>
        <v>0</v>
      </c>
      <c r="F692" s="226">
        <f>Inputs!I366*1/('(FnCalls 1)'!A45-'(FnCalls 1)'!A44)*Sales!F126</f>
        <v>0</v>
      </c>
      <c r="G692" s="226">
        <f>Inputs!J366*1/('(FnCalls 1)'!A46-'(FnCalls 1)'!A45)*Sales!G126</f>
        <v>0</v>
      </c>
      <c r="H692" s="226">
        <f>Inputs!K366*1/('(FnCalls 1)'!A47-'(FnCalls 1)'!A46)*Sales!H126</f>
        <v>0</v>
      </c>
      <c r="I692" s="226">
        <f>Inputs!L366*1/('(FnCalls 1)'!A48-'(FnCalls 1)'!A47)*Sales!J126</f>
        <v>0</v>
      </c>
      <c r="J692" s="226">
        <f>Inputs!M366*1/('(FnCalls 1)'!A49-'(FnCalls 1)'!A48)*Sales!K126</f>
        <v>0</v>
      </c>
      <c r="K692" s="226">
        <f>Inputs!N366*1/('(FnCalls 1)'!A50-'(FnCalls 1)'!A49)*Sales!L126</f>
        <v>0</v>
      </c>
      <c r="L692" s="226">
        <f>Inputs!O366*1/('(FnCalls 1)'!A51-'(FnCalls 1)'!A50)*Sales!N126</f>
        <v>0</v>
      </c>
      <c r="M692" s="226">
        <f>Inputs!P366*1/('(FnCalls 1)'!A52-'(FnCalls 1)'!A51)*Sales!O126</f>
        <v>0</v>
      </c>
      <c r="N692" s="226">
        <f>Inputs!Q366*1/('(FnCalls 1)'!A53-'(FnCalls 1)'!A52)*Sales!P126</f>
        <v>0</v>
      </c>
      <c r="O692" s="226">
        <f>Inputs!R366*1/('(FnCalls 1)'!A54-'(FnCalls 1)'!A53)*Sales!R126</f>
        <v>0</v>
      </c>
      <c r="P692" s="226">
        <f>Inputs!S366*1/('(FnCalls 1)'!A55-'(FnCalls 1)'!A54)*Sales!S126</f>
        <v>0</v>
      </c>
      <c r="Q692" s="226">
        <f>Inputs!T366*1/('(FnCalls 1)'!A56-'(FnCalls 1)'!A55)*Sales!T126</f>
        <v>0</v>
      </c>
      <c r="R692" s="226">
        <f>Inputs!U366*1/('(FnCalls 1)'!A57-'(FnCalls 1)'!A56)*Sales!V126</f>
        <v>0</v>
      </c>
      <c r="S692" s="226">
        <f>Inputs!V366*1/('(FnCalls 1)'!A58-'(FnCalls 1)'!A57)*Sales!W126</f>
        <v>0</v>
      </c>
      <c r="T692" s="279">
        <f>Inputs!W366*1/('(FnCalls 1)'!A59-'(FnCalls 1)'!A58)*Sales!X126</f>
        <v>0</v>
      </c>
    </row>
    <row r="693" spans="1:20" ht="12.75" customHeight="1" x14ac:dyDescent="0.2">
      <c r="A693" s="198" t="str">
        <f>"      "&amp;Labels!B318</f>
        <v xml:space="preserve">      Channels 2</v>
      </c>
      <c r="B693" s="226"/>
      <c r="C693" s="226">
        <f>Inputs!F366*1/('(FnCalls 1)'!A42-'(FnCalls 1)'!A41)*Sales!B127</f>
        <v>0</v>
      </c>
      <c r="D693" s="226">
        <f>Inputs!G366*1/('(FnCalls 1)'!A43-'(FnCalls 1)'!A42)*Sales!C127</f>
        <v>0</v>
      </c>
      <c r="E693" s="226">
        <f>Inputs!H366*1/('(FnCalls 1)'!A44-'(FnCalls 1)'!A43)*Sales!D127</f>
        <v>0</v>
      </c>
      <c r="F693" s="226">
        <f>Inputs!I366*1/('(FnCalls 1)'!A45-'(FnCalls 1)'!A44)*Sales!F127</f>
        <v>0</v>
      </c>
      <c r="G693" s="226">
        <f>Inputs!J366*1/('(FnCalls 1)'!A46-'(FnCalls 1)'!A45)*Sales!G127</f>
        <v>0</v>
      </c>
      <c r="H693" s="226">
        <f>Inputs!K366*1/('(FnCalls 1)'!A47-'(FnCalls 1)'!A46)*Sales!H127</f>
        <v>0</v>
      </c>
      <c r="I693" s="226">
        <f>Inputs!L366*1/('(FnCalls 1)'!A48-'(FnCalls 1)'!A47)*Sales!J127</f>
        <v>0</v>
      </c>
      <c r="J693" s="226">
        <f>Inputs!M366*1/('(FnCalls 1)'!A49-'(FnCalls 1)'!A48)*Sales!K127</f>
        <v>0</v>
      </c>
      <c r="K693" s="226">
        <f>Inputs!N366*1/('(FnCalls 1)'!A50-'(FnCalls 1)'!A49)*Sales!L127</f>
        <v>0</v>
      </c>
      <c r="L693" s="226">
        <f>Inputs!O366*1/('(FnCalls 1)'!A51-'(FnCalls 1)'!A50)*Sales!N127</f>
        <v>0</v>
      </c>
      <c r="M693" s="226">
        <f>Inputs!P366*1/('(FnCalls 1)'!A52-'(FnCalls 1)'!A51)*Sales!O127</f>
        <v>0</v>
      </c>
      <c r="N693" s="226">
        <f>Inputs!Q366*1/('(FnCalls 1)'!A53-'(FnCalls 1)'!A52)*Sales!P127</f>
        <v>0</v>
      </c>
      <c r="O693" s="226">
        <f>Inputs!R366*1/('(FnCalls 1)'!A54-'(FnCalls 1)'!A53)*Sales!R127</f>
        <v>0</v>
      </c>
      <c r="P693" s="226">
        <f>Inputs!S366*1/('(FnCalls 1)'!A55-'(FnCalls 1)'!A54)*Sales!S127</f>
        <v>0</v>
      </c>
      <c r="Q693" s="226">
        <f>Inputs!T366*1/('(FnCalls 1)'!A56-'(FnCalls 1)'!A55)*Sales!T127</f>
        <v>0</v>
      </c>
      <c r="R693" s="226">
        <f>Inputs!U366*1/('(FnCalls 1)'!A57-'(FnCalls 1)'!A56)*Sales!V127</f>
        <v>0</v>
      </c>
      <c r="S693" s="226">
        <f>Inputs!V366*1/('(FnCalls 1)'!A58-'(FnCalls 1)'!A57)*Sales!W127</f>
        <v>0</v>
      </c>
      <c r="T693" s="279">
        <f>Inputs!W366*1/('(FnCalls 1)'!A59-'(FnCalls 1)'!A58)*Sales!X127</f>
        <v>0</v>
      </c>
    </row>
    <row r="694" spans="1:20" ht="12.75" customHeight="1" x14ac:dyDescent="0.2">
      <c r="A694" s="188" t="str">
        <f>"      "&amp;Labels!C316</f>
        <v xml:space="preserve">      Total</v>
      </c>
      <c r="B694" s="196">
        <f t="shared" ref="B694:T694" si="411">SUM(B692:B693)</f>
        <v>0</v>
      </c>
      <c r="C694" s="196">
        <f t="shared" si="411"/>
        <v>0</v>
      </c>
      <c r="D694" s="196">
        <f t="shared" si="411"/>
        <v>0</v>
      </c>
      <c r="E694" s="196">
        <f t="shared" si="411"/>
        <v>0</v>
      </c>
      <c r="F694" s="196">
        <f t="shared" si="411"/>
        <v>0</v>
      </c>
      <c r="G694" s="196">
        <f t="shared" si="411"/>
        <v>0</v>
      </c>
      <c r="H694" s="196">
        <f t="shared" si="411"/>
        <v>0</v>
      </c>
      <c r="I694" s="196">
        <f t="shared" si="411"/>
        <v>0</v>
      </c>
      <c r="J694" s="196">
        <f t="shared" si="411"/>
        <v>0</v>
      </c>
      <c r="K694" s="196">
        <f t="shared" si="411"/>
        <v>0</v>
      </c>
      <c r="L694" s="196">
        <f t="shared" si="411"/>
        <v>0</v>
      </c>
      <c r="M694" s="196">
        <f t="shared" si="411"/>
        <v>0</v>
      </c>
      <c r="N694" s="196">
        <f t="shared" si="411"/>
        <v>0</v>
      </c>
      <c r="O694" s="196">
        <f t="shared" si="411"/>
        <v>0</v>
      </c>
      <c r="P694" s="196">
        <f t="shared" si="411"/>
        <v>0</v>
      </c>
      <c r="Q694" s="196">
        <f t="shared" si="411"/>
        <v>0</v>
      </c>
      <c r="R694" s="196">
        <f t="shared" si="411"/>
        <v>0</v>
      </c>
      <c r="S694" s="196">
        <f t="shared" si="411"/>
        <v>0</v>
      </c>
      <c r="T694" s="267">
        <f t="shared" si="411"/>
        <v>0</v>
      </c>
    </row>
    <row r="695" spans="1:20" ht="12.75" customHeight="1" x14ac:dyDescent="0.2">
      <c r="A695" s="191" t="str">
        <f>"   "&amp;Labels!C384</f>
        <v xml:space="preserve">   Total</v>
      </c>
      <c r="B695" s="192">
        <f t="shared" ref="B695:T695" si="412">SUM(B690,B694)</f>
        <v>0</v>
      </c>
      <c r="C695" s="192">
        <f t="shared" si="412"/>
        <v>0</v>
      </c>
      <c r="D695" s="192">
        <f t="shared" si="412"/>
        <v>0</v>
      </c>
      <c r="E695" s="192">
        <f t="shared" si="412"/>
        <v>0</v>
      </c>
      <c r="F695" s="192">
        <f t="shared" si="412"/>
        <v>0</v>
      </c>
      <c r="G695" s="192">
        <f t="shared" si="412"/>
        <v>0</v>
      </c>
      <c r="H695" s="192">
        <f t="shared" si="412"/>
        <v>0</v>
      </c>
      <c r="I695" s="192">
        <f t="shared" si="412"/>
        <v>0</v>
      </c>
      <c r="J695" s="192">
        <f t="shared" si="412"/>
        <v>0</v>
      </c>
      <c r="K695" s="192">
        <f t="shared" si="412"/>
        <v>0</v>
      </c>
      <c r="L695" s="192">
        <f t="shared" si="412"/>
        <v>0</v>
      </c>
      <c r="M695" s="192">
        <f t="shared" si="412"/>
        <v>0</v>
      </c>
      <c r="N695" s="192">
        <f t="shared" si="412"/>
        <v>0</v>
      </c>
      <c r="O695" s="192">
        <f t="shared" si="412"/>
        <v>0</v>
      </c>
      <c r="P695" s="192">
        <f t="shared" si="412"/>
        <v>0</v>
      </c>
      <c r="Q695" s="192">
        <f t="shared" si="412"/>
        <v>0</v>
      </c>
      <c r="R695" s="192">
        <f t="shared" si="412"/>
        <v>0</v>
      </c>
      <c r="S695" s="192">
        <f t="shared" si="412"/>
        <v>0</v>
      </c>
      <c r="T695" s="280">
        <f t="shared" si="412"/>
        <v>0</v>
      </c>
    </row>
    <row r="696" spans="1:20" ht="12.75" customHeight="1" x14ac:dyDescent="0.2">
      <c r="A696" s="198" t="str">
        <f>"      "&amp;Labels!B317</f>
        <v xml:space="preserve">      Channels 1</v>
      </c>
      <c r="B696" s="226">
        <f t="shared" ref="B696:T696" si="413">SUM(B688,B692)</f>
        <v>0</v>
      </c>
      <c r="C696" s="226">
        <f t="shared" si="413"/>
        <v>0</v>
      </c>
      <c r="D696" s="226">
        <f t="shared" si="413"/>
        <v>0</v>
      </c>
      <c r="E696" s="226">
        <f t="shared" si="413"/>
        <v>0</v>
      </c>
      <c r="F696" s="226">
        <f t="shared" si="413"/>
        <v>0</v>
      </c>
      <c r="G696" s="226">
        <f t="shared" si="413"/>
        <v>0</v>
      </c>
      <c r="H696" s="226">
        <f t="shared" si="413"/>
        <v>0</v>
      </c>
      <c r="I696" s="226">
        <f t="shared" si="413"/>
        <v>0</v>
      </c>
      <c r="J696" s="226">
        <f t="shared" si="413"/>
        <v>0</v>
      </c>
      <c r="K696" s="226">
        <f t="shared" si="413"/>
        <v>0</v>
      </c>
      <c r="L696" s="226">
        <f t="shared" si="413"/>
        <v>0</v>
      </c>
      <c r="M696" s="226">
        <f t="shared" si="413"/>
        <v>0</v>
      </c>
      <c r="N696" s="226">
        <f t="shared" si="413"/>
        <v>0</v>
      </c>
      <c r="O696" s="226">
        <f t="shared" si="413"/>
        <v>0</v>
      </c>
      <c r="P696" s="226">
        <f t="shared" si="413"/>
        <v>0</v>
      </c>
      <c r="Q696" s="226">
        <f t="shared" si="413"/>
        <v>0</v>
      </c>
      <c r="R696" s="226">
        <f t="shared" si="413"/>
        <v>0</v>
      </c>
      <c r="S696" s="226">
        <f t="shared" si="413"/>
        <v>0</v>
      </c>
      <c r="T696" s="279">
        <f t="shared" si="413"/>
        <v>0</v>
      </c>
    </row>
    <row r="697" spans="1:20" ht="12.75" customHeight="1" x14ac:dyDescent="0.2">
      <c r="A697" s="198" t="str">
        <f>"      "&amp;Labels!B318</f>
        <v xml:space="preserve">      Channels 2</v>
      </c>
      <c r="B697" s="226">
        <f t="shared" ref="B697:T697" si="414">SUM(B689,B693)</f>
        <v>0</v>
      </c>
      <c r="C697" s="226">
        <f t="shared" si="414"/>
        <v>0</v>
      </c>
      <c r="D697" s="226">
        <f t="shared" si="414"/>
        <v>0</v>
      </c>
      <c r="E697" s="226">
        <f t="shared" si="414"/>
        <v>0</v>
      </c>
      <c r="F697" s="226">
        <f t="shared" si="414"/>
        <v>0</v>
      </c>
      <c r="G697" s="226">
        <f t="shared" si="414"/>
        <v>0</v>
      </c>
      <c r="H697" s="226">
        <f t="shared" si="414"/>
        <v>0</v>
      </c>
      <c r="I697" s="226">
        <f t="shared" si="414"/>
        <v>0</v>
      </c>
      <c r="J697" s="226">
        <f t="shared" si="414"/>
        <v>0</v>
      </c>
      <c r="K697" s="226">
        <f t="shared" si="414"/>
        <v>0</v>
      </c>
      <c r="L697" s="226">
        <f t="shared" si="414"/>
        <v>0</v>
      </c>
      <c r="M697" s="226">
        <f t="shared" si="414"/>
        <v>0</v>
      </c>
      <c r="N697" s="226">
        <f t="shared" si="414"/>
        <v>0</v>
      </c>
      <c r="O697" s="226">
        <f t="shared" si="414"/>
        <v>0</v>
      </c>
      <c r="P697" s="226">
        <f t="shared" si="414"/>
        <v>0</v>
      </c>
      <c r="Q697" s="226">
        <f t="shared" si="414"/>
        <v>0</v>
      </c>
      <c r="R697" s="226">
        <f t="shared" si="414"/>
        <v>0</v>
      </c>
      <c r="S697" s="226">
        <f t="shared" si="414"/>
        <v>0</v>
      </c>
      <c r="T697" s="279">
        <f t="shared" si="414"/>
        <v>0</v>
      </c>
    </row>
    <row r="698" spans="1:20" ht="12.75" customHeight="1" x14ac:dyDescent="0.2">
      <c r="A698" s="188" t="str">
        <f>"      "&amp;Labels!C316</f>
        <v xml:space="preserve">      Total</v>
      </c>
      <c r="B698" s="196">
        <f t="shared" ref="B698:T698" si="415">SUM(B690,B694)</f>
        <v>0</v>
      </c>
      <c r="C698" s="196">
        <f t="shared" si="415"/>
        <v>0</v>
      </c>
      <c r="D698" s="196">
        <f t="shared" si="415"/>
        <v>0</v>
      </c>
      <c r="E698" s="196">
        <f t="shared" si="415"/>
        <v>0</v>
      </c>
      <c r="F698" s="196">
        <f t="shared" si="415"/>
        <v>0</v>
      </c>
      <c r="G698" s="196">
        <f t="shared" si="415"/>
        <v>0</v>
      </c>
      <c r="H698" s="196">
        <f t="shared" si="415"/>
        <v>0</v>
      </c>
      <c r="I698" s="196">
        <f t="shared" si="415"/>
        <v>0</v>
      </c>
      <c r="J698" s="196">
        <f t="shared" si="415"/>
        <v>0</v>
      </c>
      <c r="K698" s="196">
        <f t="shared" si="415"/>
        <v>0</v>
      </c>
      <c r="L698" s="196">
        <f t="shared" si="415"/>
        <v>0</v>
      </c>
      <c r="M698" s="196">
        <f t="shared" si="415"/>
        <v>0</v>
      </c>
      <c r="N698" s="196">
        <f t="shared" si="415"/>
        <v>0</v>
      </c>
      <c r="O698" s="196">
        <f t="shared" si="415"/>
        <v>0</v>
      </c>
      <c r="P698" s="196">
        <f t="shared" si="415"/>
        <v>0</v>
      </c>
      <c r="Q698" s="196">
        <f t="shared" si="415"/>
        <v>0</v>
      </c>
      <c r="R698" s="196">
        <f t="shared" si="415"/>
        <v>0</v>
      </c>
      <c r="S698" s="196">
        <f t="shared" si="415"/>
        <v>0</v>
      </c>
      <c r="T698" s="267">
        <f t="shared" si="415"/>
        <v>0</v>
      </c>
    </row>
    <row r="699" spans="1:20" ht="12.75" customHeight="1" x14ac:dyDescent="0.2">
      <c r="A699" s="97" t="str">
        <f>Labels!C380</f>
        <v>Total</v>
      </c>
      <c r="B699" s="194">
        <f t="shared" ref="B699:T699" si="416">SUM(B682,B695)</f>
        <v>0</v>
      </c>
      <c r="C699" s="194">
        <f t="shared" si="416"/>
        <v>0</v>
      </c>
      <c r="D699" s="194">
        <f t="shared" si="416"/>
        <v>0</v>
      </c>
      <c r="E699" s="194">
        <f t="shared" si="416"/>
        <v>218225.80645161291</v>
      </c>
      <c r="F699" s="194">
        <f t="shared" si="416"/>
        <v>225500</v>
      </c>
      <c r="G699" s="194">
        <f t="shared" si="416"/>
        <v>0</v>
      </c>
      <c r="H699" s="194">
        <f t="shared" si="416"/>
        <v>164000</v>
      </c>
      <c r="I699" s="194">
        <f t="shared" si="416"/>
        <v>158709.67741935485</v>
      </c>
      <c r="J699" s="194">
        <f t="shared" si="416"/>
        <v>158709.67741935485</v>
      </c>
      <c r="K699" s="194">
        <f t="shared" si="416"/>
        <v>0</v>
      </c>
      <c r="L699" s="194">
        <f t="shared" si="416"/>
        <v>0</v>
      </c>
      <c r="M699" s="194">
        <f t="shared" si="416"/>
        <v>0</v>
      </c>
      <c r="N699" s="194">
        <f t="shared" si="416"/>
        <v>0</v>
      </c>
      <c r="O699" s="194">
        <f t="shared" si="416"/>
        <v>0</v>
      </c>
      <c r="P699" s="194">
        <f t="shared" si="416"/>
        <v>0</v>
      </c>
      <c r="Q699" s="194">
        <f t="shared" si="416"/>
        <v>0</v>
      </c>
      <c r="R699" s="194">
        <f t="shared" si="416"/>
        <v>0</v>
      </c>
      <c r="S699" s="194">
        <f t="shared" si="416"/>
        <v>0</v>
      </c>
      <c r="T699" s="351">
        <f t="shared" si="416"/>
        <v>0</v>
      </c>
    </row>
    <row r="700" spans="1:20" ht="12.75" customHeight="1" x14ac:dyDescent="0.2">
      <c r="A700" s="188" t="str">
        <f>"   "&amp;Labels!B385</f>
        <v xml:space="preserve">   Prof Level 1</v>
      </c>
      <c r="B700" s="196"/>
      <c r="C700" s="196"/>
      <c r="D700" s="196"/>
      <c r="E700" s="196"/>
      <c r="F700" s="196"/>
      <c r="G700" s="196"/>
      <c r="H700" s="196"/>
      <c r="I700" s="196"/>
      <c r="J700" s="196"/>
      <c r="K700" s="196"/>
      <c r="L700" s="196"/>
      <c r="M700" s="196"/>
      <c r="N700" s="196"/>
      <c r="O700" s="196"/>
      <c r="P700" s="196"/>
      <c r="Q700" s="196"/>
      <c r="R700" s="196"/>
      <c r="S700" s="196"/>
      <c r="T700" s="267"/>
    </row>
    <row r="701" spans="1:20" ht="12.75" customHeight="1" x14ac:dyDescent="0.2">
      <c r="A701" s="198" t="str">
        <f>"      "&amp;Labels!B317</f>
        <v xml:space="preserve">      Channels 1</v>
      </c>
      <c r="B701" s="226">
        <f t="shared" ref="B701:T701" si="417">SUM(B675,B688)</f>
        <v>0</v>
      </c>
      <c r="C701" s="226">
        <f t="shared" si="417"/>
        <v>0</v>
      </c>
      <c r="D701" s="226">
        <f t="shared" si="417"/>
        <v>0</v>
      </c>
      <c r="E701" s="226">
        <f t="shared" si="417"/>
        <v>55887.096774193553</v>
      </c>
      <c r="F701" s="226">
        <f t="shared" si="417"/>
        <v>57750</v>
      </c>
      <c r="G701" s="226">
        <f t="shared" si="417"/>
        <v>0</v>
      </c>
      <c r="H701" s="226">
        <f t="shared" si="417"/>
        <v>42000</v>
      </c>
      <c r="I701" s="226">
        <f t="shared" si="417"/>
        <v>40645.161290322583</v>
      </c>
      <c r="J701" s="226">
        <f t="shared" si="417"/>
        <v>40645.161290322583</v>
      </c>
      <c r="K701" s="226">
        <f t="shared" si="417"/>
        <v>0</v>
      </c>
      <c r="L701" s="226">
        <f t="shared" si="417"/>
        <v>0</v>
      </c>
      <c r="M701" s="226">
        <f t="shared" si="417"/>
        <v>0</v>
      </c>
      <c r="N701" s="226">
        <f t="shared" si="417"/>
        <v>0</v>
      </c>
      <c r="O701" s="226">
        <f t="shared" si="417"/>
        <v>0</v>
      </c>
      <c r="P701" s="226">
        <f t="shared" si="417"/>
        <v>0</v>
      </c>
      <c r="Q701" s="226">
        <f t="shared" si="417"/>
        <v>0</v>
      </c>
      <c r="R701" s="226">
        <f t="shared" si="417"/>
        <v>0</v>
      </c>
      <c r="S701" s="226">
        <f t="shared" si="417"/>
        <v>0</v>
      </c>
      <c r="T701" s="279">
        <f t="shared" si="417"/>
        <v>0</v>
      </c>
    </row>
    <row r="702" spans="1:20" ht="12.75" customHeight="1" x14ac:dyDescent="0.2">
      <c r="A702" s="198" t="str">
        <f>"      "&amp;Labels!B318</f>
        <v xml:space="preserve">      Channels 2</v>
      </c>
      <c r="B702" s="226">
        <f t="shared" ref="B702:T702" si="418">SUM(B676,B689)</f>
        <v>0</v>
      </c>
      <c r="C702" s="226">
        <f t="shared" si="418"/>
        <v>0</v>
      </c>
      <c r="D702" s="226">
        <f t="shared" si="418"/>
        <v>0</v>
      </c>
      <c r="E702" s="226">
        <f t="shared" si="418"/>
        <v>53225.806451612902</v>
      </c>
      <c r="F702" s="226">
        <f t="shared" si="418"/>
        <v>55000</v>
      </c>
      <c r="G702" s="226">
        <f t="shared" si="418"/>
        <v>0</v>
      </c>
      <c r="H702" s="226">
        <f t="shared" si="418"/>
        <v>40000</v>
      </c>
      <c r="I702" s="226">
        <f t="shared" si="418"/>
        <v>38709.677419354841</v>
      </c>
      <c r="J702" s="226">
        <f t="shared" si="418"/>
        <v>38709.677419354841</v>
      </c>
      <c r="K702" s="226">
        <f t="shared" si="418"/>
        <v>0</v>
      </c>
      <c r="L702" s="226">
        <f t="shared" si="418"/>
        <v>0</v>
      </c>
      <c r="M702" s="226">
        <f t="shared" si="418"/>
        <v>0</v>
      </c>
      <c r="N702" s="226">
        <f t="shared" si="418"/>
        <v>0</v>
      </c>
      <c r="O702" s="226">
        <f t="shared" si="418"/>
        <v>0</v>
      </c>
      <c r="P702" s="226">
        <f t="shared" si="418"/>
        <v>0</v>
      </c>
      <c r="Q702" s="226">
        <f t="shared" si="418"/>
        <v>0</v>
      </c>
      <c r="R702" s="226">
        <f t="shared" si="418"/>
        <v>0</v>
      </c>
      <c r="S702" s="226">
        <f t="shared" si="418"/>
        <v>0</v>
      </c>
      <c r="T702" s="279">
        <f t="shared" si="418"/>
        <v>0</v>
      </c>
    </row>
    <row r="703" spans="1:20" ht="12.75" customHeight="1" x14ac:dyDescent="0.2">
      <c r="A703" s="188" t="str">
        <f>"      "&amp;Labels!C316</f>
        <v xml:space="preserve">      Total</v>
      </c>
      <c r="B703" s="196">
        <f t="shared" ref="B703:T703" si="419">SUM(B677,B690)</f>
        <v>0</v>
      </c>
      <c r="C703" s="196">
        <f t="shared" si="419"/>
        <v>0</v>
      </c>
      <c r="D703" s="196">
        <f t="shared" si="419"/>
        <v>0</v>
      </c>
      <c r="E703" s="196">
        <f t="shared" si="419"/>
        <v>109112.90322580645</v>
      </c>
      <c r="F703" s="196">
        <f t="shared" si="419"/>
        <v>112750</v>
      </c>
      <c r="G703" s="196">
        <f t="shared" si="419"/>
        <v>0</v>
      </c>
      <c r="H703" s="196">
        <f t="shared" si="419"/>
        <v>82000</v>
      </c>
      <c r="I703" s="196">
        <f t="shared" si="419"/>
        <v>79354.838709677424</v>
      </c>
      <c r="J703" s="196">
        <f t="shared" si="419"/>
        <v>79354.838709677424</v>
      </c>
      <c r="K703" s="196">
        <f t="shared" si="419"/>
        <v>0</v>
      </c>
      <c r="L703" s="196">
        <f t="shared" si="419"/>
        <v>0</v>
      </c>
      <c r="M703" s="196">
        <f t="shared" si="419"/>
        <v>0</v>
      </c>
      <c r="N703" s="196">
        <f t="shared" si="419"/>
        <v>0</v>
      </c>
      <c r="O703" s="196">
        <f t="shared" si="419"/>
        <v>0</v>
      </c>
      <c r="P703" s="196">
        <f t="shared" si="419"/>
        <v>0</v>
      </c>
      <c r="Q703" s="196">
        <f t="shared" si="419"/>
        <v>0</v>
      </c>
      <c r="R703" s="196">
        <f t="shared" si="419"/>
        <v>0</v>
      </c>
      <c r="S703" s="196">
        <f t="shared" si="419"/>
        <v>0</v>
      </c>
      <c r="T703" s="267">
        <f t="shared" si="419"/>
        <v>0</v>
      </c>
    </row>
    <row r="704" spans="1:20" ht="12.75" customHeight="1" x14ac:dyDescent="0.2">
      <c r="A704" s="188" t="str">
        <f>"   "&amp;Labels!B386</f>
        <v xml:space="preserve">   Prof Level 2</v>
      </c>
      <c r="B704" s="196"/>
      <c r="C704" s="196"/>
      <c r="D704" s="196"/>
      <c r="E704" s="196"/>
      <c r="F704" s="196"/>
      <c r="G704" s="196"/>
      <c r="H704" s="196"/>
      <c r="I704" s="196"/>
      <c r="J704" s="196"/>
      <c r="K704" s="196"/>
      <c r="L704" s="196"/>
      <c r="M704" s="196"/>
      <c r="N704" s="196"/>
      <c r="O704" s="196"/>
      <c r="P704" s="196"/>
      <c r="Q704" s="196"/>
      <c r="R704" s="196"/>
      <c r="S704" s="196"/>
      <c r="T704" s="267"/>
    </row>
    <row r="705" spans="1:20" ht="12.75" customHeight="1" x14ac:dyDescent="0.2">
      <c r="A705" s="198" t="str">
        <f>"      "&amp;Labels!B317</f>
        <v xml:space="preserve">      Channels 1</v>
      </c>
      <c r="B705" s="226">
        <f t="shared" ref="B705:T705" si="420">SUM(B679,B692)</f>
        <v>0</v>
      </c>
      <c r="C705" s="226">
        <f t="shared" si="420"/>
        <v>0</v>
      </c>
      <c r="D705" s="226">
        <f t="shared" si="420"/>
        <v>0</v>
      </c>
      <c r="E705" s="226">
        <f t="shared" si="420"/>
        <v>55887.096774193553</v>
      </c>
      <c r="F705" s="226">
        <f t="shared" si="420"/>
        <v>57750</v>
      </c>
      <c r="G705" s="226">
        <f t="shared" si="420"/>
        <v>0</v>
      </c>
      <c r="H705" s="226">
        <f t="shared" si="420"/>
        <v>42000</v>
      </c>
      <c r="I705" s="226">
        <f t="shared" si="420"/>
        <v>40645.161290322583</v>
      </c>
      <c r="J705" s="226">
        <f t="shared" si="420"/>
        <v>40645.161290322583</v>
      </c>
      <c r="K705" s="226">
        <f t="shared" si="420"/>
        <v>0</v>
      </c>
      <c r="L705" s="226">
        <f t="shared" si="420"/>
        <v>0</v>
      </c>
      <c r="M705" s="226">
        <f t="shared" si="420"/>
        <v>0</v>
      </c>
      <c r="N705" s="226">
        <f t="shared" si="420"/>
        <v>0</v>
      </c>
      <c r="O705" s="226">
        <f t="shared" si="420"/>
        <v>0</v>
      </c>
      <c r="P705" s="226">
        <f t="shared" si="420"/>
        <v>0</v>
      </c>
      <c r="Q705" s="226">
        <f t="shared" si="420"/>
        <v>0</v>
      </c>
      <c r="R705" s="226">
        <f t="shared" si="420"/>
        <v>0</v>
      </c>
      <c r="S705" s="226">
        <f t="shared" si="420"/>
        <v>0</v>
      </c>
      <c r="T705" s="279">
        <f t="shared" si="420"/>
        <v>0</v>
      </c>
    </row>
    <row r="706" spans="1:20" ht="12.75" customHeight="1" x14ac:dyDescent="0.2">
      <c r="A706" s="198" t="str">
        <f>"      "&amp;Labels!B318</f>
        <v xml:space="preserve">      Channels 2</v>
      </c>
      <c r="B706" s="226">
        <f t="shared" ref="B706:T706" si="421">SUM(B680,B693)</f>
        <v>0</v>
      </c>
      <c r="C706" s="226">
        <f t="shared" si="421"/>
        <v>0</v>
      </c>
      <c r="D706" s="226">
        <f t="shared" si="421"/>
        <v>0</v>
      </c>
      <c r="E706" s="226">
        <f t="shared" si="421"/>
        <v>53225.806451612902</v>
      </c>
      <c r="F706" s="226">
        <f t="shared" si="421"/>
        <v>55000</v>
      </c>
      <c r="G706" s="226">
        <f t="shared" si="421"/>
        <v>0</v>
      </c>
      <c r="H706" s="226">
        <f t="shared" si="421"/>
        <v>40000</v>
      </c>
      <c r="I706" s="226">
        <f t="shared" si="421"/>
        <v>38709.677419354841</v>
      </c>
      <c r="J706" s="226">
        <f t="shared" si="421"/>
        <v>38709.677419354841</v>
      </c>
      <c r="K706" s="226">
        <f t="shared" si="421"/>
        <v>0</v>
      </c>
      <c r="L706" s="226">
        <f t="shared" si="421"/>
        <v>0</v>
      </c>
      <c r="M706" s="226">
        <f t="shared" si="421"/>
        <v>0</v>
      </c>
      <c r="N706" s="226">
        <f t="shared" si="421"/>
        <v>0</v>
      </c>
      <c r="O706" s="226">
        <f t="shared" si="421"/>
        <v>0</v>
      </c>
      <c r="P706" s="226">
        <f t="shared" si="421"/>
        <v>0</v>
      </c>
      <c r="Q706" s="226">
        <f t="shared" si="421"/>
        <v>0</v>
      </c>
      <c r="R706" s="226">
        <f t="shared" si="421"/>
        <v>0</v>
      </c>
      <c r="S706" s="226">
        <f t="shared" si="421"/>
        <v>0</v>
      </c>
      <c r="T706" s="279">
        <f t="shared" si="421"/>
        <v>0</v>
      </c>
    </row>
    <row r="707" spans="1:20" ht="12.75" customHeight="1" x14ac:dyDescent="0.2">
      <c r="A707" s="188" t="str">
        <f>"      "&amp;Labels!C316</f>
        <v xml:space="preserve">      Total</v>
      </c>
      <c r="B707" s="196">
        <f t="shared" ref="B707:T707" si="422">SUM(B681,B694)</f>
        <v>0</v>
      </c>
      <c r="C707" s="196">
        <f t="shared" si="422"/>
        <v>0</v>
      </c>
      <c r="D707" s="196">
        <f t="shared" si="422"/>
        <v>0</v>
      </c>
      <c r="E707" s="196">
        <f t="shared" si="422"/>
        <v>109112.90322580645</v>
      </c>
      <c r="F707" s="196">
        <f t="shared" si="422"/>
        <v>112750</v>
      </c>
      <c r="G707" s="196">
        <f t="shared" si="422"/>
        <v>0</v>
      </c>
      <c r="H707" s="196">
        <f t="shared" si="422"/>
        <v>82000</v>
      </c>
      <c r="I707" s="196">
        <f t="shared" si="422"/>
        <v>79354.838709677424</v>
      </c>
      <c r="J707" s="196">
        <f t="shared" si="422"/>
        <v>79354.838709677424</v>
      </c>
      <c r="K707" s="196">
        <f t="shared" si="422"/>
        <v>0</v>
      </c>
      <c r="L707" s="196">
        <f t="shared" si="422"/>
        <v>0</v>
      </c>
      <c r="M707" s="196">
        <f t="shared" si="422"/>
        <v>0</v>
      </c>
      <c r="N707" s="196">
        <f t="shared" si="422"/>
        <v>0</v>
      </c>
      <c r="O707" s="196">
        <f t="shared" si="422"/>
        <v>0</v>
      </c>
      <c r="P707" s="196">
        <f t="shared" si="422"/>
        <v>0</v>
      </c>
      <c r="Q707" s="196">
        <f t="shared" si="422"/>
        <v>0</v>
      </c>
      <c r="R707" s="196">
        <f t="shared" si="422"/>
        <v>0</v>
      </c>
      <c r="S707" s="196">
        <f t="shared" si="422"/>
        <v>0</v>
      </c>
      <c r="T707" s="267">
        <f t="shared" si="422"/>
        <v>0</v>
      </c>
    </row>
    <row r="708" spans="1:20" ht="12.75" customHeight="1" x14ac:dyDescent="0.2">
      <c r="A708" s="191" t="str">
        <f>"   "&amp;Labels!C384</f>
        <v xml:space="preserve">   Total</v>
      </c>
      <c r="B708" s="192">
        <f t="shared" ref="B708:T708" si="423">SUM(B682,B695)</f>
        <v>0</v>
      </c>
      <c r="C708" s="192">
        <f t="shared" si="423"/>
        <v>0</v>
      </c>
      <c r="D708" s="192">
        <f t="shared" si="423"/>
        <v>0</v>
      </c>
      <c r="E708" s="192">
        <f t="shared" si="423"/>
        <v>218225.80645161291</v>
      </c>
      <c r="F708" s="192">
        <f t="shared" si="423"/>
        <v>225500</v>
      </c>
      <c r="G708" s="192">
        <f t="shared" si="423"/>
        <v>0</v>
      </c>
      <c r="H708" s="192">
        <f t="shared" si="423"/>
        <v>164000</v>
      </c>
      <c r="I708" s="192">
        <f t="shared" si="423"/>
        <v>158709.67741935485</v>
      </c>
      <c r="J708" s="192">
        <f t="shared" si="423"/>
        <v>158709.67741935485</v>
      </c>
      <c r="K708" s="192">
        <f t="shared" si="423"/>
        <v>0</v>
      </c>
      <c r="L708" s="192">
        <f t="shared" si="423"/>
        <v>0</v>
      </c>
      <c r="M708" s="192">
        <f t="shared" si="423"/>
        <v>0</v>
      </c>
      <c r="N708" s="192">
        <f t="shared" si="423"/>
        <v>0</v>
      </c>
      <c r="O708" s="192">
        <f t="shared" si="423"/>
        <v>0</v>
      </c>
      <c r="P708" s="192">
        <f t="shared" si="423"/>
        <v>0</v>
      </c>
      <c r="Q708" s="192">
        <f t="shared" si="423"/>
        <v>0</v>
      </c>
      <c r="R708" s="192">
        <f t="shared" si="423"/>
        <v>0</v>
      </c>
      <c r="S708" s="192">
        <f t="shared" si="423"/>
        <v>0</v>
      </c>
      <c r="T708" s="280">
        <f t="shared" si="423"/>
        <v>0</v>
      </c>
    </row>
    <row r="709" spans="1:20" ht="12.75" customHeight="1" x14ac:dyDescent="0.2">
      <c r="A709" s="198" t="str">
        <f>"      "&amp;Labels!B317</f>
        <v xml:space="preserve">      Channels 1</v>
      </c>
      <c r="B709" s="226">
        <f t="shared" ref="B709:T709" si="424">SUM(B683,B696)</f>
        <v>0</v>
      </c>
      <c r="C709" s="226">
        <f t="shared" si="424"/>
        <v>0</v>
      </c>
      <c r="D709" s="226">
        <f t="shared" si="424"/>
        <v>0</v>
      </c>
      <c r="E709" s="226">
        <f t="shared" si="424"/>
        <v>111774.19354838711</v>
      </c>
      <c r="F709" s="226">
        <f t="shared" si="424"/>
        <v>115500</v>
      </c>
      <c r="G709" s="226">
        <f t="shared" si="424"/>
        <v>0</v>
      </c>
      <c r="H709" s="226">
        <f t="shared" si="424"/>
        <v>84000</v>
      </c>
      <c r="I709" s="226">
        <f t="shared" si="424"/>
        <v>81290.322580645166</v>
      </c>
      <c r="J709" s="226">
        <f t="shared" si="424"/>
        <v>81290.322580645166</v>
      </c>
      <c r="K709" s="226">
        <f t="shared" si="424"/>
        <v>0</v>
      </c>
      <c r="L709" s="226">
        <f t="shared" si="424"/>
        <v>0</v>
      </c>
      <c r="M709" s="226">
        <f t="shared" si="424"/>
        <v>0</v>
      </c>
      <c r="N709" s="226">
        <f t="shared" si="424"/>
        <v>0</v>
      </c>
      <c r="O709" s="226">
        <f t="shared" si="424"/>
        <v>0</v>
      </c>
      <c r="P709" s="226">
        <f t="shared" si="424"/>
        <v>0</v>
      </c>
      <c r="Q709" s="226">
        <f t="shared" si="424"/>
        <v>0</v>
      </c>
      <c r="R709" s="226">
        <f t="shared" si="424"/>
        <v>0</v>
      </c>
      <c r="S709" s="226">
        <f t="shared" si="424"/>
        <v>0</v>
      </c>
      <c r="T709" s="279">
        <f t="shared" si="424"/>
        <v>0</v>
      </c>
    </row>
    <row r="710" spans="1:20" ht="12.75" customHeight="1" x14ac:dyDescent="0.2">
      <c r="A710" s="198" t="str">
        <f>"      "&amp;Labels!B318</f>
        <v xml:space="preserve">      Channels 2</v>
      </c>
      <c r="B710" s="226">
        <f t="shared" ref="B710:T710" si="425">SUM(B684,B697)</f>
        <v>0</v>
      </c>
      <c r="C710" s="226">
        <f t="shared" si="425"/>
        <v>0</v>
      </c>
      <c r="D710" s="226">
        <f t="shared" si="425"/>
        <v>0</v>
      </c>
      <c r="E710" s="226">
        <f t="shared" si="425"/>
        <v>106451.6129032258</v>
      </c>
      <c r="F710" s="226">
        <f t="shared" si="425"/>
        <v>110000</v>
      </c>
      <c r="G710" s="226">
        <f t="shared" si="425"/>
        <v>0</v>
      </c>
      <c r="H710" s="226">
        <f t="shared" si="425"/>
        <v>80000</v>
      </c>
      <c r="I710" s="226">
        <f t="shared" si="425"/>
        <v>77419.354838709682</v>
      </c>
      <c r="J710" s="226">
        <f t="shared" si="425"/>
        <v>77419.354838709682</v>
      </c>
      <c r="K710" s="226">
        <f t="shared" si="425"/>
        <v>0</v>
      </c>
      <c r="L710" s="226">
        <f t="shared" si="425"/>
        <v>0</v>
      </c>
      <c r="M710" s="226">
        <f t="shared" si="425"/>
        <v>0</v>
      </c>
      <c r="N710" s="226">
        <f t="shared" si="425"/>
        <v>0</v>
      </c>
      <c r="O710" s="226">
        <f t="shared" si="425"/>
        <v>0</v>
      </c>
      <c r="P710" s="226">
        <f t="shared" si="425"/>
        <v>0</v>
      </c>
      <c r="Q710" s="226">
        <f t="shared" si="425"/>
        <v>0</v>
      </c>
      <c r="R710" s="226">
        <f t="shared" si="425"/>
        <v>0</v>
      </c>
      <c r="S710" s="226">
        <f t="shared" si="425"/>
        <v>0</v>
      </c>
      <c r="T710" s="279">
        <f t="shared" si="425"/>
        <v>0</v>
      </c>
    </row>
    <row r="711" spans="1:20" ht="12.75" customHeight="1" x14ac:dyDescent="0.2">
      <c r="A711" s="220" t="str">
        <f>"      "&amp;Labels!C316</f>
        <v xml:space="preserve">      Total</v>
      </c>
      <c r="B711" s="228">
        <f t="shared" ref="B711:T711" si="426">SUM(B682,B695)</f>
        <v>0</v>
      </c>
      <c r="C711" s="228">
        <f t="shared" si="426"/>
        <v>0</v>
      </c>
      <c r="D711" s="228">
        <f t="shared" si="426"/>
        <v>0</v>
      </c>
      <c r="E711" s="228">
        <f t="shared" si="426"/>
        <v>218225.80645161291</v>
      </c>
      <c r="F711" s="228">
        <f t="shared" si="426"/>
        <v>225500</v>
      </c>
      <c r="G711" s="228">
        <f t="shared" si="426"/>
        <v>0</v>
      </c>
      <c r="H711" s="228">
        <f t="shared" si="426"/>
        <v>164000</v>
      </c>
      <c r="I711" s="228">
        <f t="shared" si="426"/>
        <v>158709.67741935485</v>
      </c>
      <c r="J711" s="228">
        <f t="shared" si="426"/>
        <v>158709.67741935485</v>
      </c>
      <c r="K711" s="228">
        <f t="shared" si="426"/>
        <v>0</v>
      </c>
      <c r="L711" s="228">
        <f t="shared" si="426"/>
        <v>0</v>
      </c>
      <c r="M711" s="228">
        <f t="shared" si="426"/>
        <v>0</v>
      </c>
      <c r="N711" s="228">
        <f t="shared" si="426"/>
        <v>0</v>
      </c>
      <c r="O711" s="228">
        <f t="shared" si="426"/>
        <v>0</v>
      </c>
      <c r="P711" s="228">
        <f t="shared" si="426"/>
        <v>0</v>
      </c>
      <c r="Q711" s="228">
        <f t="shared" si="426"/>
        <v>0</v>
      </c>
      <c r="R711" s="228">
        <f t="shared" si="426"/>
        <v>0</v>
      </c>
      <c r="S711" s="228">
        <f t="shared" si="426"/>
        <v>0</v>
      </c>
      <c r="T711" s="281">
        <f t="shared" si="426"/>
        <v>0</v>
      </c>
    </row>
    <row r="712" spans="1:20" ht="12.75" customHeight="1" x14ac:dyDescent="0.2">
      <c r="A712" s="1" t="str">
        <f>"Chg_Accts_Pay_1"</f>
        <v>Chg_Accts_Pay_1</v>
      </c>
    </row>
    <row r="713" spans="1:20" ht="12.75" customHeight="1" x14ac:dyDescent="0.2">
      <c r="B713" s="9" t="str">
        <f>'(FnCalls 1)'!F41</f>
        <v>MMM 2010</v>
      </c>
      <c r="C713" s="10" t="str">
        <f>'(FnCalls 1)'!F42</f>
        <v>MMM 2010</v>
      </c>
      <c r="D713" s="10" t="str">
        <f>'(FnCalls 1)'!F43</f>
        <v>MMM 2010</v>
      </c>
      <c r="E713" s="10" t="str">
        <f>'(FnCalls 1)'!F44</f>
        <v>MMM 2010</v>
      </c>
      <c r="F713" s="10" t="str">
        <f>'(FnCalls 1)'!F45</f>
        <v>MMM 2010</v>
      </c>
      <c r="G713" s="10" t="str">
        <f>'(FnCalls 1)'!F46</f>
        <v>MMM 2010</v>
      </c>
      <c r="H713" s="10" t="str">
        <f>'(FnCalls 1)'!F47</f>
        <v>MMM 2010</v>
      </c>
      <c r="I713" s="10" t="str">
        <f>'(FnCalls 1)'!F48</f>
        <v>MMM 2010</v>
      </c>
      <c r="J713" s="10" t="str">
        <f>'(FnCalls 1)'!F49</f>
        <v>MMM 2010</v>
      </c>
      <c r="K713" s="10" t="str">
        <f>'(FnCalls 1)'!F50</f>
        <v>MMM 2010</v>
      </c>
      <c r="L713" s="10" t="str">
        <f>'(FnCalls 1)'!F51</f>
        <v>MMM 2010</v>
      </c>
      <c r="M713" s="10" t="str">
        <f>'(FnCalls 1)'!F52</f>
        <v>MMM 2010</v>
      </c>
      <c r="N713" s="10" t="str">
        <f>'(FnCalls 1)'!F53</f>
        <v>MMM 2011</v>
      </c>
      <c r="O713" s="10" t="str">
        <f>'(FnCalls 1)'!F54</f>
        <v>MMM 2011</v>
      </c>
      <c r="P713" s="10" t="str">
        <f>'(FnCalls 1)'!F55</f>
        <v>MMM 2011</v>
      </c>
      <c r="Q713" s="10" t="str">
        <f>'(FnCalls 1)'!F56</f>
        <v>MMM 2011</v>
      </c>
      <c r="R713" s="10" t="str">
        <f>'(FnCalls 1)'!F57</f>
        <v>MMM 2011</v>
      </c>
      <c r="S713" s="11" t="str">
        <f>'(FnCalls 1)'!F58</f>
        <v>MMM 2011</v>
      </c>
    </row>
    <row r="714" spans="1:20" ht="12.75" customHeight="1" x14ac:dyDescent="0.2">
      <c r="A714" s="182" t="str">
        <f>Labels!B301</f>
        <v>Vendor Payables</v>
      </c>
      <c r="B714" s="183">
        <f>Liab!B9</f>
        <v>0</v>
      </c>
      <c r="C714" s="183">
        <f>Liab!C9</f>
        <v>0</v>
      </c>
      <c r="D714" s="183">
        <f>Liab!D9</f>
        <v>0</v>
      </c>
      <c r="E714" s="183">
        <f>Liab!E9</f>
        <v>0</v>
      </c>
      <c r="F714" s="183">
        <f>Liab!G9</f>
        <v>0</v>
      </c>
      <c r="G714" s="183">
        <f>Liab!H9</f>
        <v>0</v>
      </c>
      <c r="H714" s="183">
        <f>Liab!I9</f>
        <v>0</v>
      </c>
      <c r="I714" s="183">
        <f>Liab!K9</f>
        <v>0</v>
      </c>
      <c r="J714" s="183">
        <f>Liab!L9</f>
        <v>0</v>
      </c>
      <c r="K714" s="183">
        <f>Liab!M9</f>
        <v>0</v>
      </c>
      <c r="L714" s="183">
        <f>Liab!O9</f>
        <v>0</v>
      </c>
      <c r="M714" s="183">
        <f>Liab!P9</f>
        <v>0</v>
      </c>
      <c r="N714" s="183">
        <f>Liab!Q9</f>
        <v>0</v>
      </c>
      <c r="O714" s="183">
        <f>Liab!S9</f>
        <v>0</v>
      </c>
      <c r="P714" s="183">
        <f>Liab!T9</f>
        <v>0</v>
      </c>
      <c r="Q714" s="183">
        <f>Liab!U9</f>
        <v>0</v>
      </c>
      <c r="R714" s="183">
        <f>Liab!W9</f>
        <v>0</v>
      </c>
      <c r="S714" s="266">
        <f>Liab!X9</f>
        <v>0</v>
      </c>
    </row>
    <row r="715" spans="1:20" ht="12.75" customHeight="1" x14ac:dyDescent="0.2">
      <c r="A715" s="191" t="str">
        <f>Labels!B302</f>
        <v>Payroll Payables</v>
      </c>
      <c r="B715" s="192">
        <f>Liab!B10</f>
        <v>0</v>
      </c>
      <c r="C715" s="192">
        <f>Liab!C10</f>
        <v>0</v>
      </c>
      <c r="D715" s="192">
        <f>Liab!D10</f>
        <v>0</v>
      </c>
      <c r="E715" s="192">
        <f>Liab!E10</f>
        <v>0</v>
      </c>
      <c r="F715" s="192">
        <f>Liab!G10</f>
        <v>0</v>
      </c>
      <c r="G715" s="192">
        <f>Liab!H10</f>
        <v>0</v>
      </c>
      <c r="H715" s="192">
        <f>Liab!I10</f>
        <v>0</v>
      </c>
      <c r="I715" s="192">
        <f>Liab!K10</f>
        <v>0</v>
      </c>
      <c r="J715" s="192">
        <f>Liab!L10</f>
        <v>0</v>
      </c>
      <c r="K715" s="192">
        <f>Liab!M10</f>
        <v>0</v>
      </c>
      <c r="L715" s="192">
        <f>Liab!O10</f>
        <v>0</v>
      </c>
      <c r="M715" s="192">
        <f>Liab!P10</f>
        <v>0</v>
      </c>
      <c r="N715" s="192">
        <f>Liab!Q10</f>
        <v>0</v>
      </c>
      <c r="O715" s="192">
        <f>Liab!S10</f>
        <v>0</v>
      </c>
      <c r="P715" s="192">
        <f>Liab!T10</f>
        <v>0</v>
      </c>
      <c r="Q715" s="192">
        <f>Liab!U10</f>
        <v>0</v>
      </c>
      <c r="R715" s="192">
        <f>Liab!W10</f>
        <v>0</v>
      </c>
      <c r="S715" s="280">
        <f>Liab!X10</f>
        <v>0</v>
      </c>
    </row>
    <row r="716" spans="1:20" ht="12.75" customHeight="1" x14ac:dyDescent="0.2">
      <c r="A716" s="191" t="str">
        <f>Labels!B303</f>
        <v>Taxes Payable</v>
      </c>
      <c r="B716" s="192">
        <f>Liab!B11</f>
        <v>0</v>
      </c>
      <c r="C716" s="192">
        <f>Liab!C11</f>
        <v>0</v>
      </c>
      <c r="D716" s="192">
        <f>Liab!D11</f>
        <v>0</v>
      </c>
      <c r="E716" s="192">
        <f>Liab!E11</f>
        <v>0</v>
      </c>
      <c r="F716" s="192">
        <f>Liab!G11</f>
        <v>0</v>
      </c>
      <c r="G716" s="192">
        <f>Liab!H11</f>
        <v>0</v>
      </c>
      <c r="H716" s="192">
        <f>Liab!I11</f>
        <v>0</v>
      </c>
      <c r="I716" s="192">
        <f>Liab!K11</f>
        <v>0</v>
      </c>
      <c r="J716" s="192">
        <f>Liab!L11</f>
        <v>0</v>
      </c>
      <c r="K716" s="192">
        <f>Liab!M11</f>
        <v>0</v>
      </c>
      <c r="L716" s="192">
        <f>Liab!O11</f>
        <v>0</v>
      </c>
      <c r="M716" s="192">
        <f>Liab!P11</f>
        <v>0</v>
      </c>
      <c r="N716" s="192">
        <f>Liab!Q11</f>
        <v>0</v>
      </c>
      <c r="O716" s="192">
        <f>Liab!S11</f>
        <v>0</v>
      </c>
      <c r="P716" s="192">
        <f>Liab!T11</f>
        <v>0</v>
      </c>
      <c r="Q716" s="192">
        <f>Liab!U11</f>
        <v>0</v>
      </c>
      <c r="R716" s="192">
        <f>Liab!W11</f>
        <v>0</v>
      </c>
      <c r="S716" s="280">
        <f>Liab!X11</f>
        <v>0</v>
      </c>
    </row>
    <row r="717" spans="1:20" ht="12.75" customHeight="1" x14ac:dyDescent="0.2">
      <c r="A717" s="97" t="str">
        <f>Labels!C300</f>
        <v>Total</v>
      </c>
      <c r="B717" s="194">
        <f t="shared" ref="B717:S717" si="427">SUM(B714:B716)</f>
        <v>0</v>
      </c>
      <c r="C717" s="194">
        <f t="shared" si="427"/>
        <v>0</v>
      </c>
      <c r="D717" s="194">
        <f t="shared" si="427"/>
        <v>0</v>
      </c>
      <c r="E717" s="194">
        <f t="shared" si="427"/>
        <v>0</v>
      </c>
      <c r="F717" s="194">
        <f t="shared" si="427"/>
        <v>0</v>
      </c>
      <c r="G717" s="194">
        <f t="shared" si="427"/>
        <v>0</v>
      </c>
      <c r="H717" s="194">
        <f t="shared" si="427"/>
        <v>0</v>
      </c>
      <c r="I717" s="194">
        <f t="shared" si="427"/>
        <v>0</v>
      </c>
      <c r="J717" s="194">
        <f t="shared" si="427"/>
        <v>0</v>
      </c>
      <c r="K717" s="194">
        <f t="shared" si="427"/>
        <v>0</v>
      </c>
      <c r="L717" s="194">
        <f t="shared" si="427"/>
        <v>0</v>
      </c>
      <c r="M717" s="194">
        <f t="shared" si="427"/>
        <v>0</v>
      </c>
      <c r="N717" s="194">
        <f t="shared" si="427"/>
        <v>0</v>
      </c>
      <c r="O717" s="194">
        <f t="shared" si="427"/>
        <v>0</v>
      </c>
      <c r="P717" s="194">
        <f t="shared" si="427"/>
        <v>0</v>
      </c>
      <c r="Q717" s="194">
        <f t="shared" si="427"/>
        <v>0</v>
      </c>
      <c r="R717" s="194">
        <f t="shared" si="427"/>
        <v>0</v>
      </c>
      <c r="S717" s="351">
        <f t="shared" si="427"/>
        <v>0</v>
      </c>
    </row>
    <row r="718" spans="1:20" ht="12.75" customHeight="1" x14ac:dyDescent="0.2">
      <c r="A718" s="1" t="str">
        <f>"Cash_No_Short_Debt_1"</f>
        <v>Cash_No_Short_Debt_1</v>
      </c>
    </row>
    <row r="719" spans="1:20" ht="12.75" customHeight="1" x14ac:dyDescent="0.2">
      <c r="B719" s="9" t="str">
        <f>'(FnCalls 1)'!F40</f>
        <v>MMM 2009</v>
      </c>
      <c r="C719" s="10" t="str">
        <f>'(FnCalls 1)'!F41</f>
        <v>MMM 2010</v>
      </c>
      <c r="D719" s="10" t="str">
        <f>'(FnCalls 1)'!F42</f>
        <v>MMM 2010</v>
      </c>
      <c r="E719" s="10" t="str">
        <f>'(FnCalls 1)'!F43</f>
        <v>MMM 2010</v>
      </c>
      <c r="F719" s="10" t="str">
        <f>'(FnCalls 1)'!F44</f>
        <v>MMM 2010</v>
      </c>
      <c r="G719" s="10" t="str">
        <f>'(FnCalls 1)'!F45</f>
        <v>MMM 2010</v>
      </c>
      <c r="H719" s="10" t="str">
        <f>'(FnCalls 1)'!F46</f>
        <v>MMM 2010</v>
      </c>
      <c r="I719" s="10" t="str">
        <f>'(FnCalls 1)'!F47</f>
        <v>MMM 2010</v>
      </c>
      <c r="J719" s="10" t="str">
        <f>'(FnCalls 1)'!F48</f>
        <v>MMM 2010</v>
      </c>
      <c r="K719" s="10" t="str">
        <f>'(FnCalls 1)'!F49</f>
        <v>MMM 2010</v>
      </c>
      <c r="L719" s="10" t="str">
        <f>'(FnCalls 1)'!F50</f>
        <v>MMM 2010</v>
      </c>
      <c r="M719" s="10" t="str">
        <f>'(FnCalls 1)'!F51</f>
        <v>MMM 2010</v>
      </c>
      <c r="N719" s="10" t="str">
        <f>'(FnCalls 1)'!F52</f>
        <v>MMM 2010</v>
      </c>
      <c r="O719" s="10" t="str">
        <f>'(FnCalls 1)'!F53</f>
        <v>MMM 2011</v>
      </c>
      <c r="P719" s="10" t="str">
        <f>'(FnCalls 1)'!F54</f>
        <v>MMM 2011</v>
      </c>
      <c r="Q719" s="10" t="str">
        <f>'(FnCalls 1)'!F55</f>
        <v>MMM 2011</v>
      </c>
      <c r="R719" s="10" t="str">
        <f>'(FnCalls 1)'!F56</f>
        <v>MMM 2011</v>
      </c>
      <c r="S719" s="10" t="str">
        <f>'(FnCalls 1)'!F57</f>
        <v>MMM 2011</v>
      </c>
      <c r="T719" s="11" t="str">
        <f>'(FnCalls 1)'!F58</f>
        <v>MMM 2011</v>
      </c>
    </row>
    <row r="720" spans="1:20" ht="12.75" customHeight="1" x14ac:dyDescent="0.2">
      <c r="A720" s="97"/>
      <c r="B720" s="194">
        <f>0</f>
        <v>0</v>
      </c>
      <c r="C720" s="194">
        <f>0</f>
        <v>0</v>
      </c>
      <c r="D720" s="194">
        <f>0</f>
        <v>0</v>
      </c>
      <c r="E720" s="194">
        <f>0</f>
        <v>0</v>
      </c>
      <c r="F720" s="194">
        <f>0</f>
        <v>0</v>
      </c>
      <c r="G720" s="194">
        <f>0</f>
        <v>0</v>
      </c>
      <c r="H720" s="194">
        <f>0</f>
        <v>0</v>
      </c>
      <c r="I720" s="194">
        <f>0</f>
        <v>0</v>
      </c>
      <c r="J720" s="194">
        <f>0</f>
        <v>0</v>
      </c>
      <c r="K720" s="194">
        <f>0</f>
        <v>0</v>
      </c>
      <c r="L720" s="194">
        <f>0</f>
        <v>0</v>
      </c>
      <c r="M720" s="194">
        <f>0</f>
        <v>0</v>
      </c>
      <c r="N720" s="194">
        <f>0</f>
        <v>0</v>
      </c>
      <c r="O720" s="194">
        <f>0</f>
        <v>0</v>
      </c>
      <c r="P720" s="194">
        <f>0</f>
        <v>0</v>
      </c>
      <c r="Q720" s="194">
        <f>0</f>
        <v>0</v>
      </c>
      <c r="R720" s="194">
        <f>0</f>
        <v>0</v>
      </c>
      <c r="S720" s="194">
        <f>0</f>
        <v>0</v>
      </c>
      <c r="T720" s="351">
        <f>0</f>
        <v>0</v>
      </c>
    </row>
    <row r="721" spans="1:19" ht="12.75" customHeight="1" x14ac:dyDescent="0.2">
      <c r="A721" s="1" t="str">
        <f>"Chg_Inventory_Supplies_1"</f>
        <v>Chg_Inventory_Supplies_1</v>
      </c>
    </row>
    <row r="722" spans="1:19" ht="12.75" customHeight="1" x14ac:dyDescent="0.2">
      <c r="B722" s="9" t="str">
        <f>'(FnCalls 1)'!F41</f>
        <v>MMM 2010</v>
      </c>
      <c r="C722" s="10" t="str">
        <f>'(FnCalls 1)'!F42</f>
        <v>MMM 2010</v>
      </c>
      <c r="D722" s="10" t="str">
        <f>'(FnCalls 1)'!F43</f>
        <v>MMM 2010</v>
      </c>
      <c r="E722" s="10" t="str">
        <f>'(FnCalls 1)'!F44</f>
        <v>MMM 2010</v>
      </c>
      <c r="F722" s="10" t="str">
        <f>'(FnCalls 1)'!F45</f>
        <v>MMM 2010</v>
      </c>
      <c r="G722" s="10" t="str">
        <f>'(FnCalls 1)'!F46</f>
        <v>MMM 2010</v>
      </c>
      <c r="H722" s="10" t="str">
        <f>'(FnCalls 1)'!F47</f>
        <v>MMM 2010</v>
      </c>
      <c r="I722" s="10" t="str">
        <f>'(FnCalls 1)'!F48</f>
        <v>MMM 2010</v>
      </c>
      <c r="J722" s="10" t="str">
        <f>'(FnCalls 1)'!F49</f>
        <v>MMM 2010</v>
      </c>
      <c r="K722" s="10" t="str">
        <f>'(FnCalls 1)'!F50</f>
        <v>MMM 2010</v>
      </c>
      <c r="L722" s="10" t="str">
        <f>'(FnCalls 1)'!F51</f>
        <v>MMM 2010</v>
      </c>
      <c r="M722" s="10" t="str">
        <f>'(FnCalls 1)'!F52</f>
        <v>MMM 2010</v>
      </c>
      <c r="N722" s="10" t="str">
        <f>'(FnCalls 1)'!F53</f>
        <v>MMM 2011</v>
      </c>
      <c r="O722" s="10" t="str">
        <f>'(FnCalls 1)'!F54</f>
        <v>MMM 2011</v>
      </c>
      <c r="P722" s="10" t="str">
        <f>'(FnCalls 1)'!F55</f>
        <v>MMM 2011</v>
      </c>
      <c r="Q722" s="10" t="str">
        <f>'(FnCalls 1)'!F56</f>
        <v>MMM 2011</v>
      </c>
      <c r="R722" s="10" t="str">
        <f>'(FnCalls 1)'!F57</f>
        <v>MMM 2011</v>
      </c>
      <c r="S722" s="11" t="str">
        <f>'(FnCalls 1)'!F58</f>
        <v>MMM 2011</v>
      </c>
    </row>
    <row r="723" spans="1:19" ht="12.75" customHeight="1" x14ac:dyDescent="0.2">
      <c r="A723" s="182" t="str">
        <f>Labels!B397</f>
        <v>Supply Type 1</v>
      </c>
      <c r="B723" s="183">
        <f>0</f>
        <v>0</v>
      </c>
      <c r="C723" s="183">
        <f>0</f>
        <v>0</v>
      </c>
      <c r="D723" s="183">
        <f>0</f>
        <v>0</v>
      </c>
      <c r="E723" s="183">
        <f>0</f>
        <v>0</v>
      </c>
      <c r="F723" s="183">
        <f>0</f>
        <v>0</v>
      </c>
      <c r="G723" s="183">
        <f>0</f>
        <v>0</v>
      </c>
      <c r="H723" s="183">
        <f>0</f>
        <v>0</v>
      </c>
      <c r="I723" s="183">
        <f>0</f>
        <v>0</v>
      </c>
      <c r="J723" s="183">
        <f>0</f>
        <v>0</v>
      </c>
      <c r="K723" s="183">
        <f>0</f>
        <v>0</v>
      </c>
      <c r="L723" s="183">
        <f>0</f>
        <v>0</v>
      </c>
      <c r="M723" s="183">
        <f>0</f>
        <v>0</v>
      </c>
      <c r="N723" s="183">
        <f>0</f>
        <v>0</v>
      </c>
      <c r="O723" s="183">
        <f>0</f>
        <v>0</v>
      </c>
      <c r="P723" s="183">
        <f>0</f>
        <v>0</v>
      </c>
      <c r="Q723" s="183">
        <f>0</f>
        <v>0</v>
      </c>
      <c r="R723" s="183">
        <f>0</f>
        <v>0</v>
      </c>
      <c r="S723" s="266">
        <f>0</f>
        <v>0</v>
      </c>
    </row>
    <row r="724" spans="1:19" ht="12.75" customHeight="1" x14ac:dyDescent="0.2">
      <c r="A724" s="191" t="str">
        <f>Labels!B398</f>
        <v>Supply Type 2</v>
      </c>
      <c r="B724" s="192">
        <f>0</f>
        <v>0</v>
      </c>
      <c r="C724" s="192">
        <f>0</f>
        <v>0</v>
      </c>
      <c r="D724" s="192">
        <f>0</f>
        <v>0</v>
      </c>
      <c r="E724" s="192">
        <f>0</f>
        <v>0</v>
      </c>
      <c r="F724" s="192">
        <f>0</f>
        <v>0</v>
      </c>
      <c r="G724" s="192">
        <f>0</f>
        <v>0</v>
      </c>
      <c r="H724" s="192">
        <f>0</f>
        <v>0</v>
      </c>
      <c r="I724" s="192">
        <f>0</f>
        <v>0</v>
      </c>
      <c r="J724" s="192">
        <f>0</f>
        <v>0</v>
      </c>
      <c r="K724" s="192">
        <f>0</f>
        <v>0</v>
      </c>
      <c r="L724" s="192">
        <f>0</f>
        <v>0</v>
      </c>
      <c r="M724" s="192">
        <f>0</f>
        <v>0</v>
      </c>
      <c r="N724" s="192">
        <f>0</f>
        <v>0</v>
      </c>
      <c r="O724" s="192">
        <f>0</f>
        <v>0</v>
      </c>
      <c r="P724" s="192">
        <f>0</f>
        <v>0</v>
      </c>
      <c r="Q724" s="192">
        <f>0</f>
        <v>0</v>
      </c>
      <c r="R724" s="192">
        <f>0</f>
        <v>0</v>
      </c>
      <c r="S724" s="280">
        <f>0</f>
        <v>0</v>
      </c>
    </row>
    <row r="725" spans="1:19" ht="12.75" customHeight="1" x14ac:dyDescent="0.2">
      <c r="A725" s="97" t="str">
        <f>Labels!C396</f>
        <v>Total</v>
      </c>
      <c r="B725" s="194">
        <f t="shared" ref="B725:S725" si="428">SUM(B723:B724)</f>
        <v>0</v>
      </c>
      <c r="C725" s="194">
        <f t="shared" si="428"/>
        <v>0</v>
      </c>
      <c r="D725" s="194">
        <f t="shared" si="428"/>
        <v>0</v>
      </c>
      <c r="E725" s="194">
        <f t="shared" si="428"/>
        <v>0</v>
      </c>
      <c r="F725" s="194">
        <f t="shared" si="428"/>
        <v>0</v>
      </c>
      <c r="G725" s="194">
        <f t="shared" si="428"/>
        <v>0</v>
      </c>
      <c r="H725" s="194">
        <f t="shared" si="428"/>
        <v>0</v>
      </c>
      <c r="I725" s="194">
        <f t="shared" si="428"/>
        <v>0</v>
      </c>
      <c r="J725" s="194">
        <f t="shared" si="428"/>
        <v>0</v>
      </c>
      <c r="K725" s="194">
        <f t="shared" si="428"/>
        <v>0</v>
      </c>
      <c r="L725" s="194">
        <f t="shared" si="428"/>
        <v>0</v>
      </c>
      <c r="M725" s="194">
        <f t="shared" si="428"/>
        <v>0</v>
      </c>
      <c r="N725" s="194">
        <f t="shared" si="428"/>
        <v>0</v>
      </c>
      <c r="O725" s="194">
        <f t="shared" si="428"/>
        <v>0</v>
      </c>
      <c r="P725" s="194">
        <f t="shared" si="428"/>
        <v>0</v>
      </c>
      <c r="Q725" s="194">
        <f t="shared" si="428"/>
        <v>0</v>
      </c>
      <c r="R725" s="194">
        <f t="shared" si="428"/>
        <v>0</v>
      </c>
      <c r="S725" s="351">
        <f t="shared" si="428"/>
        <v>0</v>
      </c>
    </row>
    <row r="726" spans="1:19" ht="12.75" customHeight="1" x14ac:dyDescent="0.2">
      <c r="A726" s="1" t="str">
        <f>"Cash_Flow_Oper_1"</f>
        <v>Cash_Flow_Oper_1</v>
      </c>
    </row>
    <row r="727" spans="1:19" ht="12.75" customHeight="1" x14ac:dyDescent="0.2">
      <c r="B727" s="9" t="str">
        <f>'(FnCalls 1)'!F41</f>
        <v>MMM 2010</v>
      </c>
      <c r="C727" s="10" t="str">
        <f>'(FnCalls 1)'!F42</f>
        <v>MMM 2010</v>
      </c>
      <c r="D727" s="10" t="str">
        <f>'(FnCalls 1)'!F43</f>
        <v>MMM 2010</v>
      </c>
      <c r="E727" s="10" t="str">
        <f>'(FnCalls 1)'!F44</f>
        <v>MMM 2010</v>
      </c>
      <c r="F727" s="10" t="str">
        <f>'(FnCalls 1)'!F45</f>
        <v>MMM 2010</v>
      </c>
      <c r="G727" s="10" t="str">
        <f>'(FnCalls 1)'!F46</f>
        <v>MMM 2010</v>
      </c>
      <c r="H727" s="10" t="str">
        <f>'(FnCalls 1)'!F47</f>
        <v>MMM 2010</v>
      </c>
      <c r="I727" s="10" t="str">
        <f>'(FnCalls 1)'!F48</f>
        <v>MMM 2010</v>
      </c>
      <c r="J727" s="10" t="str">
        <f>'(FnCalls 1)'!F49</f>
        <v>MMM 2010</v>
      </c>
      <c r="K727" s="10" t="str">
        <f>'(FnCalls 1)'!F50</f>
        <v>MMM 2010</v>
      </c>
      <c r="L727" s="10" t="str">
        <f>'(FnCalls 1)'!F51</f>
        <v>MMM 2010</v>
      </c>
      <c r="M727" s="10" t="str">
        <f>'(FnCalls 1)'!F52</f>
        <v>MMM 2010</v>
      </c>
      <c r="N727" s="10" t="str">
        <f>'(FnCalls 1)'!F53</f>
        <v>MMM 2011</v>
      </c>
      <c r="O727" s="10" t="str">
        <f>'(FnCalls 1)'!F54</f>
        <v>MMM 2011</v>
      </c>
      <c r="P727" s="10" t="str">
        <f>'(FnCalls 1)'!F55</f>
        <v>MMM 2011</v>
      </c>
      <c r="Q727" s="10" t="str">
        <f>'(FnCalls 1)'!F56</f>
        <v>MMM 2011</v>
      </c>
      <c r="R727" s="10" t="str">
        <f>'(FnCalls 1)'!F57</f>
        <v>MMM 2011</v>
      </c>
      <c r="S727" s="11" t="str">
        <f>'(FnCalls 1)'!F58</f>
        <v>MMM 2011</v>
      </c>
    </row>
    <row r="728" spans="1:19" ht="12.75" customHeight="1" x14ac:dyDescent="0.2">
      <c r="A728" s="97"/>
      <c r="B728" s="194">
        <f>0</f>
        <v>0</v>
      </c>
      <c r="C728" s="194">
        <f>0</f>
        <v>0</v>
      </c>
      <c r="D728" s="194">
        <f>0</f>
        <v>0</v>
      </c>
      <c r="E728" s="194">
        <f>0</f>
        <v>0</v>
      </c>
      <c r="F728" s="194">
        <f>0</f>
        <v>0</v>
      </c>
      <c r="G728" s="194">
        <f>0</f>
        <v>0</v>
      </c>
      <c r="H728" s="194">
        <f>0</f>
        <v>0</v>
      </c>
      <c r="I728" s="194">
        <f>0</f>
        <v>0</v>
      </c>
      <c r="J728" s="194">
        <f>0</f>
        <v>0</v>
      </c>
      <c r="K728" s="194">
        <f>0</f>
        <v>0</v>
      </c>
      <c r="L728" s="194">
        <f>0</f>
        <v>0</v>
      </c>
      <c r="M728" s="194">
        <f>0</f>
        <v>0</v>
      </c>
      <c r="N728" s="194">
        <f>0</f>
        <v>0</v>
      </c>
      <c r="O728" s="194">
        <f>0</f>
        <v>0</v>
      </c>
      <c r="P728" s="194">
        <f>0</f>
        <v>0</v>
      </c>
      <c r="Q728" s="194">
        <f>0</f>
        <v>0</v>
      </c>
      <c r="R728" s="194">
        <f>0</f>
        <v>0</v>
      </c>
      <c r="S728" s="351">
        <f>0</f>
        <v>0</v>
      </c>
    </row>
    <row r="729" spans="1:19" ht="12.75" customHeight="1" x14ac:dyDescent="0.2">
      <c r="A729" s="1" t="str">
        <f>"Engage_Cost_TandE_1"</f>
        <v>Engage_Cost_TandE_1</v>
      </c>
    </row>
    <row r="730" spans="1:19" ht="12.75" customHeight="1" x14ac:dyDescent="0.2">
      <c r="B730" s="9" t="str">
        <f>'(FnCalls 1)'!F41</f>
        <v>MMM 2010</v>
      </c>
      <c r="C730" s="10" t="str">
        <f>'(FnCalls 1)'!F42</f>
        <v>MMM 2010</v>
      </c>
      <c r="D730" s="10" t="str">
        <f>'(FnCalls 1)'!F43</f>
        <v>MMM 2010</v>
      </c>
      <c r="E730" s="10" t="str">
        <f>'(FnCalls 1)'!F44</f>
        <v>MMM 2010</v>
      </c>
      <c r="F730" s="10" t="str">
        <f>'(FnCalls 1)'!F45</f>
        <v>MMM 2010</v>
      </c>
      <c r="G730" s="10" t="str">
        <f>'(FnCalls 1)'!F46</f>
        <v>MMM 2010</v>
      </c>
      <c r="H730" s="10" t="str">
        <f>'(FnCalls 1)'!F47</f>
        <v>MMM 2010</v>
      </c>
      <c r="I730" s="10" t="str">
        <f>'(FnCalls 1)'!F48</f>
        <v>MMM 2010</v>
      </c>
      <c r="J730" s="10" t="str">
        <f>'(FnCalls 1)'!F49</f>
        <v>MMM 2010</v>
      </c>
      <c r="K730" s="10" t="str">
        <f>'(FnCalls 1)'!F50</f>
        <v>MMM 2010</v>
      </c>
      <c r="L730" s="10" t="str">
        <f>'(FnCalls 1)'!F51</f>
        <v>MMM 2010</v>
      </c>
      <c r="M730" s="10" t="str">
        <f>'(FnCalls 1)'!F52</f>
        <v>MMM 2010</v>
      </c>
      <c r="N730" s="10" t="str">
        <f>'(FnCalls 1)'!F53</f>
        <v>MMM 2011</v>
      </c>
      <c r="O730" s="10" t="str">
        <f>'(FnCalls 1)'!F54</f>
        <v>MMM 2011</v>
      </c>
      <c r="P730" s="10" t="str">
        <f>'(FnCalls 1)'!F55</f>
        <v>MMM 2011</v>
      </c>
      <c r="Q730" s="10" t="str">
        <f>'(FnCalls 1)'!F56</f>
        <v>MMM 2011</v>
      </c>
      <c r="R730" s="10" t="str">
        <f>'(FnCalls 1)'!F57</f>
        <v>MMM 2011</v>
      </c>
      <c r="S730" s="11" t="str">
        <f>'(FnCalls 1)'!F58</f>
        <v>MMM 2011</v>
      </c>
    </row>
    <row r="731" spans="1:19" ht="12.75" customHeight="1" x14ac:dyDescent="0.2">
      <c r="A731" s="182" t="str">
        <f>Labels!B345</f>
        <v>Engage 1</v>
      </c>
      <c r="B731" s="269"/>
      <c r="C731" s="269"/>
      <c r="D731" s="269"/>
      <c r="E731" s="269"/>
      <c r="F731" s="269"/>
      <c r="G731" s="269"/>
      <c r="H731" s="269"/>
      <c r="I731" s="269"/>
      <c r="J731" s="269"/>
      <c r="K731" s="269"/>
      <c r="L731" s="269"/>
      <c r="M731" s="269"/>
      <c r="N731" s="269"/>
      <c r="O731" s="269"/>
      <c r="P731" s="269"/>
      <c r="Q731" s="269"/>
      <c r="R731" s="269"/>
      <c r="S731" s="270"/>
    </row>
    <row r="732" spans="1:19" ht="12.75" customHeight="1" x14ac:dyDescent="0.2">
      <c r="A732" s="188" t="str">
        <f>"   "&amp;Labels!B385</f>
        <v xml:space="preserve">   Prof Level 1</v>
      </c>
      <c r="B732" s="248"/>
      <c r="C732" s="248"/>
      <c r="D732" s="248"/>
      <c r="E732" s="248"/>
      <c r="F732" s="248"/>
      <c r="G732" s="248"/>
      <c r="H732" s="248"/>
      <c r="I732" s="248"/>
      <c r="J732" s="248"/>
      <c r="K732" s="248"/>
      <c r="L732" s="248"/>
      <c r="M732" s="248"/>
      <c r="N732" s="248"/>
      <c r="O732" s="248"/>
      <c r="P732" s="248"/>
      <c r="Q732" s="248"/>
      <c r="R732" s="248"/>
      <c r="S732" s="271"/>
    </row>
    <row r="733" spans="1:19" ht="12.75" customHeight="1" x14ac:dyDescent="0.2">
      <c r="A733" s="198" t="str">
        <f>"      "&amp;Labels!B317</f>
        <v xml:space="preserve">      Channels 1</v>
      </c>
      <c r="B733" s="250">
        <f>Engage!B163*('(Tables)'!B410*Inputs!F153+'(Tables)'!C410*Inputs!F157)</f>
        <v>0</v>
      </c>
      <c r="C733" s="250">
        <f>Engage!C163*('(Tables)'!B410*Inputs!G153+'(Tables)'!C410*Inputs!G157)</f>
        <v>0</v>
      </c>
      <c r="D733" s="250">
        <f>Engage!D163*('(Tables)'!B410*Inputs!H153+'(Tables)'!C410*Inputs!H157)</f>
        <v>1375</v>
      </c>
      <c r="E733" s="250">
        <f>Engage!E163*('(Tables)'!B410*Inputs!I153+'(Tables)'!C410*Inputs!I157)</f>
        <v>1375</v>
      </c>
      <c r="F733" s="250">
        <f>Engage!F163*('(Tables)'!B410*Inputs!J153+'(Tables)'!C410*Inputs!J157)</f>
        <v>0</v>
      </c>
      <c r="G733" s="250">
        <f>Engage!G163*('(Tables)'!B410*Inputs!K153+'(Tables)'!C410*Inputs!K157)</f>
        <v>0</v>
      </c>
      <c r="H733" s="250">
        <f>Engage!H163*('(Tables)'!B410*Inputs!L153+'(Tables)'!C410*Inputs!L157)</f>
        <v>0</v>
      </c>
      <c r="I733" s="250">
        <f>Engage!I163*('(Tables)'!B410*Inputs!M153+'(Tables)'!C410*Inputs!M157)</f>
        <v>0</v>
      </c>
      <c r="J733" s="250">
        <f>Engage!J163*('(Tables)'!B410*Inputs!N153+'(Tables)'!C410*Inputs!N157)</f>
        <v>0</v>
      </c>
      <c r="K733" s="250">
        <f>Engage!K163*('(Tables)'!B410*Inputs!O153+'(Tables)'!C410*Inputs!O157)</f>
        <v>0</v>
      </c>
      <c r="L733" s="250">
        <f>Engage!L163*('(Tables)'!B410*Inputs!P153+'(Tables)'!C410*Inputs!P157)</f>
        <v>0</v>
      </c>
      <c r="M733" s="250">
        <f>Engage!M163*('(Tables)'!B410*Inputs!Q153+'(Tables)'!C410*Inputs!Q157)</f>
        <v>0</v>
      </c>
      <c r="N733" s="250">
        <f>Engage!N163*('(Tables)'!B410*Inputs!R153+'(Tables)'!C410*Inputs!R157)</f>
        <v>0</v>
      </c>
      <c r="O733" s="250">
        <f>Engage!O163*('(Tables)'!B410*Inputs!S153+'(Tables)'!C410*Inputs!S157)</f>
        <v>0</v>
      </c>
      <c r="P733" s="250">
        <f>Engage!P163*('(Tables)'!B410*Inputs!T153+'(Tables)'!C410*Inputs!T157)</f>
        <v>0</v>
      </c>
      <c r="Q733" s="250">
        <f>Engage!Q163*('(Tables)'!B410*Inputs!U153+'(Tables)'!C410*Inputs!U157)</f>
        <v>0</v>
      </c>
      <c r="R733" s="250">
        <f>Engage!R163*('(Tables)'!B410*Inputs!V153+'(Tables)'!C410*Inputs!V157)</f>
        <v>0</v>
      </c>
      <c r="S733" s="282">
        <f>Engage!S163*('(Tables)'!B410*Inputs!W153+'(Tables)'!C410*Inputs!W157)</f>
        <v>0</v>
      </c>
    </row>
    <row r="734" spans="1:19" ht="12.75" customHeight="1" x14ac:dyDescent="0.2">
      <c r="A734" s="198" t="str">
        <f>"      "&amp;Labels!B318</f>
        <v xml:space="preserve">      Channels 2</v>
      </c>
      <c r="B734" s="250">
        <f>Engage!B163*('(Tables)'!B410*Inputs!F154+'(Tables)'!C410*Inputs!F158)</f>
        <v>0</v>
      </c>
      <c r="C734" s="250">
        <f>Engage!C163*('(Tables)'!B410*Inputs!G154+'(Tables)'!C410*Inputs!G158)</f>
        <v>0</v>
      </c>
      <c r="D734" s="250">
        <f>Engage!D163*('(Tables)'!B410*Inputs!H154+'(Tables)'!C410*Inputs!H158)</f>
        <v>1375</v>
      </c>
      <c r="E734" s="250">
        <f>Engage!E163*('(Tables)'!B410*Inputs!I154+'(Tables)'!C410*Inputs!I158)</f>
        <v>1375</v>
      </c>
      <c r="F734" s="250">
        <f>Engage!F163*('(Tables)'!B410*Inputs!J154+'(Tables)'!C410*Inputs!J158)</f>
        <v>0</v>
      </c>
      <c r="G734" s="250">
        <f>Engage!G163*('(Tables)'!B410*Inputs!K154+'(Tables)'!C410*Inputs!K158)</f>
        <v>0</v>
      </c>
      <c r="H734" s="250">
        <f>Engage!H163*('(Tables)'!B410*Inputs!L154+'(Tables)'!C410*Inputs!L158)</f>
        <v>0</v>
      </c>
      <c r="I734" s="250">
        <f>Engage!I163*('(Tables)'!B410*Inputs!M154+'(Tables)'!C410*Inputs!M158)</f>
        <v>0</v>
      </c>
      <c r="J734" s="250">
        <f>Engage!J163*('(Tables)'!B410*Inputs!N154+'(Tables)'!C410*Inputs!N158)</f>
        <v>0</v>
      </c>
      <c r="K734" s="250">
        <f>Engage!K163*('(Tables)'!B410*Inputs!O154+'(Tables)'!C410*Inputs!O158)</f>
        <v>0</v>
      </c>
      <c r="L734" s="250">
        <f>Engage!L163*('(Tables)'!B410*Inputs!P154+'(Tables)'!C410*Inputs!P158)</f>
        <v>0</v>
      </c>
      <c r="M734" s="250">
        <f>Engage!M163*('(Tables)'!B410*Inputs!Q154+'(Tables)'!C410*Inputs!Q158)</f>
        <v>0</v>
      </c>
      <c r="N734" s="250">
        <f>Engage!N163*('(Tables)'!B410*Inputs!R154+'(Tables)'!C410*Inputs!R158)</f>
        <v>0</v>
      </c>
      <c r="O734" s="250">
        <f>Engage!O163*('(Tables)'!B410*Inputs!S154+'(Tables)'!C410*Inputs!S158)</f>
        <v>0</v>
      </c>
      <c r="P734" s="250">
        <f>Engage!P163*('(Tables)'!B410*Inputs!T154+'(Tables)'!C410*Inputs!T158)</f>
        <v>0</v>
      </c>
      <c r="Q734" s="250">
        <f>Engage!Q163*('(Tables)'!B410*Inputs!U154+'(Tables)'!C410*Inputs!U158)</f>
        <v>0</v>
      </c>
      <c r="R734" s="250">
        <f>Engage!R163*('(Tables)'!B410*Inputs!V154+'(Tables)'!C410*Inputs!V158)</f>
        <v>0</v>
      </c>
      <c r="S734" s="282">
        <f>Engage!S163*('(Tables)'!B410*Inputs!W154+'(Tables)'!C410*Inputs!W158)</f>
        <v>0</v>
      </c>
    </row>
    <row r="735" spans="1:19" ht="12.75" customHeight="1" x14ac:dyDescent="0.2">
      <c r="A735" s="188" t="str">
        <f>"      "&amp;Labels!C316</f>
        <v xml:space="preserve">      Total</v>
      </c>
      <c r="B735" s="248">
        <f t="shared" ref="B735:S735" si="429">SUM(B733:B734)</f>
        <v>0</v>
      </c>
      <c r="C735" s="248">
        <f t="shared" si="429"/>
        <v>0</v>
      </c>
      <c r="D735" s="248">
        <f t="shared" si="429"/>
        <v>2750</v>
      </c>
      <c r="E735" s="248">
        <f t="shared" si="429"/>
        <v>2750</v>
      </c>
      <c r="F735" s="248">
        <f t="shared" si="429"/>
        <v>0</v>
      </c>
      <c r="G735" s="248">
        <f t="shared" si="429"/>
        <v>0</v>
      </c>
      <c r="H735" s="248">
        <f t="shared" si="429"/>
        <v>0</v>
      </c>
      <c r="I735" s="248">
        <f t="shared" si="429"/>
        <v>0</v>
      </c>
      <c r="J735" s="248">
        <f t="shared" si="429"/>
        <v>0</v>
      </c>
      <c r="K735" s="248">
        <f t="shared" si="429"/>
        <v>0</v>
      </c>
      <c r="L735" s="248">
        <f t="shared" si="429"/>
        <v>0</v>
      </c>
      <c r="M735" s="248">
        <f t="shared" si="429"/>
        <v>0</v>
      </c>
      <c r="N735" s="248">
        <f t="shared" si="429"/>
        <v>0</v>
      </c>
      <c r="O735" s="248">
        <f t="shared" si="429"/>
        <v>0</v>
      </c>
      <c r="P735" s="248">
        <f t="shared" si="429"/>
        <v>0</v>
      </c>
      <c r="Q735" s="248">
        <f t="shared" si="429"/>
        <v>0</v>
      </c>
      <c r="R735" s="248">
        <f t="shared" si="429"/>
        <v>0</v>
      </c>
      <c r="S735" s="271">
        <f t="shared" si="429"/>
        <v>0</v>
      </c>
    </row>
    <row r="736" spans="1:19" ht="12.75" customHeight="1" x14ac:dyDescent="0.2">
      <c r="A736" s="188" t="str">
        <f>"   "&amp;Labels!B386</f>
        <v xml:space="preserve">   Prof Level 2</v>
      </c>
      <c r="B736" s="248"/>
      <c r="C736" s="248"/>
      <c r="D736" s="248"/>
      <c r="E736" s="248"/>
      <c r="F736" s="248"/>
      <c r="G736" s="248"/>
      <c r="H736" s="248"/>
      <c r="I736" s="248"/>
      <c r="J736" s="248"/>
      <c r="K736" s="248"/>
      <c r="L736" s="248"/>
      <c r="M736" s="248"/>
      <c r="N736" s="248"/>
      <c r="O736" s="248"/>
      <c r="P736" s="248"/>
      <c r="Q736" s="248"/>
      <c r="R736" s="248"/>
      <c r="S736" s="271"/>
    </row>
    <row r="737" spans="1:19" ht="12.75" customHeight="1" x14ac:dyDescent="0.2">
      <c r="A737" s="198" t="str">
        <f>"      "&amp;Labels!B317</f>
        <v xml:space="preserve">      Channels 1</v>
      </c>
      <c r="B737" s="250">
        <f>Engage!B164*('(Tables)'!B410*Inputs!F155+'(Tables)'!C410*Inputs!F159)</f>
        <v>0</v>
      </c>
      <c r="C737" s="250">
        <f>Engage!C164*('(Tables)'!B410*Inputs!G155+'(Tables)'!C410*Inputs!G159)</f>
        <v>0</v>
      </c>
      <c r="D737" s="250">
        <f>Engage!D164*('(Tables)'!B410*Inputs!H155+'(Tables)'!C410*Inputs!H159)</f>
        <v>1375</v>
      </c>
      <c r="E737" s="250">
        <f>Engage!E164*('(Tables)'!B410*Inputs!I155+'(Tables)'!C410*Inputs!I159)</f>
        <v>1375</v>
      </c>
      <c r="F737" s="250">
        <f>Engage!F164*('(Tables)'!B410*Inputs!J155+'(Tables)'!C410*Inputs!J159)</f>
        <v>0</v>
      </c>
      <c r="G737" s="250">
        <f>Engage!G164*('(Tables)'!B410*Inputs!K155+'(Tables)'!C410*Inputs!K159)</f>
        <v>0</v>
      </c>
      <c r="H737" s="250">
        <f>Engage!H164*('(Tables)'!B410*Inputs!L155+'(Tables)'!C410*Inputs!L159)</f>
        <v>0</v>
      </c>
      <c r="I737" s="250">
        <f>Engage!I164*('(Tables)'!B410*Inputs!M155+'(Tables)'!C410*Inputs!M159)</f>
        <v>0</v>
      </c>
      <c r="J737" s="250">
        <f>Engage!J164*('(Tables)'!B410*Inputs!N155+'(Tables)'!C410*Inputs!N159)</f>
        <v>0</v>
      </c>
      <c r="K737" s="250">
        <f>Engage!K164*('(Tables)'!B410*Inputs!O155+'(Tables)'!C410*Inputs!O159)</f>
        <v>0</v>
      </c>
      <c r="L737" s="250">
        <f>Engage!L164*('(Tables)'!B410*Inputs!P155+'(Tables)'!C410*Inputs!P159)</f>
        <v>0</v>
      </c>
      <c r="M737" s="250">
        <f>Engage!M164*('(Tables)'!B410*Inputs!Q155+'(Tables)'!C410*Inputs!Q159)</f>
        <v>0</v>
      </c>
      <c r="N737" s="250">
        <f>Engage!N164*('(Tables)'!B410*Inputs!R155+'(Tables)'!C410*Inputs!R159)</f>
        <v>0</v>
      </c>
      <c r="O737" s="250">
        <f>Engage!O164*('(Tables)'!B410*Inputs!S155+'(Tables)'!C410*Inputs!S159)</f>
        <v>0</v>
      </c>
      <c r="P737" s="250">
        <f>Engage!P164*('(Tables)'!B410*Inputs!T155+'(Tables)'!C410*Inputs!T159)</f>
        <v>0</v>
      </c>
      <c r="Q737" s="250">
        <f>Engage!Q164*('(Tables)'!B410*Inputs!U155+'(Tables)'!C410*Inputs!U159)</f>
        <v>0</v>
      </c>
      <c r="R737" s="250">
        <f>Engage!R164*('(Tables)'!B410*Inputs!V155+'(Tables)'!C410*Inputs!V159)</f>
        <v>0</v>
      </c>
      <c r="S737" s="282">
        <f>Engage!S164*('(Tables)'!B410*Inputs!W155+'(Tables)'!C410*Inputs!W159)</f>
        <v>0</v>
      </c>
    </row>
    <row r="738" spans="1:19" ht="12.75" customHeight="1" x14ac:dyDescent="0.2">
      <c r="A738" s="198" t="str">
        <f>"      "&amp;Labels!B318</f>
        <v xml:space="preserve">      Channels 2</v>
      </c>
      <c r="B738" s="250">
        <f>Engage!B164*('(Tables)'!B410*Inputs!F156+'(Tables)'!C410*Inputs!F160)</f>
        <v>0</v>
      </c>
      <c r="C738" s="250">
        <f>Engage!C164*('(Tables)'!B410*Inputs!G156+'(Tables)'!C410*Inputs!G160)</f>
        <v>0</v>
      </c>
      <c r="D738" s="250">
        <f>Engage!D164*('(Tables)'!B410*Inputs!H156+'(Tables)'!C410*Inputs!H160)</f>
        <v>1375</v>
      </c>
      <c r="E738" s="250">
        <f>Engage!E164*('(Tables)'!B410*Inputs!I156+'(Tables)'!C410*Inputs!I160)</f>
        <v>1375</v>
      </c>
      <c r="F738" s="250">
        <f>Engage!F164*('(Tables)'!B410*Inputs!J156+'(Tables)'!C410*Inputs!J160)</f>
        <v>0</v>
      </c>
      <c r="G738" s="250">
        <f>Engage!G164*('(Tables)'!B410*Inputs!K156+'(Tables)'!C410*Inputs!K160)</f>
        <v>0</v>
      </c>
      <c r="H738" s="250">
        <f>Engage!H164*('(Tables)'!B410*Inputs!L156+'(Tables)'!C410*Inputs!L160)</f>
        <v>0</v>
      </c>
      <c r="I738" s="250">
        <f>Engage!I164*('(Tables)'!B410*Inputs!M156+'(Tables)'!C410*Inputs!M160)</f>
        <v>0</v>
      </c>
      <c r="J738" s="250">
        <f>Engage!J164*('(Tables)'!B410*Inputs!N156+'(Tables)'!C410*Inputs!N160)</f>
        <v>0</v>
      </c>
      <c r="K738" s="250">
        <f>Engage!K164*('(Tables)'!B410*Inputs!O156+'(Tables)'!C410*Inputs!O160)</f>
        <v>0</v>
      </c>
      <c r="L738" s="250">
        <f>Engage!L164*('(Tables)'!B410*Inputs!P156+'(Tables)'!C410*Inputs!P160)</f>
        <v>0</v>
      </c>
      <c r="M738" s="250">
        <f>Engage!M164*('(Tables)'!B410*Inputs!Q156+'(Tables)'!C410*Inputs!Q160)</f>
        <v>0</v>
      </c>
      <c r="N738" s="250">
        <f>Engage!N164*('(Tables)'!B410*Inputs!R156+'(Tables)'!C410*Inputs!R160)</f>
        <v>0</v>
      </c>
      <c r="O738" s="250">
        <f>Engage!O164*('(Tables)'!B410*Inputs!S156+'(Tables)'!C410*Inputs!S160)</f>
        <v>0</v>
      </c>
      <c r="P738" s="250">
        <f>Engage!P164*('(Tables)'!B410*Inputs!T156+'(Tables)'!C410*Inputs!T160)</f>
        <v>0</v>
      </c>
      <c r="Q738" s="250">
        <f>Engage!Q164*('(Tables)'!B410*Inputs!U156+'(Tables)'!C410*Inputs!U160)</f>
        <v>0</v>
      </c>
      <c r="R738" s="250">
        <f>Engage!R164*('(Tables)'!B410*Inputs!V156+'(Tables)'!C410*Inputs!V160)</f>
        <v>0</v>
      </c>
      <c r="S738" s="282">
        <f>Engage!S164*('(Tables)'!B410*Inputs!W156+'(Tables)'!C410*Inputs!W160)</f>
        <v>0</v>
      </c>
    </row>
    <row r="739" spans="1:19" ht="12.75" customHeight="1" x14ac:dyDescent="0.2">
      <c r="A739" s="188" t="str">
        <f>"      "&amp;Labels!C316</f>
        <v xml:space="preserve">      Total</v>
      </c>
      <c r="B739" s="248">
        <f t="shared" ref="B739:S739" si="430">SUM(B737:B738)</f>
        <v>0</v>
      </c>
      <c r="C739" s="248">
        <f t="shared" si="430"/>
        <v>0</v>
      </c>
      <c r="D739" s="248">
        <f t="shared" si="430"/>
        <v>2750</v>
      </c>
      <c r="E739" s="248">
        <f t="shared" si="430"/>
        <v>2750</v>
      </c>
      <c r="F739" s="248">
        <f t="shared" si="430"/>
        <v>0</v>
      </c>
      <c r="G739" s="248">
        <f t="shared" si="430"/>
        <v>0</v>
      </c>
      <c r="H739" s="248">
        <f t="shared" si="430"/>
        <v>0</v>
      </c>
      <c r="I739" s="248">
        <f t="shared" si="430"/>
        <v>0</v>
      </c>
      <c r="J739" s="248">
        <f t="shared" si="430"/>
        <v>0</v>
      </c>
      <c r="K739" s="248">
        <f t="shared" si="430"/>
        <v>0</v>
      </c>
      <c r="L739" s="248">
        <f t="shared" si="430"/>
        <v>0</v>
      </c>
      <c r="M739" s="248">
        <f t="shared" si="430"/>
        <v>0</v>
      </c>
      <c r="N739" s="248">
        <f t="shared" si="430"/>
        <v>0</v>
      </c>
      <c r="O739" s="248">
        <f t="shared" si="430"/>
        <v>0</v>
      </c>
      <c r="P739" s="248">
        <f t="shared" si="430"/>
        <v>0</v>
      </c>
      <c r="Q739" s="248">
        <f t="shared" si="430"/>
        <v>0</v>
      </c>
      <c r="R739" s="248">
        <f t="shared" si="430"/>
        <v>0</v>
      </c>
      <c r="S739" s="271">
        <f t="shared" si="430"/>
        <v>0</v>
      </c>
    </row>
    <row r="740" spans="1:19" ht="12.75" customHeight="1" x14ac:dyDescent="0.2">
      <c r="A740" s="191" t="str">
        <f>"   "&amp;Labels!C384</f>
        <v xml:space="preserve">   Total</v>
      </c>
      <c r="B740" s="247">
        <f t="shared" ref="B740:S740" si="431">SUM(B735,B739)</f>
        <v>0</v>
      </c>
      <c r="C740" s="247">
        <f t="shared" si="431"/>
        <v>0</v>
      </c>
      <c r="D740" s="247">
        <f t="shared" si="431"/>
        <v>5500</v>
      </c>
      <c r="E740" s="247">
        <f t="shared" si="431"/>
        <v>5500</v>
      </c>
      <c r="F740" s="247">
        <f t="shared" si="431"/>
        <v>0</v>
      </c>
      <c r="G740" s="247">
        <f t="shared" si="431"/>
        <v>0</v>
      </c>
      <c r="H740" s="247">
        <f t="shared" si="431"/>
        <v>0</v>
      </c>
      <c r="I740" s="247">
        <f t="shared" si="431"/>
        <v>0</v>
      </c>
      <c r="J740" s="247">
        <f t="shared" si="431"/>
        <v>0</v>
      </c>
      <c r="K740" s="247">
        <f t="shared" si="431"/>
        <v>0</v>
      </c>
      <c r="L740" s="247">
        <f t="shared" si="431"/>
        <v>0</v>
      </c>
      <c r="M740" s="247">
        <f t="shared" si="431"/>
        <v>0</v>
      </c>
      <c r="N740" s="247">
        <f t="shared" si="431"/>
        <v>0</v>
      </c>
      <c r="O740" s="247">
        <f t="shared" si="431"/>
        <v>0</v>
      </c>
      <c r="P740" s="247">
        <f t="shared" si="431"/>
        <v>0</v>
      </c>
      <c r="Q740" s="247">
        <f t="shared" si="431"/>
        <v>0</v>
      </c>
      <c r="R740" s="247">
        <f t="shared" si="431"/>
        <v>0</v>
      </c>
      <c r="S740" s="272">
        <f t="shared" si="431"/>
        <v>0</v>
      </c>
    </row>
    <row r="741" spans="1:19" ht="12.75" customHeight="1" x14ac:dyDescent="0.2">
      <c r="A741" s="198" t="str">
        <f>"      "&amp;Labels!B317</f>
        <v xml:space="preserve">      Channels 1</v>
      </c>
      <c r="B741" s="250">
        <f t="shared" ref="B741:S741" si="432">SUM(B733,B737)</f>
        <v>0</v>
      </c>
      <c r="C741" s="250">
        <f t="shared" si="432"/>
        <v>0</v>
      </c>
      <c r="D741" s="250">
        <f t="shared" si="432"/>
        <v>2750</v>
      </c>
      <c r="E741" s="250">
        <f t="shared" si="432"/>
        <v>2750</v>
      </c>
      <c r="F741" s="250">
        <f t="shared" si="432"/>
        <v>0</v>
      </c>
      <c r="G741" s="250">
        <f t="shared" si="432"/>
        <v>0</v>
      </c>
      <c r="H741" s="250">
        <f t="shared" si="432"/>
        <v>0</v>
      </c>
      <c r="I741" s="250">
        <f t="shared" si="432"/>
        <v>0</v>
      </c>
      <c r="J741" s="250">
        <f t="shared" si="432"/>
        <v>0</v>
      </c>
      <c r="K741" s="250">
        <f t="shared" si="432"/>
        <v>0</v>
      </c>
      <c r="L741" s="250">
        <f t="shared" si="432"/>
        <v>0</v>
      </c>
      <c r="M741" s="250">
        <f t="shared" si="432"/>
        <v>0</v>
      </c>
      <c r="N741" s="250">
        <f t="shared" si="432"/>
        <v>0</v>
      </c>
      <c r="O741" s="250">
        <f t="shared" si="432"/>
        <v>0</v>
      </c>
      <c r="P741" s="250">
        <f t="shared" si="432"/>
        <v>0</v>
      </c>
      <c r="Q741" s="250">
        <f t="shared" si="432"/>
        <v>0</v>
      </c>
      <c r="R741" s="250">
        <f t="shared" si="432"/>
        <v>0</v>
      </c>
      <c r="S741" s="282">
        <f t="shared" si="432"/>
        <v>0</v>
      </c>
    </row>
    <row r="742" spans="1:19" ht="12.75" customHeight="1" x14ac:dyDescent="0.2">
      <c r="A742" s="198" t="str">
        <f>"      "&amp;Labels!B318</f>
        <v xml:space="preserve">      Channels 2</v>
      </c>
      <c r="B742" s="250">
        <f t="shared" ref="B742:S742" si="433">SUM(B734,B738)</f>
        <v>0</v>
      </c>
      <c r="C742" s="250">
        <f t="shared" si="433"/>
        <v>0</v>
      </c>
      <c r="D742" s="250">
        <f t="shared" si="433"/>
        <v>2750</v>
      </c>
      <c r="E742" s="250">
        <f t="shared" si="433"/>
        <v>2750</v>
      </c>
      <c r="F742" s="250">
        <f t="shared" si="433"/>
        <v>0</v>
      </c>
      <c r="G742" s="250">
        <f t="shared" si="433"/>
        <v>0</v>
      </c>
      <c r="H742" s="250">
        <f t="shared" si="433"/>
        <v>0</v>
      </c>
      <c r="I742" s="250">
        <f t="shared" si="433"/>
        <v>0</v>
      </c>
      <c r="J742" s="250">
        <f t="shared" si="433"/>
        <v>0</v>
      </c>
      <c r="K742" s="250">
        <f t="shared" si="433"/>
        <v>0</v>
      </c>
      <c r="L742" s="250">
        <f t="shared" si="433"/>
        <v>0</v>
      </c>
      <c r="M742" s="250">
        <f t="shared" si="433"/>
        <v>0</v>
      </c>
      <c r="N742" s="250">
        <f t="shared" si="433"/>
        <v>0</v>
      </c>
      <c r="O742" s="250">
        <f t="shared" si="433"/>
        <v>0</v>
      </c>
      <c r="P742" s="250">
        <f t="shared" si="433"/>
        <v>0</v>
      </c>
      <c r="Q742" s="250">
        <f t="shared" si="433"/>
        <v>0</v>
      </c>
      <c r="R742" s="250">
        <f t="shared" si="433"/>
        <v>0</v>
      </c>
      <c r="S742" s="282">
        <f t="shared" si="433"/>
        <v>0</v>
      </c>
    </row>
    <row r="743" spans="1:19" ht="12.75" customHeight="1" x14ac:dyDescent="0.2">
      <c r="A743" s="188" t="str">
        <f>"      "&amp;Labels!C316</f>
        <v xml:space="preserve">      Total</v>
      </c>
      <c r="B743" s="248">
        <f t="shared" ref="B743:S743" si="434">SUM(B735,B739)</f>
        <v>0</v>
      </c>
      <c r="C743" s="248">
        <f t="shared" si="434"/>
        <v>0</v>
      </c>
      <c r="D743" s="248">
        <f t="shared" si="434"/>
        <v>5500</v>
      </c>
      <c r="E743" s="248">
        <f t="shared" si="434"/>
        <v>5500</v>
      </c>
      <c r="F743" s="248">
        <f t="shared" si="434"/>
        <v>0</v>
      </c>
      <c r="G743" s="248">
        <f t="shared" si="434"/>
        <v>0</v>
      </c>
      <c r="H743" s="248">
        <f t="shared" si="434"/>
        <v>0</v>
      </c>
      <c r="I743" s="248">
        <f t="shared" si="434"/>
        <v>0</v>
      </c>
      <c r="J743" s="248">
        <f t="shared" si="434"/>
        <v>0</v>
      </c>
      <c r="K743" s="248">
        <f t="shared" si="434"/>
        <v>0</v>
      </c>
      <c r="L743" s="248">
        <f t="shared" si="434"/>
        <v>0</v>
      </c>
      <c r="M743" s="248">
        <f t="shared" si="434"/>
        <v>0</v>
      </c>
      <c r="N743" s="248">
        <f t="shared" si="434"/>
        <v>0</v>
      </c>
      <c r="O743" s="248">
        <f t="shared" si="434"/>
        <v>0</v>
      </c>
      <c r="P743" s="248">
        <f t="shared" si="434"/>
        <v>0</v>
      </c>
      <c r="Q743" s="248">
        <f t="shared" si="434"/>
        <v>0</v>
      </c>
      <c r="R743" s="248">
        <f t="shared" si="434"/>
        <v>0</v>
      </c>
      <c r="S743" s="271">
        <f t="shared" si="434"/>
        <v>0</v>
      </c>
    </row>
    <row r="744" spans="1:19" ht="12.75" customHeight="1" x14ac:dyDescent="0.2">
      <c r="A744" s="191" t="str">
        <f>Labels!B346</f>
        <v>Engage 2</v>
      </c>
      <c r="B744" s="247"/>
      <c r="C744" s="247"/>
      <c r="D744" s="247"/>
      <c r="E744" s="247"/>
      <c r="F744" s="247"/>
      <c r="G744" s="247"/>
      <c r="H744" s="247"/>
      <c r="I744" s="247"/>
      <c r="J744" s="247"/>
      <c r="K744" s="247"/>
      <c r="L744" s="247"/>
      <c r="M744" s="247"/>
      <c r="N744" s="247"/>
      <c r="O744" s="247"/>
      <c r="P744" s="247"/>
      <c r="Q744" s="247"/>
      <c r="R744" s="247"/>
      <c r="S744" s="272"/>
    </row>
    <row r="745" spans="1:19" ht="12.75" customHeight="1" x14ac:dyDescent="0.2">
      <c r="A745" s="188" t="str">
        <f>"   "&amp;Labels!B385</f>
        <v xml:space="preserve">   Prof Level 1</v>
      </c>
      <c r="B745" s="248"/>
      <c r="C745" s="248"/>
      <c r="D745" s="248"/>
      <c r="E745" s="248"/>
      <c r="F745" s="248"/>
      <c r="G745" s="248"/>
      <c r="H745" s="248"/>
      <c r="I745" s="248"/>
      <c r="J745" s="248"/>
      <c r="K745" s="248"/>
      <c r="L745" s="248"/>
      <c r="M745" s="248"/>
      <c r="N745" s="248"/>
      <c r="O745" s="248"/>
      <c r="P745" s="248"/>
      <c r="Q745" s="248"/>
      <c r="R745" s="248"/>
      <c r="S745" s="271"/>
    </row>
    <row r="746" spans="1:19" ht="12.75" customHeight="1" x14ac:dyDescent="0.2">
      <c r="A746" s="198" t="str">
        <f>"      "&amp;Labels!B317</f>
        <v xml:space="preserve">      Channels 1</v>
      </c>
      <c r="B746" s="250">
        <f>Engage!B167*('(Tables)'!B411*Inputs!F153+'(Tables)'!C411*Inputs!F157)</f>
        <v>0</v>
      </c>
      <c r="C746" s="250">
        <f>Engage!C167*('(Tables)'!B411*Inputs!G153+'(Tables)'!C411*Inputs!G157)</f>
        <v>0</v>
      </c>
      <c r="D746" s="250">
        <f>Engage!D167*('(Tables)'!B411*Inputs!H153+'(Tables)'!C411*Inputs!H157)</f>
        <v>0</v>
      </c>
      <c r="E746" s="250">
        <f>Engage!E167*('(Tables)'!B411*Inputs!I153+'(Tables)'!C411*Inputs!I157)</f>
        <v>0</v>
      </c>
      <c r="F746" s="250">
        <f>Engage!F167*('(Tables)'!B411*Inputs!J153+'(Tables)'!C411*Inputs!J157)</f>
        <v>0</v>
      </c>
      <c r="G746" s="250">
        <f>Engage!G167*('(Tables)'!B411*Inputs!K153+'(Tables)'!C411*Inputs!K157)</f>
        <v>1000</v>
      </c>
      <c r="H746" s="250">
        <f>Engage!H167*('(Tables)'!B411*Inputs!L153+'(Tables)'!C411*Inputs!L157)</f>
        <v>1000</v>
      </c>
      <c r="I746" s="250">
        <f>Engage!I167*('(Tables)'!B411*Inputs!M153+'(Tables)'!C411*Inputs!M157)</f>
        <v>1000</v>
      </c>
      <c r="J746" s="250">
        <f>Engage!J167*('(Tables)'!B411*Inputs!N153+'(Tables)'!C411*Inputs!N157)</f>
        <v>0</v>
      </c>
      <c r="K746" s="250">
        <f>Engage!K167*('(Tables)'!B411*Inputs!O153+'(Tables)'!C411*Inputs!O157)</f>
        <v>0</v>
      </c>
      <c r="L746" s="250">
        <f>Engage!L167*('(Tables)'!B411*Inputs!P153+'(Tables)'!C411*Inputs!P157)</f>
        <v>0</v>
      </c>
      <c r="M746" s="250">
        <f>Engage!M167*('(Tables)'!B411*Inputs!Q153+'(Tables)'!C411*Inputs!Q157)</f>
        <v>0</v>
      </c>
      <c r="N746" s="250">
        <f>Engage!N167*('(Tables)'!B411*Inputs!R153+'(Tables)'!C411*Inputs!R157)</f>
        <v>0</v>
      </c>
      <c r="O746" s="250">
        <f>Engage!O167*('(Tables)'!B411*Inputs!S153+'(Tables)'!C411*Inputs!S157)</f>
        <v>0</v>
      </c>
      <c r="P746" s="250">
        <f>Engage!P167*('(Tables)'!B411*Inputs!T153+'(Tables)'!C411*Inputs!T157)</f>
        <v>0</v>
      </c>
      <c r="Q746" s="250">
        <f>Engage!Q167*('(Tables)'!B411*Inputs!U153+'(Tables)'!C411*Inputs!U157)</f>
        <v>0</v>
      </c>
      <c r="R746" s="250">
        <f>Engage!R167*('(Tables)'!B411*Inputs!V153+'(Tables)'!C411*Inputs!V157)</f>
        <v>0</v>
      </c>
      <c r="S746" s="282">
        <f>Engage!S167*('(Tables)'!B411*Inputs!W153+'(Tables)'!C411*Inputs!W157)</f>
        <v>0</v>
      </c>
    </row>
    <row r="747" spans="1:19" ht="12.75" customHeight="1" x14ac:dyDescent="0.2">
      <c r="A747" s="198" t="str">
        <f>"      "&amp;Labels!B318</f>
        <v xml:space="preserve">      Channels 2</v>
      </c>
      <c r="B747" s="250">
        <f>Engage!B167*('(Tables)'!B411*Inputs!F154+'(Tables)'!C411*Inputs!F158)</f>
        <v>0</v>
      </c>
      <c r="C747" s="250">
        <f>Engage!C167*('(Tables)'!B411*Inputs!G154+'(Tables)'!C411*Inputs!G158)</f>
        <v>0</v>
      </c>
      <c r="D747" s="250">
        <f>Engage!D167*('(Tables)'!B411*Inputs!H154+'(Tables)'!C411*Inputs!H158)</f>
        <v>0</v>
      </c>
      <c r="E747" s="250">
        <f>Engage!E167*('(Tables)'!B411*Inputs!I154+'(Tables)'!C411*Inputs!I158)</f>
        <v>0</v>
      </c>
      <c r="F747" s="250">
        <f>Engage!F167*('(Tables)'!B411*Inputs!J154+'(Tables)'!C411*Inputs!J158)</f>
        <v>0</v>
      </c>
      <c r="G747" s="250">
        <f>Engage!G167*('(Tables)'!B411*Inputs!K154+'(Tables)'!C411*Inputs!K158)</f>
        <v>1000</v>
      </c>
      <c r="H747" s="250">
        <f>Engage!H167*('(Tables)'!B411*Inputs!L154+'(Tables)'!C411*Inputs!L158)</f>
        <v>1000</v>
      </c>
      <c r="I747" s="250">
        <f>Engage!I167*('(Tables)'!B411*Inputs!M154+'(Tables)'!C411*Inputs!M158)</f>
        <v>1000</v>
      </c>
      <c r="J747" s="250">
        <f>Engage!J167*('(Tables)'!B411*Inputs!N154+'(Tables)'!C411*Inputs!N158)</f>
        <v>0</v>
      </c>
      <c r="K747" s="250">
        <f>Engage!K167*('(Tables)'!B411*Inputs!O154+'(Tables)'!C411*Inputs!O158)</f>
        <v>0</v>
      </c>
      <c r="L747" s="250">
        <f>Engage!L167*('(Tables)'!B411*Inputs!P154+'(Tables)'!C411*Inputs!P158)</f>
        <v>0</v>
      </c>
      <c r="M747" s="250">
        <f>Engage!M167*('(Tables)'!B411*Inputs!Q154+'(Tables)'!C411*Inputs!Q158)</f>
        <v>0</v>
      </c>
      <c r="N747" s="250">
        <f>Engage!N167*('(Tables)'!B411*Inputs!R154+'(Tables)'!C411*Inputs!R158)</f>
        <v>0</v>
      </c>
      <c r="O747" s="250">
        <f>Engage!O167*('(Tables)'!B411*Inputs!S154+'(Tables)'!C411*Inputs!S158)</f>
        <v>0</v>
      </c>
      <c r="P747" s="250">
        <f>Engage!P167*('(Tables)'!B411*Inputs!T154+'(Tables)'!C411*Inputs!T158)</f>
        <v>0</v>
      </c>
      <c r="Q747" s="250">
        <f>Engage!Q167*('(Tables)'!B411*Inputs!U154+'(Tables)'!C411*Inputs!U158)</f>
        <v>0</v>
      </c>
      <c r="R747" s="250">
        <f>Engage!R167*('(Tables)'!B411*Inputs!V154+'(Tables)'!C411*Inputs!V158)</f>
        <v>0</v>
      </c>
      <c r="S747" s="282">
        <f>Engage!S167*('(Tables)'!B411*Inputs!W154+'(Tables)'!C411*Inputs!W158)</f>
        <v>0</v>
      </c>
    </row>
    <row r="748" spans="1:19" ht="12.75" customHeight="1" x14ac:dyDescent="0.2">
      <c r="A748" s="188" t="str">
        <f>"      "&amp;Labels!C316</f>
        <v xml:space="preserve">      Total</v>
      </c>
      <c r="B748" s="248">
        <f t="shared" ref="B748:S748" si="435">SUM(B746:B747)</f>
        <v>0</v>
      </c>
      <c r="C748" s="248">
        <f t="shared" si="435"/>
        <v>0</v>
      </c>
      <c r="D748" s="248">
        <f t="shared" si="435"/>
        <v>0</v>
      </c>
      <c r="E748" s="248">
        <f t="shared" si="435"/>
        <v>0</v>
      </c>
      <c r="F748" s="248">
        <f t="shared" si="435"/>
        <v>0</v>
      </c>
      <c r="G748" s="248">
        <f t="shared" si="435"/>
        <v>2000</v>
      </c>
      <c r="H748" s="248">
        <f t="shared" si="435"/>
        <v>2000</v>
      </c>
      <c r="I748" s="248">
        <f t="shared" si="435"/>
        <v>2000</v>
      </c>
      <c r="J748" s="248">
        <f t="shared" si="435"/>
        <v>0</v>
      </c>
      <c r="K748" s="248">
        <f t="shared" si="435"/>
        <v>0</v>
      </c>
      <c r="L748" s="248">
        <f t="shared" si="435"/>
        <v>0</v>
      </c>
      <c r="M748" s="248">
        <f t="shared" si="435"/>
        <v>0</v>
      </c>
      <c r="N748" s="248">
        <f t="shared" si="435"/>
        <v>0</v>
      </c>
      <c r="O748" s="248">
        <f t="shared" si="435"/>
        <v>0</v>
      </c>
      <c r="P748" s="248">
        <f t="shared" si="435"/>
        <v>0</v>
      </c>
      <c r="Q748" s="248">
        <f t="shared" si="435"/>
        <v>0</v>
      </c>
      <c r="R748" s="248">
        <f t="shared" si="435"/>
        <v>0</v>
      </c>
      <c r="S748" s="271">
        <f t="shared" si="435"/>
        <v>0</v>
      </c>
    </row>
    <row r="749" spans="1:19" ht="12.75" customHeight="1" x14ac:dyDescent="0.2">
      <c r="A749" s="188" t="str">
        <f>"   "&amp;Labels!B386</f>
        <v xml:space="preserve">   Prof Level 2</v>
      </c>
      <c r="B749" s="248"/>
      <c r="C749" s="248"/>
      <c r="D749" s="248"/>
      <c r="E749" s="248"/>
      <c r="F749" s="248"/>
      <c r="G749" s="248"/>
      <c r="H749" s="248"/>
      <c r="I749" s="248"/>
      <c r="J749" s="248"/>
      <c r="K749" s="248"/>
      <c r="L749" s="248"/>
      <c r="M749" s="248"/>
      <c r="N749" s="248"/>
      <c r="O749" s="248"/>
      <c r="P749" s="248"/>
      <c r="Q749" s="248"/>
      <c r="R749" s="248"/>
      <c r="S749" s="271"/>
    </row>
    <row r="750" spans="1:19" ht="12.75" customHeight="1" x14ac:dyDescent="0.2">
      <c r="A750" s="198" t="str">
        <f>"      "&amp;Labels!B317</f>
        <v xml:space="preserve">      Channels 1</v>
      </c>
      <c r="B750" s="250">
        <f>Engage!B168*('(Tables)'!B411*Inputs!F155+'(Tables)'!C411*Inputs!F159)</f>
        <v>0</v>
      </c>
      <c r="C750" s="250">
        <f>Engage!C168*('(Tables)'!B411*Inputs!G155+'(Tables)'!C411*Inputs!G159)</f>
        <v>0</v>
      </c>
      <c r="D750" s="250">
        <f>Engage!D168*('(Tables)'!B411*Inputs!H155+'(Tables)'!C411*Inputs!H159)</f>
        <v>0</v>
      </c>
      <c r="E750" s="250">
        <f>Engage!E168*('(Tables)'!B411*Inputs!I155+'(Tables)'!C411*Inputs!I159)</f>
        <v>0</v>
      </c>
      <c r="F750" s="250">
        <f>Engage!F168*('(Tables)'!B411*Inputs!J155+'(Tables)'!C411*Inputs!J159)</f>
        <v>0</v>
      </c>
      <c r="G750" s="250">
        <f>Engage!G168*('(Tables)'!B411*Inputs!K155+'(Tables)'!C411*Inputs!K159)</f>
        <v>1000</v>
      </c>
      <c r="H750" s="250">
        <f>Engage!H168*('(Tables)'!B411*Inputs!L155+'(Tables)'!C411*Inputs!L159)</f>
        <v>1000</v>
      </c>
      <c r="I750" s="250">
        <f>Engage!I168*('(Tables)'!B411*Inputs!M155+'(Tables)'!C411*Inputs!M159)</f>
        <v>1000</v>
      </c>
      <c r="J750" s="250">
        <f>Engage!J168*('(Tables)'!B411*Inputs!N155+'(Tables)'!C411*Inputs!N159)</f>
        <v>0</v>
      </c>
      <c r="K750" s="250">
        <f>Engage!K168*('(Tables)'!B411*Inputs!O155+'(Tables)'!C411*Inputs!O159)</f>
        <v>0</v>
      </c>
      <c r="L750" s="250">
        <f>Engage!L168*('(Tables)'!B411*Inputs!P155+'(Tables)'!C411*Inputs!P159)</f>
        <v>0</v>
      </c>
      <c r="M750" s="250">
        <f>Engage!M168*('(Tables)'!B411*Inputs!Q155+'(Tables)'!C411*Inputs!Q159)</f>
        <v>0</v>
      </c>
      <c r="N750" s="250">
        <f>Engage!N168*('(Tables)'!B411*Inputs!R155+'(Tables)'!C411*Inputs!R159)</f>
        <v>0</v>
      </c>
      <c r="O750" s="250">
        <f>Engage!O168*('(Tables)'!B411*Inputs!S155+'(Tables)'!C411*Inputs!S159)</f>
        <v>0</v>
      </c>
      <c r="P750" s="250">
        <f>Engage!P168*('(Tables)'!B411*Inputs!T155+'(Tables)'!C411*Inputs!T159)</f>
        <v>0</v>
      </c>
      <c r="Q750" s="250">
        <f>Engage!Q168*('(Tables)'!B411*Inputs!U155+'(Tables)'!C411*Inputs!U159)</f>
        <v>0</v>
      </c>
      <c r="R750" s="250">
        <f>Engage!R168*('(Tables)'!B411*Inputs!V155+'(Tables)'!C411*Inputs!V159)</f>
        <v>0</v>
      </c>
      <c r="S750" s="282">
        <f>Engage!S168*('(Tables)'!B411*Inputs!W155+'(Tables)'!C411*Inputs!W159)</f>
        <v>0</v>
      </c>
    </row>
    <row r="751" spans="1:19" ht="12.75" customHeight="1" x14ac:dyDescent="0.2">
      <c r="A751" s="198" t="str">
        <f>"      "&amp;Labels!B318</f>
        <v xml:space="preserve">      Channels 2</v>
      </c>
      <c r="B751" s="250">
        <f>Engage!B168*('(Tables)'!B411*Inputs!F156+'(Tables)'!C411*Inputs!F160)</f>
        <v>0</v>
      </c>
      <c r="C751" s="250">
        <f>Engage!C168*('(Tables)'!B411*Inputs!G156+'(Tables)'!C411*Inputs!G160)</f>
        <v>0</v>
      </c>
      <c r="D751" s="250">
        <f>Engage!D168*('(Tables)'!B411*Inputs!H156+'(Tables)'!C411*Inputs!H160)</f>
        <v>0</v>
      </c>
      <c r="E751" s="250">
        <f>Engage!E168*('(Tables)'!B411*Inputs!I156+'(Tables)'!C411*Inputs!I160)</f>
        <v>0</v>
      </c>
      <c r="F751" s="250">
        <f>Engage!F168*('(Tables)'!B411*Inputs!J156+'(Tables)'!C411*Inputs!J160)</f>
        <v>0</v>
      </c>
      <c r="G751" s="250">
        <f>Engage!G168*('(Tables)'!B411*Inputs!K156+'(Tables)'!C411*Inputs!K160)</f>
        <v>1000</v>
      </c>
      <c r="H751" s="250">
        <f>Engage!H168*('(Tables)'!B411*Inputs!L156+'(Tables)'!C411*Inputs!L160)</f>
        <v>1000</v>
      </c>
      <c r="I751" s="250">
        <f>Engage!I168*('(Tables)'!B411*Inputs!M156+'(Tables)'!C411*Inputs!M160)</f>
        <v>1000</v>
      </c>
      <c r="J751" s="250">
        <f>Engage!J168*('(Tables)'!B411*Inputs!N156+'(Tables)'!C411*Inputs!N160)</f>
        <v>0</v>
      </c>
      <c r="K751" s="250">
        <f>Engage!K168*('(Tables)'!B411*Inputs!O156+'(Tables)'!C411*Inputs!O160)</f>
        <v>0</v>
      </c>
      <c r="L751" s="250">
        <f>Engage!L168*('(Tables)'!B411*Inputs!P156+'(Tables)'!C411*Inputs!P160)</f>
        <v>0</v>
      </c>
      <c r="M751" s="250">
        <f>Engage!M168*('(Tables)'!B411*Inputs!Q156+'(Tables)'!C411*Inputs!Q160)</f>
        <v>0</v>
      </c>
      <c r="N751" s="250">
        <f>Engage!N168*('(Tables)'!B411*Inputs!R156+'(Tables)'!C411*Inputs!R160)</f>
        <v>0</v>
      </c>
      <c r="O751" s="250">
        <f>Engage!O168*('(Tables)'!B411*Inputs!S156+'(Tables)'!C411*Inputs!S160)</f>
        <v>0</v>
      </c>
      <c r="P751" s="250">
        <f>Engage!P168*('(Tables)'!B411*Inputs!T156+'(Tables)'!C411*Inputs!T160)</f>
        <v>0</v>
      </c>
      <c r="Q751" s="250">
        <f>Engage!Q168*('(Tables)'!B411*Inputs!U156+'(Tables)'!C411*Inputs!U160)</f>
        <v>0</v>
      </c>
      <c r="R751" s="250">
        <f>Engage!R168*('(Tables)'!B411*Inputs!V156+'(Tables)'!C411*Inputs!V160)</f>
        <v>0</v>
      </c>
      <c r="S751" s="282">
        <f>Engage!S168*('(Tables)'!B411*Inputs!W156+'(Tables)'!C411*Inputs!W160)</f>
        <v>0</v>
      </c>
    </row>
    <row r="752" spans="1:19" ht="12.75" customHeight="1" x14ac:dyDescent="0.2">
      <c r="A752" s="188" t="str">
        <f>"      "&amp;Labels!C316</f>
        <v xml:space="preserve">      Total</v>
      </c>
      <c r="B752" s="248">
        <f t="shared" ref="B752:S752" si="436">SUM(B750:B751)</f>
        <v>0</v>
      </c>
      <c r="C752" s="248">
        <f t="shared" si="436"/>
        <v>0</v>
      </c>
      <c r="D752" s="248">
        <f t="shared" si="436"/>
        <v>0</v>
      </c>
      <c r="E752" s="248">
        <f t="shared" si="436"/>
        <v>0</v>
      </c>
      <c r="F752" s="248">
        <f t="shared" si="436"/>
        <v>0</v>
      </c>
      <c r="G752" s="248">
        <f t="shared" si="436"/>
        <v>2000</v>
      </c>
      <c r="H752" s="248">
        <f t="shared" si="436"/>
        <v>2000</v>
      </c>
      <c r="I752" s="248">
        <f t="shared" si="436"/>
        <v>2000</v>
      </c>
      <c r="J752" s="248">
        <f t="shared" si="436"/>
        <v>0</v>
      </c>
      <c r="K752" s="248">
        <f t="shared" si="436"/>
        <v>0</v>
      </c>
      <c r="L752" s="248">
        <f t="shared" si="436"/>
        <v>0</v>
      </c>
      <c r="M752" s="248">
        <f t="shared" si="436"/>
        <v>0</v>
      </c>
      <c r="N752" s="248">
        <f t="shared" si="436"/>
        <v>0</v>
      </c>
      <c r="O752" s="248">
        <f t="shared" si="436"/>
        <v>0</v>
      </c>
      <c r="P752" s="248">
        <f t="shared" si="436"/>
        <v>0</v>
      </c>
      <c r="Q752" s="248">
        <f t="shared" si="436"/>
        <v>0</v>
      </c>
      <c r="R752" s="248">
        <f t="shared" si="436"/>
        <v>0</v>
      </c>
      <c r="S752" s="271">
        <f t="shared" si="436"/>
        <v>0</v>
      </c>
    </row>
    <row r="753" spans="1:19" ht="12.75" customHeight="1" x14ac:dyDescent="0.2">
      <c r="A753" s="191" t="str">
        <f>"   "&amp;Labels!C384</f>
        <v xml:space="preserve">   Total</v>
      </c>
      <c r="B753" s="247">
        <f t="shared" ref="B753:S753" si="437">SUM(B748,B752)</f>
        <v>0</v>
      </c>
      <c r="C753" s="247">
        <f t="shared" si="437"/>
        <v>0</v>
      </c>
      <c r="D753" s="247">
        <f t="shared" si="437"/>
        <v>0</v>
      </c>
      <c r="E753" s="247">
        <f t="shared" si="437"/>
        <v>0</v>
      </c>
      <c r="F753" s="247">
        <f t="shared" si="437"/>
        <v>0</v>
      </c>
      <c r="G753" s="247">
        <f t="shared" si="437"/>
        <v>4000</v>
      </c>
      <c r="H753" s="247">
        <f t="shared" si="437"/>
        <v>4000</v>
      </c>
      <c r="I753" s="247">
        <f t="shared" si="437"/>
        <v>4000</v>
      </c>
      <c r="J753" s="247">
        <f t="shared" si="437"/>
        <v>0</v>
      </c>
      <c r="K753" s="247">
        <f t="shared" si="437"/>
        <v>0</v>
      </c>
      <c r="L753" s="247">
        <f t="shared" si="437"/>
        <v>0</v>
      </c>
      <c r="M753" s="247">
        <f t="shared" si="437"/>
        <v>0</v>
      </c>
      <c r="N753" s="247">
        <f t="shared" si="437"/>
        <v>0</v>
      </c>
      <c r="O753" s="247">
        <f t="shared" si="437"/>
        <v>0</v>
      </c>
      <c r="P753" s="247">
        <f t="shared" si="437"/>
        <v>0</v>
      </c>
      <c r="Q753" s="247">
        <f t="shared" si="437"/>
        <v>0</v>
      </c>
      <c r="R753" s="247">
        <f t="shared" si="437"/>
        <v>0</v>
      </c>
      <c r="S753" s="272">
        <f t="shared" si="437"/>
        <v>0</v>
      </c>
    </row>
    <row r="754" spans="1:19" ht="12.75" customHeight="1" x14ac:dyDescent="0.2">
      <c r="A754" s="198" t="str">
        <f>"      "&amp;Labels!B317</f>
        <v xml:space="preserve">      Channels 1</v>
      </c>
      <c r="B754" s="250">
        <f t="shared" ref="B754:S754" si="438">SUM(B746,B750)</f>
        <v>0</v>
      </c>
      <c r="C754" s="250">
        <f t="shared" si="438"/>
        <v>0</v>
      </c>
      <c r="D754" s="250">
        <f t="shared" si="438"/>
        <v>0</v>
      </c>
      <c r="E754" s="250">
        <f t="shared" si="438"/>
        <v>0</v>
      </c>
      <c r="F754" s="250">
        <f t="shared" si="438"/>
        <v>0</v>
      </c>
      <c r="G754" s="250">
        <f t="shared" si="438"/>
        <v>2000</v>
      </c>
      <c r="H754" s="250">
        <f t="shared" si="438"/>
        <v>2000</v>
      </c>
      <c r="I754" s="250">
        <f t="shared" si="438"/>
        <v>2000</v>
      </c>
      <c r="J754" s="250">
        <f t="shared" si="438"/>
        <v>0</v>
      </c>
      <c r="K754" s="250">
        <f t="shared" si="438"/>
        <v>0</v>
      </c>
      <c r="L754" s="250">
        <f t="shared" si="438"/>
        <v>0</v>
      </c>
      <c r="M754" s="250">
        <f t="shared" si="438"/>
        <v>0</v>
      </c>
      <c r="N754" s="250">
        <f t="shared" si="438"/>
        <v>0</v>
      </c>
      <c r="O754" s="250">
        <f t="shared" si="438"/>
        <v>0</v>
      </c>
      <c r="P754" s="250">
        <f t="shared" si="438"/>
        <v>0</v>
      </c>
      <c r="Q754" s="250">
        <f t="shared" si="438"/>
        <v>0</v>
      </c>
      <c r="R754" s="250">
        <f t="shared" si="438"/>
        <v>0</v>
      </c>
      <c r="S754" s="282">
        <f t="shared" si="438"/>
        <v>0</v>
      </c>
    </row>
    <row r="755" spans="1:19" ht="12.75" customHeight="1" x14ac:dyDescent="0.2">
      <c r="A755" s="198" t="str">
        <f>"      "&amp;Labels!B318</f>
        <v xml:space="preserve">      Channels 2</v>
      </c>
      <c r="B755" s="250">
        <f t="shared" ref="B755:S755" si="439">SUM(B747,B751)</f>
        <v>0</v>
      </c>
      <c r="C755" s="250">
        <f t="shared" si="439"/>
        <v>0</v>
      </c>
      <c r="D755" s="250">
        <f t="shared" si="439"/>
        <v>0</v>
      </c>
      <c r="E755" s="250">
        <f t="shared" si="439"/>
        <v>0</v>
      </c>
      <c r="F755" s="250">
        <f t="shared" si="439"/>
        <v>0</v>
      </c>
      <c r="G755" s="250">
        <f t="shared" si="439"/>
        <v>2000</v>
      </c>
      <c r="H755" s="250">
        <f t="shared" si="439"/>
        <v>2000</v>
      </c>
      <c r="I755" s="250">
        <f t="shared" si="439"/>
        <v>2000</v>
      </c>
      <c r="J755" s="250">
        <f t="shared" si="439"/>
        <v>0</v>
      </c>
      <c r="K755" s="250">
        <f t="shared" si="439"/>
        <v>0</v>
      </c>
      <c r="L755" s="250">
        <f t="shared" si="439"/>
        <v>0</v>
      </c>
      <c r="M755" s="250">
        <f t="shared" si="439"/>
        <v>0</v>
      </c>
      <c r="N755" s="250">
        <f t="shared" si="439"/>
        <v>0</v>
      </c>
      <c r="O755" s="250">
        <f t="shared" si="439"/>
        <v>0</v>
      </c>
      <c r="P755" s="250">
        <f t="shared" si="439"/>
        <v>0</v>
      </c>
      <c r="Q755" s="250">
        <f t="shared" si="439"/>
        <v>0</v>
      </c>
      <c r="R755" s="250">
        <f t="shared" si="439"/>
        <v>0</v>
      </c>
      <c r="S755" s="282">
        <f t="shared" si="439"/>
        <v>0</v>
      </c>
    </row>
    <row r="756" spans="1:19" ht="12.75" customHeight="1" x14ac:dyDescent="0.2">
      <c r="A756" s="188" t="str">
        <f>"      "&amp;Labels!C316</f>
        <v xml:space="preserve">      Total</v>
      </c>
      <c r="B756" s="248">
        <f t="shared" ref="B756:S756" si="440">SUM(B748,B752)</f>
        <v>0</v>
      </c>
      <c r="C756" s="248">
        <f t="shared" si="440"/>
        <v>0</v>
      </c>
      <c r="D756" s="248">
        <f t="shared" si="440"/>
        <v>0</v>
      </c>
      <c r="E756" s="248">
        <f t="shared" si="440"/>
        <v>0</v>
      </c>
      <c r="F756" s="248">
        <f t="shared" si="440"/>
        <v>0</v>
      </c>
      <c r="G756" s="248">
        <f t="shared" si="440"/>
        <v>4000</v>
      </c>
      <c r="H756" s="248">
        <f t="shared" si="440"/>
        <v>4000</v>
      </c>
      <c r="I756" s="248">
        <f t="shared" si="440"/>
        <v>4000</v>
      </c>
      <c r="J756" s="248">
        <f t="shared" si="440"/>
        <v>0</v>
      </c>
      <c r="K756" s="248">
        <f t="shared" si="440"/>
        <v>0</v>
      </c>
      <c r="L756" s="248">
        <f t="shared" si="440"/>
        <v>0</v>
      </c>
      <c r="M756" s="248">
        <f t="shared" si="440"/>
        <v>0</v>
      </c>
      <c r="N756" s="248">
        <f t="shared" si="440"/>
        <v>0</v>
      </c>
      <c r="O756" s="248">
        <f t="shared" si="440"/>
        <v>0</v>
      </c>
      <c r="P756" s="248">
        <f t="shared" si="440"/>
        <v>0</v>
      </c>
      <c r="Q756" s="248">
        <f t="shared" si="440"/>
        <v>0</v>
      </c>
      <c r="R756" s="248">
        <f t="shared" si="440"/>
        <v>0</v>
      </c>
      <c r="S756" s="271">
        <f t="shared" si="440"/>
        <v>0</v>
      </c>
    </row>
    <row r="757" spans="1:19" ht="12.75" customHeight="1" x14ac:dyDescent="0.2">
      <c r="A757" s="97" t="str">
        <f>Labels!C344</f>
        <v>Total</v>
      </c>
      <c r="B757" s="355">
        <f t="shared" ref="B757:S757" si="441">SUM(B740,B753)</f>
        <v>0</v>
      </c>
      <c r="C757" s="355">
        <f t="shared" si="441"/>
        <v>0</v>
      </c>
      <c r="D757" s="355">
        <f t="shared" si="441"/>
        <v>5500</v>
      </c>
      <c r="E757" s="355">
        <f t="shared" si="441"/>
        <v>5500</v>
      </c>
      <c r="F757" s="355">
        <f t="shared" si="441"/>
        <v>0</v>
      </c>
      <c r="G757" s="355">
        <f t="shared" si="441"/>
        <v>4000</v>
      </c>
      <c r="H757" s="355">
        <f t="shared" si="441"/>
        <v>4000</v>
      </c>
      <c r="I757" s="355">
        <f t="shared" si="441"/>
        <v>4000</v>
      </c>
      <c r="J757" s="355">
        <f t="shared" si="441"/>
        <v>0</v>
      </c>
      <c r="K757" s="355">
        <f t="shared" si="441"/>
        <v>0</v>
      </c>
      <c r="L757" s="355">
        <f t="shared" si="441"/>
        <v>0</v>
      </c>
      <c r="M757" s="355">
        <f t="shared" si="441"/>
        <v>0</v>
      </c>
      <c r="N757" s="355">
        <f t="shared" si="441"/>
        <v>0</v>
      </c>
      <c r="O757" s="355">
        <f t="shared" si="441"/>
        <v>0</v>
      </c>
      <c r="P757" s="355">
        <f t="shared" si="441"/>
        <v>0</v>
      </c>
      <c r="Q757" s="355">
        <f t="shared" si="441"/>
        <v>0</v>
      </c>
      <c r="R757" s="355">
        <f t="shared" si="441"/>
        <v>0</v>
      </c>
      <c r="S757" s="356">
        <f t="shared" si="441"/>
        <v>0</v>
      </c>
    </row>
    <row r="758" spans="1:19" ht="12.75" customHeight="1" x14ac:dyDescent="0.2">
      <c r="A758" s="188" t="str">
        <f>"   "&amp;Labels!B385</f>
        <v xml:space="preserve">   Prof Level 1</v>
      </c>
      <c r="B758" s="248"/>
      <c r="C758" s="248"/>
      <c r="D758" s="248"/>
      <c r="E758" s="248"/>
      <c r="F758" s="248"/>
      <c r="G758" s="248"/>
      <c r="H758" s="248"/>
      <c r="I758" s="248"/>
      <c r="J758" s="248"/>
      <c r="K758" s="248"/>
      <c r="L758" s="248"/>
      <c r="M758" s="248"/>
      <c r="N758" s="248"/>
      <c r="O758" s="248"/>
      <c r="P758" s="248"/>
      <c r="Q758" s="248"/>
      <c r="R758" s="248"/>
      <c r="S758" s="271"/>
    </row>
    <row r="759" spans="1:19" ht="12.75" customHeight="1" x14ac:dyDescent="0.2">
      <c r="A759" s="198" t="str">
        <f>"      "&amp;Labels!B317</f>
        <v xml:space="preserve">      Channels 1</v>
      </c>
      <c r="B759" s="250">
        <f t="shared" ref="B759:S759" si="442">SUM(B733,B746)</f>
        <v>0</v>
      </c>
      <c r="C759" s="250">
        <f t="shared" si="442"/>
        <v>0</v>
      </c>
      <c r="D759" s="250">
        <f t="shared" si="442"/>
        <v>1375</v>
      </c>
      <c r="E759" s="250">
        <f t="shared" si="442"/>
        <v>1375</v>
      </c>
      <c r="F759" s="250">
        <f t="shared" si="442"/>
        <v>0</v>
      </c>
      <c r="G759" s="250">
        <f t="shared" si="442"/>
        <v>1000</v>
      </c>
      <c r="H759" s="250">
        <f t="shared" si="442"/>
        <v>1000</v>
      </c>
      <c r="I759" s="250">
        <f t="shared" si="442"/>
        <v>1000</v>
      </c>
      <c r="J759" s="250">
        <f t="shared" si="442"/>
        <v>0</v>
      </c>
      <c r="K759" s="250">
        <f t="shared" si="442"/>
        <v>0</v>
      </c>
      <c r="L759" s="250">
        <f t="shared" si="442"/>
        <v>0</v>
      </c>
      <c r="M759" s="250">
        <f t="shared" si="442"/>
        <v>0</v>
      </c>
      <c r="N759" s="250">
        <f t="shared" si="442"/>
        <v>0</v>
      </c>
      <c r="O759" s="250">
        <f t="shared" si="442"/>
        <v>0</v>
      </c>
      <c r="P759" s="250">
        <f t="shared" si="442"/>
        <v>0</v>
      </c>
      <c r="Q759" s="250">
        <f t="shared" si="442"/>
        <v>0</v>
      </c>
      <c r="R759" s="250">
        <f t="shared" si="442"/>
        <v>0</v>
      </c>
      <c r="S759" s="282">
        <f t="shared" si="442"/>
        <v>0</v>
      </c>
    </row>
    <row r="760" spans="1:19" ht="12.75" customHeight="1" x14ac:dyDescent="0.2">
      <c r="A760" s="198" t="str">
        <f>"      "&amp;Labels!B318</f>
        <v xml:space="preserve">      Channels 2</v>
      </c>
      <c r="B760" s="250">
        <f t="shared" ref="B760:S760" si="443">SUM(B734,B747)</f>
        <v>0</v>
      </c>
      <c r="C760" s="250">
        <f t="shared" si="443"/>
        <v>0</v>
      </c>
      <c r="D760" s="250">
        <f t="shared" si="443"/>
        <v>1375</v>
      </c>
      <c r="E760" s="250">
        <f t="shared" si="443"/>
        <v>1375</v>
      </c>
      <c r="F760" s="250">
        <f t="shared" si="443"/>
        <v>0</v>
      </c>
      <c r="G760" s="250">
        <f t="shared" si="443"/>
        <v>1000</v>
      </c>
      <c r="H760" s="250">
        <f t="shared" si="443"/>
        <v>1000</v>
      </c>
      <c r="I760" s="250">
        <f t="shared" si="443"/>
        <v>1000</v>
      </c>
      <c r="J760" s="250">
        <f t="shared" si="443"/>
        <v>0</v>
      </c>
      <c r="K760" s="250">
        <f t="shared" si="443"/>
        <v>0</v>
      </c>
      <c r="L760" s="250">
        <f t="shared" si="443"/>
        <v>0</v>
      </c>
      <c r="M760" s="250">
        <f t="shared" si="443"/>
        <v>0</v>
      </c>
      <c r="N760" s="250">
        <f t="shared" si="443"/>
        <v>0</v>
      </c>
      <c r="O760" s="250">
        <f t="shared" si="443"/>
        <v>0</v>
      </c>
      <c r="P760" s="250">
        <f t="shared" si="443"/>
        <v>0</v>
      </c>
      <c r="Q760" s="250">
        <f t="shared" si="443"/>
        <v>0</v>
      </c>
      <c r="R760" s="250">
        <f t="shared" si="443"/>
        <v>0</v>
      </c>
      <c r="S760" s="282">
        <f t="shared" si="443"/>
        <v>0</v>
      </c>
    </row>
    <row r="761" spans="1:19" ht="12.75" customHeight="1" x14ac:dyDescent="0.2">
      <c r="A761" s="188" t="str">
        <f>"      "&amp;Labels!C316</f>
        <v xml:space="preserve">      Total</v>
      </c>
      <c r="B761" s="248">
        <f t="shared" ref="B761:S761" si="444">SUM(B735,B748)</f>
        <v>0</v>
      </c>
      <c r="C761" s="248">
        <f t="shared" si="444"/>
        <v>0</v>
      </c>
      <c r="D761" s="248">
        <f t="shared" si="444"/>
        <v>2750</v>
      </c>
      <c r="E761" s="248">
        <f t="shared" si="444"/>
        <v>2750</v>
      </c>
      <c r="F761" s="248">
        <f t="shared" si="444"/>
        <v>0</v>
      </c>
      <c r="G761" s="248">
        <f t="shared" si="444"/>
        <v>2000</v>
      </c>
      <c r="H761" s="248">
        <f t="shared" si="444"/>
        <v>2000</v>
      </c>
      <c r="I761" s="248">
        <f t="shared" si="444"/>
        <v>2000</v>
      </c>
      <c r="J761" s="248">
        <f t="shared" si="444"/>
        <v>0</v>
      </c>
      <c r="K761" s="248">
        <f t="shared" si="444"/>
        <v>0</v>
      </c>
      <c r="L761" s="248">
        <f t="shared" si="444"/>
        <v>0</v>
      </c>
      <c r="M761" s="248">
        <f t="shared" si="444"/>
        <v>0</v>
      </c>
      <c r="N761" s="248">
        <f t="shared" si="444"/>
        <v>0</v>
      </c>
      <c r="O761" s="248">
        <f t="shared" si="444"/>
        <v>0</v>
      </c>
      <c r="P761" s="248">
        <f t="shared" si="444"/>
        <v>0</v>
      </c>
      <c r="Q761" s="248">
        <f t="shared" si="444"/>
        <v>0</v>
      </c>
      <c r="R761" s="248">
        <f t="shared" si="444"/>
        <v>0</v>
      </c>
      <c r="S761" s="271">
        <f t="shared" si="444"/>
        <v>0</v>
      </c>
    </row>
    <row r="762" spans="1:19" ht="12.75" customHeight="1" x14ac:dyDescent="0.2">
      <c r="A762" s="188" t="str">
        <f>"   "&amp;Labels!B386</f>
        <v xml:space="preserve">   Prof Level 2</v>
      </c>
      <c r="B762" s="248"/>
      <c r="C762" s="248"/>
      <c r="D762" s="248"/>
      <c r="E762" s="248"/>
      <c r="F762" s="248"/>
      <c r="G762" s="248"/>
      <c r="H762" s="248"/>
      <c r="I762" s="248"/>
      <c r="J762" s="248"/>
      <c r="K762" s="248"/>
      <c r="L762" s="248"/>
      <c r="M762" s="248"/>
      <c r="N762" s="248"/>
      <c r="O762" s="248"/>
      <c r="P762" s="248"/>
      <c r="Q762" s="248"/>
      <c r="R762" s="248"/>
      <c r="S762" s="271"/>
    </row>
    <row r="763" spans="1:19" ht="12.75" customHeight="1" x14ac:dyDescent="0.2">
      <c r="A763" s="198" t="str">
        <f>"      "&amp;Labels!B317</f>
        <v xml:space="preserve">      Channels 1</v>
      </c>
      <c r="B763" s="250">
        <f t="shared" ref="B763:S763" si="445">SUM(B737,B750)</f>
        <v>0</v>
      </c>
      <c r="C763" s="250">
        <f t="shared" si="445"/>
        <v>0</v>
      </c>
      <c r="D763" s="250">
        <f t="shared" si="445"/>
        <v>1375</v>
      </c>
      <c r="E763" s="250">
        <f t="shared" si="445"/>
        <v>1375</v>
      </c>
      <c r="F763" s="250">
        <f t="shared" si="445"/>
        <v>0</v>
      </c>
      <c r="G763" s="250">
        <f t="shared" si="445"/>
        <v>1000</v>
      </c>
      <c r="H763" s="250">
        <f t="shared" si="445"/>
        <v>1000</v>
      </c>
      <c r="I763" s="250">
        <f t="shared" si="445"/>
        <v>1000</v>
      </c>
      <c r="J763" s="250">
        <f t="shared" si="445"/>
        <v>0</v>
      </c>
      <c r="K763" s="250">
        <f t="shared" si="445"/>
        <v>0</v>
      </c>
      <c r="L763" s="250">
        <f t="shared" si="445"/>
        <v>0</v>
      </c>
      <c r="M763" s="250">
        <f t="shared" si="445"/>
        <v>0</v>
      </c>
      <c r="N763" s="250">
        <f t="shared" si="445"/>
        <v>0</v>
      </c>
      <c r="O763" s="250">
        <f t="shared" si="445"/>
        <v>0</v>
      </c>
      <c r="P763" s="250">
        <f t="shared" si="445"/>
        <v>0</v>
      </c>
      <c r="Q763" s="250">
        <f t="shared" si="445"/>
        <v>0</v>
      </c>
      <c r="R763" s="250">
        <f t="shared" si="445"/>
        <v>0</v>
      </c>
      <c r="S763" s="282">
        <f t="shared" si="445"/>
        <v>0</v>
      </c>
    </row>
    <row r="764" spans="1:19" ht="12.75" customHeight="1" x14ac:dyDescent="0.2">
      <c r="A764" s="198" t="str">
        <f>"      "&amp;Labels!B318</f>
        <v xml:space="preserve">      Channels 2</v>
      </c>
      <c r="B764" s="250">
        <f t="shared" ref="B764:S764" si="446">SUM(B738,B751)</f>
        <v>0</v>
      </c>
      <c r="C764" s="250">
        <f t="shared" si="446"/>
        <v>0</v>
      </c>
      <c r="D764" s="250">
        <f t="shared" si="446"/>
        <v>1375</v>
      </c>
      <c r="E764" s="250">
        <f t="shared" si="446"/>
        <v>1375</v>
      </c>
      <c r="F764" s="250">
        <f t="shared" si="446"/>
        <v>0</v>
      </c>
      <c r="G764" s="250">
        <f t="shared" si="446"/>
        <v>1000</v>
      </c>
      <c r="H764" s="250">
        <f t="shared" si="446"/>
        <v>1000</v>
      </c>
      <c r="I764" s="250">
        <f t="shared" si="446"/>
        <v>1000</v>
      </c>
      <c r="J764" s="250">
        <f t="shared" si="446"/>
        <v>0</v>
      </c>
      <c r="K764" s="250">
        <f t="shared" si="446"/>
        <v>0</v>
      </c>
      <c r="L764" s="250">
        <f t="shared" si="446"/>
        <v>0</v>
      </c>
      <c r="M764" s="250">
        <f t="shared" si="446"/>
        <v>0</v>
      </c>
      <c r="N764" s="250">
        <f t="shared" si="446"/>
        <v>0</v>
      </c>
      <c r="O764" s="250">
        <f t="shared" si="446"/>
        <v>0</v>
      </c>
      <c r="P764" s="250">
        <f t="shared" si="446"/>
        <v>0</v>
      </c>
      <c r="Q764" s="250">
        <f t="shared" si="446"/>
        <v>0</v>
      </c>
      <c r="R764" s="250">
        <f t="shared" si="446"/>
        <v>0</v>
      </c>
      <c r="S764" s="282">
        <f t="shared" si="446"/>
        <v>0</v>
      </c>
    </row>
    <row r="765" spans="1:19" ht="12.75" customHeight="1" x14ac:dyDescent="0.2">
      <c r="A765" s="188" t="str">
        <f>"      "&amp;Labels!C316</f>
        <v xml:space="preserve">      Total</v>
      </c>
      <c r="B765" s="248">
        <f t="shared" ref="B765:S765" si="447">SUM(B739,B752)</f>
        <v>0</v>
      </c>
      <c r="C765" s="248">
        <f t="shared" si="447"/>
        <v>0</v>
      </c>
      <c r="D765" s="248">
        <f t="shared" si="447"/>
        <v>2750</v>
      </c>
      <c r="E765" s="248">
        <f t="shared" si="447"/>
        <v>2750</v>
      </c>
      <c r="F765" s="248">
        <f t="shared" si="447"/>
        <v>0</v>
      </c>
      <c r="G765" s="248">
        <f t="shared" si="447"/>
        <v>2000</v>
      </c>
      <c r="H765" s="248">
        <f t="shared" si="447"/>
        <v>2000</v>
      </c>
      <c r="I765" s="248">
        <f t="shared" si="447"/>
        <v>2000</v>
      </c>
      <c r="J765" s="248">
        <f t="shared" si="447"/>
        <v>0</v>
      </c>
      <c r="K765" s="248">
        <f t="shared" si="447"/>
        <v>0</v>
      </c>
      <c r="L765" s="248">
        <f t="shared" si="447"/>
        <v>0</v>
      </c>
      <c r="M765" s="248">
        <f t="shared" si="447"/>
        <v>0</v>
      </c>
      <c r="N765" s="248">
        <f t="shared" si="447"/>
        <v>0</v>
      </c>
      <c r="O765" s="248">
        <f t="shared" si="447"/>
        <v>0</v>
      </c>
      <c r="P765" s="248">
        <f t="shared" si="447"/>
        <v>0</v>
      </c>
      <c r="Q765" s="248">
        <f t="shared" si="447"/>
        <v>0</v>
      </c>
      <c r="R765" s="248">
        <f t="shared" si="447"/>
        <v>0</v>
      </c>
      <c r="S765" s="271">
        <f t="shared" si="447"/>
        <v>0</v>
      </c>
    </row>
    <row r="766" spans="1:19" ht="12.75" customHeight="1" x14ac:dyDescent="0.2">
      <c r="A766" s="191" t="str">
        <f>"   "&amp;Labels!C384</f>
        <v xml:space="preserve">   Total</v>
      </c>
      <c r="B766" s="247">
        <f t="shared" ref="B766:S766" si="448">SUM(B740,B753)</f>
        <v>0</v>
      </c>
      <c r="C766" s="247">
        <f t="shared" si="448"/>
        <v>0</v>
      </c>
      <c r="D766" s="247">
        <f t="shared" si="448"/>
        <v>5500</v>
      </c>
      <c r="E766" s="247">
        <f t="shared" si="448"/>
        <v>5500</v>
      </c>
      <c r="F766" s="247">
        <f t="shared" si="448"/>
        <v>0</v>
      </c>
      <c r="G766" s="247">
        <f t="shared" si="448"/>
        <v>4000</v>
      </c>
      <c r="H766" s="247">
        <f t="shared" si="448"/>
        <v>4000</v>
      </c>
      <c r="I766" s="247">
        <f t="shared" si="448"/>
        <v>4000</v>
      </c>
      <c r="J766" s="247">
        <f t="shared" si="448"/>
        <v>0</v>
      </c>
      <c r="K766" s="247">
        <f t="shared" si="448"/>
        <v>0</v>
      </c>
      <c r="L766" s="247">
        <f t="shared" si="448"/>
        <v>0</v>
      </c>
      <c r="M766" s="247">
        <f t="shared" si="448"/>
        <v>0</v>
      </c>
      <c r="N766" s="247">
        <f t="shared" si="448"/>
        <v>0</v>
      </c>
      <c r="O766" s="247">
        <f t="shared" si="448"/>
        <v>0</v>
      </c>
      <c r="P766" s="247">
        <f t="shared" si="448"/>
        <v>0</v>
      </c>
      <c r="Q766" s="247">
        <f t="shared" si="448"/>
        <v>0</v>
      </c>
      <c r="R766" s="247">
        <f t="shared" si="448"/>
        <v>0</v>
      </c>
      <c r="S766" s="272">
        <f t="shared" si="448"/>
        <v>0</v>
      </c>
    </row>
    <row r="767" spans="1:19" ht="12.75" customHeight="1" x14ac:dyDescent="0.2">
      <c r="A767" s="198" t="str">
        <f>"      "&amp;Labels!B317</f>
        <v xml:space="preserve">      Channels 1</v>
      </c>
      <c r="B767" s="250">
        <f t="shared" ref="B767:S767" si="449">SUM(B741,B754)</f>
        <v>0</v>
      </c>
      <c r="C767" s="250">
        <f t="shared" si="449"/>
        <v>0</v>
      </c>
      <c r="D767" s="250">
        <f t="shared" si="449"/>
        <v>2750</v>
      </c>
      <c r="E767" s="250">
        <f t="shared" si="449"/>
        <v>2750</v>
      </c>
      <c r="F767" s="250">
        <f t="shared" si="449"/>
        <v>0</v>
      </c>
      <c r="G767" s="250">
        <f t="shared" si="449"/>
        <v>2000</v>
      </c>
      <c r="H767" s="250">
        <f t="shared" si="449"/>
        <v>2000</v>
      </c>
      <c r="I767" s="250">
        <f t="shared" si="449"/>
        <v>2000</v>
      </c>
      <c r="J767" s="250">
        <f t="shared" si="449"/>
        <v>0</v>
      </c>
      <c r="K767" s="250">
        <f t="shared" si="449"/>
        <v>0</v>
      </c>
      <c r="L767" s="250">
        <f t="shared" si="449"/>
        <v>0</v>
      </c>
      <c r="M767" s="250">
        <f t="shared" si="449"/>
        <v>0</v>
      </c>
      <c r="N767" s="250">
        <f t="shared" si="449"/>
        <v>0</v>
      </c>
      <c r="O767" s="250">
        <f t="shared" si="449"/>
        <v>0</v>
      </c>
      <c r="P767" s="250">
        <f t="shared" si="449"/>
        <v>0</v>
      </c>
      <c r="Q767" s="250">
        <f t="shared" si="449"/>
        <v>0</v>
      </c>
      <c r="R767" s="250">
        <f t="shared" si="449"/>
        <v>0</v>
      </c>
      <c r="S767" s="282">
        <f t="shared" si="449"/>
        <v>0</v>
      </c>
    </row>
    <row r="768" spans="1:19" ht="12.75" customHeight="1" x14ac:dyDescent="0.2">
      <c r="A768" s="198" t="str">
        <f>"      "&amp;Labels!B318</f>
        <v xml:space="preserve">      Channels 2</v>
      </c>
      <c r="B768" s="250">
        <f t="shared" ref="B768:S768" si="450">SUM(B742,B755)</f>
        <v>0</v>
      </c>
      <c r="C768" s="250">
        <f t="shared" si="450"/>
        <v>0</v>
      </c>
      <c r="D768" s="250">
        <f t="shared" si="450"/>
        <v>2750</v>
      </c>
      <c r="E768" s="250">
        <f t="shared" si="450"/>
        <v>2750</v>
      </c>
      <c r="F768" s="250">
        <f t="shared" si="450"/>
        <v>0</v>
      </c>
      <c r="G768" s="250">
        <f t="shared" si="450"/>
        <v>2000</v>
      </c>
      <c r="H768" s="250">
        <f t="shared" si="450"/>
        <v>2000</v>
      </c>
      <c r="I768" s="250">
        <f t="shared" si="450"/>
        <v>2000</v>
      </c>
      <c r="J768" s="250">
        <f t="shared" si="450"/>
        <v>0</v>
      </c>
      <c r="K768" s="250">
        <f t="shared" si="450"/>
        <v>0</v>
      </c>
      <c r="L768" s="250">
        <f t="shared" si="450"/>
        <v>0</v>
      </c>
      <c r="M768" s="250">
        <f t="shared" si="450"/>
        <v>0</v>
      </c>
      <c r="N768" s="250">
        <f t="shared" si="450"/>
        <v>0</v>
      </c>
      <c r="O768" s="250">
        <f t="shared" si="450"/>
        <v>0</v>
      </c>
      <c r="P768" s="250">
        <f t="shared" si="450"/>
        <v>0</v>
      </c>
      <c r="Q768" s="250">
        <f t="shared" si="450"/>
        <v>0</v>
      </c>
      <c r="R768" s="250">
        <f t="shared" si="450"/>
        <v>0</v>
      </c>
      <c r="S768" s="282">
        <f t="shared" si="450"/>
        <v>0</v>
      </c>
    </row>
    <row r="769" spans="1:19" ht="12.75" customHeight="1" x14ac:dyDescent="0.2">
      <c r="A769" s="220" t="str">
        <f>"      "&amp;Labels!C316</f>
        <v xml:space="preserve">      Total</v>
      </c>
      <c r="B769" s="357">
        <f t="shared" ref="B769:S769" si="451">SUM(B740,B753)</f>
        <v>0</v>
      </c>
      <c r="C769" s="357">
        <f t="shared" si="451"/>
        <v>0</v>
      </c>
      <c r="D769" s="357">
        <f t="shared" si="451"/>
        <v>5500</v>
      </c>
      <c r="E769" s="357">
        <f t="shared" si="451"/>
        <v>5500</v>
      </c>
      <c r="F769" s="357">
        <f t="shared" si="451"/>
        <v>0</v>
      </c>
      <c r="G769" s="357">
        <f t="shared" si="451"/>
        <v>4000</v>
      </c>
      <c r="H769" s="357">
        <f t="shared" si="451"/>
        <v>4000</v>
      </c>
      <c r="I769" s="357">
        <f t="shared" si="451"/>
        <v>4000</v>
      </c>
      <c r="J769" s="357">
        <f t="shared" si="451"/>
        <v>0</v>
      </c>
      <c r="K769" s="357">
        <f t="shared" si="451"/>
        <v>0</v>
      </c>
      <c r="L769" s="357">
        <f t="shared" si="451"/>
        <v>0</v>
      </c>
      <c r="M769" s="357">
        <f t="shared" si="451"/>
        <v>0</v>
      </c>
      <c r="N769" s="357">
        <f t="shared" si="451"/>
        <v>0</v>
      </c>
      <c r="O769" s="357">
        <f t="shared" si="451"/>
        <v>0</v>
      </c>
      <c r="P769" s="357">
        <f t="shared" si="451"/>
        <v>0</v>
      </c>
      <c r="Q769" s="357">
        <f t="shared" si="451"/>
        <v>0</v>
      </c>
      <c r="R769" s="357">
        <f t="shared" si="451"/>
        <v>0</v>
      </c>
      <c r="S769" s="358">
        <f t="shared" si="451"/>
        <v>0</v>
      </c>
    </row>
    <row r="770" spans="1:19" ht="12.75" customHeight="1" x14ac:dyDescent="0.2">
      <c r="A770" s="1" t="str">
        <f>"Engage_Cost_Supplies_1"</f>
        <v>Engage_Cost_Supplies_1</v>
      </c>
    </row>
    <row r="771" spans="1:19" ht="12.75" customHeight="1" x14ac:dyDescent="0.2">
      <c r="B771" s="9" t="str">
        <f>'(FnCalls 1)'!F41</f>
        <v>MMM 2010</v>
      </c>
      <c r="C771" s="10" t="str">
        <f>'(FnCalls 1)'!F42</f>
        <v>MMM 2010</v>
      </c>
      <c r="D771" s="10" t="str">
        <f>'(FnCalls 1)'!F43</f>
        <v>MMM 2010</v>
      </c>
      <c r="E771" s="10" t="str">
        <f>'(FnCalls 1)'!F44</f>
        <v>MMM 2010</v>
      </c>
      <c r="F771" s="10" t="str">
        <f>'(FnCalls 1)'!F45</f>
        <v>MMM 2010</v>
      </c>
      <c r="G771" s="10" t="str">
        <f>'(FnCalls 1)'!F46</f>
        <v>MMM 2010</v>
      </c>
      <c r="H771" s="10" t="str">
        <f>'(FnCalls 1)'!F47</f>
        <v>MMM 2010</v>
      </c>
      <c r="I771" s="10" t="str">
        <f>'(FnCalls 1)'!F48</f>
        <v>MMM 2010</v>
      </c>
      <c r="J771" s="10" t="str">
        <f>'(FnCalls 1)'!F49</f>
        <v>MMM 2010</v>
      </c>
      <c r="K771" s="10" t="str">
        <f>'(FnCalls 1)'!F50</f>
        <v>MMM 2010</v>
      </c>
      <c r="L771" s="10" t="str">
        <f>'(FnCalls 1)'!F51</f>
        <v>MMM 2010</v>
      </c>
      <c r="M771" s="10" t="str">
        <f>'(FnCalls 1)'!F52</f>
        <v>MMM 2010</v>
      </c>
      <c r="N771" s="10" t="str">
        <f>'(FnCalls 1)'!F53</f>
        <v>MMM 2011</v>
      </c>
      <c r="O771" s="10" t="str">
        <f>'(FnCalls 1)'!F54</f>
        <v>MMM 2011</v>
      </c>
      <c r="P771" s="10" t="str">
        <f>'(FnCalls 1)'!F55</f>
        <v>MMM 2011</v>
      </c>
      <c r="Q771" s="10" t="str">
        <f>'(FnCalls 1)'!F56</f>
        <v>MMM 2011</v>
      </c>
      <c r="R771" s="10" t="str">
        <f>'(FnCalls 1)'!F57</f>
        <v>MMM 2011</v>
      </c>
      <c r="S771" s="11" t="str">
        <f>'(FnCalls 1)'!F58</f>
        <v>MMM 2011</v>
      </c>
    </row>
    <row r="772" spans="1:19" ht="12.75" customHeight="1" x14ac:dyDescent="0.2">
      <c r="A772" s="182" t="str">
        <f>Labels!B345</f>
        <v>Engage 1</v>
      </c>
      <c r="B772" s="269"/>
      <c r="C772" s="269"/>
      <c r="D772" s="269"/>
      <c r="E772" s="269"/>
      <c r="F772" s="269"/>
      <c r="G772" s="269"/>
      <c r="H772" s="269"/>
      <c r="I772" s="269"/>
      <c r="J772" s="269"/>
      <c r="K772" s="269"/>
      <c r="L772" s="269"/>
      <c r="M772" s="269"/>
      <c r="N772" s="269"/>
      <c r="O772" s="269"/>
      <c r="P772" s="269"/>
      <c r="Q772" s="269"/>
      <c r="R772" s="269"/>
      <c r="S772" s="270"/>
    </row>
    <row r="773" spans="1:19" ht="12.75" customHeight="1" x14ac:dyDescent="0.2">
      <c r="A773" s="188" t="str">
        <f>"   "&amp;Labels!B385</f>
        <v xml:space="preserve">   Prof Level 1</v>
      </c>
      <c r="B773" s="248"/>
      <c r="C773" s="248"/>
      <c r="D773" s="248"/>
      <c r="E773" s="248"/>
      <c r="F773" s="248"/>
      <c r="G773" s="248"/>
      <c r="H773" s="248"/>
      <c r="I773" s="248"/>
      <c r="J773" s="248"/>
      <c r="K773" s="248"/>
      <c r="L773" s="248"/>
      <c r="M773" s="248"/>
      <c r="N773" s="248"/>
      <c r="O773" s="248"/>
      <c r="P773" s="248"/>
      <c r="Q773" s="248"/>
      <c r="R773" s="248"/>
      <c r="S773" s="271"/>
    </row>
    <row r="774" spans="1:19" ht="12.75" customHeight="1" x14ac:dyDescent="0.2">
      <c r="A774" s="198" t="str">
        <f>"      "&amp;Labels!B397</f>
        <v xml:space="preserve">      Supply Type 1</v>
      </c>
      <c r="B774" s="250"/>
      <c r="C774" s="250"/>
      <c r="D774" s="250"/>
      <c r="E774" s="250"/>
      <c r="F774" s="250"/>
      <c r="G774" s="250"/>
      <c r="H774" s="250"/>
      <c r="I774" s="250"/>
      <c r="J774" s="250"/>
      <c r="K774" s="250"/>
      <c r="L774" s="250"/>
      <c r="M774" s="250"/>
      <c r="N774" s="250"/>
      <c r="O774" s="250"/>
      <c r="P774" s="250"/>
      <c r="Q774" s="250"/>
      <c r="R774" s="250"/>
      <c r="S774" s="282"/>
    </row>
    <row r="775" spans="1:19" ht="12.75" customHeight="1" x14ac:dyDescent="0.2">
      <c r="A775" s="198" t="str">
        <f>"         "&amp;Labels!B317</f>
        <v xml:space="preserve">         Channels 1</v>
      </c>
      <c r="B775" s="250">
        <f>Engage!B163*('(Tables)'!B410*Inputs!F161+'(Tables)'!C410*Inputs!F169)</f>
        <v>0</v>
      </c>
      <c r="C775" s="250">
        <f>Engage!C163*('(Tables)'!B410*Inputs!G161+'(Tables)'!C410*Inputs!G169)</f>
        <v>0</v>
      </c>
      <c r="D775" s="250">
        <f>Engage!D163*('(Tables)'!B410*Inputs!H161+'(Tables)'!C410*Inputs!H169)</f>
        <v>0</v>
      </c>
      <c r="E775" s="250">
        <f>Engage!E163*('(Tables)'!B410*Inputs!I161+'(Tables)'!C410*Inputs!I169)</f>
        <v>0</v>
      </c>
      <c r="F775" s="250">
        <f>Engage!F163*('(Tables)'!B410*Inputs!J161+'(Tables)'!C410*Inputs!J169)</f>
        <v>0</v>
      </c>
      <c r="G775" s="250">
        <f>Engage!G163*('(Tables)'!B410*Inputs!K161+'(Tables)'!C410*Inputs!K169)</f>
        <v>0</v>
      </c>
      <c r="H775" s="250">
        <f>Engage!H163*('(Tables)'!B410*Inputs!L161+'(Tables)'!C410*Inputs!L169)</f>
        <v>0</v>
      </c>
      <c r="I775" s="250">
        <f>Engage!I163*('(Tables)'!B410*Inputs!M161+'(Tables)'!C410*Inputs!M169)</f>
        <v>0</v>
      </c>
      <c r="J775" s="250">
        <f>Engage!J163*('(Tables)'!B410*Inputs!N161+'(Tables)'!C410*Inputs!N169)</f>
        <v>0</v>
      </c>
      <c r="K775" s="250">
        <f>Engage!K163*('(Tables)'!B410*Inputs!O161+'(Tables)'!C410*Inputs!O169)</f>
        <v>0</v>
      </c>
      <c r="L775" s="250">
        <f>Engage!L163*('(Tables)'!B410*Inputs!P161+'(Tables)'!C410*Inputs!P169)</f>
        <v>0</v>
      </c>
      <c r="M775" s="250">
        <f>Engage!M163*('(Tables)'!B410*Inputs!Q161+'(Tables)'!C410*Inputs!Q169)</f>
        <v>0</v>
      </c>
      <c r="N775" s="250">
        <f>Engage!N163*('(Tables)'!B410*Inputs!R161+'(Tables)'!C410*Inputs!R169)</f>
        <v>0</v>
      </c>
      <c r="O775" s="250">
        <f>Engage!O163*('(Tables)'!B410*Inputs!S161+'(Tables)'!C410*Inputs!S169)</f>
        <v>0</v>
      </c>
      <c r="P775" s="250">
        <f>Engage!P163*('(Tables)'!B410*Inputs!T161+'(Tables)'!C410*Inputs!T169)</f>
        <v>0</v>
      </c>
      <c r="Q775" s="250">
        <f>Engage!Q163*('(Tables)'!B410*Inputs!U161+'(Tables)'!C410*Inputs!U169)</f>
        <v>0</v>
      </c>
      <c r="R775" s="250">
        <f>Engage!R163*('(Tables)'!B410*Inputs!V161+'(Tables)'!C410*Inputs!V169)</f>
        <v>0</v>
      </c>
      <c r="S775" s="282">
        <f>Engage!S163*('(Tables)'!B410*Inputs!W161+'(Tables)'!C410*Inputs!W169)</f>
        <v>0</v>
      </c>
    </row>
    <row r="776" spans="1:19" ht="12.75" customHeight="1" x14ac:dyDescent="0.2">
      <c r="A776" s="198" t="str">
        <f>"         "&amp;Labels!B318</f>
        <v xml:space="preserve">         Channels 2</v>
      </c>
      <c r="B776" s="250">
        <f>Engage!B163*('(Tables)'!B410*Inputs!F162+'(Tables)'!C410*Inputs!F170)</f>
        <v>0</v>
      </c>
      <c r="C776" s="250">
        <f>Engage!C163*('(Tables)'!B410*Inputs!G162+'(Tables)'!C410*Inputs!G170)</f>
        <v>0</v>
      </c>
      <c r="D776" s="250">
        <f>Engage!D163*('(Tables)'!B410*Inputs!H162+'(Tables)'!C410*Inputs!H170)</f>
        <v>0</v>
      </c>
      <c r="E776" s="250">
        <f>Engage!E163*('(Tables)'!B410*Inputs!I162+'(Tables)'!C410*Inputs!I170)</f>
        <v>0</v>
      </c>
      <c r="F776" s="250">
        <f>Engage!F163*('(Tables)'!B410*Inputs!J162+'(Tables)'!C410*Inputs!J170)</f>
        <v>0</v>
      </c>
      <c r="G776" s="250">
        <f>Engage!G163*('(Tables)'!B410*Inputs!K162+'(Tables)'!C410*Inputs!K170)</f>
        <v>0</v>
      </c>
      <c r="H776" s="250">
        <f>Engage!H163*('(Tables)'!B410*Inputs!L162+'(Tables)'!C410*Inputs!L170)</f>
        <v>0</v>
      </c>
      <c r="I776" s="250">
        <f>Engage!I163*('(Tables)'!B410*Inputs!M162+'(Tables)'!C410*Inputs!M170)</f>
        <v>0</v>
      </c>
      <c r="J776" s="250">
        <f>Engage!J163*('(Tables)'!B410*Inputs!N162+'(Tables)'!C410*Inputs!N170)</f>
        <v>0</v>
      </c>
      <c r="K776" s="250">
        <f>Engage!K163*('(Tables)'!B410*Inputs!O162+'(Tables)'!C410*Inputs!O170)</f>
        <v>0</v>
      </c>
      <c r="L776" s="250">
        <f>Engage!L163*('(Tables)'!B410*Inputs!P162+'(Tables)'!C410*Inputs!P170)</f>
        <v>0</v>
      </c>
      <c r="M776" s="250">
        <f>Engage!M163*('(Tables)'!B410*Inputs!Q162+'(Tables)'!C410*Inputs!Q170)</f>
        <v>0</v>
      </c>
      <c r="N776" s="250">
        <f>Engage!N163*('(Tables)'!B410*Inputs!R162+'(Tables)'!C410*Inputs!R170)</f>
        <v>0</v>
      </c>
      <c r="O776" s="250">
        <f>Engage!O163*('(Tables)'!B410*Inputs!S162+'(Tables)'!C410*Inputs!S170)</f>
        <v>0</v>
      </c>
      <c r="P776" s="250">
        <f>Engage!P163*('(Tables)'!B410*Inputs!T162+'(Tables)'!C410*Inputs!T170)</f>
        <v>0</v>
      </c>
      <c r="Q776" s="250">
        <f>Engage!Q163*('(Tables)'!B410*Inputs!U162+'(Tables)'!C410*Inputs!U170)</f>
        <v>0</v>
      </c>
      <c r="R776" s="250">
        <f>Engage!R163*('(Tables)'!B410*Inputs!V162+'(Tables)'!C410*Inputs!V170)</f>
        <v>0</v>
      </c>
      <c r="S776" s="282">
        <f>Engage!S163*('(Tables)'!B410*Inputs!W162+'(Tables)'!C410*Inputs!W170)</f>
        <v>0</v>
      </c>
    </row>
    <row r="777" spans="1:19" ht="12.75" customHeight="1" x14ac:dyDescent="0.2">
      <c r="A777" s="198" t="str">
        <f>"         "&amp;Labels!C316</f>
        <v xml:space="preserve">         Total</v>
      </c>
      <c r="B777" s="250">
        <f t="shared" ref="B777:S777" si="452">SUM(B775:B776)</f>
        <v>0</v>
      </c>
      <c r="C777" s="250">
        <f t="shared" si="452"/>
        <v>0</v>
      </c>
      <c r="D777" s="250">
        <f t="shared" si="452"/>
        <v>0</v>
      </c>
      <c r="E777" s="250">
        <f t="shared" si="452"/>
        <v>0</v>
      </c>
      <c r="F777" s="250">
        <f t="shared" si="452"/>
        <v>0</v>
      </c>
      <c r="G777" s="250">
        <f t="shared" si="452"/>
        <v>0</v>
      </c>
      <c r="H777" s="250">
        <f t="shared" si="452"/>
        <v>0</v>
      </c>
      <c r="I777" s="250">
        <f t="shared" si="452"/>
        <v>0</v>
      </c>
      <c r="J777" s="250">
        <f t="shared" si="452"/>
        <v>0</v>
      </c>
      <c r="K777" s="250">
        <f t="shared" si="452"/>
        <v>0</v>
      </c>
      <c r="L777" s="250">
        <f t="shared" si="452"/>
        <v>0</v>
      </c>
      <c r="M777" s="250">
        <f t="shared" si="452"/>
        <v>0</v>
      </c>
      <c r="N777" s="250">
        <f t="shared" si="452"/>
        <v>0</v>
      </c>
      <c r="O777" s="250">
        <f t="shared" si="452"/>
        <v>0</v>
      </c>
      <c r="P777" s="250">
        <f t="shared" si="452"/>
        <v>0</v>
      </c>
      <c r="Q777" s="250">
        <f t="shared" si="452"/>
        <v>0</v>
      </c>
      <c r="R777" s="250">
        <f t="shared" si="452"/>
        <v>0</v>
      </c>
      <c r="S777" s="282">
        <f t="shared" si="452"/>
        <v>0</v>
      </c>
    </row>
    <row r="778" spans="1:19" ht="12.75" customHeight="1" x14ac:dyDescent="0.2">
      <c r="A778" s="198" t="str">
        <f>"      "&amp;Labels!B398</f>
        <v xml:space="preserve">      Supply Type 2</v>
      </c>
      <c r="B778" s="250"/>
      <c r="C778" s="250"/>
      <c r="D778" s="250"/>
      <c r="E778" s="250"/>
      <c r="F778" s="250"/>
      <c r="G778" s="250"/>
      <c r="H778" s="250"/>
      <c r="I778" s="250"/>
      <c r="J778" s="250"/>
      <c r="K778" s="250"/>
      <c r="L778" s="250"/>
      <c r="M778" s="250"/>
      <c r="N778" s="250"/>
      <c r="O778" s="250"/>
      <c r="P778" s="250"/>
      <c r="Q778" s="250"/>
      <c r="R778" s="250"/>
      <c r="S778" s="282"/>
    </row>
    <row r="779" spans="1:19" ht="12.75" customHeight="1" x14ac:dyDescent="0.2">
      <c r="A779" s="198" t="str">
        <f>"         "&amp;Labels!B317</f>
        <v xml:space="preserve">         Channels 1</v>
      </c>
      <c r="B779" s="250">
        <f>Engage!B163*('(Tables)'!B410*Inputs!F163+'(Tables)'!C410*Inputs!F171)</f>
        <v>0</v>
      </c>
      <c r="C779" s="250">
        <f>Engage!C163*('(Tables)'!B410*Inputs!G163+'(Tables)'!C410*Inputs!G171)</f>
        <v>0</v>
      </c>
      <c r="D779" s="250">
        <f>Engage!D163*('(Tables)'!B410*Inputs!H163+'(Tables)'!C410*Inputs!H171)</f>
        <v>0</v>
      </c>
      <c r="E779" s="250">
        <f>Engage!E163*('(Tables)'!B410*Inputs!I163+'(Tables)'!C410*Inputs!I171)</f>
        <v>0</v>
      </c>
      <c r="F779" s="250">
        <f>Engage!F163*('(Tables)'!B410*Inputs!J163+'(Tables)'!C410*Inputs!J171)</f>
        <v>0</v>
      </c>
      <c r="G779" s="250">
        <f>Engage!G163*('(Tables)'!B410*Inputs!K163+'(Tables)'!C410*Inputs!K171)</f>
        <v>0</v>
      </c>
      <c r="H779" s="250">
        <f>Engage!H163*('(Tables)'!B410*Inputs!L163+'(Tables)'!C410*Inputs!L171)</f>
        <v>0</v>
      </c>
      <c r="I779" s="250">
        <f>Engage!I163*('(Tables)'!B410*Inputs!M163+'(Tables)'!C410*Inputs!M171)</f>
        <v>0</v>
      </c>
      <c r="J779" s="250">
        <f>Engage!J163*('(Tables)'!B410*Inputs!N163+'(Tables)'!C410*Inputs!N171)</f>
        <v>0</v>
      </c>
      <c r="K779" s="250">
        <f>Engage!K163*('(Tables)'!B410*Inputs!O163+'(Tables)'!C410*Inputs!O171)</f>
        <v>0</v>
      </c>
      <c r="L779" s="250">
        <f>Engage!L163*('(Tables)'!B410*Inputs!P163+'(Tables)'!C410*Inputs!P171)</f>
        <v>0</v>
      </c>
      <c r="M779" s="250">
        <f>Engage!M163*('(Tables)'!B410*Inputs!Q163+'(Tables)'!C410*Inputs!Q171)</f>
        <v>0</v>
      </c>
      <c r="N779" s="250">
        <f>Engage!N163*('(Tables)'!B410*Inputs!R163+'(Tables)'!C410*Inputs!R171)</f>
        <v>0</v>
      </c>
      <c r="O779" s="250">
        <f>Engage!O163*('(Tables)'!B410*Inputs!S163+'(Tables)'!C410*Inputs!S171)</f>
        <v>0</v>
      </c>
      <c r="P779" s="250">
        <f>Engage!P163*('(Tables)'!B410*Inputs!T163+'(Tables)'!C410*Inputs!T171)</f>
        <v>0</v>
      </c>
      <c r="Q779" s="250">
        <f>Engage!Q163*('(Tables)'!B410*Inputs!U163+'(Tables)'!C410*Inputs!U171)</f>
        <v>0</v>
      </c>
      <c r="R779" s="250">
        <f>Engage!R163*('(Tables)'!B410*Inputs!V163+'(Tables)'!C410*Inputs!V171)</f>
        <v>0</v>
      </c>
      <c r="S779" s="282">
        <f>Engage!S163*('(Tables)'!B410*Inputs!W163+'(Tables)'!C410*Inputs!W171)</f>
        <v>0</v>
      </c>
    </row>
    <row r="780" spans="1:19" ht="12.75" customHeight="1" x14ac:dyDescent="0.2">
      <c r="A780" s="198" t="str">
        <f>"         "&amp;Labels!B318</f>
        <v xml:space="preserve">         Channels 2</v>
      </c>
      <c r="B780" s="250">
        <f>Engage!B163*('(Tables)'!B410*Inputs!F164+'(Tables)'!C410*Inputs!F172)</f>
        <v>0</v>
      </c>
      <c r="C780" s="250">
        <f>Engage!C163*('(Tables)'!B410*Inputs!G164+'(Tables)'!C410*Inputs!G172)</f>
        <v>0</v>
      </c>
      <c r="D780" s="250">
        <f>Engage!D163*('(Tables)'!B410*Inputs!H164+'(Tables)'!C410*Inputs!H172)</f>
        <v>0</v>
      </c>
      <c r="E780" s="250">
        <f>Engage!E163*('(Tables)'!B410*Inputs!I164+'(Tables)'!C410*Inputs!I172)</f>
        <v>0</v>
      </c>
      <c r="F780" s="250">
        <f>Engage!F163*('(Tables)'!B410*Inputs!J164+'(Tables)'!C410*Inputs!J172)</f>
        <v>0</v>
      </c>
      <c r="G780" s="250">
        <f>Engage!G163*('(Tables)'!B410*Inputs!K164+'(Tables)'!C410*Inputs!K172)</f>
        <v>0</v>
      </c>
      <c r="H780" s="250">
        <f>Engage!H163*('(Tables)'!B410*Inputs!L164+'(Tables)'!C410*Inputs!L172)</f>
        <v>0</v>
      </c>
      <c r="I780" s="250">
        <f>Engage!I163*('(Tables)'!B410*Inputs!M164+'(Tables)'!C410*Inputs!M172)</f>
        <v>0</v>
      </c>
      <c r="J780" s="250">
        <f>Engage!J163*('(Tables)'!B410*Inputs!N164+'(Tables)'!C410*Inputs!N172)</f>
        <v>0</v>
      </c>
      <c r="K780" s="250">
        <f>Engage!K163*('(Tables)'!B410*Inputs!O164+'(Tables)'!C410*Inputs!O172)</f>
        <v>0</v>
      </c>
      <c r="L780" s="250">
        <f>Engage!L163*('(Tables)'!B410*Inputs!P164+'(Tables)'!C410*Inputs!P172)</f>
        <v>0</v>
      </c>
      <c r="M780" s="250">
        <f>Engage!M163*('(Tables)'!B410*Inputs!Q164+'(Tables)'!C410*Inputs!Q172)</f>
        <v>0</v>
      </c>
      <c r="N780" s="250">
        <f>Engage!N163*('(Tables)'!B410*Inputs!R164+'(Tables)'!C410*Inputs!R172)</f>
        <v>0</v>
      </c>
      <c r="O780" s="250">
        <f>Engage!O163*('(Tables)'!B410*Inputs!S164+'(Tables)'!C410*Inputs!S172)</f>
        <v>0</v>
      </c>
      <c r="P780" s="250">
        <f>Engage!P163*('(Tables)'!B410*Inputs!T164+'(Tables)'!C410*Inputs!T172)</f>
        <v>0</v>
      </c>
      <c r="Q780" s="250">
        <f>Engage!Q163*('(Tables)'!B410*Inputs!U164+'(Tables)'!C410*Inputs!U172)</f>
        <v>0</v>
      </c>
      <c r="R780" s="250">
        <f>Engage!R163*('(Tables)'!B410*Inputs!V164+'(Tables)'!C410*Inputs!V172)</f>
        <v>0</v>
      </c>
      <c r="S780" s="282">
        <f>Engage!S163*('(Tables)'!B410*Inputs!W164+'(Tables)'!C410*Inputs!W172)</f>
        <v>0</v>
      </c>
    </row>
    <row r="781" spans="1:19" ht="12.75" customHeight="1" x14ac:dyDescent="0.2">
      <c r="A781" s="198" t="str">
        <f>"         "&amp;Labels!C316</f>
        <v xml:space="preserve">         Total</v>
      </c>
      <c r="B781" s="250">
        <f t="shared" ref="B781:S781" si="453">SUM(B779:B780)</f>
        <v>0</v>
      </c>
      <c r="C781" s="250">
        <f t="shared" si="453"/>
        <v>0</v>
      </c>
      <c r="D781" s="250">
        <f t="shared" si="453"/>
        <v>0</v>
      </c>
      <c r="E781" s="250">
        <f t="shared" si="453"/>
        <v>0</v>
      </c>
      <c r="F781" s="250">
        <f t="shared" si="453"/>
        <v>0</v>
      </c>
      <c r="G781" s="250">
        <f t="shared" si="453"/>
        <v>0</v>
      </c>
      <c r="H781" s="250">
        <f t="shared" si="453"/>
        <v>0</v>
      </c>
      <c r="I781" s="250">
        <f t="shared" si="453"/>
        <v>0</v>
      </c>
      <c r="J781" s="250">
        <f t="shared" si="453"/>
        <v>0</v>
      </c>
      <c r="K781" s="250">
        <f t="shared" si="453"/>
        <v>0</v>
      </c>
      <c r="L781" s="250">
        <f t="shared" si="453"/>
        <v>0</v>
      </c>
      <c r="M781" s="250">
        <f t="shared" si="453"/>
        <v>0</v>
      </c>
      <c r="N781" s="250">
        <f t="shared" si="453"/>
        <v>0</v>
      </c>
      <c r="O781" s="250">
        <f t="shared" si="453"/>
        <v>0</v>
      </c>
      <c r="P781" s="250">
        <f t="shared" si="453"/>
        <v>0</v>
      </c>
      <c r="Q781" s="250">
        <f t="shared" si="453"/>
        <v>0</v>
      </c>
      <c r="R781" s="250">
        <f t="shared" si="453"/>
        <v>0</v>
      </c>
      <c r="S781" s="282">
        <f t="shared" si="453"/>
        <v>0</v>
      </c>
    </row>
    <row r="782" spans="1:19" ht="12.75" customHeight="1" x14ac:dyDescent="0.2">
      <c r="A782" s="188" t="str">
        <f>"      "&amp;Labels!C396</f>
        <v xml:space="preserve">      Total</v>
      </c>
      <c r="B782" s="248">
        <f t="shared" ref="B782:S782" si="454">SUM(B777,B781)</f>
        <v>0</v>
      </c>
      <c r="C782" s="248">
        <f t="shared" si="454"/>
        <v>0</v>
      </c>
      <c r="D782" s="248">
        <f t="shared" si="454"/>
        <v>0</v>
      </c>
      <c r="E782" s="248">
        <f t="shared" si="454"/>
        <v>0</v>
      </c>
      <c r="F782" s="248">
        <f t="shared" si="454"/>
        <v>0</v>
      </c>
      <c r="G782" s="248">
        <f t="shared" si="454"/>
        <v>0</v>
      </c>
      <c r="H782" s="248">
        <f t="shared" si="454"/>
        <v>0</v>
      </c>
      <c r="I782" s="248">
        <f t="shared" si="454"/>
        <v>0</v>
      </c>
      <c r="J782" s="248">
        <f t="shared" si="454"/>
        <v>0</v>
      </c>
      <c r="K782" s="248">
        <f t="shared" si="454"/>
        <v>0</v>
      </c>
      <c r="L782" s="248">
        <f t="shared" si="454"/>
        <v>0</v>
      </c>
      <c r="M782" s="248">
        <f t="shared" si="454"/>
        <v>0</v>
      </c>
      <c r="N782" s="248">
        <f t="shared" si="454"/>
        <v>0</v>
      </c>
      <c r="O782" s="248">
        <f t="shared" si="454"/>
        <v>0</v>
      </c>
      <c r="P782" s="248">
        <f t="shared" si="454"/>
        <v>0</v>
      </c>
      <c r="Q782" s="248">
        <f t="shared" si="454"/>
        <v>0</v>
      </c>
      <c r="R782" s="248">
        <f t="shared" si="454"/>
        <v>0</v>
      </c>
      <c r="S782" s="271">
        <f t="shared" si="454"/>
        <v>0</v>
      </c>
    </row>
    <row r="783" spans="1:19" ht="12.75" customHeight="1" x14ac:dyDescent="0.2">
      <c r="A783" s="198" t="str">
        <f>"         "&amp;Labels!B317</f>
        <v xml:space="preserve">         Channels 1</v>
      </c>
      <c r="B783" s="250">
        <f t="shared" ref="B783:S783" si="455">SUM(B775,B779)</f>
        <v>0</v>
      </c>
      <c r="C783" s="250">
        <f t="shared" si="455"/>
        <v>0</v>
      </c>
      <c r="D783" s="250">
        <f t="shared" si="455"/>
        <v>0</v>
      </c>
      <c r="E783" s="250">
        <f t="shared" si="455"/>
        <v>0</v>
      </c>
      <c r="F783" s="250">
        <f t="shared" si="455"/>
        <v>0</v>
      </c>
      <c r="G783" s="250">
        <f t="shared" si="455"/>
        <v>0</v>
      </c>
      <c r="H783" s="250">
        <f t="shared" si="455"/>
        <v>0</v>
      </c>
      <c r="I783" s="250">
        <f t="shared" si="455"/>
        <v>0</v>
      </c>
      <c r="J783" s="250">
        <f t="shared" si="455"/>
        <v>0</v>
      </c>
      <c r="K783" s="250">
        <f t="shared" si="455"/>
        <v>0</v>
      </c>
      <c r="L783" s="250">
        <f t="shared" si="455"/>
        <v>0</v>
      </c>
      <c r="M783" s="250">
        <f t="shared" si="455"/>
        <v>0</v>
      </c>
      <c r="N783" s="250">
        <f t="shared" si="455"/>
        <v>0</v>
      </c>
      <c r="O783" s="250">
        <f t="shared" si="455"/>
        <v>0</v>
      </c>
      <c r="P783" s="250">
        <f t="shared" si="455"/>
        <v>0</v>
      </c>
      <c r="Q783" s="250">
        <f t="shared" si="455"/>
        <v>0</v>
      </c>
      <c r="R783" s="250">
        <f t="shared" si="455"/>
        <v>0</v>
      </c>
      <c r="S783" s="282">
        <f t="shared" si="455"/>
        <v>0</v>
      </c>
    </row>
    <row r="784" spans="1:19" ht="12.75" customHeight="1" x14ac:dyDescent="0.2">
      <c r="A784" s="198" t="str">
        <f>"         "&amp;Labels!B318</f>
        <v xml:space="preserve">         Channels 2</v>
      </c>
      <c r="B784" s="250">
        <f t="shared" ref="B784:S784" si="456">SUM(B776,B780)</f>
        <v>0</v>
      </c>
      <c r="C784" s="250">
        <f t="shared" si="456"/>
        <v>0</v>
      </c>
      <c r="D784" s="250">
        <f t="shared" si="456"/>
        <v>0</v>
      </c>
      <c r="E784" s="250">
        <f t="shared" si="456"/>
        <v>0</v>
      </c>
      <c r="F784" s="250">
        <f t="shared" si="456"/>
        <v>0</v>
      </c>
      <c r="G784" s="250">
        <f t="shared" si="456"/>
        <v>0</v>
      </c>
      <c r="H784" s="250">
        <f t="shared" si="456"/>
        <v>0</v>
      </c>
      <c r="I784" s="250">
        <f t="shared" si="456"/>
        <v>0</v>
      </c>
      <c r="J784" s="250">
        <f t="shared" si="456"/>
        <v>0</v>
      </c>
      <c r="K784" s="250">
        <f t="shared" si="456"/>
        <v>0</v>
      </c>
      <c r="L784" s="250">
        <f t="shared" si="456"/>
        <v>0</v>
      </c>
      <c r="M784" s="250">
        <f t="shared" si="456"/>
        <v>0</v>
      </c>
      <c r="N784" s="250">
        <f t="shared" si="456"/>
        <v>0</v>
      </c>
      <c r="O784" s="250">
        <f t="shared" si="456"/>
        <v>0</v>
      </c>
      <c r="P784" s="250">
        <f t="shared" si="456"/>
        <v>0</v>
      </c>
      <c r="Q784" s="250">
        <f t="shared" si="456"/>
        <v>0</v>
      </c>
      <c r="R784" s="250">
        <f t="shared" si="456"/>
        <v>0</v>
      </c>
      <c r="S784" s="282">
        <f t="shared" si="456"/>
        <v>0</v>
      </c>
    </row>
    <row r="785" spans="1:19" ht="12.75" customHeight="1" x14ac:dyDescent="0.2">
      <c r="A785" s="198" t="str">
        <f>"         "&amp;Labels!C316</f>
        <v xml:space="preserve">         Total</v>
      </c>
      <c r="B785" s="250">
        <f t="shared" ref="B785:S785" si="457">SUM(B777,B781)</f>
        <v>0</v>
      </c>
      <c r="C785" s="250">
        <f t="shared" si="457"/>
        <v>0</v>
      </c>
      <c r="D785" s="250">
        <f t="shared" si="457"/>
        <v>0</v>
      </c>
      <c r="E785" s="250">
        <f t="shared" si="457"/>
        <v>0</v>
      </c>
      <c r="F785" s="250">
        <f t="shared" si="457"/>
        <v>0</v>
      </c>
      <c r="G785" s="250">
        <f t="shared" si="457"/>
        <v>0</v>
      </c>
      <c r="H785" s="250">
        <f t="shared" si="457"/>
        <v>0</v>
      </c>
      <c r="I785" s="250">
        <f t="shared" si="457"/>
        <v>0</v>
      </c>
      <c r="J785" s="250">
        <f t="shared" si="457"/>
        <v>0</v>
      </c>
      <c r="K785" s="250">
        <f t="shared" si="457"/>
        <v>0</v>
      </c>
      <c r="L785" s="250">
        <f t="shared" si="457"/>
        <v>0</v>
      </c>
      <c r="M785" s="250">
        <f t="shared" si="457"/>
        <v>0</v>
      </c>
      <c r="N785" s="250">
        <f t="shared" si="457"/>
        <v>0</v>
      </c>
      <c r="O785" s="250">
        <f t="shared" si="457"/>
        <v>0</v>
      </c>
      <c r="P785" s="250">
        <f t="shared" si="457"/>
        <v>0</v>
      </c>
      <c r="Q785" s="250">
        <f t="shared" si="457"/>
        <v>0</v>
      </c>
      <c r="R785" s="250">
        <f t="shared" si="457"/>
        <v>0</v>
      </c>
      <c r="S785" s="282">
        <f t="shared" si="457"/>
        <v>0</v>
      </c>
    </row>
    <row r="786" spans="1:19" ht="12.75" customHeight="1" x14ac:dyDescent="0.2">
      <c r="A786" s="188" t="str">
        <f>"   "&amp;Labels!B386</f>
        <v xml:space="preserve">   Prof Level 2</v>
      </c>
      <c r="B786" s="248"/>
      <c r="C786" s="248"/>
      <c r="D786" s="248"/>
      <c r="E786" s="248"/>
      <c r="F786" s="248"/>
      <c r="G786" s="248"/>
      <c r="H786" s="248"/>
      <c r="I786" s="248"/>
      <c r="J786" s="248"/>
      <c r="K786" s="248"/>
      <c r="L786" s="248"/>
      <c r="M786" s="248"/>
      <c r="N786" s="248"/>
      <c r="O786" s="248"/>
      <c r="P786" s="248"/>
      <c r="Q786" s="248"/>
      <c r="R786" s="248"/>
      <c r="S786" s="271"/>
    </row>
    <row r="787" spans="1:19" ht="12.75" customHeight="1" x14ac:dyDescent="0.2">
      <c r="A787" s="198" t="str">
        <f>"      "&amp;Labels!B397</f>
        <v xml:space="preserve">      Supply Type 1</v>
      </c>
      <c r="B787" s="250"/>
      <c r="C787" s="250"/>
      <c r="D787" s="250"/>
      <c r="E787" s="250"/>
      <c r="F787" s="250"/>
      <c r="G787" s="250"/>
      <c r="H787" s="250"/>
      <c r="I787" s="250"/>
      <c r="J787" s="250"/>
      <c r="K787" s="250"/>
      <c r="L787" s="250"/>
      <c r="M787" s="250"/>
      <c r="N787" s="250"/>
      <c r="O787" s="250"/>
      <c r="P787" s="250"/>
      <c r="Q787" s="250"/>
      <c r="R787" s="250"/>
      <c r="S787" s="282"/>
    </row>
    <row r="788" spans="1:19" ht="12.75" customHeight="1" x14ac:dyDescent="0.2">
      <c r="A788" s="198" t="str">
        <f>"         "&amp;Labels!B317</f>
        <v xml:space="preserve">         Channels 1</v>
      </c>
      <c r="B788" s="250">
        <f>Engage!B164*('(Tables)'!B410*Inputs!F165+'(Tables)'!C410*Inputs!F173)</f>
        <v>0</v>
      </c>
      <c r="C788" s="250">
        <f>Engage!C164*('(Tables)'!B410*Inputs!G165+'(Tables)'!C410*Inputs!G173)</f>
        <v>0</v>
      </c>
      <c r="D788" s="250">
        <f>Engage!D164*('(Tables)'!B410*Inputs!H165+'(Tables)'!C410*Inputs!H173)</f>
        <v>0</v>
      </c>
      <c r="E788" s="250">
        <f>Engage!E164*('(Tables)'!B410*Inputs!I165+'(Tables)'!C410*Inputs!I173)</f>
        <v>0</v>
      </c>
      <c r="F788" s="250">
        <f>Engage!F164*('(Tables)'!B410*Inputs!J165+'(Tables)'!C410*Inputs!J173)</f>
        <v>0</v>
      </c>
      <c r="G788" s="250">
        <f>Engage!G164*('(Tables)'!B410*Inputs!K165+'(Tables)'!C410*Inputs!K173)</f>
        <v>0</v>
      </c>
      <c r="H788" s="250">
        <f>Engage!H164*('(Tables)'!B410*Inputs!L165+'(Tables)'!C410*Inputs!L173)</f>
        <v>0</v>
      </c>
      <c r="I788" s="250">
        <f>Engage!I164*('(Tables)'!B410*Inputs!M165+'(Tables)'!C410*Inputs!M173)</f>
        <v>0</v>
      </c>
      <c r="J788" s="250">
        <f>Engage!J164*('(Tables)'!B410*Inputs!N165+'(Tables)'!C410*Inputs!N173)</f>
        <v>0</v>
      </c>
      <c r="K788" s="250">
        <f>Engage!K164*('(Tables)'!B410*Inputs!O165+'(Tables)'!C410*Inputs!O173)</f>
        <v>0</v>
      </c>
      <c r="L788" s="250">
        <f>Engage!L164*('(Tables)'!B410*Inputs!P165+'(Tables)'!C410*Inputs!P173)</f>
        <v>0</v>
      </c>
      <c r="M788" s="250">
        <f>Engage!M164*('(Tables)'!B410*Inputs!Q165+'(Tables)'!C410*Inputs!Q173)</f>
        <v>0</v>
      </c>
      <c r="N788" s="250">
        <f>Engage!N164*('(Tables)'!B410*Inputs!R165+'(Tables)'!C410*Inputs!R173)</f>
        <v>0</v>
      </c>
      <c r="O788" s="250">
        <f>Engage!O164*('(Tables)'!B410*Inputs!S165+'(Tables)'!C410*Inputs!S173)</f>
        <v>0</v>
      </c>
      <c r="P788" s="250">
        <f>Engage!P164*('(Tables)'!B410*Inputs!T165+'(Tables)'!C410*Inputs!T173)</f>
        <v>0</v>
      </c>
      <c r="Q788" s="250">
        <f>Engage!Q164*('(Tables)'!B410*Inputs!U165+'(Tables)'!C410*Inputs!U173)</f>
        <v>0</v>
      </c>
      <c r="R788" s="250">
        <f>Engage!R164*('(Tables)'!B410*Inputs!V165+'(Tables)'!C410*Inputs!V173)</f>
        <v>0</v>
      </c>
      <c r="S788" s="282">
        <f>Engage!S164*('(Tables)'!B410*Inputs!W165+'(Tables)'!C410*Inputs!W173)</f>
        <v>0</v>
      </c>
    </row>
    <row r="789" spans="1:19" ht="12.75" customHeight="1" x14ac:dyDescent="0.2">
      <c r="A789" s="198" t="str">
        <f>"         "&amp;Labels!B318</f>
        <v xml:space="preserve">         Channels 2</v>
      </c>
      <c r="B789" s="250">
        <f>Engage!B164*('(Tables)'!B410*Inputs!F166+'(Tables)'!C410*Inputs!F174)</f>
        <v>0</v>
      </c>
      <c r="C789" s="250">
        <f>Engage!C164*('(Tables)'!B410*Inputs!G166+'(Tables)'!C410*Inputs!G174)</f>
        <v>0</v>
      </c>
      <c r="D789" s="250">
        <f>Engage!D164*('(Tables)'!B410*Inputs!H166+'(Tables)'!C410*Inputs!H174)</f>
        <v>0</v>
      </c>
      <c r="E789" s="250">
        <f>Engage!E164*('(Tables)'!B410*Inputs!I166+'(Tables)'!C410*Inputs!I174)</f>
        <v>0</v>
      </c>
      <c r="F789" s="250">
        <f>Engage!F164*('(Tables)'!B410*Inputs!J166+'(Tables)'!C410*Inputs!J174)</f>
        <v>0</v>
      </c>
      <c r="G789" s="250">
        <f>Engage!G164*('(Tables)'!B410*Inputs!K166+'(Tables)'!C410*Inputs!K174)</f>
        <v>0</v>
      </c>
      <c r="H789" s="250">
        <f>Engage!H164*('(Tables)'!B410*Inputs!L166+'(Tables)'!C410*Inputs!L174)</f>
        <v>0</v>
      </c>
      <c r="I789" s="250">
        <f>Engage!I164*('(Tables)'!B410*Inputs!M166+'(Tables)'!C410*Inputs!M174)</f>
        <v>0</v>
      </c>
      <c r="J789" s="250">
        <f>Engage!J164*('(Tables)'!B410*Inputs!N166+'(Tables)'!C410*Inputs!N174)</f>
        <v>0</v>
      </c>
      <c r="K789" s="250">
        <f>Engage!K164*('(Tables)'!B410*Inputs!O166+'(Tables)'!C410*Inputs!O174)</f>
        <v>0</v>
      </c>
      <c r="L789" s="250">
        <f>Engage!L164*('(Tables)'!B410*Inputs!P166+'(Tables)'!C410*Inputs!P174)</f>
        <v>0</v>
      </c>
      <c r="M789" s="250">
        <f>Engage!M164*('(Tables)'!B410*Inputs!Q166+'(Tables)'!C410*Inputs!Q174)</f>
        <v>0</v>
      </c>
      <c r="N789" s="250">
        <f>Engage!N164*('(Tables)'!B410*Inputs!R166+'(Tables)'!C410*Inputs!R174)</f>
        <v>0</v>
      </c>
      <c r="O789" s="250">
        <f>Engage!O164*('(Tables)'!B410*Inputs!S166+'(Tables)'!C410*Inputs!S174)</f>
        <v>0</v>
      </c>
      <c r="P789" s="250">
        <f>Engage!P164*('(Tables)'!B410*Inputs!T166+'(Tables)'!C410*Inputs!T174)</f>
        <v>0</v>
      </c>
      <c r="Q789" s="250">
        <f>Engage!Q164*('(Tables)'!B410*Inputs!U166+'(Tables)'!C410*Inputs!U174)</f>
        <v>0</v>
      </c>
      <c r="R789" s="250">
        <f>Engage!R164*('(Tables)'!B410*Inputs!V166+'(Tables)'!C410*Inputs!V174)</f>
        <v>0</v>
      </c>
      <c r="S789" s="282">
        <f>Engage!S164*('(Tables)'!B410*Inputs!W166+'(Tables)'!C410*Inputs!W174)</f>
        <v>0</v>
      </c>
    </row>
    <row r="790" spans="1:19" ht="12.75" customHeight="1" x14ac:dyDescent="0.2">
      <c r="A790" s="198" t="str">
        <f>"         "&amp;Labels!C316</f>
        <v xml:space="preserve">         Total</v>
      </c>
      <c r="B790" s="250">
        <f t="shared" ref="B790:S790" si="458">SUM(B788:B789)</f>
        <v>0</v>
      </c>
      <c r="C790" s="250">
        <f t="shared" si="458"/>
        <v>0</v>
      </c>
      <c r="D790" s="250">
        <f t="shared" si="458"/>
        <v>0</v>
      </c>
      <c r="E790" s="250">
        <f t="shared" si="458"/>
        <v>0</v>
      </c>
      <c r="F790" s="250">
        <f t="shared" si="458"/>
        <v>0</v>
      </c>
      <c r="G790" s="250">
        <f t="shared" si="458"/>
        <v>0</v>
      </c>
      <c r="H790" s="250">
        <f t="shared" si="458"/>
        <v>0</v>
      </c>
      <c r="I790" s="250">
        <f t="shared" si="458"/>
        <v>0</v>
      </c>
      <c r="J790" s="250">
        <f t="shared" si="458"/>
        <v>0</v>
      </c>
      <c r="K790" s="250">
        <f t="shared" si="458"/>
        <v>0</v>
      </c>
      <c r="L790" s="250">
        <f t="shared" si="458"/>
        <v>0</v>
      </c>
      <c r="M790" s="250">
        <f t="shared" si="458"/>
        <v>0</v>
      </c>
      <c r="N790" s="250">
        <f t="shared" si="458"/>
        <v>0</v>
      </c>
      <c r="O790" s="250">
        <f t="shared" si="458"/>
        <v>0</v>
      </c>
      <c r="P790" s="250">
        <f t="shared" si="458"/>
        <v>0</v>
      </c>
      <c r="Q790" s="250">
        <f t="shared" si="458"/>
        <v>0</v>
      </c>
      <c r="R790" s="250">
        <f t="shared" si="458"/>
        <v>0</v>
      </c>
      <c r="S790" s="282">
        <f t="shared" si="458"/>
        <v>0</v>
      </c>
    </row>
    <row r="791" spans="1:19" ht="12.75" customHeight="1" x14ac:dyDescent="0.2">
      <c r="A791" s="198" t="str">
        <f>"      "&amp;Labels!B398</f>
        <v xml:space="preserve">      Supply Type 2</v>
      </c>
      <c r="B791" s="250"/>
      <c r="C791" s="250"/>
      <c r="D791" s="250"/>
      <c r="E791" s="250"/>
      <c r="F791" s="250"/>
      <c r="G791" s="250"/>
      <c r="H791" s="250"/>
      <c r="I791" s="250"/>
      <c r="J791" s="250"/>
      <c r="K791" s="250"/>
      <c r="L791" s="250"/>
      <c r="M791" s="250"/>
      <c r="N791" s="250"/>
      <c r="O791" s="250"/>
      <c r="P791" s="250"/>
      <c r="Q791" s="250"/>
      <c r="R791" s="250"/>
      <c r="S791" s="282"/>
    </row>
    <row r="792" spans="1:19" ht="12.75" customHeight="1" x14ac:dyDescent="0.2">
      <c r="A792" s="198" t="str">
        <f>"         "&amp;Labels!B317</f>
        <v xml:space="preserve">         Channels 1</v>
      </c>
      <c r="B792" s="250">
        <f>Engage!B164*('(Tables)'!B410*Inputs!F167+'(Tables)'!C410*Inputs!F175)</f>
        <v>0</v>
      </c>
      <c r="C792" s="250">
        <f>Engage!C164*('(Tables)'!B410*Inputs!G167+'(Tables)'!C410*Inputs!G175)</f>
        <v>0</v>
      </c>
      <c r="D792" s="250">
        <f>Engage!D164*('(Tables)'!B410*Inputs!H167+'(Tables)'!C410*Inputs!H175)</f>
        <v>0</v>
      </c>
      <c r="E792" s="250">
        <f>Engage!E164*('(Tables)'!B410*Inputs!I167+'(Tables)'!C410*Inputs!I175)</f>
        <v>0</v>
      </c>
      <c r="F792" s="250">
        <f>Engage!F164*('(Tables)'!B410*Inputs!J167+'(Tables)'!C410*Inputs!J175)</f>
        <v>0</v>
      </c>
      <c r="G792" s="250">
        <f>Engage!G164*('(Tables)'!B410*Inputs!K167+'(Tables)'!C410*Inputs!K175)</f>
        <v>0</v>
      </c>
      <c r="H792" s="250">
        <f>Engage!H164*('(Tables)'!B410*Inputs!L167+'(Tables)'!C410*Inputs!L175)</f>
        <v>0</v>
      </c>
      <c r="I792" s="250">
        <f>Engage!I164*('(Tables)'!B410*Inputs!M167+'(Tables)'!C410*Inputs!M175)</f>
        <v>0</v>
      </c>
      <c r="J792" s="250">
        <f>Engage!J164*('(Tables)'!B410*Inputs!N167+'(Tables)'!C410*Inputs!N175)</f>
        <v>0</v>
      </c>
      <c r="K792" s="250">
        <f>Engage!K164*('(Tables)'!B410*Inputs!O167+'(Tables)'!C410*Inputs!O175)</f>
        <v>0</v>
      </c>
      <c r="L792" s="250">
        <f>Engage!L164*('(Tables)'!B410*Inputs!P167+'(Tables)'!C410*Inputs!P175)</f>
        <v>0</v>
      </c>
      <c r="M792" s="250">
        <f>Engage!M164*('(Tables)'!B410*Inputs!Q167+'(Tables)'!C410*Inputs!Q175)</f>
        <v>0</v>
      </c>
      <c r="N792" s="250">
        <f>Engage!N164*('(Tables)'!B410*Inputs!R167+'(Tables)'!C410*Inputs!R175)</f>
        <v>0</v>
      </c>
      <c r="O792" s="250">
        <f>Engage!O164*('(Tables)'!B410*Inputs!S167+'(Tables)'!C410*Inputs!S175)</f>
        <v>0</v>
      </c>
      <c r="P792" s="250">
        <f>Engage!P164*('(Tables)'!B410*Inputs!T167+'(Tables)'!C410*Inputs!T175)</f>
        <v>0</v>
      </c>
      <c r="Q792" s="250">
        <f>Engage!Q164*('(Tables)'!B410*Inputs!U167+'(Tables)'!C410*Inputs!U175)</f>
        <v>0</v>
      </c>
      <c r="R792" s="250">
        <f>Engage!R164*('(Tables)'!B410*Inputs!V167+'(Tables)'!C410*Inputs!V175)</f>
        <v>0</v>
      </c>
      <c r="S792" s="282">
        <f>Engage!S164*('(Tables)'!B410*Inputs!W167+'(Tables)'!C410*Inputs!W175)</f>
        <v>0</v>
      </c>
    </row>
    <row r="793" spans="1:19" ht="12.75" customHeight="1" x14ac:dyDescent="0.2">
      <c r="A793" s="198" t="str">
        <f>"         "&amp;Labels!B318</f>
        <v xml:space="preserve">         Channels 2</v>
      </c>
      <c r="B793" s="250">
        <f>Engage!B164*('(Tables)'!B410*Inputs!F168+'(Tables)'!C410*Inputs!F176)</f>
        <v>0</v>
      </c>
      <c r="C793" s="250">
        <f>Engage!C164*('(Tables)'!B410*Inputs!G168+'(Tables)'!C410*Inputs!G176)</f>
        <v>0</v>
      </c>
      <c r="D793" s="250">
        <f>Engage!D164*('(Tables)'!B410*Inputs!H168+'(Tables)'!C410*Inputs!H176)</f>
        <v>0</v>
      </c>
      <c r="E793" s="250">
        <f>Engage!E164*('(Tables)'!B410*Inputs!I168+'(Tables)'!C410*Inputs!I176)</f>
        <v>0</v>
      </c>
      <c r="F793" s="250">
        <f>Engage!F164*('(Tables)'!B410*Inputs!J168+'(Tables)'!C410*Inputs!J176)</f>
        <v>0</v>
      </c>
      <c r="G793" s="250">
        <f>Engage!G164*('(Tables)'!B410*Inputs!K168+'(Tables)'!C410*Inputs!K176)</f>
        <v>0</v>
      </c>
      <c r="H793" s="250">
        <f>Engage!H164*('(Tables)'!B410*Inputs!L168+'(Tables)'!C410*Inputs!L176)</f>
        <v>0</v>
      </c>
      <c r="I793" s="250">
        <f>Engage!I164*('(Tables)'!B410*Inputs!M168+'(Tables)'!C410*Inputs!M176)</f>
        <v>0</v>
      </c>
      <c r="J793" s="250">
        <f>Engage!J164*('(Tables)'!B410*Inputs!N168+'(Tables)'!C410*Inputs!N176)</f>
        <v>0</v>
      </c>
      <c r="K793" s="250">
        <f>Engage!K164*('(Tables)'!B410*Inputs!O168+'(Tables)'!C410*Inputs!O176)</f>
        <v>0</v>
      </c>
      <c r="L793" s="250">
        <f>Engage!L164*('(Tables)'!B410*Inputs!P168+'(Tables)'!C410*Inputs!P176)</f>
        <v>0</v>
      </c>
      <c r="M793" s="250">
        <f>Engage!M164*('(Tables)'!B410*Inputs!Q168+'(Tables)'!C410*Inputs!Q176)</f>
        <v>0</v>
      </c>
      <c r="N793" s="250">
        <f>Engage!N164*('(Tables)'!B410*Inputs!R168+'(Tables)'!C410*Inputs!R176)</f>
        <v>0</v>
      </c>
      <c r="O793" s="250">
        <f>Engage!O164*('(Tables)'!B410*Inputs!S168+'(Tables)'!C410*Inputs!S176)</f>
        <v>0</v>
      </c>
      <c r="P793" s="250">
        <f>Engage!P164*('(Tables)'!B410*Inputs!T168+'(Tables)'!C410*Inputs!T176)</f>
        <v>0</v>
      </c>
      <c r="Q793" s="250">
        <f>Engage!Q164*('(Tables)'!B410*Inputs!U168+'(Tables)'!C410*Inputs!U176)</f>
        <v>0</v>
      </c>
      <c r="R793" s="250">
        <f>Engage!R164*('(Tables)'!B410*Inputs!V168+'(Tables)'!C410*Inputs!V176)</f>
        <v>0</v>
      </c>
      <c r="S793" s="282">
        <f>Engage!S164*('(Tables)'!B410*Inputs!W168+'(Tables)'!C410*Inputs!W176)</f>
        <v>0</v>
      </c>
    </row>
    <row r="794" spans="1:19" ht="12.75" customHeight="1" x14ac:dyDescent="0.2">
      <c r="A794" s="198" t="str">
        <f>"         "&amp;Labels!C316</f>
        <v xml:space="preserve">         Total</v>
      </c>
      <c r="B794" s="250">
        <f t="shared" ref="B794:S794" si="459">SUM(B792:B793)</f>
        <v>0</v>
      </c>
      <c r="C794" s="250">
        <f t="shared" si="459"/>
        <v>0</v>
      </c>
      <c r="D794" s="250">
        <f t="shared" si="459"/>
        <v>0</v>
      </c>
      <c r="E794" s="250">
        <f t="shared" si="459"/>
        <v>0</v>
      </c>
      <c r="F794" s="250">
        <f t="shared" si="459"/>
        <v>0</v>
      </c>
      <c r="G794" s="250">
        <f t="shared" si="459"/>
        <v>0</v>
      </c>
      <c r="H794" s="250">
        <f t="shared" si="459"/>
        <v>0</v>
      </c>
      <c r="I794" s="250">
        <f t="shared" si="459"/>
        <v>0</v>
      </c>
      <c r="J794" s="250">
        <f t="shared" si="459"/>
        <v>0</v>
      </c>
      <c r="K794" s="250">
        <f t="shared" si="459"/>
        <v>0</v>
      </c>
      <c r="L794" s="250">
        <f t="shared" si="459"/>
        <v>0</v>
      </c>
      <c r="M794" s="250">
        <f t="shared" si="459"/>
        <v>0</v>
      </c>
      <c r="N794" s="250">
        <f t="shared" si="459"/>
        <v>0</v>
      </c>
      <c r="O794" s="250">
        <f t="shared" si="459"/>
        <v>0</v>
      </c>
      <c r="P794" s="250">
        <f t="shared" si="459"/>
        <v>0</v>
      </c>
      <c r="Q794" s="250">
        <f t="shared" si="459"/>
        <v>0</v>
      </c>
      <c r="R794" s="250">
        <f t="shared" si="459"/>
        <v>0</v>
      </c>
      <c r="S794" s="282">
        <f t="shared" si="459"/>
        <v>0</v>
      </c>
    </row>
    <row r="795" spans="1:19" ht="12.75" customHeight="1" x14ac:dyDescent="0.2">
      <c r="A795" s="188" t="str">
        <f>"      "&amp;Labels!C396</f>
        <v xml:space="preserve">      Total</v>
      </c>
      <c r="B795" s="248">
        <f t="shared" ref="B795:S795" si="460">SUM(B790,B794)</f>
        <v>0</v>
      </c>
      <c r="C795" s="248">
        <f t="shared" si="460"/>
        <v>0</v>
      </c>
      <c r="D795" s="248">
        <f t="shared" si="460"/>
        <v>0</v>
      </c>
      <c r="E795" s="248">
        <f t="shared" si="460"/>
        <v>0</v>
      </c>
      <c r="F795" s="248">
        <f t="shared" si="460"/>
        <v>0</v>
      </c>
      <c r="G795" s="248">
        <f t="shared" si="460"/>
        <v>0</v>
      </c>
      <c r="H795" s="248">
        <f t="shared" si="460"/>
        <v>0</v>
      </c>
      <c r="I795" s="248">
        <f t="shared" si="460"/>
        <v>0</v>
      </c>
      <c r="J795" s="248">
        <f t="shared" si="460"/>
        <v>0</v>
      </c>
      <c r="K795" s="248">
        <f t="shared" si="460"/>
        <v>0</v>
      </c>
      <c r="L795" s="248">
        <f t="shared" si="460"/>
        <v>0</v>
      </c>
      <c r="M795" s="248">
        <f t="shared" si="460"/>
        <v>0</v>
      </c>
      <c r="N795" s="248">
        <f t="shared" si="460"/>
        <v>0</v>
      </c>
      <c r="O795" s="248">
        <f t="shared" si="460"/>
        <v>0</v>
      </c>
      <c r="P795" s="248">
        <f t="shared" si="460"/>
        <v>0</v>
      </c>
      <c r="Q795" s="248">
        <f t="shared" si="460"/>
        <v>0</v>
      </c>
      <c r="R795" s="248">
        <f t="shared" si="460"/>
        <v>0</v>
      </c>
      <c r="S795" s="271">
        <f t="shared" si="460"/>
        <v>0</v>
      </c>
    </row>
    <row r="796" spans="1:19" ht="12.75" customHeight="1" x14ac:dyDescent="0.2">
      <c r="A796" s="198" t="str">
        <f>"         "&amp;Labels!B317</f>
        <v xml:space="preserve">         Channels 1</v>
      </c>
      <c r="B796" s="250">
        <f t="shared" ref="B796:S796" si="461">SUM(B788,B792)</f>
        <v>0</v>
      </c>
      <c r="C796" s="250">
        <f t="shared" si="461"/>
        <v>0</v>
      </c>
      <c r="D796" s="250">
        <f t="shared" si="461"/>
        <v>0</v>
      </c>
      <c r="E796" s="250">
        <f t="shared" si="461"/>
        <v>0</v>
      </c>
      <c r="F796" s="250">
        <f t="shared" si="461"/>
        <v>0</v>
      </c>
      <c r="G796" s="250">
        <f t="shared" si="461"/>
        <v>0</v>
      </c>
      <c r="H796" s="250">
        <f t="shared" si="461"/>
        <v>0</v>
      </c>
      <c r="I796" s="250">
        <f t="shared" si="461"/>
        <v>0</v>
      </c>
      <c r="J796" s="250">
        <f t="shared" si="461"/>
        <v>0</v>
      </c>
      <c r="K796" s="250">
        <f t="shared" si="461"/>
        <v>0</v>
      </c>
      <c r="L796" s="250">
        <f t="shared" si="461"/>
        <v>0</v>
      </c>
      <c r="M796" s="250">
        <f t="shared" si="461"/>
        <v>0</v>
      </c>
      <c r="N796" s="250">
        <f t="shared" si="461"/>
        <v>0</v>
      </c>
      <c r="O796" s="250">
        <f t="shared" si="461"/>
        <v>0</v>
      </c>
      <c r="P796" s="250">
        <f t="shared" si="461"/>
        <v>0</v>
      </c>
      <c r="Q796" s="250">
        <f t="shared" si="461"/>
        <v>0</v>
      </c>
      <c r="R796" s="250">
        <f t="shared" si="461"/>
        <v>0</v>
      </c>
      <c r="S796" s="282">
        <f t="shared" si="461"/>
        <v>0</v>
      </c>
    </row>
    <row r="797" spans="1:19" ht="12.75" customHeight="1" x14ac:dyDescent="0.2">
      <c r="A797" s="198" t="str">
        <f>"         "&amp;Labels!B318</f>
        <v xml:space="preserve">         Channels 2</v>
      </c>
      <c r="B797" s="250">
        <f t="shared" ref="B797:S797" si="462">SUM(B789,B793)</f>
        <v>0</v>
      </c>
      <c r="C797" s="250">
        <f t="shared" si="462"/>
        <v>0</v>
      </c>
      <c r="D797" s="250">
        <f t="shared" si="462"/>
        <v>0</v>
      </c>
      <c r="E797" s="250">
        <f t="shared" si="462"/>
        <v>0</v>
      </c>
      <c r="F797" s="250">
        <f t="shared" si="462"/>
        <v>0</v>
      </c>
      <c r="G797" s="250">
        <f t="shared" si="462"/>
        <v>0</v>
      </c>
      <c r="H797" s="250">
        <f t="shared" si="462"/>
        <v>0</v>
      </c>
      <c r="I797" s="250">
        <f t="shared" si="462"/>
        <v>0</v>
      </c>
      <c r="J797" s="250">
        <f t="shared" si="462"/>
        <v>0</v>
      </c>
      <c r="K797" s="250">
        <f t="shared" si="462"/>
        <v>0</v>
      </c>
      <c r="L797" s="250">
        <f t="shared" si="462"/>
        <v>0</v>
      </c>
      <c r="M797" s="250">
        <f t="shared" si="462"/>
        <v>0</v>
      </c>
      <c r="N797" s="250">
        <f t="shared" si="462"/>
        <v>0</v>
      </c>
      <c r="O797" s="250">
        <f t="shared" si="462"/>
        <v>0</v>
      </c>
      <c r="P797" s="250">
        <f t="shared" si="462"/>
        <v>0</v>
      </c>
      <c r="Q797" s="250">
        <f t="shared" si="462"/>
        <v>0</v>
      </c>
      <c r="R797" s="250">
        <f t="shared" si="462"/>
        <v>0</v>
      </c>
      <c r="S797" s="282">
        <f t="shared" si="462"/>
        <v>0</v>
      </c>
    </row>
    <row r="798" spans="1:19" ht="12.75" customHeight="1" x14ac:dyDescent="0.2">
      <c r="A798" s="198" t="str">
        <f>"         "&amp;Labels!C316</f>
        <v xml:space="preserve">         Total</v>
      </c>
      <c r="B798" s="250">
        <f t="shared" ref="B798:S798" si="463">SUM(B790,B794)</f>
        <v>0</v>
      </c>
      <c r="C798" s="250">
        <f t="shared" si="463"/>
        <v>0</v>
      </c>
      <c r="D798" s="250">
        <f t="shared" si="463"/>
        <v>0</v>
      </c>
      <c r="E798" s="250">
        <f t="shared" si="463"/>
        <v>0</v>
      </c>
      <c r="F798" s="250">
        <f t="shared" si="463"/>
        <v>0</v>
      </c>
      <c r="G798" s="250">
        <f t="shared" si="463"/>
        <v>0</v>
      </c>
      <c r="H798" s="250">
        <f t="shared" si="463"/>
        <v>0</v>
      </c>
      <c r="I798" s="250">
        <f t="shared" si="463"/>
        <v>0</v>
      </c>
      <c r="J798" s="250">
        <f t="shared" si="463"/>
        <v>0</v>
      </c>
      <c r="K798" s="250">
        <f t="shared" si="463"/>
        <v>0</v>
      </c>
      <c r="L798" s="250">
        <f t="shared" si="463"/>
        <v>0</v>
      </c>
      <c r="M798" s="250">
        <f t="shared" si="463"/>
        <v>0</v>
      </c>
      <c r="N798" s="250">
        <f t="shared" si="463"/>
        <v>0</v>
      </c>
      <c r="O798" s="250">
        <f t="shared" si="463"/>
        <v>0</v>
      </c>
      <c r="P798" s="250">
        <f t="shared" si="463"/>
        <v>0</v>
      </c>
      <c r="Q798" s="250">
        <f t="shared" si="463"/>
        <v>0</v>
      </c>
      <c r="R798" s="250">
        <f t="shared" si="463"/>
        <v>0</v>
      </c>
      <c r="S798" s="282">
        <f t="shared" si="463"/>
        <v>0</v>
      </c>
    </row>
    <row r="799" spans="1:19" ht="12.75" customHeight="1" x14ac:dyDescent="0.2">
      <c r="A799" s="191" t="str">
        <f>"   "&amp;Labels!C384</f>
        <v xml:space="preserve">   Total</v>
      </c>
      <c r="B799" s="247">
        <f t="shared" ref="B799:S799" si="464">SUM(B782,B795)</f>
        <v>0</v>
      </c>
      <c r="C799" s="247">
        <f t="shared" si="464"/>
        <v>0</v>
      </c>
      <c r="D799" s="247">
        <f t="shared" si="464"/>
        <v>0</v>
      </c>
      <c r="E799" s="247">
        <f t="shared" si="464"/>
        <v>0</v>
      </c>
      <c r="F799" s="247">
        <f t="shared" si="464"/>
        <v>0</v>
      </c>
      <c r="G799" s="247">
        <f t="shared" si="464"/>
        <v>0</v>
      </c>
      <c r="H799" s="247">
        <f t="shared" si="464"/>
        <v>0</v>
      </c>
      <c r="I799" s="247">
        <f t="shared" si="464"/>
        <v>0</v>
      </c>
      <c r="J799" s="247">
        <f t="shared" si="464"/>
        <v>0</v>
      </c>
      <c r="K799" s="247">
        <f t="shared" si="464"/>
        <v>0</v>
      </c>
      <c r="L799" s="247">
        <f t="shared" si="464"/>
        <v>0</v>
      </c>
      <c r="M799" s="247">
        <f t="shared" si="464"/>
        <v>0</v>
      </c>
      <c r="N799" s="247">
        <f t="shared" si="464"/>
        <v>0</v>
      </c>
      <c r="O799" s="247">
        <f t="shared" si="464"/>
        <v>0</v>
      </c>
      <c r="P799" s="247">
        <f t="shared" si="464"/>
        <v>0</v>
      </c>
      <c r="Q799" s="247">
        <f t="shared" si="464"/>
        <v>0</v>
      </c>
      <c r="R799" s="247">
        <f t="shared" si="464"/>
        <v>0</v>
      </c>
      <c r="S799" s="272">
        <f t="shared" si="464"/>
        <v>0</v>
      </c>
    </row>
    <row r="800" spans="1:19" ht="12.75" customHeight="1" x14ac:dyDescent="0.2">
      <c r="A800" s="198" t="str">
        <f>"      "&amp;Labels!B397</f>
        <v xml:space="preserve">      Supply Type 1</v>
      </c>
      <c r="B800" s="250"/>
      <c r="C800" s="250"/>
      <c r="D800" s="250"/>
      <c r="E800" s="250"/>
      <c r="F800" s="250"/>
      <c r="G800" s="250"/>
      <c r="H800" s="250"/>
      <c r="I800" s="250"/>
      <c r="J800" s="250"/>
      <c r="K800" s="250"/>
      <c r="L800" s="250"/>
      <c r="M800" s="250"/>
      <c r="N800" s="250"/>
      <c r="O800" s="250"/>
      <c r="P800" s="250"/>
      <c r="Q800" s="250"/>
      <c r="R800" s="250"/>
      <c r="S800" s="282"/>
    </row>
    <row r="801" spans="1:19" ht="12.75" customHeight="1" x14ac:dyDescent="0.2">
      <c r="A801" s="198" t="str">
        <f>"         "&amp;Labels!B317</f>
        <v xml:space="preserve">         Channels 1</v>
      </c>
      <c r="B801" s="250">
        <f t="shared" ref="B801:S801" si="465">SUM(B775,B788)</f>
        <v>0</v>
      </c>
      <c r="C801" s="250">
        <f t="shared" si="465"/>
        <v>0</v>
      </c>
      <c r="D801" s="250">
        <f t="shared" si="465"/>
        <v>0</v>
      </c>
      <c r="E801" s="250">
        <f t="shared" si="465"/>
        <v>0</v>
      </c>
      <c r="F801" s="250">
        <f t="shared" si="465"/>
        <v>0</v>
      </c>
      <c r="G801" s="250">
        <f t="shared" si="465"/>
        <v>0</v>
      </c>
      <c r="H801" s="250">
        <f t="shared" si="465"/>
        <v>0</v>
      </c>
      <c r="I801" s="250">
        <f t="shared" si="465"/>
        <v>0</v>
      </c>
      <c r="J801" s="250">
        <f t="shared" si="465"/>
        <v>0</v>
      </c>
      <c r="K801" s="250">
        <f t="shared" si="465"/>
        <v>0</v>
      </c>
      <c r="L801" s="250">
        <f t="shared" si="465"/>
        <v>0</v>
      </c>
      <c r="M801" s="250">
        <f t="shared" si="465"/>
        <v>0</v>
      </c>
      <c r="N801" s="250">
        <f t="shared" si="465"/>
        <v>0</v>
      </c>
      <c r="O801" s="250">
        <f t="shared" si="465"/>
        <v>0</v>
      </c>
      <c r="P801" s="250">
        <f t="shared" si="465"/>
        <v>0</v>
      </c>
      <c r="Q801" s="250">
        <f t="shared" si="465"/>
        <v>0</v>
      </c>
      <c r="R801" s="250">
        <f t="shared" si="465"/>
        <v>0</v>
      </c>
      <c r="S801" s="282">
        <f t="shared" si="465"/>
        <v>0</v>
      </c>
    </row>
    <row r="802" spans="1:19" ht="12.75" customHeight="1" x14ac:dyDescent="0.2">
      <c r="A802" s="198" t="str">
        <f>"         "&amp;Labels!B318</f>
        <v xml:space="preserve">         Channels 2</v>
      </c>
      <c r="B802" s="250">
        <f t="shared" ref="B802:S802" si="466">SUM(B776,B789)</f>
        <v>0</v>
      </c>
      <c r="C802" s="250">
        <f t="shared" si="466"/>
        <v>0</v>
      </c>
      <c r="D802" s="250">
        <f t="shared" si="466"/>
        <v>0</v>
      </c>
      <c r="E802" s="250">
        <f t="shared" si="466"/>
        <v>0</v>
      </c>
      <c r="F802" s="250">
        <f t="shared" si="466"/>
        <v>0</v>
      </c>
      <c r="G802" s="250">
        <f t="shared" si="466"/>
        <v>0</v>
      </c>
      <c r="H802" s="250">
        <f t="shared" si="466"/>
        <v>0</v>
      </c>
      <c r="I802" s="250">
        <f t="shared" si="466"/>
        <v>0</v>
      </c>
      <c r="J802" s="250">
        <f t="shared" si="466"/>
        <v>0</v>
      </c>
      <c r="K802" s="250">
        <f t="shared" si="466"/>
        <v>0</v>
      </c>
      <c r="L802" s="250">
        <f t="shared" si="466"/>
        <v>0</v>
      </c>
      <c r="M802" s="250">
        <f t="shared" si="466"/>
        <v>0</v>
      </c>
      <c r="N802" s="250">
        <f t="shared" si="466"/>
        <v>0</v>
      </c>
      <c r="O802" s="250">
        <f t="shared" si="466"/>
        <v>0</v>
      </c>
      <c r="P802" s="250">
        <f t="shared" si="466"/>
        <v>0</v>
      </c>
      <c r="Q802" s="250">
        <f t="shared" si="466"/>
        <v>0</v>
      </c>
      <c r="R802" s="250">
        <f t="shared" si="466"/>
        <v>0</v>
      </c>
      <c r="S802" s="282">
        <f t="shared" si="466"/>
        <v>0</v>
      </c>
    </row>
    <row r="803" spans="1:19" ht="12.75" customHeight="1" x14ac:dyDescent="0.2">
      <c r="A803" s="198" t="str">
        <f>"         "&amp;Labels!C316</f>
        <v xml:space="preserve">         Total</v>
      </c>
      <c r="B803" s="250">
        <f t="shared" ref="B803:S803" si="467">SUM(B777,B790)</f>
        <v>0</v>
      </c>
      <c r="C803" s="250">
        <f t="shared" si="467"/>
        <v>0</v>
      </c>
      <c r="D803" s="250">
        <f t="shared" si="467"/>
        <v>0</v>
      </c>
      <c r="E803" s="250">
        <f t="shared" si="467"/>
        <v>0</v>
      </c>
      <c r="F803" s="250">
        <f t="shared" si="467"/>
        <v>0</v>
      </c>
      <c r="G803" s="250">
        <f t="shared" si="467"/>
        <v>0</v>
      </c>
      <c r="H803" s="250">
        <f t="shared" si="467"/>
        <v>0</v>
      </c>
      <c r="I803" s="250">
        <f t="shared" si="467"/>
        <v>0</v>
      </c>
      <c r="J803" s="250">
        <f t="shared" si="467"/>
        <v>0</v>
      </c>
      <c r="K803" s="250">
        <f t="shared" si="467"/>
        <v>0</v>
      </c>
      <c r="L803" s="250">
        <f t="shared" si="467"/>
        <v>0</v>
      </c>
      <c r="M803" s="250">
        <f t="shared" si="467"/>
        <v>0</v>
      </c>
      <c r="N803" s="250">
        <f t="shared" si="467"/>
        <v>0</v>
      </c>
      <c r="O803" s="250">
        <f t="shared" si="467"/>
        <v>0</v>
      </c>
      <c r="P803" s="250">
        <f t="shared" si="467"/>
        <v>0</v>
      </c>
      <c r="Q803" s="250">
        <f t="shared" si="467"/>
        <v>0</v>
      </c>
      <c r="R803" s="250">
        <f t="shared" si="467"/>
        <v>0</v>
      </c>
      <c r="S803" s="282">
        <f t="shared" si="467"/>
        <v>0</v>
      </c>
    </row>
    <row r="804" spans="1:19" ht="12.75" customHeight="1" x14ac:dyDescent="0.2">
      <c r="A804" s="198" t="str">
        <f>"      "&amp;Labels!B398</f>
        <v xml:space="preserve">      Supply Type 2</v>
      </c>
      <c r="B804" s="250"/>
      <c r="C804" s="250"/>
      <c r="D804" s="250"/>
      <c r="E804" s="250"/>
      <c r="F804" s="250"/>
      <c r="G804" s="250"/>
      <c r="H804" s="250"/>
      <c r="I804" s="250"/>
      <c r="J804" s="250"/>
      <c r="K804" s="250"/>
      <c r="L804" s="250"/>
      <c r="M804" s="250"/>
      <c r="N804" s="250"/>
      <c r="O804" s="250"/>
      <c r="P804" s="250"/>
      <c r="Q804" s="250"/>
      <c r="R804" s="250"/>
      <c r="S804" s="282"/>
    </row>
    <row r="805" spans="1:19" ht="12.75" customHeight="1" x14ac:dyDescent="0.2">
      <c r="A805" s="198" t="str">
        <f>"         "&amp;Labels!B317</f>
        <v xml:space="preserve">         Channels 1</v>
      </c>
      <c r="B805" s="250">
        <f t="shared" ref="B805:S805" si="468">SUM(B779,B792)</f>
        <v>0</v>
      </c>
      <c r="C805" s="250">
        <f t="shared" si="468"/>
        <v>0</v>
      </c>
      <c r="D805" s="250">
        <f t="shared" si="468"/>
        <v>0</v>
      </c>
      <c r="E805" s="250">
        <f t="shared" si="468"/>
        <v>0</v>
      </c>
      <c r="F805" s="250">
        <f t="shared" si="468"/>
        <v>0</v>
      </c>
      <c r="G805" s="250">
        <f t="shared" si="468"/>
        <v>0</v>
      </c>
      <c r="H805" s="250">
        <f t="shared" si="468"/>
        <v>0</v>
      </c>
      <c r="I805" s="250">
        <f t="shared" si="468"/>
        <v>0</v>
      </c>
      <c r="J805" s="250">
        <f t="shared" si="468"/>
        <v>0</v>
      </c>
      <c r="K805" s="250">
        <f t="shared" si="468"/>
        <v>0</v>
      </c>
      <c r="L805" s="250">
        <f t="shared" si="468"/>
        <v>0</v>
      </c>
      <c r="M805" s="250">
        <f t="shared" si="468"/>
        <v>0</v>
      </c>
      <c r="N805" s="250">
        <f t="shared" si="468"/>
        <v>0</v>
      </c>
      <c r="O805" s="250">
        <f t="shared" si="468"/>
        <v>0</v>
      </c>
      <c r="P805" s="250">
        <f t="shared" si="468"/>
        <v>0</v>
      </c>
      <c r="Q805" s="250">
        <f t="shared" si="468"/>
        <v>0</v>
      </c>
      <c r="R805" s="250">
        <f t="shared" si="468"/>
        <v>0</v>
      </c>
      <c r="S805" s="282">
        <f t="shared" si="468"/>
        <v>0</v>
      </c>
    </row>
    <row r="806" spans="1:19" ht="12.75" customHeight="1" x14ac:dyDescent="0.2">
      <c r="A806" s="198" t="str">
        <f>"         "&amp;Labels!B318</f>
        <v xml:space="preserve">         Channels 2</v>
      </c>
      <c r="B806" s="250">
        <f t="shared" ref="B806:S806" si="469">SUM(B780,B793)</f>
        <v>0</v>
      </c>
      <c r="C806" s="250">
        <f t="shared" si="469"/>
        <v>0</v>
      </c>
      <c r="D806" s="250">
        <f t="shared" si="469"/>
        <v>0</v>
      </c>
      <c r="E806" s="250">
        <f t="shared" si="469"/>
        <v>0</v>
      </c>
      <c r="F806" s="250">
        <f t="shared" si="469"/>
        <v>0</v>
      </c>
      <c r="G806" s="250">
        <f t="shared" si="469"/>
        <v>0</v>
      </c>
      <c r="H806" s="250">
        <f t="shared" si="469"/>
        <v>0</v>
      </c>
      <c r="I806" s="250">
        <f t="shared" si="469"/>
        <v>0</v>
      </c>
      <c r="J806" s="250">
        <f t="shared" si="469"/>
        <v>0</v>
      </c>
      <c r="K806" s="250">
        <f t="shared" si="469"/>
        <v>0</v>
      </c>
      <c r="L806" s="250">
        <f t="shared" si="469"/>
        <v>0</v>
      </c>
      <c r="M806" s="250">
        <f t="shared" si="469"/>
        <v>0</v>
      </c>
      <c r="N806" s="250">
        <f t="shared" si="469"/>
        <v>0</v>
      </c>
      <c r="O806" s="250">
        <f t="shared" si="469"/>
        <v>0</v>
      </c>
      <c r="P806" s="250">
        <f t="shared" si="469"/>
        <v>0</v>
      </c>
      <c r="Q806" s="250">
        <f t="shared" si="469"/>
        <v>0</v>
      </c>
      <c r="R806" s="250">
        <f t="shared" si="469"/>
        <v>0</v>
      </c>
      <c r="S806" s="282">
        <f t="shared" si="469"/>
        <v>0</v>
      </c>
    </row>
    <row r="807" spans="1:19" ht="12.75" customHeight="1" x14ac:dyDescent="0.2">
      <c r="A807" s="198" t="str">
        <f>"         "&amp;Labels!C316</f>
        <v xml:space="preserve">         Total</v>
      </c>
      <c r="B807" s="250">
        <f t="shared" ref="B807:S807" si="470">SUM(B781,B794)</f>
        <v>0</v>
      </c>
      <c r="C807" s="250">
        <f t="shared" si="470"/>
        <v>0</v>
      </c>
      <c r="D807" s="250">
        <f t="shared" si="470"/>
        <v>0</v>
      </c>
      <c r="E807" s="250">
        <f t="shared" si="470"/>
        <v>0</v>
      </c>
      <c r="F807" s="250">
        <f t="shared" si="470"/>
        <v>0</v>
      </c>
      <c r="G807" s="250">
        <f t="shared" si="470"/>
        <v>0</v>
      </c>
      <c r="H807" s="250">
        <f t="shared" si="470"/>
        <v>0</v>
      </c>
      <c r="I807" s="250">
        <f t="shared" si="470"/>
        <v>0</v>
      </c>
      <c r="J807" s="250">
        <f t="shared" si="470"/>
        <v>0</v>
      </c>
      <c r="K807" s="250">
        <f t="shared" si="470"/>
        <v>0</v>
      </c>
      <c r="L807" s="250">
        <f t="shared" si="470"/>
        <v>0</v>
      </c>
      <c r="M807" s="250">
        <f t="shared" si="470"/>
        <v>0</v>
      </c>
      <c r="N807" s="250">
        <f t="shared" si="470"/>
        <v>0</v>
      </c>
      <c r="O807" s="250">
        <f t="shared" si="470"/>
        <v>0</v>
      </c>
      <c r="P807" s="250">
        <f t="shared" si="470"/>
        <v>0</v>
      </c>
      <c r="Q807" s="250">
        <f t="shared" si="470"/>
        <v>0</v>
      </c>
      <c r="R807" s="250">
        <f t="shared" si="470"/>
        <v>0</v>
      </c>
      <c r="S807" s="282">
        <f t="shared" si="470"/>
        <v>0</v>
      </c>
    </row>
    <row r="808" spans="1:19" ht="12.75" customHeight="1" x14ac:dyDescent="0.2">
      <c r="A808" s="188" t="str">
        <f>"      "&amp;Labels!C396</f>
        <v xml:space="preserve">      Total</v>
      </c>
      <c r="B808" s="248">
        <f t="shared" ref="B808:S808" si="471">SUM(B782,B795)</f>
        <v>0</v>
      </c>
      <c r="C808" s="248">
        <f t="shared" si="471"/>
        <v>0</v>
      </c>
      <c r="D808" s="248">
        <f t="shared" si="471"/>
        <v>0</v>
      </c>
      <c r="E808" s="248">
        <f t="shared" si="471"/>
        <v>0</v>
      </c>
      <c r="F808" s="248">
        <f t="shared" si="471"/>
        <v>0</v>
      </c>
      <c r="G808" s="248">
        <f t="shared" si="471"/>
        <v>0</v>
      </c>
      <c r="H808" s="248">
        <f t="shared" si="471"/>
        <v>0</v>
      </c>
      <c r="I808" s="248">
        <f t="shared" si="471"/>
        <v>0</v>
      </c>
      <c r="J808" s="248">
        <f t="shared" si="471"/>
        <v>0</v>
      </c>
      <c r="K808" s="248">
        <f t="shared" si="471"/>
        <v>0</v>
      </c>
      <c r="L808" s="248">
        <f t="shared" si="471"/>
        <v>0</v>
      </c>
      <c r="M808" s="248">
        <f t="shared" si="471"/>
        <v>0</v>
      </c>
      <c r="N808" s="248">
        <f t="shared" si="471"/>
        <v>0</v>
      </c>
      <c r="O808" s="248">
        <f t="shared" si="471"/>
        <v>0</v>
      </c>
      <c r="P808" s="248">
        <f t="shared" si="471"/>
        <v>0</v>
      </c>
      <c r="Q808" s="248">
        <f t="shared" si="471"/>
        <v>0</v>
      </c>
      <c r="R808" s="248">
        <f t="shared" si="471"/>
        <v>0</v>
      </c>
      <c r="S808" s="271">
        <f t="shared" si="471"/>
        <v>0</v>
      </c>
    </row>
    <row r="809" spans="1:19" ht="12.75" customHeight="1" x14ac:dyDescent="0.2">
      <c r="A809" s="198" t="str">
        <f>"         "&amp;Labels!B317</f>
        <v xml:space="preserve">         Channels 1</v>
      </c>
      <c r="B809" s="250">
        <f t="shared" ref="B809:S809" si="472">SUM(B783,B796)</f>
        <v>0</v>
      </c>
      <c r="C809" s="250">
        <f t="shared" si="472"/>
        <v>0</v>
      </c>
      <c r="D809" s="250">
        <f t="shared" si="472"/>
        <v>0</v>
      </c>
      <c r="E809" s="250">
        <f t="shared" si="472"/>
        <v>0</v>
      </c>
      <c r="F809" s="250">
        <f t="shared" si="472"/>
        <v>0</v>
      </c>
      <c r="G809" s="250">
        <f t="shared" si="472"/>
        <v>0</v>
      </c>
      <c r="H809" s="250">
        <f t="shared" si="472"/>
        <v>0</v>
      </c>
      <c r="I809" s="250">
        <f t="shared" si="472"/>
        <v>0</v>
      </c>
      <c r="J809" s="250">
        <f t="shared" si="472"/>
        <v>0</v>
      </c>
      <c r="K809" s="250">
        <f t="shared" si="472"/>
        <v>0</v>
      </c>
      <c r="L809" s="250">
        <f t="shared" si="472"/>
        <v>0</v>
      </c>
      <c r="M809" s="250">
        <f t="shared" si="472"/>
        <v>0</v>
      </c>
      <c r="N809" s="250">
        <f t="shared" si="472"/>
        <v>0</v>
      </c>
      <c r="O809" s="250">
        <f t="shared" si="472"/>
        <v>0</v>
      </c>
      <c r="P809" s="250">
        <f t="shared" si="472"/>
        <v>0</v>
      </c>
      <c r="Q809" s="250">
        <f t="shared" si="472"/>
        <v>0</v>
      </c>
      <c r="R809" s="250">
        <f t="shared" si="472"/>
        <v>0</v>
      </c>
      <c r="S809" s="282">
        <f t="shared" si="472"/>
        <v>0</v>
      </c>
    </row>
    <row r="810" spans="1:19" ht="12.75" customHeight="1" x14ac:dyDescent="0.2">
      <c r="A810" s="198" t="str">
        <f>"         "&amp;Labels!B318</f>
        <v xml:space="preserve">         Channels 2</v>
      </c>
      <c r="B810" s="250">
        <f t="shared" ref="B810:S810" si="473">SUM(B784,B797)</f>
        <v>0</v>
      </c>
      <c r="C810" s="250">
        <f t="shared" si="473"/>
        <v>0</v>
      </c>
      <c r="D810" s="250">
        <f t="shared" si="473"/>
        <v>0</v>
      </c>
      <c r="E810" s="250">
        <f t="shared" si="473"/>
        <v>0</v>
      </c>
      <c r="F810" s="250">
        <f t="shared" si="473"/>
        <v>0</v>
      </c>
      <c r="G810" s="250">
        <f t="shared" si="473"/>
        <v>0</v>
      </c>
      <c r="H810" s="250">
        <f t="shared" si="473"/>
        <v>0</v>
      </c>
      <c r="I810" s="250">
        <f t="shared" si="473"/>
        <v>0</v>
      </c>
      <c r="J810" s="250">
        <f t="shared" si="473"/>
        <v>0</v>
      </c>
      <c r="K810" s="250">
        <f t="shared" si="473"/>
        <v>0</v>
      </c>
      <c r="L810" s="250">
        <f t="shared" si="473"/>
        <v>0</v>
      </c>
      <c r="M810" s="250">
        <f t="shared" si="473"/>
        <v>0</v>
      </c>
      <c r="N810" s="250">
        <f t="shared" si="473"/>
        <v>0</v>
      </c>
      <c r="O810" s="250">
        <f t="shared" si="473"/>
        <v>0</v>
      </c>
      <c r="P810" s="250">
        <f t="shared" si="473"/>
        <v>0</v>
      </c>
      <c r="Q810" s="250">
        <f t="shared" si="473"/>
        <v>0</v>
      </c>
      <c r="R810" s="250">
        <f t="shared" si="473"/>
        <v>0</v>
      </c>
      <c r="S810" s="282">
        <f t="shared" si="473"/>
        <v>0</v>
      </c>
    </row>
    <row r="811" spans="1:19" ht="12.75" customHeight="1" x14ac:dyDescent="0.2">
      <c r="A811" s="198" t="str">
        <f>"         "&amp;Labels!C316</f>
        <v xml:space="preserve">         Total</v>
      </c>
      <c r="B811" s="250">
        <f t="shared" ref="B811:S811" si="474">SUM(B782,B795)</f>
        <v>0</v>
      </c>
      <c r="C811" s="250">
        <f t="shared" si="474"/>
        <v>0</v>
      </c>
      <c r="D811" s="250">
        <f t="shared" si="474"/>
        <v>0</v>
      </c>
      <c r="E811" s="250">
        <f t="shared" si="474"/>
        <v>0</v>
      </c>
      <c r="F811" s="250">
        <f t="shared" si="474"/>
        <v>0</v>
      </c>
      <c r="G811" s="250">
        <f t="shared" si="474"/>
        <v>0</v>
      </c>
      <c r="H811" s="250">
        <f t="shared" si="474"/>
        <v>0</v>
      </c>
      <c r="I811" s="250">
        <f t="shared" si="474"/>
        <v>0</v>
      </c>
      <c r="J811" s="250">
        <f t="shared" si="474"/>
        <v>0</v>
      </c>
      <c r="K811" s="250">
        <f t="shared" si="474"/>
        <v>0</v>
      </c>
      <c r="L811" s="250">
        <f t="shared" si="474"/>
        <v>0</v>
      </c>
      <c r="M811" s="250">
        <f t="shared" si="474"/>
        <v>0</v>
      </c>
      <c r="N811" s="250">
        <f t="shared" si="474"/>
        <v>0</v>
      </c>
      <c r="O811" s="250">
        <f t="shared" si="474"/>
        <v>0</v>
      </c>
      <c r="P811" s="250">
        <f t="shared" si="474"/>
        <v>0</v>
      </c>
      <c r="Q811" s="250">
        <f t="shared" si="474"/>
        <v>0</v>
      </c>
      <c r="R811" s="250">
        <f t="shared" si="474"/>
        <v>0</v>
      </c>
      <c r="S811" s="282">
        <f t="shared" si="474"/>
        <v>0</v>
      </c>
    </row>
    <row r="812" spans="1:19" ht="12.75" customHeight="1" x14ac:dyDescent="0.2">
      <c r="A812" s="191" t="str">
        <f>Labels!B346</f>
        <v>Engage 2</v>
      </c>
      <c r="B812" s="247"/>
      <c r="C812" s="247"/>
      <c r="D812" s="247"/>
      <c r="E812" s="247"/>
      <c r="F812" s="247"/>
      <c r="G812" s="247"/>
      <c r="H812" s="247"/>
      <c r="I812" s="247"/>
      <c r="J812" s="247"/>
      <c r="K812" s="247"/>
      <c r="L812" s="247"/>
      <c r="M812" s="247"/>
      <c r="N812" s="247"/>
      <c r="O812" s="247"/>
      <c r="P812" s="247"/>
      <c r="Q812" s="247"/>
      <c r="R812" s="247"/>
      <c r="S812" s="272"/>
    </row>
    <row r="813" spans="1:19" ht="12.75" customHeight="1" x14ac:dyDescent="0.2">
      <c r="A813" s="188" t="str">
        <f>"   "&amp;Labels!B385</f>
        <v xml:space="preserve">   Prof Level 1</v>
      </c>
      <c r="B813" s="248"/>
      <c r="C813" s="248"/>
      <c r="D813" s="248"/>
      <c r="E813" s="248"/>
      <c r="F813" s="248"/>
      <c r="G813" s="248"/>
      <c r="H813" s="248"/>
      <c r="I813" s="248"/>
      <c r="J813" s="248"/>
      <c r="K813" s="248"/>
      <c r="L813" s="248"/>
      <c r="M813" s="248"/>
      <c r="N813" s="248"/>
      <c r="O813" s="248"/>
      <c r="P813" s="248"/>
      <c r="Q813" s="248"/>
      <c r="R813" s="248"/>
      <c r="S813" s="271"/>
    </row>
    <row r="814" spans="1:19" ht="12.75" customHeight="1" x14ac:dyDescent="0.2">
      <c r="A814" s="198" t="str">
        <f>"      "&amp;Labels!B397</f>
        <v xml:space="preserve">      Supply Type 1</v>
      </c>
      <c r="B814" s="250"/>
      <c r="C814" s="250"/>
      <c r="D814" s="250"/>
      <c r="E814" s="250"/>
      <c r="F814" s="250"/>
      <c r="G814" s="250"/>
      <c r="H814" s="250"/>
      <c r="I814" s="250"/>
      <c r="J814" s="250"/>
      <c r="K814" s="250"/>
      <c r="L814" s="250"/>
      <c r="M814" s="250"/>
      <c r="N814" s="250"/>
      <c r="O814" s="250"/>
      <c r="P814" s="250"/>
      <c r="Q814" s="250"/>
      <c r="R814" s="250"/>
      <c r="S814" s="282"/>
    </row>
    <row r="815" spans="1:19" ht="12.75" customHeight="1" x14ac:dyDescent="0.2">
      <c r="A815" s="198" t="str">
        <f>"         "&amp;Labels!B317</f>
        <v xml:space="preserve">         Channels 1</v>
      </c>
      <c r="B815" s="250">
        <f>Engage!B167*('(Tables)'!B411*Inputs!F161+'(Tables)'!C411*Inputs!F169)</f>
        <v>0</v>
      </c>
      <c r="C815" s="250">
        <f>Engage!C167*('(Tables)'!B411*Inputs!G161+'(Tables)'!C411*Inputs!G169)</f>
        <v>0</v>
      </c>
      <c r="D815" s="250">
        <f>Engage!D167*('(Tables)'!B411*Inputs!H161+'(Tables)'!C411*Inputs!H169)</f>
        <v>0</v>
      </c>
      <c r="E815" s="250">
        <f>Engage!E167*('(Tables)'!B411*Inputs!I161+'(Tables)'!C411*Inputs!I169)</f>
        <v>0</v>
      </c>
      <c r="F815" s="250">
        <f>Engage!F167*('(Tables)'!B411*Inputs!J161+'(Tables)'!C411*Inputs!J169)</f>
        <v>0</v>
      </c>
      <c r="G815" s="250">
        <f>Engage!G167*('(Tables)'!B411*Inputs!K161+'(Tables)'!C411*Inputs!K169)</f>
        <v>0</v>
      </c>
      <c r="H815" s="250">
        <f>Engage!H167*('(Tables)'!B411*Inputs!L161+'(Tables)'!C411*Inputs!L169)</f>
        <v>0</v>
      </c>
      <c r="I815" s="250">
        <f>Engage!I167*('(Tables)'!B411*Inputs!M161+'(Tables)'!C411*Inputs!M169)</f>
        <v>0</v>
      </c>
      <c r="J815" s="250">
        <f>Engage!J167*('(Tables)'!B411*Inputs!N161+'(Tables)'!C411*Inputs!N169)</f>
        <v>0</v>
      </c>
      <c r="K815" s="250">
        <f>Engage!K167*('(Tables)'!B411*Inputs!O161+'(Tables)'!C411*Inputs!O169)</f>
        <v>0</v>
      </c>
      <c r="L815" s="250">
        <f>Engage!L167*('(Tables)'!B411*Inputs!P161+'(Tables)'!C411*Inputs!P169)</f>
        <v>0</v>
      </c>
      <c r="M815" s="250">
        <f>Engage!M167*('(Tables)'!B411*Inputs!Q161+'(Tables)'!C411*Inputs!Q169)</f>
        <v>0</v>
      </c>
      <c r="N815" s="250">
        <f>Engage!N167*('(Tables)'!B411*Inputs!R161+'(Tables)'!C411*Inputs!R169)</f>
        <v>0</v>
      </c>
      <c r="O815" s="250">
        <f>Engage!O167*('(Tables)'!B411*Inputs!S161+'(Tables)'!C411*Inputs!S169)</f>
        <v>0</v>
      </c>
      <c r="P815" s="250">
        <f>Engage!P167*('(Tables)'!B411*Inputs!T161+'(Tables)'!C411*Inputs!T169)</f>
        <v>0</v>
      </c>
      <c r="Q815" s="250">
        <f>Engage!Q167*('(Tables)'!B411*Inputs!U161+'(Tables)'!C411*Inputs!U169)</f>
        <v>0</v>
      </c>
      <c r="R815" s="250">
        <f>Engage!R167*('(Tables)'!B411*Inputs!V161+'(Tables)'!C411*Inputs!V169)</f>
        <v>0</v>
      </c>
      <c r="S815" s="282">
        <f>Engage!S167*('(Tables)'!B411*Inputs!W161+'(Tables)'!C411*Inputs!W169)</f>
        <v>0</v>
      </c>
    </row>
    <row r="816" spans="1:19" ht="12.75" customHeight="1" x14ac:dyDescent="0.2">
      <c r="A816" s="198" t="str">
        <f>"         "&amp;Labels!B318</f>
        <v xml:space="preserve">         Channels 2</v>
      </c>
      <c r="B816" s="250">
        <f>Engage!B167*('(Tables)'!B411*Inputs!F162+'(Tables)'!C411*Inputs!F170)</f>
        <v>0</v>
      </c>
      <c r="C816" s="250">
        <f>Engage!C167*('(Tables)'!B411*Inputs!G162+'(Tables)'!C411*Inputs!G170)</f>
        <v>0</v>
      </c>
      <c r="D816" s="250">
        <f>Engage!D167*('(Tables)'!B411*Inputs!H162+'(Tables)'!C411*Inputs!H170)</f>
        <v>0</v>
      </c>
      <c r="E816" s="250">
        <f>Engage!E167*('(Tables)'!B411*Inputs!I162+'(Tables)'!C411*Inputs!I170)</f>
        <v>0</v>
      </c>
      <c r="F816" s="250">
        <f>Engage!F167*('(Tables)'!B411*Inputs!J162+'(Tables)'!C411*Inputs!J170)</f>
        <v>0</v>
      </c>
      <c r="G816" s="250">
        <f>Engage!G167*('(Tables)'!B411*Inputs!K162+'(Tables)'!C411*Inputs!K170)</f>
        <v>0</v>
      </c>
      <c r="H816" s="250">
        <f>Engage!H167*('(Tables)'!B411*Inputs!L162+'(Tables)'!C411*Inputs!L170)</f>
        <v>0</v>
      </c>
      <c r="I816" s="250">
        <f>Engage!I167*('(Tables)'!B411*Inputs!M162+'(Tables)'!C411*Inputs!M170)</f>
        <v>0</v>
      </c>
      <c r="J816" s="250">
        <f>Engage!J167*('(Tables)'!B411*Inputs!N162+'(Tables)'!C411*Inputs!N170)</f>
        <v>0</v>
      </c>
      <c r="K816" s="250">
        <f>Engage!K167*('(Tables)'!B411*Inputs!O162+'(Tables)'!C411*Inputs!O170)</f>
        <v>0</v>
      </c>
      <c r="L816" s="250">
        <f>Engage!L167*('(Tables)'!B411*Inputs!P162+'(Tables)'!C411*Inputs!P170)</f>
        <v>0</v>
      </c>
      <c r="M816" s="250">
        <f>Engage!M167*('(Tables)'!B411*Inputs!Q162+'(Tables)'!C411*Inputs!Q170)</f>
        <v>0</v>
      </c>
      <c r="N816" s="250">
        <f>Engage!N167*('(Tables)'!B411*Inputs!R162+'(Tables)'!C411*Inputs!R170)</f>
        <v>0</v>
      </c>
      <c r="O816" s="250">
        <f>Engage!O167*('(Tables)'!B411*Inputs!S162+'(Tables)'!C411*Inputs!S170)</f>
        <v>0</v>
      </c>
      <c r="P816" s="250">
        <f>Engage!P167*('(Tables)'!B411*Inputs!T162+'(Tables)'!C411*Inputs!T170)</f>
        <v>0</v>
      </c>
      <c r="Q816" s="250">
        <f>Engage!Q167*('(Tables)'!B411*Inputs!U162+'(Tables)'!C411*Inputs!U170)</f>
        <v>0</v>
      </c>
      <c r="R816" s="250">
        <f>Engage!R167*('(Tables)'!B411*Inputs!V162+'(Tables)'!C411*Inputs!V170)</f>
        <v>0</v>
      </c>
      <c r="S816" s="282">
        <f>Engage!S167*('(Tables)'!B411*Inputs!W162+'(Tables)'!C411*Inputs!W170)</f>
        <v>0</v>
      </c>
    </row>
    <row r="817" spans="1:19" ht="12.75" customHeight="1" x14ac:dyDescent="0.2">
      <c r="A817" s="198" t="str">
        <f>"         "&amp;Labels!C316</f>
        <v xml:space="preserve">         Total</v>
      </c>
      <c r="B817" s="250">
        <f t="shared" ref="B817:S817" si="475">SUM(B815:B816)</f>
        <v>0</v>
      </c>
      <c r="C817" s="250">
        <f t="shared" si="475"/>
        <v>0</v>
      </c>
      <c r="D817" s="250">
        <f t="shared" si="475"/>
        <v>0</v>
      </c>
      <c r="E817" s="250">
        <f t="shared" si="475"/>
        <v>0</v>
      </c>
      <c r="F817" s="250">
        <f t="shared" si="475"/>
        <v>0</v>
      </c>
      <c r="G817" s="250">
        <f t="shared" si="475"/>
        <v>0</v>
      </c>
      <c r="H817" s="250">
        <f t="shared" si="475"/>
        <v>0</v>
      </c>
      <c r="I817" s="250">
        <f t="shared" si="475"/>
        <v>0</v>
      </c>
      <c r="J817" s="250">
        <f t="shared" si="475"/>
        <v>0</v>
      </c>
      <c r="K817" s="250">
        <f t="shared" si="475"/>
        <v>0</v>
      </c>
      <c r="L817" s="250">
        <f t="shared" si="475"/>
        <v>0</v>
      </c>
      <c r="M817" s="250">
        <f t="shared" si="475"/>
        <v>0</v>
      </c>
      <c r="N817" s="250">
        <f t="shared" si="475"/>
        <v>0</v>
      </c>
      <c r="O817" s="250">
        <f t="shared" si="475"/>
        <v>0</v>
      </c>
      <c r="P817" s="250">
        <f t="shared" si="475"/>
        <v>0</v>
      </c>
      <c r="Q817" s="250">
        <f t="shared" si="475"/>
        <v>0</v>
      </c>
      <c r="R817" s="250">
        <f t="shared" si="475"/>
        <v>0</v>
      </c>
      <c r="S817" s="282">
        <f t="shared" si="475"/>
        <v>0</v>
      </c>
    </row>
    <row r="818" spans="1:19" ht="12.75" customHeight="1" x14ac:dyDescent="0.2">
      <c r="A818" s="198" t="str">
        <f>"      "&amp;Labels!B398</f>
        <v xml:space="preserve">      Supply Type 2</v>
      </c>
      <c r="B818" s="250"/>
      <c r="C818" s="250"/>
      <c r="D818" s="250"/>
      <c r="E818" s="250"/>
      <c r="F818" s="250"/>
      <c r="G818" s="250"/>
      <c r="H818" s="250"/>
      <c r="I818" s="250"/>
      <c r="J818" s="250"/>
      <c r="K818" s="250"/>
      <c r="L818" s="250"/>
      <c r="M818" s="250"/>
      <c r="N818" s="250"/>
      <c r="O818" s="250"/>
      <c r="P818" s="250"/>
      <c r="Q818" s="250"/>
      <c r="R818" s="250"/>
      <c r="S818" s="282"/>
    </row>
    <row r="819" spans="1:19" ht="12.75" customHeight="1" x14ac:dyDescent="0.2">
      <c r="A819" s="198" t="str">
        <f>"         "&amp;Labels!B317</f>
        <v xml:space="preserve">         Channels 1</v>
      </c>
      <c r="B819" s="250">
        <f>Engage!B167*('(Tables)'!B411*Inputs!F163+'(Tables)'!C411*Inputs!F171)</f>
        <v>0</v>
      </c>
      <c r="C819" s="250">
        <f>Engage!C167*('(Tables)'!B411*Inputs!G163+'(Tables)'!C411*Inputs!G171)</f>
        <v>0</v>
      </c>
      <c r="D819" s="250">
        <f>Engage!D167*('(Tables)'!B411*Inputs!H163+'(Tables)'!C411*Inputs!H171)</f>
        <v>0</v>
      </c>
      <c r="E819" s="250">
        <f>Engage!E167*('(Tables)'!B411*Inputs!I163+'(Tables)'!C411*Inputs!I171)</f>
        <v>0</v>
      </c>
      <c r="F819" s="250">
        <f>Engage!F167*('(Tables)'!B411*Inputs!J163+'(Tables)'!C411*Inputs!J171)</f>
        <v>0</v>
      </c>
      <c r="G819" s="250">
        <f>Engage!G167*('(Tables)'!B411*Inputs!K163+'(Tables)'!C411*Inputs!K171)</f>
        <v>0</v>
      </c>
      <c r="H819" s="250">
        <f>Engage!H167*('(Tables)'!B411*Inputs!L163+'(Tables)'!C411*Inputs!L171)</f>
        <v>0</v>
      </c>
      <c r="I819" s="250">
        <f>Engage!I167*('(Tables)'!B411*Inputs!M163+'(Tables)'!C411*Inputs!M171)</f>
        <v>0</v>
      </c>
      <c r="J819" s="250">
        <f>Engage!J167*('(Tables)'!B411*Inputs!N163+'(Tables)'!C411*Inputs!N171)</f>
        <v>0</v>
      </c>
      <c r="K819" s="250">
        <f>Engage!K167*('(Tables)'!B411*Inputs!O163+'(Tables)'!C411*Inputs!O171)</f>
        <v>0</v>
      </c>
      <c r="L819" s="250">
        <f>Engage!L167*('(Tables)'!B411*Inputs!P163+'(Tables)'!C411*Inputs!P171)</f>
        <v>0</v>
      </c>
      <c r="M819" s="250">
        <f>Engage!M167*('(Tables)'!B411*Inputs!Q163+'(Tables)'!C411*Inputs!Q171)</f>
        <v>0</v>
      </c>
      <c r="N819" s="250">
        <f>Engage!N167*('(Tables)'!B411*Inputs!R163+'(Tables)'!C411*Inputs!R171)</f>
        <v>0</v>
      </c>
      <c r="O819" s="250">
        <f>Engage!O167*('(Tables)'!B411*Inputs!S163+'(Tables)'!C411*Inputs!S171)</f>
        <v>0</v>
      </c>
      <c r="P819" s="250">
        <f>Engage!P167*('(Tables)'!B411*Inputs!T163+'(Tables)'!C411*Inputs!T171)</f>
        <v>0</v>
      </c>
      <c r="Q819" s="250">
        <f>Engage!Q167*('(Tables)'!B411*Inputs!U163+'(Tables)'!C411*Inputs!U171)</f>
        <v>0</v>
      </c>
      <c r="R819" s="250">
        <f>Engage!R167*('(Tables)'!B411*Inputs!V163+'(Tables)'!C411*Inputs!V171)</f>
        <v>0</v>
      </c>
      <c r="S819" s="282">
        <f>Engage!S167*('(Tables)'!B411*Inputs!W163+'(Tables)'!C411*Inputs!W171)</f>
        <v>0</v>
      </c>
    </row>
    <row r="820" spans="1:19" ht="12.75" customHeight="1" x14ac:dyDescent="0.2">
      <c r="A820" s="198" t="str">
        <f>"         "&amp;Labels!B318</f>
        <v xml:space="preserve">         Channels 2</v>
      </c>
      <c r="B820" s="250">
        <f>Engage!B167*('(Tables)'!B411*Inputs!F164+'(Tables)'!C411*Inputs!F172)</f>
        <v>0</v>
      </c>
      <c r="C820" s="250">
        <f>Engage!C167*('(Tables)'!B411*Inputs!G164+'(Tables)'!C411*Inputs!G172)</f>
        <v>0</v>
      </c>
      <c r="D820" s="250">
        <f>Engage!D167*('(Tables)'!B411*Inputs!H164+'(Tables)'!C411*Inputs!H172)</f>
        <v>0</v>
      </c>
      <c r="E820" s="250">
        <f>Engage!E167*('(Tables)'!B411*Inputs!I164+'(Tables)'!C411*Inputs!I172)</f>
        <v>0</v>
      </c>
      <c r="F820" s="250">
        <f>Engage!F167*('(Tables)'!B411*Inputs!J164+'(Tables)'!C411*Inputs!J172)</f>
        <v>0</v>
      </c>
      <c r="G820" s="250">
        <f>Engage!G167*('(Tables)'!B411*Inputs!K164+'(Tables)'!C411*Inputs!K172)</f>
        <v>0</v>
      </c>
      <c r="H820" s="250">
        <f>Engage!H167*('(Tables)'!B411*Inputs!L164+'(Tables)'!C411*Inputs!L172)</f>
        <v>0</v>
      </c>
      <c r="I820" s="250">
        <f>Engage!I167*('(Tables)'!B411*Inputs!M164+'(Tables)'!C411*Inputs!M172)</f>
        <v>0</v>
      </c>
      <c r="J820" s="250">
        <f>Engage!J167*('(Tables)'!B411*Inputs!N164+'(Tables)'!C411*Inputs!N172)</f>
        <v>0</v>
      </c>
      <c r="K820" s="250">
        <f>Engage!K167*('(Tables)'!B411*Inputs!O164+'(Tables)'!C411*Inputs!O172)</f>
        <v>0</v>
      </c>
      <c r="L820" s="250">
        <f>Engage!L167*('(Tables)'!B411*Inputs!P164+'(Tables)'!C411*Inputs!P172)</f>
        <v>0</v>
      </c>
      <c r="M820" s="250">
        <f>Engage!M167*('(Tables)'!B411*Inputs!Q164+'(Tables)'!C411*Inputs!Q172)</f>
        <v>0</v>
      </c>
      <c r="N820" s="250">
        <f>Engage!N167*('(Tables)'!B411*Inputs!R164+'(Tables)'!C411*Inputs!R172)</f>
        <v>0</v>
      </c>
      <c r="O820" s="250">
        <f>Engage!O167*('(Tables)'!B411*Inputs!S164+'(Tables)'!C411*Inputs!S172)</f>
        <v>0</v>
      </c>
      <c r="P820" s="250">
        <f>Engage!P167*('(Tables)'!B411*Inputs!T164+'(Tables)'!C411*Inputs!T172)</f>
        <v>0</v>
      </c>
      <c r="Q820" s="250">
        <f>Engage!Q167*('(Tables)'!B411*Inputs!U164+'(Tables)'!C411*Inputs!U172)</f>
        <v>0</v>
      </c>
      <c r="R820" s="250">
        <f>Engage!R167*('(Tables)'!B411*Inputs!V164+'(Tables)'!C411*Inputs!V172)</f>
        <v>0</v>
      </c>
      <c r="S820" s="282">
        <f>Engage!S167*('(Tables)'!B411*Inputs!W164+'(Tables)'!C411*Inputs!W172)</f>
        <v>0</v>
      </c>
    </row>
    <row r="821" spans="1:19" ht="12.75" customHeight="1" x14ac:dyDescent="0.2">
      <c r="A821" s="198" t="str">
        <f>"         "&amp;Labels!C316</f>
        <v xml:space="preserve">         Total</v>
      </c>
      <c r="B821" s="250">
        <f t="shared" ref="B821:S821" si="476">SUM(B819:B820)</f>
        <v>0</v>
      </c>
      <c r="C821" s="250">
        <f t="shared" si="476"/>
        <v>0</v>
      </c>
      <c r="D821" s="250">
        <f t="shared" si="476"/>
        <v>0</v>
      </c>
      <c r="E821" s="250">
        <f t="shared" si="476"/>
        <v>0</v>
      </c>
      <c r="F821" s="250">
        <f t="shared" si="476"/>
        <v>0</v>
      </c>
      <c r="G821" s="250">
        <f t="shared" si="476"/>
        <v>0</v>
      </c>
      <c r="H821" s="250">
        <f t="shared" si="476"/>
        <v>0</v>
      </c>
      <c r="I821" s="250">
        <f t="shared" si="476"/>
        <v>0</v>
      </c>
      <c r="J821" s="250">
        <f t="shared" si="476"/>
        <v>0</v>
      </c>
      <c r="K821" s="250">
        <f t="shared" si="476"/>
        <v>0</v>
      </c>
      <c r="L821" s="250">
        <f t="shared" si="476"/>
        <v>0</v>
      </c>
      <c r="M821" s="250">
        <f t="shared" si="476"/>
        <v>0</v>
      </c>
      <c r="N821" s="250">
        <f t="shared" si="476"/>
        <v>0</v>
      </c>
      <c r="O821" s="250">
        <f t="shared" si="476"/>
        <v>0</v>
      </c>
      <c r="P821" s="250">
        <f t="shared" si="476"/>
        <v>0</v>
      </c>
      <c r="Q821" s="250">
        <f t="shared" si="476"/>
        <v>0</v>
      </c>
      <c r="R821" s="250">
        <f t="shared" si="476"/>
        <v>0</v>
      </c>
      <c r="S821" s="282">
        <f t="shared" si="476"/>
        <v>0</v>
      </c>
    </row>
    <row r="822" spans="1:19" ht="12.75" customHeight="1" x14ac:dyDescent="0.2">
      <c r="A822" s="188" t="str">
        <f>"      "&amp;Labels!C396</f>
        <v xml:space="preserve">      Total</v>
      </c>
      <c r="B822" s="248">
        <f t="shared" ref="B822:S822" si="477">SUM(B817,B821)</f>
        <v>0</v>
      </c>
      <c r="C822" s="248">
        <f t="shared" si="477"/>
        <v>0</v>
      </c>
      <c r="D822" s="248">
        <f t="shared" si="477"/>
        <v>0</v>
      </c>
      <c r="E822" s="248">
        <f t="shared" si="477"/>
        <v>0</v>
      </c>
      <c r="F822" s="248">
        <f t="shared" si="477"/>
        <v>0</v>
      </c>
      <c r="G822" s="248">
        <f t="shared" si="477"/>
        <v>0</v>
      </c>
      <c r="H822" s="248">
        <f t="shared" si="477"/>
        <v>0</v>
      </c>
      <c r="I822" s="248">
        <f t="shared" si="477"/>
        <v>0</v>
      </c>
      <c r="J822" s="248">
        <f t="shared" si="477"/>
        <v>0</v>
      </c>
      <c r="K822" s="248">
        <f t="shared" si="477"/>
        <v>0</v>
      </c>
      <c r="L822" s="248">
        <f t="shared" si="477"/>
        <v>0</v>
      </c>
      <c r="M822" s="248">
        <f t="shared" si="477"/>
        <v>0</v>
      </c>
      <c r="N822" s="248">
        <f t="shared" si="477"/>
        <v>0</v>
      </c>
      <c r="O822" s="248">
        <f t="shared" si="477"/>
        <v>0</v>
      </c>
      <c r="P822" s="248">
        <f t="shared" si="477"/>
        <v>0</v>
      </c>
      <c r="Q822" s="248">
        <f t="shared" si="477"/>
        <v>0</v>
      </c>
      <c r="R822" s="248">
        <f t="shared" si="477"/>
        <v>0</v>
      </c>
      <c r="S822" s="271">
        <f t="shared" si="477"/>
        <v>0</v>
      </c>
    </row>
    <row r="823" spans="1:19" ht="12.75" customHeight="1" x14ac:dyDescent="0.2">
      <c r="A823" s="198" t="str">
        <f>"         "&amp;Labels!B317</f>
        <v xml:space="preserve">         Channels 1</v>
      </c>
      <c r="B823" s="250">
        <f t="shared" ref="B823:S823" si="478">SUM(B815,B819)</f>
        <v>0</v>
      </c>
      <c r="C823" s="250">
        <f t="shared" si="478"/>
        <v>0</v>
      </c>
      <c r="D823" s="250">
        <f t="shared" si="478"/>
        <v>0</v>
      </c>
      <c r="E823" s="250">
        <f t="shared" si="478"/>
        <v>0</v>
      </c>
      <c r="F823" s="250">
        <f t="shared" si="478"/>
        <v>0</v>
      </c>
      <c r="G823" s="250">
        <f t="shared" si="478"/>
        <v>0</v>
      </c>
      <c r="H823" s="250">
        <f t="shared" si="478"/>
        <v>0</v>
      </c>
      <c r="I823" s="250">
        <f t="shared" si="478"/>
        <v>0</v>
      </c>
      <c r="J823" s="250">
        <f t="shared" si="478"/>
        <v>0</v>
      </c>
      <c r="K823" s="250">
        <f t="shared" si="478"/>
        <v>0</v>
      </c>
      <c r="L823" s="250">
        <f t="shared" si="478"/>
        <v>0</v>
      </c>
      <c r="M823" s="250">
        <f t="shared" si="478"/>
        <v>0</v>
      </c>
      <c r="N823" s="250">
        <f t="shared" si="478"/>
        <v>0</v>
      </c>
      <c r="O823" s="250">
        <f t="shared" si="478"/>
        <v>0</v>
      </c>
      <c r="P823" s="250">
        <f t="shared" si="478"/>
        <v>0</v>
      </c>
      <c r="Q823" s="250">
        <f t="shared" si="478"/>
        <v>0</v>
      </c>
      <c r="R823" s="250">
        <f t="shared" si="478"/>
        <v>0</v>
      </c>
      <c r="S823" s="282">
        <f t="shared" si="478"/>
        <v>0</v>
      </c>
    </row>
    <row r="824" spans="1:19" ht="12.75" customHeight="1" x14ac:dyDescent="0.2">
      <c r="A824" s="198" t="str">
        <f>"         "&amp;Labels!B318</f>
        <v xml:space="preserve">         Channels 2</v>
      </c>
      <c r="B824" s="250">
        <f t="shared" ref="B824:S824" si="479">SUM(B816,B820)</f>
        <v>0</v>
      </c>
      <c r="C824" s="250">
        <f t="shared" si="479"/>
        <v>0</v>
      </c>
      <c r="D824" s="250">
        <f t="shared" si="479"/>
        <v>0</v>
      </c>
      <c r="E824" s="250">
        <f t="shared" si="479"/>
        <v>0</v>
      </c>
      <c r="F824" s="250">
        <f t="shared" si="479"/>
        <v>0</v>
      </c>
      <c r="G824" s="250">
        <f t="shared" si="479"/>
        <v>0</v>
      </c>
      <c r="H824" s="250">
        <f t="shared" si="479"/>
        <v>0</v>
      </c>
      <c r="I824" s="250">
        <f t="shared" si="479"/>
        <v>0</v>
      </c>
      <c r="J824" s="250">
        <f t="shared" si="479"/>
        <v>0</v>
      </c>
      <c r="K824" s="250">
        <f t="shared" si="479"/>
        <v>0</v>
      </c>
      <c r="L824" s="250">
        <f t="shared" si="479"/>
        <v>0</v>
      </c>
      <c r="M824" s="250">
        <f t="shared" si="479"/>
        <v>0</v>
      </c>
      <c r="N824" s="250">
        <f t="shared" si="479"/>
        <v>0</v>
      </c>
      <c r="O824" s="250">
        <f t="shared" si="479"/>
        <v>0</v>
      </c>
      <c r="P824" s="250">
        <f t="shared" si="479"/>
        <v>0</v>
      </c>
      <c r="Q824" s="250">
        <f t="shared" si="479"/>
        <v>0</v>
      </c>
      <c r="R824" s="250">
        <f t="shared" si="479"/>
        <v>0</v>
      </c>
      <c r="S824" s="282">
        <f t="shared" si="479"/>
        <v>0</v>
      </c>
    </row>
    <row r="825" spans="1:19" ht="12.75" customHeight="1" x14ac:dyDescent="0.2">
      <c r="A825" s="198" t="str">
        <f>"         "&amp;Labels!C316</f>
        <v xml:space="preserve">         Total</v>
      </c>
      <c r="B825" s="250">
        <f t="shared" ref="B825:S825" si="480">SUM(B817,B821)</f>
        <v>0</v>
      </c>
      <c r="C825" s="250">
        <f t="shared" si="480"/>
        <v>0</v>
      </c>
      <c r="D825" s="250">
        <f t="shared" si="480"/>
        <v>0</v>
      </c>
      <c r="E825" s="250">
        <f t="shared" si="480"/>
        <v>0</v>
      </c>
      <c r="F825" s="250">
        <f t="shared" si="480"/>
        <v>0</v>
      </c>
      <c r="G825" s="250">
        <f t="shared" si="480"/>
        <v>0</v>
      </c>
      <c r="H825" s="250">
        <f t="shared" si="480"/>
        <v>0</v>
      </c>
      <c r="I825" s="250">
        <f t="shared" si="480"/>
        <v>0</v>
      </c>
      <c r="J825" s="250">
        <f t="shared" si="480"/>
        <v>0</v>
      </c>
      <c r="K825" s="250">
        <f t="shared" si="480"/>
        <v>0</v>
      </c>
      <c r="L825" s="250">
        <f t="shared" si="480"/>
        <v>0</v>
      </c>
      <c r="M825" s="250">
        <f t="shared" si="480"/>
        <v>0</v>
      </c>
      <c r="N825" s="250">
        <f t="shared" si="480"/>
        <v>0</v>
      </c>
      <c r="O825" s="250">
        <f t="shared" si="480"/>
        <v>0</v>
      </c>
      <c r="P825" s="250">
        <f t="shared" si="480"/>
        <v>0</v>
      </c>
      <c r="Q825" s="250">
        <f t="shared" si="480"/>
        <v>0</v>
      </c>
      <c r="R825" s="250">
        <f t="shared" si="480"/>
        <v>0</v>
      </c>
      <c r="S825" s="282">
        <f t="shared" si="480"/>
        <v>0</v>
      </c>
    </row>
    <row r="826" spans="1:19" ht="12.75" customHeight="1" x14ac:dyDescent="0.2">
      <c r="A826" s="188" t="str">
        <f>"   "&amp;Labels!B386</f>
        <v xml:space="preserve">   Prof Level 2</v>
      </c>
      <c r="B826" s="248"/>
      <c r="C826" s="248"/>
      <c r="D826" s="248"/>
      <c r="E826" s="248"/>
      <c r="F826" s="248"/>
      <c r="G826" s="248"/>
      <c r="H826" s="248"/>
      <c r="I826" s="248"/>
      <c r="J826" s="248"/>
      <c r="K826" s="248"/>
      <c r="L826" s="248"/>
      <c r="M826" s="248"/>
      <c r="N826" s="248"/>
      <c r="O826" s="248"/>
      <c r="P826" s="248"/>
      <c r="Q826" s="248"/>
      <c r="R826" s="248"/>
      <c r="S826" s="271"/>
    </row>
    <row r="827" spans="1:19" ht="12.75" customHeight="1" x14ac:dyDescent="0.2">
      <c r="A827" s="198" t="str">
        <f>"      "&amp;Labels!B397</f>
        <v xml:space="preserve">      Supply Type 1</v>
      </c>
      <c r="B827" s="250"/>
      <c r="C827" s="250"/>
      <c r="D827" s="250"/>
      <c r="E827" s="250"/>
      <c r="F827" s="250"/>
      <c r="G827" s="250"/>
      <c r="H827" s="250"/>
      <c r="I827" s="250"/>
      <c r="J827" s="250"/>
      <c r="K827" s="250"/>
      <c r="L827" s="250"/>
      <c r="M827" s="250"/>
      <c r="N827" s="250"/>
      <c r="O827" s="250"/>
      <c r="P827" s="250"/>
      <c r="Q827" s="250"/>
      <c r="R827" s="250"/>
      <c r="S827" s="282"/>
    </row>
    <row r="828" spans="1:19" ht="12.75" customHeight="1" x14ac:dyDescent="0.2">
      <c r="A828" s="198" t="str">
        <f>"         "&amp;Labels!B317</f>
        <v xml:space="preserve">         Channels 1</v>
      </c>
      <c r="B828" s="250">
        <f>Engage!B168*('(Tables)'!B411*Inputs!F165+'(Tables)'!C411*Inputs!F173)</f>
        <v>0</v>
      </c>
      <c r="C828" s="250">
        <f>Engage!C168*('(Tables)'!B411*Inputs!G165+'(Tables)'!C411*Inputs!G173)</f>
        <v>0</v>
      </c>
      <c r="D828" s="250">
        <f>Engage!D168*('(Tables)'!B411*Inputs!H165+'(Tables)'!C411*Inputs!H173)</f>
        <v>0</v>
      </c>
      <c r="E828" s="250">
        <f>Engage!E168*('(Tables)'!B411*Inputs!I165+'(Tables)'!C411*Inputs!I173)</f>
        <v>0</v>
      </c>
      <c r="F828" s="250">
        <f>Engage!F168*('(Tables)'!B411*Inputs!J165+'(Tables)'!C411*Inputs!J173)</f>
        <v>0</v>
      </c>
      <c r="G828" s="250">
        <f>Engage!G168*('(Tables)'!B411*Inputs!K165+'(Tables)'!C411*Inputs!K173)</f>
        <v>0</v>
      </c>
      <c r="H828" s="250">
        <f>Engage!H168*('(Tables)'!B411*Inputs!L165+'(Tables)'!C411*Inputs!L173)</f>
        <v>0</v>
      </c>
      <c r="I828" s="250">
        <f>Engage!I168*('(Tables)'!B411*Inputs!M165+'(Tables)'!C411*Inputs!M173)</f>
        <v>0</v>
      </c>
      <c r="J828" s="250">
        <f>Engage!J168*('(Tables)'!B411*Inputs!N165+'(Tables)'!C411*Inputs!N173)</f>
        <v>0</v>
      </c>
      <c r="K828" s="250">
        <f>Engage!K168*('(Tables)'!B411*Inputs!O165+'(Tables)'!C411*Inputs!O173)</f>
        <v>0</v>
      </c>
      <c r="L828" s="250">
        <f>Engage!L168*('(Tables)'!B411*Inputs!P165+'(Tables)'!C411*Inputs!P173)</f>
        <v>0</v>
      </c>
      <c r="M828" s="250">
        <f>Engage!M168*('(Tables)'!B411*Inputs!Q165+'(Tables)'!C411*Inputs!Q173)</f>
        <v>0</v>
      </c>
      <c r="N828" s="250">
        <f>Engage!N168*('(Tables)'!B411*Inputs!R165+'(Tables)'!C411*Inputs!R173)</f>
        <v>0</v>
      </c>
      <c r="O828" s="250">
        <f>Engage!O168*('(Tables)'!B411*Inputs!S165+'(Tables)'!C411*Inputs!S173)</f>
        <v>0</v>
      </c>
      <c r="P828" s="250">
        <f>Engage!P168*('(Tables)'!B411*Inputs!T165+'(Tables)'!C411*Inputs!T173)</f>
        <v>0</v>
      </c>
      <c r="Q828" s="250">
        <f>Engage!Q168*('(Tables)'!B411*Inputs!U165+'(Tables)'!C411*Inputs!U173)</f>
        <v>0</v>
      </c>
      <c r="R828" s="250">
        <f>Engage!R168*('(Tables)'!B411*Inputs!V165+'(Tables)'!C411*Inputs!V173)</f>
        <v>0</v>
      </c>
      <c r="S828" s="282">
        <f>Engage!S168*('(Tables)'!B411*Inputs!W165+'(Tables)'!C411*Inputs!W173)</f>
        <v>0</v>
      </c>
    </row>
    <row r="829" spans="1:19" ht="12.75" customHeight="1" x14ac:dyDescent="0.2">
      <c r="A829" s="198" t="str">
        <f>"         "&amp;Labels!B318</f>
        <v xml:space="preserve">         Channels 2</v>
      </c>
      <c r="B829" s="250">
        <f>Engage!B168*('(Tables)'!B411*Inputs!F166+'(Tables)'!C411*Inputs!F174)</f>
        <v>0</v>
      </c>
      <c r="C829" s="250">
        <f>Engage!C168*('(Tables)'!B411*Inputs!G166+'(Tables)'!C411*Inputs!G174)</f>
        <v>0</v>
      </c>
      <c r="D829" s="250">
        <f>Engage!D168*('(Tables)'!B411*Inputs!H166+'(Tables)'!C411*Inputs!H174)</f>
        <v>0</v>
      </c>
      <c r="E829" s="250">
        <f>Engage!E168*('(Tables)'!B411*Inputs!I166+'(Tables)'!C411*Inputs!I174)</f>
        <v>0</v>
      </c>
      <c r="F829" s="250">
        <f>Engage!F168*('(Tables)'!B411*Inputs!J166+'(Tables)'!C411*Inputs!J174)</f>
        <v>0</v>
      </c>
      <c r="G829" s="250">
        <f>Engage!G168*('(Tables)'!B411*Inputs!K166+'(Tables)'!C411*Inputs!K174)</f>
        <v>0</v>
      </c>
      <c r="H829" s="250">
        <f>Engage!H168*('(Tables)'!B411*Inputs!L166+'(Tables)'!C411*Inputs!L174)</f>
        <v>0</v>
      </c>
      <c r="I829" s="250">
        <f>Engage!I168*('(Tables)'!B411*Inputs!M166+'(Tables)'!C411*Inputs!M174)</f>
        <v>0</v>
      </c>
      <c r="J829" s="250">
        <f>Engage!J168*('(Tables)'!B411*Inputs!N166+'(Tables)'!C411*Inputs!N174)</f>
        <v>0</v>
      </c>
      <c r="K829" s="250">
        <f>Engage!K168*('(Tables)'!B411*Inputs!O166+'(Tables)'!C411*Inputs!O174)</f>
        <v>0</v>
      </c>
      <c r="L829" s="250">
        <f>Engage!L168*('(Tables)'!B411*Inputs!P166+'(Tables)'!C411*Inputs!P174)</f>
        <v>0</v>
      </c>
      <c r="M829" s="250">
        <f>Engage!M168*('(Tables)'!B411*Inputs!Q166+'(Tables)'!C411*Inputs!Q174)</f>
        <v>0</v>
      </c>
      <c r="N829" s="250">
        <f>Engage!N168*('(Tables)'!B411*Inputs!R166+'(Tables)'!C411*Inputs!R174)</f>
        <v>0</v>
      </c>
      <c r="O829" s="250">
        <f>Engage!O168*('(Tables)'!B411*Inputs!S166+'(Tables)'!C411*Inputs!S174)</f>
        <v>0</v>
      </c>
      <c r="P829" s="250">
        <f>Engage!P168*('(Tables)'!B411*Inputs!T166+'(Tables)'!C411*Inputs!T174)</f>
        <v>0</v>
      </c>
      <c r="Q829" s="250">
        <f>Engage!Q168*('(Tables)'!B411*Inputs!U166+'(Tables)'!C411*Inputs!U174)</f>
        <v>0</v>
      </c>
      <c r="R829" s="250">
        <f>Engage!R168*('(Tables)'!B411*Inputs!V166+'(Tables)'!C411*Inputs!V174)</f>
        <v>0</v>
      </c>
      <c r="S829" s="282">
        <f>Engage!S168*('(Tables)'!B411*Inputs!W166+'(Tables)'!C411*Inputs!W174)</f>
        <v>0</v>
      </c>
    </row>
    <row r="830" spans="1:19" ht="12.75" customHeight="1" x14ac:dyDescent="0.2">
      <c r="A830" s="198" t="str">
        <f>"         "&amp;Labels!C316</f>
        <v xml:space="preserve">         Total</v>
      </c>
      <c r="B830" s="250">
        <f t="shared" ref="B830:S830" si="481">SUM(B828:B829)</f>
        <v>0</v>
      </c>
      <c r="C830" s="250">
        <f t="shared" si="481"/>
        <v>0</v>
      </c>
      <c r="D830" s="250">
        <f t="shared" si="481"/>
        <v>0</v>
      </c>
      <c r="E830" s="250">
        <f t="shared" si="481"/>
        <v>0</v>
      </c>
      <c r="F830" s="250">
        <f t="shared" si="481"/>
        <v>0</v>
      </c>
      <c r="G830" s="250">
        <f t="shared" si="481"/>
        <v>0</v>
      </c>
      <c r="H830" s="250">
        <f t="shared" si="481"/>
        <v>0</v>
      </c>
      <c r="I830" s="250">
        <f t="shared" si="481"/>
        <v>0</v>
      </c>
      <c r="J830" s="250">
        <f t="shared" si="481"/>
        <v>0</v>
      </c>
      <c r="K830" s="250">
        <f t="shared" si="481"/>
        <v>0</v>
      </c>
      <c r="L830" s="250">
        <f t="shared" si="481"/>
        <v>0</v>
      </c>
      <c r="M830" s="250">
        <f t="shared" si="481"/>
        <v>0</v>
      </c>
      <c r="N830" s="250">
        <f t="shared" si="481"/>
        <v>0</v>
      </c>
      <c r="O830" s="250">
        <f t="shared" si="481"/>
        <v>0</v>
      </c>
      <c r="P830" s="250">
        <f t="shared" si="481"/>
        <v>0</v>
      </c>
      <c r="Q830" s="250">
        <f t="shared" si="481"/>
        <v>0</v>
      </c>
      <c r="R830" s="250">
        <f t="shared" si="481"/>
        <v>0</v>
      </c>
      <c r="S830" s="282">
        <f t="shared" si="481"/>
        <v>0</v>
      </c>
    </row>
    <row r="831" spans="1:19" ht="12.75" customHeight="1" x14ac:dyDescent="0.2">
      <c r="A831" s="198" t="str">
        <f>"      "&amp;Labels!B398</f>
        <v xml:space="preserve">      Supply Type 2</v>
      </c>
      <c r="B831" s="250"/>
      <c r="C831" s="250"/>
      <c r="D831" s="250"/>
      <c r="E831" s="250"/>
      <c r="F831" s="250"/>
      <c r="G831" s="250"/>
      <c r="H831" s="250"/>
      <c r="I831" s="250"/>
      <c r="J831" s="250"/>
      <c r="K831" s="250"/>
      <c r="L831" s="250"/>
      <c r="M831" s="250"/>
      <c r="N831" s="250"/>
      <c r="O831" s="250"/>
      <c r="P831" s="250"/>
      <c r="Q831" s="250"/>
      <c r="R831" s="250"/>
      <c r="S831" s="282"/>
    </row>
    <row r="832" spans="1:19" ht="12.75" customHeight="1" x14ac:dyDescent="0.2">
      <c r="A832" s="198" t="str">
        <f>"         "&amp;Labels!B317</f>
        <v xml:space="preserve">         Channels 1</v>
      </c>
      <c r="B832" s="250">
        <f>Engage!B168*('(Tables)'!B411*Inputs!F167+'(Tables)'!C411*Inputs!F175)</f>
        <v>0</v>
      </c>
      <c r="C832" s="250">
        <f>Engage!C168*('(Tables)'!B411*Inputs!G167+'(Tables)'!C411*Inputs!G175)</f>
        <v>0</v>
      </c>
      <c r="D832" s="250">
        <f>Engage!D168*('(Tables)'!B411*Inputs!H167+'(Tables)'!C411*Inputs!H175)</f>
        <v>0</v>
      </c>
      <c r="E832" s="250">
        <f>Engage!E168*('(Tables)'!B411*Inputs!I167+'(Tables)'!C411*Inputs!I175)</f>
        <v>0</v>
      </c>
      <c r="F832" s="250">
        <f>Engage!F168*('(Tables)'!B411*Inputs!J167+'(Tables)'!C411*Inputs!J175)</f>
        <v>0</v>
      </c>
      <c r="G832" s="250">
        <f>Engage!G168*('(Tables)'!B411*Inputs!K167+'(Tables)'!C411*Inputs!K175)</f>
        <v>0</v>
      </c>
      <c r="H832" s="250">
        <f>Engage!H168*('(Tables)'!B411*Inputs!L167+'(Tables)'!C411*Inputs!L175)</f>
        <v>0</v>
      </c>
      <c r="I832" s="250">
        <f>Engage!I168*('(Tables)'!B411*Inputs!M167+'(Tables)'!C411*Inputs!M175)</f>
        <v>0</v>
      </c>
      <c r="J832" s="250">
        <f>Engage!J168*('(Tables)'!B411*Inputs!N167+'(Tables)'!C411*Inputs!N175)</f>
        <v>0</v>
      </c>
      <c r="K832" s="250">
        <f>Engage!K168*('(Tables)'!B411*Inputs!O167+'(Tables)'!C411*Inputs!O175)</f>
        <v>0</v>
      </c>
      <c r="L832" s="250">
        <f>Engage!L168*('(Tables)'!B411*Inputs!P167+'(Tables)'!C411*Inputs!P175)</f>
        <v>0</v>
      </c>
      <c r="M832" s="250">
        <f>Engage!M168*('(Tables)'!B411*Inputs!Q167+'(Tables)'!C411*Inputs!Q175)</f>
        <v>0</v>
      </c>
      <c r="N832" s="250">
        <f>Engage!N168*('(Tables)'!B411*Inputs!R167+'(Tables)'!C411*Inputs!R175)</f>
        <v>0</v>
      </c>
      <c r="O832" s="250">
        <f>Engage!O168*('(Tables)'!B411*Inputs!S167+'(Tables)'!C411*Inputs!S175)</f>
        <v>0</v>
      </c>
      <c r="P832" s="250">
        <f>Engage!P168*('(Tables)'!B411*Inputs!T167+'(Tables)'!C411*Inputs!T175)</f>
        <v>0</v>
      </c>
      <c r="Q832" s="250">
        <f>Engage!Q168*('(Tables)'!B411*Inputs!U167+'(Tables)'!C411*Inputs!U175)</f>
        <v>0</v>
      </c>
      <c r="R832" s="250">
        <f>Engage!R168*('(Tables)'!B411*Inputs!V167+'(Tables)'!C411*Inputs!V175)</f>
        <v>0</v>
      </c>
      <c r="S832" s="282">
        <f>Engage!S168*('(Tables)'!B411*Inputs!W167+'(Tables)'!C411*Inputs!W175)</f>
        <v>0</v>
      </c>
    </row>
    <row r="833" spans="1:19" ht="12.75" customHeight="1" x14ac:dyDescent="0.2">
      <c r="A833" s="198" t="str">
        <f>"         "&amp;Labels!B318</f>
        <v xml:space="preserve">         Channels 2</v>
      </c>
      <c r="B833" s="250">
        <f>Engage!B168*('(Tables)'!B411*Inputs!F168+'(Tables)'!C411*Inputs!F176)</f>
        <v>0</v>
      </c>
      <c r="C833" s="250">
        <f>Engage!C168*('(Tables)'!B411*Inputs!G168+'(Tables)'!C411*Inputs!G176)</f>
        <v>0</v>
      </c>
      <c r="D833" s="250">
        <f>Engage!D168*('(Tables)'!B411*Inputs!H168+'(Tables)'!C411*Inputs!H176)</f>
        <v>0</v>
      </c>
      <c r="E833" s="250">
        <f>Engage!E168*('(Tables)'!B411*Inputs!I168+'(Tables)'!C411*Inputs!I176)</f>
        <v>0</v>
      </c>
      <c r="F833" s="250">
        <f>Engage!F168*('(Tables)'!B411*Inputs!J168+'(Tables)'!C411*Inputs!J176)</f>
        <v>0</v>
      </c>
      <c r="G833" s="250">
        <f>Engage!G168*('(Tables)'!B411*Inputs!K168+'(Tables)'!C411*Inputs!K176)</f>
        <v>0</v>
      </c>
      <c r="H833" s="250">
        <f>Engage!H168*('(Tables)'!B411*Inputs!L168+'(Tables)'!C411*Inputs!L176)</f>
        <v>0</v>
      </c>
      <c r="I833" s="250">
        <f>Engage!I168*('(Tables)'!B411*Inputs!M168+'(Tables)'!C411*Inputs!M176)</f>
        <v>0</v>
      </c>
      <c r="J833" s="250">
        <f>Engage!J168*('(Tables)'!B411*Inputs!N168+'(Tables)'!C411*Inputs!N176)</f>
        <v>0</v>
      </c>
      <c r="K833" s="250">
        <f>Engage!K168*('(Tables)'!B411*Inputs!O168+'(Tables)'!C411*Inputs!O176)</f>
        <v>0</v>
      </c>
      <c r="L833" s="250">
        <f>Engage!L168*('(Tables)'!B411*Inputs!P168+'(Tables)'!C411*Inputs!P176)</f>
        <v>0</v>
      </c>
      <c r="M833" s="250">
        <f>Engage!M168*('(Tables)'!B411*Inputs!Q168+'(Tables)'!C411*Inputs!Q176)</f>
        <v>0</v>
      </c>
      <c r="N833" s="250">
        <f>Engage!N168*('(Tables)'!B411*Inputs!R168+'(Tables)'!C411*Inputs!R176)</f>
        <v>0</v>
      </c>
      <c r="O833" s="250">
        <f>Engage!O168*('(Tables)'!B411*Inputs!S168+'(Tables)'!C411*Inputs!S176)</f>
        <v>0</v>
      </c>
      <c r="P833" s="250">
        <f>Engage!P168*('(Tables)'!B411*Inputs!T168+'(Tables)'!C411*Inputs!T176)</f>
        <v>0</v>
      </c>
      <c r="Q833" s="250">
        <f>Engage!Q168*('(Tables)'!B411*Inputs!U168+'(Tables)'!C411*Inputs!U176)</f>
        <v>0</v>
      </c>
      <c r="R833" s="250">
        <f>Engage!R168*('(Tables)'!B411*Inputs!V168+'(Tables)'!C411*Inputs!V176)</f>
        <v>0</v>
      </c>
      <c r="S833" s="282">
        <f>Engage!S168*('(Tables)'!B411*Inputs!W168+'(Tables)'!C411*Inputs!W176)</f>
        <v>0</v>
      </c>
    </row>
    <row r="834" spans="1:19" ht="12.75" customHeight="1" x14ac:dyDescent="0.2">
      <c r="A834" s="198" t="str">
        <f>"         "&amp;Labels!C316</f>
        <v xml:space="preserve">         Total</v>
      </c>
      <c r="B834" s="250">
        <f t="shared" ref="B834:S834" si="482">SUM(B832:B833)</f>
        <v>0</v>
      </c>
      <c r="C834" s="250">
        <f t="shared" si="482"/>
        <v>0</v>
      </c>
      <c r="D834" s="250">
        <f t="shared" si="482"/>
        <v>0</v>
      </c>
      <c r="E834" s="250">
        <f t="shared" si="482"/>
        <v>0</v>
      </c>
      <c r="F834" s="250">
        <f t="shared" si="482"/>
        <v>0</v>
      </c>
      <c r="G834" s="250">
        <f t="shared" si="482"/>
        <v>0</v>
      </c>
      <c r="H834" s="250">
        <f t="shared" si="482"/>
        <v>0</v>
      </c>
      <c r="I834" s="250">
        <f t="shared" si="482"/>
        <v>0</v>
      </c>
      <c r="J834" s="250">
        <f t="shared" si="482"/>
        <v>0</v>
      </c>
      <c r="K834" s="250">
        <f t="shared" si="482"/>
        <v>0</v>
      </c>
      <c r="L834" s="250">
        <f t="shared" si="482"/>
        <v>0</v>
      </c>
      <c r="M834" s="250">
        <f t="shared" si="482"/>
        <v>0</v>
      </c>
      <c r="N834" s="250">
        <f t="shared" si="482"/>
        <v>0</v>
      </c>
      <c r="O834" s="250">
        <f t="shared" si="482"/>
        <v>0</v>
      </c>
      <c r="P834" s="250">
        <f t="shared" si="482"/>
        <v>0</v>
      </c>
      <c r="Q834" s="250">
        <f t="shared" si="482"/>
        <v>0</v>
      </c>
      <c r="R834" s="250">
        <f t="shared" si="482"/>
        <v>0</v>
      </c>
      <c r="S834" s="282">
        <f t="shared" si="482"/>
        <v>0</v>
      </c>
    </row>
    <row r="835" spans="1:19" ht="12.75" customHeight="1" x14ac:dyDescent="0.2">
      <c r="A835" s="188" t="str">
        <f>"      "&amp;Labels!C396</f>
        <v xml:space="preserve">      Total</v>
      </c>
      <c r="B835" s="248">
        <f t="shared" ref="B835:S835" si="483">SUM(B830,B834)</f>
        <v>0</v>
      </c>
      <c r="C835" s="248">
        <f t="shared" si="483"/>
        <v>0</v>
      </c>
      <c r="D835" s="248">
        <f t="shared" si="483"/>
        <v>0</v>
      </c>
      <c r="E835" s="248">
        <f t="shared" si="483"/>
        <v>0</v>
      </c>
      <c r="F835" s="248">
        <f t="shared" si="483"/>
        <v>0</v>
      </c>
      <c r="G835" s="248">
        <f t="shared" si="483"/>
        <v>0</v>
      </c>
      <c r="H835" s="248">
        <f t="shared" si="483"/>
        <v>0</v>
      </c>
      <c r="I835" s="248">
        <f t="shared" si="483"/>
        <v>0</v>
      </c>
      <c r="J835" s="248">
        <f t="shared" si="483"/>
        <v>0</v>
      </c>
      <c r="K835" s="248">
        <f t="shared" si="483"/>
        <v>0</v>
      </c>
      <c r="L835" s="248">
        <f t="shared" si="483"/>
        <v>0</v>
      </c>
      <c r="M835" s="248">
        <f t="shared" si="483"/>
        <v>0</v>
      </c>
      <c r="N835" s="248">
        <f t="shared" si="483"/>
        <v>0</v>
      </c>
      <c r="O835" s="248">
        <f t="shared" si="483"/>
        <v>0</v>
      </c>
      <c r="P835" s="248">
        <f t="shared" si="483"/>
        <v>0</v>
      </c>
      <c r="Q835" s="248">
        <f t="shared" si="483"/>
        <v>0</v>
      </c>
      <c r="R835" s="248">
        <f t="shared" si="483"/>
        <v>0</v>
      </c>
      <c r="S835" s="271">
        <f t="shared" si="483"/>
        <v>0</v>
      </c>
    </row>
    <row r="836" spans="1:19" ht="12.75" customHeight="1" x14ac:dyDescent="0.2">
      <c r="A836" s="198" t="str">
        <f>"         "&amp;Labels!B317</f>
        <v xml:space="preserve">         Channels 1</v>
      </c>
      <c r="B836" s="250">
        <f t="shared" ref="B836:S836" si="484">SUM(B828,B832)</f>
        <v>0</v>
      </c>
      <c r="C836" s="250">
        <f t="shared" si="484"/>
        <v>0</v>
      </c>
      <c r="D836" s="250">
        <f t="shared" si="484"/>
        <v>0</v>
      </c>
      <c r="E836" s="250">
        <f t="shared" si="484"/>
        <v>0</v>
      </c>
      <c r="F836" s="250">
        <f t="shared" si="484"/>
        <v>0</v>
      </c>
      <c r="G836" s="250">
        <f t="shared" si="484"/>
        <v>0</v>
      </c>
      <c r="H836" s="250">
        <f t="shared" si="484"/>
        <v>0</v>
      </c>
      <c r="I836" s="250">
        <f t="shared" si="484"/>
        <v>0</v>
      </c>
      <c r="J836" s="250">
        <f t="shared" si="484"/>
        <v>0</v>
      </c>
      <c r="K836" s="250">
        <f t="shared" si="484"/>
        <v>0</v>
      </c>
      <c r="L836" s="250">
        <f t="shared" si="484"/>
        <v>0</v>
      </c>
      <c r="M836" s="250">
        <f t="shared" si="484"/>
        <v>0</v>
      </c>
      <c r="N836" s="250">
        <f t="shared" si="484"/>
        <v>0</v>
      </c>
      <c r="O836" s="250">
        <f t="shared" si="484"/>
        <v>0</v>
      </c>
      <c r="P836" s="250">
        <f t="shared" si="484"/>
        <v>0</v>
      </c>
      <c r="Q836" s="250">
        <f t="shared" si="484"/>
        <v>0</v>
      </c>
      <c r="R836" s="250">
        <f t="shared" si="484"/>
        <v>0</v>
      </c>
      <c r="S836" s="282">
        <f t="shared" si="484"/>
        <v>0</v>
      </c>
    </row>
    <row r="837" spans="1:19" ht="12.75" customHeight="1" x14ac:dyDescent="0.2">
      <c r="A837" s="198" t="str">
        <f>"         "&amp;Labels!B318</f>
        <v xml:space="preserve">         Channels 2</v>
      </c>
      <c r="B837" s="250">
        <f t="shared" ref="B837:S837" si="485">SUM(B829,B833)</f>
        <v>0</v>
      </c>
      <c r="C837" s="250">
        <f t="shared" si="485"/>
        <v>0</v>
      </c>
      <c r="D837" s="250">
        <f t="shared" si="485"/>
        <v>0</v>
      </c>
      <c r="E837" s="250">
        <f t="shared" si="485"/>
        <v>0</v>
      </c>
      <c r="F837" s="250">
        <f t="shared" si="485"/>
        <v>0</v>
      </c>
      <c r="G837" s="250">
        <f t="shared" si="485"/>
        <v>0</v>
      </c>
      <c r="H837" s="250">
        <f t="shared" si="485"/>
        <v>0</v>
      </c>
      <c r="I837" s="250">
        <f t="shared" si="485"/>
        <v>0</v>
      </c>
      <c r="J837" s="250">
        <f t="shared" si="485"/>
        <v>0</v>
      </c>
      <c r="K837" s="250">
        <f t="shared" si="485"/>
        <v>0</v>
      </c>
      <c r="L837" s="250">
        <f t="shared" si="485"/>
        <v>0</v>
      </c>
      <c r="M837" s="250">
        <f t="shared" si="485"/>
        <v>0</v>
      </c>
      <c r="N837" s="250">
        <f t="shared" si="485"/>
        <v>0</v>
      </c>
      <c r="O837" s="250">
        <f t="shared" si="485"/>
        <v>0</v>
      </c>
      <c r="P837" s="250">
        <f t="shared" si="485"/>
        <v>0</v>
      </c>
      <c r="Q837" s="250">
        <f t="shared" si="485"/>
        <v>0</v>
      </c>
      <c r="R837" s="250">
        <f t="shared" si="485"/>
        <v>0</v>
      </c>
      <c r="S837" s="282">
        <f t="shared" si="485"/>
        <v>0</v>
      </c>
    </row>
    <row r="838" spans="1:19" ht="12.75" customHeight="1" x14ac:dyDescent="0.2">
      <c r="A838" s="198" t="str">
        <f>"         "&amp;Labels!C316</f>
        <v xml:space="preserve">         Total</v>
      </c>
      <c r="B838" s="250">
        <f t="shared" ref="B838:S838" si="486">SUM(B830,B834)</f>
        <v>0</v>
      </c>
      <c r="C838" s="250">
        <f t="shared" si="486"/>
        <v>0</v>
      </c>
      <c r="D838" s="250">
        <f t="shared" si="486"/>
        <v>0</v>
      </c>
      <c r="E838" s="250">
        <f t="shared" si="486"/>
        <v>0</v>
      </c>
      <c r="F838" s="250">
        <f t="shared" si="486"/>
        <v>0</v>
      </c>
      <c r="G838" s="250">
        <f t="shared" si="486"/>
        <v>0</v>
      </c>
      <c r="H838" s="250">
        <f t="shared" si="486"/>
        <v>0</v>
      </c>
      <c r="I838" s="250">
        <f t="shared" si="486"/>
        <v>0</v>
      </c>
      <c r="J838" s="250">
        <f t="shared" si="486"/>
        <v>0</v>
      </c>
      <c r="K838" s="250">
        <f t="shared" si="486"/>
        <v>0</v>
      </c>
      <c r="L838" s="250">
        <f t="shared" si="486"/>
        <v>0</v>
      </c>
      <c r="M838" s="250">
        <f t="shared" si="486"/>
        <v>0</v>
      </c>
      <c r="N838" s="250">
        <f t="shared" si="486"/>
        <v>0</v>
      </c>
      <c r="O838" s="250">
        <f t="shared" si="486"/>
        <v>0</v>
      </c>
      <c r="P838" s="250">
        <f t="shared" si="486"/>
        <v>0</v>
      </c>
      <c r="Q838" s="250">
        <f t="shared" si="486"/>
        <v>0</v>
      </c>
      <c r="R838" s="250">
        <f t="shared" si="486"/>
        <v>0</v>
      </c>
      <c r="S838" s="282">
        <f t="shared" si="486"/>
        <v>0</v>
      </c>
    </row>
    <row r="839" spans="1:19" ht="12.75" customHeight="1" x14ac:dyDescent="0.2">
      <c r="A839" s="191" t="str">
        <f>"   "&amp;Labels!C384</f>
        <v xml:space="preserve">   Total</v>
      </c>
      <c r="B839" s="247">
        <f t="shared" ref="B839:S839" si="487">SUM(B822,B835)</f>
        <v>0</v>
      </c>
      <c r="C839" s="247">
        <f t="shared" si="487"/>
        <v>0</v>
      </c>
      <c r="D839" s="247">
        <f t="shared" si="487"/>
        <v>0</v>
      </c>
      <c r="E839" s="247">
        <f t="shared" si="487"/>
        <v>0</v>
      </c>
      <c r="F839" s="247">
        <f t="shared" si="487"/>
        <v>0</v>
      </c>
      <c r="G839" s="247">
        <f t="shared" si="487"/>
        <v>0</v>
      </c>
      <c r="H839" s="247">
        <f t="shared" si="487"/>
        <v>0</v>
      </c>
      <c r="I839" s="247">
        <f t="shared" si="487"/>
        <v>0</v>
      </c>
      <c r="J839" s="247">
        <f t="shared" si="487"/>
        <v>0</v>
      </c>
      <c r="K839" s="247">
        <f t="shared" si="487"/>
        <v>0</v>
      </c>
      <c r="L839" s="247">
        <f t="shared" si="487"/>
        <v>0</v>
      </c>
      <c r="M839" s="247">
        <f t="shared" si="487"/>
        <v>0</v>
      </c>
      <c r="N839" s="247">
        <f t="shared" si="487"/>
        <v>0</v>
      </c>
      <c r="O839" s="247">
        <f t="shared" si="487"/>
        <v>0</v>
      </c>
      <c r="P839" s="247">
        <f t="shared" si="487"/>
        <v>0</v>
      </c>
      <c r="Q839" s="247">
        <f t="shared" si="487"/>
        <v>0</v>
      </c>
      <c r="R839" s="247">
        <f t="shared" si="487"/>
        <v>0</v>
      </c>
      <c r="S839" s="272">
        <f t="shared" si="487"/>
        <v>0</v>
      </c>
    </row>
    <row r="840" spans="1:19" ht="12.75" customHeight="1" x14ac:dyDescent="0.2">
      <c r="A840" s="198" t="str">
        <f>"      "&amp;Labels!B397</f>
        <v xml:space="preserve">      Supply Type 1</v>
      </c>
      <c r="B840" s="250"/>
      <c r="C840" s="250"/>
      <c r="D840" s="250"/>
      <c r="E840" s="250"/>
      <c r="F840" s="250"/>
      <c r="G840" s="250"/>
      <c r="H840" s="250"/>
      <c r="I840" s="250"/>
      <c r="J840" s="250"/>
      <c r="K840" s="250"/>
      <c r="L840" s="250"/>
      <c r="M840" s="250"/>
      <c r="N840" s="250"/>
      <c r="O840" s="250"/>
      <c r="P840" s="250"/>
      <c r="Q840" s="250"/>
      <c r="R840" s="250"/>
      <c r="S840" s="282"/>
    </row>
    <row r="841" spans="1:19" ht="12.75" customHeight="1" x14ac:dyDescent="0.2">
      <c r="A841" s="198" t="str">
        <f>"         "&amp;Labels!B317</f>
        <v xml:space="preserve">         Channels 1</v>
      </c>
      <c r="B841" s="250">
        <f t="shared" ref="B841:S841" si="488">SUM(B815,B828)</f>
        <v>0</v>
      </c>
      <c r="C841" s="250">
        <f t="shared" si="488"/>
        <v>0</v>
      </c>
      <c r="D841" s="250">
        <f t="shared" si="488"/>
        <v>0</v>
      </c>
      <c r="E841" s="250">
        <f t="shared" si="488"/>
        <v>0</v>
      </c>
      <c r="F841" s="250">
        <f t="shared" si="488"/>
        <v>0</v>
      </c>
      <c r="G841" s="250">
        <f t="shared" si="488"/>
        <v>0</v>
      </c>
      <c r="H841" s="250">
        <f t="shared" si="488"/>
        <v>0</v>
      </c>
      <c r="I841" s="250">
        <f t="shared" si="488"/>
        <v>0</v>
      </c>
      <c r="J841" s="250">
        <f t="shared" si="488"/>
        <v>0</v>
      </c>
      <c r="K841" s="250">
        <f t="shared" si="488"/>
        <v>0</v>
      </c>
      <c r="L841" s="250">
        <f t="shared" si="488"/>
        <v>0</v>
      </c>
      <c r="M841" s="250">
        <f t="shared" si="488"/>
        <v>0</v>
      </c>
      <c r="N841" s="250">
        <f t="shared" si="488"/>
        <v>0</v>
      </c>
      <c r="O841" s="250">
        <f t="shared" si="488"/>
        <v>0</v>
      </c>
      <c r="P841" s="250">
        <f t="shared" si="488"/>
        <v>0</v>
      </c>
      <c r="Q841" s="250">
        <f t="shared" si="488"/>
        <v>0</v>
      </c>
      <c r="R841" s="250">
        <f t="shared" si="488"/>
        <v>0</v>
      </c>
      <c r="S841" s="282">
        <f t="shared" si="488"/>
        <v>0</v>
      </c>
    </row>
    <row r="842" spans="1:19" ht="12.75" customHeight="1" x14ac:dyDescent="0.2">
      <c r="A842" s="198" t="str">
        <f>"         "&amp;Labels!B318</f>
        <v xml:space="preserve">         Channels 2</v>
      </c>
      <c r="B842" s="250">
        <f t="shared" ref="B842:S842" si="489">SUM(B816,B829)</f>
        <v>0</v>
      </c>
      <c r="C842" s="250">
        <f t="shared" si="489"/>
        <v>0</v>
      </c>
      <c r="D842" s="250">
        <f t="shared" si="489"/>
        <v>0</v>
      </c>
      <c r="E842" s="250">
        <f t="shared" si="489"/>
        <v>0</v>
      </c>
      <c r="F842" s="250">
        <f t="shared" si="489"/>
        <v>0</v>
      </c>
      <c r="G842" s="250">
        <f t="shared" si="489"/>
        <v>0</v>
      </c>
      <c r="H842" s="250">
        <f t="shared" si="489"/>
        <v>0</v>
      </c>
      <c r="I842" s="250">
        <f t="shared" si="489"/>
        <v>0</v>
      </c>
      <c r="J842" s="250">
        <f t="shared" si="489"/>
        <v>0</v>
      </c>
      <c r="K842" s="250">
        <f t="shared" si="489"/>
        <v>0</v>
      </c>
      <c r="L842" s="250">
        <f t="shared" si="489"/>
        <v>0</v>
      </c>
      <c r="M842" s="250">
        <f t="shared" si="489"/>
        <v>0</v>
      </c>
      <c r="N842" s="250">
        <f t="shared" si="489"/>
        <v>0</v>
      </c>
      <c r="O842" s="250">
        <f t="shared" si="489"/>
        <v>0</v>
      </c>
      <c r="P842" s="250">
        <f t="shared" si="489"/>
        <v>0</v>
      </c>
      <c r="Q842" s="250">
        <f t="shared" si="489"/>
        <v>0</v>
      </c>
      <c r="R842" s="250">
        <f t="shared" si="489"/>
        <v>0</v>
      </c>
      <c r="S842" s="282">
        <f t="shared" si="489"/>
        <v>0</v>
      </c>
    </row>
    <row r="843" spans="1:19" ht="12.75" customHeight="1" x14ac:dyDescent="0.2">
      <c r="A843" s="198" t="str">
        <f>"         "&amp;Labels!C316</f>
        <v xml:space="preserve">         Total</v>
      </c>
      <c r="B843" s="250">
        <f t="shared" ref="B843:S843" si="490">SUM(B817,B830)</f>
        <v>0</v>
      </c>
      <c r="C843" s="250">
        <f t="shared" si="490"/>
        <v>0</v>
      </c>
      <c r="D843" s="250">
        <f t="shared" si="490"/>
        <v>0</v>
      </c>
      <c r="E843" s="250">
        <f t="shared" si="490"/>
        <v>0</v>
      </c>
      <c r="F843" s="250">
        <f t="shared" si="490"/>
        <v>0</v>
      </c>
      <c r="G843" s="250">
        <f t="shared" si="490"/>
        <v>0</v>
      </c>
      <c r="H843" s="250">
        <f t="shared" si="490"/>
        <v>0</v>
      </c>
      <c r="I843" s="250">
        <f t="shared" si="490"/>
        <v>0</v>
      </c>
      <c r="J843" s="250">
        <f t="shared" si="490"/>
        <v>0</v>
      </c>
      <c r="K843" s="250">
        <f t="shared" si="490"/>
        <v>0</v>
      </c>
      <c r="L843" s="250">
        <f t="shared" si="490"/>
        <v>0</v>
      </c>
      <c r="M843" s="250">
        <f t="shared" si="490"/>
        <v>0</v>
      </c>
      <c r="N843" s="250">
        <f t="shared" si="490"/>
        <v>0</v>
      </c>
      <c r="O843" s="250">
        <f t="shared" si="490"/>
        <v>0</v>
      </c>
      <c r="P843" s="250">
        <f t="shared" si="490"/>
        <v>0</v>
      </c>
      <c r="Q843" s="250">
        <f t="shared" si="490"/>
        <v>0</v>
      </c>
      <c r="R843" s="250">
        <f t="shared" si="490"/>
        <v>0</v>
      </c>
      <c r="S843" s="282">
        <f t="shared" si="490"/>
        <v>0</v>
      </c>
    </row>
    <row r="844" spans="1:19" ht="12.75" customHeight="1" x14ac:dyDescent="0.2">
      <c r="A844" s="198" t="str">
        <f>"      "&amp;Labels!B398</f>
        <v xml:space="preserve">      Supply Type 2</v>
      </c>
      <c r="B844" s="250"/>
      <c r="C844" s="250"/>
      <c r="D844" s="250"/>
      <c r="E844" s="250"/>
      <c r="F844" s="250"/>
      <c r="G844" s="250"/>
      <c r="H844" s="250"/>
      <c r="I844" s="250"/>
      <c r="J844" s="250"/>
      <c r="K844" s="250"/>
      <c r="L844" s="250"/>
      <c r="M844" s="250"/>
      <c r="N844" s="250"/>
      <c r="O844" s="250"/>
      <c r="P844" s="250"/>
      <c r="Q844" s="250"/>
      <c r="R844" s="250"/>
      <c r="S844" s="282"/>
    </row>
    <row r="845" spans="1:19" ht="12.75" customHeight="1" x14ac:dyDescent="0.2">
      <c r="A845" s="198" t="str">
        <f>"         "&amp;Labels!B317</f>
        <v xml:space="preserve">         Channels 1</v>
      </c>
      <c r="B845" s="250">
        <f t="shared" ref="B845:S845" si="491">SUM(B819,B832)</f>
        <v>0</v>
      </c>
      <c r="C845" s="250">
        <f t="shared" si="491"/>
        <v>0</v>
      </c>
      <c r="D845" s="250">
        <f t="shared" si="491"/>
        <v>0</v>
      </c>
      <c r="E845" s="250">
        <f t="shared" si="491"/>
        <v>0</v>
      </c>
      <c r="F845" s="250">
        <f t="shared" si="491"/>
        <v>0</v>
      </c>
      <c r="G845" s="250">
        <f t="shared" si="491"/>
        <v>0</v>
      </c>
      <c r="H845" s="250">
        <f t="shared" si="491"/>
        <v>0</v>
      </c>
      <c r="I845" s="250">
        <f t="shared" si="491"/>
        <v>0</v>
      </c>
      <c r="J845" s="250">
        <f t="shared" si="491"/>
        <v>0</v>
      </c>
      <c r="K845" s="250">
        <f t="shared" si="491"/>
        <v>0</v>
      </c>
      <c r="L845" s="250">
        <f t="shared" si="491"/>
        <v>0</v>
      </c>
      <c r="M845" s="250">
        <f t="shared" si="491"/>
        <v>0</v>
      </c>
      <c r="N845" s="250">
        <f t="shared" si="491"/>
        <v>0</v>
      </c>
      <c r="O845" s="250">
        <f t="shared" si="491"/>
        <v>0</v>
      </c>
      <c r="P845" s="250">
        <f t="shared" si="491"/>
        <v>0</v>
      </c>
      <c r="Q845" s="250">
        <f t="shared" si="491"/>
        <v>0</v>
      </c>
      <c r="R845" s="250">
        <f t="shared" si="491"/>
        <v>0</v>
      </c>
      <c r="S845" s="282">
        <f t="shared" si="491"/>
        <v>0</v>
      </c>
    </row>
    <row r="846" spans="1:19" ht="12.75" customHeight="1" x14ac:dyDescent="0.2">
      <c r="A846" s="198" t="str">
        <f>"         "&amp;Labels!B318</f>
        <v xml:space="preserve">         Channels 2</v>
      </c>
      <c r="B846" s="250">
        <f t="shared" ref="B846:S846" si="492">SUM(B820,B833)</f>
        <v>0</v>
      </c>
      <c r="C846" s="250">
        <f t="shared" si="492"/>
        <v>0</v>
      </c>
      <c r="D846" s="250">
        <f t="shared" si="492"/>
        <v>0</v>
      </c>
      <c r="E846" s="250">
        <f t="shared" si="492"/>
        <v>0</v>
      </c>
      <c r="F846" s="250">
        <f t="shared" si="492"/>
        <v>0</v>
      </c>
      <c r="G846" s="250">
        <f t="shared" si="492"/>
        <v>0</v>
      </c>
      <c r="H846" s="250">
        <f t="shared" si="492"/>
        <v>0</v>
      </c>
      <c r="I846" s="250">
        <f t="shared" si="492"/>
        <v>0</v>
      </c>
      <c r="J846" s="250">
        <f t="shared" si="492"/>
        <v>0</v>
      </c>
      <c r="K846" s="250">
        <f t="shared" si="492"/>
        <v>0</v>
      </c>
      <c r="L846" s="250">
        <f t="shared" si="492"/>
        <v>0</v>
      </c>
      <c r="M846" s="250">
        <f t="shared" si="492"/>
        <v>0</v>
      </c>
      <c r="N846" s="250">
        <f t="shared" si="492"/>
        <v>0</v>
      </c>
      <c r="O846" s="250">
        <f t="shared" si="492"/>
        <v>0</v>
      </c>
      <c r="P846" s="250">
        <f t="shared" si="492"/>
        <v>0</v>
      </c>
      <c r="Q846" s="250">
        <f t="shared" si="492"/>
        <v>0</v>
      </c>
      <c r="R846" s="250">
        <f t="shared" si="492"/>
        <v>0</v>
      </c>
      <c r="S846" s="282">
        <f t="shared" si="492"/>
        <v>0</v>
      </c>
    </row>
    <row r="847" spans="1:19" ht="12.75" customHeight="1" x14ac:dyDescent="0.2">
      <c r="A847" s="198" t="str">
        <f>"         "&amp;Labels!C316</f>
        <v xml:space="preserve">         Total</v>
      </c>
      <c r="B847" s="250">
        <f t="shared" ref="B847:S847" si="493">SUM(B821,B834)</f>
        <v>0</v>
      </c>
      <c r="C847" s="250">
        <f t="shared" si="493"/>
        <v>0</v>
      </c>
      <c r="D847" s="250">
        <f t="shared" si="493"/>
        <v>0</v>
      </c>
      <c r="E847" s="250">
        <f t="shared" si="493"/>
        <v>0</v>
      </c>
      <c r="F847" s="250">
        <f t="shared" si="493"/>
        <v>0</v>
      </c>
      <c r="G847" s="250">
        <f t="shared" si="493"/>
        <v>0</v>
      </c>
      <c r="H847" s="250">
        <f t="shared" si="493"/>
        <v>0</v>
      </c>
      <c r="I847" s="250">
        <f t="shared" si="493"/>
        <v>0</v>
      </c>
      <c r="J847" s="250">
        <f t="shared" si="493"/>
        <v>0</v>
      </c>
      <c r="K847" s="250">
        <f t="shared" si="493"/>
        <v>0</v>
      </c>
      <c r="L847" s="250">
        <f t="shared" si="493"/>
        <v>0</v>
      </c>
      <c r="M847" s="250">
        <f t="shared" si="493"/>
        <v>0</v>
      </c>
      <c r="N847" s="250">
        <f t="shared" si="493"/>
        <v>0</v>
      </c>
      <c r="O847" s="250">
        <f t="shared" si="493"/>
        <v>0</v>
      </c>
      <c r="P847" s="250">
        <f t="shared" si="493"/>
        <v>0</v>
      </c>
      <c r="Q847" s="250">
        <f t="shared" si="493"/>
        <v>0</v>
      </c>
      <c r="R847" s="250">
        <f t="shared" si="493"/>
        <v>0</v>
      </c>
      <c r="S847" s="282">
        <f t="shared" si="493"/>
        <v>0</v>
      </c>
    </row>
    <row r="848" spans="1:19" ht="12.75" customHeight="1" x14ac:dyDescent="0.2">
      <c r="A848" s="188" t="str">
        <f>"      "&amp;Labels!C396</f>
        <v xml:space="preserve">      Total</v>
      </c>
      <c r="B848" s="248">
        <f t="shared" ref="B848:S848" si="494">SUM(B822,B835)</f>
        <v>0</v>
      </c>
      <c r="C848" s="248">
        <f t="shared" si="494"/>
        <v>0</v>
      </c>
      <c r="D848" s="248">
        <f t="shared" si="494"/>
        <v>0</v>
      </c>
      <c r="E848" s="248">
        <f t="shared" si="494"/>
        <v>0</v>
      </c>
      <c r="F848" s="248">
        <f t="shared" si="494"/>
        <v>0</v>
      </c>
      <c r="G848" s="248">
        <f t="shared" si="494"/>
        <v>0</v>
      </c>
      <c r="H848" s="248">
        <f t="shared" si="494"/>
        <v>0</v>
      </c>
      <c r="I848" s="248">
        <f t="shared" si="494"/>
        <v>0</v>
      </c>
      <c r="J848" s="248">
        <f t="shared" si="494"/>
        <v>0</v>
      </c>
      <c r="K848" s="248">
        <f t="shared" si="494"/>
        <v>0</v>
      </c>
      <c r="L848" s="248">
        <f t="shared" si="494"/>
        <v>0</v>
      </c>
      <c r="M848" s="248">
        <f t="shared" si="494"/>
        <v>0</v>
      </c>
      <c r="N848" s="248">
        <f t="shared" si="494"/>
        <v>0</v>
      </c>
      <c r="O848" s="248">
        <f t="shared" si="494"/>
        <v>0</v>
      </c>
      <c r="P848" s="248">
        <f t="shared" si="494"/>
        <v>0</v>
      </c>
      <c r="Q848" s="248">
        <f t="shared" si="494"/>
        <v>0</v>
      </c>
      <c r="R848" s="248">
        <f t="shared" si="494"/>
        <v>0</v>
      </c>
      <c r="S848" s="271">
        <f t="shared" si="494"/>
        <v>0</v>
      </c>
    </row>
    <row r="849" spans="1:19" ht="12.75" customHeight="1" x14ac:dyDescent="0.2">
      <c r="A849" s="198" t="str">
        <f>"         "&amp;Labels!B317</f>
        <v xml:space="preserve">         Channels 1</v>
      </c>
      <c r="B849" s="250">
        <f t="shared" ref="B849:S849" si="495">SUM(B823,B836)</f>
        <v>0</v>
      </c>
      <c r="C849" s="250">
        <f t="shared" si="495"/>
        <v>0</v>
      </c>
      <c r="D849" s="250">
        <f t="shared" si="495"/>
        <v>0</v>
      </c>
      <c r="E849" s="250">
        <f t="shared" si="495"/>
        <v>0</v>
      </c>
      <c r="F849" s="250">
        <f t="shared" si="495"/>
        <v>0</v>
      </c>
      <c r="G849" s="250">
        <f t="shared" si="495"/>
        <v>0</v>
      </c>
      <c r="H849" s="250">
        <f t="shared" si="495"/>
        <v>0</v>
      </c>
      <c r="I849" s="250">
        <f t="shared" si="495"/>
        <v>0</v>
      </c>
      <c r="J849" s="250">
        <f t="shared" si="495"/>
        <v>0</v>
      </c>
      <c r="K849" s="250">
        <f t="shared" si="495"/>
        <v>0</v>
      </c>
      <c r="L849" s="250">
        <f t="shared" si="495"/>
        <v>0</v>
      </c>
      <c r="M849" s="250">
        <f t="shared" si="495"/>
        <v>0</v>
      </c>
      <c r="N849" s="250">
        <f t="shared" si="495"/>
        <v>0</v>
      </c>
      <c r="O849" s="250">
        <f t="shared" si="495"/>
        <v>0</v>
      </c>
      <c r="P849" s="250">
        <f t="shared" si="495"/>
        <v>0</v>
      </c>
      <c r="Q849" s="250">
        <f t="shared" si="495"/>
        <v>0</v>
      </c>
      <c r="R849" s="250">
        <f t="shared" si="495"/>
        <v>0</v>
      </c>
      <c r="S849" s="282">
        <f t="shared" si="495"/>
        <v>0</v>
      </c>
    </row>
    <row r="850" spans="1:19" ht="12.75" customHeight="1" x14ac:dyDescent="0.2">
      <c r="A850" s="198" t="str">
        <f>"         "&amp;Labels!B318</f>
        <v xml:space="preserve">         Channels 2</v>
      </c>
      <c r="B850" s="250">
        <f t="shared" ref="B850:S850" si="496">SUM(B824,B837)</f>
        <v>0</v>
      </c>
      <c r="C850" s="250">
        <f t="shared" si="496"/>
        <v>0</v>
      </c>
      <c r="D850" s="250">
        <f t="shared" si="496"/>
        <v>0</v>
      </c>
      <c r="E850" s="250">
        <f t="shared" si="496"/>
        <v>0</v>
      </c>
      <c r="F850" s="250">
        <f t="shared" si="496"/>
        <v>0</v>
      </c>
      <c r="G850" s="250">
        <f t="shared" si="496"/>
        <v>0</v>
      </c>
      <c r="H850" s="250">
        <f t="shared" si="496"/>
        <v>0</v>
      </c>
      <c r="I850" s="250">
        <f t="shared" si="496"/>
        <v>0</v>
      </c>
      <c r="J850" s="250">
        <f t="shared" si="496"/>
        <v>0</v>
      </c>
      <c r="K850" s="250">
        <f t="shared" si="496"/>
        <v>0</v>
      </c>
      <c r="L850" s="250">
        <f t="shared" si="496"/>
        <v>0</v>
      </c>
      <c r="M850" s="250">
        <f t="shared" si="496"/>
        <v>0</v>
      </c>
      <c r="N850" s="250">
        <f t="shared" si="496"/>
        <v>0</v>
      </c>
      <c r="O850" s="250">
        <f t="shared" si="496"/>
        <v>0</v>
      </c>
      <c r="P850" s="250">
        <f t="shared" si="496"/>
        <v>0</v>
      </c>
      <c r="Q850" s="250">
        <f t="shared" si="496"/>
        <v>0</v>
      </c>
      <c r="R850" s="250">
        <f t="shared" si="496"/>
        <v>0</v>
      </c>
      <c r="S850" s="282">
        <f t="shared" si="496"/>
        <v>0</v>
      </c>
    </row>
    <row r="851" spans="1:19" ht="12.75" customHeight="1" x14ac:dyDescent="0.2">
      <c r="A851" s="198" t="str">
        <f>"         "&amp;Labels!C316</f>
        <v xml:space="preserve">         Total</v>
      </c>
      <c r="B851" s="250">
        <f t="shared" ref="B851:S851" si="497">SUM(B822,B835)</f>
        <v>0</v>
      </c>
      <c r="C851" s="250">
        <f t="shared" si="497"/>
        <v>0</v>
      </c>
      <c r="D851" s="250">
        <f t="shared" si="497"/>
        <v>0</v>
      </c>
      <c r="E851" s="250">
        <f t="shared" si="497"/>
        <v>0</v>
      </c>
      <c r="F851" s="250">
        <f t="shared" si="497"/>
        <v>0</v>
      </c>
      <c r="G851" s="250">
        <f t="shared" si="497"/>
        <v>0</v>
      </c>
      <c r="H851" s="250">
        <f t="shared" si="497"/>
        <v>0</v>
      </c>
      <c r="I851" s="250">
        <f t="shared" si="497"/>
        <v>0</v>
      </c>
      <c r="J851" s="250">
        <f t="shared" si="497"/>
        <v>0</v>
      </c>
      <c r="K851" s="250">
        <f t="shared" si="497"/>
        <v>0</v>
      </c>
      <c r="L851" s="250">
        <f t="shared" si="497"/>
        <v>0</v>
      </c>
      <c r="M851" s="250">
        <f t="shared" si="497"/>
        <v>0</v>
      </c>
      <c r="N851" s="250">
        <f t="shared" si="497"/>
        <v>0</v>
      </c>
      <c r="O851" s="250">
        <f t="shared" si="497"/>
        <v>0</v>
      </c>
      <c r="P851" s="250">
        <f t="shared" si="497"/>
        <v>0</v>
      </c>
      <c r="Q851" s="250">
        <f t="shared" si="497"/>
        <v>0</v>
      </c>
      <c r="R851" s="250">
        <f t="shared" si="497"/>
        <v>0</v>
      </c>
      <c r="S851" s="282">
        <f t="shared" si="497"/>
        <v>0</v>
      </c>
    </row>
    <row r="852" spans="1:19" ht="12.75" customHeight="1" x14ac:dyDescent="0.2">
      <c r="A852" s="97" t="str">
        <f>Labels!C344</f>
        <v>Total</v>
      </c>
      <c r="B852" s="355">
        <f t="shared" ref="B852:S852" si="498">SUM(B799,B839)</f>
        <v>0</v>
      </c>
      <c r="C852" s="355">
        <f t="shared" si="498"/>
        <v>0</v>
      </c>
      <c r="D852" s="355">
        <f t="shared" si="498"/>
        <v>0</v>
      </c>
      <c r="E852" s="355">
        <f t="shared" si="498"/>
        <v>0</v>
      </c>
      <c r="F852" s="355">
        <f t="shared" si="498"/>
        <v>0</v>
      </c>
      <c r="G852" s="355">
        <f t="shared" si="498"/>
        <v>0</v>
      </c>
      <c r="H852" s="355">
        <f t="shared" si="498"/>
        <v>0</v>
      </c>
      <c r="I852" s="355">
        <f t="shared" si="498"/>
        <v>0</v>
      </c>
      <c r="J852" s="355">
        <f t="shared" si="498"/>
        <v>0</v>
      </c>
      <c r="K852" s="355">
        <f t="shared" si="498"/>
        <v>0</v>
      </c>
      <c r="L852" s="355">
        <f t="shared" si="498"/>
        <v>0</v>
      </c>
      <c r="M852" s="355">
        <f t="shared" si="498"/>
        <v>0</v>
      </c>
      <c r="N852" s="355">
        <f t="shared" si="498"/>
        <v>0</v>
      </c>
      <c r="O852" s="355">
        <f t="shared" si="498"/>
        <v>0</v>
      </c>
      <c r="P852" s="355">
        <f t="shared" si="498"/>
        <v>0</v>
      </c>
      <c r="Q852" s="355">
        <f t="shared" si="498"/>
        <v>0</v>
      </c>
      <c r="R852" s="355">
        <f t="shared" si="498"/>
        <v>0</v>
      </c>
      <c r="S852" s="356">
        <f t="shared" si="498"/>
        <v>0</v>
      </c>
    </row>
    <row r="853" spans="1:19" ht="12.75" customHeight="1" x14ac:dyDescent="0.2">
      <c r="A853" s="188" t="str">
        <f>"   "&amp;Labels!B385</f>
        <v xml:space="preserve">   Prof Level 1</v>
      </c>
      <c r="B853" s="248"/>
      <c r="C853" s="248"/>
      <c r="D853" s="248"/>
      <c r="E853" s="248"/>
      <c r="F853" s="248"/>
      <c r="G853" s="248"/>
      <c r="H853" s="248"/>
      <c r="I853" s="248"/>
      <c r="J853" s="248"/>
      <c r="K853" s="248"/>
      <c r="L853" s="248"/>
      <c r="M853" s="248"/>
      <c r="N853" s="248"/>
      <c r="O853" s="248"/>
      <c r="P853" s="248"/>
      <c r="Q853" s="248"/>
      <c r="R853" s="248"/>
      <c r="S853" s="271"/>
    </row>
    <row r="854" spans="1:19" ht="12.75" customHeight="1" x14ac:dyDescent="0.2">
      <c r="A854" s="198" t="str">
        <f>"      "&amp;Labels!B397</f>
        <v xml:space="preserve">      Supply Type 1</v>
      </c>
      <c r="B854" s="250"/>
      <c r="C854" s="250"/>
      <c r="D854" s="250"/>
      <c r="E854" s="250"/>
      <c r="F854" s="250"/>
      <c r="G854" s="250"/>
      <c r="H854" s="250"/>
      <c r="I854" s="250"/>
      <c r="J854" s="250"/>
      <c r="K854" s="250"/>
      <c r="L854" s="250"/>
      <c r="M854" s="250"/>
      <c r="N854" s="250"/>
      <c r="O854" s="250"/>
      <c r="P854" s="250"/>
      <c r="Q854" s="250"/>
      <c r="R854" s="250"/>
      <c r="S854" s="282"/>
    </row>
    <row r="855" spans="1:19" ht="12.75" customHeight="1" x14ac:dyDescent="0.2">
      <c r="A855" s="198" t="str">
        <f>"         "&amp;Labels!B317</f>
        <v xml:space="preserve">         Channels 1</v>
      </c>
      <c r="B855" s="250">
        <f t="shared" ref="B855:S855" si="499">SUM(B775,B815)</f>
        <v>0</v>
      </c>
      <c r="C855" s="250">
        <f t="shared" si="499"/>
        <v>0</v>
      </c>
      <c r="D855" s="250">
        <f t="shared" si="499"/>
        <v>0</v>
      </c>
      <c r="E855" s="250">
        <f t="shared" si="499"/>
        <v>0</v>
      </c>
      <c r="F855" s="250">
        <f t="shared" si="499"/>
        <v>0</v>
      </c>
      <c r="G855" s="250">
        <f t="shared" si="499"/>
        <v>0</v>
      </c>
      <c r="H855" s="250">
        <f t="shared" si="499"/>
        <v>0</v>
      </c>
      <c r="I855" s="250">
        <f t="shared" si="499"/>
        <v>0</v>
      </c>
      <c r="J855" s="250">
        <f t="shared" si="499"/>
        <v>0</v>
      </c>
      <c r="K855" s="250">
        <f t="shared" si="499"/>
        <v>0</v>
      </c>
      <c r="L855" s="250">
        <f t="shared" si="499"/>
        <v>0</v>
      </c>
      <c r="M855" s="250">
        <f t="shared" si="499"/>
        <v>0</v>
      </c>
      <c r="N855" s="250">
        <f t="shared" si="499"/>
        <v>0</v>
      </c>
      <c r="O855" s="250">
        <f t="shared" si="499"/>
        <v>0</v>
      </c>
      <c r="P855" s="250">
        <f t="shared" si="499"/>
        <v>0</v>
      </c>
      <c r="Q855" s="250">
        <f t="shared" si="499"/>
        <v>0</v>
      </c>
      <c r="R855" s="250">
        <f t="shared" si="499"/>
        <v>0</v>
      </c>
      <c r="S855" s="282">
        <f t="shared" si="499"/>
        <v>0</v>
      </c>
    </row>
    <row r="856" spans="1:19" ht="12.75" customHeight="1" x14ac:dyDescent="0.2">
      <c r="A856" s="198" t="str">
        <f>"         "&amp;Labels!B318</f>
        <v xml:space="preserve">         Channels 2</v>
      </c>
      <c r="B856" s="250">
        <f t="shared" ref="B856:S856" si="500">SUM(B776,B816)</f>
        <v>0</v>
      </c>
      <c r="C856" s="250">
        <f t="shared" si="500"/>
        <v>0</v>
      </c>
      <c r="D856" s="250">
        <f t="shared" si="500"/>
        <v>0</v>
      </c>
      <c r="E856" s="250">
        <f t="shared" si="500"/>
        <v>0</v>
      </c>
      <c r="F856" s="250">
        <f t="shared" si="500"/>
        <v>0</v>
      </c>
      <c r="G856" s="250">
        <f t="shared" si="500"/>
        <v>0</v>
      </c>
      <c r="H856" s="250">
        <f t="shared" si="500"/>
        <v>0</v>
      </c>
      <c r="I856" s="250">
        <f t="shared" si="500"/>
        <v>0</v>
      </c>
      <c r="J856" s="250">
        <f t="shared" si="500"/>
        <v>0</v>
      </c>
      <c r="K856" s="250">
        <f t="shared" si="500"/>
        <v>0</v>
      </c>
      <c r="L856" s="250">
        <f t="shared" si="500"/>
        <v>0</v>
      </c>
      <c r="M856" s="250">
        <f t="shared" si="500"/>
        <v>0</v>
      </c>
      <c r="N856" s="250">
        <f t="shared" si="500"/>
        <v>0</v>
      </c>
      <c r="O856" s="250">
        <f t="shared" si="500"/>
        <v>0</v>
      </c>
      <c r="P856" s="250">
        <f t="shared" si="500"/>
        <v>0</v>
      </c>
      <c r="Q856" s="250">
        <f t="shared" si="500"/>
        <v>0</v>
      </c>
      <c r="R856" s="250">
        <f t="shared" si="500"/>
        <v>0</v>
      </c>
      <c r="S856" s="282">
        <f t="shared" si="500"/>
        <v>0</v>
      </c>
    </row>
    <row r="857" spans="1:19" ht="12.75" customHeight="1" x14ac:dyDescent="0.2">
      <c r="A857" s="198" t="str">
        <f>"         "&amp;Labels!C316</f>
        <v xml:space="preserve">         Total</v>
      </c>
      <c r="B857" s="250">
        <f t="shared" ref="B857:S857" si="501">SUM(B777,B817)</f>
        <v>0</v>
      </c>
      <c r="C857" s="250">
        <f t="shared" si="501"/>
        <v>0</v>
      </c>
      <c r="D857" s="250">
        <f t="shared" si="501"/>
        <v>0</v>
      </c>
      <c r="E857" s="250">
        <f t="shared" si="501"/>
        <v>0</v>
      </c>
      <c r="F857" s="250">
        <f t="shared" si="501"/>
        <v>0</v>
      </c>
      <c r="G857" s="250">
        <f t="shared" si="501"/>
        <v>0</v>
      </c>
      <c r="H857" s="250">
        <f t="shared" si="501"/>
        <v>0</v>
      </c>
      <c r="I857" s="250">
        <f t="shared" si="501"/>
        <v>0</v>
      </c>
      <c r="J857" s="250">
        <f t="shared" si="501"/>
        <v>0</v>
      </c>
      <c r="K857" s="250">
        <f t="shared" si="501"/>
        <v>0</v>
      </c>
      <c r="L857" s="250">
        <f t="shared" si="501"/>
        <v>0</v>
      </c>
      <c r="M857" s="250">
        <f t="shared" si="501"/>
        <v>0</v>
      </c>
      <c r="N857" s="250">
        <f t="shared" si="501"/>
        <v>0</v>
      </c>
      <c r="O857" s="250">
        <f t="shared" si="501"/>
        <v>0</v>
      </c>
      <c r="P857" s="250">
        <f t="shared" si="501"/>
        <v>0</v>
      </c>
      <c r="Q857" s="250">
        <f t="shared" si="501"/>
        <v>0</v>
      </c>
      <c r="R857" s="250">
        <f t="shared" si="501"/>
        <v>0</v>
      </c>
      <c r="S857" s="282">
        <f t="shared" si="501"/>
        <v>0</v>
      </c>
    </row>
    <row r="858" spans="1:19" ht="12.75" customHeight="1" x14ac:dyDescent="0.2">
      <c r="A858" s="198" t="str">
        <f>"      "&amp;Labels!B398</f>
        <v xml:space="preserve">      Supply Type 2</v>
      </c>
      <c r="B858" s="250"/>
      <c r="C858" s="250"/>
      <c r="D858" s="250"/>
      <c r="E858" s="250"/>
      <c r="F858" s="250"/>
      <c r="G858" s="250"/>
      <c r="H858" s="250"/>
      <c r="I858" s="250"/>
      <c r="J858" s="250"/>
      <c r="K858" s="250"/>
      <c r="L858" s="250"/>
      <c r="M858" s="250"/>
      <c r="N858" s="250"/>
      <c r="O858" s="250"/>
      <c r="P858" s="250"/>
      <c r="Q858" s="250"/>
      <c r="R858" s="250"/>
      <c r="S858" s="282"/>
    </row>
    <row r="859" spans="1:19" ht="12.75" customHeight="1" x14ac:dyDescent="0.2">
      <c r="A859" s="198" t="str">
        <f>"         "&amp;Labels!B317</f>
        <v xml:space="preserve">         Channels 1</v>
      </c>
      <c r="B859" s="250">
        <f t="shared" ref="B859:S859" si="502">SUM(B779,B819)</f>
        <v>0</v>
      </c>
      <c r="C859" s="250">
        <f t="shared" si="502"/>
        <v>0</v>
      </c>
      <c r="D859" s="250">
        <f t="shared" si="502"/>
        <v>0</v>
      </c>
      <c r="E859" s="250">
        <f t="shared" si="502"/>
        <v>0</v>
      </c>
      <c r="F859" s="250">
        <f t="shared" si="502"/>
        <v>0</v>
      </c>
      <c r="G859" s="250">
        <f t="shared" si="502"/>
        <v>0</v>
      </c>
      <c r="H859" s="250">
        <f t="shared" si="502"/>
        <v>0</v>
      </c>
      <c r="I859" s="250">
        <f t="shared" si="502"/>
        <v>0</v>
      </c>
      <c r="J859" s="250">
        <f t="shared" si="502"/>
        <v>0</v>
      </c>
      <c r="K859" s="250">
        <f t="shared" si="502"/>
        <v>0</v>
      </c>
      <c r="L859" s="250">
        <f t="shared" si="502"/>
        <v>0</v>
      </c>
      <c r="M859" s="250">
        <f t="shared" si="502"/>
        <v>0</v>
      </c>
      <c r="N859" s="250">
        <f t="shared" si="502"/>
        <v>0</v>
      </c>
      <c r="O859" s="250">
        <f t="shared" si="502"/>
        <v>0</v>
      </c>
      <c r="P859" s="250">
        <f t="shared" si="502"/>
        <v>0</v>
      </c>
      <c r="Q859" s="250">
        <f t="shared" si="502"/>
        <v>0</v>
      </c>
      <c r="R859" s="250">
        <f t="shared" si="502"/>
        <v>0</v>
      </c>
      <c r="S859" s="282">
        <f t="shared" si="502"/>
        <v>0</v>
      </c>
    </row>
    <row r="860" spans="1:19" ht="12.75" customHeight="1" x14ac:dyDescent="0.2">
      <c r="A860" s="198" t="str">
        <f>"         "&amp;Labels!B318</f>
        <v xml:space="preserve">         Channels 2</v>
      </c>
      <c r="B860" s="250">
        <f t="shared" ref="B860:S860" si="503">SUM(B780,B820)</f>
        <v>0</v>
      </c>
      <c r="C860" s="250">
        <f t="shared" si="503"/>
        <v>0</v>
      </c>
      <c r="D860" s="250">
        <f t="shared" si="503"/>
        <v>0</v>
      </c>
      <c r="E860" s="250">
        <f t="shared" si="503"/>
        <v>0</v>
      </c>
      <c r="F860" s="250">
        <f t="shared" si="503"/>
        <v>0</v>
      </c>
      <c r="G860" s="250">
        <f t="shared" si="503"/>
        <v>0</v>
      </c>
      <c r="H860" s="250">
        <f t="shared" si="503"/>
        <v>0</v>
      </c>
      <c r="I860" s="250">
        <f t="shared" si="503"/>
        <v>0</v>
      </c>
      <c r="J860" s="250">
        <f t="shared" si="503"/>
        <v>0</v>
      </c>
      <c r="K860" s="250">
        <f t="shared" si="503"/>
        <v>0</v>
      </c>
      <c r="L860" s="250">
        <f t="shared" si="503"/>
        <v>0</v>
      </c>
      <c r="M860" s="250">
        <f t="shared" si="503"/>
        <v>0</v>
      </c>
      <c r="N860" s="250">
        <f t="shared" si="503"/>
        <v>0</v>
      </c>
      <c r="O860" s="250">
        <f t="shared" si="503"/>
        <v>0</v>
      </c>
      <c r="P860" s="250">
        <f t="shared" si="503"/>
        <v>0</v>
      </c>
      <c r="Q860" s="250">
        <f t="shared" si="503"/>
        <v>0</v>
      </c>
      <c r="R860" s="250">
        <f t="shared" si="503"/>
        <v>0</v>
      </c>
      <c r="S860" s="282">
        <f t="shared" si="503"/>
        <v>0</v>
      </c>
    </row>
    <row r="861" spans="1:19" ht="12.75" customHeight="1" x14ac:dyDescent="0.2">
      <c r="A861" s="198" t="str">
        <f>"         "&amp;Labels!C316</f>
        <v xml:space="preserve">         Total</v>
      </c>
      <c r="B861" s="250">
        <f t="shared" ref="B861:S861" si="504">SUM(B781,B821)</f>
        <v>0</v>
      </c>
      <c r="C861" s="250">
        <f t="shared" si="504"/>
        <v>0</v>
      </c>
      <c r="D861" s="250">
        <f t="shared" si="504"/>
        <v>0</v>
      </c>
      <c r="E861" s="250">
        <f t="shared" si="504"/>
        <v>0</v>
      </c>
      <c r="F861" s="250">
        <f t="shared" si="504"/>
        <v>0</v>
      </c>
      <c r="G861" s="250">
        <f t="shared" si="504"/>
        <v>0</v>
      </c>
      <c r="H861" s="250">
        <f t="shared" si="504"/>
        <v>0</v>
      </c>
      <c r="I861" s="250">
        <f t="shared" si="504"/>
        <v>0</v>
      </c>
      <c r="J861" s="250">
        <f t="shared" si="504"/>
        <v>0</v>
      </c>
      <c r="K861" s="250">
        <f t="shared" si="504"/>
        <v>0</v>
      </c>
      <c r="L861" s="250">
        <f t="shared" si="504"/>
        <v>0</v>
      </c>
      <c r="M861" s="250">
        <f t="shared" si="504"/>
        <v>0</v>
      </c>
      <c r="N861" s="250">
        <f t="shared" si="504"/>
        <v>0</v>
      </c>
      <c r="O861" s="250">
        <f t="shared" si="504"/>
        <v>0</v>
      </c>
      <c r="P861" s="250">
        <f t="shared" si="504"/>
        <v>0</v>
      </c>
      <c r="Q861" s="250">
        <f t="shared" si="504"/>
        <v>0</v>
      </c>
      <c r="R861" s="250">
        <f t="shared" si="504"/>
        <v>0</v>
      </c>
      <c r="S861" s="282">
        <f t="shared" si="504"/>
        <v>0</v>
      </c>
    </row>
    <row r="862" spans="1:19" ht="12.75" customHeight="1" x14ac:dyDescent="0.2">
      <c r="A862" s="188" t="str">
        <f>"      "&amp;Labels!C396</f>
        <v xml:space="preserve">      Total</v>
      </c>
      <c r="B862" s="248">
        <f t="shared" ref="B862:S862" si="505">SUM(B782,B822)</f>
        <v>0</v>
      </c>
      <c r="C862" s="248">
        <f t="shared" si="505"/>
        <v>0</v>
      </c>
      <c r="D862" s="248">
        <f t="shared" si="505"/>
        <v>0</v>
      </c>
      <c r="E862" s="248">
        <f t="shared" si="505"/>
        <v>0</v>
      </c>
      <c r="F862" s="248">
        <f t="shared" si="505"/>
        <v>0</v>
      </c>
      <c r="G862" s="248">
        <f t="shared" si="505"/>
        <v>0</v>
      </c>
      <c r="H862" s="248">
        <f t="shared" si="505"/>
        <v>0</v>
      </c>
      <c r="I862" s="248">
        <f t="shared" si="505"/>
        <v>0</v>
      </c>
      <c r="J862" s="248">
        <f t="shared" si="505"/>
        <v>0</v>
      </c>
      <c r="K862" s="248">
        <f t="shared" si="505"/>
        <v>0</v>
      </c>
      <c r="L862" s="248">
        <f t="shared" si="505"/>
        <v>0</v>
      </c>
      <c r="M862" s="248">
        <f t="shared" si="505"/>
        <v>0</v>
      </c>
      <c r="N862" s="248">
        <f t="shared" si="505"/>
        <v>0</v>
      </c>
      <c r="O862" s="248">
        <f t="shared" si="505"/>
        <v>0</v>
      </c>
      <c r="P862" s="248">
        <f t="shared" si="505"/>
        <v>0</v>
      </c>
      <c r="Q862" s="248">
        <f t="shared" si="505"/>
        <v>0</v>
      </c>
      <c r="R862" s="248">
        <f t="shared" si="505"/>
        <v>0</v>
      </c>
      <c r="S862" s="271">
        <f t="shared" si="505"/>
        <v>0</v>
      </c>
    </row>
    <row r="863" spans="1:19" ht="12.75" customHeight="1" x14ac:dyDescent="0.2">
      <c r="A863" s="198" t="str">
        <f>"         "&amp;Labels!B317</f>
        <v xml:space="preserve">         Channels 1</v>
      </c>
      <c r="B863" s="250">
        <f t="shared" ref="B863:S863" si="506">SUM(B783,B823)</f>
        <v>0</v>
      </c>
      <c r="C863" s="250">
        <f t="shared" si="506"/>
        <v>0</v>
      </c>
      <c r="D863" s="250">
        <f t="shared" si="506"/>
        <v>0</v>
      </c>
      <c r="E863" s="250">
        <f t="shared" si="506"/>
        <v>0</v>
      </c>
      <c r="F863" s="250">
        <f t="shared" si="506"/>
        <v>0</v>
      </c>
      <c r="G863" s="250">
        <f t="shared" si="506"/>
        <v>0</v>
      </c>
      <c r="H863" s="250">
        <f t="shared" si="506"/>
        <v>0</v>
      </c>
      <c r="I863" s="250">
        <f t="shared" si="506"/>
        <v>0</v>
      </c>
      <c r="J863" s="250">
        <f t="shared" si="506"/>
        <v>0</v>
      </c>
      <c r="K863" s="250">
        <f t="shared" si="506"/>
        <v>0</v>
      </c>
      <c r="L863" s="250">
        <f t="shared" si="506"/>
        <v>0</v>
      </c>
      <c r="M863" s="250">
        <f t="shared" si="506"/>
        <v>0</v>
      </c>
      <c r="N863" s="250">
        <f t="shared" si="506"/>
        <v>0</v>
      </c>
      <c r="O863" s="250">
        <f t="shared" si="506"/>
        <v>0</v>
      </c>
      <c r="P863" s="250">
        <f t="shared" si="506"/>
        <v>0</v>
      </c>
      <c r="Q863" s="250">
        <f t="shared" si="506"/>
        <v>0</v>
      </c>
      <c r="R863" s="250">
        <f t="shared" si="506"/>
        <v>0</v>
      </c>
      <c r="S863" s="282">
        <f t="shared" si="506"/>
        <v>0</v>
      </c>
    </row>
    <row r="864" spans="1:19" ht="12.75" customHeight="1" x14ac:dyDescent="0.2">
      <c r="A864" s="198" t="str">
        <f>"         "&amp;Labels!B318</f>
        <v xml:space="preserve">         Channels 2</v>
      </c>
      <c r="B864" s="250">
        <f t="shared" ref="B864:S864" si="507">SUM(B784,B824)</f>
        <v>0</v>
      </c>
      <c r="C864" s="250">
        <f t="shared" si="507"/>
        <v>0</v>
      </c>
      <c r="D864" s="250">
        <f t="shared" si="507"/>
        <v>0</v>
      </c>
      <c r="E864" s="250">
        <f t="shared" si="507"/>
        <v>0</v>
      </c>
      <c r="F864" s="250">
        <f t="shared" si="507"/>
        <v>0</v>
      </c>
      <c r="G864" s="250">
        <f t="shared" si="507"/>
        <v>0</v>
      </c>
      <c r="H864" s="250">
        <f t="shared" si="507"/>
        <v>0</v>
      </c>
      <c r="I864" s="250">
        <f t="shared" si="507"/>
        <v>0</v>
      </c>
      <c r="J864" s="250">
        <f t="shared" si="507"/>
        <v>0</v>
      </c>
      <c r="K864" s="250">
        <f t="shared" si="507"/>
        <v>0</v>
      </c>
      <c r="L864" s="250">
        <f t="shared" si="507"/>
        <v>0</v>
      </c>
      <c r="M864" s="250">
        <f t="shared" si="507"/>
        <v>0</v>
      </c>
      <c r="N864" s="250">
        <f t="shared" si="507"/>
        <v>0</v>
      </c>
      <c r="O864" s="250">
        <f t="shared" si="507"/>
        <v>0</v>
      </c>
      <c r="P864" s="250">
        <f t="shared" si="507"/>
        <v>0</v>
      </c>
      <c r="Q864" s="250">
        <f t="shared" si="507"/>
        <v>0</v>
      </c>
      <c r="R864" s="250">
        <f t="shared" si="507"/>
        <v>0</v>
      </c>
      <c r="S864" s="282">
        <f t="shared" si="507"/>
        <v>0</v>
      </c>
    </row>
    <row r="865" spans="1:19" ht="12.75" customHeight="1" x14ac:dyDescent="0.2">
      <c r="A865" s="198" t="str">
        <f>"         "&amp;Labels!C316</f>
        <v xml:space="preserve">         Total</v>
      </c>
      <c r="B865" s="250">
        <f t="shared" ref="B865:S865" si="508">SUM(B782,B822)</f>
        <v>0</v>
      </c>
      <c r="C865" s="250">
        <f t="shared" si="508"/>
        <v>0</v>
      </c>
      <c r="D865" s="250">
        <f t="shared" si="508"/>
        <v>0</v>
      </c>
      <c r="E865" s="250">
        <f t="shared" si="508"/>
        <v>0</v>
      </c>
      <c r="F865" s="250">
        <f t="shared" si="508"/>
        <v>0</v>
      </c>
      <c r="G865" s="250">
        <f t="shared" si="508"/>
        <v>0</v>
      </c>
      <c r="H865" s="250">
        <f t="shared" si="508"/>
        <v>0</v>
      </c>
      <c r="I865" s="250">
        <f t="shared" si="508"/>
        <v>0</v>
      </c>
      <c r="J865" s="250">
        <f t="shared" si="508"/>
        <v>0</v>
      </c>
      <c r="K865" s="250">
        <f t="shared" si="508"/>
        <v>0</v>
      </c>
      <c r="L865" s="250">
        <f t="shared" si="508"/>
        <v>0</v>
      </c>
      <c r="M865" s="250">
        <f t="shared" si="508"/>
        <v>0</v>
      </c>
      <c r="N865" s="250">
        <f t="shared" si="508"/>
        <v>0</v>
      </c>
      <c r="O865" s="250">
        <f t="shared" si="508"/>
        <v>0</v>
      </c>
      <c r="P865" s="250">
        <f t="shared" si="508"/>
        <v>0</v>
      </c>
      <c r="Q865" s="250">
        <f t="shared" si="508"/>
        <v>0</v>
      </c>
      <c r="R865" s="250">
        <f t="shared" si="508"/>
        <v>0</v>
      </c>
      <c r="S865" s="282">
        <f t="shared" si="508"/>
        <v>0</v>
      </c>
    </row>
    <row r="866" spans="1:19" ht="12.75" customHeight="1" x14ac:dyDescent="0.2">
      <c r="A866" s="188" t="str">
        <f>"   "&amp;Labels!B386</f>
        <v xml:space="preserve">   Prof Level 2</v>
      </c>
      <c r="B866" s="248"/>
      <c r="C866" s="248"/>
      <c r="D866" s="248"/>
      <c r="E866" s="248"/>
      <c r="F866" s="248"/>
      <c r="G866" s="248"/>
      <c r="H866" s="248"/>
      <c r="I866" s="248"/>
      <c r="J866" s="248"/>
      <c r="K866" s="248"/>
      <c r="L866" s="248"/>
      <c r="M866" s="248"/>
      <c r="N866" s="248"/>
      <c r="O866" s="248"/>
      <c r="P866" s="248"/>
      <c r="Q866" s="248"/>
      <c r="R866" s="248"/>
      <c r="S866" s="271"/>
    </row>
    <row r="867" spans="1:19" ht="12.75" customHeight="1" x14ac:dyDescent="0.2">
      <c r="A867" s="198" t="str">
        <f>"      "&amp;Labels!B397</f>
        <v xml:space="preserve">      Supply Type 1</v>
      </c>
      <c r="B867" s="250"/>
      <c r="C867" s="250"/>
      <c r="D867" s="250"/>
      <c r="E867" s="250"/>
      <c r="F867" s="250"/>
      <c r="G867" s="250"/>
      <c r="H867" s="250"/>
      <c r="I867" s="250"/>
      <c r="J867" s="250"/>
      <c r="K867" s="250"/>
      <c r="L867" s="250"/>
      <c r="M867" s="250"/>
      <c r="N867" s="250"/>
      <c r="O867" s="250"/>
      <c r="P867" s="250"/>
      <c r="Q867" s="250"/>
      <c r="R867" s="250"/>
      <c r="S867" s="282"/>
    </row>
    <row r="868" spans="1:19" ht="12.75" customHeight="1" x14ac:dyDescent="0.2">
      <c r="A868" s="198" t="str">
        <f>"         "&amp;Labels!B317</f>
        <v xml:space="preserve">         Channels 1</v>
      </c>
      <c r="B868" s="250">
        <f t="shared" ref="B868:S868" si="509">SUM(B788,B828)</f>
        <v>0</v>
      </c>
      <c r="C868" s="250">
        <f t="shared" si="509"/>
        <v>0</v>
      </c>
      <c r="D868" s="250">
        <f t="shared" si="509"/>
        <v>0</v>
      </c>
      <c r="E868" s="250">
        <f t="shared" si="509"/>
        <v>0</v>
      </c>
      <c r="F868" s="250">
        <f t="shared" si="509"/>
        <v>0</v>
      </c>
      <c r="G868" s="250">
        <f t="shared" si="509"/>
        <v>0</v>
      </c>
      <c r="H868" s="250">
        <f t="shared" si="509"/>
        <v>0</v>
      </c>
      <c r="I868" s="250">
        <f t="shared" si="509"/>
        <v>0</v>
      </c>
      <c r="J868" s="250">
        <f t="shared" si="509"/>
        <v>0</v>
      </c>
      <c r="K868" s="250">
        <f t="shared" si="509"/>
        <v>0</v>
      </c>
      <c r="L868" s="250">
        <f t="shared" si="509"/>
        <v>0</v>
      </c>
      <c r="M868" s="250">
        <f t="shared" si="509"/>
        <v>0</v>
      </c>
      <c r="N868" s="250">
        <f t="shared" si="509"/>
        <v>0</v>
      </c>
      <c r="O868" s="250">
        <f t="shared" si="509"/>
        <v>0</v>
      </c>
      <c r="P868" s="250">
        <f t="shared" si="509"/>
        <v>0</v>
      </c>
      <c r="Q868" s="250">
        <f t="shared" si="509"/>
        <v>0</v>
      </c>
      <c r="R868" s="250">
        <f t="shared" si="509"/>
        <v>0</v>
      </c>
      <c r="S868" s="282">
        <f t="shared" si="509"/>
        <v>0</v>
      </c>
    </row>
    <row r="869" spans="1:19" ht="12.75" customHeight="1" x14ac:dyDescent="0.2">
      <c r="A869" s="198" t="str">
        <f>"         "&amp;Labels!B318</f>
        <v xml:space="preserve">         Channels 2</v>
      </c>
      <c r="B869" s="250">
        <f t="shared" ref="B869:S869" si="510">SUM(B789,B829)</f>
        <v>0</v>
      </c>
      <c r="C869" s="250">
        <f t="shared" si="510"/>
        <v>0</v>
      </c>
      <c r="D869" s="250">
        <f t="shared" si="510"/>
        <v>0</v>
      </c>
      <c r="E869" s="250">
        <f t="shared" si="510"/>
        <v>0</v>
      </c>
      <c r="F869" s="250">
        <f t="shared" si="510"/>
        <v>0</v>
      </c>
      <c r="G869" s="250">
        <f t="shared" si="510"/>
        <v>0</v>
      </c>
      <c r="H869" s="250">
        <f t="shared" si="510"/>
        <v>0</v>
      </c>
      <c r="I869" s="250">
        <f t="shared" si="510"/>
        <v>0</v>
      </c>
      <c r="J869" s="250">
        <f t="shared" si="510"/>
        <v>0</v>
      </c>
      <c r="K869" s="250">
        <f t="shared" si="510"/>
        <v>0</v>
      </c>
      <c r="L869" s="250">
        <f t="shared" si="510"/>
        <v>0</v>
      </c>
      <c r="M869" s="250">
        <f t="shared" si="510"/>
        <v>0</v>
      </c>
      <c r="N869" s="250">
        <f t="shared" si="510"/>
        <v>0</v>
      </c>
      <c r="O869" s="250">
        <f t="shared" si="510"/>
        <v>0</v>
      </c>
      <c r="P869" s="250">
        <f t="shared" si="510"/>
        <v>0</v>
      </c>
      <c r="Q869" s="250">
        <f t="shared" si="510"/>
        <v>0</v>
      </c>
      <c r="R869" s="250">
        <f t="shared" si="510"/>
        <v>0</v>
      </c>
      <c r="S869" s="282">
        <f t="shared" si="510"/>
        <v>0</v>
      </c>
    </row>
    <row r="870" spans="1:19" ht="12.75" customHeight="1" x14ac:dyDescent="0.2">
      <c r="A870" s="198" t="str">
        <f>"         "&amp;Labels!C316</f>
        <v xml:space="preserve">         Total</v>
      </c>
      <c r="B870" s="250">
        <f t="shared" ref="B870:S870" si="511">SUM(B790,B830)</f>
        <v>0</v>
      </c>
      <c r="C870" s="250">
        <f t="shared" si="511"/>
        <v>0</v>
      </c>
      <c r="D870" s="250">
        <f t="shared" si="511"/>
        <v>0</v>
      </c>
      <c r="E870" s="250">
        <f t="shared" si="511"/>
        <v>0</v>
      </c>
      <c r="F870" s="250">
        <f t="shared" si="511"/>
        <v>0</v>
      </c>
      <c r="G870" s="250">
        <f t="shared" si="511"/>
        <v>0</v>
      </c>
      <c r="H870" s="250">
        <f t="shared" si="511"/>
        <v>0</v>
      </c>
      <c r="I870" s="250">
        <f t="shared" si="511"/>
        <v>0</v>
      </c>
      <c r="J870" s="250">
        <f t="shared" si="511"/>
        <v>0</v>
      </c>
      <c r="K870" s="250">
        <f t="shared" si="511"/>
        <v>0</v>
      </c>
      <c r="L870" s="250">
        <f t="shared" si="511"/>
        <v>0</v>
      </c>
      <c r="M870" s="250">
        <f t="shared" si="511"/>
        <v>0</v>
      </c>
      <c r="N870" s="250">
        <f t="shared" si="511"/>
        <v>0</v>
      </c>
      <c r="O870" s="250">
        <f t="shared" si="511"/>
        <v>0</v>
      </c>
      <c r="P870" s="250">
        <f t="shared" si="511"/>
        <v>0</v>
      </c>
      <c r="Q870" s="250">
        <f t="shared" si="511"/>
        <v>0</v>
      </c>
      <c r="R870" s="250">
        <f t="shared" si="511"/>
        <v>0</v>
      </c>
      <c r="S870" s="282">
        <f t="shared" si="511"/>
        <v>0</v>
      </c>
    </row>
    <row r="871" spans="1:19" ht="12.75" customHeight="1" x14ac:dyDescent="0.2">
      <c r="A871" s="198" t="str">
        <f>"      "&amp;Labels!B398</f>
        <v xml:space="preserve">      Supply Type 2</v>
      </c>
      <c r="B871" s="250"/>
      <c r="C871" s="250"/>
      <c r="D871" s="250"/>
      <c r="E871" s="250"/>
      <c r="F871" s="250"/>
      <c r="G871" s="250"/>
      <c r="H871" s="250"/>
      <c r="I871" s="250"/>
      <c r="J871" s="250"/>
      <c r="K871" s="250"/>
      <c r="L871" s="250"/>
      <c r="M871" s="250"/>
      <c r="N871" s="250"/>
      <c r="O871" s="250"/>
      <c r="P871" s="250"/>
      <c r="Q871" s="250"/>
      <c r="R871" s="250"/>
      <c r="S871" s="282"/>
    </row>
    <row r="872" spans="1:19" ht="12.75" customHeight="1" x14ac:dyDescent="0.2">
      <c r="A872" s="198" t="str">
        <f>"         "&amp;Labels!B317</f>
        <v xml:space="preserve">         Channels 1</v>
      </c>
      <c r="B872" s="250">
        <f t="shared" ref="B872:S872" si="512">SUM(B792,B832)</f>
        <v>0</v>
      </c>
      <c r="C872" s="250">
        <f t="shared" si="512"/>
        <v>0</v>
      </c>
      <c r="D872" s="250">
        <f t="shared" si="512"/>
        <v>0</v>
      </c>
      <c r="E872" s="250">
        <f t="shared" si="512"/>
        <v>0</v>
      </c>
      <c r="F872" s="250">
        <f t="shared" si="512"/>
        <v>0</v>
      </c>
      <c r="G872" s="250">
        <f t="shared" si="512"/>
        <v>0</v>
      </c>
      <c r="H872" s="250">
        <f t="shared" si="512"/>
        <v>0</v>
      </c>
      <c r="I872" s="250">
        <f t="shared" si="512"/>
        <v>0</v>
      </c>
      <c r="J872" s="250">
        <f t="shared" si="512"/>
        <v>0</v>
      </c>
      <c r="K872" s="250">
        <f t="shared" si="512"/>
        <v>0</v>
      </c>
      <c r="L872" s="250">
        <f t="shared" si="512"/>
        <v>0</v>
      </c>
      <c r="M872" s="250">
        <f t="shared" si="512"/>
        <v>0</v>
      </c>
      <c r="N872" s="250">
        <f t="shared" si="512"/>
        <v>0</v>
      </c>
      <c r="O872" s="250">
        <f t="shared" si="512"/>
        <v>0</v>
      </c>
      <c r="P872" s="250">
        <f t="shared" si="512"/>
        <v>0</v>
      </c>
      <c r="Q872" s="250">
        <f t="shared" si="512"/>
        <v>0</v>
      </c>
      <c r="R872" s="250">
        <f t="shared" si="512"/>
        <v>0</v>
      </c>
      <c r="S872" s="282">
        <f t="shared" si="512"/>
        <v>0</v>
      </c>
    </row>
    <row r="873" spans="1:19" ht="12.75" customHeight="1" x14ac:dyDescent="0.2">
      <c r="A873" s="198" t="str">
        <f>"         "&amp;Labels!B318</f>
        <v xml:space="preserve">         Channels 2</v>
      </c>
      <c r="B873" s="250">
        <f t="shared" ref="B873:S873" si="513">SUM(B793,B833)</f>
        <v>0</v>
      </c>
      <c r="C873" s="250">
        <f t="shared" si="513"/>
        <v>0</v>
      </c>
      <c r="D873" s="250">
        <f t="shared" si="513"/>
        <v>0</v>
      </c>
      <c r="E873" s="250">
        <f t="shared" si="513"/>
        <v>0</v>
      </c>
      <c r="F873" s="250">
        <f t="shared" si="513"/>
        <v>0</v>
      </c>
      <c r="G873" s="250">
        <f t="shared" si="513"/>
        <v>0</v>
      </c>
      <c r="H873" s="250">
        <f t="shared" si="513"/>
        <v>0</v>
      </c>
      <c r="I873" s="250">
        <f t="shared" si="513"/>
        <v>0</v>
      </c>
      <c r="J873" s="250">
        <f t="shared" si="513"/>
        <v>0</v>
      </c>
      <c r="K873" s="250">
        <f t="shared" si="513"/>
        <v>0</v>
      </c>
      <c r="L873" s="250">
        <f t="shared" si="513"/>
        <v>0</v>
      </c>
      <c r="M873" s="250">
        <f t="shared" si="513"/>
        <v>0</v>
      </c>
      <c r="N873" s="250">
        <f t="shared" si="513"/>
        <v>0</v>
      </c>
      <c r="O873" s="250">
        <f t="shared" si="513"/>
        <v>0</v>
      </c>
      <c r="P873" s="250">
        <f t="shared" si="513"/>
        <v>0</v>
      </c>
      <c r="Q873" s="250">
        <f t="shared" si="513"/>
        <v>0</v>
      </c>
      <c r="R873" s="250">
        <f t="shared" si="513"/>
        <v>0</v>
      </c>
      <c r="S873" s="282">
        <f t="shared" si="513"/>
        <v>0</v>
      </c>
    </row>
    <row r="874" spans="1:19" ht="12.75" customHeight="1" x14ac:dyDescent="0.2">
      <c r="A874" s="198" t="str">
        <f>"         "&amp;Labels!C316</f>
        <v xml:space="preserve">         Total</v>
      </c>
      <c r="B874" s="250">
        <f t="shared" ref="B874:S874" si="514">SUM(B794,B834)</f>
        <v>0</v>
      </c>
      <c r="C874" s="250">
        <f t="shared" si="514"/>
        <v>0</v>
      </c>
      <c r="D874" s="250">
        <f t="shared" si="514"/>
        <v>0</v>
      </c>
      <c r="E874" s="250">
        <f t="shared" si="514"/>
        <v>0</v>
      </c>
      <c r="F874" s="250">
        <f t="shared" si="514"/>
        <v>0</v>
      </c>
      <c r="G874" s="250">
        <f t="shared" si="514"/>
        <v>0</v>
      </c>
      <c r="H874" s="250">
        <f t="shared" si="514"/>
        <v>0</v>
      </c>
      <c r="I874" s="250">
        <f t="shared" si="514"/>
        <v>0</v>
      </c>
      <c r="J874" s="250">
        <f t="shared" si="514"/>
        <v>0</v>
      </c>
      <c r="K874" s="250">
        <f t="shared" si="514"/>
        <v>0</v>
      </c>
      <c r="L874" s="250">
        <f t="shared" si="514"/>
        <v>0</v>
      </c>
      <c r="M874" s="250">
        <f t="shared" si="514"/>
        <v>0</v>
      </c>
      <c r="N874" s="250">
        <f t="shared" si="514"/>
        <v>0</v>
      </c>
      <c r="O874" s="250">
        <f t="shared" si="514"/>
        <v>0</v>
      </c>
      <c r="P874" s="250">
        <f t="shared" si="514"/>
        <v>0</v>
      </c>
      <c r="Q874" s="250">
        <f t="shared" si="514"/>
        <v>0</v>
      </c>
      <c r="R874" s="250">
        <f t="shared" si="514"/>
        <v>0</v>
      </c>
      <c r="S874" s="282">
        <f t="shared" si="514"/>
        <v>0</v>
      </c>
    </row>
    <row r="875" spans="1:19" ht="12.75" customHeight="1" x14ac:dyDescent="0.2">
      <c r="A875" s="188" t="str">
        <f>"      "&amp;Labels!C396</f>
        <v xml:space="preserve">      Total</v>
      </c>
      <c r="B875" s="248">
        <f t="shared" ref="B875:S875" si="515">SUM(B795,B835)</f>
        <v>0</v>
      </c>
      <c r="C875" s="248">
        <f t="shared" si="515"/>
        <v>0</v>
      </c>
      <c r="D875" s="248">
        <f t="shared" si="515"/>
        <v>0</v>
      </c>
      <c r="E875" s="248">
        <f t="shared" si="515"/>
        <v>0</v>
      </c>
      <c r="F875" s="248">
        <f t="shared" si="515"/>
        <v>0</v>
      </c>
      <c r="G875" s="248">
        <f t="shared" si="515"/>
        <v>0</v>
      </c>
      <c r="H875" s="248">
        <f t="shared" si="515"/>
        <v>0</v>
      </c>
      <c r="I875" s="248">
        <f t="shared" si="515"/>
        <v>0</v>
      </c>
      <c r="J875" s="248">
        <f t="shared" si="515"/>
        <v>0</v>
      </c>
      <c r="K875" s="248">
        <f t="shared" si="515"/>
        <v>0</v>
      </c>
      <c r="L875" s="248">
        <f t="shared" si="515"/>
        <v>0</v>
      </c>
      <c r="M875" s="248">
        <f t="shared" si="515"/>
        <v>0</v>
      </c>
      <c r="N875" s="248">
        <f t="shared" si="515"/>
        <v>0</v>
      </c>
      <c r="O875" s="248">
        <f t="shared" si="515"/>
        <v>0</v>
      </c>
      <c r="P875" s="248">
        <f t="shared" si="515"/>
        <v>0</v>
      </c>
      <c r="Q875" s="248">
        <f t="shared" si="515"/>
        <v>0</v>
      </c>
      <c r="R875" s="248">
        <f t="shared" si="515"/>
        <v>0</v>
      </c>
      <c r="S875" s="271">
        <f t="shared" si="515"/>
        <v>0</v>
      </c>
    </row>
    <row r="876" spans="1:19" ht="12.75" customHeight="1" x14ac:dyDescent="0.2">
      <c r="A876" s="198" t="str">
        <f>"         "&amp;Labels!B317</f>
        <v xml:space="preserve">         Channels 1</v>
      </c>
      <c r="B876" s="250">
        <f t="shared" ref="B876:S876" si="516">SUM(B796,B836)</f>
        <v>0</v>
      </c>
      <c r="C876" s="250">
        <f t="shared" si="516"/>
        <v>0</v>
      </c>
      <c r="D876" s="250">
        <f t="shared" si="516"/>
        <v>0</v>
      </c>
      <c r="E876" s="250">
        <f t="shared" si="516"/>
        <v>0</v>
      </c>
      <c r="F876" s="250">
        <f t="shared" si="516"/>
        <v>0</v>
      </c>
      <c r="G876" s="250">
        <f t="shared" si="516"/>
        <v>0</v>
      </c>
      <c r="H876" s="250">
        <f t="shared" si="516"/>
        <v>0</v>
      </c>
      <c r="I876" s="250">
        <f t="shared" si="516"/>
        <v>0</v>
      </c>
      <c r="J876" s="250">
        <f t="shared" si="516"/>
        <v>0</v>
      </c>
      <c r="K876" s="250">
        <f t="shared" si="516"/>
        <v>0</v>
      </c>
      <c r="L876" s="250">
        <f t="shared" si="516"/>
        <v>0</v>
      </c>
      <c r="M876" s="250">
        <f t="shared" si="516"/>
        <v>0</v>
      </c>
      <c r="N876" s="250">
        <f t="shared" si="516"/>
        <v>0</v>
      </c>
      <c r="O876" s="250">
        <f t="shared" si="516"/>
        <v>0</v>
      </c>
      <c r="P876" s="250">
        <f t="shared" si="516"/>
        <v>0</v>
      </c>
      <c r="Q876" s="250">
        <f t="shared" si="516"/>
        <v>0</v>
      </c>
      <c r="R876" s="250">
        <f t="shared" si="516"/>
        <v>0</v>
      </c>
      <c r="S876" s="282">
        <f t="shared" si="516"/>
        <v>0</v>
      </c>
    </row>
    <row r="877" spans="1:19" ht="12.75" customHeight="1" x14ac:dyDescent="0.2">
      <c r="A877" s="198" t="str">
        <f>"         "&amp;Labels!B318</f>
        <v xml:space="preserve">         Channels 2</v>
      </c>
      <c r="B877" s="250">
        <f t="shared" ref="B877:S877" si="517">SUM(B797,B837)</f>
        <v>0</v>
      </c>
      <c r="C877" s="250">
        <f t="shared" si="517"/>
        <v>0</v>
      </c>
      <c r="D877" s="250">
        <f t="shared" si="517"/>
        <v>0</v>
      </c>
      <c r="E877" s="250">
        <f t="shared" si="517"/>
        <v>0</v>
      </c>
      <c r="F877" s="250">
        <f t="shared" si="517"/>
        <v>0</v>
      </c>
      <c r="G877" s="250">
        <f t="shared" si="517"/>
        <v>0</v>
      </c>
      <c r="H877" s="250">
        <f t="shared" si="517"/>
        <v>0</v>
      </c>
      <c r="I877" s="250">
        <f t="shared" si="517"/>
        <v>0</v>
      </c>
      <c r="J877" s="250">
        <f t="shared" si="517"/>
        <v>0</v>
      </c>
      <c r="K877" s="250">
        <f t="shared" si="517"/>
        <v>0</v>
      </c>
      <c r="L877" s="250">
        <f t="shared" si="517"/>
        <v>0</v>
      </c>
      <c r="M877" s="250">
        <f t="shared" si="517"/>
        <v>0</v>
      </c>
      <c r="N877" s="250">
        <f t="shared" si="517"/>
        <v>0</v>
      </c>
      <c r="O877" s="250">
        <f t="shared" si="517"/>
        <v>0</v>
      </c>
      <c r="P877" s="250">
        <f t="shared" si="517"/>
        <v>0</v>
      </c>
      <c r="Q877" s="250">
        <f t="shared" si="517"/>
        <v>0</v>
      </c>
      <c r="R877" s="250">
        <f t="shared" si="517"/>
        <v>0</v>
      </c>
      <c r="S877" s="282">
        <f t="shared" si="517"/>
        <v>0</v>
      </c>
    </row>
    <row r="878" spans="1:19" ht="12.75" customHeight="1" x14ac:dyDescent="0.2">
      <c r="A878" s="198" t="str">
        <f>"         "&amp;Labels!C316</f>
        <v xml:space="preserve">         Total</v>
      </c>
      <c r="B878" s="250">
        <f t="shared" ref="B878:S878" si="518">SUM(B795,B835)</f>
        <v>0</v>
      </c>
      <c r="C878" s="250">
        <f t="shared" si="518"/>
        <v>0</v>
      </c>
      <c r="D878" s="250">
        <f t="shared" si="518"/>
        <v>0</v>
      </c>
      <c r="E878" s="250">
        <f t="shared" si="518"/>
        <v>0</v>
      </c>
      <c r="F878" s="250">
        <f t="shared" si="518"/>
        <v>0</v>
      </c>
      <c r="G878" s="250">
        <f t="shared" si="518"/>
        <v>0</v>
      </c>
      <c r="H878" s="250">
        <f t="shared" si="518"/>
        <v>0</v>
      </c>
      <c r="I878" s="250">
        <f t="shared" si="518"/>
        <v>0</v>
      </c>
      <c r="J878" s="250">
        <f t="shared" si="518"/>
        <v>0</v>
      </c>
      <c r="K878" s="250">
        <f t="shared" si="518"/>
        <v>0</v>
      </c>
      <c r="L878" s="250">
        <f t="shared" si="518"/>
        <v>0</v>
      </c>
      <c r="M878" s="250">
        <f t="shared" si="518"/>
        <v>0</v>
      </c>
      <c r="N878" s="250">
        <f t="shared" si="518"/>
        <v>0</v>
      </c>
      <c r="O878" s="250">
        <f t="shared" si="518"/>
        <v>0</v>
      </c>
      <c r="P878" s="250">
        <f t="shared" si="518"/>
        <v>0</v>
      </c>
      <c r="Q878" s="250">
        <f t="shared" si="518"/>
        <v>0</v>
      </c>
      <c r="R878" s="250">
        <f t="shared" si="518"/>
        <v>0</v>
      </c>
      <c r="S878" s="282">
        <f t="shared" si="518"/>
        <v>0</v>
      </c>
    </row>
    <row r="879" spans="1:19" ht="12.75" customHeight="1" x14ac:dyDescent="0.2">
      <c r="A879" s="191" t="str">
        <f>"   "&amp;Labels!C384</f>
        <v xml:space="preserve">   Total</v>
      </c>
      <c r="B879" s="247">
        <f t="shared" ref="B879:S879" si="519">SUM(B799,B839)</f>
        <v>0</v>
      </c>
      <c r="C879" s="247">
        <f t="shared" si="519"/>
        <v>0</v>
      </c>
      <c r="D879" s="247">
        <f t="shared" si="519"/>
        <v>0</v>
      </c>
      <c r="E879" s="247">
        <f t="shared" si="519"/>
        <v>0</v>
      </c>
      <c r="F879" s="247">
        <f t="shared" si="519"/>
        <v>0</v>
      </c>
      <c r="G879" s="247">
        <f t="shared" si="519"/>
        <v>0</v>
      </c>
      <c r="H879" s="247">
        <f t="shared" si="519"/>
        <v>0</v>
      </c>
      <c r="I879" s="247">
        <f t="shared" si="519"/>
        <v>0</v>
      </c>
      <c r="J879" s="247">
        <f t="shared" si="519"/>
        <v>0</v>
      </c>
      <c r="K879" s="247">
        <f t="shared" si="519"/>
        <v>0</v>
      </c>
      <c r="L879" s="247">
        <f t="shared" si="519"/>
        <v>0</v>
      </c>
      <c r="M879" s="247">
        <f t="shared" si="519"/>
        <v>0</v>
      </c>
      <c r="N879" s="247">
        <f t="shared" si="519"/>
        <v>0</v>
      </c>
      <c r="O879" s="247">
        <f t="shared" si="519"/>
        <v>0</v>
      </c>
      <c r="P879" s="247">
        <f t="shared" si="519"/>
        <v>0</v>
      </c>
      <c r="Q879" s="247">
        <f t="shared" si="519"/>
        <v>0</v>
      </c>
      <c r="R879" s="247">
        <f t="shared" si="519"/>
        <v>0</v>
      </c>
      <c r="S879" s="272">
        <f t="shared" si="519"/>
        <v>0</v>
      </c>
    </row>
    <row r="880" spans="1:19" ht="12.75" customHeight="1" x14ac:dyDescent="0.2">
      <c r="A880" s="198" t="str">
        <f>"      "&amp;Labels!B397</f>
        <v xml:space="preserve">      Supply Type 1</v>
      </c>
      <c r="B880" s="250"/>
      <c r="C880" s="250"/>
      <c r="D880" s="250"/>
      <c r="E880" s="250"/>
      <c r="F880" s="250"/>
      <c r="G880" s="250"/>
      <c r="H880" s="250"/>
      <c r="I880" s="250"/>
      <c r="J880" s="250"/>
      <c r="K880" s="250"/>
      <c r="L880" s="250"/>
      <c r="M880" s="250"/>
      <c r="N880" s="250"/>
      <c r="O880" s="250"/>
      <c r="P880" s="250"/>
      <c r="Q880" s="250"/>
      <c r="R880" s="250"/>
      <c r="S880" s="282"/>
    </row>
    <row r="881" spans="1:19" ht="12.75" customHeight="1" x14ac:dyDescent="0.2">
      <c r="A881" s="198" t="str">
        <f>"         "&amp;Labels!B317</f>
        <v xml:space="preserve">         Channels 1</v>
      </c>
      <c r="B881" s="250">
        <f t="shared" ref="B881:S881" si="520">SUM(B801,B841)</f>
        <v>0</v>
      </c>
      <c r="C881" s="250">
        <f t="shared" si="520"/>
        <v>0</v>
      </c>
      <c r="D881" s="250">
        <f t="shared" si="520"/>
        <v>0</v>
      </c>
      <c r="E881" s="250">
        <f t="shared" si="520"/>
        <v>0</v>
      </c>
      <c r="F881" s="250">
        <f t="shared" si="520"/>
        <v>0</v>
      </c>
      <c r="G881" s="250">
        <f t="shared" si="520"/>
        <v>0</v>
      </c>
      <c r="H881" s="250">
        <f t="shared" si="520"/>
        <v>0</v>
      </c>
      <c r="I881" s="250">
        <f t="shared" si="520"/>
        <v>0</v>
      </c>
      <c r="J881" s="250">
        <f t="shared" si="520"/>
        <v>0</v>
      </c>
      <c r="K881" s="250">
        <f t="shared" si="520"/>
        <v>0</v>
      </c>
      <c r="L881" s="250">
        <f t="shared" si="520"/>
        <v>0</v>
      </c>
      <c r="M881" s="250">
        <f t="shared" si="520"/>
        <v>0</v>
      </c>
      <c r="N881" s="250">
        <f t="shared" si="520"/>
        <v>0</v>
      </c>
      <c r="O881" s="250">
        <f t="shared" si="520"/>
        <v>0</v>
      </c>
      <c r="P881" s="250">
        <f t="shared" si="520"/>
        <v>0</v>
      </c>
      <c r="Q881" s="250">
        <f t="shared" si="520"/>
        <v>0</v>
      </c>
      <c r="R881" s="250">
        <f t="shared" si="520"/>
        <v>0</v>
      </c>
      <c r="S881" s="282">
        <f t="shared" si="520"/>
        <v>0</v>
      </c>
    </row>
    <row r="882" spans="1:19" ht="12.75" customHeight="1" x14ac:dyDescent="0.2">
      <c r="A882" s="198" t="str">
        <f>"         "&amp;Labels!B318</f>
        <v xml:space="preserve">         Channels 2</v>
      </c>
      <c r="B882" s="250">
        <f t="shared" ref="B882:S882" si="521">SUM(B802,B842)</f>
        <v>0</v>
      </c>
      <c r="C882" s="250">
        <f t="shared" si="521"/>
        <v>0</v>
      </c>
      <c r="D882" s="250">
        <f t="shared" si="521"/>
        <v>0</v>
      </c>
      <c r="E882" s="250">
        <f t="shared" si="521"/>
        <v>0</v>
      </c>
      <c r="F882" s="250">
        <f t="shared" si="521"/>
        <v>0</v>
      </c>
      <c r="G882" s="250">
        <f t="shared" si="521"/>
        <v>0</v>
      </c>
      <c r="H882" s="250">
        <f t="shared" si="521"/>
        <v>0</v>
      </c>
      <c r="I882" s="250">
        <f t="shared" si="521"/>
        <v>0</v>
      </c>
      <c r="J882" s="250">
        <f t="shared" si="521"/>
        <v>0</v>
      </c>
      <c r="K882" s="250">
        <f t="shared" si="521"/>
        <v>0</v>
      </c>
      <c r="L882" s="250">
        <f t="shared" si="521"/>
        <v>0</v>
      </c>
      <c r="M882" s="250">
        <f t="shared" si="521"/>
        <v>0</v>
      </c>
      <c r="N882" s="250">
        <f t="shared" si="521"/>
        <v>0</v>
      </c>
      <c r="O882" s="250">
        <f t="shared" si="521"/>
        <v>0</v>
      </c>
      <c r="P882" s="250">
        <f t="shared" si="521"/>
        <v>0</v>
      </c>
      <c r="Q882" s="250">
        <f t="shared" si="521"/>
        <v>0</v>
      </c>
      <c r="R882" s="250">
        <f t="shared" si="521"/>
        <v>0</v>
      </c>
      <c r="S882" s="282">
        <f t="shared" si="521"/>
        <v>0</v>
      </c>
    </row>
    <row r="883" spans="1:19" ht="12.75" customHeight="1" x14ac:dyDescent="0.2">
      <c r="A883" s="198" t="str">
        <f>"         "&amp;Labels!C316</f>
        <v xml:space="preserve">         Total</v>
      </c>
      <c r="B883" s="250">
        <f t="shared" ref="B883:S883" si="522">SUM(B803,B843)</f>
        <v>0</v>
      </c>
      <c r="C883" s="250">
        <f t="shared" si="522"/>
        <v>0</v>
      </c>
      <c r="D883" s="250">
        <f t="shared" si="522"/>
        <v>0</v>
      </c>
      <c r="E883" s="250">
        <f t="shared" si="522"/>
        <v>0</v>
      </c>
      <c r="F883" s="250">
        <f t="shared" si="522"/>
        <v>0</v>
      </c>
      <c r="G883" s="250">
        <f t="shared" si="522"/>
        <v>0</v>
      </c>
      <c r="H883" s="250">
        <f t="shared" si="522"/>
        <v>0</v>
      </c>
      <c r="I883" s="250">
        <f t="shared" si="522"/>
        <v>0</v>
      </c>
      <c r="J883" s="250">
        <f t="shared" si="522"/>
        <v>0</v>
      </c>
      <c r="K883" s="250">
        <f t="shared" si="522"/>
        <v>0</v>
      </c>
      <c r="L883" s="250">
        <f t="shared" si="522"/>
        <v>0</v>
      </c>
      <c r="M883" s="250">
        <f t="shared" si="522"/>
        <v>0</v>
      </c>
      <c r="N883" s="250">
        <f t="shared" si="522"/>
        <v>0</v>
      </c>
      <c r="O883" s="250">
        <f t="shared" si="522"/>
        <v>0</v>
      </c>
      <c r="P883" s="250">
        <f t="shared" si="522"/>
        <v>0</v>
      </c>
      <c r="Q883" s="250">
        <f t="shared" si="522"/>
        <v>0</v>
      </c>
      <c r="R883" s="250">
        <f t="shared" si="522"/>
        <v>0</v>
      </c>
      <c r="S883" s="282">
        <f t="shared" si="522"/>
        <v>0</v>
      </c>
    </row>
    <row r="884" spans="1:19" ht="12.75" customHeight="1" x14ac:dyDescent="0.2">
      <c r="A884" s="198" t="str">
        <f>"      "&amp;Labels!B398</f>
        <v xml:space="preserve">      Supply Type 2</v>
      </c>
      <c r="B884" s="250"/>
      <c r="C884" s="250"/>
      <c r="D884" s="250"/>
      <c r="E884" s="250"/>
      <c r="F884" s="250"/>
      <c r="G884" s="250"/>
      <c r="H884" s="250"/>
      <c r="I884" s="250"/>
      <c r="J884" s="250"/>
      <c r="K884" s="250"/>
      <c r="L884" s="250"/>
      <c r="M884" s="250"/>
      <c r="N884" s="250"/>
      <c r="O884" s="250"/>
      <c r="P884" s="250"/>
      <c r="Q884" s="250"/>
      <c r="R884" s="250"/>
      <c r="S884" s="282"/>
    </row>
    <row r="885" spans="1:19" ht="12.75" customHeight="1" x14ac:dyDescent="0.2">
      <c r="A885" s="198" t="str">
        <f>"         "&amp;Labels!B317</f>
        <v xml:space="preserve">         Channels 1</v>
      </c>
      <c r="B885" s="250">
        <f t="shared" ref="B885:S885" si="523">SUM(B805,B845)</f>
        <v>0</v>
      </c>
      <c r="C885" s="250">
        <f t="shared" si="523"/>
        <v>0</v>
      </c>
      <c r="D885" s="250">
        <f t="shared" si="523"/>
        <v>0</v>
      </c>
      <c r="E885" s="250">
        <f t="shared" si="523"/>
        <v>0</v>
      </c>
      <c r="F885" s="250">
        <f t="shared" si="523"/>
        <v>0</v>
      </c>
      <c r="G885" s="250">
        <f t="shared" si="523"/>
        <v>0</v>
      </c>
      <c r="H885" s="250">
        <f t="shared" si="523"/>
        <v>0</v>
      </c>
      <c r="I885" s="250">
        <f t="shared" si="523"/>
        <v>0</v>
      </c>
      <c r="J885" s="250">
        <f t="shared" si="523"/>
        <v>0</v>
      </c>
      <c r="K885" s="250">
        <f t="shared" si="523"/>
        <v>0</v>
      </c>
      <c r="L885" s="250">
        <f t="shared" si="523"/>
        <v>0</v>
      </c>
      <c r="M885" s="250">
        <f t="shared" si="523"/>
        <v>0</v>
      </c>
      <c r="N885" s="250">
        <f t="shared" si="523"/>
        <v>0</v>
      </c>
      <c r="O885" s="250">
        <f t="shared" si="523"/>
        <v>0</v>
      </c>
      <c r="P885" s="250">
        <f t="shared" si="523"/>
        <v>0</v>
      </c>
      <c r="Q885" s="250">
        <f t="shared" si="523"/>
        <v>0</v>
      </c>
      <c r="R885" s="250">
        <f t="shared" si="523"/>
        <v>0</v>
      </c>
      <c r="S885" s="282">
        <f t="shared" si="523"/>
        <v>0</v>
      </c>
    </row>
    <row r="886" spans="1:19" ht="12.75" customHeight="1" x14ac:dyDescent="0.2">
      <c r="A886" s="198" t="str">
        <f>"         "&amp;Labels!B318</f>
        <v xml:space="preserve">         Channels 2</v>
      </c>
      <c r="B886" s="250">
        <f t="shared" ref="B886:S886" si="524">SUM(B806,B846)</f>
        <v>0</v>
      </c>
      <c r="C886" s="250">
        <f t="shared" si="524"/>
        <v>0</v>
      </c>
      <c r="D886" s="250">
        <f t="shared" si="524"/>
        <v>0</v>
      </c>
      <c r="E886" s="250">
        <f t="shared" si="524"/>
        <v>0</v>
      </c>
      <c r="F886" s="250">
        <f t="shared" si="524"/>
        <v>0</v>
      </c>
      <c r="G886" s="250">
        <f t="shared" si="524"/>
        <v>0</v>
      </c>
      <c r="H886" s="250">
        <f t="shared" si="524"/>
        <v>0</v>
      </c>
      <c r="I886" s="250">
        <f t="shared" si="524"/>
        <v>0</v>
      </c>
      <c r="J886" s="250">
        <f t="shared" si="524"/>
        <v>0</v>
      </c>
      <c r="K886" s="250">
        <f t="shared" si="524"/>
        <v>0</v>
      </c>
      <c r="L886" s="250">
        <f t="shared" si="524"/>
        <v>0</v>
      </c>
      <c r="M886" s="250">
        <f t="shared" si="524"/>
        <v>0</v>
      </c>
      <c r="N886" s="250">
        <f t="shared" si="524"/>
        <v>0</v>
      </c>
      <c r="O886" s="250">
        <f t="shared" si="524"/>
        <v>0</v>
      </c>
      <c r="P886" s="250">
        <f t="shared" si="524"/>
        <v>0</v>
      </c>
      <c r="Q886" s="250">
        <f t="shared" si="524"/>
        <v>0</v>
      </c>
      <c r="R886" s="250">
        <f t="shared" si="524"/>
        <v>0</v>
      </c>
      <c r="S886" s="282">
        <f t="shared" si="524"/>
        <v>0</v>
      </c>
    </row>
    <row r="887" spans="1:19" ht="12.75" customHeight="1" x14ac:dyDescent="0.2">
      <c r="A887" s="198" t="str">
        <f>"         "&amp;Labels!C316</f>
        <v xml:space="preserve">         Total</v>
      </c>
      <c r="B887" s="250">
        <f t="shared" ref="B887:S887" si="525">SUM(B807,B847)</f>
        <v>0</v>
      </c>
      <c r="C887" s="250">
        <f t="shared" si="525"/>
        <v>0</v>
      </c>
      <c r="D887" s="250">
        <f t="shared" si="525"/>
        <v>0</v>
      </c>
      <c r="E887" s="250">
        <f t="shared" si="525"/>
        <v>0</v>
      </c>
      <c r="F887" s="250">
        <f t="shared" si="525"/>
        <v>0</v>
      </c>
      <c r="G887" s="250">
        <f t="shared" si="525"/>
        <v>0</v>
      </c>
      <c r="H887" s="250">
        <f t="shared" si="525"/>
        <v>0</v>
      </c>
      <c r="I887" s="250">
        <f t="shared" si="525"/>
        <v>0</v>
      </c>
      <c r="J887" s="250">
        <f t="shared" si="525"/>
        <v>0</v>
      </c>
      <c r="K887" s="250">
        <f t="shared" si="525"/>
        <v>0</v>
      </c>
      <c r="L887" s="250">
        <f t="shared" si="525"/>
        <v>0</v>
      </c>
      <c r="M887" s="250">
        <f t="shared" si="525"/>
        <v>0</v>
      </c>
      <c r="N887" s="250">
        <f t="shared" si="525"/>
        <v>0</v>
      </c>
      <c r="O887" s="250">
        <f t="shared" si="525"/>
        <v>0</v>
      </c>
      <c r="P887" s="250">
        <f t="shared" si="525"/>
        <v>0</v>
      </c>
      <c r="Q887" s="250">
        <f t="shared" si="525"/>
        <v>0</v>
      </c>
      <c r="R887" s="250">
        <f t="shared" si="525"/>
        <v>0</v>
      </c>
      <c r="S887" s="282">
        <f t="shared" si="525"/>
        <v>0</v>
      </c>
    </row>
    <row r="888" spans="1:19" ht="12.75" customHeight="1" x14ac:dyDescent="0.2">
      <c r="A888" s="188" t="str">
        <f>"      "&amp;Labels!C396</f>
        <v xml:space="preserve">      Total</v>
      </c>
      <c r="B888" s="248">
        <f t="shared" ref="B888:S888" si="526">SUM(B799,B839)</f>
        <v>0</v>
      </c>
      <c r="C888" s="248">
        <f t="shared" si="526"/>
        <v>0</v>
      </c>
      <c r="D888" s="248">
        <f t="shared" si="526"/>
        <v>0</v>
      </c>
      <c r="E888" s="248">
        <f t="shared" si="526"/>
        <v>0</v>
      </c>
      <c r="F888" s="248">
        <f t="shared" si="526"/>
        <v>0</v>
      </c>
      <c r="G888" s="248">
        <f t="shared" si="526"/>
        <v>0</v>
      </c>
      <c r="H888" s="248">
        <f t="shared" si="526"/>
        <v>0</v>
      </c>
      <c r="I888" s="248">
        <f t="shared" si="526"/>
        <v>0</v>
      </c>
      <c r="J888" s="248">
        <f t="shared" si="526"/>
        <v>0</v>
      </c>
      <c r="K888" s="248">
        <f t="shared" si="526"/>
        <v>0</v>
      </c>
      <c r="L888" s="248">
        <f t="shared" si="526"/>
        <v>0</v>
      </c>
      <c r="M888" s="248">
        <f t="shared" si="526"/>
        <v>0</v>
      </c>
      <c r="N888" s="248">
        <f t="shared" si="526"/>
        <v>0</v>
      </c>
      <c r="O888" s="248">
        <f t="shared" si="526"/>
        <v>0</v>
      </c>
      <c r="P888" s="248">
        <f t="shared" si="526"/>
        <v>0</v>
      </c>
      <c r="Q888" s="248">
        <f t="shared" si="526"/>
        <v>0</v>
      </c>
      <c r="R888" s="248">
        <f t="shared" si="526"/>
        <v>0</v>
      </c>
      <c r="S888" s="271">
        <f t="shared" si="526"/>
        <v>0</v>
      </c>
    </row>
    <row r="889" spans="1:19" ht="12.75" customHeight="1" x14ac:dyDescent="0.2">
      <c r="A889" s="198" t="str">
        <f>"         "&amp;Labels!B317</f>
        <v xml:space="preserve">         Channels 1</v>
      </c>
      <c r="B889" s="250">
        <f t="shared" ref="B889:S889" si="527">SUM(B809,B849)</f>
        <v>0</v>
      </c>
      <c r="C889" s="250">
        <f t="shared" si="527"/>
        <v>0</v>
      </c>
      <c r="D889" s="250">
        <f t="shared" si="527"/>
        <v>0</v>
      </c>
      <c r="E889" s="250">
        <f t="shared" si="527"/>
        <v>0</v>
      </c>
      <c r="F889" s="250">
        <f t="shared" si="527"/>
        <v>0</v>
      </c>
      <c r="G889" s="250">
        <f t="shared" si="527"/>
        <v>0</v>
      </c>
      <c r="H889" s="250">
        <f t="shared" si="527"/>
        <v>0</v>
      </c>
      <c r="I889" s="250">
        <f t="shared" si="527"/>
        <v>0</v>
      </c>
      <c r="J889" s="250">
        <f t="shared" si="527"/>
        <v>0</v>
      </c>
      <c r="K889" s="250">
        <f t="shared" si="527"/>
        <v>0</v>
      </c>
      <c r="L889" s="250">
        <f t="shared" si="527"/>
        <v>0</v>
      </c>
      <c r="M889" s="250">
        <f t="shared" si="527"/>
        <v>0</v>
      </c>
      <c r="N889" s="250">
        <f t="shared" si="527"/>
        <v>0</v>
      </c>
      <c r="O889" s="250">
        <f t="shared" si="527"/>
        <v>0</v>
      </c>
      <c r="P889" s="250">
        <f t="shared" si="527"/>
        <v>0</v>
      </c>
      <c r="Q889" s="250">
        <f t="shared" si="527"/>
        <v>0</v>
      </c>
      <c r="R889" s="250">
        <f t="shared" si="527"/>
        <v>0</v>
      </c>
      <c r="S889" s="282">
        <f t="shared" si="527"/>
        <v>0</v>
      </c>
    </row>
    <row r="890" spans="1:19" ht="12.75" customHeight="1" x14ac:dyDescent="0.2">
      <c r="A890" s="198" t="str">
        <f>"         "&amp;Labels!B318</f>
        <v xml:space="preserve">         Channels 2</v>
      </c>
      <c r="B890" s="250">
        <f t="shared" ref="B890:S890" si="528">SUM(B810,B850)</f>
        <v>0</v>
      </c>
      <c r="C890" s="250">
        <f t="shared" si="528"/>
        <v>0</v>
      </c>
      <c r="D890" s="250">
        <f t="shared" si="528"/>
        <v>0</v>
      </c>
      <c r="E890" s="250">
        <f t="shared" si="528"/>
        <v>0</v>
      </c>
      <c r="F890" s="250">
        <f t="shared" si="528"/>
        <v>0</v>
      </c>
      <c r="G890" s="250">
        <f t="shared" si="528"/>
        <v>0</v>
      </c>
      <c r="H890" s="250">
        <f t="shared" si="528"/>
        <v>0</v>
      </c>
      <c r="I890" s="250">
        <f t="shared" si="528"/>
        <v>0</v>
      </c>
      <c r="J890" s="250">
        <f t="shared" si="528"/>
        <v>0</v>
      </c>
      <c r="K890" s="250">
        <f t="shared" si="528"/>
        <v>0</v>
      </c>
      <c r="L890" s="250">
        <f t="shared" si="528"/>
        <v>0</v>
      </c>
      <c r="M890" s="250">
        <f t="shared" si="528"/>
        <v>0</v>
      </c>
      <c r="N890" s="250">
        <f t="shared" si="528"/>
        <v>0</v>
      </c>
      <c r="O890" s="250">
        <f t="shared" si="528"/>
        <v>0</v>
      </c>
      <c r="P890" s="250">
        <f t="shared" si="528"/>
        <v>0</v>
      </c>
      <c r="Q890" s="250">
        <f t="shared" si="528"/>
        <v>0</v>
      </c>
      <c r="R890" s="250">
        <f t="shared" si="528"/>
        <v>0</v>
      </c>
      <c r="S890" s="282">
        <f t="shared" si="528"/>
        <v>0</v>
      </c>
    </row>
    <row r="891" spans="1:19" ht="12.75" customHeight="1" x14ac:dyDescent="0.2">
      <c r="A891" s="230" t="str">
        <f>"         "&amp;Labels!C316</f>
        <v xml:space="preserve">         Total</v>
      </c>
      <c r="B891" s="252">
        <f t="shared" ref="B891:S891" si="529">SUM(B799,B839)</f>
        <v>0</v>
      </c>
      <c r="C891" s="252">
        <f t="shared" si="529"/>
        <v>0</v>
      </c>
      <c r="D891" s="252">
        <f t="shared" si="529"/>
        <v>0</v>
      </c>
      <c r="E891" s="252">
        <f t="shared" si="529"/>
        <v>0</v>
      </c>
      <c r="F891" s="252">
        <f t="shared" si="529"/>
        <v>0</v>
      </c>
      <c r="G891" s="252">
        <f t="shared" si="529"/>
        <v>0</v>
      </c>
      <c r="H891" s="252">
        <f t="shared" si="529"/>
        <v>0</v>
      </c>
      <c r="I891" s="252">
        <f t="shared" si="529"/>
        <v>0</v>
      </c>
      <c r="J891" s="252">
        <f t="shared" si="529"/>
        <v>0</v>
      </c>
      <c r="K891" s="252">
        <f t="shared" si="529"/>
        <v>0</v>
      </c>
      <c r="L891" s="252">
        <f t="shared" si="529"/>
        <v>0</v>
      </c>
      <c r="M891" s="252">
        <f t="shared" si="529"/>
        <v>0</v>
      </c>
      <c r="N891" s="252">
        <f t="shared" si="529"/>
        <v>0</v>
      </c>
      <c r="O891" s="252">
        <f t="shared" si="529"/>
        <v>0</v>
      </c>
      <c r="P891" s="252">
        <f t="shared" si="529"/>
        <v>0</v>
      </c>
      <c r="Q891" s="252">
        <f t="shared" si="529"/>
        <v>0</v>
      </c>
      <c r="R891" s="252">
        <f t="shared" si="529"/>
        <v>0</v>
      </c>
      <c r="S891" s="283">
        <f t="shared" si="529"/>
        <v>0</v>
      </c>
    </row>
    <row r="892" spans="1:19" ht="12.75" customHeight="1" x14ac:dyDescent="0.2">
      <c r="A892" s="1" t="str">
        <f>"Prof_Staff_Hrs_Capacity_Plot_1"</f>
        <v>Prof_Staff_Hrs_Capacity_Plot_1</v>
      </c>
    </row>
    <row r="893" spans="1:19" ht="12.75" customHeight="1" x14ac:dyDescent="0.2">
      <c r="B893" s="9" t="str">
        <f>'(FnCalls 1)'!F41</f>
        <v>MMM 2010</v>
      </c>
      <c r="C893" s="10" t="str">
        <f>'(FnCalls 1)'!F42</f>
        <v>MMM 2010</v>
      </c>
      <c r="D893" s="10" t="str">
        <f>'(FnCalls 1)'!F43</f>
        <v>MMM 2010</v>
      </c>
      <c r="E893" s="10" t="str">
        <f>'(FnCalls 1)'!F44</f>
        <v>MMM 2010</v>
      </c>
      <c r="F893" s="10" t="str">
        <f>'(FnCalls 1)'!F45</f>
        <v>MMM 2010</v>
      </c>
      <c r="G893" s="10" t="str">
        <f>'(FnCalls 1)'!F46</f>
        <v>MMM 2010</v>
      </c>
      <c r="H893" s="10" t="str">
        <f>'(FnCalls 1)'!F47</f>
        <v>MMM 2010</v>
      </c>
      <c r="I893" s="10" t="str">
        <f>'(FnCalls 1)'!F48</f>
        <v>MMM 2010</v>
      </c>
      <c r="J893" s="10" t="str">
        <f>'(FnCalls 1)'!F49</f>
        <v>MMM 2010</v>
      </c>
      <c r="K893" s="10" t="str">
        <f>'(FnCalls 1)'!F50</f>
        <v>MMM 2010</v>
      </c>
      <c r="L893" s="10" t="str">
        <f>'(FnCalls 1)'!F51</f>
        <v>MMM 2010</v>
      </c>
      <c r="M893" s="10" t="str">
        <f>'(FnCalls 1)'!F52</f>
        <v>MMM 2010</v>
      </c>
      <c r="N893" s="10" t="str">
        <f>'(FnCalls 1)'!F53</f>
        <v>MMM 2011</v>
      </c>
      <c r="O893" s="10" t="str">
        <f>'(FnCalls 1)'!F54</f>
        <v>MMM 2011</v>
      </c>
      <c r="P893" s="10" t="str">
        <f>'(FnCalls 1)'!F55</f>
        <v>MMM 2011</v>
      </c>
      <c r="Q893" s="10" t="str">
        <f>'(FnCalls 1)'!F56</f>
        <v>MMM 2011</v>
      </c>
      <c r="R893" s="10" t="str">
        <f>'(FnCalls 1)'!F57</f>
        <v>MMM 2011</v>
      </c>
      <c r="S893" s="11" t="str">
        <f>'(FnCalls 1)'!F58</f>
        <v>MMM 2011</v>
      </c>
    </row>
    <row r="894" spans="1:19" ht="12.75" customHeight="1" x14ac:dyDescent="0.2">
      <c r="A894" s="182" t="str">
        <f>Labels!B385</f>
        <v>Prof Level 1</v>
      </c>
      <c r="B894" s="254"/>
      <c r="C894" s="254"/>
      <c r="D894" s="254"/>
      <c r="E894" s="254"/>
      <c r="F894" s="254"/>
      <c r="G894" s="254"/>
      <c r="H894" s="254"/>
      <c r="I894" s="254"/>
      <c r="J894" s="254"/>
      <c r="K894" s="254"/>
      <c r="L894" s="254"/>
      <c r="M894" s="254"/>
      <c r="N894" s="254"/>
      <c r="O894" s="254"/>
      <c r="P894" s="254"/>
      <c r="Q894" s="254"/>
      <c r="R894" s="254"/>
      <c r="S894" s="150"/>
    </row>
    <row r="895" spans="1:19" ht="12.75" customHeight="1" x14ac:dyDescent="0.2">
      <c r="A895" s="188" t="str">
        <f>"   "&amp;Labels!B381</f>
        <v xml:space="preserve">   Practice 1</v>
      </c>
      <c r="B895" s="256">
        <f>'GM CostSvcs'!B479*'(Tables)'!B1126/12</f>
        <v>0</v>
      </c>
      <c r="C895" s="256">
        <f>'GM CostSvcs'!C479*'(Tables)'!B1126/12</f>
        <v>0</v>
      </c>
      <c r="D895" s="256">
        <f>'GM CostSvcs'!D479*'(Tables)'!B1126/12</f>
        <v>0</v>
      </c>
      <c r="E895" s="256">
        <f>'GM CostSvcs'!F479*'(Tables)'!B1126/12</f>
        <v>0</v>
      </c>
      <c r="F895" s="256">
        <f>'GM CostSvcs'!G479*'(Tables)'!B1126/12</f>
        <v>0</v>
      </c>
      <c r="G895" s="256">
        <f>'GM CostSvcs'!H479*'(Tables)'!B1126/12</f>
        <v>0</v>
      </c>
      <c r="H895" s="256">
        <f>'GM CostSvcs'!J479*'(Tables)'!B1126/12</f>
        <v>150</v>
      </c>
      <c r="I895" s="256">
        <f>'GM CostSvcs'!K479*'(Tables)'!B1126/12</f>
        <v>300</v>
      </c>
      <c r="J895" s="256">
        <f>'GM CostSvcs'!L479*'(Tables)'!B1126/12</f>
        <v>0</v>
      </c>
      <c r="K895" s="256">
        <f>'GM CostSvcs'!N479*'(Tables)'!B1126/12</f>
        <v>0</v>
      </c>
      <c r="L895" s="256">
        <f>'GM CostSvcs'!O479*'(Tables)'!B1126/12</f>
        <v>0</v>
      </c>
      <c r="M895" s="256">
        <f>'GM CostSvcs'!P479*'(Tables)'!B1126/12</f>
        <v>0</v>
      </c>
      <c r="N895" s="256">
        <f>'GM CostSvcs'!R479*'(Tables)'!B1126/12</f>
        <v>0</v>
      </c>
      <c r="O895" s="256">
        <f>'GM CostSvcs'!S479*'(Tables)'!B1126/12</f>
        <v>0</v>
      </c>
      <c r="P895" s="256">
        <f>'GM CostSvcs'!T479*'(Tables)'!B1126/12</f>
        <v>0</v>
      </c>
      <c r="Q895" s="256">
        <f>'GM CostSvcs'!V479*'(Tables)'!B1126/12</f>
        <v>0</v>
      </c>
      <c r="R895" s="256">
        <f>'GM CostSvcs'!W479*'(Tables)'!B1126/12</f>
        <v>0</v>
      </c>
      <c r="S895" s="290">
        <f>'GM CostSvcs'!X479*'(Tables)'!B1126/12</f>
        <v>0</v>
      </c>
    </row>
    <row r="896" spans="1:19" ht="12.75" customHeight="1" x14ac:dyDescent="0.2">
      <c r="A896" s="188" t="str">
        <f>"   "&amp;Labels!B382</f>
        <v xml:space="preserve">   Practice 2</v>
      </c>
      <c r="B896" s="256">
        <f>'GM CostSvcs'!B483*'(Tables)'!C1126/12</f>
        <v>0</v>
      </c>
      <c r="C896" s="256">
        <f>'GM CostSvcs'!C483*'(Tables)'!C1126/12</f>
        <v>0</v>
      </c>
      <c r="D896" s="256">
        <f>'GM CostSvcs'!D483*'(Tables)'!C1126/12</f>
        <v>0</v>
      </c>
      <c r="E896" s="256">
        <f>'GM CostSvcs'!F483*'(Tables)'!C1126/12</f>
        <v>0</v>
      </c>
      <c r="F896" s="256">
        <f>'GM CostSvcs'!G483*'(Tables)'!C1126/12</f>
        <v>0</v>
      </c>
      <c r="G896" s="256">
        <f>'GM CostSvcs'!H483*'(Tables)'!C1126/12</f>
        <v>0</v>
      </c>
      <c r="H896" s="256">
        <f>'GM CostSvcs'!J483*'(Tables)'!C1126/12</f>
        <v>0</v>
      </c>
      <c r="I896" s="256">
        <f>'GM CostSvcs'!K483*'(Tables)'!C1126/12</f>
        <v>0</v>
      </c>
      <c r="J896" s="256">
        <f>'GM CostSvcs'!L483*'(Tables)'!C1126/12</f>
        <v>0</v>
      </c>
      <c r="K896" s="256">
        <f>'GM CostSvcs'!N483*'(Tables)'!C1126/12</f>
        <v>0</v>
      </c>
      <c r="L896" s="256">
        <f>'GM CostSvcs'!O483*'(Tables)'!C1126/12</f>
        <v>0</v>
      </c>
      <c r="M896" s="256">
        <f>'GM CostSvcs'!P483*'(Tables)'!C1126/12</f>
        <v>0</v>
      </c>
      <c r="N896" s="256">
        <f>'GM CostSvcs'!R483*'(Tables)'!C1126/12</f>
        <v>0</v>
      </c>
      <c r="O896" s="256">
        <f>'GM CostSvcs'!S483*'(Tables)'!C1126/12</f>
        <v>0</v>
      </c>
      <c r="P896" s="256">
        <f>'GM CostSvcs'!T483*'(Tables)'!C1126/12</f>
        <v>0</v>
      </c>
      <c r="Q896" s="256">
        <f>'GM CostSvcs'!V483*'(Tables)'!C1126/12</f>
        <v>0</v>
      </c>
      <c r="R896" s="256">
        <f>'GM CostSvcs'!W483*'(Tables)'!C1126/12</f>
        <v>0</v>
      </c>
      <c r="S896" s="290">
        <f>'GM CostSvcs'!X483*'(Tables)'!C1126/12</f>
        <v>0</v>
      </c>
    </row>
    <row r="897" spans="1:19" ht="12.75" customHeight="1" x14ac:dyDescent="0.2">
      <c r="A897" s="191" t="str">
        <f>"   "&amp;Labels!C380</f>
        <v xml:space="preserve">   Total</v>
      </c>
      <c r="B897" s="260">
        <f t="shared" ref="B897:S897" si="530">SUM(B895:B896)</f>
        <v>0</v>
      </c>
      <c r="C897" s="260">
        <f t="shared" si="530"/>
        <v>0</v>
      </c>
      <c r="D897" s="260">
        <f t="shared" si="530"/>
        <v>0</v>
      </c>
      <c r="E897" s="260">
        <f t="shared" si="530"/>
        <v>0</v>
      </c>
      <c r="F897" s="260">
        <f t="shared" si="530"/>
        <v>0</v>
      </c>
      <c r="G897" s="260">
        <f t="shared" si="530"/>
        <v>0</v>
      </c>
      <c r="H897" s="260">
        <f t="shared" si="530"/>
        <v>150</v>
      </c>
      <c r="I897" s="260">
        <f t="shared" si="530"/>
        <v>300</v>
      </c>
      <c r="J897" s="260">
        <f t="shared" si="530"/>
        <v>0</v>
      </c>
      <c r="K897" s="260">
        <f t="shared" si="530"/>
        <v>0</v>
      </c>
      <c r="L897" s="260">
        <f t="shared" si="530"/>
        <v>0</v>
      </c>
      <c r="M897" s="260">
        <f t="shared" si="530"/>
        <v>0</v>
      </c>
      <c r="N897" s="260">
        <f t="shared" si="530"/>
        <v>0</v>
      </c>
      <c r="O897" s="260">
        <f t="shared" si="530"/>
        <v>0</v>
      </c>
      <c r="P897" s="260">
        <f t="shared" si="530"/>
        <v>0</v>
      </c>
      <c r="Q897" s="260">
        <f t="shared" si="530"/>
        <v>0</v>
      </c>
      <c r="R897" s="260">
        <f t="shared" si="530"/>
        <v>0</v>
      </c>
      <c r="S897" s="289">
        <f t="shared" si="530"/>
        <v>0</v>
      </c>
    </row>
    <row r="898" spans="1:19" ht="12.75" customHeight="1" x14ac:dyDescent="0.2">
      <c r="A898" s="191" t="str">
        <f>Labels!B386</f>
        <v>Prof Level 2</v>
      </c>
      <c r="B898" s="260"/>
      <c r="C898" s="260"/>
      <c r="D898" s="260"/>
      <c r="E898" s="260"/>
      <c r="F898" s="260"/>
      <c r="G898" s="260"/>
      <c r="H898" s="260"/>
      <c r="I898" s="260"/>
      <c r="J898" s="260"/>
      <c r="K898" s="260"/>
      <c r="L898" s="260"/>
      <c r="M898" s="260"/>
      <c r="N898" s="260"/>
      <c r="O898" s="260"/>
      <c r="P898" s="260"/>
      <c r="Q898" s="260"/>
      <c r="R898" s="260"/>
      <c r="S898" s="289"/>
    </row>
    <row r="899" spans="1:19" ht="12.75" customHeight="1" x14ac:dyDescent="0.2">
      <c r="A899" s="188" t="str">
        <f>"   "&amp;Labels!B381</f>
        <v xml:space="preserve">   Practice 1</v>
      </c>
      <c r="B899" s="256">
        <f>'GM CostSvcs'!B480*'(Tables)'!B1127/12</f>
        <v>0</v>
      </c>
      <c r="C899" s="256">
        <f>'GM CostSvcs'!C480*'(Tables)'!B1127/12</f>
        <v>0</v>
      </c>
      <c r="D899" s="256">
        <f>'GM CostSvcs'!D480*'(Tables)'!B1127/12</f>
        <v>0</v>
      </c>
      <c r="E899" s="256">
        <f>'GM CostSvcs'!F480*'(Tables)'!B1127/12</f>
        <v>0</v>
      </c>
      <c r="F899" s="256">
        <f>'GM CostSvcs'!G480*'(Tables)'!B1127/12</f>
        <v>0</v>
      </c>
      <c r="G899" s="256">
        <f>'GM CostSvcs'!H480*'(Tables)'!B1127/12</f>
        <v>0</v>
      </c>
      <c r="H899" s="256">
        <f>'GM CostSvcs'!J480*'(Tables)'!B1127/12</f>
        <v>150</v>
      </c>
      <c r="I899" s="256">
        <f>'GM CostSvcs'!K480*'(Tables)'!B1127/12</f>
        <v>300</v>
      </c>
      <c r="J899" s="256">
        <f>'GM CostSvcs'!L480*'(Tables)'!B1127/12</f>
        <v>0</v>
      </c>
      <c r="K899" s="256">
        <f>'GM CostSvcs'!N480*'(Tables)'!B1127/12</f>
        <v>0</v>
      </c>
      <c r="L899" s="256">
        <f>'GM CostSvcs'!O480*'(Tables)'!B1127/12</f>
        <v>0</v>
      </c>
      <c r="M899" s="256">
        <f>'GM CostSvcs'!P480*'(Tables)'!B1127/12</f>
        <v>0</v>
      </c>
      <c r="N899" s="256">
        <f>'GM CostSvcs'!R480*'(Tables)'!B1127/12</f>
        <v>0</v>
      </c>
      <c r="O899" s="256">
        <f>'GM CostSvcs'!S480*'(Tables)'!B1127/12</f>
        <v>0</v>
      </c>
      <c r="P899" s="256">
        <f>'GM CostSvcs'!T480*'(Tables)'!B1127/12</f>
        <v>0</v>
      </c>
      <c r="Q899" s="256">
        <f>'GM CostSvcs'!V480*'(Tables)'!B1127/12</f>
        <v>0</v>
      </c>
      <c r="R899" s="256">
        <f>'GM CostSvcs'!W480*'(Tables)'!B1127/12</f>
        <v>0</v>
      </c>
      <c r="S899" s="290">
        <f>'GM CostSvcs'!X480*'(Tables)'!B1127/12</f>
        <v>0</v>
      </c>
    </row>
    <row r="900" spans="1:19" ht="12.75" customHeight="1" x14ac:dyDescent="0.2">
      <c r="A900" s="188" t="str">
        <f>"   "&amp;Labels!B382</f>
        <v xml:space="preserve">   Practice 2</v>
      </c>
      <c r="B900" s="256">
        <f>'GM CostSvcs'!B484*'(Tables)'!C1127/12</f>
        <v>0</v>
      </c>
      <c r="C900" s="256">
        <f>'GM CostSvcs'!C484*'(Tables)'!C1127/12</f>
        <v>0</v>
      </c>
      <c r="D900" s="256">
        <f>'GM CostSvcs'!D484*'(Tables)'!C1127/12</f>
        <v>0</v>
      </c>
      <c r="E900" s="256">
        <f>'GM CostSvcs'!F484*'(Tables)'!C1127/12</f>
        <v>0</v>
      </c>
      <c r="F900" s="256">
        <f>'GM CostSvcs'!G484*'(Tables)'!C1127/12</f>
        <v>0</v>
      </c>
      <c r="G900" s="256">
        <f>'GM CostSvcs'!H484*'(Tables)'!C1127/12</f>
        <v>0</v>
      </c>
      <c r="H900" s="256">
        <f>'GM CostSvcs'!J484*'(Tables)'!C1127/12</f>
        <v>0</v>
      </c>
      <c r="I900" s="256">
        <f>'GM CostSvcs'!K484*'(Tables)'!C1127/12</f>
        <v>0</v>
      </c>
      <c r="J900" s="256">
        <f>'GM CostSvcs'!L484*'(Tables)'!C1127/12</f>
        <v>0</v>
      </c>
      <c r="K900" s="256">
        <f>'GM CostSvcs'!N484*'(Tables)'!C1127/12</f>
        <v>0</v>
      </c>
      <c r="L900" s="256">
        <f>'GM CostSvcs'!O484*'(Tables)'!C1127/12</f>
        <v>0</v>
      </c>
      <c r="M900" s="256">
        <f>'GM CostSvcs'!P484*'(Tables)'!C1127/12</f>
        <v>0</v>
      </c>
      <c r="N900" s="256">
        <f>'GM CostSvcs'!R484*'(Tables)'!C1127/12</f>
        <v>0</v>
      </c>
      <c r="O900" s="256">
        <f>'GM CostSvcs'!S484*'(Tables)'!C1127/12</f>
        <v>0</v>
      </c>
      <c r="P900" s="256">
        <f>'GM CostSvcs'!T484*'(Tables)'!C1127/12</f>
        <v>0</v>
      </c>
      <c r="Q900" s="256">
        <f>'GM CostSvcs'!V484*'(Tables)'!C1127/12</f>
        <v>0</v>
      </c>
      <c r="R900" s="256">
        <f>'GM CostSvcs'!W484*'(Tables)'!C1127/12</f>
        <v>0</v>
      </c>
      <c r="S900" s="290">
        <f>'GM CostSvcs'!X484*'(Tables)'!C1127/12</f>
        <v>0</v>
      </c>
    </row>
    <row r="901" spans="1:19" ht="12.75" customHeight="1" x14ac:dyDescent="0.2">
      <c r="A901" s="191" t="str">
        <f>"   "&amp;Labels!C380</f>
        <v xml:space="preserve">   Total</v>
      </c>
      <c r="B901" s="260">
        <f t="shared" ref="B901:S901" si="531">SUM(B899:B900)</f>
        <v>0</v>
      </c>
      <c r="C901" s="260">
        <f t="shared" si="531"/>
        <v>0</v>
      </c>
      <c r="D901" s="260">
        <f t="shared" si="531"/>
        <v>0</v>
      </c>
      <c r="E901" s="260">
        <f t="shared" si="531"/>
        <v>0</v>
      </c>
      <c r="F901" s="260">
        <f t="shared" si="531"/>
        <v>0</v>
      </c>
      <c r="G901" s="260">
        <f t="shared" si="531"/>
        <v>0</v>
      </c>
      <c r="H901" s="260">
        <f t="shared" si="531"/>
        <v>150</v>
      </c>
      <c r="I901" s="260">
        <f t="shared" si="531"/>
        <v>300</v>
      </c>
      <c r="J901" s="260">
        <f t="shared" si="531"/>
        <v>0</v>
      </c>
      <c r="K901" s="260">
        <f t="shared" si="531"/>
        <v>0</v>
      </c>
      <c r="L901" s="260">
        <f t="shared" si="531"/>
        <v>0</v>
      </c>
      <c r="M901" s="260">
        <f t="shared" si="531"/>
        <v>0</v>
      </c>
      <c r="N901" s="260">
        <f t="shared" si="531"/>
        <v>0</v>
      </c>
      <c r="O901" s="260">
        <f t="shared" si="531"/>
        <v>0</v>
      </c>
      <c r="P901" s="260">
        <f t="shared" si="531"/>
        <v>0</v>
      </c>
      <c r="Q901" s="260">
        <f t="shared" si="531"/>
        <v>0</v>
      </c>
      <c r="R901" s="260">
        <f t="shared" si="531"/>
        <v>0</v>
      </c>
      <c r="S901" s="289">
        <f t="shared" si="531"/>
        <v>0</v>
      </c>
    </row>
    <row r="902" spans="1:19" ht="12.75" customHeight="1" x14ac:dyDescent="0.2">
      <c r="A902" s="97" t="str">
        <f>Labels!C384</f>
        <v>Total</v>
      </c>
      <c r="B902" s="360">
        <f t="shared" ref="B902:S902" si="532">SUM(B897,B901)</f>
        <v>0</v>
      </c>
      <c r="C902" s="360">
        <f t="shared" si="532"/>
        <v>0</v>
      </c>
      <c r="D902" s="360">
        <f t="shared" si="532"/>
        <v>0</v>
      </c>
      <c r="E902" s="360">
        <f t="shared" si="532"/>
        <v>0</v>
      </c>
      <c r="F902" s="360">
        <f t="shared" si="532"/>
        <v>0</v>
      </c>
      <c r="G902" s="360">
        <f t="shared" si="532"/>
        <v>0</v>
      </c>
      <c r="H902" s="360">
        <f t="shared" si="532"/>
        <v>300</v>
      </c>
      <c r="I902" s="360">
        <f t="shared" si="532"/>
        <v>600</v>
      </c>
      <c r="J902" s="360">
        <f t="shared" si="532"/>
        <v>0</v>
      </c>
      <c r="K902" s="360">
        <f t="shared" si="532"/>
        <v>0</v>
      </c>
      <c r="L902" s="360">
        <f t="shared" si="532"/>
        <v>0</v>
      </c>
      <c r="M902" s="360">
        <f t="shared" si="532"/>
        <v>0</v>
      </c>
      <c r="N902" s="360">
        <f t="shared" si="532"/>
        <v>0</v>
      </c>
      <c r="O902" s="360">
        <f t="shared" si="532"/>
        <v>0</v>
      </c>
      <c r="P902" s="360">
        <f t="shared" si="532"/>
        <v>0</v>
      </c>
      <c r="Q902" s="360">
        <f t="shared" si="532"/>
        <v>0</v>
      </c>
      <c r="R902" s="360">
        <f t="shared" si="532"/>
        <v>0</v>
      </c>
      <c r="S902" s="361">
        <f t="shared" si="532"/>
        <v>0</v>
      </c>
    </row>
    <row r="903" spans="1:19" ht="12.75" customHeight="1" x14ac:dyDescent="0.2">
      <c r="A903" s="188" t="str">
        <f>"   "&amp;Labels!B381</f>
        <v xml:space="preserve">   Practice 1</v>
      </c>
      <c r="B903" s="256">
        <f t="shared" ref="B903:S903" si="533">SUM(B895,B899)</f>
        <v>0</v>
      </c>
      <c r="C903" s="256">
        <f t="shared" si="533"/>
        <v>0</v>
      </c>
      <c r="D903" s="256">
        <f t="shared" si="533"/>
        <v>0</v>
      </c>
      <c r="E903" s="256">
        <f t="shared" si="533"/>
        <v>0</v>
      </c>
      <c r="F903" s="256">
        <f t="shared" si="533"/>
        <v>0</v>
      </c>
      <c r="G903" s="256">
        <f t="shared" si="533"/>
        <v>0</v>
      </c>
      <c r="H903" s="256">
        <f t="shared" si="533"/>
        <v>300</v>
      </c>
      <c r="I903" s="256">
        <f t="shared" si="533"/>
        <v>600</v>
      </c>
      <c r="J903" s="256">
        <f t="shared" si="533"/>
        <v>0</v>
      </c>
      <c r="K903" s="256">
        <f t="shared" si="533"/>
        <v>0</v>
      </c>
      <c r="L903" s="256">
        <f t="shared" si="533"/>
        <v>0</v>
      </c>
      <c r="M903" s="256">
        <f t="shared" si="533"/>
        <v>0</v>
      </c>
      <c r="N903" s="256">
        <f t="shared" si="533"/>
        <v>0</v>
      </c>
      <c r="O903" s="256">
        <f t="shared" si="533"/>
        <v>0</v>
      </c>
      <c r="P903" s="256">
        <f t="shared" si="533"/>
        <v>0</v>
      </c>
      <c r="Q903" s="256">
        <f t="shared" si="533"/>
        <v>0</v>
      </c>
      <c r="R903" s="256">
        <f t="shared" si="533"/>
        <v>0</v>
      </c>
      <c r="S903" s="290">
        <f t="shared" si="533"/>
        <v>0</v>
      </c>
    </row>
    <row r="904" spans="1:19" ht="12.75" customHeight="1" x14ac:dyDescent="0.2">
      <c r="A904" s="188" t="str">
        <f>"   "&amp;Labels!B382</f>
        <v xml:space="preserve">   Practice 2</v>
      </c>
      <c r="B904" s="256">
        <f t="shared" ref="B904:S904" si="534">SUM(B896,B900)</f>
        <v>0</v>
      </c>
      <c r="C904" s="256">
        <f t="shared" si="534"/>
        <v>0</v>
      </c>
      <c r="D904" s="256">
        <f t="shared" si="534"/>
        <v>0</v>
      </c>
      <c r="E904" s="256">
        <f t="shared" si="534"/>
        <v>0</v>
      </c>
      <c r="F904" s="256">
        <f t="shared" si="534"/>
        <v>0</v>
      </c>
      <c r="G904" s="256">
        <f t="shared" si="534"/>
        <v>0</v>
      </c>
      <c r="H904" s="256">
        <f t="shared" si="534"/>
        <v>0</v>
      </c>
      <c r="I904" s="256">
        <f t="shared" si="534"/>
        <v>0</v>
      </c>
      <c r="J904" s="256">
        <f t="shared" si="534"/>
        <v>0</v>
      </c>
      <c r="K904" s="256">
        <f t="shared" si="534"/>
        <v>0</v>
      </c>
      <c r="L904" s="256">
        <f t="shared" si="534"/>
        <v>0</v>
      </c>
      <c r="M904" s="256">
        <f t="shared" si="534"/>
        <v>0</v>
      </c>
      <c r="N904" s="256">
        <f t="shared" si="534"/>
        <v>0</v>
      </c>
      <c r="O904" s="256">
        <f t="shared" si="534"/>
        <v>0</v>
      </c>
      <c r="P904" s="256">
        <f t="shared" si="534"/>
        <v>0</v>
      </c>
      <c r="Q904" s="256">
        <f t="shared" si="534"/>
        <v>0</v>
      </c>
      <c r="R904" s="256">
        <f t="shared" si="534"/>
        <v>0</v>
      </c>
      <c r="S904" s="290">
        <f t="shared" si="534"/>
        <v>0</v>
      </c>
    </row>
    <row r="905" spans="1:19" ht="12.75" customHeight="1" x14ac:dyDescent="0.2">
      <c r="A905" s="185" t="str">
        <f>"   "&amp;Labels!C380</f>
        <v xml:space="preserve">   Total</v>
      </c>
      <c r="B905" s="331">
        <f t="shared" ref="B905:S905" si="535">SUM(B897,B901)</f>
        <v>0</v>
      </c>
      <c r="C905" s="331">
        <f t="shared" si="535"/>
        <v>0</v>
      </c>
      <c r="D905" s="331">
        <f t="shared" si="535"/>
        <v>0</v>
      </c>
      <c r="E905" s="331">
        <f t="shared" si="535"/>
        <v>0</v>
      </c>
      <c r="F905" s="331">
        <f t="shared" si="535"/>
        <v>0</v>
      </c>
      <c r="G905" s="331">
        <f t="shared" si="535"/>
        <v>0</v>
      </c>
      <c r="H905" s="331">
        <f t="shared" si="535"/>
        <v>300</v>
      </c>
      <c r="I905" s="331">
        <f t="shared" si="535"/>
        <v>600</v>
      </c>
      <c r="J905" s="331">
        <f t="shared" si="535"/>
        <v>0</v>
      </c>
      <c r="K905" s="331">
        <f t="shared" si="535"/>
        <v>0</v>
      </c>
      <c r="L905" s="331">
        <f t="shared" si="535"/>
        <v>0</v>
      </c>
      <c r="M905" s="331">
        <f t="shared" si="535"/>
        <v>0</v>
      </c>
      <c r="N905" s="331">
        <f t="shared" si="535"/>
        <v>0</v>
      </c>
      <c r="O905" s="331">
        <f t="shared" si="535"/>
        <v>0</v>
      </c>
      <c r="P905" s="331">
        <f t="shared" si="535"/>
        <v>0</v>
      </c>
      <c r="Q905" s="331">
        <f t="shared" si="535"/>
        <v>0</v>
      </c>
      <c r="R905" s="331">
        <f t="shared" si="535"/>
        <v>0</v>
      </c>
      <c r="S905" s="151">
        <f t="shared" si="535"/>
        <v>0</v>
      </c>
    </row>
    <row r="906" spans="1:19" ht="12.75" customHeight="1" x14ac:dyDescent="0.2">
      <c r="A906" s="1" t="str">
        <f>"Orders_Filled_Hrs_Plot_1"</f>
        <v>Orders_Filled_Hrs_Plot_1</v>
      </c>
    </row>
    <row r="907" spans="1:19" ht="12.75" customHeight="1" x14ac:dyDescent="0.2">
      <c r="B907" s="9" t="str">
        <f>'(FnCalls 1)'!F41</f>
        <v>MMM 2010</v>
      </c>
      <c r="C907" s="10" t="str">
        <f>'(FnCalls 1)'!F42</f>
        <v>MMM 2010</v>
      </c>
      <c r="D907" s="10" t="str">
        <f>'(FnCalls 1)'!F43</f>
        <v>MMM 2010</v>
      </c>
      <c r="E907" s="10" t="str">
        <f>'(FnCalls 1)'!F44</f>
        <v>MMM 2010</v>
      </c>
      <c r="F907" s="10" t="str">
        <f>'(FnCalls 1)'!F45</f>
        <v>MMM 2010</v>
      </c>
      <c r="G907" s="10" t="str">
        <f>'(FnCalls 1)'!F46</f>
        <v>MMM 2010</v>
      </c>
      <c r="H907" s="10" t="str">
        <f>'(FnCalls 1)'!F47</f>
        <v>MMM 2010</v>
      </c>
      <c r="I907" s="10" t="str">
        <f>'(FnCalls 1)'!F48</f>
        <v>MMM 2010</v>
      </c>
      <c r="J907" s="10" t="str">
        <f>'(FnCalls 1)'!F49</f>
        <v>MMM 2010</v>
      </c>
      <c r="K907" s="10" t="str">
        <f>'(FnCalls 1)'!F50</f>
        <v>MMM 2010</v>
      </c>
      <c r="L907" s="10" t="str">
        <f>'(FnCalls 1)'!F51</f>
        <v>MMM 2010</v>
      </c>
      <c r="M907" s="10" t="str">
        <f>'(FnCalls 1)'!F52</f>
        <v>MMM 2010</v>
      </c>
      <c r="N907" s="10" t="str">
        <f>'(FnCalls 1)'!F53</f>
        <v>MMM 2011</v>
      </c>
      <c r="O907" s="10" t="str">
        <f>'(FnCalls 1)'!F54</f>
        <v>MMM 2011</v>
      </c>
      <c r="P907" s="10" t="str">
        <f>'(FnCalls 1)'!F55</f>
        <v>MMM 2011</v>
      </c>
      <c r="Q907" s="10" t="str">
        <f>'(FnCalls 1)'!F56</f>
        <v>MMM 2011</v>
      </c>
      <c r="R907" s="10" t="str">
        <f>'(FnCalls 1)'!F57</f>
        <v>MMM 2011</v>
      </c>
      <c r="S907" s="11" t="str">
        <f>'(FnCalls 1)'!F58</f>
        <v>MMM 2011</v>
      </c>
    </row>
    <row r="908" spans="1:19" ht="12.75" customHeight="1" x14ac:dyDescent="0.2">
      <c r="A908" s="182" t="str">
        <f>Labels!B385</f>
        <v>Prof Level 1</v>
      </c>
      <c r="B908" s="254"/>
      <c r="C908" s="254"/>
      <c r="D908" s="254"/>
      <c r="E908" s="254"/>
      <c r="F908" s="254"/>
      <c r="G908" s="254"/>
      <c r="H908" s="254"/>
      <c r="I908" s="254"/>
      <c r="J908" s="254"/>
      <c r="K908" s="254"/>
      <c r="L908" s="254"/>
      <c r="M908" s="254"/>
      <c r="N908" s="254"/>
      <c r="O908" s="254"/>
      <c r="P908" s="254"/>
      <c r="Q908" s="254"/>
      <c r="R908" s="254"/>
      <c r="S908" s="150"/>
    </row>
    <row r="909" spans="1:19" ht="12.75" customHeight="1" x14ac:dyDescent="0.2">
      <c r="A909" s="188" t="str">
        <f>"   "&amp;Labels!B381</f>
        <v xml:space="preserve">   Practice 1</v>
      </c>
      <c r="B909" s="256"/>
      <c r="C909" s="256"/>
      <c r="D909" s="256"/>
      <c r="E909" s="256"/>
      <c r="F909" s="256"/>
      <c r="G909" s="256"/>
      <c r="H909" s="256"/>
      <c r="I909" s="256"/>
      <c r="J909" s="256"/>
      <c r="K909" s="256"/>
      <c r="L909" s="256"/>
      <c r="M909" s="256"/>
      <c r="N909" s="256"/>
      <c r="O909" s="256"/>
      <c r="P909" s="256"/>
      <c r="Q909" s="256"/>
      <c r="R909" s="256"/>
      <c r="S909" s="290"/>
    </row>
    <row r="910" spans="1:19" ht="12.75" customHeight="1" x14ac:dyDescent="0.2">
      <c r="A910" s="198" t="str">
        <f>"      "&amp;Labels!B317</f>
        <v xml:space="preserve">      Channels 1</v>
      </c>
      <c r="B910" s="258">
        <f>ROUND('(Tables)'!B444,0)</f>
        <v>0</v>
      </c>
      <c r="C910" s="258">
        <f>ROUND('(Tables)'!C444,0)</f>
        <v>0</v>
      </c>
      <c r="D910" s="258">
        <f>ROUND('(Tables)'!D444,0)</f>
        <v>0</v>
      </c>
      <c r="E910" s="258">
        <f>ROUND('(Tables)'!E444,0)</f>
        <v>0</v>
      </c>
      <c r="F910" s="258">
        <f>ROUND('(Tables)'!F444,0)</f>
        <v>0</v>
      </c>
      <c r="G910" s="258">
        <f>ROUND('(Tables)'!G444,0)</f>
        <v>0</v>
      </c>
      <c r="H910" s="258">
        <f>ROUND('(Tables)'!H444,0)</f>
        <v>0</v>
      </c>
      <c r="I910" s="258">
        <f>ROUND('(Tables)'!I444,0)</f>
        <v>0</v>
      </c>
      <c r="J910" s="258">
        <f>ROUND('(Tables)'!J444,0)</f>
        <v>0</v>
      </c>
      <c r="K910" s="258">
        <f>ROUND('(Tables)'!K444,0)</f>
        <v>0</v>
      </c>
      <c r="L910" s="258">
        <f>ROUND('(Tables)'!L444,0)</f>
        <v>0</v>
      </c>
      <c r="M910" s="258">
        <f>ROUND('(Tables)'!M444,0)</f>
        <v>0</v>
      </c>
      <c r="N910" s="258">
        <f>ROUND('(Tables)'!N444,0)</f>
        <v>0</v>
      </c>
      <c r="O910" s="258">
        <f>ROUND('(Tables)'!O444,0)</f>
        <v>0</v>
      </c>
      <c r="P910" s="258">
        <f>ROUND('(Tables)'!P444,0)</f>
        <v>0</v>
      </c>
      <c r="Q910" s="258">
        <f>ROUND('(Tables)'!Q444,0)</f>
        <v>0</v>
      </c>
      <c r="R910" s="258">
        <f>ROUND('(Tables)'!R444,0)</f>
        <v>0</v>
      </c>
      <c r="S910" s="291">
        <f>ROUND('(Tables)'!S444,0)</f>
        <v>0</v>
      </c>
    </row>
    <row r="911" spans="1:19" ht="12.75" customHeight="1" x14ac:dyDescent="0.2">
      <c r="A911" s="198" t="str">
        <f>"      "&amp;Labels!B318</f>
        <v xml:space="preserve">      Channels 2</v>
      </c>
      <c r="B911" s="258">
        <f>ROUND('(Tables)'!B445,0)</f>
        <v>0</v>
      </c>
      <c r="C911" s="258">
        <f>ROUND('(Tables)'!C445,0)</f>
        <v>0</v>
      </c>
      <c r="D911" s="258">
        <f>ROUND('(Tables)'!D445,0)</f>
        <v>0</v>
      </c>
      <c r="E911" s="258">
        <f>ROUND('(Tables)'!E445,0)</f>
        <v>0</v>
      </c>
      <c r="F911" s="258">
        <f>ROUND('(Tables)'!F445,0)</f>
        <v>0</v>
      </c>
      <c r="G911" s="258">
        <f>ROUND('(Tables)'!G445,0)</f>
        <v>0</v>
      </c>
      <c r="H911" s="258">
        <f>ROUND('(Tables)'!H445,0)</f>
        <v>0</v>
      </c>
      <c r="I911" s="258">
        <f>ROUND('(Tables)'!I445,0)</f>
        <v>0</v>
      </c>
      <c r="J911" s="258">
        <f>ROUND('(Tables)'!J445,0)</f>
        <v>0</v>
      </c>
      <c r="K911" s="258">
        <f>ROUND('(Tables)'!K445,0)</f>
        <v>0</v>
      </c>
      <c r="L911" s="258">
        <f>ROUND('(Tables)'!L445,0)</f>
        <v>0</v>
      </c>
      <c r="M911" s="258">
        <f>ROUND('(Tables)'!M445,0)</f>
        <v>0</v>
      </c>
      <c r="N911" s="258">
        <f>ROUND('(Tables)'!N445,0)</f>
        <v>0</v>
      </c>
      <c r="O911" s="258">
        <f>ROUND('(Tables)'!O445,0)</f>
        <v>0</v>
      </c>
      <c r="P911" s="258">
        <f>ROUND('(Tables)'!P445,0)</f>
        <v>0</v>
      </c>
      <c r="Q911" s="258">
        <f>ROUND('(Tables)'!Q445,0)</f>
        <v>0</v>
      </c>
      <c r="R911" s="258">
        <f>ROUND('(Tables)'!R445,0)</f>
        <v>0</v>
      </c>
      <c r="S911" s="291">
        <f>ROUND('(Tables)'!S445,0)</f>
        <v>0</v>
      </c>
    </row>
    <row r="912" spans="1:19" ht="12.75" customHeight="1" x14ac:dyDescent="0.2">
      <c r="A912" s="188" t="str">
        <f>"      "&amp;Labels!C316</f>
        <v xml:space="preserve">      Total</v>
      </c>
      <c r="B912" s="256">
        <f t="shared" ref="B912:S912" si="536">SUM(B910:B911)</f>
        <v>0</v>
      </c>
      <c r="C912" s="256">
        <f t="shared" si="536"/>
        <v>0</v>
      </c>
      <c r="D912" s="256">
        <f t="shared" si="536"/>
        <v>0</v>
      </c>
      <c r="E912" s="256">
        <f t="shared" si="536"/>
        <v>0</v>
      </c>
      <c r="F912" s="256">
        <f t="shared" si="536"/>
        <v>0</v>
      </c>
      <c r="G912" s="256">
        <f t="shared" si="536"/>
        <v>0</v>
      </c>
      <c r="H912" s="256">
        <f t="shared" si="536"/>
        <v>0</v>
      </c>
      <c r="I912" s="256">
        <f t="shared" si="536"/>
        <v>0</v>
      </c>
      <c r="J912" s="256">
        <f t="shared" si="536"/>
        <v>0</v>
      </c>
      <c r="K912" s="256">
        <f t="shared" si="536"/>
        <v>0</v>
      </c>
      <c r="L912" s="256">
        <f t="shared" si="536"/>
        <v>0</v>
      </c>
      <c r="M912" s="256">
        <f t="shared" si="536"/>
        <v>0</v>
      </c>
      <c r="N912" s="256">
        <f t="shared" si="536"/>
        <v>0</v>
      </c>
      <c r="O912" s="256">
        <f t="shared" si="536"/>
        <v>0</v>
      </c>
      <c r="P912" s="256">
        <f t="shared" si="536"/>
        <v>0</v>
      </c>
      <c r="Q912" s="256">
        <f t="shared" si="536"/>
        <v>0</v>
      </c>
      <c r="R912" s="256">
        <f t="shared" si="536"/>
        <v>0</v>
      </c>
      <c r="S912" s="290">
        <f t="shared" si="536"/>
        <v>0</v>
      </c>
    </row>
    <row r="913" spans="1:19" ht="12.75" customHeight="1" x14ac:dyDescent="0.2">
      <c r="A913" s="188" t="str">
        <f>"   "&amp;Labels!B382</f>
        <v xml:space="preserve">   Practice 2</v>
      </c>
      <c r="B913" s="256"/>
      <c r="C913" s="256"/>
      <c r="D913" s="256"/>
      <c r="E913" s="256"/>
      <c r="F913" s="256"/>
      <c r="G913" s="256"/>
      <c r="H913" s="256"/>
      <c r="I913" s="256"/>
      <c r="J913" s="256"/>
      <c r="K913" s="256"/>
      <c r="L913" s="256"/>
      <c r="M913" s="256"/>
      <c r="N913" s="256"/>
      <c r="O913" s="256"/>
      <c r="P913" s="256"/>
      <c r="Q913" s="256"/>
      <c r="R913" s="256"/>
      <c r="S913" s="290"/>
    </row>
    <row r="914" spans="1:19" ht="12.75" customHeight="1" x14ac:dyDescent="0.2">
      <c r="A914" s="198" t="str">
        <f>"      "&amp;Labels!B317</f>
        <v xml:space="preserve">      Channels 1</v>
      </c>
      <c r="B914" s="258">
        <f>ROUND('(Tables)'!B457,0)</f>
        <v>0</v>
      </c>
      <c r="C914" s="258">
        <f>ROUND('(Tables)'!C457,0)</f>
        <v>0</v>
      </c>
      <c r="D914" s="258">
        <f>ROUND('(Tables)'!D457,0)</f>
        <v>0</v>
      </c>
      <c r="E914" s="258">
        <f>ROUND('(Tables)'!E457,0)</f>
        <v>0</v>
      </c>
      <c r="F914" s="258">
        <f>ROUND('(Tables)'!F457,0)</f>
        <v>0</v>
      </c>
      <c r="G914" s="258">
        <f>ROUND('(Tables)'!G457,0)</f>
        <v>0</v>
      </c>
      <c r="H914" s="258">
        <f>ROUND('(Tables)'!H457,0)</f>
        <v>0</v>
      </c>
      <c r="I914" s="258">
        <f>ROUND('(Tables)'!I457,0)</f>
        <v>0</v>
      </c>
      <c r="J914" s="258">
        <f>ROUND('(Tables)'!J457,0)</f>
        <v>0</v>
      </c>
      <c r="K914" s="258">
        <f>ROUND('(Tables)'!K457,0)</f>
        <v>0</v>
      </c>
      <c r="L914" s="258">
        <f>ROUND('(Tables)'!L457,0)</f>
        <v>0</v>
      </c>
      <c r="M914" s="258">
        <f>ROUND('(Tables)'!M457,0)</f>
        <v>0</v>
      </c>
      <c r="N914" s="258">
        <f>ROUND('(Tables)'!N457,0)</f>
        <v>0</v>
      </c>
      <c r="O914" s="258">
        <f>ROUND('(Tables)'!O457,0)</f>
        <v>0</v>
      </c>
      <c r="P914" s="258">
        <f>ROUND('(Tables)'!P457,0)</f>
        <v>0</v>
      </c>
      <c r="Q914" s="258">
        <f>ROUND('(Tables)'!Q457,0)</f>
        <v>0</v>
      </c>
      <c r="R914" s="258">
        <f>ROUND('(Tables)'!R457,0)</f>
        <v>0</v>
      </c>
      <c r="S914" s="291">
        <f>ROUND('(Tables)'!S457,0)</f>
        <v>0</v>
      </c>
    </row>
    <row r="915" spans="1:19" ht="12.75" customHeight="1" x14ac:dyDescent="0.2">
      <c r="A915" s="198" t="str">
        <f>"      "&amp;Labels!B318</f>
        <v xml:space="preserve">      Channels 2</v>
      </c>
      <c r="B915" s="258">
        <f>ROUND('(Tables)'!B458,0)</f>
        <v>0</v>
      </c>
      <c r="C915" s="258">
        <f>ROUND('(Tables)'!C458,0)</f>
        <v>0</v>
      </c>
      <c r="D915" s="258">
        <f>ROUND('(Tables)'!D458,0)</f>
        <v>0</v>
      </c>
      <c r="E915" s="258">
        <f>ROUND('(Tables)'!E458,0)</f>
        <v>0</v>
      </c>
      <c r="F915" s="258">
        <f>ROUND('(Tables)'!F458,0)</f>
        <v>0</v>
      </c>
      <c r="G915" s="258">
        <f>ROUND('(Tables)'!G458,0)</f>
        <v>0</v>
      </c>
      <c r="H915" s="258">
        <f>ROUND('(Tables)'!H458,0)</f>
        <v>0</v>
      </c>
      <c r="I915" s="258">
        <f>ROUND('(Tables)'!I458,0)</f>
        <v>0</v>
      </c>
      <c r="J915" s="258">
        <f>ROUND('(Tables)'!J458,0)</f>
        <v>0</v>
      </c>
      <c r="K915" s="258">
        <f>ROUND('(Tables)'!K458,0)</f>
        <v>0</v>
      </c>
      <c r="L915" s="258">
        <f>ROUND('(Tables)'!L458,0)</f>
        <v>0</v>
      </c>
      <c r="M915" s="258">
        <f>ROUND('(Tables)'!M458,0)</f>
        <v>0</v>
      </c>
      <c r="N915" s="258">
        <f>ROUND('(Tables)'!N458,0)</f>
        <v>0</v>
      </c>
      <c r="O915" s="258">
        <f>ROUND('(Tables)'!O458,0)</f>
        <v>0</v>
      </c>
      <c r="P915" s="258">
        <f>ROUND('(Tables)'!P458,0)</f>
        <v>0</v>
      </c>
      <c r="Q915" s="258">
        <f>ROUND('(Tables)'!Q458,0)</f>
        <v>0</v>
      </c>
      <c r="R915" s="258">
        <f>ROUND('(Tables)'!R458,0)</f>
        <v>0</v>
      </c>
      <c r="S915" s="291">
        <f>ROUND('(Tables)'!S458,0)</f>
        <v>0</v>
      </c>
    </row>
    <row r="916" spans="1:19" ht="12.75" customHeight="1" x14ac:dyDescent="0.2">
      <c r="A916" s="188" t="str">
        <f>"      "&amp;Labels!C316</f>
        <v xml:space="preserve">      Total</v>
      </c>
      <c r="B916" s="256">
        <f t="shared" ref="B916:S916" si="537">SUM(B914:B915)</f>
        <v>0</v>
      </c>
      <c r="C916" s="256">
        <f t="shared" si="537"/>
        <v>0</v>
      </c>
      <c r="D916" s="256">
        <f t="shared" si="537"/>
        <v>0</v>
      </c>
      <c r="E916" s="256">
        <f t="shared" si="537"/>
        <v>0</v>
      </c>
      <c r="F916" s="256">
        <f t="shared" si="537"/>
        <v>0</v>
      </c>
      <c r="G916" s="256">
        <f t="shared" si="537"/>
        <v>0</v>
      </c>
      <c r="H916" s="256">
        <f t="shared" si="537"/>
        <v>0</v>
      </c>
      <c r="I916" s="256">
        <f t="shared" si="537"/>
        <v>0</v>
      </c>
      <c r="J916" s="256">
        <f t="shared" si="537"/>
        <v>0</v>
      </c>
      <c r="K916" s="256">
        <f t="shared" si="537"/>
        <v>0</v>
      </c>
      <c r="L916" s="256">
        <f t="shared" si="537"/>
        <v>0</v>
      </c>
      <c r="M916" s="256">
        <f t="shared" si="537"/>
        <v>0</v>
      </c>
      <c r="N916" s="256">
        <f t="shared" si="537"/>
        <v>0</v>
      </c>
      <c r="O916" s="256">
        <f t="shared" si="537"/>
        <v>0</v>
      </c>
      <c r="P916" s="256">
        <f t="shared" si="537"/>
        <v>0</v>
      </c>
      <c r="Q916" s="256">
        <f t="shared" si="537"/>
        <v>0</v>
      </c>
      <c r="R916" s="256">
        <f t="shared" si="537"/>
        <v>0</v>
      </c>
      <c r="S916" s="290">
        <f t="shared" si="537"/>
        <v>0</v>
      </c>
    </row>
    <row r="917" spans="1:19" ht="12.75" customHeight="1" x14ac:dyDescent="0.2">
      <c r="A917" s="191" t="str">
        <f>"   "&amp;Labels!C380</f>
        <v xml:space="preserve">   Total</v>
      </c>
      <c r="B917" s="260">
        <f t="shared" ref="B917:S917" si="538">SUM(B912,B916)</f>
        <v>0</v>
      </c>
      <c r="C917" s="260">
        <f t="shared" si="538"/>
        <v>0</v>
      </c>
      <c r="D917" s="260">
        <f t="shared" si="538"/>
        <v>0</v>
      </c>
      <c r="E917" s="260">
        <f t="shared" si="538"/>
        <v>0</v>
      </c>
      <c r="F917" s="260">
        <f t="shared" si="538"/>
        <v>0</v>
      </c>
      <c r="G917" s="260">
        <f t="shared" si="538"/>
        <v>0</v>
      </c>
      <c r="H917" s="260">
        <f t="shared" si="538"/>
        <v>0</v>
      </c>
      <c r="I917" s="260">
        <f t="shared" si="538"/>
        <v>0</v>
      </c>
      <c r="J917" s="260">
        <f t="shared" si="538"/>
        <v>0</v>
      </c>
      <c r="K917" s="260">
        <f t="shared" si="538"/>
        <v>0</v>
      </c>
      <c r="L917" s="260">
        <f t="shared" si="538"/>
        <v>0</v>
      </c>
      <c r="M917" s="260">
        <f t="shared" si="538"/>
        <v>0</v>
      </c>
      <c r="N917" s="260">
        <f t="shared" si="538"/>
        <v>0</v>
      </c>
      <c r="O917" s="260">
        <f t="shared" si="538"/>
        <v>0</v>
      </c>
      <c r="P917" s="260">
        <f t="shared" si="538"/>
        <v>0</v>
      </c>
      <c r="Q917" s="260">
        <f t="shared" si="538"/>
        <v>0</v>
      </c>
      <c r="R917" s="260">
        <f t="shared" si="538"/>
        <v>0</v>
      </c>
      <c r="S917" s="289">
        <f t="shared" si="538"/>
        <v>0</v>
      </c>
    </row>
    <row r="918" spans="1:19" ht="12.75" customHeight="1" x14ac:dyDescent="0.2">
      <c r="A918" s="198" t="str">
        <f>"      "&amp;Labels!B317</f>
        <v xml:space="preserve">      Channels 1</v>
      </c>
      <c r="B918" s="258">
        <f t="shared" ref="B918:S918" si="539">SUM(B910,B914)</f>
        <v>0</v>
      </c>
      <c r="C918" s="258">
        <f t="shared" si="539"/>
        <v>0</v>
      </c>
      <c r="D918" s="258">
        <f t="shared" si="539"/>
        <v>0</v>
      </c>
      <c r="E918" s="258">
        <f t="shared" si="539"/>
        <v>0</v>
      </c>
      <c r="F918" s="258">
        <f t="shared" si="539"/>
        <v>0</v>
      </c>
      <c r="G918" s="258">
        <f t="shared" si="539"/>
        <v>0</v>
      </c>
      <c r="H918" s="258">
        <f t="shared" si="539"/>
        <v>0</v>
      </c>
      <c r="I918" s="258">
        <f t="shared" si="539"/>
        <v>0</v>
      </c>
      <c r="J918" s="258">
        <f t="shared" si="539"/>
        <v>0</v>
      </c>
      <c r="K918" s="258">
        <f t="shared" si="539"/>
        <v>0</v>
      </c>
      <c r="L918" s="258">
        <f t="shared" si="539"/>
        <v>0</v>
      </c>
      <c r="M918" s="258">
        <f t="shared" si="539"/>
        <v>0</v>
      </c>
      <c r="N918" s="258">
        <f t="shared" si="539"/>
        <v>0</v>
      </c>
      <c r="O918" s="258">
        <f t="shared" si="539"/>
        <v>0</v>
      </c>
      <c r="P918" s="258">
        <f t="shared" si="539"/>
        <v>0</v>
      </c>
      <c r="Q918" s="258">
        <f t="shared" si="539"/>
        <v>0</v>
      </c>
      <c r="R918" s="258">
        <f t="shared" si="539"/>
        <v>0</v>
      </c>
      <c r="S918" s="291">
        <f t="shared" si="539"/>
        <v>0</v>
      </c>
    </row>
    <row r="919" spans="1:19" ht="12.75" customHeight="1" x14ac:dyDescent="0.2">
      <c r="A919" s="198" t="str">
        <f>"      "&amp;Labels!B318</f>
        <v xml:space="preserve">      Channels 2</v>
      </c>
      <c r="B919" s="258">
        <f t="shared" ref="B919:S919" si="540">SUM(B911,B915)</f>
        <v>0</v>
      </c>
      <c r="C919" s="258">
        <f t="shared" si="540"/>
        <v>0</v>
      </c>
      <c r="D919" s="258">
        <f t="shared" si="540"/>
        <v>0</v>
      </c>
      <c r="E919" s="258">
        <f t="shared" si="540"/>
        <v>0</v>
      </c>
      <c r="F919" s="258">
        <f t="shared" si="540"/>
        <v>0</v>
      </c>
      <c r="G919" s="258">
        <f t="shared" si="540"/>
        <v>0</v>
      </c>
      <c r="H919" s="258">
        <f t="shared" si="540"/>
        <v>0</v>
      </c>
      <c r="I919" s="258">
        <f t="shared" si="540"/>
        <v>0</v>
      </c>
      <c r="J919" s="258">
        <f t="shared" si="540"/>
        <v>0</v>
      </c>
      <c r="K919" s="258">
        <f t="shared" si="540"/>
        <v>0</v>
      </c>
      <c r="L919" s="258">
        <f t="shared" si="540"/>
        <v>0</v>
      </c>
      <c r="M919" s="258">
        <f t="shared" si="540"/>
        <v>0</v>
      </c>
      <c r="N919" s="258">
        <f t="shared" si="540"/>
        <v>0</v>
      </c>
      <c r="O919" s="258">
        <f t="shared" si="540"/>
        <v>0</v>
      </c>
      <c r="P919" s="258">
        <f t="shared" si="540"/>
        <v>0</v>
      </c>
      <c r="Q919" s="258">
        <f t="shared" si="540"/>
        <v>0</v>
      </c>
      <c r="R919" s="258">
        <f t="shared" si="540"/>
        <v>0</v>
      </c>
      <c r="S919" s="291">
        <f t="shared" si="540"/>
        <v>0</v>
      </c>
    </row>
    <row r="920" spans="1:19" ht="12.75" customHeight="1" x14ac:dyDescent="0.2">
      <c r="A920" s="188" t="str">
        <f>"      "&amp;Labels!C316</f>
        <v xml:space="preserve">      Total</v>
      </c>
      <c r="B920" s="256">
        <f t="shared" ref="B920:S920" si="541">SUM(B912,B916)</f>
        <v>0</v>
      </c>
      <c r="C920" s="256">
        <f t="shared" si="541"/>
        <v>0</v>
      </c>
      <c r="D920" s="256">
        <f t="shared" si="541"/>
        <v>0</v>
      </c>
      <c r="E920" s="256">
        <f t="shared" si="541"/>
        <v>0</v>
      </c>
      <c r="F920" s="256">
        <f t="shared" si="541"/>
        <v>0</v>
      </c>
      <c r="G920" s="256">
        <f t="shared" si="541"/>
        <v>0</v>
      </c>
      <c r="H920" s="256">
        <f t="shared" si="541"/>
        <v>0</v>
      </c>
      <c r="I920" s="256">
        <f t="shared" si="541"/>
        <v>0</v>
      </c>
      <c r="J920" s="256">
        <f t="shared" si="541"/>
        <v>0</v>
      </c>
      <c r="K920" s="256">
        <f t="shared" si="541"/>
        <v>0</v>
      </c>
      <c r="L920" s="256">
        <f t="shared" si="541"/>
        <v>0</v>
      </c>
      <c r="M920" s="256">
        <f t="shared" si="541"/>
        <v>0</v>
      </c>
      <c r="N920" s="256">
        <f t="shared" si="541"/>
        <v>0</v>
      </c>
      <c r="O920" s="256">
        <f t="shared" si="541"/>
        <v>0</v>
      </c>
      <c r="P920" s="256">
        <f t="shared" si="541"/>
        <v>0</v>
      </c>
      <c r="Q920" s="256">
        <f t="shared" si="541"/>
        <v>0</v>
      </c>
      <c r="R920" s="256">
        <f t="shared" si="541"/>
        <v>0</v>
      </c>
      <c r="S920" s="290">
        <f t="shared" si="541"/>
        <v>0</v>
      </c>
    </row>
    <row r="921" spans="1:19" ht="12.75" customHeight="1" x14ac:dyDescent="0.2">
      <c r="A921" s="191" t="str">
        <f>Labels!B386</f>
        <v>Prof Level 2</v>
      </c>
      <c r="B921" s="260"/>
      <c r="C921" s="260"/>
      <c r="D921" s="260"/>
      <c r="E921" s="260"/>
      <c r="F921" s="260"/>
      <c r="G921" s="260"/>
      <c r="H921" s="260"/>
      <c r="I921" s="260"/>
      <c r="J921" s="260"/>
      <c r="K921" s="260"/>
      <c r="L921" s="260"/>
      <c r="M921" s="260"/>
      <c r="N921" s="260"/>
      <c r="O921" s="260"/>
      <c r="P921" s="260"/>
      <c r="Q921" s="260"/>
      <c r="R921" s="260"/>
      <c r="S921" s="289"/>
    </row>
    <row r="922" spans="1:19" ht="12.75" customHeight="1" x14ac:dyDescent="0.2">
      <c r="A922" s="188" t="str">
        <f>"   "&amp;Labels!B381</f>
        <v xml:space="preserve">   Practice 1</v>
      </c>
      <c r="B922" s="256"/>
      <c r="C922" s="256"/>
      <c r="D922" s="256"/>
      <c r="E922" s="256"/>
      <c r="F922" s="256"/>
      <c r="G922" s="256"/>
      <c r="H922" s="256"/>
      <c r="I922" s="256"/>
      <c r="J922" s="256"/>
      <c r="K922" s="256"/>
      <c r="L922" s="256"/>
      <c r="M922" s="256"/>
      <c r="N922" s="256"/>
      <c r="O922" s="256"/>
      <c r="P922" s="256"/>
      <c r="Q922" s="256"/>
      <c r="R922" s="256"/>
      <c r="S922" s="290"/>
    </row>
    <row r="923" spans="1:19" ht="12.75" customHeight="1" x14ac:dyDescent="0.2">
      <c r="A923" s="198" t="str">
        <f>"      "&amp;Labels!B317</f>
        <v xml:space="preserve">      Channels 1</v>
      </c>
      <c r="B923" s="258">
        <f>ROUND('(Tables)'!B448,0)</f>
        <v>0</v>
      </c>
      <c r="C923" s="258">
        <f>ROUND('(Tables)'!C448,0)</f>
        <v>0</v>
      </c>
      <c r="D923" s="258">
        <f>ROUND('(Tables)'!D448,0)</f>
        <v>0</v>
      </c>
      <c r="E923" s="258">
        <f>ROUND('(Tables)'!E448,0)</f>
        <v>0</v>
      </c>
      <c r="F923" s="258">
        <f>ROUND('(Tables)'!F448,0)</f>
        <v>0</v>
      </c>
      <c r="G923" s="258">
        <f>ROUND('(Tables)'!G448,0)</f>
        <v>0</v>
      </c>
      <c r="H923" s="258">
        <f>ROUND('(Tables)'!H448,0)</f>
        <v>0</v>
      </c>
      <c r="I923" s="258">
        <f>ROUND('(Tables)'!I448,0)</f>
        <v>0</v>
      </c>
      <c r="J923" s="258">
        <f>ROUND('(Tables)'!J448,0)</f>
        <v>0</v>
      </c>
      <c r="K923" s="258">
        <f>ROUND('(Tables)'!K448,0)</f>
        <v>0</v>
      </c>
      <c r="L923" s="258">
        <f>ROUND('(Tables)'!L448,0)</f>
        <v>0</v>
      </c>
      <c r="M923" s="258">
        <f>ROUND('(Tables)'!M448,0)</f>
        <v>0</v>
      </c>
      <c r="N923" s="258">
        <f>ROUND('(Tables)'!N448,0)</f>
        <v>0</v>
      </c>
      <c r="O923" s="258">
        <f>ROUND('(Tables)'!O448,0)</f>
        <v>0</v>
      </c>
      <c r="P923" s="258">
        <f>ROUND('(Tables)'!P448,0)</f>
        <v>0</v>
      </c>
      <c r="Q923" s="258">
        <f>ROUND('(Tables)'!Q448,0)</f>
        <v>0</v>
      </c>
      <c r="R923" s="258">
        <f>ROUND('(Tables)'!R448,0)</f>
        <v>0</v>
      </c>
      <c r="S923" s="291">
        <f>ROUND('(Tables)'!S448,0)</f>
        <v>0</v>
      </c>
    </row>
    <row r="924" spans="1:19" ht="12.75" customHeight="1" x14ac:dyDescent="0.2">
      <c r="A924" s="198" t="str">
        <f>"      "&amp;Labels!B318</f>
        <v xml:space="preserve">      Channels 2</v>
      </c>
      <c r="B924" s="258">
        <f>ROUND('(Tables)'!B449,0)</f>
        <v>0</v>
      </c>
      <c r="C924" s="258">
        <f>ROUND('(Tables)'!C449,0)</f>
        <v>0</v>
      </c>
      <c r="D924" s="258">
        <f>ROUND('(Tables)'!D449,0)</f>
        <v>0</v>
      </c>
      <c r="E924" s="258">
        <f>ROUND('(Tables)'!E449,0)</f>
        <v>0</v>
      </c>
      <c r="F924" s="258">
        <f>ROUND('(Tables)'!F449,0)</f>
        <v>0</v>
      </c>
      <c r="G924" s="258">
        <f>ROUND('(Tables)'!G449,0)</f>
        <v>0</v>
      </c>
      <c r="H924" s="258">
        <f>ROUND('(Tables)'!H449,0)</f>
        <v>0</v>
      </c>
      <c r="I924" s="258">
        <f>ROUND('(Tables)'!I449,0)</f>
        <v>0</v>
      </c>
      <c r="J924" s="258">
        <f>ROUND('(Tables)'!J449,0)</f>
        <v>0</v>
      </c>
      <c r="K924" s="258">
        <f>ROUND('(Tables)'!K449,0)</f>
        <v>0</v>
      </c>
      <c r="L924" s="258">
        <f>ROUND('(Tables)'!L449,0)</f>
        <v>0</v>
      </c>
      <c r="M924" s="258">
        <f>ROUND('(Tables)'!M449,0)</f>
        <v>0</v>
      </c>
      <c r="N924" s="258">
        <f>ROUND('(Tables)'!N449,0)</f>
        <v>0</v>
      </c>
      <c r="O924" s="258">
        <f>ROUND('(Tables)'!O449,0)</f>
        <v>0</v>
      </c>
      <c r="P924" s="258">
        <f>ROUND('(Tables)'!P449,0)</f>
        <v>0</v>
      </c>
      <c r="Q924" s="258">
        <f>ROUND('(Tables)'!Q449,0)</f>
        <v>0</v>
      </c>
      <c r="R924" s="258">
        <f>ROUND('(Tables)'!R449,0)</f>
        <v>0</v>
      </c>
      <c r="S924" s="291">
        <f>ROUND('(Tables)'!S449,0)</f>
        <v>0</v>
      </c>
    </row>
    <row r="925" spans="1:19" ht="12.75" customHeight="1" x14ac:dyDescent="0.2">
      <c r="A925" s="188" t="str">
        <f>"      "&amp;Labels!C316</f>
        <v xml:space="preserve">      Total</v>
      </c>
      <c r="B925" s="256">
        <f t="shared" ref="B925:S925" si="542">SUM(B923:B924)</f>
        <v>0</v>
      </c>
      <c r="C925" s="256">
        <f t="shared" si="542"/>
        <v>0</v>
      </c>
      <c r="D925" s="256">
        <f t="shared" si="542"/>
        <v>0</v>
      </c>
      <c r="E925" s="256">
        <f t="shared" si="542"/>
        <v>0</v>
      </c>
      <c r="F925" s="256">
        <f t="shared" si="542"/>
        <v>0</v>
      </c>
      <c r="G925" s="256">
        <f t="shared" si="542"/>
        <v>0</v>
      </c>
      <c r="H925" s="256">
        <f t="shared" si="542"/>
        <v>0</v>
      </c>
      <c r="I925" s="256">
        <f t="shared" si="542"/>
        <v>0</v>
      </c>
      <c r="J925" s="256">
        <f t="shared" si="542"/>
        <v>0</v>
      </c>
      <c r="K925" s="256">
        <f t="shared" si="542"/>
        <v>0</v>
      </c>
      <c r="L925" s="256">
        <f t="shared" si="542"/>
        <v>0</v>
      </c>
      <c r="M925" s="256">
        <f t="shared" si="542"/>
        <v>0</v>
      </c>
      <c r="N925" s="256">
        <f t="shared" si="542"/>
        <v>0</v>
      </c>
      <c r="O925" s="256">
        <f t="shared" si="542"/>
        <v>0</v>
      </c>
      <c r="P925" s="256">
        <f t="shared" si="542"/>
        <v>0</v>
      </c>
      <c r="Q925" s="256">
        <f t="shared" si="542"/>
        <v>0</v>
      </c>
      <c r="R925" s="256">
        <f t="shared" si="542"/>
        <v>0</v>
      </c>
      <c r="S925" s="290">
        <f t="shared" si="542"/>
        <v>0</v>
      </c>
    </row>
    <row r="926" spans="1:19" ht="12.75" customHeight="1" x14ac:dyDescent="0.2">
      <c r="A926" s="188" t="str">
        <f>"   "&amp;Labels!B382</f>
        <v xml:space="preserve">   Practice 2</v>
      </c>
      <c r="B926" s="256"/>
      <c r="C926" s="256"/>
      <c r="D926" s="256"/>
      <c r="E926" s="256"/>
      <c r="F926" s="256"/>
      <c r="G926" s="256"/>
      <c r="H926" s="256"/>
      <c r="I926" s="256"/>
      <c r="J926" s="256"/>
      <c r="K926" s="256"/>
      <c r="L926" s="256"/>
      <c r="M926" s="256"/>
      <c r="N926" s="256"/>
      <c r="O926" s="256"/>
      <c r="P926" s="256"/>
      <c r="Q926" s="256"/>
      <c r="R926" s="256"/>
      <c r="S926" s="290"/>
    </row>
    <row r="927" spans="1:19" ht="12.75" customHeight="1" x14ac:dyDescent="0.2">
      <c r="A927" s="198" t="str">
        <f>"      "&amp;Labels!B317</f>
        <v xml:space="preserve">      Channels 1</v>
      </c>
      <c r="B927" s="258">
        <f>ROUND('(Tables)'!B461,0)</f>
        <v>0</v>
      </c>
      <c r="C927" s="258">
        <f>ROUND('(Tables)'!C461,0)</f>
        <v>0</v>
      </c>
      <c r="D927" s="258">
        <f>ROUND('(Tables)'!D461,0)</f>
        <v>0</v>
      </c>
      <c r="E927" s="258">
        <f>ROUND('(Tables)'!E461,0)</f>
        <v>0</v>
      </c>
      <c r="F927" s="258">
        <f>ROUND('(Tables)'!F461,0)</f>
        <v>0</v>
      </c>
      <c r="G927" s="258">
        <f>ROUND('(Tables)'!G461,0)</f>
        <v>0</v>
      </c>
      <c r="H927" s="258">
        <f>ROUND('(Tables)'!H461,0)</f>
        <v>0</v>
      </c>
      <c r="I927" s="258">
        <f>ROUND('(Tables)'!I461,0)</f>
        <v>0</v>
      </c>
      <c r="J927" s="258">
        <f>ROUND('(Tables)'!J461,0)</f>
        <v>0</v>
      </c>
      <c r="K927" s="258">
        <f>ROUND('(Tables)'!K461,0)</f>
        <v>0</v>
      </c>
      <c r="L927" s="258">
        <f>ROUND('(Tables)'!L461,0)</f>
        <v>0</v>
      </c>
      <c r="M927" s="258">
        <f>ROUND('(Tables)'!M461,0)</f>
        <v>0</v>
      </c>
      <c r="N927" s="258">
        <f>ROUND('(Tables)'!N461,0)</f>
        <v>0</v>
      </c>
      <c r="O927" s="258">
        <f>ROUND('(Tables)'!O461,0)</f>
        <v>0</v>
      </c>
      <c r="P927" s="258">
        <f>ROUND('(Tables)'!P461,0)</f>
        <v>0</v>
      </c>
      <c r="Q927" s="258">
        <f>ROUND('(Tables)'!Q461,0)</f>
        <v>0</v>
      </c>
      <c r="R927" s="258">
        <f>ROUND('(Tables)'!R461,0)</f>
        <v>0</v>
      </c>
      <c r="S927" s="291">
        <f>ROUND('(Tables)'!S461,0)</f>
        <v>0</v>
      </c>
    </row>
    <row r="928" spans="1:19" ht="12.75" customHeight="1" x14ac:dyDescent="0.2">
      <c r="A928" s="198" t="str">
        <f>"      "&amp;Labels!B318</f>
        <v xml:space="preserve">      Channels 2</v>
      </c>
      <c r="B928" s="258">
        <f>ROUND('(Tables)'!B462,0)</f>
        <v>0</v>
      </c>
      <c r="C928" s="258">
        <f>ROUND('(Tables)'!C462,0)</f>
        <v>0</v>
      </c>
      <c r="D928" s="258">
        <f>ROUND('(Tables)'!D462,0)</f>
        <v>0</v>
      </c>
      <c r="E928" s="258">
        <f>ROUND('(Tables)'!E462,0)</f>
        <v>0</v>
      </c>
      <c r="F928" s="258">
        <f>ROUND('(Tables)'!F462,0)</f>
        <v>0</v>
      </c>
      <c r="G928" s="258">
        <f>ROUND('(Tables)'!G462,0)</f>
        <v>0</v>
      </c>
      <c r="H928" s="258">
        <f>ROUND('(Tables)'!H462,0)</f>
        <v>0</v>
      </c>
      <c r="I928" s="258">
        <f>ROUND('(Tables)'!I462,0)</f>
        <v>0</v>
      </c>
      <c r="J928" s="258">
        <f>ROUND('(Tables)'!J462,0)</f>
        <v>0</v>
      </c>
      <c r="K928" s="258">
        <f>ROUND('(Tables)'!K462,0)</f>
        <v>0</v>
      </c>
      <c r="L928" s="258">
        <f>ROUND('(Tables)'!L462,0)</f>
        <v>0</v>
      </c>
      <c r="M928" s="258">
        <f>ROUND('(Tables)'!M462,0)</f>
        <v>0</v>
      </c>
      <c r="N928" s="258">
        <f>ROUND('(Tables)'!N462,0)</f>
        <v>0</v>
      </c>
      <c r="O928" s="258">
        <f>ROUND('(Tables)'!O462,0)</f>
        <v>0</v>
      </c>
      <c r="P928" s="258">
        <f>ROUND('(Tables)'!P462,0)</f>
        <v>0</v>
      </c>
      <c r="Q928" s="258">
        <f>ROUND('(Tables)'!Q462,0)</f>
        <v>0</v>
      </c>
      <c r="R928" s="258">
        <f>ROUND('(Tables)'!R462,0)</f>
        <v>0</v>
      </c>
      <c r="S928" s="291">
        <f>ROUND('(Tables)'!S462,0)</f>
        <v>0</v>
      </c>
    </row>
    <row r="929" spans="1:19" ht="12.75" customHeight="1" x14ac:dyDescent="0.2">
      <c r="A929" s="188" t="str">
        <f>"      "&amp;Labels!C316</f>
        <v xml:space="preserve">      Total</v>
      </c>
      <c r="B929" s="256">
        <f t="shared" ref="B929:S929" si="543">SUM(B927:B928)</f>
        <v>0</v>
      </c>
      <c r="C929" s="256">
        <f t="shared" si="543"/>
        <v>0</v>
      </c>
      <c r="D929" s="256">
        <f t="shared" si="543"/>
        <v>0</v>
      </c>
      <c r="E929" s="256">
        <f t="shared" si="543"/>
        <v>0</v>
      </c>
      <c r="F929" s="256">
        <f t="shared" si="543"/>
        <v>0</v>
      </c>
      <c r="G929" s="256">
        <f t="shared" si="543"/>
        <v>0</v>
      </c>
      <c r="H929" s="256">
        <f t="shared" si="543"/>
        <v>0</v>
      </c>
      <c r="I929" s="256">
        <f t="shared" si="543"/>
        <v>0</v>
      </c>
      <c r="J929" s="256">
        <f t="shared" si="543"/>
        <v>0</v>
      </c>
      <c r="K929" s="256">
        <f t="shared" si="543"/>
        <v>0</v>
      </c>
      <c r="L929" s="256">
        <f t="shared" si="543"/>
        <v>0</v>
      </c>
      <c r="M929" s="256">
        <f t="shared" si="543"/>
        <v>0</v>
      </c>
      <c r="N929" s="256">
        <f t="shared" si="543"/>
        <v>0</v>
      </c>
      <c r="O929" s="256">
        <f t="shared" si="543"/>
        <v>0</v>
      </c>
      <c r="P929" s="256">
        <f t="shared" si="543"/>
        <v>0</v>
      </c>
      <c r="Q929" s="256">
        <f t="shared" si="543"/>
        <v>0</v>
      </c>
      <c r="R929" s="256">
        <f t="shared" si="543"/>
        <v>0</v>
      </c>
      <c r="S929" s="290">
        <f t="shared" si="543"/>
        <v>0</v>
      </c>
    </row>
    <row r="930" spans="1:19" ht="12.75" customHeight="1" x14ac:dyDescent="0.2">
      <c r="A930" s="191" t="str">
        <f>"   "&amp;Labels!C380</f>
        <v xml:space="preserve">   Total</v>
      </c>
      <c r="B930" s="260">
        <f t="shared" ref="B930:S930" si="544">SUM(B925,B929)</f>
        <v>0</v>
      </c>
      <c r="C930" s="260">
        <f t="shared" si="544"/>
        <v>0</v>
      </c>
      <c r="D930" s="260">
        <f t="shared" si="544"/>
        <v>0</v>
      </c>
      <c r="E930" s="260">
        <f t="shared" si="544"/>
        <v>0</v>
      </c>
      <c r="F930" s="260">
        <f t="shared" si="544"/>
        <v>0</v>
      </c>
      <c r="G930" s="260">
        <f t="shared" si="544"/>
        <v>0</v>
      </c>
      <c r="H930" s="260">
        <f t="shared" si="544"/>
        <v>0</v>
      </c>
      <c r="I930" s="260">
        <f t="shared" si="544"/>
        <v>0</v>
      </c>
      <c r="J930" s="260">
        <f t="shared" si="544"/>
        <v>0</v>
      </c>
      <c r="K930" s="260">
        <f t="shared" si="544"/>
        <v>0</v>
      </c>
      <c r="L930" s="260">
        <f t="shared" si="544"/>
        <v>0</v>
      </c>
      <c r="M930" s="260">
        <f t="shared" si="544"/>
        <v>0</v>
      </c>
      <c r="N930" s="260">
        <f t="shared" si="544"/>
        <v>0</v>
      </c>
      <c r="O930" s="260">
        <f t="shared" si="544"/>
        <v>0</v>
      </c>
      <c r="P930" s="260">
        <f t="shared" si="544"/>
        <v>0</v>
      </c>
      <c r="Q930" s="260">
        <f t="shared" si="544"/>
        <v>0</v>
      </c>
      <c r="R930" s="260">
        <f t="shared" si="544"/>
        <v>0</v>
      </c>
      <c r="S930" s="289">
        <f t="shared" si="544"/>
        <v>0</v>
      </c>
    </row>
    <row r="931" spans="1:19" ht="12.75" customHeight="1" x14ac:dyDescent="0.2">
      <c r="A931" s="198" t="str">
        <f>"      "&amp;Labels!B317</f>
        <v xml:space="preserve">      Channels 1</v>
      </c>
      <c r="B931" s="258">
        <f t="shared" ref="B931:S931" si="545">SUM(B923,B927)</f>
        <v>0</v>
      </c>
      <c r="C931" s="258">
        <f t="shared" si="545"/>
        <v>0</v>
      </c>
      <c r="D931" s="258">
        <f t="shared" si="545"/>
        <v>0</v>
      </c>
      <c r="E931" s="258">
        <f t="shared" si="545"/>
        <v>0</v>
      </c>
      <c r="F931" s="258">
        <f t="shared" si="545"/>
        <v>0</v>
      </c>
      <c r="G931" s="258">
        <f t="shared" si="545"/>
        <v>0</v>
      </c>
      <c r="H931" s="258">
        <f t="shared" si="545"/>
        <v>0</v>
      </c>
      <c r="I931" s="258">
        <f t="shared" si="545"/>
        <v>0</v>
      </c>
      <c r="J931" s="258">
        <f t="shared" si="545"/>
        <v>0</v>
      </c>
      <c r="K931" s="258">
        <f t="shared" si="545"/>
        <v>0</v>
      </c>
      <c r="L931" s="258">
        <f t="shared" si="545"/>
        <v>0</v>
      </c>
      <c r="M931" s="258">
        <f t="shared" si="545"/>
        <v>0</v>
      </c>
      <c r="N931" s="258">
        <f t="shared" si="545"/>
        <v>0</v>
      </c>
      <c r="O931" s="258">
        <f t="shared" si="545"/>
        <v>0</v>
      </c>
      <c r="P931" s="258">
        <f t="shared" si="545"/>
        <v>0</v>
      </c>
      <c r="Q931" s="258">
        <f t="shared" si="545"/>
        <v>0</v>
      </c>
      <c r="R931" s="258">
        <f t="shared" si="545"/>
        <v>0</v>
      </c>
      <c r="S931" s="291">
        <f t="shared" si="545"/>
        <v>0</v>
      </c>
    </row>
    <row r="932" spans="1:19" ht="12.75" customHeight="1" x14ac:dyDescent="0.2">
      <c r="A932" s="198" t="str">
        <f>"      "&amp;Labels!B318</f>
        <v xml:space="preserve">      Channels 2</v>
      </c>
      <c r="B932" s="258">
        <f t="shared" ref="B932:S932" si="546">SUM(B924,B928)</f>
        <v>0</v>
      </c>
      <c r="C932" s="258">
        <f t="shared" si="546"/>
        <v>0</v>
      </c>
      <c r="D932" s="258">
        <f t="shared" si="546"/>
        <v>0</v>
      </c>
      <c r="E932" s="258">
        <f t="shared" si="546"/>
        <v>0</v>
      </c>
      <c r="F932" s="258">
        <f t="shared" si="546"/>
        <v>0</v>
      </c>
      <c r="G932" s="258">
        <f t="shared" si="546"/>
        <v>0</v>
      </c>
      <c r="H932" s="258">
        <f t="shared" si="546"/>
        <v>0</v>
      </c>
      <c r="I932" s="258">
        <f t="shared" si="546"/>
        <v>0</v>
      </c>
      <c r="J932" s="258">
        <f t="shared" si="546"/>
        <v>0</v>
      </c>
      <c r="K932" s="258">
        <f t="shared" si="546"/>
        <v>0</v>
      </c>
      <c r="L932" s="258">
        <f t="shared" si="546"/>
        <v>0</v>
      </c>
      <c r="M932" s="258">
        <f t="shared" si="546"/>
        <v>0</v>
      </c>
      <c r="N932" s="258">
        <f t="shared" si="546"/>
        <v>0</v>
      </c>
      <c r="O932" s="258">
        <f t="shared" si="546"/>
        <v>0</v>
      </c>
      <c r="P932" s="258">
        <f t="shared" si="546"/>
        <v>0</v>
      </c>
      <c r="Q932" s="258">
        <f t="shared" si="546"/>
        <v>0</v>
      </c>
      <c r="R932" s="258">
        <f t="shared" si="546"/>
        <v>0</v>
      </c>
      <c r="S932" s="291">
        <f t="shared" si="546"/>
        <v>0</v>
      </c>
    </row>
    <row r="933" spans="1:19" ht="12.75" customHeight="1" x14ac:dyDescent="0.2">
      <c r="A933" s="188" t="str">
        <f>"      "&amp;Labels!C316</f>
        <v xml:space="preserve">      Total</v>
      </c>
      <c r="B933" s="256">
        <f t="shared" ref="B933:S933" si="547">SUM(B925,B929)</f>
        <v>0</v>
      </c>
      <c r="C933" s="256">
        <f t="shared" si="547"/>
        <v>0</v>
      </c>
      <c r="D933" s="256">
        <f t="shared" si="547"/>
        <v>0</v>
      </c>
      <c r="E933" s="256">
        <f t="shared" si="547"/>
        <v>0</v>
      </c>
      <c r="F933" s="256">
        <f t="shared" si="547"/>
        <v>0</v>
      </c>
      <c r="G933" s="256">
        <f t="shared" si="547"/>
        <v>0</v>
      </c>
      <c r="H933" s="256">
        <f t="shared" si="547"/>
        <v>0</v>
      </c>
      <c r="I933" s="256">
        <f t="shared" si="547"/>
        <v>0</v>
      </c>
      <c r="J933" s="256">
        <f t="shared" si="547"/>
        <v>0</v>
      </c>
      <c r="K933" s="256">
        <f t="shared" si="547"/>
        <v>0</v>
      </c>
      <c r="L933" s="256">
        <f t="shared" si="547"/>
        <v>0</v>
      </c>
      <c r="M933" s="256">
        <f t="shared" si="547"/>
        <v>0</v>
      </c>
      <c r="N933" s="256">
        <f t="shared" si="547"/>
        <v>0</v>
      </c>
      <c r="O933" s="256">
        <f t="shared" si="547"/>
        <v>0</v>
      </c>
      <c r="P933" s="256">
        <f t="shared" si="547"/>
        <v>0</v>
      </c>
      <c r="Q933" s="256">
        <f t="shared" si="547"/>
        <v>0</v>
      </c>
      <c r="R933" s="256">
        <f t="shared" si="547"/>
        <v>0</v>
      </c>
      <c r="S933" s="290">
        <f t="shared" si="547"/>
        <v>0</v>
      </c>
    </row>
    <row r="934" spans="1:19" ht="12.75" customHeight="1" x14ac:dyDescent="0.2">
      <c r="A934" s="97" t="str">
        <f>Labels!C384</f>
        <v>Total</v>
      </c>
      <c r="B934" s="360">
        <f t="shared" ref="B934:S934" si="548">SUM(B917,B930)</f>
        <v>0</v>
      </c>
      <c r="C934" s="360">
        <f t="shared" si="548"/>
        <v>0</v>
      </c>
      <c r="D934" s="360">
        <f t="shared" si="548"/>
        <v>0</v>
      </c>
      <c r="E934" s="360">
        <f t="shared" si="548"/>
        <v>0</v>
      </c>
      <c r="F934" s="360">
        <f t="shared" si="548"/>
        <v>0</v>
      </c>
      <c r="G934" s="360">
        <f t="shared" si="548"/>
        <v>0</v>
      </c>
      <c r="H934" s="360">
        <f t="shared" si="548"/>
        <v>0</v>
      </c>
      <c r="I934" s="360">
        <f t="shared" si="548"/>
        <v>0</v>
      </c>
      <c r="J934" s="360">
        <f t="shared" si="548"/>
        <v>0</v>
      </c>
      <c r="K934" s="360">
        <f t="shared" si="548"/>
        <v>0</v>
      </c>
      <c r="L934" s="360">
        <f t="shared" si="548"/>
        <v>0</v>
      </c>
      <c r="M934" s="360">
        <f t="shared" si="548"/>
        <v>0</v>
      </c>
      <c r="N934" s="360">
        <f t="shared" si="548"/>
        <v>0</v>
      </c>
      <c r="O934" s="360">
        <f t="shared" si="548"/>
        <v>0</v>
      </c>
      <c r="P934" s="360">
        <f t="shared" si="548"/>
        <v>0</v>
      </c>
      <c r="Q934" s="360">
        <f t="shared" si="548"/>
        <v>0</v>
      </c>
      <c r="R934" s="360">
        <f t="shared" si="548"/>
        <v>0</v>
      </c>
      <c r="S934" s="361">
        <f t="shared" si="548"/>
        <v>0</v>
      </c>
    </row>
    <row r="935" spans="1:19" ht="12.75" customHeight="1" x14ac:dyDescent="0.2">
      <c r="A935" s="188" t="str">
        <f>"   "&amp;Labels!B381</f>
        <v xml:space="preserve">   Practice 1</v>
      </c>
      <c r="B935" s="256"/>
      <c r="C935" s="256"/>
      <c r="D935" s="256"/>
      <c r="E935" s="256"/>
      <c r="F935" s="256"/>
      <c r="G935" s="256"/>
      <c r="H935" s="256"/>
      <c r="I935" s="256"/>
      <c r="J935" s="256"/>
      <c r="K935" s="256"/>
      <c r="L935" s="256"/>
      <c r="M935" s="256"/>
      <c r="N935" s="256"/>
      <c r="O935" s="256"/>
      <c r="P935" s="256"/>
      <c r="Q935" s="256"/>
      <c r="R935" s="256"/>
      <c r="S935" s="290"/>
    </row>
    <row r="936" spans="1:19" ht="12.75" customHeight="1" x14ac:dyDescent="0.2">
      <c r="A936" s="198" t="str">
        <f>"      "&amp;Labels!B317</f>
        <v xml:space="preserve">      Channels 1</v>
      </c>
      <c r="B936" s="258">
        <f t="shared" ref="B936:S936" si="549">SUM(B910,B923)</f>
        <v>0</v>
      </c>
      <c r="C936" s="258">
        <f t="shared" si="549"/>
        <v>0</v>
      </c>
      <c r="D936" s="258">
        <f t="shared" si="549"/>
        <v>0</v>
      </c>
      <c r="E936" s="258">
        <f t="shared" si="549"/>
        <v>0</v>
      </c>
      <c r="F936" s="258">
        <f t="shared" si="549"/>
        <v>0</v>
      </c>
      <c r="G936" s="258">
        <f t="shared" si="549"/>
        <v>0</v>
      </c>
      <c r="H936" s="258">
        <f t="shared" si="549"/>
        <v>0</v>
      </c>
      <c r="I936" s="258">
        <f t="shared" si="549"/>
        <v>0</v>
      </c>
      <c r="J936" s="258">
        <f t="shared" si="549"/>
        <v>0</v>
      </c>
      <c r="K936" s="258">
        <f t="shared" si="549"/>
        <v>0</v>
      </c>
      <c r="L936" s="258">
        <f t="shared" si="549"/>
        <v>0</v>
      </c>
      <c r="M936" s="258">
        <f t="shared" si="549"/>
        <v>0</v>
      </c>
      <c r="N936" s="258">
        <f t="shared" si="549"/>
        <v>0</v>
      </c>
      <c r="O936" s="258">
        <f t="shared" si="549"/>
        <v>0</v>
      </c>
      <c r="P936" s="258">
        <f t="shared" si="549"/>
        <v>0</v>
      </c>
      <c r="Q936" s="258">
        <f t="shared" si="549"/>
        <v>0</v>
      </c>
      <c r="R936" s="258">
        <f t="shared" si="549"/>
        <v>0</v>
      </c>
      <c r="S936" s="291">
        <f t="shared" si="549"/>
        <v>0</v>
      </c>
    </row>
    <row r="937" spans="1:19" ht="12.75" customHeight="1" x14ac:dyDescent="0.2">
      <c r="A937" s="198" t="str">
        <f>"      "&amp;Labels!B318</f>
        <v xml:space="preserve">      Channels 2</v>
      </c>
      <c r="B937" s="258">
        <f t="shared" ref="B937:S937" si="550">SUM(B911,B924)</f>
        <v>0</v>
      </c>
      <c r="C937" s="258">
        <f t="shared" si="550"/>
        <v>0</v>
      </c>
      <c r="D937" s="258">
        <f t="shared" si="550"/>
        <v>0</v>
      </c>
      <c r="E937" s="258">
        <f t="shared" si="550"/>
        <v>0</v>
      </c>
      <c r="F937" s="258">
        <f t="shared" si="550"/>
        <v>0</v>
      </c>
      <c r="G937" s="258">
        <f t="shared" si="550"/>
        <v>0</v>
      </c>
      <c r="H937" s="258">
        <f t="shared" si="550"/>
        <v>0</v>
      </c>
      <c r="I937" s="258">
        <f t="shared" si="550"/>
        <v>0</v>
      </c>
      <c r="J937" s="258">
        <f t="shared" si="550"/>
        <v>0</v>
      </c>
      <c r="K937" s="258">
        <f t="shared" si="550"/>
        <v>0</v>
      </c>
      <c r="L937" s="258">
        <f t="shared" si="550"/>
        <v>0</v>
      </c>
      <c r="M937" s="258">
        <f t="shared" si="550"/>
        <v>0</v>
      </c>
      <c r="N937" s="258">
        <f t="shared" si="550"/>
        <v>0</v>
      </c>
      <c r="O937" s="258">
        <f t="shared" si="550"/>
        <v>0</v>
      </c>
      <c r="P937" s="258">
        <f t="shared" si="550"/>
        <v>0</v>
      </c>
      <c r="Q937" s="258">
        <f t="shared" si="550"/>
        <v>0</v>
      </c>
      <c r="R937" s="258">
        <f t="shared" si="550"/>
        <v>0</v>
      </c>
      <c r="S937" s="291">
        <f t="shared" si="550"/>
        <v>0</v>
      </c>
    </row>
    <row r="938" spans="1:19" ht="12.75" customHeight="1" x14ac:dyDescent="0.2">
      <c r="A938" s="188" t="str">
        <f>"      "&amp;Labels!C316</f>
        <v xml:space="preserve">      Total</v>
      </c>
      <c r="B938" s="256">
        <f t="shared" ref="B938:S938" si="551">SUM(B912,B925)</f>
        <v>0</v>
      </c>
      <c r="C938" s="256">
        <f t="shared" si="551"/>
        <v>0</v>
      </c>
      <c r="D938" s="256">
        <f t="shared" si="551"/>
        <v>0</v>
      </c>
      <c r="E938" s="256">
        <f t="shared" si="551"/>
        <v>0</v>
      </c>
      <c r="F938" s="256">
        <f t="shared" si="551"/>
        <v>0</v>
      </c>
      <c r="G938" s="256">
        <f t="shared" si="551"/>
        <v>0</v>
      </c>
      <c r="H938" s="256">
        <f t="shared" si="551"/>
        <v>0</v>
      </c>
      <c r="I938" s="256">
        <f t="shared" si="551"/>
        <v>0</v>
      </c>
      <c r="J938" s="256">
        <f t="shared" si="551"/>
        <v>0</v>
      </c>
      <c r="K938" s="256">
        <f t="shared" si="551"/>
        <v>0</v>
      </c>
      <c r="L938" s="256">
        <f t="shared" si="551"/>
        <v>0</v>
      </c>
      <c r="M938" s="256">
        <f t="shared" si="551"/>
        <v>0</v>
      </c>
      <c r="N938" s="256">
        <f t="shared" si="551"/>
        <v>0</v>
      </c>
      <c r="O938" s="256">
        <f t="shared" si="551"/>
        <v>0</v>
      </c>
      <c r="P938" s="256">
        <f t="shared" si="551"/>
        <v>0</v>
      </c>
      <c r="Q938" s="256">
        <f t="shared" si="551"/>
        <v>0</v>
      </c>
      <c r="R938" s="256">
        <f t="shared" si="551"/>
        <v>0</v>
      </c>
      <c r="S938" s="290">
        <f t="shared" si="551"/>
        <v>0</v>
      </c>
    </row>
    <row r="939" spans="1:19" ht="12.75" customHeight="1" x14ac:dyDescent="0.2">
      <c r="A939" s="188" t="str">
        <f>"   "&amp;Labels!B382</f>
        <v xml:space="preserve">   Practice 2</v>
      </c>
      <c r="B939" s="256"/>
      <c r="C939" s="256"/>
      <c r="D939" s="256"/>
      <c r="E939" s="256"/>
      <c r="F939" s="256"/>
      <c r="G939" s="256"/>
      <c r="H939" s="256"/>
      <c r="I939" s="256"/>
      <c r="J939" s="256"/>
      <c r="K939" s="256"/>
      <c r="L939" s="256"/>
      <c r="M939" s="256"/>
      <c r="N939" s="256"/>
      <c r="O939" s="256"/>
      <c r="P939" s="256"/>
      <c r="Q939" s="256"/>
      <c r="R939" s="256"/>
      <c r="S939" s="290"/>
    </row>
    <row r="940" spans="1:19" ht="12.75" customHeight="1" x14ac:dyDescent="0.2">
      <c r="A940" s="198" t="str">
        <f>"      "&amp;Labels!B317</f>
        <v xml:space="preserve">      Channels 1</v>
      </c>
      <c r="B940" s="258">
        <f t="shared" ref="B940:S940" si="552">SUM(B914,B927)</f>
        <v>0</v>
      </c>
      <c r="C940" s="258">
        <f t="shared" si="552"/>
        <v>0</v>
      </c>
      <c r="D940" s="258">
        <f t="shared" si="552"/>
        <v>0</v>
      </c>
      <c r="E940" s="258">
        <f t="shared" si="552"/>
        <v>0</v>
      </c>
      <c r="F940" s="258">
        <f t="shared" si="552"/>
        <v>0</v>
      </c>
      <c r="G940" s="258">
        <f t="shared" si="552"/>
        <v>0</v>
      </c>
      <c r="H940" s="258">
        <f t="shared" si="552"/>
        <v>0</v>
      </c>
      <c r="I940" s="258">
        <f t="shared" si="552"/>
        <v>0</v>
      </c>
      <c r="J940" s="258">
        <f t="shared" si="552"/>
        <v>0</v>
      </c>
      <c r="K940" s="258">
        <f t="shared" si="552"/>
        <v>0</v>
      </c>
      <c r="L940" s="258">
        <f t="shared" si="552"/>
        <v>0</v>
      </c>
      <c r="M940" s="258">
        <f t="shared" si="552"/>
        <v>0</v>
      </c>
      <c r="N940" s="258">
        <f t="shared" si="552"/>
        <v>0</v>
      </c>
      <c r="O940" s="258">
        <f t="shared" si="552"/>
        <v>0</v>
      </c>
      <c r="P940" s="258">
        <f t="shared" si="552"/>
        <v>0</v>
      </c>
      <c r="Q940" s="258">
        <f t="shared" si="552"/>
        <v>0</v>
      </c>
      <c r="R940" s="258">
        <f t="shared" si="552"/>
        <v>0</v>
      </c>
      <c r="S940" s="291">
        <f t="shared" si="552"/>
        <v>0</v>
      </c>
    </row>
    <row r="941" spans="1:19" ht="12.75" customHeight="1" x14ac:dyDescent="0.2">
      <c r="A941" s="198" t="str">
        <f>"      "&amp;Labels!B318</f>
        <v xml:space="preserve">      Channels 2</v>
      </c>
      <c r="B941" s="258">
        <f t="shared" ref="B941:S941" si="553">SUM(B915,B928)</f>
        <v>0</v>
      </c>
      <c r="C941" s="258">
        <f t="shared" si="553"/>
        <v>0</v>
      </c>
      <c r="D941" s="258">
        <f t="shared" si="553"/>
        <v>0</v>
      </c>
      <c r="E941" s="258">
        <f t="shared" si="553"/>
        <v>0</v>
      </c>
      <c r="F941" s="258">
        <f t="shared" si="553"/>
        <v>0</v>
      </c>
      <c r="G941" s="258">
        <f t="shared" si="553"/>
        <v>0</v>
      </c>
      <c r="H941" s="258">
        <f t="shared" si="553"/>
        <v>0</v>
      </c>
      <c r="I941" s="258">
        <f t="shared" si="553"/>
        <v>0</v>
      </c>
      <c r="J941" s="258">
        <f t="shared" si="553"/>
        <v>0</v>
      </c>
      <c r="K941" s="258">
        <f t="shared" si="553"/>
        <v>0</v>
      </c>
      <c r="L941" s="258">
        <f t="shared" si="553"/>
        <v>0</v>
      </c>
      <c r="M941" s="258">
        <f t="shared" si="553"/>
        <v>0</v>
      </c>
      <c r="N941" s="258">
        <f t="shared" si="553"/>
        <v>0</v>
      </c>
      <c r="O941" s="258">
        <f t="shared" si="553"/>
        <v>0</v>
      </c>
      <c r="P941" s="258">
        <f t="shared" si="553"/>
        <v>0</v>
      </c>
      <c r="Q941" s="258">
        <f t="shared" si="553"/>
        <v>0</v>
      </c>
      <c r="R941" s="258">
        <f t="shared" si="553"/>
        <v>0</v>
      </c>
      <c r="S941" s="291">
        <f t="shared" si="553"/>
        <v>0</v>
      </c>
    </row>
    <row r="942" spans="1:19" ht="12.75" customHeight="1" x14ac:dyDescent="0.2">
      <c r="A942" s="188" t="str">
        <f>"      "&amp;Labels!C316</f>
        <v xml:space="preserve">      Total</v>
      </c>
      <c r="B942" s="256">
        <f t="shared" ref="B942:S942" si="554">SUM(B916,B929)</f>
        <v>0</v>
      </c>
      <c r="C942" s="256">
        <f t="shared" si="554"/>
        <v>0</v>
      </c>
      <c r="D942" s="256">
        <f t="shared" si="554"/>
        <v>0</v>
      </c>
      <c r="E942" s="256">
        <f t="shared" si="554"/>
        <v>0</v>
      </c>
      <c r="F942" s="256">
        <f t="shared" si="554"/>
        <v>0</v>
      </c>
      <c r="G942" s="256">
        <f t="shared" si="554"/>
        <v>0</v>
      </c>
      <c r="H942" s="256">
        <f t="shared" si="554"/>
        <v>0</v>
      </c>
      <c r="I942" s="256">
        <f t="shared" si="554"/>
        <v>0</v>
      </c>
      <c r="J942" s="256">
        <f t="shared" si="554"/>
        <v>0</v>
      </c>
      <c r="K942" s="256">
        <f t="shared" si="554"/>
        <v>0</v>
      </c>
      <c r="L942" s="256">
        <f t="shared" si="554"/>
        <v>0</v>
      </c>
      <c r="M942" s="256">
        <f t="shared" si="554"/>
        <v>0</v>
      </c>
      <c r="N942" s="256">
        <f t="shared" si="554"/>
        <v>0</v>
      </c>
      <c r="O942" s="256">
        <f t="shared" si="554"/>
        <v>0</v>
      </c>
      <c r="P942" s="256">
        <f t="shared" si="554"/>
        <v>0</v>
      </c>
      <c r="Q942" s="256">
        <f t="shared" si="554"/>
        <v>0</v>
      </c>
      <c r="R942" s="256">
        <f t="shared" si="554"/>
        <v>0</v>
      </c>
      <c r="S942" s="290">
        <f t="shared" si="554"/>
        <v>0</v>
      </c>
    </row>
    <row r="943" spans="1:19" ht="12.75" customHeight="1" x14ac:dyDescent="0.2">
      <c r="A943" s="191" t="str">
        <f>"   "&amp;Labels!C380</f>
        <v xml:space="preserve">   Total</v>
      </c>
      <c r="B943" s="260">
        <f t="shared" ref="B943:S943" si="555">SUM(B917,B930)</f>
        <v>0</v>
      </c>
      <c r="C943" s="260">
        <f t="shared" si="555"/>
        <v>0</v>
      </c>
      <c r="D943" s="260">
        <f t="shared" si="555"/>
        <v>0</v>
      </c>
      <c r="E943" s="260">
        <f t="shared" si="555"/>
        <v>0</v>
      </c>
      <c r="F943" s="260">
        <f t="shared" si="555"/>
        <v>0</v>
      </c>
      <c r="G943" s="260">
        <f t="shared" si="555"/>
        <v>0</v>
      </c>
      <c r="H943" s="260">
        <f t="shared" si="555"/>
        <v>0</v>
      </c>
      <c r="I943" s="260">
        <f t="shared" si="555"/>
        <v>0</v>
      </c>
      <c r="J943" s="260">
        <f t="shared" si="555"/>
        <v>0</v>
      </c>
      <c r="K943" s="260">
        <f t="shared" si="555"/>
        <v>0</v>
      </c>
      <c r="L943" s="260">
        <f t="shared" si="555"/>
        <v>0</v>
      </c>
      <c r="M943" s="260">
        <f t="shared" si="555"/>
        <v>0</v>
      </c>
      <c r="N943" s="260">
        <f t="shared" si="555"/>
        <v>0</v>
      </c>
      <c r="O943" s="260">
        <f t="shared" si="555"/>
        <v>0</v>
      </c>
      <c r="P943" s="260">
        <f t="shared" si="555"/>
        <v>0</v>
      </c>
      <c r="Q943" s="260">
        <f t="shared" si="555"/>
        <v>0</v>
      </c>
      <c r="R943" s="260">
        <f t="shared" si="555"/>
        <v>0</v>
      </c>
      <c r="S943" s="289">
        <f t="shared" si="555"/>
        <v>0</v>
      </c>
    </row>
    <row r="944" spans="1:19" ht="12.75" customHeight="1" x14ac:dyDescent="0.2">
      <c r="A944" s="198" t="str">
        <f>"      "&amp;Labels!B317</f>
        <v xml:space="preserve">      Channels 1</v>
      </c>
      <c r="B944" s="258">
        <f t="shared" ref="B944:S944" si="556">SUM(B918,B931)</f>
        <v>0</v>
      </c>
      <c r="C944" s="258">
        <f t="shared" si="556"/>
        <v>0</v>
      </c>
      <c r="D944" s="258">
        <f t="shared" si="556"/>
        <v>0</v>
      </c>
      <c r="E944" s="258">
        <f t="shared" si="556"/>
        <v>0</v>
      </c>
      <c r="F944" s="258">
        <f t="shared" si="556"/>
        <v>0</v>
      </c>
      <c r="G944" s="258">
        <f t="shared" si="556"/>
        <v>0</v>
      </c>
      <c r="H944" s="258">
        <f t="shared" si="556"/>
        <v>0</v>
      </c>
      <c r="I944" s="258">
        <f t="shared" si="556"/>
        <v>0</v>
      </c>
      <c r="J944" s="258">
        <f t="shared" si="556"/>
        <v>0</v>
      </c>
      <c r="K944" s="258">
        <f t="shared" si="556"/>
        <v>0</v>
      </c>
      <c r="L944" s="258">
        <f t="shared" si="556"/>
        <v>0</v>
      </c>
      <c r="M944" s="258">
        <f t="shared" si="556"/>
        <v>0</v>
      </c>
      <c r="N944" s="258">
        <f t="shared" si="556"/>
        <v>0</v>
      </c>
      <c r="O944" s="258">
        <f t="shared" si="556"/>
        <v>0</v>
      </c>
      <c r="P944" s="258">
        <f t="shared" si="556"/>
        <v>0</v>
      </c>
      <c r="Q944" s="258">
        <f t="shared" si="556"/>
        <v>0</v>
      </c>
      <c r="R944" s="258">
        <f t="shared" si="556"/>
        <v>0</v>
      </c>
      <c r="S944" s="291">
        <f t="shared" si="556"/>
        <v>0</v>
      </c>
    </row>
    <row r="945" spans="1:19" ht="12.75" customHeight="1" x14ac:dyDescent="0.2">
      <c r="A945" s="198" t="str">
        <f>"      "&amp;Labels!B318</f>
        <v xml:space="preserve">      Channels 2</v>
      </c>
      <c r="B945" s="258">
        <f t="shared" ref="B945:S945" si="557">SUM(B919,B932)</f>
        <v>0</v>
      </c>
      <c r="C945" s="258">
        <f t="shared" si="557"/>
        <v>0</v>
      </c>
      <c r="D945" s="258">
        <f t="shared" si="557"/>
        <v>0</v>
      </c>
      <c r="E945" s="258">
        <f t="shared" si="557"/>
        <v>0</v>
      </c>
      <c r="F945" s="258">
        <f t="shared" si="557"/>
        <v>0</v>
      </c>
      <c r="G945" s="258">
        <f t="shared" si="557"/>
        <v>0</v>
      </c>
      <c r="H945" s="258">
        <f t="shared" si="557"/>
        <v>0</v>
      </c>
      <c r="I945" s="258">
        <f t="shared" si="557"/>
        <v>0</v>
      </c>
      <c r="J945" s="258">
        <f t="shared" si="557"/>
        <v>0</v>
      </c>
      <c r="K945" s="258">
        <f t="shared" si="557"/>
        <v>0</v>
      </c>
      <c r="L945" s="258">
        <f t="shared" si="557"/>
        <v>0</v>
      </c>
      <c r="M945" s="258">
        <f t="shared" si="557"/>
        <v>0</v>
      </c>
      <c r="N945" s="258">
        <f t="shared" si="557"/>
        <v>0</v>
      </c>
      <c r="O945" s="258">
        <f t="shared" si="557"/>
        <v>0</v>
      </c>
      <c r="P945" s="258">
        <f t="shared" si="557"/>
        <v>0</v>
      </c>
      <c r="Q945" s="258">
        <f t="shared" si="557"/>
        <v>0</v>
      </c>
      <c r="R945" s="258">
        <f t="shared" si="557"/>
        <v>0</v>
      </c>
      <c r="S945" s="291">
        <f t="shared" si="557"/>
        <v>0</v>
      </c>
    </row>
    <row r="946" spans="1:19" ht="12.75" customHeight="1" x14ac:dyDescent="0.2">
      <c r="A946" s="220" t="str">
        <f>"      "&amp;Labels!C316</f>
        <v xml:space="preserve">      Total</v>
      </c>
      <c r="B946" s="362">
        <f t="shared" ref="B946:S946" si="558">SUM(B917,B930)</f>
        <v>0</v>
      </c>
      <c r="C946" s="362">
        <f t="shared" si="558"/>
        <v>0</v>
      </c>
      <c r="D946" s="362">
        <f t="shared" si="558"/>
        <v>0</v>
      </c>
      <c r="E946" s="362">
        <f t="shared" si="558"/>
        <v>0</v>
      </c>
      <c r="F946" s="362">
        <f t="shared" si="558"/>
        <v>0</v>
      </c>
      <c r="G946" s="362">
        <f t="shared" si="558"/>
        <v>0</v>
      </c>
      <c r="H946" s="362">
        <f t="shared" si="558"/>
        <v>0</v>
      </c>
      <c r="I946" s="362">
        <f t="shared" si="558"/>
        <v>0</v>
      </c>
      <c r="J946" s="362">
        <f t="shared" si="558"/>
        <v>0</v>
      </c>
      <c r="K946" s="362">
        <f t="shared" si="558"/>
        <v>0</v>
      </c>
      <c r="L946" s="362">
        <f t="shared" si="558"/>
        <v>0</v>
      </c>
      <c r="M946" s="362">
        <f t="shared" si="558"/>
        <v>0</v>
      </c>
      <c r="N946" s="362">
        <f t="shared" si="558"/>
        <v>0</v>
      </c>
      <c r="O946" s="362">
        <f t="shared" si="558"/>
        <v>0</v>
      </c>
      <c r="P946" s="362">
        <f t="shared" si="558"/>
        <v>0</v>
      </c>
      <c r="Q946" s="362">
        <f t="shared" si="558"/>
        <v>0</v>
      </c>
      <c r="R946" s="362">
        <f t="shared" si="558"/>
        <v>0</v>
      </c>
      <c r="S946" s="363">
        <f t="shared" si="558"/>
        <v>0</v>
      </c>
    </row>
    <row r="947" spans="1:19" ht="12.75" customHeight="1" x14ac:dyDescent="0.2">
      <c r="A947" s="1" t="str">
        <f>"Engage_Hrs_Billed_1"</f>
        <v>Engage_Hrs_Billed_1</v>
      </c>
    </row>
    <row r="948" spans="1:19" ht="12.75" customHeight="1" x14ac:dyDescent="0.2">
      <c r="B948" s="9" t="str">
        <f>'(FnCalls 1)'!F41</f>
        <v>MMM 2010</v>
      </c>
      <c r="C948" s="10" t="str">
        <f>'(FnCalls 1)'!F42</f>
        <v>MMM 2010</v>
      </c>
      <c r="D948" s="10" t="str">
        <f>'(FnCalls 1)'!F43</f>
        <v>MMM 2010</v>
      </c>
      <c r="E948" s="10" t="str">
        <f>'(FnCalls 1)'!F44</f>
        <v>MMM 2010</v>
      </c>
      <c r="F948" s="10" t="str">
        <f>'(FnCalls 1)'!F45</f>
        <v>MMM 2010</v>
      </c>
      <c r="G948" s="10" t="str">
        <f>'(FnCalls 1)'!F46</f>
        <v>MMM 2010</v>
      </c>
      <c r="H948" s="10" t="str">
        <f>'(FnCalls 1)'!F47</f>
        <v>MMM 2010</v>
      </c>
      <c r="I948" s="10" t="str">
        <f>'(FnCalls 1)'!F48</f>
        <v>MMM 2010</v>
      </c>
      <c r="J948" s="10" t="str">
        <f>'(FnCalls 1)'!F49</f>
        <v>MMM 2010</v>
      </c>
      <c r="K948" s="10" t="str">
        <f>'(FnCalls 1)'!F50</f>
        <v>MMM 2010</v>
      </c>
      <c r="L948" s="10" t="str">
        <f>'(FnCalls 1)'!F51</f>
        <v>MMM 2010</v>
      </c>
      <c r="M948" s="10" t="str">
        <f>'(FnCalls 1)'!F52</f>
        <v>MMM 2010</v>
      </c>
      <c r="N948" s="10" t="str">
        <f>'(FnCalls 1)'!F53</f>
        <v>MMM 2011</v>
      </c>
      <c r="O948" s="10" t="str">
        <f>'(FnCalls 1)'!F54</f>
        <v>MMM 2011</v>
      </c>
      <c r="P948" s="10" t="str">
        <f>'(FnCalls 1)'!F55</f>
        <v>MMM 2011</v>
      </c>
      <c r="Q948" s="10" t="str">
        <f>'(FnCalls 1)'!F56</f>
        <v>MMM 2011</v>
      </c>
      <c r="R948" s="10" t="str">
        <f>'(FnCalls 1)'!F57</f>
        <v>MMM 2011</v>
      </c>
      <c r="S948" s="11" t="str">
        <f>'(FnCalls 1)'!F58</f>
        <v>MMM 2011</v>
      </c>
    </row>
    <row r="949" spans="1:19" ht="12.75" customHeight="1" x14ac:dyDescent="0.2">
      <c r="A949" s="97"/>
      <c r="B949" s="364">
        <f>'(FnCalls 1)'!A41</f>
        <v>40179</v>
      </c>
      <c r="C949" s="364">
        <f>'(FnCalls 1)'!A42</f>
        <v>40210</v>
      </c>
      <c r="D949" s="364">
        <f>'(FnCalls 1)'!A43</f>
        <v>40238</v>
      </c>
      <c r="E949" s="364">
        <f>'(FnCalls 1)'!A44</f>
        <v>40269</v>
      </c>
      <c r="F949" s="364">
        <f>'(FnCalls 1)'!A45</f>
        <v>40299</v>
      </c>
      <c r="G949" s="364">
        <f>'(FnCalls 1)'!A46</f>
        <v>40330</v>
      </c>
      <c r="H949" s="364">
        <f>'(FnCalls 1)'!A47</f>
        <v>40360</v>
      </c>
      <c r="I949" s="364">
        <f>'(FnCalls 1)'!A48</f>
        <v>40391</v>
      </c>
      <c r="J949" s="364">
        <f>'(FnCalls 1)'!A49</f>
        <v>40422</v>
      </c>
      <c r="K949" s="364">
        <f>'(FnCalls 1)'!A50</f>
        <v>40452</v>
      </c>
      <c r="L949" s="364">
        <f>'(FnCalls 1)'!A51</f>
        <v>40483</v>
      </c>
      <c r="M949" s="364">
        <f>'(FnCalls 1)'!A52</f>
        <v>40513</v>
      </c>
      <c r="N949" s="364">
        <f>'(FnCalls 1)'!A53</f>
        <v>40544</v>
      </c>
      <c r="O949" s="364">
        <f>'(FnCalls 1)'!A54</f>
        <v>40575</v>
      </c>
      <c r="P949" s="364">
        <f>'(FnCalls 1)'!A55</f>
        <v>40603</v>
      </c>
      <c r="Q949" s="364">
        <f>'(FnCalls 1)'!A56</f>
        <v>40634</v>
      </c>
      <c r="R949" s="364">
        <f>'(FnCalls 1)'!A57</f>
        <v>40664</v>
      </c>
      <c r="S949" s="365">
        <f>'(FnCalls 1)'!A58</f>
        <v>40695</v>
      </c>
    </row>
    <row r="950" spans="1:19" ht="12.75" customHeight="1" x14ac:dyDescent="0.2">
      <c r="A950" s="1" t="str">
        <f>"Engage_Hrs_Billed_2"</f>
        <v>Engage_Hrs_Billed_2</v>
      </c>
    </row>
    <row r="951" spans="1:19" ht="12.75" customHeight="1" x14ac:dyDescent="0.2">
      <c r="B951" s="9" t="str">
        <f>'(FnCalls 1)'!F41</f>
        <v>MMM 2010</v>
      </c>
      <c r="C951" s="10" t="str">
        <f>'(FnCalls 1)'!F42</f>
        <v>MMM 2010</v>
      </c>
      <c r="D951" s="10" t="str">
        <f>'(FnCalls 1)'!F43</f>
        <v>MMM 2010</v>
      </c>
      <c r="E951" s="10" t="str">
        <f>'(FnCalls 1)'!F44</f>
        <v>MMM 2010</v>
      </c>
      <c r="F951" s="10" t="str">
        <f>'(FnCalls 1)'!F45</f>
        <v>MMM 2010</v>
      </c>
      <c r="G951" s="10" t="str">
        <f>'(FnCalls 1)'!F46</f>
        <v>MMM 2010</v>
      </c>
      <c r="H951" s="10" t="str">
        <f>'(FnCalls 1)'!F47</f>
        <v>MMM 2010</v>
      </c>
      <c r="I951" s="10" t="str">
        <f>'(FnCalls 1)'!F48</f>
        <v>MMM 2010</v>
      </c>
      <c r="J951" s="10" t="str">
        <f>'(FnCalls 1)'!F49</f>
        <v>MMM 2010</v>
      </c>
      <c r="K951" s="10" t="str">
        <f>'(FnCalls 1)'!F50</f>
        <v>MMM 2010</v>
      </c>
      <c r="L951" s="10" t="str">
        <f>'(FnCalls 1)'!F51</f>
        <v>MMM 2010</v>
      </c>
      <c r="M951" s="10" t="str">
        <f>'(FnCalls 1)'!F52</f>
        <v>MMM 2010</v>
      </c>
      <c r="N951" s="10" t="str">
        <f>'(FnCalls 1)'!F53</f>
        <v>MMM 2011</v>
      </c>
      <c r="O951" s="10" t="str">
        <f>'(FnCalls 1)'!F54</f>
        <v>MMM 2011</v>
      </c>
      <c r="P951" s="10" t="str">
        <f>'(FnCalls 1)'!F55</f>
        <v>MMM 2011</v>
      </c>
      <c r="Q951" s="10" t="str">
        <f>'(FnCalls 1)'!F56</f>
        <v>MMM 2011</v>
      </c>
      <c r="R951" s="10" t="str">
        <f>'(FnCalls 1)'!F57</f>
        <v>MMM 2011</v>
      </c>
      <c r="S951" s="11" t="str">
        <f>'(FnCalls 1)'!F58</f>
        <v>MMM 2011</v>
      </c>
    </row>
    <row r="952" spans="1:19" ht="12.75" customHeight="1" x14ac:dyDescent="0.2">
      <c r="A952" s="97"/>
      <c r="B952" s="364" t="str">
        <f>'(FnCalls 1)'!F41</f>
        <v>MMM 2010</v>
      </c>
      <c r="C952" s="364" t="str">
        <f>'(FnCalls 1)'!F42</f>
        <v>MMM 2010</v>
      </c>
      <c r="D952" s="364" t="str">
        <f>'(FnCalls 1)'!F43</f>
        <v>MMM 2010</v>
      </c>
      <c r="E952" s="364" t="str">
        <f>'(FnCalls 1)'!F44</f>
        <v>MMM 2010</v>
      </c>
      <c r="F952" s="364" t="str">
        <f>'(FnCalls 1)'!F45</f>
        <v>MMM 2010</v>
      </c>
      <c r="G952" s="364" t="str">
        <f>'(FnCalls 1)'!F46</f>
        <v>MMM 2010</v>
      </c>
      <c r="H952" s="364" t="str">
        <f>'(FnCalls 1)'!F47</f>
        <v>MMM 2010</v>
      </c>
      <c r="I952" s="364" t="str">
        <f>'(FnCalls 1)'!F48</f>
        <v>MMM 2010</v>
      </c>
      <c r="J952" s="364" t="str">
        <f>'(FnCalls 1)'!F49</f>
        <v>MMM 2010</v>
      </c>
      <c r="K952" s="364" t="str">
        <f>'(FnCalls 1)'!F50</f>
        <v>MMM 2010</v>
      </c>
      <c r="L952" s="364" t="str">
        <f>'(FnCalls 1)'!F51</f>
        <v>MMM 2010</v>
      </c>
      <c r="M952" s="364" t="str">
        <f>'(FnCalls 1)'!F52</f>
        <v>MMM 2010</v>
      </c>
      <c r="N952" s="364" t="str">
        <f>'(FnCalls 1)'!F53</f>
        <v>MMM 2011</v>
      </c>
      <c r="O952" s="364" t="str">
        <f>'(FnCalls 1)'!F54</f>
        <v>MMM 2011</v>
      </c>
      <c r="P952" s="364" t="str">
        <f>'(FnCalls 1)'!F55</f>
        <v>MMM 2011</v>
      </c>
      <c r="Q952" s="364" t="str">
        <f>'(FnCalls 1)'!F56</f>
        <v>MMM 2011</v>
      </c>
      <c r="R952" s="364" t="str">
        <f>'(FnCalls 1)'!F57</f>
        <v>MMM 2011</v>
      </c>
      <c r="S952" s="365" t="str">
        <f>'(FnCalls 1)'!F58</f>
        <v>MMM 2011</v>
      </c>
    </row>
    <row r="953" spans="1:19" ht="12.75" customHeight="1" x14ac:dyDescent="0.2">
      <c r="A953" s="1" t="str">
        <f>"Prof_Staff_Billings_1"</f>
        <v>Prof_Staff_Billings_1</v>
      </c>
    </row>
    <row r="954" spans="1:19" ht="12.75" customHeight="1" x14ac:dyDescent="0.2">
      <c r="B954" s="9" t="str">
        <f>'(FnCalls 1)'!F41</f>
        <v>MMM 2010</v>
      </c>
      <c r="C954" s="10" t="str">
        <f>'(FnCalls 1)'!F42</f>
        <v>MMM 2010</v>
      </c>
      <c r="D954" s="10" t="str">
        <f>'(FnCalls 1)'!F43</f>
        <v>MMM 2010</v>
      </c>
      <c r="E954" s="10" t="str">
        <f>'(FnCalls 1)'!F44</f>
        <v>MMM 2010</v>
      </c>
      <c r="F954" s="10" t="str">
        <f>'(FnCalls 1)'!F45</f>
        <v>MMM 2010</v>
      </c>
      <c r="G954" s="10" t="str">
        <f>'(FnCalls 1)'!F46</f>
        <v>MMM 2010</v>
      </c>
      <c r="H954" s="10" t="str">
        <f>'(FnCalls 1)'!F47</f>
        <v>MMM 2010</v>
      </c>
      <c r="I954" s="10" t="str">
        <f>'(FnCalls 1)'!F48</f>
        <v>MMM 2010</v>
      </c>
      <c r="J954" s="10" t="str">
        <f>'(FnCalls 1)'!F49</f>
        <v>MMM 2010</v>
      </c>
      <c r="K954" s="10" t="str">
        <f>'(FnCalls 1)'!F50</f>
        <v>MMM 2010</v>
      </c>
      <c r="L954" s="10" t="str">
        <f>'(FnCalls 1)'!F51</f>
        <v>MMM 2010</v>
      </c>
      <c r="M954" s="10" t="str">
        <f>'(FnCalls 1)'!F52</f>
        <v>MMM 2010</v>
      </c>
      <c r="N954" s="10" t="str">
        <f>'(FnCalls 1)'!F53</f>
        <v>MMM 2011</v>
      </c>
      <c r="O954" s="10" t="str">
        <f>'(FnCalls 1)'!F54</f>
        <v>MMM 2011</v>
      </c>
      <c r="P954" s="10" t="str">
        <f>'(FnCalls 1)'!F55</f>
        <v>MMM 2011</v>
      </c>
      <c r="Q954" s="10" t="str">
        <f>'(FnCalls 1)'!F56</f>
        <v>MMM 2011</v>
      </c>
      <c r="R954" s="10" t="str">
        <f>'(FnCalls 1)'!F57</f>
        <v>MMM 2011</v>
      </c>
      <c r="S954" s="11" t="str">
        <f>'(FnCalls 1)'!F58</f>
        <v>MMM 2011</v>
      </c>
    </row>
    <row r="955" spans="1:19" ht="12.75" customHeight="1" x14ac:dyDescent="0.2">
      <c r="A955" s="97"/>
      <c r="B955" s="364">
        <f>'(FnCalls 1)'!A41</f>
        <v>40179</v>
      </c>
      <c r="C955" s="364">
        <f>'(FnCalls 1)'!A42</f>
        <v>40210</v>
      </c>
      <c r="D955" s="364">
        <f>'(FnCalls 1)'!A43</f>
        <v>40238</v>
      </c>
      <c r="E955" s="364">
        <f>'(FnCalls 1)'!A44</f>
        <v>40269</v>
      </c>
      <c r="F955" s="364">
        <f>'(FnCalls 1)'!A45</f>
        <v>40299</v>
      </c>
      <c r="G955" s="364">
        <f>'(FnCalls 1)'!A46</f>
        <v>40330</v>
      </c>
      <c r="H955" s="364">
        <f>'(FnCalls 1)'!A47</f>
        <v>40360</v>
      </c>
      <c r="I955" s="364">
        <f>'(FnCalls 1)'!A48</f>
        <v>40391</v>
      </c>
      <c r="J955" s="364">
        <f>'(FnCalls 1)'!A49</f>
        <v>40422</v>
      </c>
      <c r="K955" s="364">
        <f>'(FnCalls 1)'!A50</f>
        <v>40452</v>
      </c>
      <c r="L955" s="364">
        <f>'(FnCalls 1)'!A51</f>
        <v>40483</v>
      </c>
      <c r="M955" s="364">
        <f>'(FnCalls 1)'!A52</f>
        <v>40513</v>
      </c>
      <c r="N955" s="364">
        <f>'(FnCalls 1)'!A53</f>
        <v>40544</v>
      </c>
      <c r="O955" s="364">
        <f>'(FnCalls 1)'!A54</f>
        <v>40575</v>
      </c>
      <c r="P955" s="364">
        <f>'(FnCalls 1)'!A55</f>
        <v>40603</v>
      </c>
      <c r="Q955" s="364">
        <f>'(FnCalls 1)'!A56</f>
        <v>40634</v>
      </c>
      <c r="R955" s="364">
        <f>'(FnCalls 1)'!A57</f>
        <v>40664</v>
      </c>
      <c r="S955" s="365">
        <f>'(FnCalls 1)'!A58</f>
        <v>40695</v>
      </c>
    </row>
    <row r="956" spans="1:19" ht="12.75" customHeight="1" x14ac:dyDescent="0.2">
      <c r="A956" s="1" t="str">
        <f>"Prof_Staff_Billings_2"</f>
        <v>Prof_Staff_Billings_2</v>
      </c>
    </row>
    <row r="957" spans="1:19" ht="12.75" customHeight="1" x14ac:dyDescent="0.2">
      <c r="B957" s="9" t="str">
        <f>'(FnCalls 1)'!F41</f>
        <v>MMM 2010</v>
      </c>
      <c r="C957" s="10" t="str">
        <f>'(FnCalls 1)'!F42</f>
        <v>MMM 2010</v>
      </c>
      <c r="D957" s="10" t="str">
        <f>'(FnCalls 1)'!F43</f>
        <v>MMM 2010</v>
      </c>
      <c r="E957" s="10" t="str">
        <f>'(FnCalls 1)'!F44</f>
        <v>MMM 2010</v>
      </c>
      <c r="F957" s="10" t="str">
        <f>'(FnCalls 1)'!F45</f>
        <v>MMM 2010</v>
      </c>
      <c r="G957" s="10" t="str">
        <f>'(FnCalls 1)'!F46</f>
        <v>MMM 2010</v>
      </c>
      <c r="H957" s="10" t="str">
        <f>'(FnCalls 1)'!F47</f>
        <v>MMM 2010</v>
      </c>
      <c r="I957" s="10" t="str">
        <f>'(FnCalls 1)'!F48</f>
        <v>MMM 2010</v>
      </c>
      <c r="J957" s="10" t="str">
        <f>'(FnCalls 1)'!F49</f>
        <v>MMM 2010</v>
      </c>
      <c r="K957" s="10" t="str">
        <f>'(FnCalls 1)'!F50</f>
        <v>MMM 2010</v>
      </c>
      <c r="L957" s="10" t="str">
        <f>'(FnCalls 1)'!F51</f>
        <v>MMM 2010</v>
      </c>
      <c r="M957" s="10" t="str">
        <f>'(FnCalls 1)'!F52</f>
        <v>MMM 2010</v>
      </c>
      <c r="N957" s="10" t="str">
        <f>'(FnCalls 1)'!F53</f>
        <v>MMM 2011</v>
      </c>
      <c r="O957" s="10" t="str">
        <f>'(FnCalls 1)'!F54</f>
        <v>MMM 2011</v>
      </c>
      <c r="P957" s="10" t="str">
        <f>'(FnCalls 1)'!F55</f>
        <v>MMM 2011</v>
      </c>
      <c r="Q957" s="10" t="str">
        <f>'(FnCalls 1)'!F56</f>
        <v>MMM 2011</v>
      </c>
      <c r="R957" s="10" t="str">
        <f>'(FnCalls 1)'!F57</f>
        <v>MMM 2011</v>
      </c>
      <c r="S957" s="11" t="str">
        <f>'(FnCalls 1)'!F58</f>
        <v>MMM 2011</v>
      </c>
    </row>
    <row r="958" spans="1:19" ht="12.75" customHeight="1" x14ac:dyDescent="0.2">
      <c r="A958" s="97"/>
      <c r="B958" s="364" t="str">
        <f>'(FnCalls 1)'!F41</f>
        <v>MMM 2010</v>
      </c>
      <c r="C958" s="364" t="str">
        <f>'(FnCalls 1)'!F42</f>
        <v>MMM 2010</v>
      </c>
      <c r="D958" s="364" t="str">
        <f>'(FnCalls 1)'!F43</f>
        <v>MMM 2010</v>
      </c>
      <c r="E958" s="364" t="str">
        <f>'(FnCalls 1)'!F44</f>
        <v>MMM 2010</v>
      </c>
      <c r="F958" s="364" t="str">
        <f>'(FnCalls 1)'!F45</f>
        <v>MMM 2010</v>
      </c>
      <c r="G958" s="364" t="str">
        <f>'(FnCalls 1)'!F46</f>
        <v>MMM 2010</v>
      </c>
      <c r="H958" s="364" t="str">
        <f>'(FnCalls 1)'!F47</f>
        <v>MMM 2010</v>
      </c>
      <c r="I958" s="364" t="str">
        <f>'(FnCalls 1)'!F48</f>
        <v>MMM 2010</v>
      </c>
      <c r="J958" s="364" t="str">
        <f>'(FnCalls 1)'!F49</f>
        <v>MMM 2010</v>
      </c>
      <c r="K958" s="364" t="str">
        <f>'(FnCalls 1)'!F50</f>
        <v>MMM 2010</v>
      </c>
      <c r="L958" s="364" t="str">
        <f>'(FnCalls 1)'!F51</f>
        <v>MMM 2010</v>
      </c>
      <c r="M958" s="364" t="str">
        <f>'(FnCalls 1)'!F52</f>
        <v>MMM 2010</v>
      </c>
      <c r="N958" s="364" t="str">
        <f>'(FnCalls 1)'!F53</f>
        <v>MMM 2011</v>
      </c>
      <c r="O958" s="364" t="str">
        <f>'(FnCalls 1)'!F54</f>
        <v>MMM 2011</v>
      </c>
      <c r="P958" s="364" t="str">
        <f>'(FnCalls 1)'!F55</f>
        <v>MMM 2011</v>
      </c>
      <c r="Q958" s="364" t="str">
        <f>'(FnCalls 1)'!F56</f>
        <v>MMM 2011</v>
      </c>
      <c r="R958" s="364" t="str">
        <f>'(FnCalls 1)'!F57</f>
        <v>MMM 2011</v>
      </c>
      <c r="S958" s="365" t="str">
        <f>'(FnCalls 1)'!F58</f>
        <v>MMM 2011</v>
      </c>
    </row>
    <row r="959" spans="1:19" ht="12.75" customHeight="1" x14ac:dyDescent="0.2">
      <c r="A959" s="1" t="str">
        <f>"Engage_Billings_1"</f>
        <v>Engage_Billings_1</v>
      </c>
    </row>
    <row r="960" spans="1:19" ht="12.75" customHeight="1" x14ac:dyDescent="0.2">
      <c r="B960" s="9" t="str">
        <f>'(FnCalls 1)'!F41</f>
        <v>MMM 2010</v>
      </c>
      <c r="C960" s="10" t="str">
        <f>'(FnCalls 1)'!F42</f>
        <v>MMM 2010</v>
      </c>
      <c r="D960" s="10" t="str">
        <f>'(FnCalls 1)'!F43</f>
        <v>MMM 2010</v>
      </c>
      <c r="E960" s="10" t="str">
        <f>'(FnCalls 1)'!F44</f>
        <v>MMM 2010</v>
      </c>
      <c r="F960" s="10" t="str">
        <f>'(FnCalls 1)'!F45</f>
        <v>MMM 2010</v>
      </c>
      <c r="G960" s="10" t="str">
        <f>'(FnCalls 1)'!F46</f>
        <v>MMM 2010</v>
      </c>
      <c r="H960" s="10" t="str">
        <f>'(FnCalls 1)'!F47</f>
        <v>MMM 2010</v>
      </c>
      <c r="I960" s="10" t="str">
        <f>'(FnCalls 1)'!F48</f>
        <v>MMM 2010</v>
      </c>
      <c r="J960" s="10" t="str">
        <f>'(FnCalls 1)'!F49</f>
        <v>MMM 2010</v>
      </c>
      <c r="K960" s="10" t="str">
        <f>'(FnCalls 1)'!F50</f>
        <v>MMM 2010</v>
      </c>
      <c r="L960" s="10" t="str">
        <f>'(FnCalls 1)'!F51</f>
        <v>MMM 2010</v>
      </c>
      <c r="M960" s="10" t="str">
        <f>'(FnCalls 1)'!F52</f>
        <v>MMM 2010</v>
      </c>
      <c r="N960" s="10" t="str">
        <f>'(FnCalls 1)'!F53</f>
        <v>MMM 2011</v>
      </c>
      <c r="O960" s="10" t="str">
        <f>'(FnCalls 1)'!F54</f>
        <v>MMM 2011</v>
      </c>
      <c r="P960" s="10" t="str">
        <f>'(FnCalls 1)'!F55</f>
        <v>MMM 2011</v>
      </c>
      <c r="Q960" s="10" t="str">
        <f>'(FnCalls 1)'!F56</f>
        <v>MMM 2011</v>
      </c>
      <c r="R960" s="10" t="str">
        <f>'(FnCalls 1)'!F57</f>
        <v>MMM 2011</v>
      </c>
      <c r="S960" s="11" t="str">
        <f>'(FnCalls 1)'!F58</f>
        <v>MMM 2011</v>
      </c>
    </row>
    <row r="961" spans="1:19" ht="12.75" customHeight="1" x14ac:dyDescent="0.2">
      <c r="A961" s="97"/>
      <c r="B961" s="364">
        <f>'(FnCalls 1)'!A41</f>
        <v>40179</v>
      </c>
      <c r="C961" s="364">
        <f>'(FnCalls 1)'!A42</f>
        <v>40210</v>
      </c>
      <c r="D961" s="364">
        <f>'(FnCalls 1)'!A43</f>
        <v>40238</v>
      </c>
      <c r="E961" s="364">
        <f>'(FnCalls 1)'!A44</f>
        <v>40269</v>
      </c>
      <c r="F961" s="364">
        <f>'(FnCalls 1)'!A45</f>
        <v>40299</v>
      </c>
      <c r="G961" s="364">
        <f>'(FnCalls 1)'!A46</f>
        <v>40330</v>
      </c>
      <c r="H961" s="364">
        <f>'(FnCalls 1)'!A47</f>
        <v>40360</v>
      </c>
      <c r="I961" s="364">
        <f>'(FnCalls 1)'!A48</f>
        <v>40391</v>
      </c>
      <c r="J961" s="364">
        <f>'(FnCalls 1)'!A49</f>
        <v>40422</v>
      </c>
      <c r="K961" s="364">
        <f>'(FnCalls 1)'!A50</f>
        <v>40452</v>
      </c>
      <c r="L961" s="364">
        <f>'(FnCalls 1)'!A51</f>
        <v>40483</v>
      </c>
      <c r="M961" s="364">
        <f>'(FnCalls 1)'!A52</f>
        <v>40513</v>
      </c>
      <c r="N961" s="364">
        <f>'(FnCalls 1)'!A53</f>
        <v>40544</v>
      </c>
      <c r="O961" s="364">
        <f>'(FnCalls 1)'!A54</f>
        <v>40575</v>
      </c>
      <c r="P961" s="364">
        <f>'(FnCalls 1)'!A55</f>
        <v>40603</v>
      </c>
      <c r="Q961" s="364">
        <f>'(FnCalls 1)'!A56</f>
        <v>40634</v>
      </c>
      <c r="R961" s="364">
        <f>'(FnCalls 1)'!A57</f>
        <v>40664</v>
      </c>
      <c r="S961" s="365">
        <f>'(FnCalls 1)'!A58</f>
        <v>40695</v>
      </c>
    </row>
    <row r="962" spans="1:19" ht="12.75" customHeight="1" x14ac:dyDescent="0.2">
      <c r="A962" s="1" t="str">
        <f>"Engage_Billings_2"</f>
        <v>Engage_Billings_2</v>
      </c>
    </row>
    <row r="963" spans="1:19" ht="12.75" customHeight="1" x14ac:dyDescent="0.2">
      <c r="B963" s="9" t="str">
        <f>'(FnCalls 1)'!F41</f>
        <v>MMM 2010</v>
      </c>
      <c r="C963" s="10" t="str">
        <f>'(FnCalls 1)'!F42</f>
        <v>MMM 2010</v>
      </c>
      <c r="D963" s="10" t="str">
        <f>'(FnCalls 1)'!F43</f>
        <v>MMM 2010</v>
      </c>
      <c r="E963" s="10" t="str">
        <f>'(FnCalls 1)'!F44</f>
        <v>MMM 2010</v>
      </c>
      <c r="F963" s="10" t="str">
        <f>'(FnCalls 1)'!F45</f>
        <v>MMM 2010</v>
      </c>
      <c r="G963" s="10" t="str">
        <f>'(FnCalls 1)'!F46</f>
        <v>MMM 2010</v>
      </c>
      <c r="H963" s="10" t="str">
        <f>'(FnCalls 1)'!F47</f>
        <v>MMM 2010</v>
      </c>
      <c r="I963" s="10" t="str">
        <f>'(FnCalls 1)'!F48</f>
        <v>MMM 2010</v>
      </c>
      <c r="J963" s="10" t="str">
        <f>'(FnCalls 1)'!F49</f>
        <v>MMM 2010</v>
      </c>
      <c r="K963" s="10" t="str">
        <f>'(FnCalls 1)'!F50</f>
        <v>MMM 2010</v>
      </c>
      <c r="L963" s="10" t="str">
        <f>'(FnCalls 1)'!F51</f>
        <v>MMM 2010</v>
      </c>
      <c r="M963" s="10" t="str">
        <f>'(FnCalls 1)'!F52</f>
        <v>MMM 2010</v>
      </c>
      <c r="N963" s="10" t="str">
        <f>'(FnCalls 1)'!F53</f>
        <v>MMM 2011</v>
      </c>
      <c r="O963" s="10" t="str">
        <f>'(FnCalls 1)'!F54</f>
        <v>MMM 2011</v>
      </c>
      <c r="P963" s="10" t="str">
        <f>'(FnCalls 1)'!F55</f>
        <v>MMM 2011</v>
      </c>
      <c r="Q963" s="10" t="str">
        <f>'(FnCalls 1)'!F56</f>
        <v>MMM 2011</v>
      </c>
      <c r="R963" s="10" t="str">
        <f>'(FnCalls 1)'!F57</f>
        <v>MMM 2011</v>
      </c>
      <c r="S963" s="11" t="str">
        <f>'(FnCalls 1)'!F58</f>
        <v>MMM 2011</v>
      </c>
    </row>
    <row r="964" spans="1:19" ht="12.75" customHeight="1" x14ac:dyDescent="0.2">
      <c r="A964" s="97"/>
      <c r="B964" s="364" t="str">
        <f>'(FnCalls 1)'!F41</f>
        <v>MMM 2010</v>
      </c>
      <c r="C964" s="364" t="str">
        <f>'(FnCalls 1)'!F42</f>
        <v>MMM 2010</v>
      </c>
      <c r="D964" s="364" t="str">
        <f>'(FnCalls 1)'!F43</f>
        <v>MMM 2010</v>
      </c>
      <c r="E964" s="364" t="str">
        <f>'(FnCalls 1)'!F44</f>
        <v>MMM 2010</v>
      </c>
      <c r="F964" s="364" t="str">
        <f>'(FnCalls 1)'!F45</f>
        <v>MMM 2010</v>
      </c>
      <c r="G964" s="364" t="str">
        <f>'(FnCalls 1)'!F46</f>
        <v>MMM 2010</v>
      </c>
      <c r="H964" s="364" t="str">
        <f>'(FnCalls 1)'!F47</f>
        <v>MMM 2010</v>
      </c>
      <c r="I964" s="364" t="str">
        <f>'(FnCalls 1)'!F48</f>
        <v>MMM 2010</v>
      </c>
      <c r="J964" s="364" t="str">
        <f>'(FnCalls 1)'!F49</f>
        <v>MMM 2010</v>
      </c>
      <c r="K964" s="364" t="str">
        <f>'(FnCalls 1)'!F50</f>
        <v>MMM 2010</v>
      </c>
      <c r="L964" s="364" t="str">
        <f>'(FnCalls 1)'!F51</f>
        <v>MMM 2010</v>
      </c>
      <c r="M964" s="364" t="str">
        <f>'(FnCalls 1)'!F52</f>
        <v>MMM 2010</v>
      </c>
      <c r="N964" s="364" t="str">
        <f>'(FnCalls 1)'!F53</f>
        <v>MMM 2011</v>
      </c>
      <c r="O964" s="364" t="str">
        <f>'(FnCalls 1)'!F54</f>
        <v>MMM 2011</v>
      </c>
      <c r="P964" s="364" t="str">
        <f>'(FnCalls 1)'!F55</f>
        <v>MMM 2011</v>
      </c>
      <c r="Q964" s="364" t="str">
        <f>'(FnCalls 1)'!F56</f>
        <v>MMM 2011</v>
      </c>
      <c r="R964" s="364" t="str">
        <f>'(FnCalls 1)'!F57</f>
        <v>MMM 2011</v>
      </c>
      <c r="S964" s="365" t="str">
        <f>'(FnCalls 1)'!F58</f>
        <v>MMM 2011</v>
      </c>
    </row>
    <row r="965" spans="1:19" ht="12.75" customHeight="1" x14ac:dyDescent="0.2">
      <c r="A965" s="1" t="str">
        <f>"Engage_Rev_Nominal_Fees_1"</f>
        <v>Engage_Rev_Nominal_Fees_1</v>
      </c>
    </row>
    <row r="966" spans="1:19" ht="12.75" customHeight="1" x14ac:dyDescent="0.2">
      <c r="B966" s="9" t="str">
        <f>'(FnCalls 1)'!F41</f>
        <v>MMM 2010</v>
      </c>
      <c r="C966" s="10" t="str">
        <f>'(FnCalls 1)'!F42</f>
        <v>MMM 2010</v>
      </c>
      <c r="D966" s="10" t="str">
        <f>'(FnCalls 1)'!F43</f>
        <v>MMM 2010</v>
      </c>
      <c r="E966" s="10" t="str">
        <f>'(FnCalls 1)'!F44</f>
        <v>MMM 2010</v>
      </c>
      <c r="F966" s="10" t="str">
        <f>'(FnCalls 1)'!F45</f>
        <v>MMM 2010</v>
      </c>
      <c r="G966" s="10" t="str">
        <f>'(FnCalls 1)'!F46</f>
        <v>MMM 2010</v>
      </c>
      <c r="H966" s="10" t="str">
        <f>'(FnCalls 1)'!F47</f>
        <v>MMM 2010</v>
      </c>
      <c r="I966" s="10" t="str">
        <f>'(FnCalls 1)'!F48</f>
        <v>MMM 2010</v>
      </c>
      <c r="J966" s="10" t="str">
        <f>'(FnCalls 1)'!F49</f>
        <v>MMM 2010</v>
      </c>
      <c r="K966" s="10" t="str">
        <f>'(FnCalls 1)'!F50</f>
        <v>MMM 2010</v>
      </c>
      <c r="L966" s="10" t="str">
        <f>'(FnCalls 1)'!F51</f>
        <v>MMM 2010</v>
      </c>
      <c r="M966" s="10" t="str">
        <f>'(FnCalls 1)'!F52</f>
        <v>MMM 2010</v>
      </c>
      <c r="N966" s="10" t="str">
        <f>'(FnCalls 1)'!F53</f>
        <v>MMM 2011</v>
      </c>
      <c r="O966" s="10" t="str">
        <f>'(FnCalls 1)'!F54</f>
        <v>MMM 2011</v>
      </c>
      <c r="P966" s="10" t="str">
        <f>'(FnCalls 1)'!F55</f>
        <v>MMM 2011</v>
      </c>
      <c r="Q966" s="10" t="str">
        <f>'(FnCalls 1)'!F56</f>
        <v>MMM 2011</v>
      </c>
      <c r="R966" s="10" t="str">
        <f>'(FnCalls 1)'!F57</f>
        <v>MMM 2011</v>
      </c>
      <c r="S966" s="11" t="str">
        <f>'(FnCalls 1)'!F58</f>
        <v>MMM 2011</v>
      </c>
    </row>
    <row r="967" spans="1:19" ht="12.75" customHeight="1" x14ac:dyDescent="0.2">
      <c r="A967" s="97"/>
      <c r="B967" s="364">
        <f>'(FnCalls 1)'!A41</f>
        <v>40179</v>
      </c>
      <c r="C967" s="364">
        <f>'(FnCalls 1)'!A42</f>
        <v>40210</v>
      </c>
      <c r="D967" s="364">
        <f>'(FnCalls 1)'!A43</f>
        <v>40238</v>
      </c>
      <c r="E967" s="364">
        <f>'(FnCalls 1)'!A44</f>
        <v>40269</v>
      </c>
      <c r="F967" s="364">
        <f>'(FnCalls 1)'!A45</f>
        <v>40299</v>
      </c>
      <c r="G967" s="364">
        <f>'(FnCalls 1)'!A46</f>
        <v>40330</v>
      </c>
      <c r="H967" s="364">
        <f>'(FnCalls 1)'!A47</f>
        <v>40360</v>
      </c>
      <c r="I967" s="364">
        <f>'(FnCalls 1)'!A48</f>
        <v>40391</v>
      </c>
      <c r="J967" s="364">
        <f>'(FnCalls 1)'!A49</f>
        <v>40422</v>
      </c>
      <c r="K967" s="364">
        <f>'(FnCalls 1)'!A50</f>
        <v>40452</v>
      </c>
      <c r="L967" s="364">
        <f>'(FnCalls 1)'!A51</f>
        <v>40483</v>
      </c>
      <c r="M967" s="364">
        <f>'(FnCalls 1)'!A52</f>
        <v>40513</v>
      </c>
      <c r="N967" s="364">
        <f>'(FnCalls 1)'!A53</f>
        <v>40544</v>
      </c>
      <c r="O967" s="364">
        <f>'(FnCalls 1)'!A54</f>
        <v>40575</v>
      </c>
      <c r="P967" s="364">
        <f>'(FnCalls 1)'!A55</f>
        <v>40603</v>
      </c>
      <c r="Q967" s="364">
        <f>'(FnCalls 1)'!A56</f>
        <v>40634</v>
      </c>
      <c r="R967" s="364">
        <f>'(FnCalls 1)'!A57</f>
        <v>40664</v>
      </c>
      <c r="S967" s="365">
        <f>'(FnCalls 1)'!A58</f>
        <v>40695</v>
      </c>
    </row>
    <row r="968" spans="1:19" ht="12.75" customHeight="1" x14ac:dyDescent="0.2">
      <c r="A968" s="1" t="str">
        <f>"Engage_Rev_Nominal_Fees_2"</f>
        <v>Engage_Rev_Nominal_Fees_2</v>
      </c>
    </row>
    <row r="969" spans="1:19" ht="12.75" customHeight="1" x14ac:dyDescent="0.2">
      <c r="B969" s="9" t="str">
        <f>'(FnCalls 1)'!F41</f>
        <v>MMM 2010</v>
      </c>
      <c r="C969" s="10" t="str">
        <f>'(FnCalls 1)'!F42</f>
        <v>MMM 2010</v>
      </c>
      <c r="D969" s="10" t="str">
        <f>'(FnCalls 1)'!F43</f>
        <v>MMM 2010</v>
      </c>
      <c r="E969" s="10" t="str">
        <f>'(FnCalls 1)'!F44</f>
        <v>MMM 2010</v>
      </c>
      <c r="F969" s="10" t="str">
        <f>'(FnCalls 1)'!F45</f>
        <v>MMM 2010</v>
      </c>
      <c r="G969" s="10" t="str">
        <f>'(FnCalls 1)'!F46</f>
        <v>MMM 2010</v>
      </c>
      <c r="H969" s="10" t="str">
        <f>'(FnCalls 1)'!F47</f>
        <v>MMM 2010</v>
      </c>
      <c r="I969" s="10" t="str">
        <f>'(FnCalls 1)'!F48</f>
        <v>MMM 2010</v>
      </c>
      <c r="J969" s="10" t="str">
        <f>'(FnCalls 1)'!F49</f>
        <v>MMM 2010</v>
      </c>
      <c r="K969" s="10" t="str">
        <f>'(FnCalls 1)'!F50</f>
        <v>MMM 2010</v>
      </c>
      <c r="L969" s="10" t="str">
        <f>'(FnCalls 1)'!F51</f>
        <v>MMM 2010</v>
      </c>
      <c r="M969" s="10" t="str">
        <f>'(FnCalls 1)'!F52</f>
        <v>MMM 2010</v>
      </c>
      <c r="N969" s="10" t="str">
        <f>'(FnCalls 1)'!F53</f>
        <v>MMM 2011</v>
      </c>
      <c r="O969" s="10" t="str">
        <f>'(FnCalls 1)'!F54</f>
        <v>MMM 2011</v>
      </c>
      <c r="P969" s="10" t="str">
        <f>'(FnCalls 1)'!F55</f>
        <v>MMM 2011</v>
      </c>
      <c r="Q969" s="10" t="str">
        <f>'(FnCalls 1)'!F56</f>
        <v>MMM 2011</v>
      </c>
      <c r="R969" s="10" t="str">
        <f>'(FnCalls 1)'!F57</f>
        <v>MMM 2011</v>
      </c>
      <c r="S969" s="11" t="str">
        <f>'(FnCalls 1)'!F58</f>
        <v>MMM 2011</v>
      </c>
    </row>
    <row r="970" spans="1:19" ht="12.75" customHeight="1" x14ac:dyDescent="0.2">
      <c r="A970" s="97"/>
      <c r="B970" s="364" t="str">
        <f>'(FnCalls 1)'!F41</f>
        <v>MMM 2010</v>
      </c>
      <c r="C970" s="364" t="str">
        <f>'(FnCalls 1)'!F42</f>
        <v>MMM 2010</v>
      </c>
      <c r="D970" s="364" t="str">
        <f>'(FnCalls 1)'!F43</f>
        <v>MMM 2010</v>
      </c>
      <c r="E970" s="364" t="str">
        <f>'(FnCalls 1)'!F44</f>
        <v>MMM 2010</v>
      </c>
      <c r="F970" s="364" t="str">
        <f>'(FnCalls 1)'!F45</f>
        <v>MMM 2010</v>
      </c>
      <c r="G970" s="364" t="str">
        <f>'(FnCalls 1)'!F46</f>
        <v>MMM 2010</v>
      </c>
      <c r="H970" s="364" t="str">
        <f>'(FnCalls 1)'!F47</f>
        <v>MMM 2010</v>
      </c>
      <c r="I970" s="364" t="str">
        <f>'(FnCalls 1)'!F48</f>
        <v>MMM 2010</v>
      </c>
      <c r="J970" s="364" t="str">
        <f>'(FnCalls 1)'!F49</f>
        <v>MMM 2010</v>
      </c>
      <c r="K970" s="364" t="str">
        <f>'(FnCalls 1)'!F50</f>
        <v>MMM 2010</v>
      </c>
      <c r="L970" s="364" t="str">
        <f>'(FnCalls 1)'!F51</f>
        <v>MMM 2010</v>
      </c>
      <c r="M970" s="364" t="str">
        <f>'(FnCalls 1)'!F52</f>
        <v>MMM 2010</v>
      </c>
      <c r="N970" s="364" t="str">
        <f>'(FnCalls 1)'!F53</f>
        <v>MMM 2011</v>
      </c>
      <c r="O970" s="364" t="str">
        <f>'(FnCalls 1)'!F54</f>
        <v>MMM 2011</v>
      </c>
      <c r="P970" s="364" t="str">
        <f>'(FnCalls 1)'!F55</f>
        <v>MMM 2011</v>
      </c>
      <c r="Q970" s="364" t="str">
        <f>'(FnCalls 1)'!F56</f>
        <v>MMM 2011</v>
      </c>
      <c r="R970" s="364" t="str">
        <f>'(FnCalls 1)'!F57</f>
        <v>MMM 2011</v>
      </c>
      <c r="S970" s="365" t="str">
        <f>'(FnCalls 1)'!F58</f>
        <v>MMM 2011</v>
      </c>
    </row>
    <row r="971" spans="1:19" ht="12.75" customHeight="1" x14ac:dyDescent="0.2">
      <c r="A971" s="1" t="str">
        <f>"Orders_Filled_1"</f>
        <v>Orders_Filled_1</v>
      </c>
    </row>
    <row r="972" spans="1:19" ht="12.75" customHeight="1" x14ac:dyDescent="0.2">
      <c r="B972" s="9" t="str">
        <f>'(FnCalls 1)'!F41</f>
        <v>MMM 2010</v>
      </c>
      <c r="C972" s="10" t="str">
        <f>'(FnCalls 1)'!F42</f>
        <v>MMM 2010</v>
      </c>
      <c r="D972" s="10" t="str">
        <f>'(FnCalls 1)'!F43</f>
        <v>MMM 2010</v>
      </c>
      <c r="E972" s="10" t="str">
        <f>'(FnCalls 1)'!F44</f>
        <v>MMM 2010</v>
      </c>
      <c r="F972" s="10" t="str">
        <f>'(FnCalls 1)'!F45</f>
        <v>MMM 2010</v>
      </c>
      <c r="G972" s="10" t="str">
        <f>'(FnCalls 1)'!F46</f>
        <v>MMM 2010</v>
      </c>
      <c r="H972" s="10" t="str">
        <f>'(FnCalls 1)'!F47</f>
        <v>MMM 2010</v>
      </c>
      <c r="I972" s="10" t="str">
        <f>'(FnCalls 1)'!F48</f>
        <v>MMM 2010</v>
      </c>
      <c r="J972" s="10" t="str">
        <f>'(FnCalls 1)'!F49</f>
        <v>MMM 2010</v>
      </c>
      <c r="K972" s="10" t="str">
        <f>'(FnCalls 1)'!F50</f>
        <v>MMM 2010</v>
      </c>
      <c r="L972" s="10" t="str">
        <f>'(FnCalls 1)'!F51</f>
        <v>MMM 2010</v>
      </c>
      <c r="M972" s="10" t="str">
        <f>'(FnCalls 1)'!F52</f>
        <v>MMM 2010</v>
      </c>
      <c r="N972" s="10" t="str">
        <f>'(FnCalls 1)'!F53</f>
        <v>MMM 2011</v>
      </c>
      <c r="O972" s="10" t="str">
        <f>'(FnCalls 1)'!F54</f>
        <v>MMM 2011</v>
      </c>
      <c r="P972" s="10" t="str">
        <f>'(FnCalls 1)'!F55</f>
        <v>MMM 2011</v>
      </c>
      <c r="Q972" s="10" t="str">
        <f>'(FnCalls 1)'!F56</f>
        <v>MMM 2011</v>
      </c>
      <c r="R972" s="10" t="str">
        <f>'(FnCalls 1)'!F57</f>
        <v>MMM 2011</v>
      </c>
      <c r="S972" s="11" t="str">
        <f>'(FnCalls 1)'!F58</f>
        <v>MMM 2011</v>
      </c>
    </row>
    <row r="973" spans="1:19" ht="12.75" customHeight="1" x14ac:dyDescent="0.2">
      <c r="A973" s="97"/>
      <c r="B973" s="364">
        <f>'(FnCalls 1)'!A41</f>
        <v>40179</v>
      </c>
      <c r="C973" s="364">
        <f>'(FnCalls 1)'!A42</f>
        <v>40210</v>
      </c>
      <c r="D973" s="364">
        <f>'(FnCalls 1)'!A43</f>
        <v>40238</v>
      </c>
      <c r="E973" s="364">
        <f>'(FnCalls 1)'!A44</f>
        <v>40269</v>
      </c>
      <c r="F973" s="364">
        <f>'(FnCalls 1)'!A45</f>
        <v>40299</v>
      </c>
      <c r="G973" s="364">
        <f>'(FnCalls 1)'!A46</f>
        <v>40330</v>
      </c>
      <c r="H973" s="364">
        <f>'(FnCalls 1)'!A47</f>
        <v>40360</v>
      </c>
      <c r="I973" s="364">
        <f>'(FnCalls 1)'!A48</f>
        <v>40391</v>
      </c>
      <c r="J973" s="364">
        <f>'(FnCalls 1)'!A49</f>
        <v>40422</v>
      </c>
      <c r="K973" s="364">
        <f>'(FnCalls 1)'!A50</f>
        <v>40452</v>
      </c>
      <c r="L973" s="364">
        <f>'(FnCalls 1)'!A51</f>
        <v>40483</v>
      </c>
      <c r="M973" s="364">
        <f>'(FnCalls 1)'!A52</f>
        <v>40513</v>
      </c>
      <c r="N973" s="364">
        <f>'(FnCalls 1)'!A53</f>
        <v>40544</v>
      </c>
      <c r="O973" s="364">
        <f>'(FnCalls 1)'!A54</f>
        <v>40575</v>
      </c>
      <c r="P973" s="364">
        <f>'(FnCalls 1)'!A55</f>
        <v>40603</v>
      </c>
      <c r="Q973" s="364">
        <f>'(FnCalls 1)'!A56</f>
        <v>40634</v>
      </c>
      <c r="R973" s="364">
        <f>'(FnCalls 1)'!A57</f>
        <v>40664</v>
      </c>
      <c r="S973" s="365">
        <f>'(FnCalls 1)'!A58</f>
        <v>40695</v>
      </c>
    </row>
    <row r="974" spans="1:19" ht="12.75" customHeight="1" x14ac:dyDescent="0.2">
      <c r="A974" s="1" t="str">
        <f>"Orders_Filled_2"</f>
        <v>Orders_Filled_2</v>
      </c>
    </row>
    <row r="975" spans="1:19" ht="12.75" customHeight="1" x14ac:dyDescent="0.2">
      <c r="B975" s="9" t="str">
        <f>'(FnCalls 1)'!F41</f>
        <v>MMM 2010</v>
      </c>
      <c r="C975" s="10" t="str">
        <f>'(FnCalls 1)'!F42</f>
        <v>MMM 2010</v>
      </c>
      <c r="D975" s="10" t="str">
        <f>'(FnCalls 1)'!F43</f>
        <v>MMM 2010</v>
      </c>
      <c r="E975" s="10" t="str">
        <f>'(FnCalls 1)'!F44</f>
        <v>MMM 2010</v>
      </c>
      <c r="F975" s="10" t="str">
        <f>'(FnCalls 1)'!F45</f>
        <v>MMM 2010</v>
      </c>
      <c r="G975" s="10" t="str">
        <f>'(FnCalls 1)'!F46</f>
        <v>MMM 2010</v>
      </c>
      <c r="H975" s="10" t="str">
        <f>'(FnCalls 1)'!F47</f>
        <v>MMM 2010</v>
      </c>
      <c r="I975" s="10" t="str">
        <f>'(FnCalls 1)'!F48</f>
        <v>MMM 2010</v>
      </c>
      <c r="J975" s="10" t="str">
        <f>'(FnCalls 1)'!F49</f>
        <v>MMM 2010</v>
      </c>
      <c r="K975" s="10" t="str">
        <f>'(FnCalls 1)'!F50</f>
        <v>MMM 2010</v>
      </c>
      <c r="L975" s="10" t="str">
        <f>'(FnCalls 1)'!F51</f>
        <v>MMM 2010</v>
      </c>
      <c r="M975" s="10" t="str">
        <f>'(FnCalls 1)'!F52</f>
        <v>MMM 2010</v>
      </c>
      <c r="N975" s="10" t="str">
        <f>'(FnCalls 1)'!F53</f>
        <v>MMM 2011</v>
      </c>
      <c r="O975" s="10" t="str">
        <f>'(FnCalls 1)'!F54</f>
        <v>MMM 2011</v>
      </c>
      <c r="P975" s="10" t="str">
        <f>'(FnCalls 1)'!F55</f>
        <v>MMM 2011</v>
      </c>
      <c r="Q975" s="10" t="str">
        <f>'(FnCalls 1)'!F56</f>
        <v>MMM 2011</v>
      </c>
      <c r="R975" s="10" t="str">
        <f>'(FnCalls 1)'!F57</f>
        <v>MMM 2011</v>
      </c>
      <c r="S975" s="11" t="str">
        <f>'(FnCalls 1)'!F58</f>
        <v>MMM 2011</v>
      </c>
    </row>
    <row r="976" spans="1:19" ht="12.75" customHeight="1" x14ac:dyDescent="0.2">
      <c r="A976" s="97"/>
      <c r="B976" s="364" t="str">
        <f>'(FnCalls 1)'!F41</f>
        <v>MMM 2010</v>
      </c>
      <c r="C976" s="364" t="str">
        <f>'(FnCalls 1)'!F42</f>
        <v>MMM 2010</v>
      </c>
      <c r="D976" s="364" t="str">
        <f>'(FnCalls 1)'!F43</f>
        <v>MMM 2010</v>
      </c>
      <c r="E976" s="364" t="str">
        <f>'(FnCalls 1)'!F44</f>
        <v>MMM 2010</v>
      </c>
      <c r="F976" s="364" t="str">
        <f>'(FnCalls 1)'!F45</f>
        <v>MMM 2010</v>
      </c>
      <c r="G976" s="364" t="str">
        <f>'(FnCalls 1)'!F46</f>
        <v>MMM 2010</v>
      </c>
      <c r="H976" s="364" t="str">
        <f>'(FnCalls 1)'!F47</f>
        <v>MMM 2010</v>
      </c>
      <c r="I976" s="364" t="str">
        <f>'(FnCalls 1)'!F48</f>
        <v>MMM 2010</v>
      </c>
      <c r="J976" s="364" t="str">
        <f>'(FnCalls 1)'!F49</f>
        <v>MMM 2010</v>
      </c>
      <c r="K976" s="364" t="str">
        <f>'(FnCalls 1)'!F50</f>
        <v>MMM 2010</v>
      </c>
      <c r="L976" s="364" t="str">
        <f>'(FnCalls 1)'!F51</f>
        <v>MMM 2010</v>
      </c>
      <c r="M976" s="364" t="str">
        <f>'(FnCalls 1)'!F52</f>
        <v>MMM 2010</v>
      </c>
      <c r="N976" s="364" t="str">
        <f>'(FnCalls 1)'!F53</f>
        <v>MMM 2011</v>
      </c>
      <c r="O976" s="364" t="str">
        <f>'(FnCalls 1)'!F54</f>
        <v>MMM 2011</v>
      </c>
      <c r="P976" s="364" t="str">
        <f>'(FnCalls 1)'!F55</f>
        <v>MMM 2011</v>
      </c>
      <c r="Q976" s="364" t="str">
        <f>'(FnCalls 1)'!F56</f>
        <v>MMM 2011</v>
      </c>
      <c r="R976" s="364" t="str">
        <f>'(FnCalls 1)'!F57</f>
        <v>MMM 2011</v>
      </c>
      <c r="S976" s="365" t="str">
        <f>'(FnCalls 1)'!F58</f>
        <v>MMM 2011</v>
      </c>
    </row>
    <row r="977" spans="1:19" ht="12.75" customHeight="1" x14ac:dyDescent="0.2">
      <c r="A977" s="1" t="str">
        <f>"Prof_Staff_Count_1"</f>
        <v>Prof_Staff_Count_1</v>
      </c>
    </row>
    <row r="978" spans="1:19" ht="12.75" customHeight="1" x14ac:dyDescent="0.2">
      <c r="B978" s="9" t="str">
        <f>'(FnCalls 1)'!F41</f>
        <v>MMM 2010</v>
      </c>
      <c r="C978" s="10" t="str">
        <f>'(FnCalls 1)'!F42</f>
        <v>MMM 2010</v>
      </c>
      <c r="D978" s="10" t="str">
        <f>'(FnCalls 1)'!F43</f>
        <v>MMM 2010</v>
      </c>
      <c r="E978" s="10" t="str">
        <f>'(FnCalls 1)'!F44</f>
        <v>MMM 2010</v>
      </c>
      <c r="F978" s="10" t="str">
        <f>'(FnCalls 1)'!F45</f>
        <v>MMM 2010</v>
      </c>
      <c r="G978" s="10" t="str">
        <f>'(FnCalls 1)'!F46</f>
        <v>MMM 2010</v>
      </c>
      <c r="H978" s="10" t="str">
        <f>'(FnCalls 1)'!F47</f>
        <v>MMM 2010</v>
      </c>
      <c r="I978" s="10" t="str">
        <f>'(FnCalls 1)'!F48</f>
        <v>MMM 2010</v>
      </c>
      <c r="J978" s="10" t="str">
        <f>'(FnCalls 1)'!F49</f>
        <v>MMM 2010</v>
      </c>
      <c r="K978" s="10" t="str">
        <f>'(FnCalls 1)'!F50</f>
        <v>MMM 2010</v>
      </c>
      <c r="L978" s="10" t="str">
        <f>'(FnCalls 1)'!F51</f>
        <v>MMM 2010</v>
      </c>
      <c r="M978" s="10" t="str">
        <f>'(FnCalls 1)'!F52</f>
        <v>MMM 2010</v>
      </c>
      <c r="N978" s="10" t="str">
        <f>'(FnCalls 1)'!F53</f>
        <v>MMM 2011</v>
      </c>
      <c r="O978" s="10" t="str">
        <f>'(FnCalls 1)'!F54</f>
        <v>MMM 2011</v>
      </c>
      <c r="P978" s="10" t="str">
        <f>'(FnCalls 1)'!F55</f>
        <v>MMM 2011</v>
      </c>
      <c r="Q978" s="10" t="str">
        <f>'(FnCalls 1)'!F56</f>
        <v>MMM 2011</v>
      </c>
      <c r="R978" s="10" t="str">
        <f>'(FnCalls 1)'!F57</f>
        <v>MMM 2011</v>
      </c>
      <c r="S978" s="11" t="str">
        <f>'(FnCalls 1)'!F58</f>
        <v>MMM 2011</v>
      </c>
    </row>
    <row r="979" spans="1:19" ht="12.75" customHeight="1" x14ac:dyDescent="0.2">
      <c r="A979" s="97"/>
      <c r="B979" s="364">
        <f>'(FnCalls 1)'!A41</f>
        <v>40179</v>
      </c>
      <c r="C979" s="364">
        <f>'(FnCalls 1)'!A42</f>
        <v>40210</v>
      </c>
      <c r="D979" s="364">
        <f>'(FnCalls 1)'!A43</f>
        <v>40238</v>
      </c>
      <c r="E979" s="364">
        <f>'(FnCalls 1)'!A44</f>
        <v>40269</v>
      </c>
      <c r="F979" s="364">
        <f>'(FnCalls 1)'!A45</f>
        <v>40299</v>
      </c>
      <c r="G979" s="364">
        <f>'(FnCalls 1)'!A46</f>
        <v>40330</v>
      </c>
      <c r="H979" s="364">
        <f>'(FnCalls 1)'!A47</f>
        <v>40360</v>
      </c>
      <c r="I979" s="364">
        <f>'(FnCalls 1)'!A48</f>
        <v>40391</v>
      </c>
      <c r="J979" s="364">
        <f>'(FnCalls 1)'!A49</f>
        <v>40422</v>
      </c>
      <c r="K979" s="364">
        <f>'(FnCalls 1)'!A50</f>
        <v>40452</v>
      </c>
      <c r="L979" s="364">
        <f>'(FnCalls 1)'!A51</f>
        <v>40483</v>
      </c>
      <c r="M979" s="364">
        <f>'(FnCalls 1)'!A52</f>
        <v>40513</v>
      </c>
      <c r="N979" s="364">
        <f>'(FnCalls 1)'!A53</f>
        <v>40544</v>
      </c>
      <c r="O979" s="364">
        <f>'(FnCalls 1)'!A54</f>
        <v>40575</v>
      </c>
      <c r="P979" s="364">
        <f>'(FnCalls 1)'!A55</f>
        <v>40603</v>
      </c>
      <c r="Q979" s="364">
        <f>'(FnCalls 1)'!A56</f>
        <v>40634</v>
      </c>
      <c r="R979" s="364">
        <f>'(FnCalls 1)'!A57</f>
        <v>40664</v>
      </c>
      <c r="S979" s="365">
        <f>'(FnCalls 1)'!A58</f>
        <v>40695</v>
      </c>
    </row>
    <row r="980" spans="1:19" ht="12.75" customHeight="1" x14ac:dyDescent="0.2">
      <c r="A980" s="1" t="str">
        <f>"Prof_Staff_Count_2"</f>
        <v>Prof_Staff_Count_2</v>
      </c>
    </row>
    <row r="981" spans="1:19" ht="12.75" customHeight="1" x14ac:dyDescent="0.2">
      <c r="B981" s="9" t="str">
        <f>'(FnCalls 1)'!F41</f>
        <v>MMM 2010</v>
      </c>
      <c r="C981" s="10" t="str">
        <f>'(FnCalls 1)'!F42</f>
        <v>MMM 2010</v>
      </c>
      <c r="D981" s="10" t="str">
        <f>'(FnCalls 1)'!F43</f>
        <v>MMM 2010</v>
      </c>
      <c r="E981" s="10" t="str">
        <f>'(FnCalls 1)'!F44</f>
        <v>MMM 2010</v>
      </c>
      <c r="F981" s="10" t="str">
        <f>'(FnCalls 1)'!F45</f>
        <v>MMM 2010</v>
      </c>
      <c r="G981" s="10" t="str">
        <f>'(FnCalls 1)'!F46</f>
        <v>MMM 2010</v>
      </c>
      <c r="H981" s="10" t="str">
        <f>'(FnCalls 1)'!F47</f>
        <v>MMM 2010</v>
      </c>
      <c r="I981" s="10" t="str">
        <f>'(FnCalls 1)'!F48</f>
        <v>MMM 2010</v>
      </c>
      <c r="J981" s="10" t="str">
        <f>'(FnCalls 1)'!F49</f>
        <v>MMM 2010</v>
      </c>
      <c r="K981" s="10" t="str">
        <f>'(FnCalls 1)'!F50</f>
        <v>MMM 2010</v>
      </c>
      <c r="L981" s="10" t="str">
        <f>'(FnCalls 1)'!F51</f>
        <v>MMM 2010</v>
      </c>
      <c r="M981" s="10" t="str">
        <f>'(FnCalls 1)'!F52</f>
        <v>MMM 2010</v>
      </c>
      <c r="N981" s="10" t="str">
        <f>'(FnCalls 1)'!F53</f>
        <v>MMM 2011</v>
      </c>
      <c r="O981" s="10" t="str">
        <f>'(FnCalls 1)'!F54</f>
        <v>MMM 2011</v>
      </c>
      <c r="P981" s="10" t="str">
        <f>'(FnCalls 1)'!F55</f>
        <v>MMM 2011</v>
      </c>
      <c r="Q981" s="10" t="str">
        <f>'(FnCalls 1)'!F56</f>
        <v>MMM 2011</v>
      </c>
      <c r="R981" s="10" t="str">
        <f>'(FnCalls 1)'!F57</f>
        <v>MMM 2011</v>
      </c>
      <c r="S981" s="11" t="str">
        <f>'(FnCalls 1)'!F58</f>
        <v>MMM 2011</v>
      </c>
    </row>
    <row r="982" spans="1:19" ht="12.75" customHeight="1" x14ac:dyDescent="0.2">
      <c r="A982" s="97"/>
      <c r="B982" s="364" t="str">
        <f>'(FnCalls 1)'!F41</f>
        <v>MMM 2010</v>
      </c>
      <c r="C982" s="364" t="str">
        <f>'(FnCalls 1)'!F42</f>
        <v>MMM 2010</v>
      </c>
      <c r="D982" s="364" t="str">
        <f>'(FnCalls 1)'!F43</f>
        <v>MMM 2010</v>
      </c>
      <c r="E982" s="364" t="str">
        <f>'(FnCalls 1)'!F44</f>
        <v>MMM 2010</v>
      </c>
      <c r="F982" s="364" t="str">
        <f>'(FnCalls 1)'!F45</f>
        <v>MMM 2010</v>
      </c>
      <c r="G982" s="364" t="str">
        <f>'(FnCalls 1)'!F46</f>
        <v>MMM 2010</v>
      </c>
      <c r="H982" s="364" t="str">
        <f>'(FnCalls 1)'!F47</f>
        <v>MMM 2010</v>
      </c>
      <c r="I982" s="364" t="str">
        <f>'(FnCalls 1)'!F48</f>
        <v>MMM 2010</v>
      </c>
      <c r="J982" s="364" t="str">
        <f>'(FnCalls 1)'!F49</f>
        <v>MMM 2010</v>
      </c>
      <c r="K982" s="364" t="str">
        <f>'(FnCalls 1)'!F50</f>
        <v>MMM 2010</v>
      </c>
      <c r="L982" s="364" t="str">
        <f>'(FnCalls 1)'!F51</f>
        <v>MMM 2010</v>
      </c>
      <c r="M982" s="364" t="str">
        <f>'(FnCalls 1)'!F52</f>
        <v>MMM 2010</v>
      </c>
      <c r="N982" s="364" t="str">
        <f>'(FnCalls 1)'!F53</f>
        <v>MMM 2011</v>
      </c>
      <c r="O982" s="364" t="str">
        <f>'(FnCalls 1)'!F54</f>
        <v>MMM 2011</v>
      </c>
      <c r="P982" s="364" t="str">
        <f>'(FnCalls 1)'!F55</f>
        <v>MMM 2011</v>
      </c>
      <c r="Q982" s="364" t="str">
        <f>'(FnCalls 1)'!F56</f>
        <v>MMM 2011</v>
      </c>
      <c r="R982" s="364" t="str">
        <f>'(FnCalls 1)'!F57</f>
        <v>MMM 2011</v>
      </c>
      <c r="S982" s="365" t="str">
        <f>'(FnCalls 1)'!F58</f>
        <v>MMM 2011</v>
      </c>
    </row>
    <row r="983" spans="1:19" ht="12.75" customHeight="1" x14ac:dyDescent="0.2">
      <c r="A983" s="1" t="str">
        <f>"Prof_Staff_Count1_1"</f>
        <v>Prof_Staff_Count1_1</v>
      </c>
    </row>
    <row r="984" spans="1:19" ht="12.75" customHeight="1" x14ac:dyDescent="0.2">
      <c r="B984" s="9" t="str">
        <f>'(FnCalls 1)'!F41</f>
        <v>MMM 2010</v>
      </c>
      <c r="C984" s="10" t="str">
        <f>'(FnCalls 1)'!F42</f>
        <v>MMM 2010</v>
      </c>
      <c r="D984" s="10" t="str">
        <f>'(FnCalls 1)'!F43</f>
        <v>MMM 2010</v>
      </c>
      <c r="E984" s="10" t="str">
        <f>'(FnCalls 1)'!F44</f>
        <v>MMM 2010</v>
      </c>
      <c r="F984" s="10" t="str">
        <f>'(FnCalls 1)'!F45</f>
        <v>MMM 2010</v>
      </c>
      <c r="G984" s="10" t="str">
        <f>'(FnCalls 1)'!F46</f>
        <v>MMM 2010</v>
      </c>
      <c r="H984" s="10" t="str">
        <f>'(FnCalls 1)'!F47</f>
        <v>MMM 2010</v>
      </c>
      <c r="I984" s="10" t="str">
        <f>'(FnCalls 1)'!F48</f>
        <v>MMM 2010</v>
      </c>
      <c r="J984" s="10" t="str">
        <f>'(FnCalls 1)'!F49</f>
        <v>MMM 2010</v>
      </c>
      <c r="K984" s="10" t="str">
        <f>'(FnCalls 1)'!F50</f>
        <v>MMM 2010</v>
      </c>
      <c r="L984" s="10" t="str">
        <f>'(FnCalls 1)'!F51</f>
        <v>MMM 2010</v>
      </c>
      <c r="M984" s="10" t="str">
        <f>'(FnCalls 1)'!F52</f>
        <v>MMM 2010</v>
      </c>
      <c r="N984" s="10" t="str">
        <f>'(FnCalls 1)'!F53</f>
        <v>MMM 2011</v>
      </c>
      <c r="O984" s="10" t="str">
        <f>'(FnCalls 1)'!F54</f>
        <v>MMM 2011</v>
      </c>
      <c r="P984" s="10" t="str">
        <f>'(FnCalls 1)'!F55</f>
        <v>MMM 2011</v>
      </c>
      <c r="Q984" s="10" t="str">
        <f>'(FnCalls 1)'!F56</f>
        <v>MMM 2011</v>
      </c>
      <c r="R984" s="10" t="str">
        <f>'(FnCalls 1)'!F57</f>
        <v>MMM 2011</v>
      </c>
      <c r="S984" s="11" t="str">
        <f>'(FnCalls 1)'!F58</f>
        <v>MMM 2011</v>
      </c>
    </row>
    <row r="985" spans="1:19" ht="12.75" customHeight="1" x14ac:dyDescent="0.2">
      <c r="A985" s="97"/>
      <c r="B985" s="364">
        <f>'(FnCalls 1)'!A41</f>
        <v>40179</v>
      </c>
      <c r="C985" s="364">
        <f>'(FnCalls 1)'!A42</f>
        <v>40210</v>
      </c>
      <c r="D985" s="364">
        <f>'(FnCalls 1)'!A43</f>
        <v>40238</v>
      </c>
      <c r="E985" s="364">
        <f>'(FnCalls 1)'!A44</f>
        <v>40269</v>
      </c>
      <c r="F985" s="364">
        <f>'(FnCalls 1)'!A45</f>
        <v>40299</v>
      </c>
      <c r="G985" s="364">
        <f>'(FnCalls 1)'!A46</f>
        <v>40330</v>
      </c>
      <c r="H985" s="364">
        <f>'(FnCalls 1)'!A47</f>
        <v>40360</v>
      </c>
      <c r="I985" s="364">
        <f>'(FnCalls 1)'!A48</f>
        <v>40391</v>
      </c>
      <c r="J985" s="364">
        <f>'(FnCalls 1)'!A49</f>
        <v>40422</v>
      </c>
      <c r="K985" s="364">
        <f>'(FnCalls 1)'!A50</f>
        <v>40452</v>
      </c>
      <c r="L985" s="364">
        <f>'(FnCalls 1)'!A51</f>
        <v>40483</v>
      </c>
      <c r="M985" s="364">
        <f>'(FnCalls 1)'!A52</f>
        <v>40513</v>
      </c>
      <c r="N985" s="364">
        <f>'(FnCalls 1)'!A53</f>
        <v>40544</v>
      </c>
      <c r="O985" s="364">
        <f>'(FnCalls 1)'!A54</f>
        <v>40575</v>
      </c>
      <c r="P985" s="364">
        <f>'(FnCalls 1)'!A55</f>
        <v>40603</v>
      </c>
      <c r="Q985" s="364">
        <f>'(FnCalls 1)'!A56</f>
        <v>40634</v>
      </c>
      <c r="R985" s="364">
        <f>'(FnCalls 1)'!A57</f>
        <v>40664</v>
      </c>
      <c r="S985" s="365">
        <f>'(FnCalls 1)'!A58</f>
        <v>40695</v>
      </c>
    </row>
    <row r="986" spans="1:19" ht="12.75" customHeight="1" x14ac:dyDescent="0.2">
      <c r="A986" s="1" t="str">
        <f>"Prof_Staff_Count1_2"</f>
        <v>Prof_Staff_Count1_2</v>
      </c>
    </row>
    <row r="987" spans="1:19" ht="12.75" customHeight="1" x14ac:dyDescent="0.2">
      <c r="B987" s="9" t="str">
        <f>'(FnCalls 1)'!F41</f>
        <v>MMM 2010</v>
      </c>
      <c r="C987" s="10" t="str">
        <f>'(FnCalls 1)'!F42</f>
        <v>MMM 2010</v>
      </c>
      <c r="D987" s="10" t="str">
        <f>'(FnCalls 1)'!F43</f>
        <v>MMM 2010</v>
      </c>
      <c r="E987" s="10" t="str">
        <f>'(FnCalls 1)'!F44</f>
        <v>MMM 2010</v>
      </c>
      <c r="F987" s="10" t="str">
        <f>'(FnCalls 1)'!F45</f>
        <v>MMM 2010</v>
      </c>
      <c r="G987" s="10" t="str">
        <f>'(FnCalls 1)'!F46</f>
        <v>MMM 2010</v>
      </c>
      <c r="H987" s="10" t="str">
        <f>'(FnCalls 1)'!F47</f>
        <v>MMM 2010</v>
      </c>
      <c r="I987" s="10" t="str">
        <f>'(FnCalls 1)'!F48</f>
        <v>MMM 2010</v>
      </c>
      <c r="J987" s="10" t="str">
        <f>'(FnCalls 1)'!F49</f>
        <v>MMM 2010</v>
      </c>
      <c r="K987" s="10" t="str">
        <f>'(FnCalls 1)'!F50</f>
        <v>MMM 2010</v>
      </c>
      <c r="L987" s="10" t="str">
        <f>'(FnCalls 1)'!F51</f>
        <v>MMM 2010</v>
      </c>
      <c r="M987" s="10" t="str">
        <f>'(FnCalls 1)'!F52</f>
        <v>MMM 2010</v>
      </c>
      <c r="N987" s="10" t="str">
        <f>'(FnCalls 1)'!F53</f>
        <v>MMM 2011</v>
      </c>
      <c r="O987" s="10" t="str">
        <f>'(FnCalls 1)'!F54</f>
        <v>MMM 2011</v>
      </c>
      <c r="P987" s="10" t="str">
        <f>'(FnCalls 1)'!F55</f>
        <v>MMM 2011</v>
      </c>
      <c r="Q987" s="10" t="str">
        <f>'(FnCalls 1)'!F56</f>
        <v>MMM 2011</v>
      </c>
      <c r="R987" s="10" t="str">
        <f>'(FnCalls 1)'!F57</f>
        <v>MMM 2011</v>
      </c>
      <c r="S987" s="11" t="str">
        <f>'(FnCalls 1)'!F58</f>
        <v>MMM 2011</v>
      </c>
    </row>
    <row r="988" spans="1:19" ht="12.75" customHeight="1" x14ac:dyDescent="0.2">
      <c r="A988" s="97"/>
      <c r="B988" s="364" t="str">
        <f>'(FnCalls 1)'!F41</f>
        <v>MMM 2010</v>
      </c>
      <c r="C988" s="364" t="str">
        <f>'(FnCalls 1)'!F42</f>
        <v>MMM 2010</v>
      </c>
      <c r="D988" s="364" t="str">
        <f>'(FnCalls 1)'!F43</f>
        <v>MMM 2010</v>
      </c>
      <c r="E988" s="364" t="str">
        <f>'(FnCalls 1)'!F44</f>
        <v>MMM 2010</v>
      </c>
      <c r="F988" s="364" t="str">
        <f>'(FnCalls 1)'!F45</f>
        <v>MMM 2010</v>
      </c>
      <c r="G988" s="364" t="str">
        <f>'(FnCalls 1)'!F46</f>
        <v>MMM 2010</v>
      </c>
      <c r="H988" s="364" t="str">
        <f>'(FnCalls 1)'!F47</f>
        <v>MMM 2010</v>
      </c>
      <c r="I988" s="364" t="str">
        <f>'(FnCalls 1)'!F48</f>
        <v>MMM 2010</v>
      </c>
      <c r="J988" s="364" t="str">
        <f>'(FnCalls 1)'!F49</f>
        <v>MMM 2010</v>
      </c>
      <c r="K988" s="364" t="str">
        <f>'(FnCalls 1)'!F50</f>
        <v>MMM 2010</v>
      </c>
      <c r="L988" s="364" t="str">
        <f>'(FnCalls 1)'!F51</f>
        <v>MMM 2010</v>
      </c>
      <c r="M988" s="364" t="str">
        <f>'(FnCalls 1)'!F52</f>
        <v>MMM 2010</v>
      </c>
      <c r="N988" s="364" t="str">
        <f>'(FnCalls 1)'!F53</f>
        <v>MMM 2011</v>
      </c>
      <c r="O988" s="364" t="str">
        <f>'(FnCalls 1)'!F54</f>
        <v>MMM 2011</v>
      </c>
      <c r="P988" s="364" t="str">
        <f>'(FnCalls 1)'!F55</f>
        <v>MMM 2011</v>
      </c>
      <c r="Q988" s="364" t="str">
        <f>'(FnCalls 1)'!F56</f>
        <v>MMM 2011</v>
      </c>
      <c r="R988" s="364" t="str">
        <f>'(FnCalls 1)'!F57</f>
        <v>MMM 2011</v>
      </c>
      <c r="S988" s="365" t="str">
        <f>'(FnCalls 1)'!F58</f>
        <v>MMM 2011</v>
      </c>
    </row>
    <row r="989" spans="1:19" ht="12.75" customHeight="1" x14ac:dyDescent="0.2">
      <c r="A989" s="1" t="str">
        <f>"Prof_Staff_Hrs_Engage_1"</f>
        <v>Prof_Staff_Hrs_Engage_1</v>
      </c>
    </row>
    <row r="990" spans="1:19" ht="12.75" customHeight="1" x14ac:dyDescent="0.2">
      <c r="B990" s="9" t="str">
        <f>'(FnCalls 1)'!F41</f>
        <v>MMM 2010</v>
      </c>
      <c r="C990" s="10" t="str">
        <f>'(FnCalls 1)'!F42</f>
        <v>MMM 2010</v>
      </c>
      <c r="D990" s="10" t="str">
        <f>'(FnCalls 1)'!F43</f>
        <v>MMM 2010</v>
      </c>
      <c r="E990" s="10" t="str">
        <f>'(FnCalls 1)'!F44</f>
        <v>MMM 2010</v>
      </c>
      <c r="F990" s="10" t="str">
        <f>'(FnCalls 1)'!F45</f>
        <v>MMM 2010</v>
      </c>
      <c r="G990" s="10" t="str">
        <f>'(FnCalls 1)'!F46</f>
        <v>MMM 2010</v>
      </c>
      <c r="H990" s="10" t="str">
        <f>'(FnCalls 1)'!F47</f>
        <v>MMM 2010</v>
      </c>
      <c r="I990" s="10" t="str">
        <f>'(FnCalls 1)'!F48</f>
        <v>MMM 2010</v>
      </c>
      <c r="J990" s="10" t="str">
        <f>'(FnCalls 1)'!F49</f>
        <v>MMM 2010</v>
      </c>
      <c r="K990" s="10" t="str">
        <f>'(FnCalls 1)'!F50</f>
        <v>MMM 2010</v>
      </c>
      <c r="L990" s="10" t="str">
        <f>'(FnCalls 1)'!F51</f>
        <v>MMM 2010</v>
      </c>
      <c r="M990" s="10" t="str">
        <f>'(FnCalls 1)'!F52</f>
        <v>MMM 2010</v>
      </c>
      <c r="N990" s="10" t="str">
        <f>'(FnCalls 1)'!F53</f>
        <v>MMM 2011</v>
      </c>
      <c r="O990" s="10" t="str">
        <f>'(FnCalls 1)'!F54</f>
        <v>MMM 2011</v>
      </c>
      <c r="P990" s="10" t="str">
        <f>'(FnCalls 1)'!F55</f>
        <v>MMM 2011</v>
      </c>
      <c r="Q990" s="10" t="str">
        <f>'(FnCalls 1)'!F56</f>
        <v>MMM 2011</v>
      </c>
      <c r="R990" s="10" t="str">
        <f>'(FnCalls 1)'!F57</f>
        <v>MMM 2011</v>
      </c>
      <c r="S990" s="11" t="str">
        <f>'(FnCalls 1)'!F58</f>
        <v>MMM 2011</v>
      </c>
    </row>
    <row r="991" spans="1:19" ht="12.75" customHeight="1" x14ac:dyDescent="0.2">
      <c r="A991" s="97"/>
      <c r="B991" s="364">
        <f>'(FnCalls 1)'!A41</f>
        <v>40179</v>
      </c>
      <c r="C991" s="364">
        <f>'(FnCalls 1)'!A42</f>
        <v>40210</v>
      </c>
      <c r="D991" s="364">
        <f>'(FnCalls 1)'!A43</f>
        <v>40238</v>
      </c>
      <c r="E991" s="364">
        <f>'(FnCalls 1)'!A44</f>
        <v>40269</v>
      </c>
      <c r="F991" s="364">
        <f>'(FnCalls 1)'!A45</f>
        <v>40299</v>
      </c>
      <c r="G991" s="364">
        <f>'(FnCalls 1)'!A46</f>
        <v>40330</v>
      </c>
      <c r="H991" s="364">
        <f>'(FnCalls 1)'!A47</f>
        <v>40360</v>
      </c>
      <c r="I991" s="364">
        <f>'(FnCalls 1)'!A48</f>
        <v>40391</v>
      </c>
      <c r="J991" s="364">
        <f>'(FnCalls 1)'!A49</f>
        <v>40422</v>
      </c>
      <c r="K991" s="364">
        <f>'(FnCalls 1)'!A50</f>
        <v>40452</v>
      </c>
      <c r="L991" s="364">
        <f>'(FnCalls 1)'!A51</f>
        <v>40483</v>
      </c>
      <c r="M991" s="364">
        <f>'(FnCalls 1)'!A52</f>
        <v>40513</v>
      </c>
      <c r="N991" s="364">
        <f>'(FnCalls 1)'!A53</f>
        <v>40544</v>
      </c>
      <c r="O991" s="364">
        <f>'(FnCalls 1)'!A54</f>
        <v>40575</v>
      </c>
      <c r="P991" s="364">
        <f>'(FnCalls 1)'!A55</f>
        <v>40603</v>
      </c>
      <c r="Q991" s="364">
        <f>'(FnCalls 1)'!A56</f>
        <v>40634</v>
      </c>
      <c r="R991" s="364">
        <f>'(FnCalls 1)'!A57</f>
        <v>40664</v>
      </c>
      <c r="S991" s="365">
        <f>'(FnCalls 1)'!A58</f>
        <v>40695</v>
      </c>
    </row>
    <row r="992" spans="1:19" ht="12.75" customHeight="1" x14ac:dyDescent="0.2">
      <c r="A992" s="1" t="str">
        <f>"Prof_Staff_Hrs_Engage_2"</f>
        <v>Prof_Staff_Hrs_Engage_2</v>
      </c>
    </row>
    <row r="993" spans="1:19" ht="12.75" customHeight="1" x14ac:dyDescent="0.2">
      <c r="B993" s="9" t="str">
        <f>'(FnCalls 1)'!F41</f>
        <v>MMM 2010</v>
      </c>
      <c r="C993" s="10" t="str">
        <f>'(FnCalls 1)'!F42</f>
        <v>MMM 2010</v>
      </c>
      <c r="D993" s="10" t="str">
        <f>'(FnCalls 1)'!F43</f>
        <v>MMM 2010</v>
      </c>
      <c r="E993" s="10" t="str">
        <f>'(FnCalls 1)'!F44</f>
        <v>MMM 2010</v>
      </c>
      <c r="F993" s="10" t="str">
        <f>'(FnCalls 1)'!F45</f>
        <v>MMM 2010</v>
      </c>
      <c r="G993" s="10" t="str">
        <f>'(FnCalls 1)'!F46</f>
        <v>MMM 2010</v>
      </c>
      <c r="H993" s="10" t="str">
        <f>'(FnCalls 1)'!F47</f>
        <v>MMM 2010</v>
      </c>
      <c r="I993" s="10" t="str">
        <f>'(FnCalls 1)'!F48</f>
        <v>MMM 2010</v>
      </c>
      <c r="J993" s="10" t="str">
        <f>'(FnCalls 1)'!F49</f>
        <v>MMM 2010</v>
      </c>
      <c r="K993" s="10" t="str">
        <f>'(FnCalls 1)'!F50</f>
        <v>MMM 2010</v>
      </c>
      <c r="L993" s="10" t="str">
        <f>'(FnCalls 1)'!F51</f>
        <v>MMM 2010</v>
      </c>
      <c r="M993" s="10" t="str">
        <f>'(FnCalls 1)'!F52</f>
        <v>MMM 2010</v>
      </c>
      <c r="N993" s="10" t="str">
        <f>'(FnCalls 1)'!F53</f>
        <v>MMM 2011</v>
      </c>
      <c r="O993" s="10" t="str">
        <f>'(FnCalls 1)'!F54</f>
        <v>MMM 2011</v>
      </c>
      <c r="P993" s="10" t="str">
        <f>'(FnCalls 1)'!F55</f>
        <v>MMM 2011</v>
      </c>
      <c r="Q993" s="10" t="str">
        <f>'(FnCalls 1)'!F56</f>
        <v>MMM 2011</v>
      </c>
      <c r="R993" s="10" t="str">
        <f>'(FnCalls 1)'!F57</f>
        <v>MMM 2011</v>
      </c>
      <c r="S993" s="11" t="str">
        <f>'(FnCalls 1)'!F58</f>
        <v>MMM 2011</v>
      </c>
    </row>
    <row r="994" spans="1:19" ht="12.75" customHeight="1" x14ac:dyDescent="0.2">
      <c r="A994" s="97"/>
      <c r="B994" s="364" t="str">
        <f>'(FnCalls 1)'!F41</f>
        <v>MMM 2010</v>
      </c>
      <c r="C994" s="364" t="str">
        <f>'(FnCalls 1)'!F42</f>
        <v>MMM 2010</v>
      </c>
      <c r="D994" s="364" t="str">
        <f>'(FnCalls 1)'!F43</f>
        <v>MMM 2010</v>
      </c>
      <c r="E994" s="364" t="str">
        <f>'(FnCalls 1)'!F44</f>
        <v>MMM 2010</v>
      </c>
      <c r="F994" s="364" t="str">
        <f>'(FnCalls 1)'!F45</f>
        <v>MMM 2010</v>
      </c>
      <c r="G994" s="364" t="str">
        <f>'(FnCalls 1)'!F46</f>
        <v>MMM 2010</v>
      </c>
      <c r="H994" s="364" t="str">
        <f>'(FnCalls 1)'!F47</f>
        <v>MMM 2010</v>
      </c>
      <c r="I994" s="364" t="str">
        <f>'(FnCalls 1)'!F48</f>
        <v>MMM 2010</v>
      </c>
      <c r="J994" s="364" t="str">
        <f>'(FnCalls 1)'!F49</f>
        <v>MMM 2010</v>
      </c>
      <c r="K994" s="364" t="str">
        <f>'(FnCalls 1)'!F50</f>
        <v>MMM 2010</v>
      </c>
      <c r="L994" s="364" t="str">
        <f>'(FnCalls 1)'!F51</f>
        <v>MMM 2010</v>
      </c>
      <c r="M994" s="364" t="str">
        <f>'(FnCalls 1)'!F52</f>
        <v>MMM 2010</v>
      </c>
      <c r="N994" s="364" t="str">
        <f>'(FnCalls 1)'!F53</f>
        <v>MMM 2011</v>
      </c>
      <c r="O994" s="364" t="str">
        <f>'(FnCalls 1)'!F54</f>
        <v>MMM 2011</v>
      </c>
      <c r="P994" s="364" t="str">
        <f>'(FnCalls 1)'!F55</f>
        <v>MMM 2011</v>
      </c>
      <c r="Q994" s="364" t="str">
        <f>'(FnCalls 1)'!F56</f>
        <v>MMM 2011</v>
      </c>
      <c r="R994" s="364" t="str">
        <f>'(FnCalls 1)'!F57</f>
        <v>MMM 2011</v>
      </c>
      <c r="S994" s="365" t="str">
        <f>'(FnCalls 1)'!F58</f>
        <v>MMM 2011</v>
      </c>
    </row>
    <row r="995" spans="1:19" ht="12.75" customHeight="1" x14ac:dyDescent="0.2">
      <c r="A995" s="1" t="str">
        <f>"Practice_Dev_Prof_Staff_Hrs_1"</f>
        <v>Practice_Dev_Prof_Staff_Hrs_1</v>
      </c>
    </row>
    <row r="996" spans="1:19" ht="12.75" customHeight="1" x14ac:dyDescent="0.2">
      <c r="B996" s="9" t="str">
        <f>'(FnCalls 1)'!F41</f>
        <v>MMM 2010</v>
      </c>
      <c r="C996" s="10" t="str">
        <f>'(FnCalls 1)'!F42</f>
        <v>MMM 2010</v>
      </c>
      <c r="D996" s="10" t="str">
        <f>'(FnCalls 1)'!F43</f>
        <v>MMM 2010</v>
      </c>
      <c r="E996" s="10" t="str">
        <f>'(FnCalls 1)'!F44</f>
        <v>MMM 2010</v>
      </c>
      <c r="F996" s="10" t="str">
        <f>'(FnCalls 1)'!F45</f>
        <v>MMM 2010</v>
      </c>
      <c r="G996" s="10" t="str">
        <f>'(FnCalls 1)'!F46</f>
        <v>MMM 2010</v>
      </c>
      <c r="H996" s="10" t="str">
        <f>'(FnCalls 1)'!F47</f>
        <v>MMM 2010</v>
      </c>
      <c r="I996" s="10" t="str">
        <f>'(FnCalls 1)'!F48</f>
        <v>MMM 2010</v>
      </c>
      <c r="J996" s="10" t="str">
        <f>'(FnCalls 1)'!F49</f>
        <v>MMM 2010</v>
      </c>
      <c r="K996" s="10" t="str">
        <f>'(FnCalls 1)'!F50</f>
        <v>MMM 2010</v>
      </c>
      <c r="L996" s="10" t="str">
        <f>'(FnCalls 1)'!F51</f>
        <v>MMM 2010</v>
      </c>
      <c r="M996" s="10" t="str">
        <f>'(FnCalls 1)'!F52</f>
        <v>MMM 2010</v>
      </c>
      <c r="N996" s="10" t="str">
        <f>'(FnCalls 1)'!F53</f>
        <v>MMM 2011</v>
      </c>
      <c r="O996" s="10" t="str">
        <f>'(FnCalls 1)'!F54</f>
        <v>MMM 2011</v>
      </c>
      <c r="P996" s="10" t="str">
        <f>'(FnCalls 1)'!F55</f>
        <v>MMM 2011</v>
      </c>
      <c r="Q996" s="10" t="str">
        <f>'(FnCalls 1)'!F56</f>
        <v>MMM 2011</v>
      </c>
      <c r="R996" s="10" t="str">
        <f>'(FnCalls 1)'!F57</f>
        <v>MMM 2011</v>
      </c>
      <c r="S996" s="11" t="str">
        <f>'(FnCalls 1)'!F58</f>
        <v>MMM 2011</v>
      </c>
    </row>
    <row r="997" spans="1:19" ht="12.75" customHeight="1" x14ac:dyDescent="0.2">
      <c r="A997" s="97"/>
      <c r="B997" s="364">
        <f>'(FnCalls 1)'!A41</f>
        <v>40179</v>
      </c>
      <c r="C997" s="364">
        <f>'(FnCalls 1)'!A42</f>
        <v>40210</v>
      </c>
      <c r="D997" s="364">
        <f>'(FnCalls 1)'!A43</f>
        <v>40238</v>
      </c>
      <c r="E997" s="364">
        <f>'(FnCalls 1)'!A44</f>
        <v>40269</v>
      </c>
      <c r="F997" s="364">
        <f>'(FnCalls 1)'!A45</f>
        <v>40299</v>
      </c>
      <c r="G997" s="364">
        <f>'(FnCalls 1)'!A46</f>
        <v>40330</v>
      </c>
      <c r="H997" s="364">
        <f>'(FnCalls 1)'!A47</f>
        <v>40360</v>
      </c>
      <c r="I997" s="364">
        <f>'(FnCalls 1)'!A48</f>
        <v>40391</v>
      </c>
      <c r="J997" s="364">
        <f>'(FnCalls 1)'!A49</f>
        <v>40422</v>
      </c>
      <c r="K997" s="364">
        <f>'(FnCalls 1)'!A50</f>
        <v>40452</v>
      </c>
      <c r="L997" s="364">
        <f>'(FnCalls 1)'!A51</f>
        <v>40483</v>
      </c>
      <c r="M997" s="364">
        <f>'(FnCalls 1)'!A52</f>
        <v>40513</v>
      </c>
      <c r="N997" s="364">
        <f>'(FnCalls 1)'!A53</f>
        <v>40544</v>
      </c>
      <c r="O997" s="364">
        <f>'(FnCalls 1)'!A54</f>
        <v>40575</v>
      </c>
      <c r="P997" s="364">
        <f>'(FnCalls 1)'!A55</f>
        <v>40603</v>
      </c>
      <c r="Q997" s="364">
        <f>'(FnCalls 1)'!A56</f>
        <v>40634</v>
      </c>
      <c r="R997" s="364">
        <f>'(FnCalls 1)'!A57</f>
        <v>40664</v>
      </c>
      <c r="S997" s="365">
        <f>'(FnCalls 1)'!A58</f>
        <v>40695</v>
      </c>
    </row>
    <row r="998" spans="1:19" ht="12.75" customHeight="1" x14ac:dyDescent="0.2">
      <c r="A998" s="1" t="str">
        <f>"Practice_Dev_Prof_Staff_Hrs_2"</f>
        <v>Practice_Dev_Prof_Staff_Hrs_2</v>
      </c>
    </row>
    <row r="999" spans="1:19" ht="12.75" customHeight="1" x14ac:dyDescent="0.2">
      <c r="B999" s="9" t="str">
        <f>'(FnCalls 1)'!F41</f>
        <v>MMM 2010</v>
      </c>
      <c r="C999" s="10" t="str">
        <f>'(FnCalls 1)'!F42</f>
        <v>MMM 2010</v>
      </c>
      <c r="D999" s="10" t="str">
        <f>'(FnCalls 1)'!F43</f>
        <v>MMM 2010</v>
      </c>
      <c r="E999" s="10" t="str">
        <f>'(FnCalls 1)'!F44</f>
        <v>MMM 2010</v>
      </c>
      <c r="F999" s="10" t="str">
        <f>'(FnCalls 1)'!F45</f>
        <v>MMM 2010</v>
      </c>
      <c r="G999" s="10" t="str">
        <f>'(FnCalls 1)'!F46</f>
        <v>MMM 2010</v>
      </c>
      <c r="H999" s="10" t="str">
        <f>'(FnCalls 1)'!F47</f>
        <v>MMM 2010</v>
      </c>
      <c r="I999" s="10" t="str">
        <f>'(FnCalls 1)'!F48</f>
        <v>MMM 2010</v>
      </c>
      <c r="J999" s="10" t="str">
        <f>'(FnCalls 1)'!F49</f>
        <v>MMM 2010</v>
      </c>
      <c r="K999" s="10" t="str">
        <f>'(FnCalls 1)'!F50</f>
        <v>MMM 2010</v>
      </c>
      <c r="L999" s="10" t="str">
        <f>'(FnCalls 1)'!F51</f>
        <v>MMM 2010</v>
      </c>
      <c r="M999" s="10" t="str">
        <f>'(FnCalls 1)'!F52</f>
        <v>MMM 2010</v>
      </c>
      <c r="N999" s="10" t="str">
        <f>'(FnCalls 1)'!F53</f>
        <v>MMM 2011</v>
      </c>
      <c r="O999" s="10" t="str">
        <f>'(FnCalls 1)'!F54</f>
        <v>MMM 2011</v>
      </c>
      <c r="P999" s="10" t="str">
        <f>'(FnCalls 1)'!F55</f>
        <v>MMM 2011</v>
      </c>
      <c r="Q999" s="10" t="str">
        <f>'(FnCalls 1)'!F56</f>
        <v>MMM 2011</v>
      </c>
      <c r="R999" s="10" t="str">
        <f>'(FnCalls 1)'!F57</f>
        <v>MMM 2011</v>
      </c>
      <c r="S999" s="11" t="str">
        <f>'(FnCalls 1)'!F58</f>
        <v>MMM 2011</v>
      </c>
    </row>
    <row r="1000" spans="1:19" ht="12.75" customHeight="1" x14ac:dyDescent="0.2">
      <c r="A1000" s="97"/>
      <c r="B1000" s="364" t="str">
        <f>'(FnCalls 1)'!F41</f>
        <v>MMM 2010</v>
      </c>
      <c r="C1000" s="364" t="str">
        <f>'(FnCalls 1)'!F42</f>
        <v>MMM 2010</v>
      </c>
      <c r="D1000" s="364" t="str">
        <f>'(FnCalls 1)'!F43</f>
        <v>MMM 2010</v>
      </c>
      <c r="E1000" s="364" t="str">
        <f>'(FnCalls 1)'!F44</f>
        <v>MMM 2010</v>
      </c>
      <c r="F1000" s="364" t="str">
        <f>'(FnCalls 1)'!F45</f>
        <v>MMM 2010</v>
      </c>
      <c r="G1000" s="364" t="str">
        <f>'(FnCalls 1)'!F46</f>
        <v>MMM 2010</v>
      </c>
      <c r="H1000" s="364" t="str">
        <f>'(FnCalls 1)'!F47</f>
        <v>MMM 2010</v>
      </c>
      <c r="I1000" s="364" t="str">
        <f>'(FnCalls 1)'!F48</f>
        <v>MMM 2010</v>
      </c>
      <c r="J1000" s="364" t="str">
        <f>'(FnCalls 1)'!F49</f>
        <v>MMM 2010</v>
      </c>
      <c r="K1000" s="364" t="str">
        <f>'(FnCalls 1)'!F50</f>
        <v>MMM 2010</v>
      </c>
      <c r="L1000" s="364" t="str">
        <f>'(FnCalls 1)'!F51</f>
        <v>MMM 2010</v>
      </c>
      <c r="M1000" s="364" t="str">
        <f>'(FnCalls 1)'!F52</f>
        <v>MMM 2010</v>
      </c>
      <c r="N1000" s="364" t="str">
        <f>'(FnCalls 1)'!F53</f>
        <v>MMM 2011</v>
      </c>
      <c r="O1000" s="364" t="str">
        <f>'(FnCalls 1)'!F54</f>
        <v>MMM 2011</v>
      </c>
      <c r="P1000" s="364" t="str">
        <f>'(FnCalls 1)'!F55</f>
        <v>MMM 2011</v>
      </c>
      <c r="Q1000" s="364" t="str">
        <f>'(FnCalls 1)'!F56</f>
        <v>MMM 2011</v>
      </c>
      <c r="R1000" s="364" t="str">
        <f>'(FnCalls 1)'!F57</f>
        <v>MMM 2011</v>
      </c>
      <c r="S1000" s="365" t="str">
        <f>'(FnCalls 1)'!F58</f>
        <v>MMM 2011</v>
      </c>
    </row>
    <row r="1001" spans="1:19" ht="12.75" customHeight="1" x14ac:dyDescent="0.2">
      <c r="A1001" s="1" t="str">
        <f>"Sup_Staff_Count_1"</f>
        <v>Sup_Staff_Count_1</v>
      </c>
    </row>
    <row r="1002" spans="1:19" ht="12.75" customHeight="1" x14ac:dyDescent="0.2">
      <c r="B1002" s="9" t="str">
        <f>'(FnCalls 1)'!F41</f>
        <v>MMM 2010</v>
      </c>
      <c r="C1002" s="10" t="str">
        <f>'(FnCalls 1)'!F42</f>
        <v>MMM 2010</v>
      </c>
      <c r="D1002" s="10" t="str">
        <f>'(FnCalls 1)'!F43</f>
        <v>MMM 2010</v>
      </c>
      <c r="E1002" s="10" t="str">
        <f>'(FnCalls 1)'!F44</f>
        <v>MMM 2010</v>
      </c>
      <c r="F1002" s="10" t="str">
        <f>'(FnCalls 1)'!F45</f>
        <v>MMM 2010</v>
      </c>
      <c r="G1002" s="10" t="str">
        <f>'(FnCalls 1)'!F46</f>
        <v>MMM 2010</v>
      </c>
      <c r="H1002" s="10" t="str">
        <f>'(FnCalls 1)'!F47</f>
        <v>MMM 2010</v>
      </c>
      <c r="I1002" s="10" t="str">
        <f>'(FnCalls 1)'!F48</f>
        <v>MMM 2010</v>
      </c>
      <c r="J1002" s="10" t="str">
        <f>'(FnCalls 1)'!F49</f>
        <v>MMM 2010</v>
      </c>
      <c r="K1002" s="10" t="str">
        <f>'(FnCalls 1)'!F50</f>
        <v>MMM 2010</v>
      </c>
      <c r="L1002" s="10" t="str">
        <f>'(FnCalls 1)'!F51</f>
        <v>MMM 2010</v>
      </c>
      <c r="M1002" s="10" t="str">
        <f>'(FnCalls 1)'!F52</f>
        <v>MMM 2010</v>
      </c>
      <c r="N1002" s="10" t="str">
        <f>'(FnCalls 1)'!F53</f>
        <v>MMM 2011</v>
      </c>
      <c r="O1002" s="10" t="str">
        <f>'(FnCalls 1)'!F54</f>
        <v>MMM 2011</v>
      </c>
      <c r="P1002" s="10" t="str">
        <f>'(FnCalls 1)'!F55</f>
        <v>MMM 2011</v>
      </c>
      <c r="Q1002" s="10" t="str">
        <f>'(FnCalls 1)'!F56</f>
        <v>MMM 2011</v>
      </c>
      <c r="R1002" s="10" t="str">
        <f>'(FnCalls 1)'!F57</f>
        <v>MMM 2011</v>
      </c>
      <c r="S1002" s="11" t="str">
        <f>'(FnCalls 1)'!F58</f>
        <v>MMM 2011</v>
      </c>
    </row>
    <row r="1003" spans="1:19" ht="12.75" customHeight="1" x14ac:dyDescent="0.2">
      <c r="A1003" s="97"/>
      <c r="B1003" s="364">
        <f>'(FnCalls 1)'!A41</f>
        <v>40179</v>
      </c>
      <c r="C1003" s="364">
        <f>'(FnCalls 1)'!A42</f>
        <v>40210</v>
      </c>
      <c r="D1003" s="364">
        <f>'(FnCalls 1)'!A43</f>
        <v>40238</v>
      </c>
      <c r="E1003" s="364">
        <f>'(FnCalls 1)'!A44</f>
        <v>40269</v>
      </c>
      <c r="F1003" s="364">
        <f>'(FnCalls 1)'!A45</f>
        <v>40299</v>
      </c>
      <c r="G1003" s="364">
        <f>'(FnCalls 1)'!A46</f>
        <v>40330</v>
      </c>
      <c r="H1003" s="364">
        <f>'(FnCalls 1)'!A47</f>
        <v>40360</v>
      </c>
      <c r="I1003" s="364">
        <f>'(FnCalls 1)'!A48</f>
        <v>40391</v>
      </c>
      <c r="J1003" s="364">
        <f>'(FnCalls 1)'!A49</f>
        <v>40422</v>
      </c>
      <c r="K1003" s="364">
        <f>'(FnCalls 1)'!A50</f>
        <v>40452</v>
      </c>
      <c r="L1003" s="364">
        <f>'(FnCalls 1)'!A51</f>
        <v>40483</v>
      </c>
      <c r="M1003" s="364">
        <f>'(FnCalls 1)'!A52</f>
        <v>40513</v>
      </c>
      <c r="N1003" s="364">
        <f>'(FnCalls 1)'!A53</f>
        <v>40544</v>
      </c>
      <c r="O1003" s="364">
        <f>'(FnCalls 1)'!A54</f>
        <v>40575</v>
      </c>
      <c r="P1003" s="364">
        <f>'(FnCalls 1)'!A55</f>
        <v>40603</v>
      </c>
      <c r="Q1003" s="364">
        <f>'(FnCalls 1)'!A56</f>
        <v>40634</v>
      </c>
      <c r="R1003" s="364">
        <f>'(FnCalls 1)'!A57</f>
        <v>40664</v>
      </c>
      <c r="S1003" s="365">
        <f>'(FnCalls 1)'!A58</f>
        <v>40695</v>
      </c>
    </row>
    <row r="1004" spans="1:19" ht="12.75" customHeight="1" x14ac:dyDescent="0.2">
      <c r="A1004" s="1" t="str">
        <f>"Sup_Staff_Count_2"</f>
        <v>Sup_Staff_Count_2</v>
      </c>
    </row>
    <row r="1005" spans="1:19" ht="12.75" customHeight="1" x14ac:dyDescent="0.2">
      <c r="B1005" s="9" t="str">
        <f>'(FnCalls 1)'!F41</f>
        <v>MMM 2010</v>
      </c>
      <c r="C1005" s="10" t="str">
        <f>'(FnCalls 1)'!F42</f>
        <v>MMM 2010</v>
      </c>
      <c r="D1005" s="10" t="str">
        <f>'(FnCalls 1)'!F43</f>
        <v>MMM 2010</v>
      </c>
      <c r="E1005" s="10" t="str">
        <f>'(FnCalls 1)'!F44</f>
        <v>MMM 2010</v>
      </c>
      <c r="F1005" s="10" t="str">
        <f>'(FnCalls 1)'!F45</f>
        <v>MMM 2010</v>
      </c>
      <c r="G1005" s="10" t="str">
        <f>'(FnCalls 1)'!F46</f>
        <v>MMM 2010</v>
      </c>
      <c r="H1005" s="10" t="str">
        <f>'(FnCalls 1)'!F47</f>
        <v>MMM 2010</v>
      </c>
      <c r="I1005" s="10" t="str">
        <f>'(FnCalls 1)'!F48</f>
        <v>MMM 2010</v>
      </c>
      <c r="J1005" s="10" t="str">
        <f>'(FnCalls 1)'!F49</f>
        <v>MMM 2010</v>
      </c>
      <c r="K1005" s="10" t="str">
        <f>'(FnCalls 1)'!F50</f>
        <v>MMM 2010</v>
      </c>
      <c r="L1005" s="10" t="str">
        <f>'(FnCalls 1)'!F51</f>
        <v>MMM 2010</v>
      </c>
      <c r="M1005" s="10" t="str">
        <f>'(FnCalls 1)'!F52</f>
        <v>MMM 2010</v>
      </c>
      <c r="N1005" s="10" t="str">
        <f>'(FnCalls 1)'!F53</f>
        <v>MMM 2011</v>
      </c>
      <c r="O1005" s="10" t="str">
        <f>'(FnCalls 1)'!F54</f>
        <v>MMM 2011</v>
      </c>
      <c r="P1005" s="10" t="str">
        <f>'(FnCalls 1)'!F55</f>
        <v>MMM 2011</v>
      </c>
      <c r="Q1005" s="10" t="str">
        <f>'(FnCalls 1)'!F56</f>
        <v>MMM 2011</v>
      </c>
      <c r="R1005" s="10" t="str">
        <f>'(FnCalls 1)'!F57</f>
        <v>MMM 2011</v>
      </c>
      <c r="S1005" s="11" t="str">
        <f>'(FnCalls 1)'!F58</f>
        <v>MMM 2011</v>
      </c>
    </row>
    <row r="1006" spans="1:19" ht="12.75" customHeight="1" x14ac:dyDescent="0.2">
      <c r="A1006" s="97"/>
      <c r="B1006" s="364" t="str">
        <f>'(FnCalls 1)'!F41</f>
        <v>MMM 2010</v>
      </c>
      <c r="C1006" s="364" t="str">
        <f>'(FnCalls 1)'!F42</f>
        <v>MMM 2010</v>
      </c>
      <c r="D1006" s="364" t="str">
        <f>'(FnCalls 1)'!F43</f>
        <v>MMM 2010</v>
      </c>
      <c r="E1006" s="364" t="str">
        <f>'(FnCalls 1)'!F44</f>
        <v>MMM 2010</v>
      </c>
      <c r="F1006" s="364" t="str">
        <f>'(FnCalls 1)'!F45</f>
        <v>MMM 2010</v>
      </c>
      <c r="G1006" s="364" t="str">
        <f>'(FnCalls 1)'!F46</f>
        <v>MMM 2010</v>
      </c>
      <c r="H1006" s="364" t="str">
        <f>'(FnCalls 1)'!F47</f>
        <v>MMM 2010</v>
      </c>
      <c r="I1006" s="364" t="str">
        <f>'(FnCalls 1)'!F48</f>
        <v>MMM 2010</v>
      </c>
      <c r="J1006" s="364" t="str">
        <f>'(FnCalls 1)'!F49</f>
        <v>MMM 2010</v>
      </c>
      <c r="K1006" s="364" t="str">
        <f>'(FnCalls 1)'!F50</f>
        <v>MMM 2010</v>
      </c>
      <c r="L1006" s="364" t="str">
        <f>'(FnCalls 1)'!F51</f>
        <v>MMM 2010</v>
      </c>
      <c r="M1006" s="364" t="str">
        <f>'(FnCalls 1)'!F52</f>
        <v>MMM 2010</v>
      </c>
      <c r="N1006" s="364" t="str">
        <f>'(FnCalls 1)'!F53</f>
        <v>MMM 2011</v>
      </c>
      <c r="O1006" s="364" t="str">
        <f>'(FnCalls 1)'!F54</f>
        <v>MMM 2011</v>
      </c>
      <c r="P1006" s="364" t="str">
        <f>'(FnCalls 1)'!F55</f>
        <v>MMM 2011</v>
      </c>
      <c r="Q1006" s="364" t="str">
        <f>'(FnCalls 1)'!F56</f>
        <v>MMM 2011</v>
      </c>
      <c r="R1006" s="364" t="str">
        <f>'(FnCalls 1)'!F57</f>
        <v>MMM 2011</v>
      </c>
      <c r="S1006" s="365" t="str">
        <f>'(FnCalls 1)'!F58</f>
        <v>MMM 2011</v>
      </c>
    </row>
    <row r="1007" spans="1:19" ht="12.75" customHeight="1" x14ac:dyDescent="0.2">
      <c r="A1007" s="1" t="str">
        <f>"Revenue_1"</f>
        <v>Revenue_1</v>
      </c>
    </row>
    <row r="1008" spans="1:19" ht="12.75" customHeight="1" x14ac:dyDescent="0.2">
      <c r="B1008" s="9" t="str">
        <f>'(FnCalls 1)'!F41</f>
        <v>MMM 2010</v>
      </c>
      <c r="C1008" s="10" t="str">
        <f>'(FnCalls 1)'!F42</f>
        <v>MMM 2010</v>
      </c>
      <c r="D1008" s="10" t="str">
        <f>'(FnCalls 1)'!F43</f>
        <v>MMM 2010</v>
      </c>
      <c r="E1008" s="10" t="str">
        <f>'(FnCalls 1)'!F44</f>
        <v>MMM 2010</v>
      </c>
      <c r="F1008" s="10" t="str">
        <f>'(FnCalls 1)'!F45</f>
        <v>MMM 2010</v>
      </c>
      <c r="G1008" s="10" t="str">
        <f>'(FnCalls 1)'!F46</f>
        <v>MMM 2010</v>
      </c>
      <c r="H1008" s="10" t="str">
        <f>'(FnCalls 1)'!F47</f>
        <v>MMM 2010</v>
      </c>
      <c r="I1008" s="10" t="str">
        <f>'(FnCalls 1)'!F48</f>
        <v>MMM 2010</v>
      </c>
      <c r="J1008" s="10" t="str">
        <f>'(FnCalls 1)'!F49</f>
        <v>MMM 2010</v>
      </c>
      <c r="K1008" s="10" t="str">
        <f>'(FnCalls 1)'!F50</f>
        <v>MMM 2010</v>
      </c>
      <c r="L1008" s="10" t="str">
        <f>'(FnCalls 1)'!F51</f>
        <v>MMM 2010</v>
      </c>
      <c r="M1008" s="10" t="str">
        <f>'(FnCalls 1)'!F52</f>
        <v>MMM 2010</v>
      </c>
      <c r="N1008" s="10" t="str">
        <f>'(FnCalls 1)'!F53</f>
        <v>MMM 2011</v>
      </c>
      <c r="O1008" s="10" t="str">
        <f>'(FnCalls 1)'!F54</f>
        <v>MMM 2011</v>
      </c>
      <c r="P1008" s="10" t="str">
        <f>'(FnCalls 1)'!F55</f>
        <v>MMM 2011</v>
      </c>
      <c r="Q1008" s="10" t="str">
        <f>'(FnCalls 1)'!F56</f>
        <v>MMM 2011</v>
      </c>
      <c r="R1008" s="10" t="str">
        <f>'(FnCalls 1)'!F57</f>
        <v>MMM 2011</v>
      </c>
      <c r="S1008" s="11" t="str">
        <f>'(FnCalls 1)'!F58</f>
        <v>MMM 2011</v>
      </c>
    </row>
    <row r="1009" spans="1:19" ht="12.75" customHeight="1" x14ac:dyDescent="0.2">
      <c r="A1009" s="97"/>
      <c r="B1009" s="364">
        <f>'(FnCalls 1)'!A41</f>
        <v>40179</v>
      </c>
      <c r="C1009" s="364">
        <f>'(FnCalls 1)'!A42</f>
        <v>40210</v>
      </c>
      <c r="D1009" s="364">
        <f>'(FnCalls 1)'!A43</f>
        <v>40238</v>
      </c>
      <c r="E1009" s="364">
        <f>'(FnCalls 1)'!A44</f>
        <v>40269</v>
      </c>
      <c r="F1009" s="364">
        <f>'(FnCalls 1)'!A45</f>
        <v>40299</v>
      </c>
      <c r="G1009" s="364">
        <f>'(FnCalls 1)'!A46</f>
        <v>40330</v>
      </c>
      <c r="H1009" s="364">
        <f>'(FnCalls 1)'!A47</f>
        <v>40360</v>
      </c>
      <c r="I1009" s="364">
        <f>'(FnCalls 1)'!A48</f>
        <v>40391</v>
      </c>
      <c r="J1009" s="364">
        <f>'(FnCalls 1)'!A49</f>
        <v>40422</v>
      </c>
      <c r="K1009" s="364">
        <f>'(FnCalls 1)'!A50</f>
        <v>40452</v>
      </c>
      <c r="L1009" s="364">
        <f>'(FnCalls 1)'!A51</f>
        <v>40483</v>
      </c>
      <c r="M1009" s="364">
        <f>'(FnCalls 1)'!A52</f>
        <v>40513</v>
      </c>
      <c r="N1009" s="364">
        <f>'(FnCalls 1)'!A53</f>
        <v>40544</v>
      </c>
      <c r="O1009" s="364">
        <f>'(FnCalls 1)'!A54</f>
        <v>40575</v>
      </c>
      <c r="P1009" s="364">
        <f>'(FnCalls 1)'!A55</f>
        <v>40603</v>
      </c>
      <c r="Q1009" s="364">
        <f>'(FnCalls 1)'!A56</f>
        <v>40634</v>
      </c>
      <c r="R1009" s="364">
        <f>'(FnCalls 1)'!A57</f>
        <v>40664</v>
      </c>
      <c r="S1009" s="365">
        <f>'(FnCalls 1)'!A58</f>
        <v>40695</v>
      </c>
    </row>
    <row r="1010" spans="1:19" ht="12.75" customHeight="1" x14ac:dyDescent="0.2">
      <c r="A1010" s="1" t="str">
        <f>"Revenue_2"</f>
        <v>Revenue_2</v>
      </c>
    </row>
    <row r="1011" spans="1:19" ht="12.75" customHeight="1" x14ac:dyDescent="0.2">
      <c r="B1011" s="9" t="str">
        <f>'(FnCalls 1)'!F41</f>
        <v>MMM 2010</v>
      </c>
      <c r="C1011" s="10" t="str">
        <f>'(FnCalls 1)'!F42</f>
        <v>MMM 2010</v>
      </c>
      <c r="D1011" s="10" t="str">
        <f>'(FnCalls 1)'!F43</f>
        <v>MMM 2010</v>
      </c>
      <c r="E1011" s="10" t="str">
        <f>'(FnCalls 1)'!F44</f>
        <v>MMM 2010</v>
      </c>
      <c r="F1011" s="10" t="str">
        <f>'(FnCalls 1)'!F45</f>
        <v>MMM 2010</v>
      </c>
      <c r="G1011" s="10" t="str">
        <f>'(FnCalls 1)'!F46</f>
        <v>MMM 2010</v>
      </c>
      <c r="H1011" s="10" t="str">
        <f>'(FnCalls 1)'!F47</f>
        <v>MMM 2010</v>
      </c>
      <c r="I1011" s="10" t="str">
        <f>'(FnCalls 1)'!F48</f>
        <v>MMM 2010</v>
      </c>
      <c r="J1011" s="10" t="str">
        <f>'(FnCalls 1)'!F49</f>
        <v>MMM 2010</v>
      </c>
      <c r="K1011" s="10" t="str">
        <f>'(FnCalls 1)'!F50</f>
        <v>MMM 2010</v>
      </c>
      <c r="L1011" s="10" t="str">
        <f>'(FnCalls 1)'!F51</f>
        <v>MMM 2010</v>
      </c>
      <c r="M1011" s="10" t="str">
        <f>'(FnCalls 1)'!F52</f>
        <v>MMM 2010</v>
      </c>
      <c r="N1011" s="10" t="str">
        <f>'(FnCalls 1)'!F53</f>
        <v>MMM 2011</v>
      </c>
      <c r="O1011" s="10" t="str">
        <f>'(FnCalls 1)'!F54</f>
        <v>MMM 2011</v>
      </c>
      <c r="P1011" s="10" t="str">
        <f>'(FnCalls 1)'!F55</f>
        <v>MMM 2011</v>
      </c>
      <c r="Q1011" s="10" t="str">
        <f>'(FnCalls 1)'!F56</f>
        <v>MMM 2011</v>
      </c>
      <c r="R1011" s="10" t="str">
        <f>'(FnCalls 1)'!F57</f>
        <v>MMM 2011</v>
      </c>
      <c r="S1011" s="11" t="str">
        <f>'(FnCalls 1)'!F58</f>
        <v>MMM 2011</v>
      </c>
    </row>
    <row r="1012" spans="1:19" ht="12.75" customHeight="1" x14ac:dyDescent="0.2">
      <c r="A1012" s="97"/>
      <c r="B1012" s="364" t="str">
        <f>'(FnCalls 1)'!F41</f>
        <v>MMM 2010</v>
      </c>
      <c r="C1012" s="364" t="str">
        <f>'(FnCalls 1)'!F42</f>
        <v>MMM 2010</v>
      </c>
      <c r="D1012" s="364" t="str">
        <f>'(FnCalls 1)'!F43</f>
        <v>MMM 2010</v>
      </c>
      <c r="E1012" s="364" t="str">
        <f>'(FnCalls 1)'!F44</f>
        <v>MMM 2010</v>
      </c>
      <c r="F1012" s="364" t="str">
        <f>'(FnCalls 1)'!F45</f>
        <v>MMM 2010</v>
      </c>
      <c r="G1012" s="364" t="str">
        <f>'(FnCalls 1)'!F46</f>
        <v>MMM 2010</v>
      </c>
      <c r="H1012" s="364" t="str">
        <f>'(FnCalls 1)'!F47</f>
        <v>MMM 2010</v>
      </c>
      <c r="I1012" s="364" t="str">
        <f>'(FnCalls 1)'!F48</f>
        <v>MMM 2010</v>
      </c>
      <c r="J1012" s="364" t="str">
        <f>'(FnCalls 1)'!F49</f>
        <v>MMM 2010</v>
      </c>
      <c r="K1012" s="364" t="str">
        <f>'(FnCalls 1)'!F50</f>
        <v>MMM 2010</v>
      </c>
      <c r="L1012" s="364" t="str">
        <f>'(FnCalls 1)'!F51</f>
        <v>MMM 2010</v>
      </c>
      <c r="M1012" s="364" t="str">
        <f>'(FnCalls 1)'!F52</f>
        <v>MMM 2010</v>
      </c>
      <c r="N1012" s="364" t="str">
        <f>'(FnCalls 1)'!F53</f>
        <v>MMM 2011</v>
      </c>
      <c r="O1012" s="364" t="str">
        <f>'(FnCalls 1)'!F54</f>
        <v>MMM 2011</v>
      </c>
      <c r="P1012" s="364" t="str">
        <f>'(FnCalls 1)'!F55</f>
        <v>MMM 2011</v>
      </c>
      <c r="Q1012" s="364" t="str">
        <f>'(FnCalls 1)'!F56</f>
        <v>MMM 2011</v>
      </c>
      <c r="R1012" s="364" t="str">
        <f>'(FnCalls 1)'!F57</f>
        <v>MMM 2011</v>
      </c>
      <c r="S1012" s="365" t="str">
        <f>'(FnCalls 1)'!F58</f>
        <v>MMM 2011</v>
      </c>
    </row>
    <row r="1013" spans="1:19" ht="12.75" customHeight="1" x14ac:dyDescent="0.2">
      <c r="A1013" s="1" t="str">
        <f>"Prof_Staff_Hrs_Capacity_1"</f>
        <v>Prof_Staff_Hrs_Capacity_1</v>
      </c>
    </row>
    <row r="1014" spans="1:19" ht="12.75" customHeight="1" x14ac:dyDescent="0.2">
      <c r="B1014" s="9" t="str">
        <f>'(FnCalls 1)'!F41</f>
        <v>MMM 2010</v>
      </c>
      <c r="C1014" s="10" t="str">
        <f>'(FnCalls 1)'!F42</f>
        <v>MMM 2010</v>
      </c>
      <c r="D1014" s="10" t="str">
        <f>'(FnCalls 1)'!F43</f>
        <v>MMM 2010</v>
      </c>
      <c r="E1014" s="10" t="str">
        <f>'(FnCalls 1)'!F44</f>
        <v>MMM 2010</v>
      </c>
      <c r="F1014" s="10" t="str">
        <f>'(FnCalls 1)'!F45</f>
        <v>MMM 2010</v>
      </c>
      <c r="G1014" s="10" t="str">
        <f>'(FnCalls 1)'!F46</f>
        <v>MMM 2010</v>
      </c>
      <c r="H1014" s="10" t="str">
        <f>'(FnCalls 1)'!F47</f>
        <v>MMM 2010</v>
      </c>
      <c r="I1014" s="10" t="str">
        <f>'(FnCalls 1)'!F48</f>
        <v>MMM 2010</v>
      </c>
      <c r="J1014" s="10" t="str">
        <f>'(FnCalls 1)'!F49</f>
        <v>MMM 2010</v>
      </c>
      <c r="K1014" s="10" t="str">
        <f>'(FnCalls 1)'!F50</f>
        <v>MMM 2010</v>
      </c>
      <c r="L1014" s="10" t="str">
        <f>'(FnCalls 1)'!F51</f>
        <v>MMM 2010</v>
      </c>
      <c r="M1014" s="10" t="str">
        <f>'(FnCalls 1)'!F52</f>
        <v>MMM 2010</v>
      </c>
      <c r="N1014" s="10" t="str">
        <f>'(FnCalls 1)'!F53</f>
        <v>MMM 2011</v>
      </c>
      <c r="O1014" s="10" t="str">
        <f>'(FnCalls 1)'!F54</f>
        <v>MMM 2011</v>
      </c>
      <c r="P1014" s="10" t="str">
        <f>'(FnCalls 1)'!F55</f>
        <v>MMM 2011</v>
      </c>
      <c r="Q1014" s="10" t="str">
        <f>'(FnCalls 1)'!F56</f>
        <v>MMM 2011</v>
      </c>
      <c r="R1014" s="10" t="str">
        <f>'(FnCalls 1)'!F57</f>
        <v>MMM 2011</v>
      </c>
      <c r="S1014" s="11" t="str">
        <f>'(FnCalls 1)'!F58</f>
        <v>MMM 2011</v>
      </c>
    </row>
    <row r="1015" spans="1:19" ht="12.75" customHeight="1" x14ac:dyDescent="0.2">
      <c r="A1015" s="97"/>
      <c r="B1015" s="364">
        <f>'(FnCalls 1)'!A41</f>
        <v>40179</v>
      </c>
      <c r="C1015" s="364">
        <f>'(FnCalls 1)'!A42</f>
        <v>40210</v>
      </c>
      <c r="D1015" s="364">
        <f>'(FnCalls 1)'!A43</f>
        <v>40238</v>
      </c>
      <c r="E1015" s="364">
        <f>'(FnCalls 1)'!A44</f>
        <v>40269</v>
      </c>
      <c r="F1015" s="364">
        <f>'(FnCalls 1)'!A45</f>
        <v>40299</v>
      </c>
      <c r="G1015" s="364">
        <f>'(FnCalls 1)'!A46</f>
        <v>40330</v>
      </c>
      <c r="H1015" s="364">
        <f>'(FnCalls 1)'!A47</f>
        <v>40360</v>
      </c>
      <c r="I1015" s="364">
        <f>'(FnCalls 1)'!A48</f>
        <v>40391</v>
      </c>
      <c r="J1015" s="364">
        <f>'(FnCalls 1)'!A49</f>
        <v>40422</v>
      </c>
      <c r="K1015" s="364">
        <f>'(FnCalls 1)'!A50</f>
        <v>40452</v>
      </c>
      <c r="L1015" s="364">
        <f>'(FnCalls 1)'!A51</f>
        <v>40483</v>
      </c>
      <c r="M1015" s="364">
        <f>'(FnCalls 1)'!A52</f>
        <v>40513</v>
      </c>
      <c r="N1015" s="364">
        <f>'(FnCalls 1)'!A53</f>
        <v>40544</v>
      </c>
      <c r="O1015" s="364">
        <f>'(FnCalls 1)'!A54</f>
        <v>40575</v>
      </c>
      <c r="P1015" s="364">
        <f>'(FnCalls 1)'!A55</f>
        <v>40603</v>
      </c>
      <c r="Q1015" s="364">
        <f>'(FnCalls 1)'!A56</f>
        <v>40634</v>
      </c>
      <c r="R1015" s="364">
        <f>'(FnCalls 1)'!A57</f>
        <v>40664</v>
      </c>
      <c r="S1015" s="365">
        <f>'(FnCalls 1)'!A58</f>
        <v>40695</v>
      </c>
    </row>
    <row r="1016" spans="1:19" ht="12.75" customHeight="1" x14ac:dyDescent="0.2">
      <c r="A1016" s="1" t="str">
        <f>"Prof_Staff_Hrs_Capacity_2"</f>
        <v>Prof_Staff_Hrs_Capacity_2</v>
      </c>
    </row>
    <row r="1017" spans="1:19" ht="12.75" customHeight="1" x14ac:dyDescent="0.2">
      <c r="B1017" s="9" t="str">
        <f>'(FnCalls 1)'!F41</f>
        <v>MMM 2010</v>
      </c>
      <c r="C1017" s="10" t="str">
        <f>'(FnCalls 1)'!F42</f>
        <v>MMM 2010</v>
      </c>
      <c r="D1017" s="10" t="str">
        <f>'(FnCalls 1)'!F43</f>
        <v>MMM 2010</v>
      </c>
      <c r="E1017" s="10" t="str">
        <f>'(FnCalls 1)'!F44</f>
        <v>MMM 2010</v>
      </c>
      <c r="F1017" s="10" t="str">
        <f>'(FnCalls 1)'!F45</f>
        <v>MMM 2010</v>
      </c>
      <c r="G1017" s="10" t="str">
        <f>'(FnCalls 1)'!F46</f>
        <v>MMM 2010</v>
      </c>
      <c r="H1017" s="10" t="str">
        <f>'(FnCalls 1)'!F47</f>
        <v>MMM 2010</v>
      </c>
      <c r="I1017" s="10" t="str">
        <f>'(FnCalls 1)'!F48</f>
        <v>MMM 2010</v>
      </c>
      <c r="J1017" s="10" t="str">
        <f>'(FnCalls 1)'!F49</f>
        <v>MMM 2010</v>
      </c>
      <c r="K1017" s="10" t="str">
        <f>'(FnCalls 1)'!F50</f>
        <v>MMM 2010</v>
      </c>
      <c r="L1017" s="10" t="str">
        <f>'(FnCalls 1)'!F51</f>
        <v>MMM 2010</v>
      </c>
      <c r="M1017" s="10" t="str">
        <f>'(FnCalls 1)'!F52</f>
        <v>MMM 2010</v>
      </c>
      <c r="N1017" s="10" t="str">
        <f>'(FnCalls 1)'!F53</f>
        <v>MMM 2011</v>
      </c>
      <c r="O1017" s="10" t="str">
        <f>'(FnCalls 1)'!F54</f>
        <v>MMM 2011</v>
      </c>
      <c r="P1017" s="10" t="str">
        <f>'(FnCalls 1)'!F55</f>
        <v>MMM 2011</v>
      </c>
      <c r="Q1017" s="10" t="str">
        <f>'(FnCalls 1)'!F56</f>
        <v>MMM 2011</v>
      </c>
      <c r="R1017" s="10" t="str">
        <f>'(FnCalls 1)'!F57</f>
        <v>MMM 2011</v>
      </c>
      <c r="S1017" s="11" t="str">
        <f>'(FnCalls 1)'!F58</f>
        <v>MMM 2011</v>
      </c>
    </row>
    <row r="1018" spans="1:19" ht="12.75" customHeight="1" x14ac:dyDescent="0.2">
      <c r="A1018" s="97"/>
      <c r="B1018" s="364" t="str">
        <f>'(FnCalls 1)'!F41</f>
        <v>MMM 2010</v>
      </c>
      <c r="C1018" s="364" t="str">
        <f>'(FnCalls 1)'!F42</f>
        <v>MMM 2010</v>
      </c>
      <c r="D1018" s="364" t="str">
        <f>'(FnCalls 1)'!F43</f>
        <v>MMM 2010</v>
      </c>
      <c r="E1018" s="364" t="str">
        <f>'(FnCalls 1)'!F44</f>
        <v>MMM 2010</v>
      </c>
      <c r="F1018" s="364" t="str">
        <f>'(FnCalls 1)'!F45</f>
        <v>MMM 2010</v>
      </c>
      <c r="G1018" s="364" t="str">
        <f>'(FnCalls 1)'!F46</f>
        <v>MMM 2010</v>
      </c>
      <c r="H1018" s="364" t="str">
        <f>'(FnCalls 1)'!F47</f>
        <v>MMM 2010</v>
      </c>
      <c r="I1018" s="364" t="str">
        <f>'(FnCalls 1)'!F48</f>
        <v>MMM 2010</v>
      </c>
      <c r="J1018" s="364" t="str">
        <f>'(FnCalls 1)'!F49</f>
        <v>MMM 2010</v>
      </c>
      <c r="K1018" s="364" t="str">
        <f>'(FnCalls 1)'!F50</f>
        <v>MMM 2010</v>
      </c>
      <c r="L1018" s="364" t="str">
        <f>'(FnCalls 1)'!F51</f>
        <v>MMM 2010</v>
      </c>
      <c r="M1018" s="364" t="str">
        <f>'(FnCalls 1)'!F52</f>
        <v>MMM 2010</v>
      </c>
      <c r="N1018" s="364" t="str">
        <f>'(FnCalls 1)'!F53</f>
        <v>MMM 2011</v>
      </c>
      <c r="O1018" s="364" t="str">
        <f>'(FnCalls 1)'!F54</f>
        <v>MMM 2011</v>
      </c>
      <c r="P1018" s="364" t="str">
        <f>'(FnCalls 1)'!F55</f>
        <v>MMM 2011</v>
      </c>
      <c r="Q1018" s="364" t="str">
        <f>'(FnCalls 1)'!F56</f>
        <v>MMM 2011</v>
      </c>
      <c r="R1018" s="364" t="str">
        <f>'(FnCalls 1)'!F57</f>
        <v>MMM 2011</v>
      </c>
      <c r="S1018" s="365" t="str">
        <f>'(FnCalls 1)'!F58</f>
        <v>MMM 2011</v>
      </c>
    </row>
    <row r="1019" spans="1:19" ht="12.75" customHeight="1" x14ac:dyDescent="0.2">
      <c r="A1019" s="1" t="str">
        <f>"Operating_Exp_1"</f>
        <v>Operating_Exp_1</v>
      </c>
    </row>
    <row r="1020" spans="1:19" ht="12.75" customHeight="1" x14ac:dyDescent="0.2">
      <c r="B1020" s="9" t="str">
        <f>'(FnCalls 1)'!F41</f>
        <v>MMM 2010</v>
      </c>
      <c r="C1020" s="10" t="str">
        <f>'(FnCalls 1)'!F42</f>
        <v>MMM 2010</v>
      </c>
      <c r="D1020" s="10" t="str">
        <f>'(FnCalls 1)'!F43</f>
        <v>MMM 2010</v>
      </c>
      <c r="E1020" s="10" t="str">
        <f>'(FnCalls 1)'!F44</f>
        <v>MMM 2010</v>
      </c>
      <c r="F1020" s="10" t="str">
        <f>'(FnCalls 1)'!F45</f>
        <v>MMM 2010</v>
      </c>
      <c r="G1020" s="10" t="str">
        <f>'(FnCalls 1)'!F46</f>
        <v>MMM 2010</v>
      </c>
      <c r="H1020" s="10" t="str">
        <f>'(FnCalls 1)'!F47</f>
        <v>MMM 2010</v>
      </c>
      <c r="I1020" s="10" t="str">
        <f>'(FnCalls 1)'!F48</f>
        <v>MMM 2010</v>
      </c>
      <c r="J1020" s="10" t="str">
        <f>'(FnCalls 1)'!F49</f>
        <v>MMM 2010</v>
      </c>
      <c r="K1020" s="10" t="str">
        <f>'(FnCalls 1)'!F50</f>
        <v>MMM 2010</v>
      </c>
      <c r="L1020" s="10" t="str">
        <f>'(FnCalls 1)'!F51</f>
        <v>MMM 2010</v>
      </c>
      <c r="M1020" s="10" t="str">
        <f>'(FnCalls 1)'!F52</f>
        <v>MMM 2010</v>
      </c>
      <c r="N1020" s="10" t="str">
        <f>'(FnCalls 1)'!F53</f>
        <v>MMM 2011</v>
      </c>
      <c r="O1020" s="10" t="str">
        <f>'(FnCalls 1)'!F54</f>
        <v>MMM 2011</v>
      </c>
      <c r="P1020" s="10" t="str">
        <f>'(FnCalls 1)'!F55</f>
        <v>MMM 2011</v>
      </c>
      <c r="Q1020" s="10" t="str">
        <f>'(FnCalls 1)'!F56</f>
        <v>MMM 2011</v>
      </c>
      <c r="R1020" s="10" t="str">
        <f>'(FnCalls 1)'!F57</f>
        <v>MMM 2011</v>
      </c>
      <c r="S1020" s="11" t="str">
        <f>'(FnCalls 1)'!F58</f>
        <v>MMM 2011</v>
      </c>
    </row>
    <row r="1021" spans="1:19" ht="12.75" customHeight="1" x14ac:dyDescent="0.2">
      <c r="A1021" s="97"/>
      <c r="B1021" s="364">
        <f>'(FnCalls 1)'!A41</f>
        <v>40179</v>
      </c>
      <c r="C1021" s="364">
        <f>'(FnCalls 1)'!A42</f>
        <v>40210</v>
      </c>
      <c r="D1021" s="364">
        <f>'(FnCalls 1)'!A43</f>
        <v>40238</v>
      </c>
      <c r="E1021" s="364">
        <f>'(FnCalls 1)'!A44</f>
        <v>40269</v>
      </c>
      <c r="F1021" s="364">
        <f>'(FnCalls 1)'!A45</f>
        <v>40299</v>
      </c>
      <c r="G1021" s="364">
        <f>'(FnCalls 1)'!A46</f>
        <v>40330</v>
      </c>
      <c r="H1021" s="364">
        <f>'(FnCalls 1)'!A47</f>
        <v>40360</v>
      </c>
      <c r="I1021" s="364">
        <f>'(FnCalls 1)'!A48</f>
        <v>40391</v>
      </c>
      <c r="J1021" s="364">
        <f>'(FnCalls 1)'!A49</f>
        <v>40422</v>
      </c>
      <c r="K1021" s="364">
        <f>'(FnCalls 1)'!A50</f>
        <v>40452</v>
      </c>
      <c r="L1021" s="364">
        <f>'(FnCalls 1)'!A51</f>
        <v>40483</v>
      </c>
      <c r="M1021" s="364">
        <f>'(FnCalls 1)'!A52</f>
        <v>40513</v>
      </c>
      <c r="N1021" s="364">
        <f>'(FnCalls 1)'!A53</f>
        <v>40544</v>
      </c>
      <c r="O1021" s="364">
        <f>'(FnCalls 1)'!A54</f>
        <v>40575</v>
      </c>
      <c r="P1021" s="364">
        <f>'(FnCalls 1)'!A55</f>
        <v>40603</v>
      </c>
      <c r="Q1021" s="364">
        <f>'(FnCalls 1)'!A56</f>
        <v>40634</v>
      </c>
      <c r="R1021" s="364">
        <f>'(FnCalls 1)'!A57</f>
        <v>40664</v>
      </c>
      <c r="S1021" s="365">
        <f>'(FnCalls 1)'!A58</f>
        <v>40695</v>
      </c>
    </row>
    <row r="1022" spans="1:19" ht="12.75" customHeight="1" x14ac:dyDescent="0.2">
      <c r="A1022" s="1" t="str">
        <f>"Operating_Exp_2"</f>
        <v>Operating_Exp_2</v>
      </c>
    </row>
    <row r="1023" spans="1:19" ht="12.75" customHeight="1" x14ac:dyDescent="0.2">
      <c r="B1023" s="9" t="str">
        <f>'(FnCalls 1)'!F41</f>
        <v>MMM 2010</v>
      </c>
      <c r="C1023" s="10" t="str">
        <f>'(FnCalls 1)'!F42</f>
        <v>MMM 2010</v>
      </c>
      <c r="D1023" s="10" t="str">
        <f>'(FnCalls 1)'!F43</f>
        <v>MMM 2010</v>
      </c>
      <c r="E1023" s="10" t="str">
        <f>'(FnCalls 1)'!F44</f>
        <v>MMM 2010</v>
      </c>
      <c r="F1023" s="10" t="str">
        <f>'(FnCalls 1)'!F45</f>
        <v>MMM 2010</v>
      </c>
      <c r="G1023" s="10" t="str">
        <f>'(FnCalls 1)'!F46</f>
        <v>MMM 2010</v>
      </c>
      <c r="H1023" s="10" t="str">
        <f>'(FnCalls 1)'!F47</f>
        <v>MMM 2010</v>
      </c>
      <c r="I1023" s="10" t="str">
        <f>'(FnCalls 1)'!F48</f>
        <v>MMM 2010</v>
      </c>
      <c r="J1023" s="10" t="str">
        <f>'(FnCalls 1)'!F49</f>
        <v>MMM 2010</v>
      </c>
      <c r="K1023" s="10" t="str">
        <f>'(FnCalls 1)'!F50</f>
        <v>MMM 2010</v>
      </c>
      <c r="L1023" s="10" t="str">
        <f>'(FnCalls 1)'!F51</f>
        <v>MMM 2010</v>
      </c>
      <c r="M1023" s="10" t="str">
        <f>'(FnCalls 1)'!F52</f>
        <v>MMM 2010</v>
      </c>
      <c r="N1023" s="10" t="str">
        <f>'(FnCalls 1)'!F53</f>
        <v>MMM 2011</v>
      </c>
      <c r="O1023" s="10" t="str">
        <f>'(FnCalls 1)'!F54</f>
        <v>MMM 2011</v>
      </c>
      <c r="P1023" s="10" t="str">
        <f>'(FnCalls 1)'!F55</f>
        <v>MMM 2011</v>
      </c>
      <c r="Q1023" s="10" t="str">
        <f>'(FnCalls 1)'!F56</f>
        <v>MMM 2011</v>
      </c>
      <c r="R1023" s="10" t="str">
        <f>'(FnCalls 1)'!F57</f>
        <v>MMM 2011</v>
      </c>
      <c r="S1023" s="11" t="str">
        <f>'(FnCalls 1)'!F58</f>
        <v>MMM 2011</v>
      </c>
    </row>
    <row r="1024" spans="1:19" ht="12.75" customHeight="1" x14ac:dyDescent="0.2">
      <c r="A1024" s="97"/>
      <c r="B1024" s="364" t="str">
        <f>'(FnCalls 1)'!F41</f>
        <v>MMM 2010</v>
      </c>
      <c r="C1024" s="364" t="str">
        <f>'(FnCalls 1)'!F42</f>
        <v>MMM 2010</v>
      </c>
      <c r="D1024" s="364" t="str">
        <f>'(FnCalls 1)'!F43</f>
        <v>MMM 2010</v>
      </c>
      <c r="E1024" s="364" t="str">
        <f>'(FnCalls 1)'!F44</f>
        <v>MMM 2010</v>
      </c>
      <c r="F1024" s="364" t="str">
        <f>'(FnCalls 1)'!F45</f>
        <v>MMM 2010</v>
      </c>
      <c r="G1024" s="364" t="str">
        <f>'(FnCalls 1)'!F46</f>
        <v>MMM 2010</v>
      </c>
      <c r="H1024" s="364" t="str">
        <f>'(FnCalls 1)'!F47</f>
        <v>MMM 2010</v>
      </c>
      <c r="I1024" s="364" t="str">
        <f>'(FnCalls 1)'!F48</f>
        <v>MMM 2010</v>
      </c>
      <c r="J1024" s="364" t="str">
        <f>'(FnCalls 1)'!F49</f>
        <v>MMM 2010</v>
      </c>
      <c r="K1024" s="364" t="str">
        <f>'(FnCalls 1)'!F50</f>
        <v>MMM 2010</v>
      </c>
      <c r="L1024" s="364" t="str">
        <f>'(FnCalls 1)'!F51</f>
        <v>MMM 2010</v>
      </c>
      <c r="M1024" s="364" t="str">
        <f>'(FnCalls 1)'!F52</f>
        <v>MMM 2010</v>
      </c>
      <c r="N1024" s="364" t="str">
        <f>'(FnCalls 1)'!F53</f>
        <v>MMM 2011</v>
      </c>
      <c r="O1024" s="364" t="str">
        <f>'(FnCalls 1)'!F54</f>
        <v>MMM 2011</v>
      </c>
      <c r="P1024" s="364" t="str">
        <f>'(FnCalls 1)'!F55</f>
        <v>MMM 2011</v>
      </c>
      <c r="Q1024" s="364" t="str">
        <f>'(FnCalls 1)'!F56</f>
        <v>MMM 2011</v>
      </c>
      <c r="R1024" s="364" t="str">
        <f>'(FnCalls 1)'!F57</f>
        <v>MMM 2011</v>
      </c>
      <c r="S1024" s="365" t="str">
        <f>'(FnCalls 1)'!F58</f>
        <v>MMM 2011</v>
      </c>
    </row>
    <row r="1025" spans="1:19" ht="12.75" customHeight="1" x14ac:dyDescent="0.2">
      <c r="A1025" s="1" t="str">
        <f>"Prof_Staff_Cost_Unapplied_1"</f>
        <v>Prof_Staff_Cost_Unapplied_1</v>
      </c>
    </row>
    <row r="1026" spans="1:19" ht="12.75" customHeight="1" x14ac:dyDescent="0.2">
      <c r="B1026" s="9" t="str">
        <f>'(FnCalls 1)'!F41</f>
        <v>MMM 2010</v>
      </c>
      <c r="C1026" s="10" t="str">
        <f>'(FnCalls 1)'!F42</f>
        <v>MMM 2010</v>
      </c>
      <c r="D1026" s="10" t="str">
        <f>'(FnCalls 1)'!F43</f>
        <v>MMM 2010</v>
      </c>
      <c r="E1026" s="10" t="str">
        <f>'(FnCalls 1)'!F44</f>
        <v>MMM 2010</v>
      </c>
      <c r="F1026" s="10" t="str">
        <f>'(FnCalls 1)'!F45</f>
        <v>MMM 2010</v>
      </c>
      <c r="G1026" s="10" t="str">
        <f>'(FnCalls 1)'!F46</f>
        <v>MMM 2010</v>
      </c>
      <c r="H1026" s="10" t="str">
        <f>'(FnCalls 1)'!F47</f>
        <v>MMM 2010</v>
      </c>
      <c r="I1026" s="10" t="str">
        <f>'(FnCalls 1)'!F48</f>
        <v>MMM 2010</v>
      </c>
      <c r="J1026" s="10" t="str">
        <f>'(FnCalls 1)'!F49</f>
        <v>MMM 2010</v>
      </c>
      <c r="K1026" s="10" t="str">
        <f>'(FnCalls 1)'!F50</f>
        <v>MMM 2010</v>
      </c>
      <c r="L1026" s="10" t="str">
        <f>'(FnCalls 1)'!F51</f>
        <v>MMM 2010</v>
      </c>
      <c r="M1026" s="10" t="str">
        <f>'(FnCalls 1)'!F52</f>
        <v>MMM 2010</v>
      </c>
      <c r="N1026" s="10" t="str">
        <f>'(FnCalls 1)'!F53</f>
        <v>MMM 2011</v>
      </c>
      <c r="O1026" s="10" t="str">
        <f>'(FnCalls 1)'!F54</f>
        <v>MMM 2011</v>
      </c>
      <c r="P1026" s="10" t="str">
        <f>'(FnCalls 1)'!F55</f>
        <v>MMM 2011</v>
      </c>
      <c r="Q1026" s="10" t="str">
        <f>'(FnCalls 1)'!F56</f>
        <v>MMM 2011</v>
      </c>
      <c r="R1026" s="10" t="str">
        <f>'(FnCalls 1)'!F57</f>
        <v>MMM 2011</v>
      </c>
      <c r="S1026" s="11" t="str">
        <f>'(FnCalls 1)'!F58</f>
        <v>MMM 2011</v>
      </c>
    </row>
    <row r="1027" spans="1:19" ht="12.75" customHeight="1" x14ac:dyDescent="0.2">
      <c r="A1027" s="97"/>
      <c r="B1027" s="364">
        <f>'(FnCalls 1)'!A41</f>
        <v>40179</v>
      </c>
      <c r="C1027" s="364">
        <f>'(FnCalls 1)'!A42</f>
        <v>40210</v>
      </c>
      <c r="D1027" s="364">
        <f>'(FnCalls 1)'!A43</f>
        <v>40238</v>
      </c>
      <c r="E1027" s="364">
        <f>'(FnCalls 1)'!A44</f>
        <v>40269</v>
      </c>
      <c r="F1027" s="364">
        <f>'(FnCalls 1)'!A45</f>
        <v>40299</v>
      </c>
      <c r="G1027" s="364">
        <f>'(FnCalls 1)'!A46</f>
        <v>40330</v>
      </c>
      <c r="H1027" s="364">
        <f>'(FnCalls 1)'!A47</f>
        <v>40360</v>
      </c>
      <c r="I1027" s="364">
        <f>'(FnCalls 1)'!A48</f>
        <v>40391</v>
      </c>
      <c r="J1027" s="364">
        <f>'(FnCalls 1)'!A49</f>
        <v>40422</v>
      </c>
      <c r="K1027" s="364">
        <f>'(FnCalls 1)'!A50</f>
        <v>40452</v>
      </c>
      <c r="L1027" s="364">
        <f>'(FnCalls 1)'!A51</f>
        <v>40483</v>
      </c>
      <c r="M1027" s="364">
        <f>'(FnCalls 1)'!A52</f>
        <v>40513</v>
      </c>
      <c r="N1027" s="364">
        <f>'(FnCalls 1)'!A53</f>
        <v>40544</v>
      </c>
      <c r="O1027" s="364">
        <f>'(FnCalls 1)'!A54</f>
        <v>40575</v>
      </c>
      <c r="P1027" s="364">
        <f>'(FnCalls 1)'!A55</f>
        <v>40603</v>
      </c>
      <c r="Q1027" s="364">
        <f>'(FnCalls 1)'!A56</f>
        <v>40634</v>
      </c>
      <c r="R1027" s="364">
        <f>'(FnCalls 1)'!A57</f>
        <v>40664</v>
      </c>
      <c r="S1027" s="365">
        <f>'(FnCalls 1)'!A58</f>
        <v>40695</v>
      </c>
    </row>
    <row r="1028" spans="1:19" ht="12.75" customHeight="1" x14ac:dyDescent="0.2">
      <c r="A1028" s="1" t="str">
        <f>"Prof_Staff_Cost_Unapplied_2"</f>
        <v>Prof_Staff_Cost_Unapplied_2</v>
      </c>
    </row>
    <row r="1029" spans="1:19" ht="12.75" customHeight="1" x14ac:dyDescent="0.2">
      <c r="B1029" s="9" t="str">
        <f>'(FnCalls 1)'!F41</f>
        <v>MMM 2010</v>
      </c>
      <c r="C1029" s="10" t="str">
        <f>'(FnCalls 1)'!F42</f>
        <v>MMM 2010</v>
      </c>
      <c r="D1029" s="10" t="str">
        <f>'(FnCalls 1)'!F43</f>
        <v>MMM 2010</v>
      </c>
      <c r="E1029" s="10" t="str">
        <f>'(FnCalls 1)'!F44</f>
        <v>MMM 2010</v>
      </c>
      <c r="F1029" s="10" t="str">
        <f>'(FnCalls 1)'!F45</f>
        <v>MMM 2010</v>
      </c>
      <c r="G1029" s="10" t="str">
        <f>'(FnCalls 1)'!F46</f>
        <v>MMM 2010</v>
      </c>
      <c r="H1029" s="10" t="str">
        <f>'(FnCalls 1)'!F47</f>
        <v>MMM 2010</v>
      </c>
      <c r="I1029" s="10" t="str">
        <f>'(FnCalls 1)'!F48</f>
        <v>MMM 2010</v>
      </c>
      <c r="J1029" s="10" t="str">
        <f>'(FnCalls 1)'!F49</f>
        <v>MMM 2010</v>
      </c>
      <c r="K1029" s="10" t="str">
        <f>'(FnCalls 1)'!F50</f>
        <v>MMM 2010</v>
      </c>
      <c r="L1029" s="10" t="str">
        <f>'(FnCalls 1)'!F51</f>
        <v>MMM 2010</v>
      </c>
      <c r="M1029" s="10" t="str">
        <f>'(FnCalls 1)'!F52</f>
        <v>MMM 2010</v>
      </c>
      <c r="N1029" s="10" t="str">
        <f>'(FnCalls 1)'!F53</f>
        <v>MMM 2011</v>
      </c>
      <c r="O1029" s="10" t="str">
        <f>'(FnCalls 1)'!F54</f>
        <v>MMM 2011</v>
      </c>
      <c r="P1029" s="10" t="str">
        <f>'(FnCalls 1)'!F55</f>
        <v>MMM 2011</v>
      </c>
      <c r="Q1029" s="10" t="str">
        <f>'(FnCalls 1)'!F56</f>
        <v>MMM 2011</v>
      </c>
      <c r="R1029" s="10" t="str">
        <f>'(FnCalls 1)'!F57</f>
        <v>MMM 2011</v>
      </c>
      <c r="S1029" s="11" t="str">
        <f>'(FnCalls 1)'!F58</f>
        <v>MMM 2011</v>
      </c>
    </row>
    <row r="1030" spans="1:19" ht="12.75" customHeight="1" x14ac:dyDescent="0.2">
      <c r="A1030" s="97"/>
      <c r="B1030" s="364" t="str">
        <f>'(FnCalls 1)'!F41</f>
        <v>MMM 2010</v>
      </c>
      <c r="C1030" s="364" t="str">
        <f>'(FnCalls 1)'!F42</f>
        <v>MMM 2010</v>
      </c>
      <c r="D1030" s="364" t="str">
        <f>'(FnCalls 1)'!F43</f>
        <v>MMM 2010</v>
      </c>
      <c r="E1030" s="364" t="str">
        <f>'(FnCalls 1)'!F44</f>
        <v>MMM 2010</v>
      </c>
      <c r="F1030" s="364" t="str">
        <f>'(FnCalls 1)'!F45</f>
        <v>MMM 2010</v>
      </c>
      <c r="G1030" s="364" t="str">
        <f>'(FnCalls 1)'!F46</f>
        <v>MMM 2010</v>
      </c>
      <c r="H1030" s="364" t="str">
        <f>'(FnCalls 1)'!F47</f>
        <v>MMM 2010</v>
      </c>
      <c r="I1030" s="364" t="str">
        <f>'(FnCalls 1)'!F48</f>
        <v>MMM 2010</v>
      </c>
      <c r="J1030" s="364" t="str">
        <f>'(FnCalls 1)'!F49</f>
        <v>MMM 2010</v>
      </c>
      <c r="K1030" s="364" t="str">
        <f>'(FnCalls 1)'!F50</f>
        <v>MMM 2010</v>
      </c>
      <c r="L1030" s="364" t="str">
        <f>'(FnCalls 1)'!F51</f>
        <v>MMM 2010</v>
      </c>
      <c r="M1030" s="364" t="str">
        <f>'(FnCalls 1)'!F52</f>
        <v>MMM 2010</v>
      </c>
      <c r="N1030" s="364" t="str">
        <f>'(FnCalls 1)'!F53</f>
        <v>MMM 2011</v>
      </c>
      <c r="O1030" s="364" t="str">
        <f>'(FnCalls 1)'!F54</f>
        <v>MMM 2011</v>
      </c>
      <c r="P1030" s="364" t="str">
        <f>'(FnCalls 1)'!F55</f>
        <v>MMM 2011</v>
      </c>
      <c r="Q1030" s="364" t="str">
        <f>'(FnCalls 1)'!F56</f>
        <v>MMM 2011</v>
      </c>
      <c r="R1030" s="364" t="str">
        <f>'(FnCalls 1)'!F57</f>
        <v>MMM 2011</v>
      </c>
      <c r="S1030" s="365" t="str">
        <f>'(FnCalls 1)'!F58</f>
        <v>MMM 2011</v>
      </c>
    </row>
    <row r="1031" spans="1:19" ht="12.75" customHeight="1" x14ac:dyDescent="0.2">
      <c r="A1031" s="1" t="str">
        <f>"Prof_Staff_Hrs_Unapplied_1"</f>
        <v>Prof_Staff_Hrs_Unapplied_1</v>
      </c>
    </row>
    <row r="1032" spans="1:19" ht="12.75" customHeight="1" x14ac:dyDescent="0.2">
      <c r="B1032" s="9" t="str">
        <f>'(FnCalls 1)'!F41</f>
        <v>MMM 2010</v>
      </c>
      <c r="C1032" s="10" t="str">
        <f>'(FnCalls 1)'!F42</f>
        <v>MMM 2010</v>
      </c>
      <c r="D1032" s="10" t="str">
        <f>'(FnCalls 1)'!F43</f>
        <v>MMM 2010</v>
      </c>
      <c r="E1032" s="10" t="str">
        <f>'(FnCalls 1)'!F44</f>
        <v>MMM 2010</v>
      </c>
      <c r="F1032" s="10" t="str">
        <f>'(FnCalls 1)'!F45</f>
        <v>MMM 2010</v>
      </c>
      <c r="G1032" s="10" t="str">
        <f>'(FnCalls 1)'!F46</f>
        <v>MMM 2010</v>
      </c>
      <c r="H1032" s="10" t="str">
        <f>'(FnCalls 1)'!F47</f>
        <v>MMM 2010</v>
      </c>
      <c r="I1032" s="10" t="str">
        <f>'(FnCalls 1)'!F48</f>
        <v>MMM 2010</v>
      </c>
      <c r="J1032" s="10" t="str">
        <f>'(FnCalls 1)'!F49</f>
        <v>MMM 2010</v>
      </c>
      <c r="K1032" s="10" t="str">
        <f>'(FnCalls 1)'!F50</f>
        <v>MMM 2010</v>
      </c>
      <c r="L1032" s="10" t="str">
        <f>'(FnCalls 1)'!F51</f>
        <v>MMM 2010</v>
      </c>
      <c r="M1032" s="10" t="str">
        <f>'(FnCalls 1)'!F52</f>
        <v>MMM 2010</v>
      </c>
      <c r="N1032" s="10" t="str">
        <f>'(FnCalls 1)'!F53</f>
        <v>MMM 2011</v>
      </c>
      <c r="O1032" s="10" t="str">
        <f>'(FnCalls 1)'!F54</f>
        <v>MMM 2011</v>
      </c>
      <c r="P1032" s="10" t="str">
        <f>'(FnCalls 1)'!F55</f>
        <v>MMM 2011</v>
      </c>
      <c r="Q1032" s="10" t="str">
        <f>'(FnCalls 1)'!F56</f>
        <v>MMM 2011</v>
      </c>
      <c r="R1032" s="10" t="str">
        <f>'(FnCalls 1)'!F57</f>
        <v>MMM 2011</v>
      </c>
      <c r="S1032" s="11" t="str">
        <f>'(FnCalls 1)'!F58</f>
        <v>MMM 2011</v>
      </c>
    </row>
    <row r="1033" spans="1:19" ht="12.75" customHeight="1" x14ac:dyDescent="0.2">
      <c r="A1033" s="97"/>
      <c r="B1033" s="364">
        <f>'(FnCalls 1)'!A41</f>
        <v>40179</v>
      </c>
      <c r="C1033" s="364">
        <f>'(FnCalls 1)'!A42</f>
        <v>40210</v>
      </c>
      <c r="D1033" s="364">
        <f>'(FnCalls 1)'!A43</f>
        <v>40238</v>
      </c>
      <c r="E1033" s="364">
        <f>'(FnCalls 1)'!A44</f>
        <v>40269</v>
      </c>
      <c r="F1033" s="364">
        <f>'(FnCalls 1)'!A45</f>
        <v>40299</v>
      </c>
      <c r="G1033" s="364">
        <f>'(FnCalls 1)'!A46</f>
        <v>40330</v>
      </c>
      <c r="H1033" s="364">
        <f>'(FnCalls 1)'!A47</f>
        <v>40360</v>
      </c>
      <c r="I1033" s="364">
        <f>'(FnCalls 1)'!A48</f>
        <v>40391</v>
      </c>
      <c r="J1033" s="364">
        <f>'(FnCalls 1)'!A49</f>
        <v>40422</v>
      </c>
      <c r="K1033" s="364">
        <f>'(FnCalls 1)'!A50</f>
        <v>40452</v>
      </c>
      <c r="L1033" s="364">
        <f>'(FnCalls 1)'!A51</f>
        <v>40483</v>
      </c>
      <c r="M1033" s="364">
        <f>'(FnCalls 1)'!A52</f>
        <v>40513</v>
      </c>
      <c r="N1033" s="364">
        <f>'(FnCalls 1)'!A53</f>
        <v>40544</v>
      </c>
      <c r="O1033" s="364">
        <f>'(FnCalls 1)'!A54</f>
        <v>40575</v>
      </c>
      <c r="P1033" s="364">
        <f>'(FnCalls 1)'!A55</f>
        <v>40603</v>
      </c>
      <c r="Q1033" s="364">
        <f>'(FnCalls 1)'!A56</f>
        <v>40634</v>
      </c>
      <c r="R1033" s="364">
        <f>'(FnCalls 1)'!A57</f>
        <v>40664</v>
      </c>
      <c r="S1033" s="365">
        <f>'(FnCalls 1)'!A58</f>
        <v>40695</v>
      </c>
    </row>
    <row r="1034" spans="1:19" ht="12.75" customHeight="1" x14ac:dyDescent="0.2">
      <c r="A1034" s="1" t="str">
        <f>"Prof_Staff_Hrs_Unapplied_2"</f>
        <v>Prof_Staff_Hrs_Unapplied_2</v>
      </c>
    </row>
    <row r="1035" spans="1:19" ht="12.75" customHeight="1" x14ac:dyDescent="0.2">
      <c r="B1035" s="9" t="str">
        <f>'(FnCalls 1)'!F41</f>
        <v>MMM 2010</v>
      </c>
      <c r="C1035" s="10" t="str">
        <f>'(FnCalls 1)'!F42</f>
        <v>MMM 2010</v>
      </c>
      <c r="D1035" s="10" t="str">
        <f>'(FnCalls 1)'!F43</f>
        <v>MMM 2010</v>
      </c>
      <c r="E1035" s="10" t="str">
        <f>'(FnCalls 1)'!F44</f>
        <v>MMM 2010</v>
      </c>
      <c r="F1035" s="10" t="str">
        <f>'(FnCalls 1)'!F45</f>
        <v>MMM 2010</v>
      </c>
      <c r="G1035" s="10" t="str">
        <f>'(FnCalls 1)'!F46</f>
        <v>MMM 2010</v>
      </c>
      <c r="H1035" s="10" t="str">
        <f>'(FnCalls 1)'!F47</f>
        <v>MMM 2010</v>
      </c>
      <c r="I1035" s="10" t="str">
        <f>'(FnCalls 1)'!F48</f>
        <v>MMM 2010</v>
      </c>
      <c r="J1035" s="10" t="str">
        <f>'(FnCalls 1)'!F49</f>
        <v>MMM 2010</v>
      </c>
      <c r="K1035" s="10" t="str">
        <f>'(FnCalls 1)'!F50</f>
        <v>MMM 2010</v>
      </c>
      <c r="L1035" s="10" t="str">
        <f>'(FnCalls 1)'!F51</f>
        <v>MMM 2010</v>
      </c>
      <c r="M1035" s="10" t="str">
        <f>'(FnCalls 1)'!F52</f>
        <v>MMM 2010</v>
      </c>
      <c r="N1035" s="10" t="str">
        <f>'(FnCalls 1)'!F53</f>
        <v>MMM 2011</v>
      </c>
      <c r="O1035" s="10" t="str">
        <f>'(FnCalls 1)'!F54</f>
        <v>MMM 2011</v>
      </c>
      <c r="P1035" s="10" t="str">
        <f>'(FnCalls 1)'!F55</f>
        <v>MMM 2011</v>
      </c>
      <c r="Q1035" s="10" t="str">
        <f>'(FnCalls 1)'!F56</f>
        <v>MMM 2011</v>
      </c>
      <c r="R1035" s="10" t="str">
        <f>'(FnCalls 1)'!F57</f>
        <v>MMM 2011</v>
      </c>
      <c r="S1035" s="11" t="str">
        <f>'(FnCalls 1)'!F58</f>
        <v>MMM 2011</v>
      </c>
    </row>
    <row r="1036" spans="1:19" ht="12.75" customHeight="1" x14ac:dyDescent="0.2">
      <c r="A1036" s="97"/>
      <c r="B1036" s="364" t="str">
        <f>'(FnCalls 1)'!F41</f>
        <v>MMM 2010</v>
      </c>
      <c r="C1036" s="364" t="str">
        <f>'(FnCalls 1)'!F42</f>
        <v>MMM 2010</v>
      </c>
      <c r="D1036" s="364" t="str">
        <f>'(FnCalls 1)'!F43</f>
        <v>MMM 2010</v>
      </c>
      <c r="E1036" s="364" t="str">
        <f>'(FnCalls 1)'!F44</f>
        <v>MMM 2010</v>
      </c>
      <c r="F1036" s="364" t="str">
        <f>'(FnCalls 1)'!F45</f>
        <v>MMM 2010</v>
      </c>
      <c r="G1036" s="364" t="str">
        <f>'(FnCalls 1)'!F46</f>
        <v>MMM 2010</v>
      </c>
      <c r="H1036" s="364" t="str">
        <f>'(FnCalls 1)'!F47</f>
        <v>MMM 2010</v>
      </c>
      <c r="I1036" s="364" t="str">
        <f>'(FnCalls 1)'!F48</f>
        <v>MMM 2010</v>
      </c>
      <c r="J1036" s="364" t="str">
        <f>'(FnCalls 1)'!F49</f>
        <v>MMM 2010</v>
      </c>
      <c r="K1036" s="364" t="str">
        <f>'(FnCalls 1)'!F50</f>
        <v>MMM 2010</v>
      </c>
      <c r="L1036" s="364" t="str">
        <f>'(FnCalls 1)'!F51</f>
        <v>MMM 2010</v>
      </c>
      <c r="M1036" s="364" t="str">
        <f>'(FnCalls 1)'!F52</f>
        <v>MMM 2010</v>
      </c>
      <c r="N1036" s="364" t="str">
        <f>'(FnCalls 1)'!F53</f>
        <v>MMM 2011</v>
      </c>
      <c r="O1036" s="364" t="str">
        <f>'(FnCalls 1)'!F54</f>
        <v>MMM 2011</v>
      </c>
      <c r="P1036" s="364" t="str">
        <f>'(FnCalls 1)'!F55</f>
        <v>MMM 2011</v>
      </c>
      <c r="Q1036" s="364" t="str">
        <f>'(FnCalls 1)'!F56</f>
        <v>MMM 2011</v>
      </c>
      <c r="R1036" s="364" t="str">
        <f>'(FnCalls 1)'!F57</f>
        <v>MMM 2011</v>
      </c>
      <c r="S1036" s="365" t="str">
        <f>'(FnCalls 1)'!F58</f>
        <v>MMM 2011</v>
      </c>
    </row>
    <row r="1037" spans="1:19" ht="12.75" customHeight="1" x14ac:dyDescent="0.2">
      <c r="A1037" s="1" t="str">
        <f>"Operating_Margin_1"</f>
        <v>Operating_Margin_1</v>
      </c>
    </row>
    <row r="1038" spans="1:19" ht="12.75" customHeight="1" x14ac:dyDescent="0.2">
      <c r="B1038" s="9" t="str">
        <f>'(FnCalls 1)'!F41</f>
        <v>MMM 2010</v>
      </c>
      <c r="C1038" s="10" t="str">
        <f>'(FnCalls 1)'!F42</f>
        <v>MMM 2010</v>
      </c>
      <c r="D1038" s="10" t="str">
        <f>'(FnCalls 1)'!F43</f>
        <v>MMM 2010</v>
      </c>
      <c r="E1038" s="10" t="str">
        <f>'(FnCalls 1)'!F44</f>
        <v>MMM 2010</v>
      </c>
      <c r="F1038" s="10" t="str">
        <f>'(FnCalls 1)'!F45</f>
        <v>MMM 2010</v>
      </c>
      <c r="G1038" s="10" t="str">
        <f>'(FnCalls 1)'!F46</f>
        <v>MMM 2010</v>
      </c>
      <c r="H1038" s="10" t="str">
        <f>'(FnCalls 1)'!F47</f>
        <v>MMM 2010</v>
      </c>
      <c r="I1038" s="10" t="str">
        <f>'(FnCalls 1)'!F48</f>
        <v>MMM 2010</v>
      </c>
      <c r="J1038" s="10" t="str">
        <f>'(FnCalls 1)'!F49</f>
        <v>MMM 2010</v>
      </c>
      <c r="K1038" s="10" t="str">
        <f>'(FnCalls 1)'!F50</f>
        <v>MMM 2010</v>
      </c>
      <c r="L1038" s="10" t="str">
        <f>'(FnCalls 1)'!F51</f>
        <v>MMM 2010</v>
      </c>
      <c r="M1038" s="10" t="str">
        <f>'(FnCalls 1)'!F52</f>
        <v>MMM 2010</v>
      </c>
      <c r="N1038" s="10" t="str">
        <f>'(FnCalls 1)'!F53</f>
        <v>MMM 2011</v>
      </c>
      <c r="O1038" s="10" t="str">
        <f>'(FnCalls 1)'!F54</f>
        <v>MMM 2011</v>
      </c>
      <c r="P1038" s="10" t="str">
        <f>'(FnCalls 1)'!F55</f>
        <v>MMM 2011</v>
      </c>
      <c r="Q1038" s="10" t="str">
        <f>'(FnCalls 1)'!F56</f>
        <v>MMM 2011</v>
      </c>
      <c r="R1038" s="10" t="str">
        <f>'(FnCalls 1)'!F57</f>
        <v>MMM 2011</v>
      </c>
      <c r="S1038" s="11" t="str">
        <f>'(FnCalls 1)'!F58</f>
        <v>MMM 2011</v>
      </c>
    </row>
    <row r="1039" spans="1:19" ht="12.75" customHeight="1" x14ac:dyDescent="0.2">
      <c r="A1039" s="97"/>
      <c r="B1039" s="364">
        <f>'(FnCalls 1)'!A41</f>
        <v>40179</v>
      </c>
      <c r="C1039" s="364">
        <f>'(FnCalls 1)'!A42</f>
        <v>40210</v>
      </c>
      <c r="D1039" s="364">
        <f>'(FnCalls 1)'!A43</f>
        <v>40238</v>
      </c>
      <c r="E1039" s="364">
        <f>'(FnCalls 1)'!A44</f>
        <v>40269</v>
      </c>
      <c r="F1039" s="364">
        <f>'(FnCalls 1)'!A45</f>
        <v>40299</v>
      </c>
      <c r="G1039" s="364">
        <f>'(FnCalls 1)'!A46</f>
        <v>40330</v>
      </c>
      <c r="H1039" s="364">
        <f>'(FnCalls 1)'!A47</f>
        <v>40360</v>
      </c>
      <c r="I1039" s="364">
        <f>'(FnCalls 1)'!A48</f>
        <v>40391</v>
      </c>
      <c r="J1039" s="364">
        <f>'(FnCalls 1)'!A49</f>
        <v>40422</v>
      </c>
      <c r="K1039" s="364">
        <f>'(FnCalls 1)'!A50</f>
        <v>40452</v>
      </c>
      <c r="L1039" s="364">
        <f>'(FnCalls 1)'!A51</f>
        <v>40483</v>
      </c>
      <c r="M1039" s="364">
        <f>'(FnCalls 1)'!A52</f>
        <v>40513</v>
      </c>
      <c r="N1039" s="364">
        <f>'(FnCalls 1)'!A53</f>
        <v>40544</v>
      </c>
      <c r="O1039" s="364">
        <f>'(FnCalls 1)'!A54</f>
        <v>40575</v>
      </c>
      <c r="P1039" s="364">
        <f>'(FnCalls 1)'!A55</f>
        <v>40603</v>
      </c>
      <c r="Q1039" s="364">
        <f>'(FnCalls 1)'!A56</f>
        <v>40634</v>
      </c>
      <c r="R1039" s="364">
        <f>'(FnCalls 1)'!A57</f>
        <v>40664</v>
      </c>
      <c r="S1039" s="365">
        <f>'(FnCalls 1)'!A58</f>
        <v>40695</v>
      </c>
    </row>
    <row r="1040" spans="1:19" ht="12.75" customHeight="1" x14ac:dyDescent="0.2">
      <c r="A1040" s="1" t="str">
        <f>"Operating_Margin_2"</f>
        <v>Operating_Margin_2</v>
      </c>
    </row>
    <row r="1041" spans="1:20" ht="12.75" customHeight="1" x14ac:dyDescent="0.2">
      <c r="B1041" s="9" t="str">
        <f>'(FnCalls 1)'!F41</f>
        <v>MMM 2010</v>
      </c>
      <c r="C1041" s="10" t="str">
        <f>'(FnCalls 1)'!F42</f>
        <v>MMM 2010</v>
      </c>
      <c r="D1041" s="10" t="str">
        <f>'(FnCalls 1)'!F43</f>
        <v>MMM 2010</v>
      </c>
      <c r="E1041" s="10" t="str">
        <f>'(FnCalls 1)'!F44</f>
        <v>MMM 2010</v>
      </c>
      <c r="F1041" s="10" t="str">
        <f>'(FnCalls 1)'!F45</f>
        <v>MMM 2010</v>
      </c>
      <c r="G1041" s="10" t="str">
        <f>'(FnCalls 1)'!F46</f>
        <v>MMM 2010</v>
      </c>
      <c r="H1041" s="10" t="str">
        <f>'(FnCalls 1)'!F47</f>
        <v>MMM 2010</v>
      </c>
      <c r="I1041" s="10" t="str">
        <f>'(FnCalls 1)'!F48</f>
        <v>MMM 2010</v>
      </c>
      <c r="J1041" s="10" t="str">
        <f>'(FnCalls 1)'!F49</f>
        <v>MMM 2010</v>
      </c>
      <c r="K1041" s="10" t="str">
        <f>'(FnCalls 1)'!F50</f>
        <v>MMM 2010</v>
      </c>
      <c r="L1041" s="10" t="str">
        <f>'(FnCalls 1)'!F51</f>
        <v>MMM 2010</v>
      </c>
      <c r="M1041" s="10" t="str">
        <f>'(FnCalls 1)'!F52</f>
        <v>MMM 2010</v>
      </c>
      <c r="N1041" s="10" t="str">
        <f>'(FnCalls 1)'!F53</f>
        <v>MMM 2011</v>
      </c>
      <c r="O1041" s="10" t="str">
        <f>'(FnCalls 1)'!F54</f>
        <v>MMM 2011</v>
      </c>
      <c r="P1041" s="10" t="str">
        <f>'(FnCalls 1)'!F55</f>
        <v>MMM 2011</v>
      </c>
      <c r="Q1041" s="10" t="str">
        <f>'(FnCalls 1)'!F56</f>
        <v>MMM 2011</v>
      </c>
      <c r="R1041" s="10" t="str">
        <f>'(FnCalls 1)'!F57</f>
        <v>MMM 2011</v>
      </c>
      <c r="S1041" s="11" t="str">
        <f>'(FnCalls 1)'!F58</f>
        <v>MMM 2011</v>
      </c>
    </row>
    <row r="1042" spans="1:20" ht="12.75" customHeight="1" x14ac:dyDescent="0.2">
      <c r="A1042" s="97"/>
      <c r="B1042" s="364" t="str">
        <f>'(FnCalls 1)'!F41</f>
        <v>MMM 2010</v>
      </c>
      <c r="C1042" s="364" t="str">
        <f>'(FnCalls 1)'!F42</f>
        <v>MMM 2010</v>
      </c>
      <c r="D1042" s="364" t="str">
        <f>'(FnCalls 1)'!F43</f>
        <v>MMM 2010</v>
      </c>
      <c r="E1042" s="364" t="str">
        <f>'(FnCalls 1)'!F44</f>
        <v>MMM 2010</v>
      </c>
      <c r="F1042" s="364" t="str">
        <f>'(FnCalls 1)'!F45</f>
        <v>MMM 2010</v>
      </c>
      <c r="G1042" s="364" t="str">
        <f>'(FnCalls 1)'!F46</f>
        <v>MMM 2010</v>
      </c>
      <c r="H1042" s="364" t="str">
        <f>'(FnCalls 1)'!F47</f>
        <v>MMM 2010</v>
      </c>
      <c r="I1042" s="364" t="str">
        <f>'(FnCalls 1)'!F48</f>
        <v>MMM 2010</v>
      </c>
      <c r="J1042" s="364" t="str">
        <f>'(FnCalls 1)'!F49</f>
        <v>MMM 2010</v>
      </c>
      <c r="K1042" s="364" t="str">
        <f>'(FnCalls 1)'!F50</f>
        <v>MMM 2010</v>
      </c>
      <c r="L1042" s="364" t="str">
        <f>'(FnCalls 1)'!F51</f>
        <v>MMM 2010</v>
      </c>
      <c r="M1042" s="364" t="str">
        <f>'(FnCalls 1)'!F52</f>
        <v>MMM 2010</v>
      </c>
      <c r="N1042" s="364" t="str">
        <f>'(FnCalls 1)'!F53</f>
        <v>MMM 2011</v>
      </c>
      <c r="O1042" s="364" t="str">
        <f>'(FnCalls 1)'!F54</f>
        <v>MMM 2011</v>
      </c>
      <c r="P1042" s="364" t="str">
        <f>'(FnCalls 1)'!F55</f>
        <v>MMM 2011</v>
      </c>
      <c r="Q1042" s="364" t="str">
        <f>'(FnCalls 1)'!F56</f>
        <v>MMM 2011</v>
      </c>
      <c r="R1042" s="364" t="str">
        <f>'(FnCalls 1)'!F57</f>
        <v>MMM 2011</v>
      </c>
      <c r="S1042" s="365" t="str">
        <f>'(FnCalls 1)'!F58</f>
        <v>MMM 2011</v>
      </c>
    </row>
    <row r="1043" spans="1:20" ht="12.75" customHeight="1" x14ac:dyDescent="0.2">
      <c r="A1043" s="1" t="str">
        <f>"Gross_Margin_1"</f>
        <v>Gross_Margin_1</v>
      </c>
    </row>
    <row r="1044" spans="1:20" ht="12.75" customHeight="1" x14ac:dyDescent="0.2">
      <c r="B1044" s="9" t="str">
        <f>'(FnCalls 1)'!F41</f>
        <v>MMM 2010</v>
      </c>
      <c r="C1044" s="10" t="str">
        <f>'(FnCalls 1)'!F42</f>
        <v>MMM 2010</v>
      </c>
      <c r="D1044" s="10" t="str">
        <f>'(FnCalls 1)'!F43</f>
        <v>MMM 2010</v>
      </c>
      <c r="E1044" s="10" t="str">
        <f>'(FnCalls 1)'!F44</f>
        <v>MMM 2010</v>
      </c>
      <c r="F1044" s="10" t="str">
        <f>'(FnCalls 1)'!F45</f>
        <v>MMM 2010</v>
      </c>
      <c r="G1044" s="10" t="str">
        <f>'(FnCalls 1)'!F46</f>
        <v>MMM 2010</v>
      </c>
      <c r="H1044" s="10" t="str">
        <f>'(FnCalls 1)'!F47</f>
        <v>MMM 2010</v>
      </c>
      <c r="I1044" s="10" t="str">
        <f>'(FnCalls 1)'!F48</f>
        <v>MMM 2010</v>
      </c>
      <c r="J1044" s="10" t="str">
        <f>'(FnCalls 1)'!F49</f>
        <v>MMM 2010</v>
      </c>
      <c r="K1044" s="10" t="str">
        <f>'(FnCalls 1)'!F50</f>
        <v>MMM 2010</v>
      </c>
      <c r="L1044" s="10" t="str">
        <f>'(FnCalls 1)'!F51</f>
        <v>MMM 2010</v>
      </c>
      <c r="M1044" s="10" t="str">
        <f>'(FnCalls 1)'!F52</f>
        <v>MMM 2010</v>
      </c>
      <c r="N1044" s="10" t="str">
        <f>'(FnCalls 1)'!F53</f>
        <v>MMM 2011</v>
      </c>
      <c r="O1044" s="10" t="str">
        <f>'(FnCalls 1)'!F54</f>
        <v>MMM 2011</v>
      </c>
      <c r="P1044" s="10" t="str">
        <f>'(FnCalls 1)'!F55</f>
        <v>MMM 2011</v>
      </c>
      <c r="Q1044" s="10" t="str">
        <f>'(FnCalls 1)'!F56</f>
        <v>MMM 2011</v>
      </c>
      <c r="R1044" s="10" t="str">
        <f>'(FnCalls 1)'!F57</f>
        <v>MMM 2011</v>
      </c>
      <c r="S1044" s="11" t="str">
        <f>'(FnCalls 1)'!F58</f>
        <v>MMM 2011</v>
      </c>
    </row>
    <row r="1045" spans="1:20" ht="12.75" customHeight="1" x14ac:dyDescent="0.2">
      <c r="A1045" s="97"/>
      <c r="B1045" s="364">
        <f>'(FnCalls 1)'!A41</f>
        <v>40179</v>
      </c>
      <c r="C1045" s="364">
        <f>'(FnCalls 1)'!A42</f>
        <v>40210</v>
      </c>
      <c r="D1045" s="364">
        <f>'(FnCalls 1)'!A43</f>
        <v>40238</v>
      </c>
      <c r="E1045" s="364">
        <f>'(FnCalls 1)'!A44</f>
        <v>40269</v>
      </c>
      <c r="F1045" s="364">
        <f>'(FnCalls 1)'!A45</f>
        <v>40299</v>
      </c>
      <c r="G1045" s="364">
        <f>'(FnCalls 1)'!A46</f>
        <v>40330</v>
      </c>
      <c r="H1045" s="364">
        <f>'(FnCalls 1)'!A47</f>
        <v>40360</v>
      </c>
      <c r="I1045" s="364">
        <f>'(FnCalls 1)'!A48</f>
        <v>40391</v>
      </c>
      <c r="J1045" s="364">
        <f>'(FnCalls 1)'!A49</f>
        <v>40422</v>
      </c>
      <c r="K1045" s="364">
        <f>'(FnCalls 1)'!A50</f>
        <v>40452</v>
      </c>
      <c r="L1045" s="364">
        <f>'(FnCalls 1)'!A51</f>
        <v>40483</v>
      </c>
      <c r="M1045" s="364">
        <f>'(FnCalls 1)'!A52</f>
        <v>40513</v>
      </c>
      <c r="N1045" s="364">
        <f>'(FnCalls 1)'!A53</f>
        <v>40544</v>
      </c>
      <c r="O1045" s="364">
        <f>'(FnCalls 1)'!A54</f>
        <v>40575</v>
      </c>
      <c r="P1045" s="364">
        <f>'(FnCalls 1)'!A55</f>
        <v>40603</v>
      </c>
      <c r="Q1045" s="364">
        <f>'(FnCalls 1)'!A56</f>
        <v>40634</v>
      </c>
      <c r="R1045" s="364">
        <f>'(FnCalls 1)'!A57</f>
        <v>40664</v>
      </c>
      <c r="S1045" s="365">
        <f>'(FnCalls 1)'!A58</f>
        <v>40695</v>
      </c>
    </row>
    <row r="1046" spans="1:20" ht="12.75" customHeight="1" x14ac:dyDescent="0.2">
      <c r="A1046" s="1" t="str">
        <f>"Gross_Margin_2"</f>
        <v>Gross_Margin_2</v>
      </c>
    </row>
    <row r="1047" spans="1:20" ht="12.75" customHeight="1" x14ac:dyDescent="0.2">
      <c r="B1047" s="9" t="str">
        <f>'(FnCalls 1)'!F41</f>
        <v>MMM 2010</v>
      </c>
      <c r="C1047" s="10" t="str">
        <f>'(FnCalls 1)'!F42</f>
        <v>MMM 2010</v>
      </c>
      <c r="D1047" s="10" t="str">
        <f>'(FnCalls 1)'!F43</f>
        <v>MMM 2010</v>
      </c>
      <c r="E1047" s="10" t="str">
        <f>'(FnCalls 1)'!F44</f>
        <v>MMM 2010</v>
      </c>
      <c r="F1047" s="10" t="str">
        <f>'(FnCalls 1)'!F45</f>
        <v>MMM 2010</v>
      </c>
      <c r="G1047" s="10" t="str">
        <f>'(FnCalls 1)'!F46</f>
        <v>MMM 2010</v>
      </c>
      <c r="H1047" s="10" t="str">
        <f>'(FnCalls 1)'!F47</f>
        <v>MMM 2010</v>
      </c>
      <c r="I1047" s="10" t="str">
        <f>'(FnCalls 1)'!F48</f>
        <v>MMM 2010</v>
      </c>
      <c r="J1047" s="10" t="str">
        <f>'(FnCalls 1)'!F49</f>
        <v>MMM 2010</v>
      </c>
      <c r="K1047" s="10" t="str">
        <f>'(FnCalls 1)'!F50</f>
        <v>MMM 2010</v>
      </c>
      <c r="L1047" s="10" t="str">
        <f>'(FnCalls 1)'!F51</f>
        <v>MMM 2010</v>
      </c>
      <c r="M1047" s="10" t="str">
        <f>'(FnCalls 1)'!F52</f>
        <v>MMM 2010</v>
      </c>
      <c r="N1047" s="10" t="str">
        <f>'(FnCalls 1)'!F53</f>
        <v>MMM 2011</v>
      </c>
      <c r="O1047" s="10" t="str">
        <f>'(FnCalls 1)'!F54</f>
        <v>MMM 2011</v>
      </c>
      <c r="P1047" s="10" t="str">
        <f>'(FnCalls 1)'!F55</f>
        <v>MMM 2011</v>
      </c>
      <c r="Q1047" s="10" t="str">
        <f>'(FnCalls 1)'!F56</f>
        <v>MMM 2011</v>
      </c>
      <c r="R1047" s="10" t="str">
        <f>'(FnCalls 1)'!F57</f>
        <v>MMM 2011</v>
      </c>
      <c r="S1047" s="11" t="str">
        <f>'(FnCalls 1)'!F58</f>
        <v>MMM 2011</v>
      </c>
    </row>
    <row r="1048" spans="1:20" ht="12.75" customHeight="1" x14ac:dyDescent="0.2">
      <c r="A1048" s="97"/>
      <c r="B1048" s="364" t="str">
        <f>'(FnCalls 1)'!F41</f>
        <v>MMM 2010</v>
      </c>
      <c r="C1048" s="364" t="str">
        <f>'(FnCalls 1)'!F42</f>
        <v>MMM 2010</v>
      </c>
      <c r="D1048" s="364" t="str">
        <f>'(FnCalls 1)'!F43</f>
        <v>MMM 2010</v>
      </c>
      <c r="E1048" s="364" t="str">
        <f>'(FnCalls 1)'!F44</f>
        <v>MMM 2010</v>
      </c>
      <c r="F1048" s="364" t="str">
        <f>'(FnCalls 1)'!F45</f>
        <v>MMM 2010</v>
      </c>
      <c r="G1048" s="364" t="str">
        <f>'(FnCalls 1)'!F46</f>
        <v>MMM 2010</v>
      </c>
      <c r="H1048" s="364" t="str">
        <f>'(FnCalls 1)'!F47</f>
        <v>MMM 2010</v>
      </c>
      <c r="I1048" s="364" t="str">
        <f>'(FnCalls 1)'!F48</f>
        <v>MMM 2010</v>
      </c>
      <c r="J1048" s="364" t="str">
        <f>'(FnCalls 1)'!F49</f>
        <v>MMM 2010</v>
      </c>
      <c r="K1048" s="364" t="str">
        <f>'(FnCalls 1)'!F50</f>
        <v>MMM 2010</v>
      </c>
      <c r="L1048" s="364" t="str">
        <f>'(FnCalls 1)'!F51</f>
        <v>MMM 2010</v>
      </c>
      <c r="M1048" s="364" t="str">
        <f>'(FnCalls 1)'!F52</f>
        <v>MMM 2010</v>
      </c>
      <c r="N1048" s="364" t="str">
        <f>'(FnCalls 1)'!F53</f>
        <v>MMM 2011</v>
      </c>
      <c r="O1048" s="364" t="str">
        <f>'(FnCalls 1)'!F54</f>
        <v>MMM 2011</v>
      </c>
      <c r="P1048" s="364" t="str">
        <f>'(FnCalls 1)'!F55</f>
        <v>MMM 2011</v>
      </c>
      <c r="Q1048" s="364" t="str">
        <f>'(FnCalls 1)'!F56</f>
        <v>MMM 2011</v>
      </c>
      <c r="R1048" s="364" t="str">
        <f>'(FnCalls 1)'!F57</f>
        <v>MMM 2011</v>
      </c>
      <c r="S1048" s="365" t="str">
        <f>'(FnCalls 1)'!F58</f>
        <v>MMM 2011</v>
      </c>
    </row>
    <row r="1049" spans="1:20" ht="12.75" customHeight="1" x14ac:dyDescent="0.2">
      <c r="A1049" s="1" t="str">
        <f>"Net_Income_1"</f>
        <v>Net_Income_1</v>
      </c>
    </row>
    <row r="1050" spans="1:20" ht="12.75" customHeight="1" x14ac:dyDescent="0.2">
      <c r="B1050" s="9" t="str">
        <f>'(FnCalls 1)'!F41</f>
        <v>MMM 2010</v>
      </c>
      <c r="C1050" s="10" t="str">
        <f>'(FnCalls 1)'!F42</f>
        <v>MMM 2010</v>
      </c>
      <c r="D1050" s="10" t="str">
        <f>'(FnCalls 1)'!F43</f>
        <v>MMM 2010</v>
      </c>
      <c r="E1050" s="10" t="str">
        <f>'(FnCalls 1)'!F44</f>
        <v>MMM 2010</v>
      </c>
      <c r="F1050" s="10" t="str">
        <f>'(FnCalls 1)'!F45</f>
        <v>MMM 2010</v>
      </c>
      <c r="G1050" s="10" t="str">
        <f>'(FnCalls 1)'!F46</f>
        <v>MMM 2010</v>
      </c>
      <c r="H1050" s="10" t="str">
        <f>'(FnCalls 1)'!F47</f>
        <v>MMM 2010</v>
      </c>
      <c r="I1050" s="10" t="str">
        <f>'(FnCalls 1)'!F48</f>
        <v>MMM 2010</v>
      </c>
      <c r="J1050" s="10" t="str">
        <f>'(FnCalls 1)'!F49</f>
        <v>MMM 2010</v>
      </c>
      <c r="K1050" s="10" t="str">
        <f>'(FnCalls 1)'!F50</f>
        <v>MMM 2010</v>
      </c>
      <c r="L1050" s="10" t="str">
        <f>'(FnCalls 1)'!F51</f>
        <v>MMM 2010</v>
      </c>
      <c r="M1050" s="10" t="str">
        <f>'(FnCalls 1)'!F52</f>
        <v>MMM 2010</v>
      </c>
      <c r="N1050" s="10" t="str">
        <f>'(FnCalls 1)'!F53</f>
        <v>MMM 2011</v>
      </c>
      <c r="O1050" s="10" t="str">
        <f>'(FnCalls 1)'!F54</f>
        <v>MMM 2011</v>
      </c>
      <c r="P1050" s="10" t="str">
        <f>'(FnCalls 1)'!F55</f>
        <v>MMM 2011</v>
      </c>
      <c r="Q1050" s="10" t="str">
        <f>'(FnCalls 1)'!F56</f>
        <v>MMM 2011</v>
      </c>
      <c r="R1050" s="10" t="str">
        <f>'(FnCalls 1)'!F57</f>
        <v>MMM 2011</v>
      </c>
      <c r="S1050" s="11" t="str">
        <f>'(FnCalls 1)'!F58</f>
        <v>MMM 2011</v>
      </c>
    </row>
    <row r="1051" spans="1:20" ht="12.75" customHeight="1" x14ac:dyDescent="0.2">
      <c r="A1051" s="97"/>
      <c r="B1051" s="364">
        <f>'(FnCalls 1)'!A41</f>
        <v>40179</v>
      </c>
      <c r="C1051" s="364">
        <f>'(FnCalls 1)'!A42</f>
        <v>40210</v>
      </c>
      <c r="D1051" s="364">
        <f>'(FnCalls 1)'!A43</f>
        <v>40238</v>
      </c>
      <c r="E1051" s="364">
        <f>'(FnCalls 1)'!A44</f>
        <v>40269</v>
      </c>
      <c r="F1051" s="364">
        <f>'(FnCalls 1)'!A45</f>
        <v>40299</v>
      </c>
      <c r="G1051" s="364">
        <f>'(FnCalls 1)'!A46</f>
        <v>40330</v>
      </c>
      <c r="H1051" s="364">
        <f>'(FnCalls 1)'!A47</f>
        <v>40360</v>
      </c>
      <c r="I1051" s="364">
        <f>'(FnCalls 1)'!A48</f>
        <v>40391</v>
      </c>
      <c r="J1051" s="364">
        <f>'(FnCalls 1)'!A49</f>
        <v>40422</v>
      </c>
      <c r="K1051" s="364">
        <f>'(FnCalls 1)'!A50</f>
        <v>40452</v>
      </c>
      <c r="L1051" s="364">
        <f>'(FnCalls 1)'!A51</f>
        <v>40483</v>
      </c>
      <c r="M1051" s="364">
        <f>'(FnCalls 1)'!A52</f>
        <v>40513</v>
      </c>
      <c r="N1051" s="364">
        <f>'(FnCalls 1)'!A53</f>
        <v>40544</v>
      </c>
      <c r="O1051" s="364">
        <f>'(FnCalls 1)'!A54</f>
        <v>40575</v>
      </c>
      <c r="P1051" s="364">
        <f>'(FnCalls 1)'!A55</f>
        <v>40603</v>
      </c>
      <c r="Q1051" s="364">
        <f>'(FnCalls 1)'!A56</f>
        <v>40634</v>
      </c>
      <c r="R1051" s="364">
        <f>'(FnCalls 1)'!A57</f>
        <v>40664</v>
      </c>
      <c r="S1051" s="365">
        <f>'(FnCalls 1)'!A58</f>
        <v>40695</v>
      </c>
    </row>
    <row r="1052" spans="1:20" ht="12.75" customHeight="1" x14ac:dyDescent="0.2">
      <c r="A1052" s="1" t="str">
        <f>"Net_Income_2"</f>
        <v>Net_Income_2</v>
      </c>
    </row>
    <row r="1053" spans="1:20" ht="12.75" customHeight="1" x14ac:dyDescent="0.2">
      <c r="B1053" s="9" t="str">
        <f>'(FnCalls 1)'!F41</f>
        <v>MMM 2010</v>
      </c>
      <c r="C1053" s="10" t="str">
        <f>'(FnCalls 1)'!F42</f>
        <v>MMM 2010</v>
      </c>
      <c r="D1053" s="10" t="str">
        <f>'(FnCalls 1)'!F43</f>
        <v>MMM 2010</v>
      </c>
      <c r="E1053" s="10" t="str">
        <f>'(FnCalls 1)'!F44</f>
        <v>MMM 2010</v>
      </c>
      <c r="F1053" s="10" t="str">
        <f>'(FnCalls 1)'!F45</f>
        <v>MMM 2010</v>
      </c>
      <c r="G1053" s="10" t="str">
        <f>'(FnCalls 1)'!F46</f>
        <v>MMM 2010</v>
      </c>
      <c r="H1053" s="10" t="str">
        <f>'(FnCalls 1)'!F47</f>
        <v>MMM 2010</v>
      </c>
      <c r="I1053" s="10" t="str">
        <f>'(FnCalls 1)'!F48</f>
        <v>MMM 2010</v>
      </c>
      <c r="J1053" s="10" t="str">
        <f>'(FnCalls 1)'!F49</f>
        <v>MMM 2010</v>
      </c>
      <c r="K1053" s="10" t="str">
        <f>'(FnCalls 1)'!F50</f>
        <v>MMM 2010</v>
      </c>
      <c r="L1053" s="10" t="str">
        <f>'(FnCalls 1)'!F51</f>
        <v>MMM 2010</v>
      </c>
      <c r="M1053" s="10" t="str">
        <f>'(FnCalls 1)'!F52</f>
        <v>MMM 2010</v>
      </c>
      <c r="N1053" s="10" t="str">
        <f>'(FnCalls 1)'!F53</f>
        <v>MMM 2011</v>
      </c>
      <c r="O1053" s="10" t="str">
        <f>'(FnCalls 1)'!F54</f>
        <v>MMM 2011</v>
      </c>
      <c r="P1053" s="10" t="str">
        <f>'(FnCalls 1)'!F55</f>
        <v>MMM 2011</v>
      </c>
      <c r="Q1053" s="10" t="str">
        <f>'(FnCalls 1)'!F56</f>
        <v>MMM 2011</v>
      </c>
      <c r="R1053" s="10" t="str">
        <f>'(FnCalls 1)'!F57</f>
        <v>MMM 2011</v>
      </c>
      <c r="S1053" s="11" t="str">
        <f>'(FnCalls 1)'!F58</f>
        <v>MMM 2011</v>
      </c>
    </row>
    <row r="1054" spans="1:20" ht="12.75" customHeight="1" x14ac:dyDescent="0.2">
      <c r="A1054" s="97"/>
      <c r="B1054" s="364" t="str">
        <f>'(FnCalls 1)'!F41</f>
        <v>MMM 2010</v>
      </c>
      <c r="C1054" s="364" t="str">
        <f>'(FnCalls 1)'!F42</f>
        <v>MMM 2010</v>
      </c>
      <c r="D1054" s="364" t="str">
        <f>'(FnCalls 1)'!F43</f>
        <v>MMM 2010</v>
      </c>
      <c r="E1054" s="364" t="str">
        <f>'(FnCalls 1)'!F44</f>
        <v>MMM 2010</v>
      </c>
      <c r="F1054" s="364" t="str">
        <f>'(FnCalls 1)'!F45</f>
        <v>MMM 2010</v>
      </c>
      <c r="G1054" s="364" t="str">
        <f>'(FnCalls 1)'!F46</f>
        <v>MMM 2010</v>
      </c>
      <c r="H1054" s="364" t="str">
        <f>'(FnCalls 1)'!F47</f>
        <v>MMM 2010</v>
      </c>
      <c r="I1054" s="364" t="str">
        <f>'(FnCalls 1)'!F48</f>
        <v>MMM 2010</v>
      </c>
      <c r="J1054" s="364" t="str">
        <f>'(FnCalls 1)'!F49</f>
        <v>MMM 2010</v>
      </c>
      <c r="K1054" s="364" t="str">
        <f>'(FnCalls 1)'!F50</f>
        <v>MMM 2010</v>
      </c>
      <c r="L1054" s="364" t="str">
        <f>'(FnCalls 1)'!F51</f>
        <v>MMM 2010</v>
      </c>
      <c r="M1054" s="364" t="str">
        <f>'(FnCalls 1)'!F52</f>
        <v>MMM 2010</v>
      </c>
      <c r="N1054" s="364" t="str">
        <f>'(FnCalls 1)'!F53</f>
        <v>MMM 2011</v>
      </c>
      <c r="O1054" s="364" t="str">
        <f>'(FnCalls 1)'!F54</f>
        <v>MMM 2011</v>
      </c>
      <c r="P1054" s="364" t="str">
        <f>'(FnCalls 1)'!F55</f>
        <v>MMM 2011</v>
      </c>
      <c r="Q1054" s="364" t="str">
        <f>'(FnCalls 1)'!F56</f>
        <v>MMM 2011</v>
      </c>
      <c r="R1054" s="364" t="str">
        <f>'(FnCalls 1)'!F57</f>
        <v>MMM 2011</v>
      </c>
      <c r="S1054" s="365" t="str">
        <f>'(FnCalls 1)'!F58</f>
        <v>MMM 2011</v>
      </c>
    </row>
    <row r="1055" spans="1:20" ht="12.75" customHeight="1" x14ac:dyDescent="0.2">
      <c r="A1055" s="1" t="str">
        <f>"Assets_1"</f>
        <v>Assets_1</v>
      </c>
    </row>
    <row r="1056" spans="1:20" ht="12.75" customHeight="1" x14ac:dyDescent="0.2">
      <c r="B1056" s="9" t="str">
        <f>'(FnCalls 1)'!F40</f>
        <v>MMM 2009</v>
      </c>
      <c r="C1056" s="10" t="str">
        <f>'(FnCalls 1)'!F41</f>
        <v>MMM 2010</v>
      </c>
      <c r="D1056" s="10" t="str">
        <f>'(FnCalls 1)'!F42</f>
        <v>MMM 2010</v>
      </c>
      <c r="E1056" s="10" t="str">
        <f>'(FnCalls 1)'!F43</f>
        <v>MMM 2010</v>
      </c>
      <c r="F1056" s="10" t="str">
        <f>'(FnCalls 1)'!F44</f>
        <v>MMM 2010</v>
      </c>
      <c r="G1056" s="10" t="str">
        <f>'(FnCalls 1)'!F45</f>
        <v>MMM 2010</v>
      </c>
      <c r="H1056" s="10" t="str">
        <f>'(FnCalls 1)'!F46</f>
        <v>MMM 2010</v>
      </c>
      <c r="I1056" s="10" t="str">
        <f>'(FnCalls 1)'!F47</f>
        <v>MMM 2010</v>
      </c>
      <c r="J1056" s="10" t="str">
        <f>'(FnCalls 1)'!F48</f>
        <v>MMM 2010</v>
      </c>
      <c r="K1056" s="10" t="str">
        <f>'(FnCalls 1)'!F49</f>
        <v>MMM 2010</v>
      </c>
      <c r="L1056" s="10" t="str">
        <f>'(FnCalls 1)'!F50</f>
        <v>MMM 2010</v>
      </c>
      <c r="M1056" s="10" t="str">
        <f>'(FnCalls 1)'!F51</f>
        <v>MMM 2010</v>
      </c>
      <c r="N1056" s="10" t="str">
        <f>'(FnCalls 1)'!F52</f>
        <v>MMM 2010</v>
      </c>
      <c r="O1056" s="10" t="str">
        <f>'(FnCalls 1)'!F53</f>
        <v>MMM 2011</v>
      </c>
      <c r="P1056" s="10" t="str">
        <f>'(FnCalls 1)'!F54</f>
        <v>MMM 2011</v>
      </c>
      <c r="Q1056" s="10" t="str">
        <f>'(FnCalls 1)'!F55</f>
        <v>MMM 2011</v>
      </c>
      <c r="R1056" s="10" t="str">
        <f>'(FnCalls 1)'!F56</f>
        <v>MMM 2011</v>
      </c>
      <c r="S1056" s="10" t="str">
        <f>'(FnCalls 1)'!F57</f>
        <v>MMM 2011</v>
      </c>
      <c r="T1056" s="11" t="str">
        <f>'(FnCalls 1)'!F58</f>
        <v>MMM 2011</v>
      </c>
    </row>
    <row r="1057" spans="1:20" ht="12.75" customHeight="1" x14ac:dyDescent="0.2">
      <c r="A1057" s="97"/>
      <c r="B1057" s="364">
        <f>'(FnCalls 1)'!A40</f>
        <v>40148</v>
      </c>
      <c r="C1057" s="364">
        <f>'(FnCalls 1)'!A41</f>
        <v>40179</v>
      </c>
      <c r="D1057" s="364">
        <f>'(FnCalls 1)'!A42</f>
        <v>40210</v>
      </c>
      <c r="E1057" s="364">
        <f>'(FnCalls 1)'!A43</f>
        <v>40238</v>
      </c>
      <c r="F1057" s="364">
        <f>'(FnCalls 1)'!A44</f>
        <v>40269</v>
      </c>
      <c r="G1057" s="364">
        <f>'(FnCalls 1)'!A45</f>
        <v>40299</v>
      </c>
      <c r="H1057" s="364">
        <f>'(FnCalls 1)'!A46</f>
        <v>40330</v>
      </c>
      <c r="I1057" s="364">
        <f>'(FnCalls 1)'!A47</f>
        <v>40360</v>
      </c>
      <c r="J1057" s="364">
        <f>'(FnCalls 1)'!A48</f>
        <v>40391</v>
      </c>
      <c r="K1057" s="364">
        <f>'(FnCalls 1)'!A49</f>
        <v>40422</v>
      </c>
      <c r="L1057" s="364">
        <f>'(FnCalls 1)'!A50</f>
        <v>40452</v>
      </c>
      <c r="M1057" s="364">
        <f>'(FnCalls 1)'!A51</f>
        <v>40483</v>
      </c>
      <c r="N1057" s="364">
        <f>'(FnCalls 1)'!A52</f>
        <v>40513</v>
      </c>
      <c r="O1057" s="364">
        <f>'(FnCalls 1)'!A53</f>
        <v>40544</v>
      </c>
      <c r="P1057" s="364">
        <f>'(FnCalls 1)'!A54</f>
        <v>40575</v>
      </c>
      <c r="Q1057" s="364">
        <f>'(FnCalls 1)'!A55</f>
        <v>40603</v>
      </c>
      <c r="R1057" s="364">
        <f>'(FnCalls 1)'!A56</f>
        <v>40634</v>
      </c>
      <c r="S1057" s="364">
        <f>'(FnCalls 1)'!A57</f>
        <v>40664</v>
      </c>
      <c r="T1057" s="365">
        <f>'(FnCalls 1)'!A58</f>
        <v>40695</v>
      </c>
    </row>
    <row r="1058" spans="1:20" ht="12.75" customHeight="1" x14ac:dyDescent="0.2">
      <c r="A1058" s="1" t="str">
        <f>"Assets_2"</f>
        <v>Assets_2</v>
      </c>
    </row>
    <row r="1059" spans="1:20" ht="12.75" customHeight="1" x14ac:dyDescent="0.2">
      <c r="B1059" s="9" t="str">
        <f>'(FnCalls 1)'!F40</f>
        <v>MMM 2009</v>
      </c>
      <c r="C1059" s="10" t="str">
        <f>'(FnCalls 1)'!F41</f>
        <v>MMM 2010</v>
      </c>
      <c r="D1059" s="10" t="str">
        <f>'(FnCalls 1)'!F42</f>
        <v>MMM 2010</v>
      </c>
      <c r="E1059" s="10" t="str">
        <f>'(FnCalls 1)'!F43</f>
        <v>MMM 2010</v>
      </c>
      <c r="F1059" s="10" t="str">
        <f>'(FnCalls 1)'!F44</f>
        <v>MMM 2010</v>
      </c>
      <c r="G1059" s="10" t="str">
        <f>'(FnCalls 1)'!F45</f>
        <v>MMM 2010</v>
      </c>
      <c r="H1059" s="10" t="str">
        <f>'(FnCalls 1)'!F46</f>
        <v>MMM 2010</v>
      </c>
      <c r="I1059" s="10" t="str">
        <f>'(FnCalls 1)'!F47</f>
        <v>MMM 2010</v>
      </c>
      <c r="J1059" s="10" t="str">
        <f>'(FnCalls 1)'!F48</f>
        <v>MMM 2010</v>
      </c>
      <c r="K1059" s="10" t="str">
        <f>'(FnCalls 1)'!F49</f>
        <v>MMM 2010</v>
      </c>
      <c r="L1059" s="10" t="str">
        <f>'(FnCalls 1)'!F50</f>
        <v>MMM 2010</v>
      </c>
      <c r="M1059" s="10" t="str">
        <f>'(FnCalls 1)'!F51</f>
        <v>MMM 2010</v>
      </c>
      <c r="N1059" s="10" t="str">
        <f>'(FnCalls 1)'!F52</f>
        <v>MMM 2010</v>
      </c>
      <c r="O1059" s="10" t="str">
        <f>'(FnCalls 1)'!F53</f>
        <v>MMM 2011</v>
      </c>
      <c r="P1059" s="10" t="str">
        <f>'(FnCalls 1)'!F54</f>
        <v>MMM 2011</v>
      </c>
      <c r="Q1059" s="10" t="str">
        <f>'(FnCalls 1)'!F55</f>
        <v>MMM 2011</v>
      </c>
      <c r="R1059" s="10" t="str">
        <f>'(FnCalls 1)'!F56</f>
        <v>MMM 2011</v>
      </c>
      <c r="S1059" s="10" t="str">
        <f>'(FnCalls 1)'!F57</f>
        <v>MMM 2011</v>
      </c>
      <c r="T1059" s="11" t="str">
        <f>'(FnCalls 1)'!F58</f>
        <v>MMM 2011</v>
      </c>
    </row>
    <row r="1060" spans="1:20" ht="12.75" customHeight="1" x14ac:dyDescent="0.2">
      <c r="A1060" s="97"/>
      <c r="B1060" s="364" t="str">
        <f>'(FnCalls 1)'!F40</f>
        <v>MMM 2009</v>
      </c>
      <c r="C1060" s="364" t="str">
        <f>'(FnCalls 1)'!F41</f>
        <v>MMM 2010</v>
      </c>
      <c r="D1060" s="364" t="str">
        <f>'(FnCalls 1)'!F42</f>
        <v>MMM 2010</v>
      </c>
      <c r="E1060" s="364" t="str">
        <f>'(FnCalls 1)'!F43</f>
        <v>MMM 2010</v>
      </c>
      <c r="F1060" s="364" t="str">
        <f>'(FnCalls 1)'!F44</f>
        <v>MMM 2010</v>
      </c>
      <c r="G1060" s="364" t="str">
        <f>'(FnCalls 1)'!F45</f>
        <v>MMM 2010</v>
      </c>
      <c r="H1060" s="364" t="str">
        <f>'(FnCalls 1)'!F46</f>
        <v>MMM 2010</v>
      </c>
      <c r="I1060" s="364" t="str">
        <f>'(FnCalls 1)'!F47</f>
        <v>MMM 2010</v>
      </c>
      <c r="J1060" s="364" t="str">
        <f>'(FnCalls 1)'!F48</f>
        <v>MMM 2010</v>
      </c>
      <c r="K1060" s="364" t="str">
        <f>'(FnCalls 1)'!F49</f>
        <v>MMM 2010</v>
      </c>
      <c r="L1060" s="364" t="str">
        <f>'(FnCalls 1)'!F50</f>
        <v>MMM 2010</v>
      </c>
      <c r="M1060" s="364" t="str">
        <f>'(FnCalls 1)'!F51</f>
        <v>MMM 2010</v>
      </c>
      <c r="N1060" s="364" t="str">
        <f>'(FnCalls 1)'!F52</f>
        <v>MMM 2010</v>
      </c>
      <c r="O1060" s="364" t="str">
        <f>'(FnCalls 1)'!F53</f>
        <v>MMM 2011</v>
      </c>
      <c r="P1060" s="364" t="str">
        <f>'(FnCalls 1)'!F54</f>
        <v>MMM 2011</v>
      </c>
      <c r="Q1060" s="364" t="str">
        <f>'(FnCalls 1)'!F55</f>
        <v>MMM 2011</v>
      </c>
      <c r="R1060" s="364" t="str">
        <f>'(FnCalls 1)'!F56</f>
        <v>MMM 2011</v>
      </c>
      <c r="S1060" s="364" t="str">
        <f>'(FnCalls 1)'!F57</f>
        <v>MMM 2011</v>
      </c>
      <c r="T1060" s="365" t="str">
        <f>'(FnCalls 1)'!F58</f>
        <v>MMM 2011</v>
      </c>
    </row>
    <row r="1061" spans="1:20" ht="12.75" customHeight="1" x14ac:dyDescent="0.2">
      <c r="A1061" s="1" t="str">
        <f>"Liabilities_1"</f>
        <v>Liabilities_1</v>
      </c>
    </row>
    <row r="1062" spans="1:20" ht="12.75" customHeight="1" x14ac:dyDescent="0.2">
      <c r="B1062" s="9" t="str">
        <f>'(FnCalls 1)'!F40</f>
        <v>MMM 2009</v>
      </c>
      <c r="C1062" s="10" t="str">
        <f>'(FnCalls 1)'!F41</f>
        <v>MMM 2010</v>
      </c>
      <c r="D1062" s="10" t="str">
        <f>'(FnCalls 1)'!F42</f>
        <v>MMM 2010</v>
      </c>
      <c r="E1062" s="10" t="str">
        <f>'(FnCalls 1)'!F43</f>
        <v>MMM 2010</v>
      </c>
      <c r="F1062" s="10" t="str">
        <f>'(FnCalls 1)'!F44</f>
        <v>MMM 2010</v>
      </c>
      <c r="G1062" s="10" t="str">
        <f>'(FnCalls 1)'!F45</f>
        <v>MMM 2010</v>
      </c>
      <c r="H1062" s="10" t="str">
        <f>'(FnCalls 1)'!F46</f>
        <v>MMM 2010</v>
      </c>
      <c r="I1062" s="10" t="str">
        <f>'(FnCalls 1)'!F47</f>
        <v>MMM 2010</v>
      </c>
      <c r="J1062" s="10" t="str">
        <f>'(FnCalls 1)'!F48</f>
        <v>MMM 2010</v>
      </c>
      <c r="K1062" s="10" t="str">
        <f>'(FnCalls 1)'!F49</f>
        <v>MMM 2010</v>
      </c>
      <c r="L1062" s="10" t="str">
        <f>'(FnCalls 1)'!F50</f>
        <v>MMM 2010</v>
      </c>
      <c r="M1062" s="10" t="str">
        <f>'(FnCalls 1)'!F51</f>
        <v>MMM 2010</v>
      </c>
      <c r="N1062" s="10" t="str">
        <f>'(FnCalls 1)'!F52</f>
        <v>MMM 2010</v>
      </c>
      <c r="O1062" s="10" t="str">
        <f>'(FnCalls 1)'!F53</f>
        <v>MMM 2011</v>
      </c>
      <c r="P1062" s="10" t="str">
        <f>'(FnCalls 1)'!F54</f>
        <v>MMM 2011</v>
      </c>
      <c r="Q1062" s="10" t="str">
        <f>'(FnCalls 1)'!F55</f>
        <v>MMM 2011</v>
      </c>
      <c r="R1062" s="10" t="str">
        <f>'(FnCalls 1)'!F56</f>
        <v>MMM 2011</v>
      </c>
      <c r="S1062" s="10" t="str">
        <f>'(FnCalls 1)'!F57</f>
        <v>MMM 2011</v>
      </c>
      <c r="T1062" s="11" t="str">
        <f>'(FnCalls 1)'!F58</f>
        <v>MMM 2011</v>
      </c>
    </row>
    <row r="1063" spans="1:20" ht="12.75" customHeight="1" x14ac:dyDescent="0.2">
      <c r="A1063" s="97"/>
      <c r="B1063" s="364">
        <f>'(FnCalls 1)'!A40</f>
        <v>40148</v>
      </c>
      <c r="C1063" s="364">
        <f>'(FnCalls 1)'!A41</f>
        <v>40179</v>
      </c>
      <c r="D1063" s="364">
        <f>'(FnCalls 1)'!A42</f>
        <v>40210</v>
      </c>
      <c r="E1063" s="364">
        <f>'(FnCalls 1)'!A43</f>
        <v>40238</v>
      </c>
      <c r="F1063" s="364">
        <f>'(FnCalls 1)'!A44</f>
        <v>40269</v>
      </c>
      <c r="G1063" s="364">
        <f>'(FnCalls 1)'!A45</f>
        <v>40299</v>
      </c>
      <c r="H1063" s="364">
        <f>'(FnCalls 1)'!A46</f>
        <v>40330</v>
      </c>
      <c r="I1063" s="364">
        <f>'(FnCalls 1)'!A47</f>
        <v>40360</v>
      </c>
      <c r="J1063" s="364">
        <f>'(FnCalls 1)'!A48</f>
        <v>40391</v>
      </c>
      <c r="K1063" s="364">
        <f>'(FnCalls 1)'!A49</f>
        <v>40422</v>
      </c>
      <c r="L1063" s="364">
        <f>'(FnCalls 1)'!A50</f>
        <v>40452</v>
      </c>
      <c r="M1063" s="364">
        <f>'(FnCalls 1)'!A51</f>
        <v>40483</v>
      </c>
      <c r="N1063" s="364">
        <f>'(FnCalls 1)'!A52</f>
        <v>40513</v>
      </c>
      <c r="O1063" s="364">
        <f>'(FnCalls 1)'!A53</f>
        <v>40544</v>
      </c>
      <c r="P1063" s="364">
        <f>'(FnCalls 1)'!A54</f>
        <v>40575</v>
      </c>
      <c r="Q1063" s="364">
        <f>'(FnCalls 1)'!A55</f>
        <v>40603</v>
      </c>
      <c r="R1063" s="364">
        <f>'(FnCalls 1)'!A56</f>
        <v>40634</v>
      </c>
      <c r="S1063" s="364">
        <f>'(FnCalls 1)'!A57</f>
        <v>40664</v>
      </c>
      <c r="T1063" s="365">
        <f>'(FnCalls 1)'!A58</f>
        <v>40695</v>
      </c>
    </row>
    <row r="1064" spans="1:20" ht="12.75" customHeight="1" x14ac:dyDescent="0.2">
      <c r="A1064" s="1" t="str">
        <f>"Liabilities_2"</f>
        <v>Liabilities_2</v>
      </c>
    </row>
    <row r="1065" spans="1:20" ht="12.75" customHeight="1" x14ac:dyDescent="0.2">
      <c r="B1065" s="9" t="str">
        <f>'(FnCalls 1)'!F40</f>
        <v>MMM 2009</v>
      </c>
      <c r="C1065" s="10" t="str">
        <f>'(FnCalls 1)'!F41</f>
        <v>MMM 2010</v>
      </c>
      <c r="D1065" s="10" t="str">
        <f>'(FnCalls 1)'!F42</f>
        <v>MMM 2010</v>
      </c>
      <c r="E1065" s="10" t="str">
        <f>'(FnCalls 1)'!F43</f>
        <v>MMM 2010</v>
      </c>
      <c r="F1065" s="10" t="str">
        <f>'(FnCalls 1)'!F44</f>
        <v>MMM 2010</v>
      </c>
      <c r="G1065" s="10" t="str">
        <f>'(FnCalls 1)'!F45</f>
        <v>MMM 2010</v>
      </c>
      <c r="H1065" s="10" t="str">
        <f>'(FnCalls 1)'!F46</f>
        <v>MMM 2010</v>
      </c>
      <c r="I1065" s="10" t="str">
        <f>'(FnCalls 1)'!F47</f>
        <v>MMM 2010</v>
      </c>
      <c r="J1065" s="10" t="str">
        <f>'(FnCalls 1)'!F48</f>
        <v>MMM 2010</v>
      </c>
      <c r="K1065" s="10" t="str">
        <f>'(FnCalls 1)'!F49</f>
        <v>MMM 2010</v>
      </c>
      <c r="L1065" s="10" t="str">
        <f>'(FnCalls 1)'!F50</f>
        <v>MMM 2010</v>
      </c>
      <c r="M1065" s="10" t="str">
        <f>'(FnCalls 1)'!F51</f>
        <v>MMM 2010</v>
      </c>
      <c r="N1065" s="10" t="str">
        <f>'(FnCalls 1)'!F52</f>
        <v>MMM 2010</v>
      </c>
      <c r="O1065" s="10" t="str">
        <f>'(FnCalls 1)'!F53</f>
        <v>MMM 2011</v>
      </c>
      <c r="P1065" s="10" t="str">
        <f>'(FnCalls 1)'!F54</f>
        <v>MMM 2011</v>
      </c>
      <c r="Q1065" s="10" t="str">
        <f>'(FnCalls 1)'!F55</f>
        <v>MMM 2011</v>
      </c>
      <c r="R1065" s="10" t="str">
        <f>'(FnCalls 1)'!F56</f>
        <v>MMM 2011</v>
      </c>
      <c r="S1065" s="10" t="str">
        <f>'(FnCalls 1)'!F57</f>
        <v>MMM 2011</v>
      </c>
      <c r="T1065" s="11" t="str">
        <f>'(FnCalls 1)'!F58</f>
        <v>MMM 2011</v>
      </c>
    </row>
    <row r="1066" spans="1:20" ht="12.75" customHeight="1" x14ac:dyDescent="0.2">
      <c r="A1066" s="97"/>
      <c r="B1066" s="364" t="str">
        <f>'(FnCalls 1)'!F40</f>
        <v>MMM 2009</v>
      </c>
      <c r="C1066" s="364" t="str">
        <f>'(FnCalls 1)'!F41</f>
        <v>MMM 2010</v>
      </c>
      <c r="D1066" s="364" t="str">
        <f>'(FnCalls 1)'!F42</f>
        <v>MMM 2010</v>
      </c>
      <c r="E1066" s="364" t="str">
        <f>'(FnCalls 1)'!F43</f>
        <v>MMM 2010</v>
      </c>
      <c r="F1066" s="364" t="str">
        <f>'(FnCalls 1)'!F44</f>
        <v>MMM 2010</v>
      </c>
      <c r="G1066" s="364" t="str">
        <f>'(FnCalls 1)'!F45</f>
        <v>MMM 2010</v>
      </c>
      <c r="H1066" s="364" t="str">
        <f>'(FnCalls 1)'!F46</f>
        <v>MMM 2010</v>
      </c>
      <c r="I1066" s="364" t="str">
        <f>'(FnCalls 1)'!F47</f>
        <v>MMM 2010</v>
      </c>
      <c r="J1066" s="364" t="str">
        <f>'(FnCalls 1)'!F48</f>
        <v>MMM 2010</v>
      </c>
      <c r="K1066" s="364" t="str">
        <f>'(FnCalls 1)'!F49</f>
        <v>MMM 2010</v>
      </c>
      <c r="L1066" s="364" t="str">
        <f>'(FnCalls 1)'!F50</f>
        <v>MMM 2010</v>
      </c>
      <c r="M1066" s="364" t="str">
        <f>'(FnCalls 1)'!F51</f>
        <v>MMM 2010</v>
      </c>
      <c r="N1066" s="364" t="str">
        <f>'(FnCalls 1)'!F52</f>
        <v>MMM 2010</v>
      </c>
      <c r="O1066" s="364" t="str">
        <f>'(FnCalls 1)'!F53</f>
        <v>MMM 2011</v>
      </c>
      <c r="P1066" s="364" t="str">
        <f>'(FnCalls 1)'!F54</f>
        <v>MMM 2011</v>
      </c>
      <c r="Q1066" s="364" t="str">
        <f>'(FnCalls 1)'!F55</f>
        <v>MMM 2011</v>
      </c>
      <c r="R1066" s="364" t="str">
        <f>'(FnCalls 1)'!F56</f>
        <v>MMM 2011</v>
      </c>
      <c r="S1066" s="364" t="str">
        <f>'(FnCalls 1)'!F57</f>
        <v>MMM 2011</v>
      </c>
      <c r="T1066" s="365" t="str">
        <f>'(FnCalls 1)'!F58</f>
        <v>MMM 2011</v>
      </c>
    </row>
    <row r="1067" spans="1:20" ht="12.75" customHeight="1" x14ac:dyDescent="0.2">
      <c r="A1067" s="1" t="str">
        <f>"Equity_1"</f>
        <v>Equity_1</v>
      </c>
    </row>
    <row r="1068" spans="1:20" ht="12.75" customHeight="1" x14ac:dyDescent="0.2">
      <c r="B1068" s="9" t="str">
        <f>'(FnCalls 1)'!F40</f>
        <v>MMM 2009</v>
      </c>
      <c r="C1068" s="10" t="str">
        <f>'(FnCalls 1)'!F41</f>
        <v>MMM 2010</v>
      </c>
      <c r="D1068" s="10" t="str">
        <f>'(FnCalls 1)'!F42</f>
        <v>MMM 2010</v>
      </c>
      <c r="E1068" s="10" t="str">
        <f>'(FnCalls 1)'!F43</f>
        <v>MMM 2010</v>
      </c>
      <c r="F1068" s="10" t="str">
        <f>'(FnCalls 1)'!F44</f>
        <v>MMM 2010</v>
      </c>
      <c r="G1068" s="10" t="str">
        <f>'(FnCalls 1)'!F45</f>
        <v>MMM 2010</v>
      </c>
      <c r="H1068" s="10" t="str">
        <f>'(FnCalls 1)'!F46</f>
        <v>MMM 2010</v>
      </c>
      <c r="I1068" s="10" t="str">
        <f>'(FnCalls 1)'!F47</f>
        <v>MMM 2010</v>
      </c>
      <c r="J1068" s="10" t="str">
        <f>'(FnCalls 1)'!F48</f>
        <v>MMM 2010</v>
      </c>
      <c r="K1068" s="10" t="str">
        <f>'(FnCalls 1)'!F49</f>
        <v>MMM 2010</v>
      </c>
      <c r="L1068" s="10" t="str">
        <f>'(FnCalls 1)'!F50</f>
        <v>MMM 2010</v>
      </c>
      <c r="M1068" s="10" t="str">
        <f>'(FnCalls 1)'!F51</f>
        <v>MMM 2010</v>
      </c>
      <c r="N1068" s="10" t="str">
        <f>'(FnCalls 1)'!F52</f>
        <v>MMM 2010</v>
      </c>
      <c r="O1068" s="10" t="str">
        <f>'(FnCalls 1)'!F53</f>
        <v>MMM 2011</v>
      </c>
      <c r="P1068" s="10" t="str">
        <f>'(FnCalls 1)'!F54</f>
        <v>MMM 2011</v>
      </c>
      <c r="Q1068" s="10" t="str">
        <f>'(FnCalls 1)'!F55</f>
        <v>MMM 2011</v>
      </c>
      <c r="R1068" s="10" t="str">
        <f>'(FnCalls 1)'!F56</f>
        <v>MMM 2011</v>
      </c>
      <c r="S1068" s="10" t="str">
        <f>'(FnCalls 1)'!F57</f>
        <v>MMM 2011</v>
      </c>
      <c r="T1068" s="11" t="str">
        <f>'(FnCalls 1)'!F58</f>
        <v>MMM 2011</v>
      </c>
    </row>
    <row r="1069" spans="1:20" ht="12.75" customHeight="1" x14ac:dyDescent="0.2">
      <c r="A1069" s="97"/>
      <c r="B1069" s="364">
        <f>'(FnCalls 1)'!A40</f>
        <v>40148</v>
      </c>
      <c r="C1069" s="364">
        <f>'(FnCalls 1)'!A41</f>
        <v>40179</v>
      </c>
      <c r="D1069" s="364">
        <f>'(FnCalls 1)'!A42</f>
        <v>40210</v>
      </c>
      <c r="E1069" s="364">
        <f>'(FnCalls 1)'!A43</f>
        <v>40238</v>
      </c>
      <c r="F1069" s="364">
        <f>'(FnCalls 1)'!A44</f>
        <v>40269</v>
      </c>
      <c r="G1069" s="364">
        <f>'(FnCalls 1)'!A45</f>
        <v>40299</v>
      </c>
      <c r="H1069" s="364">
        <f>'(FnCalls 1)'!A46</f>
        <v>40330</v>
      </c>
      <c r="I1069" s="364">
        <f>'(FnCalls 1)'!A47</f>
        <v>40360</v>
      </c>
      <c r="J1069" s="364">
        <f>'(FnCalls 1)'!A48</f>
        <v>40391</v>
      </c>
      <c r="K1069" s="364">
        <f>'(FnCalls 1)'!A49</f>
        <v>40422</v>
      </c>
      <c r="L1069" s="364">
        <f>'(FnCalls 1)'!A50</f>
        <v>40452</v>
      </c>
      <c r="M1069" s="364">
        <f>'(FnCalls 1)'!A51</f>
        <v>40483</v>
      </c>
      <c r="N1069" s="364">
        <f>'(FnCalls 1)'!A52</f>
        <v>40513</v>
      </c>
      <c r="O1069" s="364">
        <f>'(FnCalls 1)'!A53</f>
        <v>40544</v>
      </c>
      <c r="P1069" s="364">
        <f>'(FnCalls 1)'!A54</f>
        <v>40575</v>
      </c>
      <c r="Q1069" s="364">
        <f>'(FnCalls 1)'!A55</f>
        <v>40603</v>
      </c>
      <c r="R1069" s="364">
        <f>'(FnCalls 1)'!A56</f>
        <v>40634</v>
      </c>
      <c r="S1069" s="364">
        <f>'(FnCalls 1)'!A57</f>
        <v>40664</v>
      </c>
      <c r="T1069" s="365">
        <f>'(FnCalls 1)'!A58</f>
        <v>40695</v>
      </c>
    </row>
    <row r="1070" spans="1:20" ht="12.75" customHeight="1" x14ac:dyDescent="0.2">
      <c r="A1070" s="1" t="str">
        <f>"Equity_2"</f>
        <v>Equity_2</v>
      </c>
    </row>
    <row r="1071" spans="1:20" ht="12.75" customHeight="1" x14ac:dyDescent="0.2">
      <c r="B1071" s="9" t="str">
        <f>'(FnCalls 1)'!F40</f>
        <v>MMM 2009</v>
      </c>
      <c r="C1071" s="10" t="str">
        <f>'(FnCalls 1)'!F41</f>
        <v>MMM 2010</v>
      </c>
      <c r="D1071" s="10" t="str">
        <f>'(FnCalls 1)'!F42</f>
        <v>MMM 2010</v>
      </c>
      <c r="E1071" s="10" t="str">
        <f>'(FnCalls 1)'!F43</f>
        <v>MMM 2010</v>
      </c>
      <c r="F1071" s="10" t="str">
        <f>'(FnCalls 1)'!F44</f>
        <v>MMM 2010</v>
      </c>
      <c r="G1071" s="10" t="str">
        <f>'(FnCalls 1)'!F45</f>
        <v>MMM 2010</v>
      </c>
      <c r="H1071" s="10" t="str">
        <f>'(FnCalls 1)'!F46</f>
        <v>MMM 2010</v>
      </c>
      <c r="I1071" s="10" t="str">
        <f>'(FnCalls 1)'!F47</f>
        <v>MMM 2010</v>
      </c>
      <c r="J1071" s="10" t="str">
        <f>'(FnCalls 1)'!F48</f>
        <v>MMM 2010</v>
      </c>
      <c r="K1071" s="10" t="str">
        <f>'(FnCalls 1)'!F49</f>
        <v>MMM 2010</v>
      </c>
      <c r="L1071" s="10" t="str">
        <f>'(FnCalls 1)'!F50</f>
        <v>MMM 2010</v>
      </c>
      <c r="M1071" s="10" t="str">
        <f>'(FnCalls 1)'!F51</f>
        <v>MMM 2010</v>
      </c>
      <c r="N1071" s="10" t="str">
        <f>'(FnCalls 1)'!F52</f>
        <v>MMM 2010</v>
      </c>
      <c r="O1071" s="10" t="str">
        <f>'(FnCalls 1)'!F53</f>
        <v>MMM 2011</v>
      </c>
      <c r="P1071" s="10" t="str">
        <f>'(FnCalls 1)'!F54</f>
        <v>MMM 2011</v>
      </c>
      <c r="Q1071" s="10" t="str">
        <f>'(FnCalls 1)'!F55</f>
        <v>MMM 2011</v>
      </c>
      <c r="R1071" s="10" t="str">
        <f>'(FnCalls 1)'!F56</f>
        <v>MMM 2011</v>
      </c>
      <c r="S1071" s="10" t="str">
        <f>'(FnCalls 1)'!F57</f>
        <v>MMM 2011</v>
      </c>
      <c r="T1071" s="11" t="str">
        <f>'(FnCalls 1)'!F58</f>
        <v>MMM 2011</v>
      </c>
    </row>
    <row r="1072" spans="1:20" ht="12.75" customHeight="1" x14ac:dyDescent="0.2">
      <c r="A1072" s="97"/>
      <c r="B1072" s="364" t="str">
        <f>'(FnCalls 1)'!F40</f>
        <v>MMM 2009</v>
      </c>
      <c r="C1072" s="364" t="str">
        <f>'(FnCalls 1)'!F41</f>
        <v>MMM 2010</v>
      </c>
      <c r="D1072" s="364" t="str">
        <f>'(FnCalls 1)'!F42</f>
        <v>MMM 2010</v>
      </c>
      <c r="E1072" s="364" t="str">
        <f>'(FnCalls 1)'!F43</f>
        <v>MMM 2010</v>
      </c>
      <c r="F1072" s="364" t="str">
        <f>'(FnCalls 1)'!F44</f>
        <v>MMM 2010</v>
      </c>
      <c r="G1072" s="364" t="str">
        <f>'(FnCalls 1)'!F45</f>
        <v>MMM 2010</v>
      </c>
      <c r="H1072" s="364" t="str">
        <f>'(FnCalls 1)'!F46</f>
        <v>MMM 2010</v>
      </c>
      <c r="I1072" s="364" t="str">
        <f>'(FnCalls 1)'!F47</f>
        <v>MMM 2010</v>
      </c>
      <c r="J1072" s="364" t="str">
        <f>'(FnCalls 1)'!F48</f>
        <v>MMM 2010</v>
      </c>
      <c r="K1072" s="364" t="str">
        <f>'(FnCalls 1)'!F49</f>
        <v>MMM 2010</v>
      </c>
      <c r="L1072" s="364" t="str">
        <f>'(FnCalls 1)'!F50</f>
        <v>MMM 2010</v>
      </c>
      <c r="M1072" s="364" t="str">
        <f>'(FnCalls 1)'!F51</f>
        <v>MMM 2010</v>
      </c>
      <c r="N1072" s="364" t="str">
        <f>'(FnCalls 1)'!F52</f>
        <v>MMM 2010</v>
      </c>
      <c r="O1072" s="364" t="str">
        <f>'(FnCalls 1)'!F53</f>
        <v>MMM 2011</v>
      </c>
      <c r="P1072" s="364" t="str">
        <f>'(FnCalls 1)'!F54</f>
        <v>MMM 2011</v>
      </c>
      <c r="Q1072" s="364" t="str">
        <f>'(FnCalls 1)'!F55</f>
        <v>MMM 2011</v>
      </c>
      <c r="R1072" s="364" t="str">
        <f>'(FnCalls 1)'!F56</f>
        <v>MMM 2011</v>
      </c>
      <c r="S1072" s="364" t="str">
        <f>'(FnCalls 1)'!F57</f>
        <v>MMM 2011</v>
      </c>
      <c r="T1072" s="365" t="str">
        <f>'(FnCalls 1)'!F58</f>
        <v>MMM 2011</v>
      </c>
    </row>
    <row r="1073" spans="1:20" ht="12.75" customHeight="1" x14ac:dyDescent="0.2">
      <c r="A1073" s="1" t="str">
        <f>"Valuation_Equity_1"</f>
        <v>Valuation_Equity_1</v>
      </c>
    </row>
    <row r="1074" spans="1:20" ht="12.75" customHeight="1" x14ac:dyDescent="0.2">
      <c r="B1074" s="9" t="str">
        <f>'(FnCalls 1)'!F40</f>
        <v>MMM 2009</v>
      </c>
      <c r="C1074" s="10" t="str">
        <f>'(FnCalls 1)'!F41</f>
        <v>MMM 2010</v>
      </c>
      <c r="D1074" s="10" t="str">
        <f>'(FnCalls 1)'!F42</f>
        <v>MMM 2010</v>
      </c>
      <c r="E1074" s="10" t="str">
        <f>'(FnCalls 1)'!F43</f>
        <v>MMM 2010</v>
      </c>
      <c r="F1074" s="10" t="str">
        <f>'(FnCalls 1)'!F44</f>
        <v>MMM 2010</v>
      </c>
      <c r="G1074" s="10" t="str">
        <f>'(FnCalls 1)'!F45</f>
        <v>MMM 2010</v>
      </c>
      <c r="H1074" s="10" t="str">
        <f>'(FnCalls 1)'!F46</f>
        <v>MMM 2010</v>
      </c>
      <c r="I1074" s="10" t="str">
        <f>'(FnCalls 1)'!F47</f>
        <v>MMM 2010</v>
      </c>
      <c r="J1074" s="10" t="str">
        <f>'(FnCalls 1)'!F48</f>
        <v>MMM 2010</v>
      </c>
      <c r="K1074" s="10" t="str">
        <f>'(FnCalls 1)'!F49</f>
        <v>MMM 2010</v>
      </c>
      <c r="L1074" s="10" t="str">
        <f>'(FnCalls 1)'!F50</f>
        <v>MMM 2010</v>
      </c>
      <c r="M1074" s="10" t="str">
        <f>'(FnCalls 1)'!F51</f>
        <v>MMM 2010</v>
      </c>
      <c r="N1074" s="10" t="str">
        <f>'(FnCalls 1)'!F52</f>
        <v>MMM 2010</v>
      </c>
      <c r="O1074" s="10" t="str">
        <f>'(FnCalls 1)'!F53</f>
        <v>MMM 2011</v>
      </c>
      <c r="P1074" s="10" t="str">
        <f>'(FnCalls 1)'!F54</f>
        <v>MMM 2011</v>
      </c>
      <c r="Q1074" s="10" t="str">
        <f>'(FnCalls 1)'!F55</f>
        <v>MMM 2011</v>
      </c>
      <c r="R1074" s="10" t="str">
        <f>'(FnCalls 1)'!F56</f>
        <v>MMM 2011</v>
      </c>
      <c r="S1074" s="10" t="str">
        <f>'(FnCalls 1)'!F57</f>
        <v>MMM 2011</v>
      </c>
      <c r="T1074" s="11" t="str">
        <f>'(FnCalls 1)'!F58</f>
        <v>MMM 2011</v>
      </c>
    </row>
    <row r="1075" spans="1:20" ht="12.75" customHeight="1" x14ac:dyDescent="0.2">
      <c r="A1075" s="97"/>
      <c r="B1075" s="364">
        <f>'(FnCalls 1)'!A40</f>
        <v>40148</v>
      </c>
      <c r="C1075" s="364">
        <f>'(FnCalls 1)'!A41</f>
        <v>40179</v>
      </c>
      <c r="D1075" s="364">
        <f>'(FnCalls 1)'!A42</f>
        <v>40210</v>
      </c>
      <c r="E1075" s="364">
        <f>'(FnCalls 1)'!A43</f>
        <v>40238</v>
      </c>
      <c r="F1075" s="364">
        <f>'(FnCalls 1)'!A44</f>
        <v>40269</v>
      </c>
      <c r="G1075" s="364">
        <f>'(FnCalls 1)'!A45</f>
        <v>40299</v>
      </c>
      <c r="H1075" s="364">
        <f>'(FnCalls 1)'!A46</f>
        <v>40330</v>
      </c>
      <c r="I1075" s="364">
        <f>'(FnCalls 1)'!A47</f>
        <v>40360</v>
      </c>
      <c r="J1075" s="364">
        <f>'(FnCalls 1)'!A48</f>
        <v>40391</v>
      </c>
      <c r="K1075" s="364">
        <f>'(FnCalls 1)'!A49</f>
        <v>40422</v>
      </c>
      <c r="L1075" s="364">
        <f>'(FnCalls 1)'!A50</f>
        <v>40452</v>
      </c>
      <c r="M1075" s="364">
        <f>'(FnCalls 1)'!A51</f>
        <v>40483</v>
      </c>
      <c r="N1075" s="364">
        <f>'(FnCalls 1)'!A52</f>
        <v>40513</v>
      </c>
      <c r="O1075" s="364">
        <f>'(FnCalls 1)'!A53</f>
        <v>40544</v>
      </c>
      <c r="P1075" s="364">
        <f>'(FnCalls 1)'!A54</f>
        <v>40575</v>
      </c>
      <c r="Q1075" s="364">
        <f>'(FnCalls 1)'!A55</f>
        <v>40603</v>
      </c>
      <c r="R1075" s="364">
        <f>'(FnCalls 1)'!A56</f>
        <v>40634</v>
      </c>
      <c r="S1075" s="364">
        <f>'(FnCalls 1)'!A57</f>
        <v>40664</v>
      </c>
      <c r="T1075" s="365">
        <f>'(FnCalls 1)'!A58</f>
        <v>40695</v>
      </c>
    </row>
    <row r="1076" spans="1:20" ht="12.75" customHeight="1" x14ac:dyDescent="0.2">
      <c r="A1076" s="1" t="str">
        <f>"Valuation_Equity_2"</f>
        <v>Valuation_Equity_2</v>
      </c>
    </row>
    <row r="1077" spans="1:20" ht="12.75" customHeight="1" x14ac:dyDescent="0.2">
      <c r="B1077" s="9" t="str">
        <f>'(FnCalls 1)'!F40</f>
        <v>MMM 2009</v>
      </c>
      <c r="C1077" s="10" t="str">
        <f>'(FnCalls 1)'!F41</f>
        <v>MMM 2010</v>
      </c>
      <c r="D1077" s="10" t="str">
        <f>'(FnCalls 1)'!F42</f>
        <v>MMM 2010</v>
      </c>
      <c r="E1077" s="10" t="str">
        <f>'(FnCalls 1)'!F43</f>
        <v>MMM 2010</v>
      </c>
      <c r="F1077" s="10" t="str">
        <f>'(FnCalls 1)'!F44</f>
        <v>MMM 2010</v>
      </c>
      <c r="G1077" s="10" t="str">
        <f>'(FnCalls 1)'!F45</f>
        <v>MMM 2010</v>
      </c>
      <c r="H1077" s="10" t="str">
        <f>'(FnCalls 1)'!F46</f>
        <v>MMM 2010</v>
      </c>
      <c r="I1077" s="10" t="str">
        <f>'(FnCalls 1)'!F47</f>
        <v>MMM 2010</v>
      </c>
      <c r="J1077" s="10" t="str">
        <f>'(FnCalls 1)'!F48</f>
        <v>MMM 2010</v>
      </c>
      <c r="K1077" s="10" t="str">
        <f>'(FnCalls 1)'!F49</f>
        <v>MMM 2010</v>
      </c>
      <c r="L1077" s="10" t="str">
        <f>'(FnCalls 1)'!F50</f>
        <v>MMM 2010</v>
      </c>
      <c r="M1077" s="10" t="str">
        <f>'(FnCalls 1)'!F51</f>
        <v>MMM 2010</v>
      </c>
      <c r="N1077" s="10" t="str">
        <f>'(FnCalls 1)'!F52</f>
        <v>MMM 2010</v>
      </c>
      <c r="O1077" s="10" t="str">
        <f>'(FnCalls 1)'!F53</f>
        <v>MMM 2011</v>
      </c>
      <c r="P1077" s="10" t="str">
        <f>'(FnCalls 1)'!F54</f>
        <v>MMM 2011</v>
      </c>
      <c r="Q1077" s="10" t="str">
        <f>'(FnCalls 1)'!F55</f>
        <v>MMM 2011</v>
      </c>
      <c r="R1077" s="10" t="str">
        <f>'(FnCalls 1)'!F56</f>
        <v>MMM 2011</v>
      </c>
      <c r="S1077" s="10" t="str">
        <f>'(FnCalls 1)'!F57</f>
        <v>MMM 2011</v>
      </c>
      <c r="T1077" s="11" t="str">
        <f>'(FnCalls 1)'!F58</f>
        <v>MMM 2011</v>
      </c>
    </row>
    <row r="1078" spans="1:20" ht="12.75" customHeight="1" x14ac:dyDescent="0.2">
      <c r="A1078" s="97"/>
      <c r="B1078" s="364" t="str">
        <f>'(FnCalls 1)'!F40</f>
        <v>MMM 2009</v>
      </c>
      <c r="C1078" s="364" t="str">
        <f>'(FnCalls 1)'!F41</f>
        <v>MMM 2010</v>
      </c>
      <c r="D1078" s="364" t="str">
        <f>'(FnCalls 1)'!F42</f>
        <v>MMM 2010</v>
      </c>
      <c r="E1078" s="364" t="str">
        <f>'(FnCalls 1)'!F43</f>
        <v>MMM 2010</v>
      </c>
      <c r="F1078" s="364" t="str">
        <f>'(FnCalls 1)'!F44</f>
        <v>MMM 2010</v>
      </c>
      <c r="G1078" s="364" t="str">
        <f>'(FnCalls 1)'!F45</f>
        <v>MMM 2010</v>
      </c>
      <c r="H1078" s="364" t="str">
        <f>'(FnCalls 1)'!F46</f>
        <v>MMM 2010</v>
      </c>
      <c r="I1078" s="364" t="str">
        <f>'(FnCalls 1)'!F47</f>
        <v>MMM 2010</v>
      </c>
      <c r="J1078" s="364" t="str">
        <f>'(FnCalls 1)'!F48</f>
        <v>MMM 2010</v>
      </c>
      <c r="K1078" s="364" t="str">
        <f>'(FnCalls 1)'!F49</f>
        <v>MMM 2010</v>
      </c>
      <c r="L1078" s="364" t="str">
        <f>'(FnCalls 1)'!F50</f>
        <v>MMM 2010</v>
      </c>
      <c r="M1078" s="364" t="str">
        <f>'(FnCalls 1)'!F51</f>
        <v>MMM 2010</v>
      </c>
      <c r="N1078" s="364" t="str">
        <f>'(FnCalls 1)'!F52</f>
        <v>MMM 2010</v>
      </c>
      <c r="O1078" s="364" t="str">
        <f>'(FnCalls 1)'!F53</f>
        <v>MMM 2011</v>
      </c>
      <c r="P1078" s="364" t="str">
        <f>'(FnCalls 1)'!F54</f>
        <v>MMM 2011</v>
      </c>
      <c r="Q1078" s="364" t="str">
        <f>'(FnCalls 1)'!F55</f>
        <v>MMM 2011</v>
      </c>
      <c r="R1078" s="364" t="str">
        <f>'(FnCalls 1)'!F56</f>
        <v>MMM 2011</v>
      </c>
      <c r="S1078" s="364" t="str">
        <f>'(FnCalls 1)'!F57</f>
        <v>MMM 2011</v>
      </c>
      <c r="T1078" s="365" t="str">
        <f>'(FnCalls 1)'!F58</f>
        <v>MMM 2011</v>
      </c>
    </row>
    <row r="1079" spans="1:20" ht="12.75" customHeight="1" x14ac:dyDescent="0.2">
      <c r="A1079" s="1" t="str">
        <f>"Revenue_Channel_1"</f>
        <v>Revenue_Channel_1</v>
      </c>
    </row>
    <row r="1080" spans="1:20" ht="12.75" customHeight="1" x14ac:dyDescent="0.2">
      <c r="B1080" s="9" t="str">
        <f>'(FnCalls 1)'!F41</f>
        <v>MMM 2010</v>
      </c>
      <c r="C1080" s="10" t="str">
        <f>'(FnCalls 1)'!F42</f>
        <v>MMM 2010</v>
      </c>
      <c r="D1080" s="10" t="str">
        <f>'(FnCalls 1)'!F43</f>
        <v>MMM 2010</v>
      </c>
      <c r="E1080" s="10" t="str">
        <f>'(FnCalls 1)'!F44</f>
        <v>MMM 2010</v>
      </c>
      <c r="F1080" s="10" t="str">
        <f>'(FnCalls 1)'!F45</f>
        <v>MMM 2010</v>
      </c>
      <c r="G1080" s="10" t="str">
        <f>'(FnCalls 1)'!F46</f>
        <v>MMM 2010</v>
      </c>
      <c r="H1080" s="10" t="str">
        <f>'(FnCalls 1)'!F47</f>
        <v>MMM 2010</v>
      </c>
      <c r="I1080" s="10" t="str">
        <f>'(FnCalls 1)'!F48</f>
        <v>MMM 2010</v>
      </c>
      <c r="J1080" s="10" t="str">
        <f>'(FnCalls 1)'!F49</f>
        <v>MMM 2010</v>
      </c>
      <c r="K1080" s="10" t="str">
        <f>'(FnCalls 1)'!F50</f>
        <v>MMM 2010</v>
      </c>
      <c r="L1080" s="10" t="str">
        <f>'(FnCalls 1)'!F51</f>
        <v>MMM 2010</v>
      </c>
      <c r="M1080" s="10" t="str">
        <f>'(FnCalls 1)'!F52</f>
        <v>MMM 2010</v>
      </c>
      <c r="N1080" s="10" t="str">
        <f>'(FnCalls 1)'!F53</f>
        <v>MMM 2011</v>
      </c>
      <c r="O1080" s="10" t="str">
        <f>'(FnCalls 1)'!F54</f>
        <v>MMM 2011</v>
      </c>
      <c r="P1080" s="10" t="str">
        <f>'(FnCalls 1)'!F55</f>
        <v>MMM 2011</v>
      </c>
      <c r="Q1080" s="10" t="str">
        <f>'(FnCalls 1)'!F56</f>
        <v>MMM 2011</v>
      </c>
      <c r="R1080" s="10" t="str">
        <f>'(FnCalls 1)'!F57</f>
        <v>MMM 2011</v>
      </c>
      <c r="S1080" s="11" t="str">
        <f>'(FnCalls 1)'!F58</f>
        <v>MMM 2011</v>
      </c>
    </row>
    <row r="1081" spans="1:20" ht="12.75" customHeight="1" x14ac:dyDescent="0.2">
      <c r="A1081" s="97"/>
      <c r="B1081" s="364">
        <f>'(FnCalls 1)'!A41</f>
        <v>40179</v>
      </c>
      <c r="C1081" s="364">
        <f>'(FnCalls 1)'!A42</f>
        <v>40210</v>
      </c>
      <c r="D1081" s="364">
        <f>'(FnCalls 1)'!A43</f>
        <v>40238</v>
      </c>
      <c r="E1081" s="364">
        <f>'(FnCalls 1)'!A44</f>
        <v>40269</v>
      </c>
      <c r="F1081" s="364">
        <f>'(FnCalls 1)'!A45</f>
        <v>40299</v>
      </c>
      <c r="G1081" s="364">
        <f>'(FnCalls 1)'!A46</f>
        <v>40330</v>
      </c>
      <c r="H1081" s="364">
        <f>'(FnCalls 1)'!A47</f>
        <v>40360</v>
      </c>
      <c r="I1081" s="364">
        <f>'(FnCalls 1)'!A48</f>
        <v>40391</v>
      </c>
      <c r="J1081" s="364">
        <f>'(FnCalls 1)'!A49</f>
        <v>40422</v>
      </c>
      <c r="K1081" s="364">
        <f>'(FnCalls 1)'!A50</f>
        <v>40452</v>
      </c>
      <c r="L1081" s="364">
        <f>'(FnCalls 1)'!A51</f>
        <v>40483</v>
      </c>
      <c r="M1081" s="364">
        <f>'(FnCalls 1)'!A52</f>
        <v>40513</v>
      </c>
      <c r="N1081" s="364">
        <f>'(FnCalls 1)'!A53</f>
        <v>40544</v>
      </c>
      <c r="O1081" s="364">
        <f>'(FnCalls 1)'!A54</f>
        <v>40575</v>
      </c>
      <c r="P1081" s="364">
        <f>'(FnCalls 1)'!A55</f>
        <v>40603</v>
      </c>
      <c r="Q1081" s="364">
        <f>'(FnCalls 1)'!A56</f>
        <v>40634</v>
      </c>
      <c r="R1081" s="364">
        <f>'(FnCalls 1)'!A57</f>
        <v>40664</v>
      </c>
      <c r="S1081" s="365">
        <f>'(FnCalls 1)'!A58</f>
        <v>40695</v>
      </c>
    </row>
    <row r="1082" spans="1:20" ht="12.75" customHeight="1" x14ac:dyDescent="0.2">
      <c r="A1082" s="1" t="str">
        <f>"Revenue_Channel_2"</f>
        <v>Revenue_Channel_2</v>
      </c>
    </row>
    <row r="1083" spans="1:20" ht="12.75" customHeight="1" x14ac:dyDescent="0.2">
      <c r="B1083" s="9" t="str">
        <f>'(FnCalls 1)'!F41</f>
        <v>MMM 2010</v>
      </c>
      <c r="C1083" s="10" t="str">
        <f>'(FnCalls 1)'!F42</f>
        <v>MMM 2010</v>
      </c>
      <c r="D1083" s="10" t="str">
        <f>'(FnCalls 1)'!F43</f>
        <v>MMM 2010</v>
      </c>
      <c r="E1083" s="10" t="str">
        <f>'(FnCalls 1)'!F44</f>
        <v>MMM 2010</v>
      </c>
      <c r="F1083" s="10" t="str">
        <f>'(FnCalls 1)'!F45</f>
        <v>MMM 2010</v>
      </c>
      <c r="G1083" s="10" t="str">
        <f>'(FnCalls 1)'!F46</f>
        <v>MMM 2010</v>
      </c>
      <c r="H1083" s="10" t="str">
        <f>'(FnCalls 1)'!F47</f>
        <v>MMM 2010</v>
      </c>
      <c r="I1083" s="10" t="str">
        <f>'(FnCalls 1)'!F48</f>
        <v>MMM 2010</v>
      </c>
      <c r="J1083" s="10" t="str">
        <f>'(FnCalls 1)'!F49</f>
        <v>MMM 2010</v>
      </c>
      <c r="K1083" s="10" t="str">
        <f>'(FnCalls 1)'!F50</f>
        <v>MMM 2010</v>
      </c>
      <c r="L1083" s="10" t="str">
        <f>'(FnCalls 1)'!F51</f>
        <v>MMM 2010</v>
      </c>
      <c r="M1083" s="10" t="str">
        <f>'(FnCalls 1)'!F52</f>
        <v>MMM 2010</v>
      </c>
      <c r="N1083" s="10" t="str">
        <f>'(FnCalls 1)'!F53</f>
        <v>MMM 2011</v>
      </c>
      <c r="O1083" s="10" t="str">
        <f>'(FnCalls 1)'!F54</f>
        <v>MMM 2011</v>
      </c>
      <c r="P1083" s="10" t="str">
        <f>'(FnCalls 1)'!F55</f>
        <v>MMM 2011</v>
      </c>
      <c r="Q1083" s="10" t="str">
        <f>'(FnCalls 1)'!F56</f>
        <v>MMM 2011</v>
      </c>
      <c r="R1083" s="10" t="str">
        <f>'(FnCalls 1)'!F57</f>
        <v>MMM 2011</v>
      </c>
      <c r="S1083" s="11" t="str">
        <f>'(FnCalls 1)'!F58</f>
        <v>MMM 2011</v>
      </c>
    </row>
    <row r="1084" spans="1:20" ht="12.75" customHeight="1" x14ac:dyDescent="0.2">
      <c r="A1084" s="97"/>
      <c r="B1084" s="364" t="str">
        <f>'(FnCalls 1)'!F41</f>
        <v>MMM 2010</v>
      </c>
      <c r="C1084" s="364" t="str">
        <f>'(FnCalls 1)'!F42</f>
        <v>MMM 2010</v>
      </c>
      <c r="D1084" s="364" t="str">
        <f>'(FnCalls 1)'!F43</f>
        <v>MMM 2010</v>
      </c>
      <c r="E1084" s="364" t="str">
        <f>'(FnCalls 1)'!F44</f>
        <v>MMM 2010</v>
      </c>
      <c r="F1084" s="364" t="str">
        <f>'(FnCalls 1)'!F45</f>
        <v>MMM 2010</v>
      </c>
      <c r="G1084" s="364" t="str">
        <f>'(FnCalls 1)'!F46</f>
        <v>MMM 2010</v>
      </c>
      <c r="H1084" s="364" t="str">
        <f>'(FnCalls 1)'!F47</f>
        <v>MMM 2010</v>
      </c>
      <c r="I1084" s="364" t="str">
        <f>'(FnCalls 1)'!F48</f>
        <v>MMM 2010</v>
      </c>
      <c r="J1084" s="364" t="str">
        <f>'(FnCalls 1)'!F49</f>
        <v>MMM 2010</v>
      </c>
      <c r="K1084" s="364" t="str">
        <f>'(FnCalls 1)'!F50</f>
        <v>MMM 2010</v>
      </c>
      <c r="L1084" s="364" t="str">
        <f>'(FnCalls 1)'!F51</f>
        <v>MMM 2010</v>
      </c>
      <c r="M1084" s="364" t="str">
        <f>'(FnCalls 1)'!F52</f>
        <v>MMM 2010</v>
      </c>
      <c r="N1084" s="364" t="str">
        <f>'(FnCalls 1)'!F53</f>
        <v>MMM 2011</v>
      </c>
      <c r="O1084" s="364" t="str">
        <f>'(FnCalls 1)'!F54</f>
        <v>MMM 2011</v>
      </c>
      <c r="P1084" s="364" t="str">
        <f>'(FnCalls 1)'!F55</f>
        <v>MMM 2011</v>
      </c>
      <c r="Q1084" s="364" t="str">
        <f>'(FnCalls 1)'!F56</f>
        <v>MMM 2011</v>
      </c>
      <c r="R1084" s="364" t="str">
        <f>'(FnCalls 1)'!F57</f>
        <v>MMM 2011</v>
      </c>
      <c r="S1084" s="365" t="str">
        <f>'(FnCalls 1)'!F58</f>
        <v>MMM 2011</v>
      </c>
    </row>
    <row r="1085" spans="1:20" ht="12.75" customHeight="1" x14ac:dyDescent="0.2">
      <c r="A1085" s="1" t="str">
        <f>"Gross_Margin_Channel_1"</f>
        <v>Gross_Margin_Channel_1</v>
      </c>
    </row>
    <row r="1086" spans="1:20" ht="12.75" customHeight="1" x14ac:dyDescent="0.2">
      <c r="B1086" s="9" t="str">
        <f>'(FnCalls 1)'!F41</f>
        <v>MMM 2010</v>
      </c>
      <c r="C1086" s="10" t="str">
        <f>'(FnCalls 1)'!F42</f>
        <v>MMM 2010</v>
      </c>
      <c r="D1086" s="10" t="str">
        <f>'(FnCalls 1)'!F43</f>
        <v>MMM 2010</v>
      </c>
      <c r="E1086" s="10" t="str">
        <f>'(FnCalls 1)'!F44</f>
        <v>MMM 2010</v>
      </c>
      <c r="F1086" s="10" t="str">
        <f>'(FnCalls 1)'!F45</f>
        <v>MMM 2010</v>
      </c>
      <c r="G1086" s="10" t="str">
        <f>'(FnCalls 1)'!F46</f>
        <v>MMM 2010</v>
      </c>
      <c r="H1086" s="10" t="str">
        <f>'(FnCalls 1)'!F47</f>
        <v>MMM 2010</v>
      </c>
      <c r="I1086" s="10" t="str">
        <f>'(FnCalls 1)'!F48</f>
        <v>MMM 2010</v>
      </c>
      <c r="J1086" s="10" t="str">
        <f>'(FnCalls 1)'!F49</f>
        <v>MMM 2010</v>
      </c>
      <c r="K1086" s="10" t="str">
        <f>'(FnCalls 1)'!F50</f>
        <v>MMM 2010</v>
      </c>
      <c r="L1086" s="10" t="str">
        <f>'(FnCalls 1)'!F51</f>
        <v>MMM 2010</v>
      </c>
      <c r="M1086" s="10" t="str">
        <f>'(FnCalls 1)'!F52</f>
        <v>MMM 2010</v>
      </c>
      <c r="N1086" s="10" t="str">
        <f>'(FnCalls 1)'!F53</f>
        <v>MMM 2011</v>
      </c>
      <c r="O1086" s="10" t="str">
        <f>'(FnCalls 1)'!F54</f>
        <v>MMM 2011</v>
      </c>
      <c r="P1086" s="10" t="str">
        <f>'(FnCalls 1)'!F55</f>
        <v>MMM 2011</v>
      </c>
      <c r="Q1086" s="10" t="str">
        <f>'(FnCalls 1)'!F56</f>
        <v>MMM 2011</v>
      </c>
      <c r="R1086" s="10" t="str">
        <f>'(FnCalls 1)'!F57</f>
        <v>MMM 2011</v>
      </c>
      <c r="S1086" s="11" t="str">
        <f>'(FnCalls 1)'!F58</f>
        <v>MMM 2011</v>
      </c>
    </row>
    <row r="1087" spans="1:20" ht="12.75" customHeight="1" x14ac:dyDescent="0.2">
      <c r="A1087" s="97"/>
      <c r="B1087" s="364">
        <f>'(FnCalls 1)'!A41</f>
        <v>40179</v>
      </c>
      <c r="C1087" s="364">
        <f>'(FnCalls 1)'!A42</f>
        <v>40210</v>
      </c>
      <c r="D1087" s="364">
        <f>'(FnCalls 1)'!A43</f>
        <v>40238</v>
      </c>
      <c r="E1087" s="364">
        <f>'(FnCalls 1)'!A44</f>
        <v>40269</v>
      </c>
      <c r="F1087" s="364">
        <f>'(FnCalls 1)'!A45</f>
        <v>40299</v>
      </c>
      <c r="G1087" s="364">
        <f>'(FnCalls 1)'!A46</f>
        <v>40330</v>
      </c>
      <c r="H1087" s="364">
        <f>'(FnCalls 1)'!A47</f>
        <v>40360</v>
      </c>
      <c r="I1087" s="364">
        <f>'(FnCalls 1)'!A48</f>
        <v>40391</v>
      </c>
      <c r="J1087" s="364">
        <f>'(FnCalls 1)'!A49</f>
        <v>40422</v>
      </c>
      <c r="K1087" s="364">
        <f>'(FnCalls 1)'!A50</f>
        <v>40452</v>
      </c>
      <c r="L1087" s="364">
        <f>'(FnCalls 1)'!A51</f>
        <v>40483</v>
      </c>
      <c r="M1087" s="364">
        <f>'(FnCalls 1)'!A52</f>
        <v>40513</v>
      </c>
      <c r="N1087" s="364">
        <f>'(FnCalls 1)'!A53</f>
        <v>40544</v>
      </c>
      <c r="O1087" s="364">
        <f>'(FnCalls 1)'!A54</f>
        <v>40575</v>
      </c>
      <c r="P1087" s="364">
        <f>'(FnCalls 1)'!A55</f>
        <v>40603</v>
      </c>
      <c r="Q1087" s="364">
        <f>'(FnCalls 1)'!A56</f>
        <v>40634</v>
      </c>
      <c r="R1087" s="364">
        <f>'(FnCalls 1)'!A57</f>
        <v>40664</v>
      </c>
      <c r="S1087" s="365">
        <f>'(FnCalls 1)'!A58</f>
        <v>40695</v>
      </c>
    </row>
    <row r="1088" spans="1:20" ht="12.75" customHeight="1" x14ac:dyDescent="0.2">
      <c r="A1088" s="1" t="str">
        <f>"Gross_Margin_Channel_2"</f>
        <v>Gross_Margin_Channel_2</v>
      </c>
    </row>
    <row r="1089" spans="1:19" ht="12.75" customHeight="1" x14ac:dyDescent="0.2">
      <c r="B1089" s="9" t="str">
        <f>'(FnCalls 1)'!F41</f>
        <v>MMM 2010</v>
      </c>
      <c r="C1089" s="10" t="str">
        <f>'(FnCalls 1)'!F42</f>
        <v>MMM 2010</v>
      </c>
      <c r="D1089" s="10" t="str">
        <f>'(FnCalls 1)'!F43</f>
        <v>MMM 2010</v>
      </c>
      <c r="E1089" s="10" t="str">
        <f>'(FnCalls 1)'!F44</f>
        <v>MMM 2010</v>
      </c>
      <c r="F1089" s="10" t="str">
        <f>'(FnCalls 1)'!F45</f>
        <v>MMM 2010</v>
      </c>
      <c r="G1089" s="10" t="str">
        <f>'(FnCalls 1)'!F46</f>
        <v>MMM 2010</v>
      </c>
      <c r="H1089" s="10" t="str">
        <f>'(FnCalls 1)'!F47</f>
        <v>MMM 2010</v>
      </c>
      <c r="I1089" s="10" t="str">
        <f>'(FnCalls 1)'!F48</f>
        <v>MMM 2010</v>
      </c>
      <c r="J1089" s="10" t="str">
        <f>'(FnCalls 1)'!F49</f>
        <v>MMM 2010</v>
      </c>
      <c r="K1089" s="10" t="str">
        <f>'(FnCalls 1)'!F50</f>
        <v>MMM 2010</v>
      </c>
      <c r="L1089" s="10" t="str">
        <f>'(FnCalls 1)'!F51</f>
        <v>MMM 2010</v>
      </c>
      <c r="M1089" s="10" t="str">
        <f>'(FnCalls 1)'!F52</f>
        <v>MMM 2010</v>
      </c>
      <c r="N1089" s="10" t="str">
        <f>'(FnCalls 1)'!F53</f>
        <v>MMM 2011</v>
      </c>
      <c r="O1089" s="10" t="str">
        <f>'(FnCalls 1)'!F54</f>
        <v>MMM 2011</v>
      </c>
      <c r="P1089" s="10" t="str">
        <f>'(FnCalls 1)'!F55</f>
        <v>MMM 2011</v>
      </c>
      <c r="Q1089" s="10" t="str">
        <f>'(FnCalls 1)'!F56</f>
        <v>MMM 2011</v>
      </c>
      <c r="R1089" s="10" t="str">
        <f>'(FnCalls 1)'!F57</f>
        <v>MMM 2011</v>
      </c>
      <c r="S1089" s="11" t="str">
        <f>'(FnCalls 1)'!F58</f>
        <v>MMM 2011</v>
      </c>
    </row>
    <row r="1090" spans="1:19" ht="12.75" customHeight="1" x14ac:dyDescent="0.2">
      <c r="A1090" s="97"/>
      <c r="B1090" s="364" t="str">
        <f>'(FnCalls 1)'!F41</f>
        <v>MMM 2010</v>
      </c>
      <c r="C1090" s="364" t="str">
        <f>'(FnCalls 1)'!F42</f>
        <v>MMM 2010</v>
      </c>
      <c r="D1090" s="364" t="str">
        <f>'(FnCalls 1)'!F43</f>
        <v>MMM 2010</v>
      </c>
      <c r="E1090" s="364" t="str">
        <f>'(FnCalls 1)'!F44</f>
        <v>MMM 2010</v>
      </c>
      <c r="F1090" s="364" t="str">
        <f>'(FnCalls 1)'!F45</f>
        <v>MMM 2010</v>
      </c>
      <c r="G1090" s="364" t="str">
        <f>'(FnCalls 1)'!F46</f>
        <v>MMM 2010</v>
      </c>
      <c r="H1090" s="364" t="str">
        <f>'(FnCalls 1)'!F47</f>
        <v>MMM 2010</v>
      </c>
      <c r="I1090" s="364" t="str">
        <f>'(FnCalls 1)'!F48</f>
        <v>MMM 2010</v>
      </c>
      <c r="J1090" s="364" t="str">
        <f>'(FnCalls 1)'!F49</f>
        <v>MMM 2010</v>
      </c>
      <c r="K1090" s="364" t="str">
        <f>'(FnCalls 1)'!F50</f>
        <v>MMM 2010</v>
      </c>
      <c r="L1090" s="364" t="str">
        <f>'(FnCalls 1)'!F51</f>
        <v>MMM 2010</v>
      </c>
      <c r="M1090" s="364" t="str">
        <f>'(FnCalls 1)'!F52</f>
        <v>MMM 2010</v>
      </c>
      <c r="N1090" s="364" t="str">
        <f>'(FnCalls 1)'!F53</f>
        <v>MMM 2011</v>
      </c>
      <c r="O1090" s="364" t="str">
        <f>'(FnCalls 1)'!F54</f>
        <v>MMM 2011</v>
      </c>
      <c r="P1090" s="364" t="str">
        <f>'(FnCalls 1)'!F55</f>
        <v>MMM 2011</v>
      </c>
      <c r="Q1090" s="364" t="str">
        <f>'(FnCalls 1)'!F56</f>
        <v>MMM 2011</v>
      </c>
      <c r="R1090" s="364" t="str">
        <f>'(FnCalls 1)'!F57</f>
        <v>MMM 2011</v>
      </c>
      <c r="S1090" s="365" t="str">
        <f>'(FnCalls 1)'!F58</f>
        <v>MMM 2011</v>
      </c>
    </row>
    <row r="1091" spans="1:19" ht="12.75" customHeight="1" x14ac:dyDescent="0.2">
      <c r="A1091" s="1" t="str">
        <f>"Prof_Staff_Hrs_Unbilled_Channel_1"</f>
        <v>Prof_Staff_Hrs_Unbilled_Channel_1</v>
      </c>
    </row>
    <row r="1092" spans="1:19" ht="12.75" customHeight="1" x14ac:dyDescent="0.2">
      <c r="B1092" s="9" t="str">
        <f>'(FnCalls 1)'!F41</f>
        <v>MMM 2010</v>
      </c>
      <c r="C1092" s="10" t="str">
        <f>'(FnCalls 1)'!F42</f>
        <v>MMM 2010</v>
      </c>
      <c r="D1092" s="10" t="str">
        <f>'(FnCalls 1)'!F43</f>
        <v>MMM 2010</v>
      </c>
      <c r="E1092" s="10" t="str">
        <f>'(FnCalls 1)'!F44</f>
        <v>MMM 2010</v>
      </c>
      <c r="F1092" s="10" t="str">
        <f>'(FnCalls 1)'!F45</f>
        <v>MMM 2010</v>
      </c>
      <c r="G1092" s="10" t="str">
        <f>'(FnCalls 1)'!F46</f>
        <v>MMM 2010</v>
      </c>
      <c r="H1092" s="10" t="str">
        <f>'(FnCalls 1)'!F47</f>
        <v>MMM 2010</v>
      </c>
      <c r="I1092" s="10" t="str">
        <f>'(FnCalls 1)'!F48</f>
        <v>MMM 2010</v>
      </c>
      <c r="J1092" s="10" t="str">
        <f>'(FnCalls 1)'!F49</f>
        <v>MMM 2010</v>
      </c>
      <c r="K1092" s="10" t="str">
        <f>'(FnCalls 1)'!F50</f>
        <v>MMM 2010</v>
      </c>
      <c r="L1092" s="10" t="str">
        <f>'(FnCalls 1)'!F51</f>
        <v>MMM 2010</v>
      </c>
      <c r="M1092" s="10" t="str">
        <f>'(FnCalls 1)'!F52</f>
        <v>MMM 2010</v>
      </c>
      <c r="N1092" s="10" t="str">
        <f>'(FnCalls 1)'!F53</f>
        <v>MMM 2011</v>
      </c>
      <c r="O1092" s="10" t="str">
        <f>'(FnCalls 1)'!F54</f>
        <v>MMM 2011</v>
      </c>
      <c r="P1092" s="10" t="str">
        <f>'(FnCalls 1)'!F55</f>
        <v>MMM 2011</v>
      </c>
      <c r="Q1092" s="10" t="str">
        <f>'(FnCalls 1)'!F56</f>
        <v>MMM 2011</v>
      </c>
      <c r="R1092" s="10" t="str">
        <f>'(FnCalls 1)'!F57</f>
        <v>MMM 2011</v>
      </c>
      <c r="S1092" s="11" t="str">
        <f>'(FnCalls 1)'!F58</f>
        <v>MMM 2011</v>
      </c>
    </row>
    <row r="1093" spans="1:19" ht="12.75" customHeight="1" x14ac:dyDescent="0.2">
      <c r="A1093" s="97"/>
      <c r="B1093" s="364">
        <f>'(FnCalls 1)'!A41</f>
        <v>40179</v>
      </c>
      <c r="C1093" s="364">
        <f>'(FnCalls 1)'!A42</f>
        <v>40210</v>
      </c>
      <c r="D1093" s="364">
        <f>'(FnCalls 1)'!A43</f>
        <v>40238</v>
      </c>
      <c r="E1093" s="364">
        <f>'(FnCalls 1)'!A44</f>
        <v>40269</v>
      </c>
      <c r="F1093" s="364">
        <f>'(FnCalls 1)'!A45</f>
        <v>40299</v>
      </c>
      <c r="G1093" s="364">
        <f>'(FnCalls 1)'!A46</f>
        <v>40330</v>
      </c>
      <c r="H1093" s="364">
        <f>'(FnCalls 1)'!A47</f>
        <v>40360</v>
      </c>
      <c r="I1093" s="364">
        <f>'(FnCalls 1)'!A48</f>
        <v>40391</v>
      </c>
      <c r="J1093" s="364">
        <f>'(FnCalls 1)'!A49</f>
        <v>40422</v>
      </c>
      <c r="K1093" s="364">
        <f>'(FnCalls 1)'!A50</f>
        <v>40452</v>
      </c>
      <c r="L1093" s="364">
        <f>'(FnCalls 1)'!A51</f>
        <v>40483</v>
      </c>
      <c r="M1093" s="364">
        <f>'(FnCalls 1)'!A52</f>
        <v>40513</v>
      </c>
      <c r="N1093" s="364">
        <f>'(FnCalls 1)'!A53</f>
        <v>40544</v>
      </c>
      <c r="O1093" s="364">
        <f>'(FnCalls 1)'!A54</f>
        <v>40575</v>
      </c>
      <c r="P1093" s="364">
        <f>'(FnCalls 1)'!A55</f>
        <v>40603</v>
      </c>
      <c r="Q1093" s="364">
        <f>'(FnCalls 1)'!A56</f>
        <v>40634</v>
      </c>
      <c r="R1093" s="364">
        <f>'(FnCalls 1)'!A57</f>
        <v>40664</v>
      </c>
      <c r="S1093" s="365">
        <f>'(FnCalls 1)'!A58</f>
        <v>40695</v>
      </c>
    </row>
    <row r="1094" spans="1:19" ht="12.75" customHeight="1" x14ac:dyDescent="0.2">
      <c r="A1094" s="1" t="str">
        <f>"Prof_Staff_Hrs_Unbilled_Channel_2"</f>
        <v>Prof_Staff_Hrs_Unbilled_Channel_2</v>
      </c>
    </row>
    <row r="1095" spans="1:19" ht="12.75" customHeight="1" x14ac:dyDescent="0.2">
      <c r="B1095" s="9" t="str">
        <f>'(FnCalls 1)'!F41</f>
        <v>MMM 2010</v>
      </c>
      <c r="C1095" s="10" t="str">
        <f>'(FnCalls 1)'!F42</f>
        <v>MMM 2010</v>
      </c>
      <c r="D1095" s="10" t="str">
        <f>'(FnCalls 1)'!F43</f>
        <v>MMM 2010</v>
      </c>
      <c r="E1095" s="10" t="str">
        <f>'(FnCalls 1)'!F44</f>
        <v>MMM 2010</v>
      </c>
      <c r="F1095" s="10" t="str">
        <f>'(FnCalls 1)'!F45</f>
        <v>MMM 2010</v>
      </c>
      <c r="G1095" s="10" t="str">
        <f>'(FnCalls 1)'!F46</f>
        <v>MMM 2010</v>
      </c>
      <c r="H1095" s="10" t="str">
        <f>'(FnCalls 1)'!F47</f>
        <v>MMM 2010</v>
      </c>
      <c r="I1095" s="10" t="str">
        <f>'(FnCalls 1)'!F48</f>
        <v>MMM 2010</v>
      </c>
      <c r="J1095" s="10" t="str">
        <f>'(FnCalls 1)'!F49</f>
        <v>MMM 2010</v>
      </c>
      <c r="K1095" s="10" t="str">
        <f>'(FnCalls 1)'!F50</f>
        <v>MMM 2010</v>
      </c>
      <c r="L1095" s="10" t="str">
        <f>'(FnCalls 1)'!F51</f>
        <v>MMM 2010</v>
      </c>
      <c r="M1095" s="10" t="str">
        <f>'(FnCalls 1)'!F52</f>
        <v>MMM 2010</v>
      </c>
      <c r="N1095" s="10" t="str">
        <f>'(FnCalls 1)'!F53</f>
        <v>MMM 2011</v>
      </c>
      <c r="O1095" s="10" t="str">
        <f>'(FnCalls 1)'!F54</f>
        <v>MMM 2011</v>
      </c>
      <c r="P1095" s="10" t="str">
        <f>'(FnCalls 1)'!F55</f>
        <v>MMM 2011</v>
      </c>
      <c r="Q1095" s="10" t="str">
        <f>'(FnCalls 1)'!F56</f>
        <v>MMM 2011</v>
      </c>
      <c r="R1095" s="10" t="str">
        <f>'(FnCalls 1)'!F57</f>
        <v>MMM 2011</v>
      </c>
      <c r="S1095" s="11" t="str">
        <f>'(FnCalls 1)'!F58</f>
        <v>MMM 2011</v>
      </c>
    </row>
    <row r="1096" spans="1:19" ht="12.75" customHeight="1" x14ac:dyDescent="0.2">
      <c r="A1096" s="97"/>
      <c r="B1096" s="364" t="str">
        <f>'(FnCalls 1)'!F41</f>
        <v>MMM 2010</v>
      </c>
      <c r="C1096" s="364" t="str">
        <f>'(FnCalls 1)'!F42</f>
        <v>MMM 2010</v>
      </c>
      <c r="D1096" s="364" t="str">
        <f>'(FnCalls 1)'!F43</f>
        <v>MMM 2010</v>
      </c>
      <c r="E1096" s="364" t="str">
        <f>'(FnCalls 1)'!F44</f>
        <v>MMM 2010</v>
      </c>
      <c r="F1096" s="364" t="str">
        <f>'(FnCalls 1)'!F45</f>
        <v>MMM 2010</v>
      </c>
      <c r="G1096" s="364" t="str">
        <f>'(FnCalls 1)'!F46</f>
        <v>MMM 2010</v>
      </c>
      <c r="H1096" s="364" t="str">
        <f>'(FnCalls 1)'!F47</f>
        <v>MMM 2010</v>
      </c>
      <c r="I1096" s="364" t="str">
        <f>'(FnCalls 1)'!F48</f>
        <v>MMM 2010</v>
      </c>
      <c r="J1096" s="364" t="str">
        <f>'(FnCalls 1)'!F49</f>
        <v>MMM 2010</v>
      </c>
      <c r="K1096" s="364" t="str">
        <f>'(FnCalls 1)'!F50</f>
        <v>MMM 2010</v>
      </c>
      <c r="L1096" s="364" t="str">
        <f>'(FnCalls 1)'!F51</f>
        <v>MMM 2010</v>
      </c>
      <c r="M1096" s="364" t="str">
        <f>'(FnCalls 1)'!F52</f>
        <v>MMM 2010</v>
      </c>
      <c r="N1096" s="364" t="str">
        <f>'(FnCalls 1)'!F53</f>
        <v>MMM 2011</v>
      </c>
      <c r="O1096" s="364" t="str">
        <f>'(FnCalls 1)'!F54</f>
        <v>MMM 2011</v>
      </c>
      <c r="P1096" s="364" t="str">
        <f>'(FnCalls 1)'!F55</f>
        <v>MMM 2011</v>
      </c>
      <c r="Q1096" s="364" t="str">
        <f>'(FnCalls 1)'!F56</f>
        <v>MMM 2011</v>
      </c>
      <c r="R1096" s="364" t="str">
        <f>'(FnCalls 1)'!F57</f>
        <v>MMM 2011</v>
      </c>
      <c r="S1096" s="365" t="str">
        <f>'(FnCalls 1)'!F58</f>
        <v>MMM 2011</v>
      </c>
    </row>
    <row r="1097" spans="1:19" ht="12.75" customHeight="1" x14ac:dyDescent="0.2">
      <c r="A1097" s="1" t="str">
        <f>"Engage_Cost_Staff_1"</f>
        <v>Engage_Cost_Staff_1</v>
      </c>
    </row>
    <row r="1098" spans="1:19" ht="12.75" customHeight="1" x14ac:dyDescent="0.2">
      <c r="B1098" s="9" t="str">
        <f>'(FnCalls 1)'!F41</f>
        <v>MMM 2010</v>
      </c>
      <c r="C1098" s="10" t="str">
        <f>'(FnCalls 1)'!F42</f>
        <v>MMM 2010</v>
      </c>
      <c r="D1098" s="10" t="str">
        <f>'(FnCalls 1)'!F43</f>
        <v>MMM 2010</v>
      </c>
      <c r="E1098" s="10" t="str">
        <f>'(FnCalls 1)'!F44</f>
        <v>MMM 2010</v>
      </c>
      <c r="F1098" s="10" t="str">
        <f>'(FnCalls 1)'!F45</f>
        <v>MMM 2010</v>
      </c>
      <c r="G1098" s="10" t="str">
        <f>'(FnCalls 1)'!F46</f>
        <v>MMM 2010</v>
      </c>
      <c r="H1098" s="10" t="str">
        <f>'(FnCalls 1)'!F47</f>
        <v>MMM 2010</v>
      </c>
      <c r="I1098" s="10" t="str">
        <f>'(FnCalls 1)'!F48</f>
        <v>MMM 2010</v>
      </c>
      <c r="J1098" s="10" t="str">
        <f>'(FnCalls 1)'!F49</f>
        <v>MMM 2010</v>
      </c>
      <c r="K1098" s="10" t="str">
        <f>'(FnCalls 1)'!F50</f>
        <v>MMM 2010</v>
      </c>
      <c r="L1098" s="10" t="str">
        <f>'(FnCalls 1)'!F51</f>
        <v>MMM 2010</v>
      </c>
      <c r="M1098" s="10" t="str">
        <f>'(FnCalls 1)'!F52</f>
        <v>MMM 2010</v>
      </c>
      <c r="N1098" s="10" t="str">
        <f>'(FnCalls 1)'!F53</f>
        <v>MMM 2011</v>
      </c>
      <c r="O1098" s="10" t="str">
        <f>'(FnCalls 1)'!F54</f>
        <v>MMM 2011</v>
      </c>
      <c r="P1098" s="10" t="str">
        <f>'(FnCalls 1)'!F55</f>
        <v>MMM 2011</v>
      </c>
      <c r="Q1098" s="10" t="str">
        <f>'(FnCalls 1)'!F56</f>
        <v>MMM 2011</v>
      </c>
      <c r="R1098" s="10" t="str">
        <f>'(FnCalls 1)'!F57</f>
        <v>MMM 2011</v>
      </c>
      <c r="S1098" s="11" t="str">
        <f>'(FnCalls 1)'!F58</f>
        <v>MMM 2011</v>
      </c>
    </row>
    <row r="1099" spans="1:19" ht="12.75" customHeight="1" x14ac:dyDescent="0.2">
      <c r="A1099" s="97"/>
      <c r="B1099" s="364">
        <f>'(FnCalls 1)'!A41</f>
        <v>40179</v>
      </c>
      <c r="C1099" s="364">
        <f>'(FnCalls 1)'!A42</f>
        <v>40210</v>
      </c>
      <c r="D1099" s="364">
        <f>'(FnCalls 1)'!A43</f>
        <v>40238</v>
      </c>
      <c r="E1099" s="364">
        <f>'(FnCalls 1)'!A44</f>
        <v>40269</v>
      </c>
      <c r="F1099" s="364">
        <f>'(FnCalls 1)'!A45</f>
        <v>40299</v>
      </c>
      <c r="G1099" s="364">
        <f>'(FnCalls 1)'!A46</f>
        <v>40330</v>
      </c>
      <c r="H1099" s="364">
        <f>'(FnCalls 1)'!A47</f>
        <v>40360</v>
      </c>
      <c r="I1099" s="364">
        <f>'(FnCalls 1)'!A48</f>
        <v>40391</v>
      </c>
      <c r="J1099" s="364">
        <f>'(FnCalls 1)'!A49</f>
        <v>40422</v>
      </c>
      <c r="K1099" s="364">
        <f>'(FnCalls 1)'!A50</f>
        <v>40452</v>
      </c>
      <c r="L1099" s="364">
        <f>'(FnCalls 1)'!A51</f>
        <v>40483</v>
      </c>
      <c r="M1099" s="364">
        <f>'(FnCalls 1)'!A52</f>
        <v>40513</v>
      </c>
      <c r="N1099" s="364">
        <f>'(FnCalls 1)'!A53</f>
        <v>40544</v>
      </c>
      <c r="O1099" s="364">
        <f>'(FnCalls 1)'!A54</f>
        <v>40575</v>
      </c>
      <c r="P1099" s="364">
        <f>'(FnCalls 1)'!A55</f>
        <v>40603</v>
      </c>
      <c r="Q1099" s="364">
        <f>'(FnCalls 1)'!A56</f>
        <v>40634</v>
      </c>
      <c r="R1099" s="364">
        <f>'(FnCalls 1)'!A57</f>
        <v>40664</v>
      </c>
      <c r="S1099" s="365">
        <f>'(FnCalls 1)'!A58</f>
        <v>40695</v>
      </c>
    </row>
    <row r="1100" spans="1:19" ht="12.75" customHeight="1" x14ac:dyDescent="0.2">
      <c r="A1100" s="1" t="str">
        <f>"Engage_Cost_Staff_2"</f>
        <v>Engage_Cost_Staff_2</v>
      </c>
    </row>
    <row r="1101" spans="1:19" ht="12.75" customHeight="1" x14ac:dyDescent="0.2">
      <c r="B1101" s="9" t="str">
        <f>'(FnCalls 1)'!F41</f>
        <v>MMM 2010</v>
      </c>
      <c r="C1101" s="10" t="str">
        <f>'(FnCalls 1)'!F42</f>
        <v>MMM 2010</v>
      </c>
      <c r="D1101" s="10" t="str">
        <f>'(FnCalls 1)'!F43</f>
        <v>MMM 2010</v>
      </c>
      <c r="E1101" s="10" t="str">
        <f>'(FnCalls 1)'!F44</f>
        <v>MMM 2010</v>
      </c>
      <c r="F1101" s="10" t="str">
        <f>'(FnCalls 1)'!F45</f>
        <v>MMM 2010</v>
      </c>
      <c r="G1101" s="10" t="str">
        <f>'(FnCalls 1)'!F46</f>
        <v>MMM 2010</v>
      </c>
      <c r="H1101" s="10" t="str">
        <f>'(FnCalls 1)'!F47</f>
        <v>MMM 2010</v>
      </c>
      <c r="I1101" s="10" t="str">
        <f>'(FnCalls 1)'!F48</f>
        <v>MMM 2010</v>
      </c>
      <c r="J1101" s="10" t="str">
        <f>'(FnCalls 1)'!F49</f>
        <v>MMM 2010</v>
      </c>
      <c r="K1101" s="10" t="str">
        <f>'(FnCalls 1)'!F50</f>
        <v>MMM 2010</v>
      </c>
      <c r="L1101" s="10" t="str">
        <f>'(FnCalls 1)'!F51</f>
        <v>MMM 2010</v>
      </c>
      <c r="M1101" s="10" t="str">
        <f>'(FnCalls 1)'!F52</f>
        <v>MMM 2010</v>
      </c>
      <c r="N1101" s="10" t="str">
        <f>'(FnCalls 1)'!F53</f>
        <v>MMM 2011</v>
      </c>
      <c r="O1101" s="10" t="str">
        <f>'(FnCalls 1)'!F54</f>
        <v>MMM 2011</v>
      </c>
      <c r="P1101" s="10" t="str">
        <f>'(FnCalls 1)'!F55</f>
        <v>MMM 2011</v>
      </c>
      <c r="Q1101" s="10" t="str">
        <f>'(FnCalls 1)'!F56</f>
        <v>MMM 2011</v>
      </c>
      <c r="R1101" s="10" t="str">
        <f>'(FnCalls 1)'!F57</f>
        <v>MMM 2011</v>
      </c>
      <c r="S1101" s="11" t="str">
        <f>'(FnCalls 1)'!F58</f>
        <v>MMM 2011</v>
      </c>
    </row>
    <row r="1102" spans="1:19" ht="12.75" customHeight="1" x14ac:dyDescent="0.2">
      <c r="A1102" s="97"/>
      <c r="B1102" s="364" t="str">
        <f>'(FnCalls 1)'!F41</f>
        <v>MMM 2010</v>
      </c>
      <c r="C1102" s="364" t="str">
        <f>'(FnCalls 1)'!F42</f>
        <v>MMM 2010</v>
      </c>
      <c r="D1102" s="364" t="str">
        <f>'(FnCalls 1)'!F43</f>
        <v>MMM 2010</v>
      </c>
      <c r="E1102" s="364" t="str">
        <f>'(FnCalls 1)'!F44</f>
        <v>MMM 2010</v>
      </c>
      <c r="F1102" s="364" t="str">
        <f>'(FnCalls 1)'!F45</f>
        <v>MMM 2010</v>
      </c>
      <c r="G1102" s="364" t="str">
        <f>'(FnCalls 1)'!F46</f>
        <v>MMM 2010</v>
      </c>
      <c r="H1102" s="364" t="str">
        <f>'(FnCalls 1)'!F47</f>
        <v>MMM 2010</v>
      </c>
      <c r="I1102" s="364" t="str">
        <f>'(FnCalls 1)'!F48</f>
        <v>MMM 2010</v>
      </c>
      <c r="J1102" s="364" t="str">
        <f>'(FnCalls 1)'!F49</f>
        <v>MMM 2010</v>
      </c>
      <c r="K1102" s="364" t="str">
        <f>'(FnCalls 1)'!F50</f>
        <v>MMM 2010</v>
      </c>
      <c r="L1102" s="364" t="str">
        <f>'(FnCalls 1)'!F51</f>
        <v>MMM 2010</v>
      </c>
      <c r="M1102" s="364" t="str">
        <f>'(FnCalls 1)'!F52</f>
        <v>MMM 2010</v>
      </c>
      <c r="N1102" s="364" t="str">
        <f>'(FnCalls 1)'!F53</f>
        <v>MMM 2011</v>
      </c>
      <c r="O1102" s="364" t="str">
        <f>'(FnCalls 1)'!F54</f>
        <v>MMM 2011</v>
      </c>
      <c r="P1102" s="364" t="str">
        <f>'(FnCalls 1)'!F55</f>
        <v>MMM 2011</v>
      </c>
      <c r="Q1102" s="364" t="str">
        <f>'(FnCalls 1)'!F56</f>
        <v>MMM 2011</v>
      </c>
      <c r="R1102" s="364" t="str">
        <f>'(FnCalls 1)'!F57</f>
        <v>MMM 2011</v>
      </c>
      <c r="S1102" s="365" t="str">
        <f>'(FnCalls 1)'!F58</f>
        <v>MMM 2011</v>
      </c>
    </row>
    <row r="1103" spans="1:19" ht="12.75" customHeight="1" x14ac:dyDescent="0.2">
      <c r="A1103" s="1" t="str">
        <f>"Engage_Cost_TandE_2"</f>
        <v>Engage_Cost_TandE_2</v>
      </c>
    </row>
    <row r="1104" spans="1:19" ht="12.75" customHeight="1" x14ac:dyDescent="0.2">
      <c r="B1104" s="9" t="str">
        <f>'(FnCalls 1)'!F41</f>
        <v>MMM 2010</v>
      </c>
      <c r="C1104" s="10" t="str">
        <f>'(FnCalls 1)'!F42</f>
        <v>MMM 2010</v>
      </c>
      <c r="D1104" s="10" t="str">
        <f>'(FnCalls 1)'!F43</f>
        <v>MMM 2010</v>
      </c>
      <c r="E1104" s="10" t="str">
        <f>'(FnCalls 1)'!F44</f>
        <v>MMM 2010</v>
      </c>
      <c r="F1104" s="10" t="str">
        <f>'(FnCalls 1)'!F45</f>
        <v>MMM 2010</v>
      </c>
      <c r="G1104" s="10" t="str">
        <f>'(FnCalls 1)'!F46</f>
        <v>MMM 2010</v>
      </c>
      <c r="H1104" s="10" t="str">
        <f>'(FnCalls 1)'!F47</f>
        <v>MMM 2010</v>
      </c>
      <c r="I1104" s="10" t="str">
        <f>'(FnCalls 1)'!F48</f>
        <v>MMM 2010</v>
      </c>
      <c r="J1104" s="10" t="str">
        <f>'(FnCalls 1)'!F49</f>
        <v>MMM 2010</v>
      </c>
      <c r="K1104" s="10" t="str">
        <f>'(FnCalls 1)'!F50</f>
        <v>MMM 2010</v>
      </c>
      <c r="L1104" s="10" t="str">
        <f>'(FnCalls 1)'!F51</f>
        <v>MMM 2010</v>
      </c>
      <c r="M1104" s="10" t="str">
        <f>'(FnCalls 1)'!F52</f>
        <v>MMM 2010</v>
      </c>
      <c r="N1104" s="10" t="str">
        <f>'(FnCalls 1)'!F53</f>
        <v>MMM 2011</v>
      </c>
      <c r="O1104" s="10" t="str">
        <f>'(FnCalls 1)'!F54</f>
        <v>MMM 2011</v>
      </c>
      <c r="P1104" s="10" t="str">
        <f>'(FnCalls 1)'!F55</f>
        <v>MMM 2011</v>
      </c>
      <c r="Q1104" s="10" t="str">
        <f>'(FnCalls 1)'!F56</f>
        <v>MMM 2011</v>
      </c>
      <c r="R1104" s="10" t="str">
        <f>'(FnCalls 1)'!F57</f>
        <v>MMM 2011</v>
      </c>
      <c r="S1104" s="11" t="str">
        <f>'(FnCalls 1)'!F58</f>
        <v>MMM 2011</v>
      </c>
    </row>
    <row r="1105" spans="1:19" ht="12.75" customHeight="1" x14ac:dyDescent="0.2">
      <c r="A1105" s="97"/>
      <c r="B1105" s="364">
        <f>'(FnCalls 1)'!A41</f>
        <v>40179</v>
      </c>
      <c r="C1105" s="364">
        <f>'(FnCalls 1)'!A42</f>
        <v>40210</v>
      </c>
      <c r="D1105" s="364">
        <f>'(FnCalls 1)'!A43</f>
        <v>40238</v>
      </c>
      <c r="E1105" s="364">
        <f>'(FnCalls 1)'!A44</f>
        <v>40269</v>
      </c>
      <c r="F1105" s="364">
        <f>'(FnCalls 1)'!A45</f>
        <v>40299</v>
      </c>
      <c r="G1105" s="364">
        <f>'(FnCalls 1)'!A46</f>
        <v>40330</v>
      </c>
      <c r="H1105" s="364">
        <f>'(FnCalls 1)'!A47</f>
        <v>40360</v>
      </c>
      <c r="I1105" s="364">
        <f>'(FnCalls 1)'!A48</f>
        <v>40391</v>
      </c>
      <c r="J1105" s="364">
        <f>'(FnCalls 1)'!A49</f>
        <v>40422</v>
      </c>
      <c r="K1105" s="364">
        <f>'(FnCalls 1)'!A50</f>
        <v>40452</v>
      </c>
      <c r="L1105" s="364">
        <f>'(FnCalls 1)'!A51</f>
        <v>40483</v>
      </c>
      <c r="M1105" s="364">
        <f>'(FnCalls 1)'!A52</f>
        <v>40513</v>
      </c>
      <c r="N1105" s="364">
        <f>'(FnCalls 1)'!A53</f>
        <v>40544</v>
      </c>
      <c r="O1105" s="364">
        <f>'(FnCalls 1)'!A54</f>
        <v>40575</v>
      </c>
      <c r="P1105" s="364">
        <f>'(FnCalls 1)'!A55</f>
        <v>40603</v>
      </c>
      <c r="Q1105" s="364">
        <f>'(FnCalls 1)'!A56</f>
        <v>40634</v>
      </c>
      <c r="R1105" s="364">
        <f>'(FnCalls 1)'!A57</f>
        <v>40664</v>
      </c>
      <c r="S1105" s="365">
        <f>'(FnCalls 1)'!A58</f>
        <v>40695</v>
      </c>
    </row>
    <row r="1106" spans="1:19" ht="12.75" customHeight="1" x14ac:dyDescent="0.2">
      <c r="A1106" s="1" t="str">
        <f>"Engage_Cost_TandE_3"</f>
        <v>Engage_Cost_TandE_3</v>
      </c>
    </row>
    <row r="1107" spans="1:19" ht="12.75" customHeight="1" x14ac:dyDescent="0.2">
      <c r="B1107" s="9" t="str">
        <f>'(FnCalls 1)'!F41</f>
        <v>MMM 2010</v>
      </c>
      <c r="C1107" s="10" t="str">
        <f>'(FnCalls 1)'!F42</f>
        <v>MMM 2010</v>
      </c>
      <c r="D1107" s="10" t="str">
        <f>'(FnCalls 1)'!F43</f>
        <v>MMM 2010</v>
      </c>
      <c r="E1107" s="10" t="str">
        <f>'(FnCalls 1)'!F44</f>
        <v>MMM 2010</v>
      </c>
      <c r="F1107" s="10" t="str">
        <f>'(FnCalls 1)'!F45</f>
        <v>MMM 2010</v>
      </c>
      <c r="G1107" s="10" t="str">
        <f>'(FnCalls 1)'!F46</f>
        <v>MMM 2010</v>
      </c>
      <c r="H1107" s="10" t="str">
        <f>'(FnCalls 1)'!F47</f>
        <v>MMM 2010</v>
      </c>
      <c r="I1107" s="10" t="str">
        <f>'(FnCalls 1)'!F48</f>
        <v>MMM 2010</v>
      </c>
      <c r="J1107" s="10" t="str">
        <f>'(FnCalls 1)'!F49</f>
        <v>MMM 2010</v>
      </c>
      <c r="K1107" s="10" t="str">
        <f>'(FnCalls 1)'!F50</f>
        <v>MMM 2010</v>
      </c>
      <c r="L1107" s="10" t="str">
        <f>'(FnCalls 1)'!F51</f>
        <v>MMM 2010</v>
      </c>
      <c r="M1107" s="10" t="str">
        <f>'(FnCalls 1)'!F52</f>
        <v>MMM 2010</v>
      </c>
      <c r="N1107" s="10" t="str">
        <f>'(FnCalls 1)'!F53</f>
        <v>MMM 2011</v>
      </c>
      <c r="O1107" s="10" t="str">
        <f>'(FnCalls 1)'!F54</f>
        <v>MMM 2011</v>
      </c>
      <c r="P1107" s="10" t="str">
        <f>'(FnCalls 1)'!F55</f>
        <v>MMM 2011</v>
      </c>
      <c r="Q1107" s="10" t="str">
        <f>'(FnCalls 1)'!F56</f>
        <v>MMM 2011</v>
      </c>
      <c r="R1107" s="10" t="str">
        <f>'(FnCalls 1)'!F57</f>
        <v>MMM 2011</v>
      </c>
      <c r="S1107" s="11" t="str">
        <f>'(FnCalls 1)'!F58</f>
        <v>MMM 2011</v>
      </c>
    </row>
    <row r="1108" spans="1:19" ht="12.75" customHeight="1" x14ac:dyDescent="0.2">
      <c r="A1108" s="97"/>
      <c r="B1108" s="364" t="str">
        <f>'(FnCalls 1)'!F41</f>
        <v>MMM 2010</v>
      </c>
      <c r="C1108" s="364" t="str">
        <f>'(FnCalls 1)'!F42</f>
        <v>MMM 2010</v>
      </c>
      <c r="D1108" s="364" t="str">
        <f>'(FnCalls 1)'!F43</f>
        <v>MMM 2010</v>
      </c>
      <c r="E1108" s="364" t="str">
        <f>'(FnCalls 1)'!F44</f>
        <v>MMM 2010</v>
      </c>
      <c r="F1108" s="364" t="str">
        <f>'(FnCalls 1)'!F45</f>
        <v>MMM 2010</v>
      </c>
      <c r="G1108" s="364" t="str">
        <f>'(FnCalls 1)'!F46</f>
        <v>MMM 2010</v>
      </c>
      <c r="H1108" s="364" t="str">
        <f>'(FnCalls 1)'!F47</f>
        <v>MMM 2010</v>
      </c>
      <c r="I1108" s="364" t="str">
        <f>'(FnCalls 1)'!F48</f>
        <v>MMM 2010</v>
      </c>
      <c r="J1108" s="364" t="str">
        <f>'(FnCalls 1)'!F49</f>
        <v>MMM 2010</v>
      </c>
      <c r="K1108" s="364" t="str">
        <f>'(FnCalls 1)'!F50</f>
        <v>MMM 2010</v>
      </c>
      <c r="L1108" s="364" t="str">
        <f>'(FnCalls 1)'!F51</f>
        <v>MMM 2010</v>
      </c>
      <c r="M1108" s="364" t="str">
        <f>'(FnCalls 1)'!F52</f>
        <v>MMM 2010</v>
      </c>
      <c r="N1108" s="364" t="str">
        <f>'(FnCalls 1)'!F53</f>
        <v>MMM 2011</v>
      </c>
      <c r="O1108" s="364" t="str">
        <f>'(FnCalls 1)'!F54</f>
        <v>MMM 2011</v>
      </c>
      <c r="P1108" s="364" t="str">
        <f>'(FnCalls 1)'!F55</f>
        <v>MMM 2011</v>
      </c>
      <c r="Q1108" s="364" t="str">
        <f>'(FnCalls 1)'!F56</f>
        <v>MMM 2011</v>
      </c>
      <c r="R1108" s="364" t="str">
        <f>'(FnCalls 1)'!F57</f>
        <v>MMM 2011</v>
      </c>
      <c r="S1108" s="365" t="str">
        <f>'(FnCalls 1)'!F58</f>
        <v>MMM 2011</v>
      </c>
    </row>
    <row r="1109" spans="1:19" ht="12.75" customHeight="1" x14ac:dyDescent="0.2">
      <c r="A1109" s="1" t="str">
        <f>"Engage_Cost_Supplies_2"</f>
        <v>Engage_Cost_Supplies_2</v>
      </c>
    </row>
    <row r="1110" spans="1:19" ht="12.75" customHeight="1" x14ac:dyDescent="0.2">
      <c r="B1110" s="9" t="str">
        <f>'(FnCalls 1)'!F41</f>
        <v>MMM 2010</v>
      </c>
      <c r="C1110" s="10" t="str">
        <f>'(FnCalls 1)'!F42</f>
        <v>MMM 2010</v>
      </c>
      <c r="D1110" s="10" t="str">
        <f>'(FnCalls 1)'!F43</f>
        <v>MMM 2010</v>
      </c>
      <c r="E1110" s="10" t="str">
        <f>'(FnCalls 1)'!F44</f>
        <v>MMM 2010</v>
      </c>
      <c r="F1110" s="10" t="str">
        <f>'(FnCalls 1)'!F45</f>
        <v>MMM 2010</v>
      </c>
      <c r="G1110" s="10" t="str">
        <f>'(FnCalls 1)'!F46</f>
        <v>MMM 2010</v>
      </c>
      <c r="H1110" s="10" t="str">
        <f>'(FnCalls 1)'!F47</f>
        <v>MMM 2010</v>
      </c>
      <c r="I1110" s="10" t="str">
        <f>'(FnCalls 1)'!F48</f>
        <v>MMM 2010</v>
      </c>
      <c r="J1110" s="10" t="str">
        <f>'(FnCalls 1)'!F49</f>
        <v>MMM 2010</v>
      </c>
      <c r="K1110" s="10" t="str">
        <f>'(FnCalls 1)'!F50</f>
        <v>MMM 2010</v>
      </c>
      <c r="L1110" s="10" t="str">
        <f>'(FnCalls 1)'!F51</f>
        <v>MMM 2010</v>
      </c>
      <c r="M1110" s="10" t="str">
        <f>'(FnCalls 1)'!F52</f>
        <v>MMM 2010</v>
      </c>
      <c r="N1110" s="10" t="str">
        <f>'(FnCalls 1)'!F53</f>
        <v>MMM 2011</v>
      </c>
      <c r="O1110" s="10" t="str">
        <f>'(FnCalls 1)'!F54</f>
        <v>MMM 2011</v>
      </c>
      <c r="P1110" s="10" t="str">
        <f>'(FnCalls 1)'!F55</f>
        <v>MMM 2011</v>
      </c>
      <c r="Q1110" s="10" t="str">
        <f>'(FnCalls 1)'!F56</f>
        <v>MMM 2011</v>
      </c>
      <c r="R1110" s="10" t="str">
        <f>'(FnCalls 1)'!F57</f>
        <v>MMM 2011</v>
      </c>
      <c r="S1110" s="11" t="str">
        <f>'(FnCalls 1)'!F58</f>
        <v>MMM 2011</v>
      </c>
    </row>
    <row r="1111" spans="1:19" ht="12.75" customHeight="1" x14ac:dyDescent="0.2">
      <c r="A1111" s="97"/>
      <c r="B1111" s="364">
        <f>'(FnCalls 1)'!A41</f>
        <v>40179</v>
      </c>
      <c r="C1111" s="364">
        <f>'(FnCalls 1)'!A42</f>
        <v>40210</v>
      </c>
      <c r="D1111" s="364">
        <f>'(FnCalls 1)'!A43</f>
        <v>40238</v>
      </c>
      <c r="E1111" s="364">
        <f>'(FnCalls 1)'!A44</f>
        <v>40269</v>
      </c>
      <c r="F1111" s="364">
        <f>'(FnCalls 1)'!A45</f>
        <v>40299</v>
      </c>
      <c r="G1111" s="364">
        <f>'(FnCalls 1)'!A46</f>
        <v>40330</v>
      </c>
      <c r="H1111" s="364">
        <f>'(FnCalls 1)'!A47</f>
        <v>40360</v>
      </c>
      <c r="I1111" s="364">
        <f>'(FnCalls 1)'!A48</f>
        <v>40391</v>
      </c>
      <c r="J1111" s="364">
        <f>'(FnCalls 1)'!A49</f>
        <v>40422</v>
      </c>
      <c r="K1111" s="364">
        <f>'(FnCalls 1)'!A50</f>
        <v>40452</v>
      </c>
      <c r="L1111" s="364">
        <f>'(FnCalls 1)'!A51</f>
        <v>40483</v>
      </c>
      <c r="M1111" s="364">
        <f>'(FnCalls 1)'!A52</f>
        <v>40513</v>
      </c>
      <c r="N1111" s="364">
        <f>'(FnCalls 1)'!A53</f>
        <v>40544</v>
      </c>
      <c r="O1111" s="364">
        <f>'(FnCalls 1)'!A54</f>
        <v>40575</v>
      </c>
      <c r="P1111" s="364">
        <f>'(FnCalls 1)'!A55</f>
        <v>40603</v>
      </c>
      <c r="Q1111" s="364">
        <f>'(FnCalls 1)'!A56</f>
        <v>40634</v>
      </c>
      <c r="R1111" s="364">
        <f>'(FnCalls 1)'!A57</f>
        <v>40664</v>
      </c>
      <c r="S1111" s="365">
        <f>'(FnCalls 1)'!A58</f>
        <v>40695</v>
      </c>
    </row>
    <row r="1112" spans="1:19" ht="12.75" customHeight="1" x14ac:dyDescent="0.2">
      <c r="A1112" s="1" t="str">
        <f>"Engage_Cost_Supplies_3"</f>
        <v>Engage_Cost_Supplies_3</v>
      </c>
    </row>
    <row r="1113" spans="1:19" ht="12.75" customHeight="1" x14ac:dyDescent="0.2">
      <c r="B1113" s="9" t="str">
        <f>'(FnCalls 1)'!F41</f>
        <v>MMM 2010</v>
      </c>
      <c r="C1113" s="10" t="str">
        <f>'(FnCalls 1)'!F42</f>
        <v>MMM 2010</v>
      </c>
      <c r="D1113" s="10" t="str">
        <f>'(FnCalls 1)'!F43</f>
        <v>MMM 2010</v>
      </c>
      <c r="E1113" s="10" t="str">
        <f>'(FnCalls 1)'!F44</f>
        <v>MMM 2010</v>
      </c>
      <c r="F1113" s="10" t="str">
        <f>'(FnCalls 1)'!F45</f>
        <v>MMM 2010</v>
      </c>
      <c r="G1113" s="10" t="str">
        <f>'(FnCalls 1)'!F46</f>
        <v>MMM 2010</v>
      </c>
      <c r="H1113" s="10" t="str">
        <f>'(FnCalls 1)'!F47</f>
        <v>MMM 2010</v>
      </c>
      <c r="I1113" s="10" t="str">
        <f>'(FnCalls 1)'!F48</f>
        <v>MMM 2010</v>
      </c>
      <c r="J1113" s="10" t="str">
        <f>'(FnCalls 1)'!F49</f>
        <v>MMM 2010</v>
      </c>
      <c r="K1113" s="10" t="str">
        <f>'(FnCalls 1)'!F50</f>
        <v>MMM 2010</v>
      </c>
      <c r="L1113" s="10" t="str">
        <f>'(FnCalls 1)'!F51</f>
        <v>MMM 2010</v>
      </c>
      <c r="M1113" s="10" t="str">
        <f>'(FnCalls 1)'!F52</f>
        <v>MMM 2010</v>
      </c>
      <c r="N1113" s="10" t="str">
        <f>'(FnCalls 1)'!F53</f>
        <v>MMM 2011</v>
      </c>
      <c r="O1113" s="10" t="str">
        <f>'(FnCalls 1)'!F54</f>
        <v>MMM 2011</v>
      </c>
      <c r="P1113" s="10" t="str">
        <f>'(FnCalls 1)'!F55</f>
        <v>MMM 2011</v>
      </c>
      <c r="Q1113" s="10" t="str">
        <f>'(FnCalls 1)'!F56</f>
        <v>MMM 2011</v>
      </c>
      <c r="R1113" s="10" t="str">
        <f>'(FnCalls 1)'!F57</f>
        <v>MMM 2011</v>
      </c>
      <c r="S1113" s="11" t="str">
        <f>'(FnCalls 1)'!F58</f>
        <v>MMM 2011</v>
      </c>
    </row>
    <row r="1114" spans="1:19" ht="12.75" customHeight="1" x14ac:dyDescent="0.2">
      <c r="A1114" s="97"/>
      <c r="B1114" s="364" t="str">
        <f>'(FnCalls 1)'!F41</f>
        <v>MMM 2010</v>
      </c>
      <c r="C1114" s="364" t="str">
        <f>'(FnCalls 1)'!F42</f>
        <v>MMM 2010</v>
      </c>
      <c r="D1114" s="364" t="str">
        <f>'(FnCalls 1)'!F43</f>
        <v>MMM 2010</v>
      </c>
      <c r="E1114" s="364" t="str">
        <f>'(FnCalls 1)'!F44</f>
        <v>MMM 2010</v>
      </c>
      <c r="F1114" s="364" t="str">
        <f>'(FnCalls 1)'!F45</f>
        <v>MMM 2010</v>
      </c>
      <c r="G1114" s="364" t="str">
        <f>'(FnCalls 1)'!F46</f>
        <v>MMM 2010</v>
      </c>
      <c r="H1114" s="364" t="str">
        <f>'(FnCalls 1)'!F47</f>
        <v>MMM 2010</v>
      </c>
      <c r="I1114" s="364" t="str">
        <f>'(FnCalls 1)'!F48</f>
        <v>MMM 2010</v>
      </c>
      <c r="J1114" s="364" t="str">
        <f>'(FnCalls 1)'!F49</f>
        <v>MMM 2010</v>
      </c>
      <c r="K1114" s="364" t="str">
        <f>'(FnCalls 1)'!F50</f>
        <v>MMM 2010</v>
      </c>
      <c r="L1114" s="364" t="str">
        <f>'(FnCalls 1)'!F51</f>
        <v>MMM 2010</v>
      </c>
      <c r="M1114" s="364" t="str">
        <f>'(FnCalls 1)'!F52</f>
        <v>MMM 2010</v>
      </c>
      <c r="N1114" s="364" t="str">
        <f>'(FnCalls 1)'!F53</f>
        <v>MMM 2011</v>
      </c>
      <c r="O1114" s="364" t="str">
        <f>'(FnCalls 1)'!F54</f>
        <v>MMM 2011</v>
      </c>
      <c r="P1114" s="364" t="str">
        <f>'(FnCalls 1)'!F55</f>
        <v>MMM 2011</v>
      </c>
      <c r="Q1114" s="364" t="str">
        <f>'(FnCalls 1)'!F56</f>
        <v>MMM 2011</v>
      </c>
      <c r="R1114" s="364" t="str">
        <f>'(FnCalls 1)'!F57</f>
        <v>MMM 2011</v>
      </c>
      <c r="S1114" s="365" t="str">
        <f>'(FnCalls 1)'!F58</f>
        <v>MMM 2011</v>
      </c>
    </row>
    <row r="1115" spans="1:19" ht="12.75" customHeight="1" x14ac:dyDescent="0.2">
      <c r="A1115" s="1" t="str">
        <f>"Engage_Gross_Margin_1"</f>
        <v>Engage_Gross_Margin_1</v>
      </c>
    </row>
    <row r="1116" spans="1:19" ht="12.75" customHeight="1" x14ac:dyDescent="0.2">
      <c r="B1116" s="9" t="str">
        <f>'(FnCalls 1)'!F41</f>
        <v>MMM 2010</v>
      </c>
      <c r="C1116" s="10" t="str">
        <f>'(FnCalls 1)'!F42</f>
        <v>MMM 2010</v>
      </c>
      <c r="D1116" s="10" t="str">
        <f>'(FnCalls 1)'!F43</f>
        <v>MMM 2010</v>
      </c>
      <c r="E1116" s="10" t="str">
        <f>'(FnCalls 1)'!F44</f>
        <v>MMM 2010</v>
      </c>
      <c r="F1116" s="10" t="str">
        <f>'(FnCalls 1)'!F45</f>
        <v>MMM 2010</v>
      </c>
      <c r="G1116" s="10" t="str">
        <f>'(FnCalls 1)'!F46</f>
        <v>MMM 2010</v>
      </c>
      <c r="H1116" s="10" t="str">
        <f>'(FnCalls 1)'!F47</f>
        <v>MMM 2010</v>
      </c>
      <c r="I1116" s="10" t="str">
        <f>'(FnCalls 1)'!F48</f>
        <v>MMM 2010</v>
      </c>
      <c r="J1116" s="10" t="str">
        <f>'(FnCalls 1)'!F49</f>
        <v>MMM 2010</v>
      </c>
      <c r="K1116" s="10" t="str">
        <f>'(FnCalls 1)'!F50</f>
        <v>MMM 2010</v>
      </c>
      <c r="L1116" s="10" t="str">
        <f>'(FnCalls 1)'!F51</f>
        <v>MMM 2010</v>
      </c>
      <c r="M1116" s="10" t="str">
        <f>'(FnCalls 1)'!F52</f>
        <v>MMM 2010</v>
      </c>
      <c r="N1116" s="10" t="str">
        <f>'(FnCalls 1)'!F53</f>
        <v>MMM 2011</v>
      </c>
      <c r="O1116" s="10" t="str">
        <f>'(FnCalls 1)'!F54</f>
        <v>MMM 2011</v>
      </c>
      <c r="P1116" s="10" t="str">
        <f>'(FnCalls 1)'!F55</f>
        <v>MMM 2011</v>
      </c>
      <c r="Q1116" s="10" t="str">
        <f>'(FnCalls 1)'!F56</f>
        <v>MMM 2011</v>
      </c>
      <c r="R1116" s="10" t="str">
        <f>'(FnCalls 1)'!F57</f>
        <v>MMM 2011</v>
      </c>
      <c r="S1116" s="11" t="str">
        <f>'(FnCalls 1)'!F58</f>
        <v>MMM 2011</v>
      </c>
    </row>
    <row r="1117" spans="1:19" ht="12.75" customHeight="1" x14ac:dyDescent="0.2">
      <c r="A1117" s="97"/>
      <c r="B1117" s="364">
        <f>'(FnCalls 1)'!A41</f>
        <v>40179</v>
      </c>
      <c r="C1117" s="364">
        <f>'(FnCalls 1)'!A42</f>
        <v>40210</v>
      </c>
      <c r="D1117" s="364">
        <f>'(FnCalls 1)'!A43</f>
        <v>40238</v>
      </c>
      <c r="E1117" s="364">
        <f>'(FnCalls 1)'!A44</f>
        <v>40269</v>
      </c>
      <c r="F1117" s="364">
        <f>'(FnCalls 1)'!A45</f>
        <v>40299</v>
      </c>
      <c r="G1117" s="364">
        <f>'(FnCalls 1)'!A46</f>
        <v>40330</v>
      </c>
      <c r="H1117" s="364">
        <f>'(FnCalls 1)'!A47</f>
        <v>40360</v>
      </c>
      <c r="I1117" s="364">
        <f>'(FnCalls 1)'!A48</f>
        <v>40391</v>
      </c>
      <c r="J1117" s="364">
        <f>'(FnCalls 1)'!A49</f>
        <v>40422</v>
      </c>
      <c r="K1117" s="364">
        <f>'(FnCalls 1)'!A50</f>
        <v>40452</v>
      </c>
      <c r="L1117" s="364">
        <f>'(FnCalls 1)'!A51</f>
        <v>40483</v>
      </c>
      <c r="M1117" s="364">
        <f>'(FnCalls 1)'!A52</f>
        <v>40513</v>
      </c>
      <c r="N1117" s="364">
        <f>'(FnCalls 1)'!A53</f>
        <v>40544</v>
      </c>
      <c r="O1117" s="364">
        <f>'(FnCalls 1)'!A54</f>
        <v>40575</v>
      </c>
      <c r="P1117" s="364">
        <f>'(FnCalls 1)'!A55</f>
        <v>40603</v>
      </c>
      <c r="Q1117" s="364">
        <f>'(FnCalls 1)'!A56</f>
        <v>40634</v>
      </c>
      <c r="R1117" s="364">
        <f>'(FnCalls 1)'!A57</f>
        <v>40664</v>
      </c>
      <c r="S1117" s="365">
        <f>'(FnCalls 1)'!A58</f>
        <v>40695</v>
      </c>
    </row>
    <row r="1118" spans="1:19" ht="12.75" customHeight="1" x14ac:dyDescent="0.2">
      <c r="A1118" s="1" t="str">
        <f>"Engage_Gross_Margin_2"</f>
        <v>Engage_Gross_Margin_2</v>
      </c>
    </row>
    <row r="1119" spans="1:19" ht="12.75" customHeight="1" x14ac:dyDescent="0.2">
      <c r="B1119" s="9" t="str">
        <f>'(FnCalls 1)'!F41</f>
        <v>MMM 2010</v>
      </c>
      <c r="C1119" s="10" t="str">
        <f>'(FnCalls 1)'!F42</f>
        <v>MMM 2010</v>
      </c>
      <c r="D1119" s="10" t="str">
        <f>'(FnCalls 1)'!F43</f>
        <v>MMM 2010</v>
      </c>
      <c r="E1119" s="10" t="str">
        <f>'(FnCalls 1)'!F44</f>
        <v>MMM 2010</v>
      </c>
      <c r="F1119" s="10" t="str">
        <f>'(FnCalls 1)'!F45</f>
        <v>MMM 2010</v>
      </c>
      <c r="G1119" s="10" t="str">
        <f>'(FnCalls 1)'!F46</f>
        <v>MMM 2010</v>
      </c>
      <c r="H1119" s="10" t="str">
        <f>'(FnCalls 1)'!F47</f>
        <v>MMM 2010</v>
      </c>
      <c r="I1119" s="10" t="str">
        <f>'(FnCalls 1)'!F48</f>
        <v>MMM 2010</v>
      </c>
      <c r="J1119" s="10" t="str">
        <f>'(FnCalls 1)'!F49</f>
        <v>MMM 2010</v>
      </c>
      <c r="K1119" s="10" t="str">
        <f>'(FnCalls 1)'!F50</f>
        <v>MMM 2010</v>
      </c>
      <c r="L1119" s="10" t="str">
        <f>'(FnCalls 1)'!F51</f>
        <v>MMM 2010</v>
      </c>
      <c r="M1119" s="10" t="str">
        <f>'(FnCalls 1)'!F52</f>
        <v>MMM 2010</v>
      </c>
      <c r="N1119" s="10" t="str">
        <f>'(FnCalls 1)'!F53</f>
        <v>MMM 2011</v>
      </c>
      <c r="O1119" s="10" t="str">
        <f>'(FnCalls 1)'!F54</f>
        <v>MMM 2011</v>
      </c>
      <c r="P1119" s="10" t="str">
        <f>'(FnCalls 1)'!F55</f>
        <v>MMM 2011</v>
      </c>
      <c r="Q1119" s="10" t="str">
        <f>'(FnCalls 1)'!F56</f>
        <v>MMM 2011</v>
      </c>
      <c r="R1119" s="10" t="str">
        <f>'(FnCalls 1)'!F57</f>
        <v>MMM 2011</v>
      </c>
      <c r="S1119" s="11" t="str">
        <f>'(FnCalls 1)'!F58</f>
        <v>MMM 2011</v>
      </c>
    </row>
    <row r="1120" spans="1:19" ht="12.75" customHeight="1" x14ac:dyDescent="0.2">
      <c r="A1120" s="97"/>
      <c r="B1120" s="364" t="str">
        <f>'(FnCalls 1)'!F41</f>
        <v>MMM 2010</v>
      </c>
      <c r="C1120" s="364" t="str">
        <f>'(FnCalls 1)'!F42</f>
        <v>MMM 2010</v>
      </c>
      <c r="D1120" s="364" t="str">
        <f>'(FnCalls 1)'!F43</f>
        <v>MMM 2010</v>
      </c>
      <c r="E1120" s="364" t="str">
        <f>'(FnCalls 1)'!F44</f>
        <v>MMM 2010</v>
      </c>
      <c r="F1120" s="364" t="str">
        <f>'(FnCalls 1)'!F45</f>
        <v>MMM 2010</v>
      </c>
      <c r="G1120" s="364" t="str">
        <f>'(FnCalls 1)'!F46</f>
        <v>MMM 2010</v>
      </c>
      <c r="H1120" s="364" t="str">
        <f>'(FnCalls 1)'!F47</f>
        <v>MMM 2010</v>
      </c>
      <c r="I1120" s="364" t="str">
        <f>'(FnCalls 1)'!F48</f>
        <v>MMM 2010</v>
      </c>
      <c r="J1120" s="364" t="str">
        <f>'(FnCalls 1)'!F49</f>
        <v>MMM 2010</v>
      </c>
      <c r="K1120" s="364" t="str">
        <f>'(FnCalls 1)'!F50</f>
        <v>MMM 2010</v>
      </c>
      <c r="L1120" s="364" t="str">
        <f>'(FnCalls 1)'!F51</f>
        <v>MMM 2010</v>
      </c>
      <c r="M1120" s="364" t="str">
        <f>'(FnCalls 1)'!F52</f>
        <v>MMM 2010</v>
      </c>
      <c r="N1120" s="364" t="str">
        <f>'(FnCalls 1)'!F53</f>
        <v>MMM 2011</v>
      </c>
      <c r="O1120" s="364" t="str">
        <f>'(FnCalls 1)'!F54</f>
        <v>MMM 2011</v>
      </c>
      <c r="P1120" s="364" t="str">
        <f>'(FnCalls 1)'!F55</f>
        <v>MMM 2011</v>
      </c>
      <c r="Q1120" s="364" t="str">
        <f>'(FnCalls 1)'!F56</f>
        <v>MMM 2011</v>
      </c>
      <c r="R1120" s="364" t="str">
        <f>'(FnCalls 1)'!F57</f>
        <v>MMM 2011</v>
      </c>
      <c r="S1120" s="365" t="str">
        <f>'(FnCalls 1)'!F58</f>
        <v>MMM 2011</v>
      </c>
    </row>
    <row r="1121" spans="1:19" ht="12.75" customHeight="1" x14ac:dyDescent="0.2">
      <c r="A1121" s="1" t="str">
        <f>"Engage_Gross_Margin_pct_1"</f>
        <v>Engage_Gross_Margin_pct_1</v>
      </c>
    </row>
    <row r="1122" spans="1:19" ht="12.75" customHeight="1" x14ac:dyDescent="0.2">
      <c r="B1122" s="9" t="str">
        <f>'(FnCalls 1)'!F41</f>
        <v>MMM 2010</v>
      </c>
      <c r="C1122" s="10" t="str">
        <f>'(FnCalls 1)'!F42</f>
        <v>MMM 2010</v>
      </c>
      <c r="D1122" s="10" t="str">
        <f>'(FnCalls 1)'!F43</f>
        <v>MMM 2010</v>
      </c>
      <c r="E1122" s="10" t="str">
        <f>'(FnCalls 1)'!F44</f>
        <v>MMM 2010</v>
      </c>
      <c r="F1122" s="10" t="str">
        <f>'(FnCalls 1)'!F45</f>
        <v>MMM 2010</v>
      </c>
      <c r="G1122" s="10" t="str">
        <f>'(FnCalls 1)'!F46</f>
        <v>MMM 2010</v>
      </c>
      <c r="H1122" s="10" t="str">
        <f>'(FnCalls 1)'!F47</f>
        <v>MMM 2010</v>
      </c>
      <c r="I1122" s="10" t="str">
        <f>'(FnCalls 1)'!F48</f>
        <v>MMM 2010</v>
      </c>
      <c r="J1122" s="10" t="str">
        <f>'(FnCalls 1)'!F49</f>
        <v>MMM 2010</v>
      </c>
      <c r="K1122" s="10" t="str">
        <f>'(FnCalls 1)'!F50</f>
        <v>MMM 2010</v>
      </c>
      <c r="L1122" s="10" t="str">
        <f>'(FnCalls 1)'!F51</f>
        <v>MMM 2010</v>
      </c>
      <c r="M1122" s="10" t="str">
        <f>'(FnCalls 1)'!F52</f>
        <v>MMM 2010</v>
      </c>
      <c r="N1122" s="10" t="str">
        <f>'(FnCalls 1)'!F53</f>
        <v>MMM 2011</v>
      </c>
      <c r="O1122" s="10" t="str">
        <f>'(FnCalls 1)'!F54</f>
        <v>MMM 2011</v>
      </c>
      <c r="P1122" s="10" t="str">
        <f>'(FnCalls 1)'!F55</f>
        <v>MMM 2011</v>
      </c>
      <c r="Q1122" s="10" t="str">
        <f>'(FnCalls 1)'!F56</f>
        <v>MMM 2011</v>
      </c>
      <c r="R1122" s="10" t="str">
        <f>'(FnCalls 1)'!F57</f>
        <v>MMM 2011</v>
      </c>
      <c r="S1122" s="11" t="str">
        <f>'(FnCalls 1)'!F58</f>
        <v>MMM 2011</v>
      </c>
    </row>
    <row r="1123" spans="1:19" ht="12.75" customHeight="1" x14ac:dyDescent="0.2">
      <c r="A1123" s="97"/>
      <c r="B1123" s="364">
        <f>'(FnCalls 1)'!A41</f>
        <v>40179</v>
      </c>
      <c r="C1123" s="364">
        <f>'(FnCalls 1)'!A42</f>
        <v>40210</v>
      </c>
      <c r="D1123" s="364">
        <f>'(FnCalls 1)'!A43</f>
        <v>40238</v>
      </c>
      <c r="E1123" s="364">
        <f>'(FnCalls 1)'!A44</f>
        <v>40269</v>
      </c>
      <c r="F1123" s="364">
        <f>'(FnCalls 1)'!A45</f>
        <v>40299</v>
      </c>
      <c r="G1123" s="364">
        <f>'(FnCalls 1)'!A46</f>
        <v>40330</v>
      </c>
      <c r="H1123" s="364">
        <f>'(FnCalls 1)'!A47</f>
        <v>40360</v>
      </c>
      <c r="I1123" s="364">
        <f>'(FnCalls 1)'!A48</f>
        <v>40391</v>
      </c>
      <c r="J1123" s="364">
        <f>'(FnCalls 1)'!A49</f>
        <v>40422</v>
      </c>
      <c r="K1123" s="364">
        <f>'(FnCalls 1)'!A50</f>
        <v>40452</v>
      </c>
      <c r="L1123" s="364">
        <f>'(FnCalls 1)'!A51</f>
        <v>40483</v>
      </c>
      <c r="M1123" s="364">
        <f>'(FnCalls 1)'!A52</f>
        <v>40513</v>
      </c>
      <c r="N1123" s="364">
        <f>'(FnCalls 1)'!A53</f>
        <v>40544</v>
      </c>
      <c r="O1123" s="364">
        <f>'(FnCalls 1)'!A54</f>
        <v>40575</v>
      </c>
      <c r="P1123" s="364">
        <f>'(FnCalls 1)'!A55</f>
        <v>40603</v>
      </c>
      <c r="Q1123" s="364">
        <f>'(FnCalls 1)'!A56</f>
        <v>40634</v>
      </c>
      <c r="R1123" s="364">
        <f>'(FnCalls 1)'!A57</f>
        <v>40664</v>
      </c>
      <c r="S1123" s="365">
        <f>'(FnCalls 1)'!A58</f>
        <v>40695</v>
      </c>
    </row>
    <row r="1124" spans="1:19" ht="12.75" customHeight="1" x14ac:dyDescent="0.2">
      <c r="A1124" s="1" t="str">
        <f>"Engage_Gross_Margin_pct_2"</f>
        <v>Engage_Gross_Margin_pct_2</v>
      </c>
    </row>
    <row r="1125" spans="1:19" ht="12.75" customHeight="1" x14ac:dyDescent="0.2">
      <c r="B1125" s="9" t="str">
        <f>'(FnCalls 1)'!F41</f>
        <v>MMM 2010</v>
      </c>
      <c r="C1125" s="10" t="str">
        <f>'(FnCalls 1)'!F42</f>
        <v>MMM 2010</v>
      </c>
      <c r="D1125" s="10" t="str">
        <f>'(FnCalls 1)'!F43</f>
        <v>MMM 2010</v>
      </c>
      <c r="E1125" s="10" t="str">
        <f>'(FnCalls 1)'!F44</f>
        <v>MMM 2010</v>
      </c>
      <c r="F1125" s="10" t="str">
        <f>'(FnCalls 1)'!F45</f>
        <v>MMM 2010</v>
      </c>
      <c r="G1125" s="10" t="str">
        <f>'(FnCalls 1)'!F46</f>
        <v>MMM 2010</v>
      </c>
      <c r="H1125" s="10" t="str">
        <f>'(FnCalls 1)'!F47</f>
        <v>MMM 2010</v>
      </c>
      <c r="I1125" s="10" t="str">
        <f>'(FnCalls 1)'!F48</f>
        <v>MMM 2010</v>
      </c>
      <c r="J1125" s="10" t="str">
        <f>'(FnCalls 1)'!F49</f>
        <v>MMM 2010</v>
      </c>
      <c r="K1125" s="10" t="str">
        <f>'(FnCalls 1)'!F50</f>
        <v>MMM 2010</v>
      </c>
      <c r="L1125" s="10" t="str">
        <f>'(FnCalls 1)'!F51</f>
        <v>MMM 2010</v>
      </c>
      <c r="M1125" s="10" t="str">
        <f>'(FnCalls 1)'!F52</f>
        <v>MMM 2010</v>
      </c>
      <c r="N1125" s="10" t="str">
        <f>'(FnCalls 1)'!F53</f>
        <v>MMM 2011</v>
      </c>
      <c r="O1125" s="10" t="str">
        <f>'(FnCalls 1)'!F54</f>
        <v>MMM 2011</v>
      </c>
      <c r="P1125" s="10" t="str">
        <f>'(FnCalls 1)'!F55</f>
        <v>MMM 2011</v>
      </c>
      <c r="Q1125" s="10" t="str">
        <f>'(FnCalls 1)'!F56</f>
        <v>MMM 2011</v>
      </c>
      <c r="R1125" s="10" t="str">
        <f>'(FnCalls 1)'!F57</f>
        <v>MMM 2011</v>
      </c>
      <c r="S1125" s="11" t="str">
        <f>'(FnCalls 1)'!F58</f>
        <v>MMM 2011</v>
      </c>
    </row>
    <row r="1126" spans="1:19" ht="12.75" customHeight="1" x14ac:dyDescent="0.2">
      <c r="A1126" s="97"/>
      <c r="B1126" s="364" t="str">
        <f>'(FnCalls 1)'!F41</f>
        <v>MMM 2010</v>
      </c>
      <c r="C1126" s="364" t="str">
        <f>'(FnCalls 1)'!F42</f>
        <v>MMM 2010</v>
      </c>
      <c r="D1126" s="364" t="str">
        <f>'(FnCalls 1)'!F43</f>
        <v>MMM 2010</v>
      </c>
      <c r="E1126" s="364" t="str">
        <f>'(FnCalls 1)'!F44</f>
        <v>MMM 2010</v>
      </c>
      <c r="F1126" s="364" t="str">
        <f>'(FnCalls 1)'!F45</f>
        <v>MMM 2010</v>
      </c>
      <c r="G1126" s="364" t="str">
        <f>'(FnCalls 1)'!F46</f>
        <v>MMM 2010</v>
      </c>
      <c r="H1126" s="364" t="str">
        <f>'(FnCalls 1)'!F47</f>
        <v>MMM 2010</v>
      </c>
      <c r="I1126" s="364" t="str">
        <f>'(FnCalls 1)'!F48</f>
        <v>MMM 2010</v>
      </c>
      <c r="J1126" s="364" t="str">
        <f>'(FnCalls 1)'!F49</f>
        <v>MMM 2010</v>
      </c>
      <c r="K1126" s="364" t="str">
        <f>'(FnCalls 1)'!F50</f>
        <v>MMM 2010</v>
      </c>
      <c r="L1126" s="364" t="str">
        <f>'(FnCalls 1)'!F51</f>
        <v>MMM 2010</v>
      </c>
      <c r="M1126" s="364" t="str">
        <f>'(FnCalls 1)'!F52</f>
        <v>MMM 2010</v>
      </c>
      <c r="N1126" s="364" t="str">
        <f>'(FnCalls 1)'!F53</f>
        <v>MMM 2011</v>
      </c>
      <c r="O1126" s="364" t="str">
        <f>'(FnCalls 1)'!F54</f>
        <v>MMM 2011</v>
      </c>
      <c r="P1126" s="364" t="str">
        <f>'(FnCalls 1)'!F55</f>
        <v>MMM 2011</v>
      </c>
      <c r="Q1126" s="364" t="str">
        <f>'(FnCalls 1)'!F56</f>
        <v>MMM 2011</v>
      </c>
      <c r="R1126" s="364" t="str">
        <f>'(FnCalls 1)'!F57</f>
        <v>MMM 2011</v>
      </c>
      <c r="S1126" s="365" t="str">
        <f>'(FnCalls 1)'!F58</f>
        <v>MMM 2011</v>
      </c>
    </row>
    <row r="1127" spans="1:19" ht="12.75" customHeight="1" x14ac:dyDescent="0.2">
      <c r="A1127" s="1" t="str">
        <f>"Engage_Hrs_Unbilled_1"</f>
        <v>Engage_Hrs_Unbilled_1</v>
      </c>
    </row>
    <row r="1128" spans="1:19" ht="12.75" customHeight="1" x14ac:dyDescent="0.2">
      <c r="B1128" s="9" t="str">
        <f>'(FnCalls 1)'!F41</f>
        <v>MMM 2010</v>
      </c>
      <c r="C1128" s="10" t="str">
        <f>'(FnCalls 1)'!F42</f>
        <v>MMM 2010</v>
      </c>
      <c r="D1128" s="10" t="str">
        <f>'(FnCalls 1)'!F43</f>
        <v>MMM 2010</v>
      </c>
      <c r="E1128" s="10" t="str">
        <f>'(FnCalls 1)'!F44</f>
        <v>MMM 2010</v>
      </c>
      <c r="F1128" s="10" t="str">
        <f>'(FnCalls 1)'!F45</f>
        <v>MMM 2010</v>
      </c>
      <c r="G1128" s="10" t="str">
        <f>'(FnCalls 1)'!F46</f>
        <v>MMM 2010</v>
      </c>
      <c r="H1128" s="10" t="str">
        <f>'(FnCalls 1)'!F47</f>
        <v>MMM 2010</v>
      </c>
      <c r="I1128" s="10" t="str">
        <f>'(FnCalls 1)'!F48</f>
        <v>MMM 2010</v>
      </c>
      <c r="J1128" s="10" t="str">
        <f>'(FnCalls 1)'!F49</f>
        <v>MMM 2010</v>
      </c>
      <c r="K1128" s="10" t="str">
        <f>'(FnCalls 1)'!F50</f>
        <v>MMM 2010</v>
      </c>
      <c r="L1128" s="10" t="str">
        <f>'(FnCalls 1)'!F51</f>
        <v>MMM 2010</v>
      </c>
      <c r="M1128" s="10" t="str">
        <f>'(FnCalls 1)'!F52</f>
        <v>MMM 2010</v>
      </c>
      <c r="N1128" s="10" t="str">
        <f>'(FnCalls 1)'!F53</f>
        <v>MMM 2011</v>
      </c>
      <c r="O1128" s="10" t="str">
        <f>'(FnCalls 1)'!F54</f>
        <v>MMM 2011</v>
      </c>
      <c r="P1128" s="10" t="str">
        <f>'(FnCalls 1)'!F55</f>
        <v>MMM 2011</v>
      </c>
      <c r="Q1128" s="10" t="str">
        <f>'(FnCalls 1)'!F56</f>
        <v>MMM 2011</v>
      </c>
      <c r="R1128" s="10" t="str">
        <f>'(FnCalls 1)'!F57</f>
        <v>MMM 2011</v>
      </c>
      <c r="S1128" s="11" t="str">
        <f>'(FnCalls 1)'!F58</f>
        <v>MMM 2011</v>
      </c>
    </row>
    <row r="1129" spans="1:19" ht="12.75" customHeight="1" x14ac:dyDescent="0.2">
      <c r="A1129" s="97"/>
      <c r="B1129" s="364">
        <f>'(FnCalls 1)'!A41</f>
        <v>40179</v>
      </c>
      <c r="C1129" s="364">
        <f>'(FnCalls 1)'!A42</f>
        <v>40210</v>
      </c>
      <c r="D1129" s="364">
        <f>'(FnCalls 1)'!A43</f>
        <v>40238</v>
      </c>
      <c r="E1129" s="364">
        <f>'(FnCalls 1)'!A44</f>
        <v>40269</v>
      </c>
      <c r="F1129" s="364">
        <f>'(FnCalls 1)'!A45</f>
        <v>40299</v>
      </c>
      <c r="G1129" s="364">
        <f>'(FnCalls 1)'!A46</f>
        <v>40330</v>
      </c>
      <c r="H1129" s="364">
        <f>'(FnCalls 1)'!A47</f>
        <v>40360</v>
      </c>
      <c r="I1129" s="364">
        <f>'(FnCalls 1)'!A48</f>
        <v>40391</v>
      </c>
      <c r="J1129" s="364">
        <f>'(FnCalls 1)'!A49</f>
        <v>40422</v>
      </c>
      <c r="K1129" s="364">
        <f>'(FnCalls 1)'!A50</f>
        <v>40452</v>
      </c>
      <c r="L1129" s="364">
        <f>'(FnCalls 1)'!A51</f>
        <v>40483</v>
      </c>
      <c r="M1129" s="364">
        <f>'(FnCalls 1)'!A52</f>
        <v>40513</v>
      </c>
      <c r="N1129" s="364">
        <f>'(FnCalls 1)'!A53</f>
        <v>40544</v>
      </c>
      <c r="O1129" s="364">
        <f>'(FnCalls 1)'!A54</f>
        <v>40575</v>
      </c>
      <c r="P1129" s="364">
        <f>'(FnCalls 1)'!A55</f>
        <v>40603</v>
      </c>
      <c r="Q1129" s="364">
        <f>'(FnCalls 1)'!A56</f>
        <v>40634</v>
      </c>
      <c r="R1129" s="364">
        <f>'(FnCalls 1)'!A57</f>
        <v>40664</v>
      </c>
      <c r="S1129" s="365">
        <f>'(FnCalls 1)'!A58</f>
        <v>40695</v>
      </c>
    </row>
    <row r="1130" spans="1:19" ht="12.75" customHeight="1" x14ac:dyDescent="0.2">
      <c r="A1130" s="1" t="str">
        <f>"Engage_Hrs_Unbilled_2"</f>
        <v>Engage_Hrs_Unbilled_2</v>
      </c>
    </row>
    <row r="1131" spans="1:19" ht="12.75" customHeight="1" x14ac:dyDescent="0.2">
      <c r="B1131" s="9" t="str">
        <f>'(FnCalls 1)'!F41</f>
        <v>MMM 2010</v>
      </c>
      <c r="C1131" s="10" t="str">
        <f>'(FnCalls 1)'!F42</f>
        <v>MMM 2010</v>
      </c>
      <c r="D1131" s="10" t="str">
        <f>'(FnCalls 1)'!F43</f>
        <v>MMM 2010</v>
      </c>
      <c r="E1131" s="10" t="str">
        <f>'(FnCalls 1)'!F44</f>
        <v>MMM 2010</v>
      </c>
      <c r="F1131" s="10" t="str">
        <f>'(FnCalls 1)'!F45</f>
        <v>MMM 2010</v>
      </c>
      <c r="G1131" s="10" t="str">
        <f>'(FnCalls 1)'!F46</f>
        <v>MMM 2010</v>
      </c>
      <c r="H1131" s="10" t="str">
        <f>'(FnCalls 1)'!F47</f>
        <v>MMM 2010</v>
      </c>
      <c r="I1131" s="10" t="str">
        <f>'(FnCalls 1)'!F48</f>
        <v>MMM 2010</v>
      </c>
      <c r="J1131" s="10" t="str">
        <f>'(FnCalls 1)'!F49</f>
        <v>MMM 2010</v>
      </c>
      <c r="K1131" s="10" t="str">
        <f>'(FnCalls 1)'!F50</f>
        <v>MMM 2010</v>
      </c>
      <c r="L1131" s="10" t="str">
        <f>'(FnCalls 1)'!F51</f>
        <v>MMM 2010</v>
      </c>
      <c r="M1131" s="10" t="str">
        <f>'(FnCalls 1)'!F52</f>
        <v>MMM 2010</v>
      </c>
      <c r="N1131" s="10" t="str">
        <f>'(FnCalls 1)'!F53</f>
        <v>MMM 2011</v>
      </c>
      <c r="O1131" s="10" t="str">
        <f>'(FnCalls 1)'!F54</f>
        <v>MMM 2011</v>
      </c>
      <c r="P1131" s="10" t="str">
        <f>'(FnCalls 1)'!F55</f>
        <v>MMM 2011</v>
      </c>
      <c r="Q1131" s="10" t="str">
        <f>'(FnCalls 1)'!F56</f>
        <v>MMM 2011</v>
      </c>
      <c r="R1131" s="10" t="str">
        <f>'(FnCalls 1)'!F57</f>
        <v>MMM 2011</v>
      </c>
      <c r="S1131" s="11" t="str">
        <f>'(FnCalls 1)'!F58</f>
        <v>MMM 2011</v>
      </c>
    </row>
    <row r="1132" spans="1:19" ht="12.75" customHeight="1" x14ac:dyDescent="0.2">
      <c r="A1132" s="97"/>
      <c r="B1132" s="364" t="str">
        <f>'(FnCalls 1)'!F41</f>
        <v>MMM 2010</v>
      </c>
      <c r="C1132" s="364" t="str">
        <f>'(FnCalls 1)'!F42</f>
        <v>MMM 2010</v>
      </c>
      <c r="D1132" s="364" t="str">
        <f>'(FnCalls 1)'!F43</f>
        <v>MMM 2010</v>
      </c>
      <c r="E1132" s="364" t="str">
        <f>'(FnCalls 1)'!F44</f>
        <v>MMM 2010</v>
      </c>
      <c r="F1132" s="364" t="str">
        <f>'(FnCalls 1)'!F45</f>
        <v>MMM 2010</v>
      </c>
      <c r="G1132" s="364" t="str">
        <f>'(FnCalls 1)'!F46</f>
        <v>MMM 2010</v>
      </c>
      <c r="H1132" s="364" t="str">
        <f>'(FnCalls 1)'!F47</f>
        <v>MMM 2010</v>
      </c>
      <c r="I1132" s="364" t="str">
        <f>'(FnCalls 1)'!F48</f>
        <v>MMM 2010</v>
      </c>
      <c r="J1132" s="364" t="str">
        <f>'(FnCalls 1)'!F49</f>
        <v>MMM 2010</v>
      </c>
      <c r="K1132" s="364" t="str">
        <f>'(FnCalls 1)'!F50</f>
        <v>MMM 2010</v>
      </c>
      <c r="L1132" s="364" t="str">
        <f>'(FnCalls 1)'!F51</f>
        <v>MMM 2010</v>
      </c>
      <c r="M1132" s="364" t="str">
        <f>'(FnCalls 1)'!F52</f>
        <v>MMM 2010</v>
      </c>
      <c r="N1132" s="364" t="str">
        <f>'(FnCalls 1)'!F53</f>
        <v>MMM 2011</v>
      </c>
      <c r="O1132" s="364" t="str">
        <f>'(FnCalls 1)'!F54</f>
        <v>MMM 2011</v>
      </c>
      <c r="P1132" s="364" t="str">
        <f>'(FnCalls 1)'!F55</f>
        <v>MMM 2011</v>
      </c>
      <c r="Q1132" s="364" t="str">
        <f>'(FnCalls 1)'!F56</f>
        <v>MMM 2011</v>
      </c>
      <c r="R1132" s="364" t="str">
        <f>'(FnCalls 1)'!F57</f>
        <v>MMM 2011</v>
      </c>
      <c r="S1132" s="365" t="str">
        <f>'(FnCalls 1)'!F58</f>
        <v>MMM 2011</v>
      </c>
    </row>
    <row r="1133" spans="1:19" ht="12.75" customHeight="1" x14ac:dyDescent="0.2">
      <c r="A1133" s="1" t="str">
        <f>"Prof_Staff_Cost_Applied_1"</f>
        <v>Prof_Staff_Cost_Applied_1</v>
      </c>
    </row>
    <row r="1134" spans="1:19" ht="12.75" customHeight="1" x14ac:dyDescent="0.2">
      <c r="B1134" s="9" t="str">
        <f>'(FnCalls 1)'!F41</f>
        <v>MMM 2010</v>
      </c>
      <c r="C1134" s="10" t="str">
        <f>'(FnCalls 1)'!F42</f>
        <v>MMM 2010</v>
      </c>
      <c r="D1134" s="10" t="str">
        <f>'(FnCalls 1)'!F43</f>
        <v>MMM 2010</v>
      </c>
      <c r="E1134" s="10" t="str">
        <f>'(FnCalls 1)'!F44</f>
        <v>MMM 2010</v>
      </c>
      <c r="F1134" s="10" t="str">
        <f>'(FnCalls 1)'!F45</f>
        <v>MMM 2010</v>
      </c>
      <c r="G1134" s="10" t="str">
        <f>'(FnCalls 1)'!F46</f>
        <v>MMM 2010</v>
      </c>
      <c r="H1134" s="10" t="str">
        <f>'(FnCalls 1)'!F47</f>
        <v>MMM 2010</v>
      </c>
      <c r="I1134" s="10" t="str">
        <f>'(FnCalls 1)'!F48</f>
        <v>MMM 2010</v>
      </c>
      <c r="J1134" s="10" t="str">
        <f>'(FnCalls 1)'!F49</f>
        <v>MMM 2010</v>
      </c>
      <c r="K1134" s="10" t="str">
        <f>'(FnCalls 1)'!F50</f>
        <v>MMM 2010</v>
      </c>
      <c r="L1134" s="10" t="str">
        <f>'(FnCalls 1)'!F51</f>
        <v>MMM 2010</v>
      </c>
      <c r="M1134" s="10" t="str">
        <f>'(FnCalls 1)'!F52</f>
        <v>MMM 2010</v>
      </c>
      <c r="N1134" s="10" t="str">
        <f>'(FnCalls 1)'!F53</f>
        <v>MMM 2011</v>
      </c>
      <c r="O1134" s="10" t="str">
        <f>'(FnCalls 1)'!F54</f>
        <v>MMM 2011</v>
      </c>
      <c r="P1134" s="10" t="str">
        <f>'(FnCalls 1)'!F55</f>
        <v>MMM 2011</v>
      </c>
      <c r="Q1134" s="10" t="str">
        <f>'(FnCalls 1)'!F56</f>
        <v>MMM 2011</v>
      </c>
      <c r="R1134" s="10" t="str">
        <f>'(FnCalls 1)'!F57</f>
        <v>MMM 2011</v>
      </c>
      <c r="S1134" s="11" t="str">
        <f>'(FnCalls 1)'!F58</f>
        <v>MMM 2011</v>
      </c>
    </row>
    <row r="1135" spans="1:19" ht="12.75" customHeight="1" x14ac:dyDescent="0.2">
      <c r="A1135" s="97"/>
      <c r="B1135" s="364">
        <f>'(FnCalls 1)'!A41</f>
        <v>40179</v>
      </c>
      <c r="C1135" s="364">
        <f>'(FnCalls 1)'!A42</f>
        <v>40210</v>
      </c>
      <c r="D1135" s="364">
        <f>'(FnCalls 1)'!A43</f>
        <v>40238</v>
      </c>
      <c r="E1135" s="364">
        <f>'(FnCalls 1)'!A44</f>
        <v>40269</v>
      </c>
      <c r="F1135" s="364">
        <f>'(FnCalls 1)'!A45</f>
        <v>40299</v>
      </c>
      <c r="G1135" s="364">
        <f>'(FnCalls 1)'!A46</f>
        <v>40330</v>
      </c>
      <c r="H1135" s="364">
        <f>'(FnCalls 1)'!A47</f>
        <v>40360</v>
      </c>
      <c r="I1135" s="364">
        <f>'(FnCalls 1)'!A48</f>
        <v>40391</v>
      </c>
      <c r="J1135" s="364">
        <f>'(FnCalls 1)'!A49</f>
        <v>40422</v>
      </c>
      <c r="K1135" s="364">
        <f>'(FnCalls 1)'!A50</f>
        <v>40452</v>
      </c>
      <c r="L1135" s="364">
        <f>'(FnCalls 1)'!A51</f>
        <v>40483</v>
      </c>
      <c r="M1135" s="364">
        <f>'(FnCalls 1)'!A52</f>
        <v>40513</v>
      </c>
      <c r="N1135" s="364">
        <f>'(FnCalls 1)'!A53</f>
        <v>40544</v>
      </c>
      <c r="O1135" s="364">
        <f>'(FnCalls 1)'!A54</f>
        <v>40575</v>
      </c>
      <c r="P1135" s="364">
        <f>'(FnCalls 1)'!A55</f>
        <v>40603</v>
      </c>
      <c r="Q1135" s="364">
        <f>'(FnCalls 1)'!A56</f>
        <v>40634</v>
      </c>
      <c r="R1135" s="364">
        <f>'(FnCalls 1)'!A57</f>
        <v>40664</v>
      </c>
      <c r="S1135" s="365">
        <f>'(FnCalls 1)'!A58</f>
        <v>40695</v>
      </c>
    </row>
    <row r="1136" spans="1:19" ht="12.75" customHeight="1" x14ac:dyDescent="0.2">
      <c r="A1136" s="1" t="str">
        <f>"Prof_Staff_Cost_Applied_2"</f>
        <v>Prof_Staff_Cost_Applied_2</v>
      </c>
    </row>
    <row r="1137" spans="1:19" ht="12.75" customHeight="1" x14ac:dyDescent="0.2">
      <c r="B1137" s="9" t="str">
        <f>'(FnCalls 1)'!F41</f>
        <v>MMM 2010</v>
      </c>
      <c r="C1137" s="10" t="str">
        <f>'(FnCalls 1)'!F42</f>
        <v>MMM 2010</v>
      </c>
      <c r="D1137" s="10" t="str">
        <f>'(FnCalls 1)'!F43</f>
        <v>MMM 2010</v>
      </c>
      <c r="E1137" s="10" t="str">
        <f>'(FnCalls 1)'!F44</f>
        <v>MMM 2010</v>
      </c>
      <c r="F1137" s="10" t="str">
        <f>'(FnCalls 1)'!F45</f>
        <v>MMM 2010</v>
      </c>
      <c r="G1137" s="10" t="str">
        <f>'(FnCalls 1)'!F46</f>
        <v>MMM 2010</v>
      </c>
      <c r="H1137" s="10" t="str">
        <f>'(FnCalls 1)'!F47</f>
        <v>MMM 2010</v>
      </c>
      <c r="I1137" s="10" t="str">
        <f>'(FnCalls 1)'!F48</f>
        <v>MMM 2010</v>
      </c>
      <c r="J1137" s="10" t="str">
        <f>'(FnCalls 1)'!F49</f>
        <v>MMM 2010</v>
      </c>
      <c r="K1137" s="10" t="str">
        <f>'(FnCalls 1)'!F50</f>
        <v>MMM 2010</v>
      </c>
      <c r="L1137" s="10" t="str">
        <f>'(FnCalls 1)'!F51</f>
        <v>MMM 2010</v>
      </c>
      <c r="M1137" s="10" t="str">
        <f>'(FnCalls 1)'!F52</f>
        <v>MMM 2010</v>
      </c>
      <c r="N1137" s="10" t="str">
        <f>'(FnCalls 1)'!F53</f>
        <v>MMM 2011</v>
      </c>
      <c r="O1137" s="10" t="str">
        <f>'(FnCalls 1)'!F54</f>
        <v>MMM 2011</v>
      </c>
      <c r="P1137" s="10" t="str">
        <f>'(FnCalls 1)'!F55</f>
        <v>MMM 2011</v>
      </c>
      <c r="Q1137" s="10" t="str">
        <f>'(FnCalls 1)'!F56</f>
        <v>MMM 2011</v>
      </c>
      <c r="R1137" s="10" t="str">
        <f>'(FnCalls 1)'!F57</f>
        <v>MMM 2011</v>
      </c>
      <c r="S1137" s="11" t="str">
        <f>'(FnCalls 1)'!F58</f>
        <v>MMM 2011</v>
      </c>
    </row>
    <row r="1138" spans="1:19" ht="12.75" customHeight="1" x14ac:dyDescent="0.2">
      <c r="A1138" s="97"/>
      <c r="B1138" s="364" t="str">
        <f>'(FnCalls 1)'!F41</f>
        <v>MMM 2010</v>
      </c>
      <c r="C1138" s="364" t="str">
        <f>'(FnCalls 1)'!F42</f>
        <v>MMM 2010</v>
      </c>
      <c r="D1138" s="364" t="str">
        <f>'(FnCalls 1)'!F43</f>
        <v>MMM 2010</v>
      </c>
      <c r="E1138" s="364" t="str">
        <f>'(FnCalls 1)'!F44</f>
        <v>MMM 2010</v>
      </c>
      <c r="F1138" s="364" t="str">
        <f>'(FnCalls 1)'!F45</f>
        <v>MMM 2010</v>
      </c>
      <c r="G1138" s="364" t="str">
        <f>'(FnCalls 1)'!F46</f>
        <v>MMM 2010</v>
      </c>
      <c r="H1138" s="364" t="str">
        <f>'(FnCalls 1)'!F47</f>
        <v>MMM 2010</v>
      </c>
      <c r="I1138" s="364" t="str">
        <f>'(FnCalls 1)'!F48</f>
        <v>MMM 2010</v>
      </c>
      <c r="J1138" s="364" t="str">
        <f>'(FnCalls 1)'!F49</f>
        <v>MMM 2010</v>
      </c>
      <c r="K1138" s="364" t="str">
        <f>'(FnCalls 1)'!F50</f>
        <v>MMM 2010</v>
      </c>
      <c r="L1138" s="364" t="str">
        <f>'(FnCalls 1)'!F51</f>
        <v>MMM 2010</v>
      </c>
      <c r="M1138" s="364" t="str">
        <f>'(FnCalls 1)'!F52</f>
        <v>MMM 2010</v>
      </c>
      <c r="N1138" s="364" t="str">
        <f>'(FnCalls 1)'!F53</f>
        <v>MMM 2011</v>
      </c>
      <c r="O1138" s="364" t="str">
        <f>'(FnCalls 1)'!F54</f>
        <v>MMM 2011</v>
      </c>
      <c r="P1138" s="364" t="str">
        <f>'(FnCalls 1)'!F55</f>
        <v>MMM 2011</v>
      </c>
      <c r="Q1138" s="364" t="str">
        <f>'(FnCalls 1)'!F56</f>
        <v>MMM 2011</v>
      </c>
      <c r="R1138" s="364" t="str">
        <f>'(FnCalls 1)'!F57</f>
        <v>MMM 2011</v>
      </c>
      <c r="S1138" s="365" t="str">
        <f>'(FnCalls 1)'!F58</f>
        <v>MMM 2011</v>
      </c>
    </row>
    <row r="1139" spans="1:19" ht="12.75" customHeight="1" x14ac:dyDescent="0.2">
      <c r="A1139" s="1" t="str">
        <f>"Prof_Staff_Hrs_Unbilled_1"</f>
        <v>Prof_Staff_Hrs_Unbilled_1</v>
      </c>
    </row>
    <row r="1140" spans="1:19" ht="12.75" customHeight="1" x14ac:dyDescent="0.2">
      <c r="B1140" s="9" t="str">
        <f>'(FnCalls 1)'!F41</f>
        <v>MMM 2010</v>
      </c>
      <c r="C1140" s="10" t="str">
        <f>'(FnCalls 1)'!F42</f>
        <v>MMM 2010</v>
      </c>
      <c r="D1140" s="10" t="str">
        <f>'(FnCalls 1)'!F43</f>
        <v>MMM 2010</v>
      </c>
      <c r="E1140" s="10" t="str">
        <f>'(FnCalls 1)'!F44</f>
        <v>MMM 2010</v>
      </c>
      <c r="F1140" s="10" t="str">
        <f>'(FnCalls 1)'!F45</f>
        <v>MMM 2010</v>
      </c>
      <c r="G1140" s="10" t="str">
        <f>'(FnCalls 1)'!F46</f>
        <v>MMM 2010</v>
      </c>
      <c r="H1140" s="10" t="str">
        <f>'(FnCalls 1)'!F47</f>
        <v>MMM 2010</v>
      </c>
      <c r="I1140" s="10" t="str">
        <f>'(FnCalls 1)'!F48</f>
        <v>MMM 2010</v>
      </c>
      <c r="J1140" s="10" t="str">
        <f>'(FnCalls 1)'!F49</f>
        <v>MMM 2010</v>
      </c>
      <c r="K1140" s="10" t="str">
        <f>'(FnCalls 1)'!F50</f>
        <v>MMM 2010</v>
      </c>
      <c r="L1140" s="10" t="str">
        <f>'(FnCalls 1)'!F51</f>
        <v>MMM 2010</v>
      </c>
      <c r="M1140" s="10" t="str">
        <f>'(FnCalls 1)'!F52</f>
        <v>MMM 2010</v>
      </c>
      <c r="N1140" s="10" t="str">
        <f>'(FnCalls 1)'!F53</f>
        <v>MMM 2011</v>
      </c>
      <c r="O1140" s="10" t="str">
        <f>'(FnCalls 1)'!F54</f>
        <v>MMM 2011</v>
      </c>
      <c r="P1140" s="10" t="str">
        <f>'(FnCalls 1)'!F55</f>
        <v>MMM 2011</v>
      </c>
      <c r="Q1140" s="10" t="str">
        <f>'(FnCalls 1)'!F56</f>
        <v>MMM 2011</v>
      </c>
      <c r="R1140" s="10" t="str">
        <f>'(FnCalls 1)'!F57</f>
        <v>MMM 2011</v>
      </c>
      <c r="S1140" s="11" t="str">
        <f>'(FnCalls 1)'!F58</f>
        <v>MMM 2011</v>
      </c>
    </row>
    <row r="1141" spans="1:19" ht="12.75" customHeight="1" x14ac:dyDescent="0.2">
      <c r="A1141" s="97"/>
      <c r="B1141" s="364">
        <f>'(FnCalls 1)'!A41</f>
        <v>40179</v>
      </c>
      <c r="C1141" s="364">
        <f>'(FnCalls 1)'!A42</f>
        <v>40210</v>
      </c>
      <c r="D1141" s="364">
        <f>'(FnCalls 1)'!A43</f>
        <v>40238</v>
      </c>
      <c r="E1141" s="364">
        <f>'(FnCalls 1)'!A44</f>
        <v>40269</v>
      </c>
      <c r="F1141" s="364">
        <f>'(FnCalls 1)'!A45</f>
        <v>40299</v>
      </c>
      <c r="G1141" s="364">
        <f>'(FnCalls 1)'!A46</f>
        <v>40330</v>
      </c>
      <c r="H1141" s="364">
        <f>'(FnCalls 1)'!A47</f>
        <v>40360</v>
      </c>
      <c r="I1141" s="364">
        <f>'(FnCalls 1)'!A48</f>
        <v>40391</v>
      </c>
      <c r="J1141" s="364">
        <f>'(FnCalls 1)'!A49</f>
        <v>40422</v>
      </c>
      <c r="K1141" s="364">
        <f>'(FnCalls 1)'!A50</f>
        <v>40452</v>
      </c>
      <c r="L1141" s="364">
        <f>'(FnCalls 1)'!A51</f>
        <v>40483</v>
      </c>
      <c r="M1141" s="364">
        <f>'(FnCalls 1)'!A52</f>
        <v>40513</v>
      </c>
      <c r="N1141" s="364">
        <f>'(FnCalls 1)'!A53</f>
        <v>40544</v>
      </c>
      <c r="O1141" s="364">
        <f>'(FnCalls 1)'!A54</f>
        <v>40575</v>
      </c>
      <c r="P1141" s="364">
        <f>'(FnCalls 1)'!A55</f>
        <v>40603</v>
      </c>
      <c r="Q1141" s="364">
        <f>'(FnCalls 1)'!A56</f>
        <v>40634</v>
      </c>
      <c r="R1141" s="364">
        <f>'(FnCalls 1)'!A57</f>
        <v>40664</v>
      </c>
      <c r="S1141" s="365">
        <f>'(FnCalls 1)'!A58</f>
        <v>40695</v>
      </c>
    </row>
    <row r="1142" spans="1:19" ht="12.75" customHeight="1" x14ac:dyDescent="0.2">
      <c r="A1142" s="1" t="str">
        <f>"Prof_Staff_Hrs_Unbilled_2"</f>
        <v>Prof_Staff_Hrs_Unbilled_2</v>
      </c>
    </row>
    <row r="1143" spans="1:19" ht="12.75" customHeight="1" x14ac:dyDescent="0.2">
      <c r="B1143" s="9" t="str">
        <f>'(FnCalls 1)'!F41</f>
        <v>MMM 2010</v>
      </c>
      <c r="C1143" s="10" t="str">
        <f>'(FnCalls 1)'!F42</f>
        <v>MMM 2010</v>
      </c>
      <c r="D1143" s="10" t="str">
        <f>'(FnCalls 1)'!F43</f>
        <v>MMM 2010</v>
      </c>
      <c r="E1143" s="10" t="str">
        <f>'(FnCalls 1)'!F44</f>
        <v>MMM 2010</v>
      </c>
      <c r="F1143" s="10" t="str">
        <f>'(FnCalls 1)'!F45</f>
        <v>MMM 2010</v>
      </c>
      <c r="G1143" s="10" t="str">
        <f>'(FnCalls 1)'!F46</f>
        <v>MMM 2010</v>
      </c>
      <c r="H1143" s="10" t="str">
        <f>'(FnCalls 1)'!F47</f>
        <v>MMM 2010</v>
      </c>
      <c r="I1143" s="10" t="str">
        <f>'(FnCalls 1)'!F48</f>
        <v>MMM 2010</v>
      </c>
      <c r="J1143" s="10" t="str">
        <f>'(FnCalls 1)'!F49</f>
        <v>MMM 2010</v>
      </c>
      <c r="K1143" s="10" t="str">
        <f>'(FnCalls 1)'!F50</f>
        <v>MMM 2010</v>
      </c>
      <c r="L1143" s="10" t="str">
        <f>'(FnCalls 1)'!F51</f>
        <v>MMM 2010</v>
      </c>
      <c r="M1143" s="10" t="str">
        <f>'(FnCalls 1)'!F52</f>
        <v>MMM 2010</v>
      </c>
      <c r="N1143" s="10" t="str">
        <f>'(FnCalls 1)'!F53</f>
        <v>MMM 2011</v>
      </c>
      <c r="O1143" s="10" t="str">
        <f>'(FnCalls 1)'!F54</f>
        <v>MMM 2011</v>
      </c>
      <c r="P1143" s="10" t="str">
        <f>'(FnCalls 1)'!F55</f>
        <v>MMM 2011</v>
      </c>
      <c r="Q1143" s="10" t="str">
        <f>'(FnCalls 1)'!F56</f>
        <v>MMM 2011</v>
      </c>
      <c r="R1143" s="10" t="str">
        <f>'(FnCalls 1)'!F57</f>
        <v>MMM 2011</v>
      </c>
      <c r="S1143" s="11" t="str">
        <f>'(FnCalls 1)'!F58</f>
        <v>MMM 2011</v>
      </c>
    </row>
    <row r="1144" spans="1:19" ht="12.75" customHeight="1" x14ac:dyDescent="0.2">
      <c r="A1144" s="97"/>
      <c r="B1144" s="364" t="str">
        <f>'(FnCalls 1)'!F41</f>
        <v>MMM 2010</v>
      </c>
      <c r="C1144" s="364" t="str">
        <f>'(FnCalls 1)'!F42</f>
        <v>MMM 2010</v>
      </c>
      <c r="D1144" s="364" t="str">
        <f>'(FnCalls 1)'!F43</f>
        <v>MMM 2010</v>
      </c>
      <c r="E1144" s="364" t="str">
        <f>'(FnCalls 1)'!F44</f>
        <v>MMM 2010</v>
      </c>
      <c r="F1144" s="364" t="str">
        <f>'(FnCalls 1)'!F45</f>
        <v>MMM 2010</v>
      </c>
      <c r="G1144" s="364" t="str">
        <f>'(FnCalls 1)'!F46</f>
        <v>MMM 2010</v>
      </c>
      <c r="H1144" s="364" t="str">
        <f>'(FnCalls 1)'!F47</f>
        <v>MMM 2010</v>
      </c>
      <c r="I1144" s="364" t="str">
        <f>'(FnCalls 1)'!F48</f>
        <v>MMM 2010</v>
      </c>
      <c r="J1144" s="364" t="str">
        <f>'(FnCalls 1)'!F49</f>
        <v>MMM 2010</v>
      </c>
      <c r="K1144" s="364" t="str">
        <f>'(FnCalls 1)'!F50</f>
        <v>MMM 2010</v>
      </c>
      <c r="L1144" s="364" t="str">
        <f>'(FnCalls 1)'!F51</f>
        <v>MMM 2010</v>
      </c>
      <c r="M1144" s="364" t="str">
        <f>'(FnCalls 1)'!F52</f>
        <v>MMM 2010</v>
      </c>
      <c r="N1144" s="364" t="str">
        <f>'(FnCalls 1)'!F53</f>
        <v>MMM 2011</v>
      </c>
      <c r="O1144" s="364" t="str">
        <f>'(FnCalls 1)'!F54</f>
        <v>MMM 2011</v>
      </c>
      <c r="P1144" s="364" t="str">
        <f>'(FnCalls 1)'!F55</f>
        <v>MMM 2011</v>
      </c>
      <c r="Q1144" s="364" t="str">
        <f>'(FnCalls 1)'!F56</f>
        <v>MMM 2011</v>
      </c>
      <c r="R1144" s="364" t="str">
        <f>'(FnCalls 1)'!F57</f>
        <v>MMM 2011</v>
      </c>
      <c r="S1144" s="365" t="str">
        <f>'(FnCalls 1)'!F58</f>
        <v>MMM 2011</v>
      </c>
    </row>
    <row r="1145" spans="1:19" ht="12.75" customHeight="1" x14ac:dyDescent="0.2">
      <c r="A1145" s="1" t="str">
        <f>"Prof_Staff_Hrs_Capacity_Plot_2"</f>
        <v>Prof_Staff_Hrs_Capacity_Plot_2</v>
      </c>
    </row>
    <row r="1146" spans="1:19" ht="12.75" customHeight="1" x14ac:dyDescent="0.2">
      <c r="B1146" s="9" t="str">
        <f>'(FnCalls 1)'!F41</f>
        <v>MMM 2010</v>
      </c>
      <c r="C1146" s="10" t="str">
        <f>'(FnCalls 1)'!F42</f>
        <v>MMM 2010</v>
      </c>
      <c r="D1146" s="10" t="str">
        <f>'(FnCalls 1)'!F43</f>
        <v>MMM 2010</v>
      </c>
      <c r="E1146" s="10" t="str">
        <f>'(FnCalls 1)'!F44</f>
        <v>MMM 2010</v>
      </c>
      <c r="F1146" s="10" t="str">
        <f>'(FnCalls 1)'!F45</f>
        <v>MMM 2010</v>
      </c>
      <c r="G1146" s="10" t="str">
        <f>'(FnCalls 1)'!F46</f>
        <v>MMM 2010</v>
      </c>
      <c r="H1146" s="10" t="str">
        <f>'(FnCalls 1)'!F47</f>
        <v>MMM 2010</v>
      </c>
      <c r="I1146" s="10" t="str">
        <f>'(FnCalls 1)'!F48</f>
        <v>MMM 2010</v>
      </c>
      <c r="J1146" s="10" t="str">
        <f>'(FnCalls 1)'!F49</f>
        <v>MMM 2010</v>
      </c>
      <c r="K1146" s="10" t="str">
        <f>'(FnCalls 1)'!F50</f>
        <v>MMM 2010</v>
      </c>
      <c r="L1146" s="10" t="str">
        <f>'(FnCalls 1)'!F51</f>
        <v>MMM 2010</v>
      </c>
      <c r="M1146" s="10" t="str">
        <f>'(FnCalls 1)'!F52</f>
        <v>MMM 2010</v>
      </c>
      <c r="N1146" s="10" t="str">
        <f>'(FnCalls 1)'!F53</f>
        <v>MMM 2011</v>
      </c>
      <c r="O1146" s="10" t="str">
        <f>'(FnCalls 1)'!F54</f>
        <v>MMM 2011</v>
      </c>
      <c r="P1146" s="10" t="str">
        <f>'(FnCalls 1)'!F55</f>
        <v>MMM 2011</v>
      </c>
      <c r="Q1146" s="10" t="str">
        <f>'(FnCalls 1)'!F56</f>
        <v>MMM 2011</v>
      </c>
      <c r="R1146" s="10" t="str">
        <f>'(FnCalls 1)'!F57</f>
        <v>MMM 2011</v>
      </c>
      <c r="S1146" s="11" t="str">
        <f>'(FnCalls 1)'!F58</f>
        <v>MMM 2011</v>
      </c>
    </row>
    <row r="1147" spans="1:19" ht="12.75" customHeight="1" x14ac:dyDescent="0.2">
      <c r="A1147" s="97"/>
      <c r="B1147" s="364">
        <f>'(FnCalls 1)'!A41</f>
        <v>40179</v>
      </c>
      <c r="C1147" s="364">
        <f>'(FnCalls 1)'!A42</f>
        <v>40210</v>
      </c>
      <c r="D1147" s="364">
        <f>'(FnCalls 1)'!A43</f>
        <v>40238</v>
      </c>
      <c r="E1147" s="364">
        <f>'(FnCalls 1)'!A44</f>
        <v>40269</v>
      </c>
      <c r="F1147" s="364">
        <f>'(FnCalls 1)'!A45</f>
        <v>40299</v>
      </c>
      <c r="G1147" s="364">
        <f>'(FnCalls 1)'!A46</f>
        <v>40330</v>
      </c>
      <c r="H1147" s="364">
        <f>'(FnCalls 1)'!A47</f>
        <v>40360</v>
      </c>
      <c r="I1147" s="364">
        <f>'(FnCalls 1)'!A48</f>
        <v>40391</v>
      </c>
      <c r="J1147" s="364">
        <f>'(FnCalls 1)'!A49</f>
        <v>40422</v>
      </c>
      <c r="K1147" s="364">
        <f>'(FnCalls 1)'!A50</f>
        <v>40452</v>
      </c>
      <c r="L1147" s="364">
        <f>'(FnCalls 1)'!A51</f>
        <v>40483</v>
      </c>
      <c r="M1147" s="364">
        <f>'(FnCalls 1)'!A52</f>
        <v>40513</v>
      </c>
      <c r="N1147" s="364">
        <f>'(FnCalls 1)'!A53</f>
        <v>40544</v>
      </c>
      <c r="O1147" s="364">
        <f>'(FnCalls 1)'!A54</f>
        <v>40575</v>
      </c>
      <c r="P1147" s="364">
        <f>'(FnCalls 1)'!A55</f>
        <v>40603</v>
      </c>
      <c r="Q1147" s="364">
        <f>'(FnCalls 1)'!A56</f>
        <v>40634</v>
      </c>
      <c r="R1147" s="364">
        <f>'(FnCalls 1)'!A57</f>
        <v>40664</v>
      </c>
      <c r="S1147" s="365">
        <f>'(FnCalls 1)'!A58</f>
        <v>40695</v>
      </c>
    </row>
    <row r="1148" spans="1:19" ht="12.75" customHeight="1" x14ac:dyDescent="0.2">
      <c r="A1148" s="1" t="str">
        <f>"Prof_Staff_Hrs_Capacity_Plot_3"</f>
        <v>Prof_Staff_Hrs_Capacity_Plot_3</v>
      </c>
    </row>
    <row r="1149" spans="1:19" ht="12.75" customHeight="1" x14ac:dyDescent="0.2">
      <c r="B1149" s="9" t="str">
        <f>'(FnCalls 1)'!F41</f>
        <v>MMM 2010</v>
      </c>
      <c r="C1149" s="10" t="str">
        <f>'(FnCalls 1)'!F42</f>
        <v>MMM 2010</v>
      </c>
      <c r="D1149" s="10" t="str">
        <f>'(FnCalls 1)'!F43</f>
        <v>MMM 2010</v>
      </c>
      <c r="E1149" s="10" t="str">
        <f>'(FnCalls 1)'!F44</f>
        <v>MMM 2010</v>
      </c>
      <c r="F1149" s="10" t="str">
        <f>'(FnCalls 1)'!F45</f>
        <v>MMM 2010</v>
      </c>
      <c r="G1149" s="10" t="str">
        <f>'(FnCalls 1)'!F46</f>
        <v>MMM 2010</v>
      </c>
      <c r="H1149" s="10" t="str">
        <f>'(FnCalls 1)'!F47</f>
        <v>MMM 2010</v>
      </c>
      <c r="I1149" s="10" t="str">
        <f>'(FnCalls 1)'!F48</f>
        <v>MMM 2010</v>
      </c>
      <c r="J1149" s="10" t="str">
        <f>'(FnCalls 1)'!F49</f>
        <v>MMM 2010</v>
      </c>
      <c r="K1149" s="10" t="str">
        <f>'(FnCalls 1)'!F50</f>
        <v>MMM 2010</v>
      </c>
      <c r="L1149" s="10" t="str">
        <f>'(FnCalls 1)'!F51</f>
        <v>MMM 2010</v>
      </c>
      <c r="M1149" s="10" t="str">
        <f>'(FnCalls 1)'!F52</f>
        <v>MMM 2010</v>
      </c>
      <c r="N1149" s="10" t="str">
        <f>'(FnCalls 1)'!F53</f>
        <v>MMM 2011</v>
      </c>
      <c r="O1149" s="10" t="str">
        <f>'(FnCalls 1)'!F54</f>
        <v>MMM 2011</v>
      </c>
      <c r="P1149" s="10" t="str">
        <f>'(FnCalls 1)'!F55</f>
        <v>MMM 2011</v>
      </c>
      <c r="Q1149" s="10" t="str">
        <f>'(FnCalls 1)'!F56</f>
        <v>MMM 2011</v>
      </c>
      <c r="R1149" s="10" t="str">
        <f>'(FnCalls 1)'!F57</f>
        <v>MMM 2011</v>
      </c>
      <c r="S1149" s="11" t="str">
        <f>'(FnCalls 1)'!F58</f>
        <v>MMM 2011</v>
      </c>
    </row>
    <row r="1150" spans="1:19" ht="12.75" customHeight="1" x14ac:dyDescent="0.2">
      <c r="A1150" s="97"/>
      <c r="B1150" s="364" t="str">
        <f>'(FnCalls 1)'!F41</f>
        <v>MMM 2010</v>
      </c>
      <c r="C1150" s="364" t="str">
        <f>'(FnCalls 1)'!F42</f>
        <v>MMM 2010</v>
      </c>
      <c r="D1150" s="364" t="str">
        <f>'(FnCalls 1)'!F43</f>
        <v>MMM 2010</v>
      </c>
      <c r="E1150" s="364" t="str">
        <f>'(FnCalls 1)'!F44</f>
        <v>MMM 2010</v>
      </c>
      <c r="F1150" s="364" t="str">
        <f>'(FnCalls 1)'!F45</f>
        <v>MMM 2010</v>
      </c>
      <c r="G1150" s="364" t="str">
        <f>'(FnCalls 1)'!F46</f>
        <v>MMM 2010</v>
      </c>
      <c r="H1150" s="364" t="str">
        <f>'(FnCalls 1)'!F47</f>
        <v>MMM 2010</v>
      </c>
      <c r="I1150" s="364" t="str">
        <f>'(FnCalls 1)'!F48</f>
        <v>MMM 2010</v>
      </c>
      <c r="J1150" s="364" t="str">
        <f>'(FnCalls 1)'!F49</f>
        <v>MMM 2010</v>
      </c>
      <c r="K1150" s="364" t="str">
        <f>'(FnCalls 1)'!F50</f>
        <v>MMM 2010</v>
      </c>
      <c r="L1150" s="364" t="str">
        <f>'(FnCalls 1)'!F51</f>
        <v>MMM 2010</v>
      </c>
      <c r="M1150" s="364" t="str">
        <f>'(FnCalls 1)'!F52</f>
        <v>MMM 2010</v>
      </c>
      <c r="N1150" s="364" t="str">
        <f>'(FnCalls 1)'!F53</f>
        <v>MMM 2011</v>
      </c>
      <c r="O1150" s="364" t="str">
        <f>'(FnCalls 1)'!F54</f>
        <v>MMM 2011</v>
      </c>
      <c r="P1150" s="364" t="str">
        <f>'(FnCalls 1)'!F55</f>
        <v>MMM 2011</v>
      </c>
      <c r="Q1150" s="364" t="str">
        <f>'(FnCalls 1)'!F56</f>
        <v>MMM 2011</v>
      </c>
      <c r="R1150" s="364" t="str">
        <f>'(FnCalls 1)'!F57</f>
        <v>MMM 2011</v>
      </c>
      <c r="S1150" s="365" t="str">
        <f>'(FnCalls 1)'!F58</f>
        <v>MMM 2011</v>
      </c>
    </row>
    <row r="1151" spans="1:19" ht="12.75" customHeight="1" x14ac:dyDescent="0.2">
      <c r="A1151" s="1" t="str">
        <f>"Prof_Staff_Hrs_Applied_Plot_1"</f>
        <v>Prof_Staff_Hrs_Applied_Plot_1</v>
      </c>
    </row>
    <row r="1152" spans="1:19" ht="12.75" customHeight="1" x14ac:dyDescent="0.2">
      <c r="B1152" s="9" t="str">
        <f>'(FnCalls 1)'!F41</f>
        <v>MMM 2010</v>
      </c>
      <c r="C1152" s="10" t="str">
        <f>'(FnCalls 1)'!F42</f>
        <v>MMM 2010</v>
      </c>
      <c r="D1152" s="10" t="str">
        <f>'(FnCalls 1)'!F43</f>
        <v>MMM 2010</v>
      </c>
      <c r="E1152" s="10" t="str">
        <f>'(FnCalls 1)'!F44</f>
        <v>MMM 2010</v>
      </c>
      <c r="F1152" s="10" t="str">
        <f>'(FnCalls 1)'!F45</f>
        <v>MMM 2010</v>
      </c>
      <c r="G1152" s="10" t="str">
        <f>'(FnCalls 1)'!F46</f>
        <v>MMM 2010</v>
      </c>
      <c r="H1152" s="10" t="str">
        <f>'(FnCalls 1)'!F47</f>
        <v>MMM 2010</v>
      </c>
      <c r="I1152" s="10" t="str">
        <f>'(FnCalls 1)'!F48</f>
        <v>MMM 2010</v>
      </c>
      <c r="J1152" s="10" t="str">
        <f>'(FnCalls 1)'!F49</f>
        <v>MMM 2010</v>
      </c>
      <c r="K1152" s="10" t="str">
        <f>'(FnCalls 1)'!F50</f>
        <v>MMM 2010</v>
      </c>
      <c r="L1152" s="10" t="str">
        <f>'(FnCalls 1)'!F51</f>
        <v>MMM 2010</v>
      </c>
      <c r="M1152" s="10" t="str">
        <f>'(FnCalls 1)'!F52</f>
        <v>MMM 2010</v>
      </c>
      <c r="N1152" s="10" t="str">
        <f>'(FnCalls 1)'!F53</f>
        <v>MMM 2011</v>
      </c>
      <c r="O1152" s="10" t="str">
        <f>'(FnCalls 1)'!F54</f>
        <v>MMM 2011</v>
      </c>
      <c r="P1152" s="10" t="str">
        <f>'(FnCalls 1)'!F55</f>
        <v>MMM 2011</v>
      </c>
      <c r="Q1152" s="10" t="str">
        <f>'(FnCalls 1)'!F56</f>
        <v>MMM 2011</v>
      </c>
      <c r="R1152" s="10" t="str">
        <f>'(FnCalls 1)'!F57</f>
        <v>MMM 2011</v>
      </c>
      <c r="S1152" s="11" t="str">
        <f>'(FnCalls 1)'!F58</f>
        <v>MMM 2011</v>
      </c>
    </row>
    <row r="1153" spans="1:19" ht="12.75" customHeight="1" x14ac:dyDescent="0.2">
      <c r="A1153" s="97"/>
      <c r="B1153" s="364">
        <f>'(FnCalls 1)'!A41</f>
        <v>40179</v>
      </c>
      <c r="C1153" s="364">
        <f>'(FnCalls 1)'!A42</f>
        <v>40210</v>
      </c>
      <c r="D1153" s="364">
        <f>'(FnCalls 1)'!A43</f>
        <v>40238</v>
      </c>
      <c r="E1153" s="364">
        <f>'(FnCalls 1)'!A44</f>
        <v>40269</v>
      </c>
      <c r="F1153" s="364">
        <f>'(FnCalls 1)'!A45</f>
        <v>40299</v>
      </c>
      <c r="G1153" s="364">
        <f>'(FnCalls 1)'!A46</f>
        <v>40330</v>
      </c>
      <c r="H1153" s="364">
        <f>'(FnCalls 1)'!A47</f>
        <v>40360</v>
      </c>
      <c r="I1153" s="364">
        <f>'(FnCalls 1)'!A48</f>
        <v>40391</v>
      </c>
      <c r="J1153" s="364">
        <f>'(FnCalls 1)'!A49</f>
        <v>40422</v>
      </c>
      <c r="K1153" s="364">
        <f>'(FnCalls 1)'!A50</f>
        <v>40452</v>
      </c>
      <c r="L1153" s="364">
        <f>'(FnCalls 1)'!A51</f>
        <v>40483</v>
      </c>
      <c r="M1153" s="364">
        <f>'(FnCalls 1)'!A52</f>
        <v>40513</v>
      </c>
      <c r="N1153" s="364">
        <f>'(FnCalls 1)'!A53</f>
        <v>40544</v>
      </c>
      <c r="O1153" s="364">
        <f>'(FnCalls 1)'!A54</f>
        <v>40575</v>
      </c>
      <c r="P1153" s="364">
        <f>'(FnCalls 1)'!A55</f>
        <v>40603</v>
      </c>
      <c r="Q1153" s="364">
        <f>'(FnCalls 1)'!A56</f>
        <v>40634</v>
      </c>
      <c r="R1153" s="364">
        <f>'(FnCalls 1)'!A57</f>
        <v>40664</v>
      </c>
      <c r="S1153" s="365">
        <f>'(FnCalls 1)'!A58</f>
        <v>40695</v>
      </c>
    </row>
    <row r="1154" spans="1:19" ht="12.75" customHeight="1" x14ac:dyDescent="0.2">
      <c r="A1154" s="1" t="str">
        <f>"Prof_Staff_Hrs_Applied_Plot_2"</f>
        <v>Prof_Staff_Hrs_Applied_Plot_2</v>
      </c>
    </row>
    <row r="1155" spans="1:19" ht="12.75" customHeight="1" x14ac:dyDescent="0.2">
      <c r="B1155" s="9" t="str">
        <f>'(FnCalls 1)'!F41</f>
        <v>MMM 2010</v>
      </c>
      <c r="C1155" s="10" t="str">
        <f>'(FnCalls 1)'!F42</f>
        <v>MMM 2010</v>
      </c>
      <c r="D1155" s="10" t="str">
        <f>'(FnCalls 1)'!F43</f>
        <v>MMM 2010</v>
      </c>
      <c r="E1155" s="10" t="str">
        <f>'(FnCalls 1)'!F44</f>
        <v>MMM 2010</v>
      </c>
      <c r="F1155" s="10" t="str">
        <f>'(FnCalls 1)'!F45</f>
        <v>MMM 2010</v>
      </c>
      <c r="G1155" s="10" t="str">
        <f>'(FnCalls 1)'!F46</f>
        <v>MMM 2010</v>
      </c>
      <c r="H1155" s="10" t="str">
        <f>'(FnCalls 1)'!F47</f>
        <v>MMM 2010</v>
      </c>
      <c r="I1155" s="10" t="str">
        <f>'(FnCalls 1)'!F48</f>
        <v>MMM 2010</v>
      </c>
      <c r="J1155" s="10" t="str">
        <f>'(FnCalls 1)'!F49</f>
        <v>MMM 2010</v>
      </c>
      <c r="K1155" s="10" t="str">
        <f>'(FnCalls 1)'!F50</f>
        <v>MMM 2010</v>
      </c>
      <c r="L1155" s="10" t="str">
        <f>'(FnCalls 1)'!F51</f>
        <v>MMM 2010</v>
      </c>
      <c r="M1155" s="10" t="str">
        <f>'(FnCalls 1)'!F52</f>
        <v>MMM 2010</v>
      </c>
      <c r="N1155" s="10" t="str">
        <f>'(FnCalls 1)'!F53</f>
        <v>MMM 2011</v>
      </c>
      <c r="O1155" s="10" t="str">
        <f>'(FnCalls 1)'!F54</f>
        <v>MMM 2011</v>
      </c>
      <c r="P1155" s="10" t="str">
        <f>'(FnCalls 1)'!F55</f>
        <v>MMM 2011</v>
      </c>
      <c r="Q1155" s="10" t="str">
        <f>'(FnCalls 1)'!F56</f>
        <v>MMM 2011</v>
      </c>
      <c r="R1155" s="10" t="str">
        <f>'(FnCalls 1)'!F57</f>
        <v>MMM 2011</v>
      </c>
      <c r="S1155" s="11" t="str">
        <f>'(FnCalls 1)'!F58</f>
        <v>MMM 2011</v>
      </c>
    </row>
    <row r="1156" spans="1:19" ht="12.75" customHeight="1" x14ac:dyDescent="0.2">
      <c r="A1156" s="97"/>
      <c r="B1156" s="364" t="str">
        <f>'(FnCalls 1)'!F41</f>
        <v>MMM 2010</v>
      </c>
      <c r="C1156" s="364" t="str">
        <f>'(FnCalls 1)'!F42</f>
        <v>MMM 2010</v>
      </c>
      <c r="D1156" s="364" t="str">
        <f>'(FnCalls 1)'!F43</f>
        <v>MMM 2010</v>
      </c>
      <c r="E1156" s="364" t="str">
        <f>'(FnCalls 1)'!F44</f>
        <v>MMM 2010</v>
      </c>
      <c r="F1156" s="364" t="str">
        <f>'(FnCalls 1)'!F45</f>
        <v>MMM 2010</v>
      </c>
      <c r="G1156" s="364" t="str">
        <f>'(FnCalls 1)'!F46</f>
        <v>MMM 2010</v>
      </c>
      <c r="H1156" s="364" t="str">
        <f>'(FnCalls 1)'!F47</f>
        <v>MMM 2010</v>
      </c>
      <c r="I1156" s="364" t="str">
        <f>'(FnCalls 1)'!F48</f>
        <v>MMM 2010</v>
      </c>
      <c r="J1156" s="364" t="str">
        <f>'(FnCalls 1)'!F49</f>
        <v>MMM 2010</v>
      </c>
      <c r="K1156" s="364" t="str">
        <f>'(FnCalls 1)'!F50</f>
        <v>MMM 2010</v>
      </c>
      <c r="L1156" s="364" t="str">
        <f>'(FnCalls 1)'!F51</f>
        <v>MMM 2010</v>
      </c>
      <c r="M1156" s="364" t="str">
        <f>'(FnCalls 1)'!F52</f>
        <v>MMM 2010</v>
      </c>
      <c r="N1156" s="364" t="str">
        <f>'(FnCalls 1)'!F53</f>
        <v>MMM 2011</v>
      </c>
      <c r="O1156" s="364" t="str">
        <f>'(FnCalls 1)'!F54</f>
        <v>MMM 2011</v>
      </c>
      <c r="P1156" s="364" t="str">
        <f>'(FnCalls 1)'!F55</f>
        <v>MMM 2011</v>
      </c>
      <c r="Q1156" s="364" t="str">
        <f>'(FnCalls 1)'!F56</f>
        <v>MMM 2011</v>
      </c>
      <c r="R1156" s="364" t="str">
        <f>'(FnCalls 1)'!F57</f>
        <v>MMM 2011</v>
      </c>
      <c r="S1156" s="365" t="str">
        <f>'(FnCalls 1)'!F58</f>
        <v>MMM 2011</v>
      </c>
    </row>
    <row r="1157" spans="1:19" ht="12.75" customHeight="1" x14ac:dyDescent="0.2">
      <c r="A1157" s="1" t="str">
        <f>"Prof_Staff_Hrs_Billed_Plot_1"</f>
        <v>Prof_Staff_Hrs_Billed_Plot_1</v>
      </c>
    </row>
    <row r="1158" spans="1:19" ht="12.75" customHeight="1" x14ac:dyDescent="0.2">
      <c r="B1158" s="9" t="str">
        <f>'(FnCalls 1)'!F41</f>
        <v>MMM 2010</v>
      </c>
      <c r="C1158" s="10" t="str">
        <f>'(FnCalls 1)'!F42</f>
        <v>MMM 2010</v>
      </c>
      <c r="D1158" s="10" t="str">
        <f>'(FnCalls 1)'!F43</f>
        <v>MMM 2010</v>
      </c>
      <c r="E1158" s="10" t="str">
        <f>'(FnCalls 1)'!F44</f>
        <v>MMM 2010</v>
      </c>
      <c r="F1158" s="10" t="str">
        <f>'(FnCalls 1)'!F45</f>
        <v>MMM 2010</v>
      </c>
      <c r="G1158" s="10" t="str">
        <f>'(FnCalls 1)'!F46</f>
        <v>MMM 2010</v>
      </c>
      <c r="H1158" s="10" t="str">
        <f>'(FnCalls 1)'!F47</f>
        <v>MMM 2010</v>
      </c>
      <c r="I1158" s="10" t="str">
        <f>'(FnCalls 1)'!F48</f>
        <v>MMM 2010</v>
      </c>
      <c r="J1158" s="10" t="str">
        <f>'(FnCalls 1)'!F49</f>
        <v>MMM 2010</v>
      </c>
      <c r="K1158" s="10" t="str">
        <f>'(FnCalls 1)'!F50</f>
        <v>MMM 2010</v>
      </c>
      <c r="L1158" s="10" t="str">
        <f>'(FnCalls 1)'!F51</f>
        <v>MMM 2010</v>
      </c>
      <c r="M1158" s="10" t="str">
        <f>'(FnCalls 1)'!F52</f>
        <v>MMM 2010</v>
      </c>
      <c r="N1158" s="10" t="str">
        <f>'(FnCalls 1)'!F53</f>
        <v>MMM 2011</v>
      </c>
      <c r="O1158" s="10" t="str">
        <f>'(FnCalls 1)'!F54</f>
        <v>MMM 2011</v>
      </c>
      <c r="P1158" s="10" t="str">
        <f>'(FnCalls 1)'!F55</f>
        <v>MMM 2011</v>
      </c>
      <c r="Q1158" s="10" t="str">
        <f>'(FnCalls 1)'!F56</f>
        <v>MMM 2011</v>
      </c>
      <c r="R1158" s="10" t="str">
        <f>'(FnCalls 1)'!F57</f>
        <v>MMM 2011</v>
      </c>
      <c r="S1158" s="11" t="str">
        <f>'(FnCalls 1)'!F58</f>
        <v>MMM 2011</v>
      </c>
    </row>
    <row r="1159" spans="1:19" ht="12.75" customHeight="1" x14ac:dyDescent="0.2">
      <c r="A1159" s="97"/>
      <c r="B1159" s="364">
        <f>'(FnCalls 1)'!A41</f>
        <v>40179</v>
      </c>
      <c r="C1159" s="364">
        <f>'(FnCalls 1)'!A42</f>
        <v>40210</v>
      </c>
      <c r="D1159" s="364">
        <f>'(FnCalls 1)'!A43</f>
        <v>40238</v>
      </c>
      <c r="E1159" s="364">
        <f>'(FnCalls 1)'!A44</f>
        <v>40269</v>
      </c>
      <c r="F1159" s="364">
        <f>'(FnCalls 1)'!A45</f>
        <v>40299</v>
      </c>
      <c r="G1159" s="364">
        <f>'(FnCalls 1)'!A46</f>
        <v>40330</v>
      </c>
      <c r="H1159" s="364">
        <f>'(FnCalls 1)'!A47</f>
        <v>40360</v>
      </c>
      <c r="I1159" s="364">
        <f>'(FnCalls 1)'!A48</f>
        <v>40391</v>
      </c>
      <c r="J1159" s="364">
        <f>'(FnCalls 1)'!A49</f>
        <v>40422</v>
      </c>
      <c r="K1159" s="364">
        <f>'(FnCalls 1)'!A50</f>
        <v>40452</v>
      </c>
      <c r="L1159" s="364">
        <f>'(FnCalls 1)'!A51</f>
        <v>40483</v>
      </c>
      <c r="M1159" s="364">
        <f>'(FnCalls 1)'!A52</f>
        <v>40513</v>
      </c>
      <c r="N1159" s="364">
        <f>'(FnCalls 1)'!A53</f>
        <v>40544</v>
      </c>
      <c r="O1159" s="364">
        <f>'(FnCalls 1)'!A54</f>
        <v>40575</v>
      </c>
      <c r="P1159" s="364">
        <f>'(FnCalls 1)'!A55</f>
        <v>40603</v>
      </c>
      <c r="Q1159" s="364">
        <f>'(FnCalls 1)'!A56</f>
        <v>40634</v>
      </c>
      <c r="R1159" s="364">
        <f>'(FnCalls 1)'!A57</f>
        <v>40664</v>
      </c>
      <c r="S1159" s="365">
        <f>'(FnCalls 1)'!A58</f>
        <v>40695</v>
      </c>
    </row>
    <row r="1160" spans="1:19" ht="12.75" customHeight="1" x14ac:dyDescent="0.2">
      <c r="A1160" s="1" t="str">
        <f>"Prof_Staff_Hrs_Billed_Plot_2"</f>
        <v>Prof_Staff_Hrs_Billed_Plot_2</v>
      </c>
    </row>
    <row r="1161" spans="1:19" ht="12.75" customHeight="1" x14ac:dyDescent="0.2">
      <c r="B1161" s="9" t="str">
        <f>'(FnCalls 1)'!F41</f>
        <v>MMM 2010</v>
      </c>
      <c r="C1161" s="10" t="str">
        <f>'(FnCalls 1)'!F42</f>
        <v>MMM 2010</v>
      </c>
      <c r="D1161" s="10" t="str">
        <f>'(FnCalls 1)'!F43</f>
        <v>MMM 2010</v>
      </c>
      <c r="E1161" s="10" t="str">
        <f>'(FnCalls 1)'!F44</f>
        <v>MMM 2010</v>
      </c>
      <c r="F1161" s="10" t="str">
        <f>'(FnCalls 1)'!F45</f>
        <v>MMM 2010</v>
      </c>
      <c r="G1161" s="10" t="str">
        <f>'(FnCalls 1)'!F46</f>
        <v>MMM 2010</v>
      </c>
      <c r="H1161" s="10" t="str">
        <f>'(FnCalls 1)'!F47</f>
        <v>MMM 2010</v>
      </c>
      <c r="I1161" s="10" t="str">
        <f>'(FnCalls 1)'!F48</f>
        <v>MMM 2010</v>
      </c>
      <c r="J1161" s="10" t="str">
        <f>'(FnCalls 1)'!F49</f>
        <v>MMM 2010</v>
      </c>
      <c r="K1161" s="10" t="str">
        <f>'(FnCalls 1)'!F50</f>
        <v>MMM 2010</v>
      </c>
      <c r="L1161" s="10" t="str">
        <f>'(FnCalls 1)'!F51</f>
        <v>MMM 2010</v>
      </c>
      <c r="M1161" s="10" t="str">
        <f>'(FnCalls 1)'!F52</f>
        <v>MMM 2010</v>
      </c>
      <c r="N1161" s="10" t="str">
        <f>'(FnCalls 1)'!F53</f>
        <v>MMM 2011</v>
      </c>
      <c r="O1161" s="10" t="str">
        <f>'(FnCalls 1)'!F54</f>
        <v>MMM 2011</v>
      </c>
      <c r="P1161" s="10" t="str">
        <f>'(FnCalls 1)'!F55</f>
        <v>MMM 2011</v>
      </c>
      <c r="Q1161" s="10" t="str">
        <f>'(FnCalls 1)'!F56</f>
        <v>MMM 2011</v>
      </c>
      <c r="R1161" s="10" t="str">
        <f>'(FnCalls 1)'!F57</f>
        <v>MMM 2011</v>
      </c>
      <c r="S1161" s="11" t="str">
        <f>'(FnCalls 1)'!F58</f>
        <v>MMM 2011</v>
      </c>
    </row>
    <row r="1162" spans="1:19" ht="12.75" customHeight="1" x14ac:dyDescent="0.2">
      <c r="A1162" s="97"/>
      <c r="B1162" s="364" t="str">
        <f>'(FnCalls 1)'!F41</f>
        <v>MMM 2010</v>
      </c>
      <c r="C1162" s="364" t="str">
        <f>'(FnCalls 1)'!F42</f>
        <v>MMM 2010</v>
      </c>
      <c r="D1162" s="364" t="str">
        <f>'(FnCalls 1)'!F43</f>
        <v>MMM 2010</v>
      </c>
      <c r="E1162" s="364" t="str">
        <f>'(FnCalls 1)'!F44</f>
        <v>MMM 2010</v>
      </c>
      <c r="F1162" s="364" t="str">
        <f>'(FnCalls 1)'!F45</f>
        <v>MMM 2010</v>
      </c>
      <c r="G1162" s="364" t="str">
        <f>'(FnCalls 1)'!F46</f>
        <v>MMM 2010</v>
      </c>
      <c r="H1162" s="364" t="str">
        <f>'(FnCalls 1)'!F47</f>
        <v>MMM 2010</v>
      </c>
      <c r="I1162" s="364" t="str">
        <f>'(FnCalls 1)'!F48</f>
        <v>MMM 2010</v>
      </c>
      <c r="J1162" s="364" t="str">
        <f>'(FnCalls 1)'!F49</f>
        <v>MMM 2010</v>
      </c>
      <c r="K1162" s="364" t="str">
        <f>'(FnCalls 1)'!F50</f>
        <v>MMM 2010</v>
      </c>
      <c r="L1162" s="364" t="str">
        <f>'(FnCalls 1)'!F51</f>
        <v>MMM 2010</v>
      </c>
      <c r="M1162" s="364" t="str">
        <f>'(FnCalls 1)'!F52</f>
        <v>MMM 2010</v>
      </c>
      <c r="N1162" s="364" t="str">
        <f>'(FnCalls 1)'!F53</f>
        <v>MMM 2011</v>
      </c>
      <c r="O1162" s="364" t="str">
        <f>'(FnCalls 1)'!F54</f>
        <v>MMM 2011</v>
      </c>
      <c r="P1162" s="364" t="str">
        <f>'(FnCalls 1)'!F55</f>
        <v>MMM 2011</v>
      </c>
      <c r="Q1162" s="364" t="str">
        <f>'(FnCalls 1)'!F56</f>
        <v>MMM 2011</v>
      </c>
      <c r="R1162" s="364" t="str">
        <f>'(FnCalls 1)'!F57</f>
        <v>MMM 2011</v>
      </c>
      <c r="S1162" s="365" t="str">
        <f>'(FnCalls 1)'!F58</f>
        <v>MMM 2011</v>
      </c>
    </row>
    <row r="1163" spans="1:19" ht="12.75" customHeight="1" x14ac:dyDescent="0.2">
      <c r="A1163" s="1" t="str">
        <f>"Prof_Staff_Count_plt_1"</f>
        <v>Prof_Staff_Count_plt_1</v>
      </c>
    </row>
    <row r="1164" spans="1:19" ht="12.75" customHeight="1" x14ac:dyDescent="0.2">
      <c r="B1164" s="9" t="str">
        <f>'(FnCalls 1)'!F41</f>
        <v>MMM 2010</v>
      </c>
      <c r="C1164" s="10" t="str">
        <f>'(FnCalls 1)'!F42</f>
        <v>MMM 2010</v>
      </c>
      <c r="D1164" s="10" t="str">
        <f>'(FnCalls 1)'!F43</f>
        <v>MMM 2010</v>
      </c>
      <c r="E1164" s="10" t="str">
        <f>'(FnCalls 1)'!F44</f>
        <v>MMM 2010</v>
      </c>
      <c r="F1164" s="10" t="str">
        <f>'(FnCalls 1)'!F45</f>
        <v>MMM 2010</v>
      </c>
      <c r="G1164" s="10" t="str">
        <f>'(FnCalls 1)'!F46</f>
        <v>MMM 2010</v>
      </c>
      <c r="H1164" s="10" t="str">
        <f>'(FnCalls 1)'!F47</f>
        <v>MMM 2010</v>
      </c>
      <c r="I1164" s="10" t="str">
        <f>'(FnCalls 1)'!F48</f>
        <v>MMM 2010</v>
      </c>
      <c r="J1164" s="10" t="str">
        <f>'(FnCalls 1)'!F49</f>
        <v>MMM 2010</v>
      </c>
      <c r="K1164" s="10" t="str">
        <f>'(FnCalls 1)'!F50</f>
        <v>MMM 2010</v>
      </c>
      <c r="L1164" s="10" t="str">
        <f>'(FnCalls 1)'!F51</f>
        <v>MMM 2010</v>
      </c>
      <c r="M1164" s="10" t="str">
        <f>'(FnCalls 1)'!F52</f>
        <v>MMM 2010</v>
      </c>
      <c r="N1164" s="10" t="str">
        <f>'(FnCalls 1)'!F53</f>
        <v>MMM 2011</v>
      </c>
      <c r="O1164" s="10" t="str">
        <f>'(FnCalls 1)'!F54</f>
        <v>MMM 2011</v>
      </c>
      <c r="P1164" s="10" t="str">
        <f>'(FnCalls 1)'!F55</f>
        <v>MMM 2011</v>
      </c>
      <c r="Q1164" s="10" t="str">
        <f>'(FnCalls 1)'!F56</f>
        <v>MMM 2011</v>
      </c>
      <c r="R1164" s="10" t="str">
        <f>'(FnCalls 1)'!F57</f>
        <v>MMM 2011</v>
      </c>
      <c r="S1164" s="11" t="str">
        <f>'(FnCalls 1)'!F58</f>
        <v>MMM 2011</v>
      </c>
    </row>
    <row r="1165" spans="1:19" ht="12.75" customHeight="1" x14ac:dyDescent="0.2">
      <c r="A1165" s="97"/>
      <c r="B1165" s="364">
        <f>'(FnCalls 1)'!A41</f>
        <v>40179</v>
      </c>
      <c r="C1165" s="364">
        <f>'(FnCalls 1)'!A42</f>
        <v>40210</v>
      </c>
      <c r="D1165" s="364">
        <f>'(FnCalls 1)'!A43</f>
        <v>40238</v>
      </c>
      <c r="E1165" s="364">
        <f>'(FnCalls 1)'!A44</f>
        <v>40269</v>
      </c>
      <c r="F1165" s="364">
        <f>'(FnCalls 1)'!A45</f>
        <v>40299</v>
      </c>
      <c r="G1165" s="364">
        <f>'(FnCalls 1)'!A46</f>
        <v>40330</v>
      </c>
      <c r="H1165" s="364">
        <f>'(FnCalls 1)'!A47</f>
        <v>40360</v>
      </c>
      <c r="I1165" s="364">
        <f>'(FnCalls 1)'!A48</f>
        <v>40391</v>
      </c>
      <c r="J1165" s="364">
        <f>'(FnCalls 1)'!A49</f>
        <v>40422</v>
      </c>
      <c r="K1165" s="364">
        <f>'(FnCalls 1)'!A50</f>
        <v>40452</v>
      </c>
      <c r="L1165" s="364">
        <f>'(FnCalls 1)'!A51</f>
        <v>40483</v>
      </c>
      <c r="M1165" s="364">
        <f>'(FnCalls 1)'!A52</f>
        <v>40513</v>
      </c>
      <c r="N1165" s="364">
        <f>'(FnCalls 1)'!A53</f>
        <v>40544</v>
      </c>
      <c r="O1165" s="364">
        <f>'(FnCalls 1)'!A54</f>
        <v>40575</v>
      </c>
      <c r="P1165" s="364">
        <f>'(FnCalls 1)'!A55</f>
        <v>40603</v>
      </c>
      <c r="Q1165" s="364">
        <f>'(FnCalls 1)'!A56</f>
        <v>40634</v>
      </c>
      <c r="R1165" s="364">
        <f>'(FnCalls 1)'!A57</f>
        <v>40664</v>
      </c>
      <c r="S1165" s="365">
        <f>'(FnCalls 1)'!A58</f>
        <v>40695</v>
      </c>
    </row>
    <row r="1166" spans="1:19" ht="12.75" customHeight="1" x14ac:dyDescent="0.2">
      <c r="A1166" s="1" t="str">
        <f>"Prof_Staff_Count_plt_2"</f>
        <v>Prof_Staff_Count_plt_2</v>
      </c>
    </row>
    <row r="1167" spans="1:19" ht="12.75" customHeight="1" x14ac:dyDescent="0.2">
      <c r="B1167" s="9" t="str">
        <f>'(FnCalls 1)'!F41</f>
        <v>MMM 2010</v>
      </c>
      <c r="C1167" s="10" t="str">
        <f>'(FnCalls 1)'!F42</f>
        <v>MMM 2010</v>
      </c>
      <c r="D1167" s="10" t="str">
        <f>'(FnCalls 1)'!F43</f>
        <v>MMM 2010</v>
      </c>
      <c r="E1167" s="10" t="str">
        <f>'(FnCalls 1)'!F44</f>
        <v>MMM 2010</v>
      </c>
      <c r="F1167" s="10" t="str">
        <f>'(FnCalls 1)'!F45</f>
        <v>MMM 2010</v>
      </c>
      <c r="G1167" s="10" t="str">
        <f>'(FnCalls 1)'!F46</f>
        <v>MMM 2010</v>
      </c>
      <c r="H1167" s="10" t="str">
        <f>'(FnCalls 1)'!F47</f>
        <v>MMM 2010</v>
      </c>
      <c r="I1167" s="10" t="str">
        <f>'(FnCalls 1)'!F48</f>
        <v>MMM 2010</v>
      </c>
      <c r="J1167" s="10" t="str">
        <f>'(FnCalls 1)'!F49</f>
        <v>MMM 2010</v>
      </c>
      <c r="K1167" s="10" t="str">
        <f>'(FnCalls 1)'!F50</f>
        <v>MMM 2010</v>
      </c>
      <c r="L1167" s="10" t="str">
        <f>'(FnCalls 1)'!F51</f>
        <v>MMM 2010</v>
      </c>
      <c r="M1167" s="10" t="str">
        <f>'(FnCalls 1)'!F52</f>
        <v>MMM 2010</v>
      </c>
      <c r="N1167" s="10" t="str">
        <f>'(FnCalls 1)'!F53</f>
        <v>MMM 2011</v>
      </c>
      <c r="O1167" s="10" t="str">
        <f>'(FnCalls 1)'!F54</f>
        <v>MMM 2011</v>
      </c>
      <c r="P1167" s="10" t="str">
        <f>'(FnCalls 1)'!F55</f>
        <v>MMM 2011</v>
      </c>
      <c r="Q1167" s="10" t="str">
        <f>'(FnCalls 1)'!F56</f>
        <v>MMM 2011</v>
      </c>
      <c r="R1167" s="10" t="str">
        <f>'(FnCalls 1)'!F57</f>
        <v>MMM 2011</v>
      </c>
      <c r="S1167" s="11" t="str">
        <f>'(FnCalls 1)'!F58</f>
        <v>MMM 2011</v>
      </c>
    </row>
    <row r="1168" spans="1:19" ht="12.75" customHeight="1" x14ac:dyDescent="0.2">
      <c r="A1168" s="97"/>
      <c r="B1168" s="364" t="str">
        <f>'(FnCalls 1)'!F41</f>
        <v>MMM 2010</v>
      </c>
      <c r="C1168" s="364" t="str">
        <f>'(FnCalls 1)'!F42</f>
        <v>MMM 2010</v>
      </c>
      <c r="D1168" s="364" t="str">
        <f>'(FnCalls 1)'!F43</f>
        <v>MMM 2010</v>
      </c>
      <c r="E1168" s="364" t="str">
        <f>'(FnCalls 1)'!F44</f>
        <v>MMM 2010</v>
      </c>
      <c r="F1168" s="364" t="str">
        <f>'(FnCalls 1)'!F45</f>
        <v>MMM 2010</v>
      </c>
      <c r="G1168" s="364" t="str">
        <f>'(FnCalls 1)'!F46</f>
        <v>MMM 2010</v>
      </c>
      <c r="H1168" s="364" t="str">
        <f>'(FnCalls 1)'!F47</f>
        <v>MMM 2010</v>
      </c>
      <c r="I1168" s="364" t="str">
        <f>'(FnCalls 1)'!F48</f>
        <v>MMM 2010</v>
      </c>
      <c r="J1168" s="364" t="str">
        <f>'(FnCalls 1)'!F49</f>
        <v>MMM 2010</v>
      </c>
      <c r="K1168" s="364" t="str">
        <f>'(FnCalls 1)'!F50</f>
        <v>MMM 2010</v>
      </c>
      <c r="L1168" s="364" t="str">
        <f>'(FnCalls 1)'!F51</f>
        <v>MMM 2010</v>
      </c>
      <c r="M1168" s="364" t="str">
        <f>'(FnCalls 1)'!F52</f>
        <v>MMM 2010</v>
      </c>
      <c r="N1168" s="364" t="str">
        <f>'(FnCalls 1)'!F53</f>
        <v>MMM 2011</v>
      </c>
      <c r="O1168" s="364" t="str">
        <f>'(FnCalls 1)'!F54</f>
        <v>MMM 2011</v>
      </c>
      <c r="P1168" s="364" t="str">
        <f>'(FnCalls 1)'!F55</f>
        <v>MMM 2011</v>
      </c>
      <c r="Q1168" s="364" t="str">
        <f>'(FnCalls 1)'!F56</f>
        <v>MMM 2011</v>
      </c>
      <c r="R1168" s="364" t="str">
        <f>'(FnCalls 1)'!F57</f>
        <v>MMM 2011</v>
      </c>
      <c r="S1168" s="365" t="str">
        <f>'(FnCalls 1)'!F58</f>
        <v>MMM 2011</v>
      </c>
    </row>
    <row r="1169" spans="1:19" ht="12.75" customHeight="1" x14ac:dyDescent="0.2">
      <c r="A1169" s="1" t="str">
        <f>"Engage_Hrs_Applied_Plot_1"</f>
        <v>Engage_Hrs_Applied_Plot_1</v>
      </c>
    </row>
    <row r="1170" spans="1:19" ht="12.75" customHeight="1" x14ac:dyDescent="0.2">
      <c r="B1170" s="9" t="str">
        <f>'(FnCalls 1)'!F41</f>
        <v>MMM 2010</v>
      </c>
      <c r="C1170" s="10" t="str">
        <f>'(FnCalls 1)'!F42</f>
        <v>MMM 2010</v>
      </c>
      <c r="D1170" s="10" t="str">
        <f>'(FnCalls 1)'!F43</f>
        <v>MMM 2010</v>
      </c>
      <c r="E1170" s="10" t="str">
        <f>'(FnCalls 1)'!F44</f>
        <v>MMM 2010</v>
      </c>
      <c r="F1170" s="10" t="str">
        <f>'(FnCalls 1)'!F45</f>
        <v>MMM 2010</v>
      </c>
      <c r="G1170" s="10" t="str">
        <f>'(FnCalls 1)'!F46</f>
        <v>MMM 2010</v>
      </c>
      <c r="H1170" s="10" t="str">
        <f>'(FnCalls 1)'!F47</f>
        <v>MMM 2010</v>
      </c>
      <c r="I1170" s="10" t="str">
        <f>'(FnCalls 1)'!F48</f>
        <v>MMM 2010</v>
      </c>
      <c r="J1170" s="10" t="str">
        <f>'(FnCalls 1)'!F49</f>
        <v>MMM 2010</v>
      </c>
      <c r="K1170" s="10" t="str">
        <f>'(FnCalls 1)'!F50</f>
        <v>MMM 2010</v>
      </c>
      <c r="L1170" s="10" t="str">
        <f>'(FnCalls 1)'!F51</f>
        <v>MMM 2010</v>
      </c>
      <c r="M1170" s="10" t="str">
        <f>'(FnCalls 1)'!F52</f>
        <v>MMM 2010</v>
      </c>
      <c r="N1170" s="10" t="str">
        <f>'(FnCalls 1)'!F53</f>
        <v>MMM 2011</v>
      </c>
      <c r="O1170" s="10" t="str">
        <f>'(FnCalls 1)'!F54</f>
        <v>MMM 2011</v>
      </c>
      <c r="P1170" s="10" t="str">
        <f>'(FnCalls 1)'!F55</f>
        <v>MMM 2011</v>
      </c>
      <c r="Q1170" s="10" t="str">
        <f>'(FnCalls 1)'!F56</f>
        <v>MMM 2011</v>
      </c>
      <c r="R1170" s="10" t="str">
        <f>'(FnCalls 1)'!F57</f>
        <v>MMM 2011</v>
      </c>
      <c r="S1170" s="11" t="str">
        <f>'(FnCalls 1)'!F58</f>
        <v>MMM 2011</v>
      </c>
    </row>
    <row r="1171" spans="1:19" ht="12.75" customHeight="1" x14ac:dyDescent="0.2">
      <c r="A1171" s="97"/>
      <c r="B1171" s="364">
        <f>'(FnCalls 1)'!A41</f>
        <v>40179</v>
      </c>
      <c r="C1171" s="364">
        <f>'(FnCalls 1)'!A42</f>
        <v>40210</v>
      </c>
      <c r="D1171" s="364">
        <f>'(FnCalls 1)'!A43</f>
        <v>40238</v>
      </c>
      <c r="E1171" s="364">
        <f>'(FnCalls 1)'!A44</f>
        <v>40269</v>
      </c>
      <c r="F1171" s="364">
        <f>'(FnCalls 1)'!A45</f>
        <v>40299</v>
      </c>
      <c r="G1171" s="364">
        <f>'(FnCalls 1)'!A46</f>
        <v>40330</v>
      </c>
      <c r="H1171" s="364">
        <f>'(FnCalls 1)'!A47</f>
        <v>40360</v>
      </c>
      <c r="I1171" s="364">
        <f>'(FnCalls 1)'!A48</f>
        <v>40391</v>
      </c>
      <c r="J1171" s="364">
        <f>'(FnCalls 1)'!A49</f>
        <v>40422</v>
      </c>
      <c r="K1171" s="364">
        <f>'(FnCalls 1)'!A50</f>
        <v>40452</v>
      </c>
      <c r="L1171" s="364">
        <f>'(FnCalls 1)'!A51</f>
        <v>40483</v>
      </c>
      <c r="M1171" s="364">
        <f>'(FnCalls 1)'!A52</f>
        <v>40513</v>
      </c>
      <c r="N1171" s="364">
        <f>'(FnCalls 1)'!A53</f>
        <v>40544</v>
      </c>
      <c r="O1171" s="364">
        <f>'(FnCalls 1)'!A54</f>
        <v>40575</v>
      </c>
      <c r="P1171" s="364">
        <f>'(FnCalls 1)'!A55</f>
        <v>40603</v>
      </c>
      <c r="Q1171" s="364">
        <f>'(FnCalls 1)'!A56</f>
        <v>40634</v>
      </c>
      <c r="R1171" s="364">
        <f>'(FnCalls 1)'!A57</f>
        <v>40664</v>
      </c>
      <c r="S1171" s="365">
        <f>'(FnCalls 1)'!A58</f>
        <v>40695</v>
      </c>
    </row>
    <row r="1172" spans="1:19" ht="12.75" customHeight="1" x14ac:dyDescent="0.2">
      <c r="A1172" s="1" t="str">
        <f>"Engage_Hrs_Applied_Plot_2"</f>
        <v>Engage_Hrs_Applied_Plot_2</v>
      </c>
    </row>
    <row r="1173" spans="1:19" ht="12.75" customHeight="1" x14ac:dyDescent="0.2">
      <c r="B1173" s="9" t="str">
        <f>'(FnCalls 1)'!F41</f>
        <v>MMM 2010</v>
      </c>
      <c r="C1173" s="10" t="str">
        <f>'(FnCalls 1)'!F42</f>
        <v>MMM 2010</v>
      </c>
      <c r="D1173" s="10" t="str">
        <f>'(FnCalls 1)'!F43</f>
        <v>MMM 2010</v>
      </c>
      <c r="E1173" s="10" t="str">
        <f>'(FnCalls 1)'!F44</f>
        <v>MMM 2010</v>
      </c>
      <c r="F1173" s="10" t="str">
        <f>'(FnCalls 1)'!F45</f>
        <v>MMM 2010</v>
      </c>
      <c r="G1173" s="10" t="str">
        <f>'(FnCalls 1)'!F46</f>
        <v>MMM 2010</v>
      </c>
      <c r="H1173" s="10" t="str">
        <f>'(FnCalls 1)'!F47</f>
        <v>MMM 2010</v>
      </c>
      <c r="I1173" s="10" t="str">
        <f>'(FnCalls 1)'!F48</f>
        <v>MMM 2010</v>
      </c>
      <c r="J1173" s="10" t="str">
        <f>'(FnCalls 1)'!F49</f>
        <v>MMM 2010</v>
      </c>
      <c r="K1173" s="10" t="str">
        <f>'(FnCalls 1)'!F50</f>
        <v>MMM 2010</v>
      </c>
      <c r="L1173" s="10" t="str">
        <f>'(FnCalls 1)'!F51</f>
        <v>MMM 2010</v>
      </c>
      <c r="M1173" s="10" t="str">
        <f>'(FnCalls 1)'!F52</f>
        <v>MMM 2010</v>
      </c>
      <c r="N1173" s="10" t="str">
        <f>'(FnCalls 1)'!F53</f>
        <v>MMM 2011</v>
      </c>
      <c r="O1173" s="10" t="str">
        <f>'(FnCalls 1)'!F54</f>
        <v>MMM 2011</v>
      </c>
      <c r="P1173" s="10" t="str">
        <f>'(FnCalls 1)'!F55</f>
        <v>MMM 2011</v>
      </c>
      <c r="Q1173" s="10" t="str">
        <f>'(FnCalls 1)'!F56</f>
        <v>MMM 2011</v>
      </c>
      <c r="R1173" s="10" t="str">
        <f>'(FnCalls 1)'!F57</f>
        <v>MMM 2011</v>
      </c>
      <c r="S1173" s="11" t="str">
        <f>'(FnCalls 1)'!F58</f>
        <v>MMM 2011</v>
      </c>
    </row>
    <row r="1174" spans="1:19" ht="12.75" customHeight="1" x14ac:dyDescent="0.2">
      <c r="A1174" s="97"/>
      <c r="B1174" s="364" t="str">
        <f>'(FnCalls 1)'!F41</f>
        <v>MMM 2010</v>
      </c>
      <c r="C1174" s="364" t="str">
        <f>'(FnCalls 1)'!F42</f>
        <v>MMM 2010</v>
      </c>
      <c r="D1174" s="364" t="str">
        <f>'(FnCalls 1)'!F43</f>
        <v>MMM 2010</v>
      </c>
      <c r="E1174" s="364" t="str">
        <f>'(FnCalls 1)'!F44</f>
        <v>MMM 2010</v>
      </c>
      <c r="F1174" s="364" t="str">
        <f>'(FnCalls 1)'!F45</f>
        <v>MMM 2010</v>
      </c>
      <c r="G1174" s="364" t="str">
        <f>'(FnCalls 1)'!F46</f>
        <v>MMM 2010</v>
      </c>
      <c r="H1174" s="364" t="str">
        <f>'(FnCalls 1)'!F47</f>
        <v>MMM 2010</v>
      </c>
      <c r="I1174" s="364" t="str">
        <f>'(FnCalls 1)'!F48</f>
        <v>MMM 2010</v>
      </c>
      <c r="J1174" s="364" t="str">
        <f>'(FnCalls 1)'!F49</f>
        <v>MMM 2010</v>
      </c>
      <c r="K1174" s="364" t="str">
        <f>'(FnCalls 1)'!F50</f>
        <v>MMM 2010</v>
      </c>
      <c r="L1174" s="364" t="str">
        <f>'(FnCalls 1)'!F51</f>
        <v>MMM 2010</v>
      </c>
      <c r="M1174" s="364" t="str">
        <f>'(FnCalls 1)'!F52</f>
        <v>MMM 2010</v>
      </c>
      <c r="N1174" s="364" t="str">
        <f>'(FnCalls 1)'!F53</f>
        <v>MMM 2011</v>
      </c>
      <c r="O1174" s="364" t="str">
        <f>'(FnCalls 1)'!F54</f>
        <v>MMM 2011</v>
      </c>
      <c r="P1174" s="364" t="str">
        <f>'(FnCalls 1)'!F55</f>
        <v>MMM 2011</v>
      </c>
      <c r="Q1174" s="364" t="str">
        <f>'(FnCalls 1)'!F56</f>
        <v>MMM 2011</v>
      </c>
      <c r="R1174" s="364" t="str">
        <f>'(FnCalls 1)'!F57</f>
        <v>MMM 2011</v>
      </c>
      <c r="S1174" s="365" t="str">
        <f>'(FnCalls 1)'!F58</f>
        <v>MMM 2011</v>
      </c>
    </row>
    <row r="1175" spans="1:19" ht="12.75" customHeight="1" x14ac:dyDescent="0.2">
      <c r="A1175" s="1" t="str">
        <f>"Orders_Filled_Hrs_Plot_2"</f>
        <v>Orders_Filled_Hrs_Plot_2</v>
      </c>
    </row>
    <row r="1176" spans="1:19" ht="12.75" customHeight="1" x14ac:dyDescent="0.2">
      <c r="B1176" s="9" t="str">
        <f>'(FnCalls 1)'!F41</f>
        <v>MMM 2010</v>
      </c>
      <c r="C1176" s="10" t="str">
        <f>'(FnCalls 1)'!F42</f>
        <v>MMM 2010</v>
      </c>
      <c r="D1176" s="10" t="str">
        <f>'(FnCalls 1)'!F43</f>
        <v>MMM 2010</v>
      </c>
      <c r="E1176" s="10" t="str">
        <f>'(FnCalls 1)'!F44</f>
        <v>MMM 2010</v>
      </c>
      <c r="F1176" s="10" t="str">
        <f>'(FnCalls 1)'!F45</f>
        <v>MMM 2010</v>
      </c>
      <c r="G1176" s="10" t="str">
        <f>'(FnCalls 1)'!F46</f>
        <v>MMM 2010</v>
      </c>
      <c r="H1176" s="10" t="str">
        <f>'(FnCalls 1)'!F47</f>
        <v>MMM 2010</v>
      </c>
      <c r="I1176" s="10" t="str">
        <f>'(FnCalls 1)'!F48</f>
        <v>MMM 2010</v>
      </c>
      <c r="J1176" s="10" t="str">
        <f>'(FnCalls 1)'!F49</f>
        <v>MMM 2010</v>
      </c>
      <c r="K1176" s="10" t="str">
        <f>'(FnCalls 1)'!F50</f>
        <v>MMM 2010</v>
      </c>
      <c r="L1176" s="10" t="str">
        <f>'(FnCalls 1)'!F51</f>
        <v>MMM 2010</v>
      </c>
      <c r="M1176" s="10" t="str">
        <f>'(FnCalls 1)'!F52</f>
        <v>MMM 2010</v>
      </c>
      <c r="N1176" s="10" t="str">
        <f>'(FnCalls 1)'!F53</f>
        <v>MMM 2011</v>
      </c>
      <c r="O1176" s="10" t="str">
        <f>'(FnCalls 1)'!F54</f>
        <v>MMM 2011</v>
      </c>
      <c r="P1176" s="10" t="str">
        <f>'(FnCalls 1)'!F55</f>
        <v>MMM 2011</v>
      </c>
      <c r="Q1176" s="10" t="str">
        <f>'(FnCalls 1)'!F56</f>
        <v>MMM 2011</v>
      </c>
      <c r="R1176" s="10" t="str">
        <f>'(FnCalls 1)'!F57</f>
        <v>MMM 2011</v>
      </c>
      <c r="S1176" s="11" t="str">
        <f>'(FnCalls 1)'!F58</f>
        <v>MMM 2011</v>
      </c>
    </row>
    <row r="1177" spans="1:19" ht="12.75" customHeight="1" x14ac:dyDescent="0.2">
      <c r="A1177" s="97"/>
      <c r="B1177" s="364">
        <f>'(FnCalls 1)'!A41</f>
        <v>40179</v>
      </c>
      <c r="C1177" s="364">
        <f>'(FnCalls 1)'!A42</f>
        <v>40210</v>
      </c>
      <c r="D1177" s="364">
        <f>'(FnCalls 1)'!A43</f>
        <v>40238</v>
      </c>
      <c r="E1177" s="364">
        <f>'(FnCalls 1)'!A44</f>
        <v>40269</v>
      </c>
      <c r="F1177" s="364">
        <f>'(FnCalls 1)'!A45</f>
        <v>40299</v>
      </c>
      <c r="G1177" s="364">
        <f>'(FnCalls 1)'!A46</f>
        <v>40330</v>
      </c>
      <c r="H1177" s="364">
        <f>'(FnCalls 1)'!A47</f>
        <v>40360</v>
      </c>
      <c r="I1177" s="364">
        <f>'(FnCalls 1)'!A48</f>
        <v>40391</v>
      </c>
      <c r="J1177" s="364">
        <f>'(FnCalls 1)'!A49</f>
        <v>40422</v>
      </c>
      <c r="K1177" s="364">
        <f>'(FnCalls 1)'!A50</f>
        <v>40452</v>
      </c>
      <c r="L1177" s="364">
        <f>'(FnCalls 1)'!A51</f>
        <v>40483</v>
      </c>
      <c r="M1177" s="364">
        <f>'(FnCalls 1)'!A52</f>
        <v>40513</v>
      </c>
      <c r="N1177" s="364">
        <f>'(FnCalls 1)'!A53</f>
        <v>40544</v>
      </c>
      <c r="O1177" s="364">
        <f>'(FnCalls 1)'!A54</f>
        <v>40575</v>
      </c>
      <c r="P1177" s="364">
        <f>'(FnCalls 1)'!A55</f>
        <v>40603</v>
      </c>
      <c r="Q1177" s="364">
        <f>'(FnCalls 1)'!A56</f>
        <v>40634</v>
      </c>
      <c r="R1177" s="364">
        <f>'(FnCalls 1)'!A57</f>
        <v>40664</v>
      </c>
      <c r="S1177" s="365">
        <f>'(FnCalls 1)'!A58</f>
        <v>40695</v>
      </c>
    </row>
    <row r="1178" spans="1:19" ht="12.75" customHeight="1" x14ac:dyDescent="0.2">
      <c r="A1178" s="1" t="str">
        <f>"Orders_Filled_Hrs_Plot_3"</f>
        <v>Orders_Filled_Hrs_Plot_3</v>
      </c>
    </row>
    <row r="1179" spans="1:19" ht="12.75" customHeight="1" x14ac:dyDescent="0.2">
      <c r="B1179" s="9" t="str">
        <f>'(FnCalls 1)'!F41</f>
        <v>MMM 2010</v>
      </c>
      <c r="C1179" s="10" t="str">
        <f>'(FnCalls 1)'!F42</f>
        <v>MMM 2010</v>
      </c>
      <c r="D1179" s="10" t="str">
        <f>'(FnCalls 1)'!F43</f>
        <v>MMM 2010</v>
      </c>
      <c r="E1179" s="10" t="str">
        <f>'(FnCalls 1)'!F44</f>
        <v>MMM 2010</v>
      </c>
      <c r="F1179" s="10" t="str">
        <f>'(FnCalls 1)'!F45</f>
        <v>MMM 2010</v>
      </c>
      <c r="G1179" s="10" t="str">
        <f>'(FnCalls 1)'!F46</f>
        <v>MMM 2010</v>
      </c>
      <c r="H1179" s="10" t="str">
        <f>'(FnCalls 1)'!F47</f>
        <v>MMM 2010</v>
      </c>
      <c r="I1179" s="10" t="str">
        <f>'(FnCalls 1)'!F48</f>
        <v>MMM 2010</v>
      </c>
      <c r="J1179" s="10" t="str">
        <f>'(FnCalls 1)'!F49</f>
        <v>MMM 2010</v>
      </c>
      <c r="K1179" s="10" t="str">
        <f>'(FnCalls 1)'!F50</f>
        <v>MMM 2010</v>
      </c>
      <c r="L1179" s="10" t="str">
        <f>'(FnCalls 1)'!F51</f>
        <v>MMM 2010</v>
      </c>
      <c r="M1179" s="10" t="str">
        <f>'(FnCalls 1)'!F52</f>
        <v>MMM 2010</v>
      </c>
      <c r="N1179" s="10" t="str">
        <f>'(FnCalls 1)'!F53</f>
        <v>MMM 2011</v>
      </c>
      <c r="O1179" s="10" t="str">
        <f>'(FnCalls 1)'!F54</f>
        <v>MMM 2011</v>
      </c>
      <c r="P1179" s="10" t="str">
        <f>'(FnCalls 1)'!F55</f>
        <v>MMM 2011</v>
      </c>
      <c r="Q1179" s="10" t="str">
        <f>'(FnCalls 1)'!F56</f>
        <v>MMM 2011</v>
      </c>
      <c r="R1179" s="10" t="str">
        <f>'(FnCalls 1)'!F57</f>
        <v>MMM 2011</v>
      </c>
      <c r="S1179" s="11" t="str">
        <f>'(FnCalls 1)'!F58</f>
        <v>MMM 2011</v>
      </c>
    </row>
    <row r="1180" spans="1:19" ht="12.75" customHeight="1" x14ac:dyDescent="0.2">
      <c r="A1180" s="97"/>
      <c r="B1180" s="364" t="str">
        <f>'(FnCalls 1)'!F41</f>
        <v>MMM 2010</v>
      </c>
      <c r="C1180" s="364" t="str">
        <f>'(FnCalls 1)'!F42</f>
        <v>MMM 2010</v>
      </c>
      <c r="D1180" s="364" t="str">
        <f>'(FnCalls 1)'!F43</f>
        <v>MMM 2010</v>
      </c>
      <c r="E1180" s="364" t="str">
        <f>'(FnCalls 1)'!F44</f>
        <v>MMM 2010</v>
      </c>
      <c r="F1180" s="364" t="str">
        <f>'(FnCalls 1)'!F45</f>
        <v>MMM 2010</v>
      </c>
      <c r="G1180" s="364" t="str">
        <f>'(FnCalls 1)'!F46</f>
        <v>MMM 2010</v>
      </c>
      <c r="H1180" s="364" t="str">
        <f>'(FnCalls 1)'!F47</f>
        <v>MMM 2010</v>
      </c>
      <c r="I1180" s="364" t="str">
        <f>'(FnCalls 1)'!F48</f>
        <v>MMM 2010</v>
      </c>
      <c r="J1180" s="364" t="str">
        <f>'(FnCalls 1)'!F49</f>
        <v>MMM 2010</v>
      </c>
      <c r="K1180" s="364" t="str">
        <f>'(FnCalls 1)'!F50</f>
        <v>MMM 2010</v>
      </c>
      <c r="L1180" s="364" t="str">
        <f>'(FnCalls 1)'!F51</f>
        <v>MMM 2010</v>
      </c>
      <c r="M1180" s="364" t="str">
        <f>'(FnCalls 1)'!F52</f>
        <v>MMM 2010</v>
      </c>
      <c r="N1180" s="364" t="str">
        <f>'(FnCalls 1)'!F53</f>
        <v>MMM 2011</v>
      </c>
      <c r="O1180" s="364" t="str">
        <f>'(FnCalls 1)'!F54</f>
        <v>MMM 2011</v>
      </c>
      <c r="P1180" s="364" t="str">
        <f>'(FnCalls 1)'!F55</f>
        <v>MMM 2011</v>
      </c>
      <c r="Q1180" s="364" t="str">
        <f>'(FnCalls 1)'!F56</f>
        <v>MMM 2011</v>
      </c>
      <c r="R1180" s="364" t="str">
        <f>'(FnCalls 1)'!F57</f>
        <v>MMM 2011</v>
      </c>
      <c r="S1180" s="365" t="str">
        <f>'(FnCalls 1)'!F58</f>
        <v>MMM 2011</v>
      </c>
    </row>
  </sheetData>
  <mergeCells count="2">
    <mergeCell ref="A1:C1"/>
    <mergeCell ref="A2:C2"/>
  </mergeCells>
  <pageMargins left="0.25" right="0.25" top="0.5" bottom="0.5" header="0.5" footer="0.5"/>
  <pageSetup paperSize="9" fitToHeight="32767" orientation="landscape" horizontalDpi="300" verticalDpi="300"/>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H169"/>
  <sheetViews>
    <sheetView zoomScaleNormal="100" workbookViewId="0"/>
  </sheetViews>
  <sheetFormatPr defaultRowHeight="12.75" customHeight="1" x14ac:dyDescent="0.2"/>
  <sheetData>
    <row r="1" spans="1:8" ht="12.75" customHeight="1" x14ac:dyDescent="0.2">
      <c r="A1" s="463" t="str">
        <f>Inputs!F7</f>
        <v xml:space="preserve"> </v>
      </c>
      <c r="B1" s="463"/>
      <c r="C1" s="463"/>
    </row>
    <row r="2" spans="1:8" ht="12.75" customHeight="1" x14ac:dyDescent="0.2">
      <c r="A2" s="463" t="e">
        <f>TEXT(A41,"m/d/yyyy")&amp;" to "&amp;TEXT(A59-1,"m/d/yyyy")</f>
        <v>#VALUE!</v>
      </c>
      <c r="B2" s="463"/>
      <c r="C2" s="463"/>
    </row>
    <row r="3" spans="1:8" ht="12.75" customHeight="1" x14ac:dyDescent="0.2">
      <c r="A3" s="4">
        <f>IF(WEEKDAY(Labels!B3)&gt;=1,Labels!B3-WEEKDAY(Labels!B3)+1,Labels!B3-(7-(1-WEEKDAY(Labels!B3))))</f>
        <v>40174</v>
      </c>
    </row>
    <row r="4" spans="1:8" ht="12.75" customHeight="1" x14ac:dyDescent="0.2">
      <c r="A4" s="4">
        <f>DATE(YEAR(Labels!B3)+(-4),MONTH(Labels!B3)+(11),1)</f>
        <v>39052</v>
      </c>
      <c r="C4" s="4">
        <f>Labels!B3+(-1127)</f>
        <v>39052</v>
      </c>
      <c r="D4" t="e">
        <f t="shared" ref="D4:D35" si="0">TEXT(C4,"m/d/yyyy")</f>
        <v>#VALUE!</v>
      </c>
      <c r="F4" t="str">
        <f t="shared" ref="F4:F35" si="1">TEXT(A4,"MMM yyyy")</f>
        <v>MMM 2006</v>
      </c>
    </row>
    <row r="5" spans="1:8" ht="12.75" customHeight="1" x14ac:dyDescent="0.2">
      <c r="A5" s="4">
        <f>DATE(YEAR(Labels!B3)+(-3),MONTH(Labels!B3)+(0),1)</f>
        <v>39083</v>
      </c>
      <c r="C5" s="4">
        <f>Labels!B3+(-1096)</f>
        <v>39083</v>
      </c>
      <c r="D5" t="e">
        <f t="shared" si="0"/>
        <v>#VALUE!</v>
      </c>
      <c r="F5" t="str">
        <f t="shared" si="1"/>
        <v>MMM 2007</v>
      </c>
      <c r="G5" t="str">
        <f>"Q"&amp;(TRUNC((MONTH(A5)-1)/3)+1)&amp;" "&amp;YEAR(A5)</f>
        <v>Q1 2007</v>
      </c>
      <c r="H5" t="str">
        <f>TEXT(YEAR(A5),"0000")</f>
        <v>2007</v>
      </c>
    </row>
    <row r="6" spans="1:8" ht="12.75" customHeight="1" x14ac:dyDescent="0.2">
      <c r="A6" s="4">
        <f>DATE(YEAR(Labels!B3)+(-3),MONTH(Labels!B3)+(1),1)</f>
        <v>39114</v>
      </c>
      <c r="C6" s="4">
        <f>Labels!B3+(-1065)</f>
        <v>39114</v>
      </c>
      <c r="D6" t="e">
        <f t="shared" si="0"/>
        <v>#VALUE!</v>
      </c>
      <c r="F6" t="str">
        <f t="shared" si="1"/>
        <v>MMM 2007</v>
      </c>
    </row>
    <row r="7" spans="1:8" ht="12.75" customHeight="1" x14ac:dyDescent="0.2">
      <c r="A7" s="4">
        <f>DATE(YEAR(Labels!B3)+(-3),MONTH(Labels!B3)+(2),1)</f>
        <v>39142</v>
      </c>
      <c r="C7" s="4">
        <f>Labels!B3+(-1037)</f>
        <v>39142</v>
      </c>
      <c r="D7" t="e">
        <f t="shared" si="0"/>
        <v>#VALUE!</v>
      </c>
      <c r="F7" t="str">
        <f t="shared" si="1"/>
        <v>MMM 2007</v>
      </c>
    </row>
    <row r="8" spans="1:8" ht="12.75" customHeight="1" x14ac:dyDescent="0.2">
      <c r="A8" s="4">
        <f>DATE(YEAR(Labels!B3)+(-3),MONTH(Labels!B3)+(3),1)</f>
        <v>39173</v>
      </c>
      <c r="B8" s="4">
        <f>A3+(-1001)</f>
        <v>39173</v>
      </c>
      <c r="C8" s="4">
        <f>Labels!B3+(-1006)</f>
        <v>39173</v>
      </c>
      <c r="D8" t="e">
        <f t="shared" si="0"/>
        <v>#VALUE!</v>
      </c>
      <c r="E8" t="e">
        <f>"W "&amp;TEXT(B8,"m/d/yyyy")</f>
        <v>#VALUE!</v>
      </c>
      <c r="F8" t="str">
        <f t="shared" si="1"/>
        <v>MMM 2007</v>
      </c>
      <c r="G8" t="str">
        <f>"Q"&amp;(TRUNC((MONTH(A8)-1)/3)+1)&amp;" "&amp;YEAR(A8)</f>
        <v>Q2 2007</v>
      </c>
    </row>
    <row r="9" spans="1:8" ht="12.75" customHeight="1" x14ac:dyDescent="0.2">
      <c r="A9" s="4">
        <f>DATE(YEAR(Labels!B3)+(-3),MONTH(Labels!B3)+(4),1)</f>
        <v>39203</v>
      </c>
      <c r="C9" s="4">
        <f>Labels!B3+(-976)</f>
        <v>39203</v>
      </c>
      <c r="D9" t="e">
        <f t="shared" si="0"/>
        <v>#VALUE!</v>
      </c>
      <c r="F9" t="str">
        <f t="shared" si="1"/>
        <v>MMM 2007</v>
      </c>
    </row>
    <row r="10" spans="1:8" ht="12.75" customHeight="1" x14ac:dyDescent="0.2">
      <c r="A10" s="4">
        <f>DATE(YEAR(Labels!B3)+(-3),MONTH(Labels!B3)+(5),1)</f>
        <v>39234</v>
      </c>
      <c r="C10" s="4">
        <f>Labels!B3+(-945)</f>
        <v>39234</v>
      </c>
      <c r="D10" t="e">
        <f t="shared" si="0"/>
        <v>#VALUE!</v>
      </c>
      <c r="F10" t="str">
        <f t="shared" si="1"/>
        <v>MMM 2007</v>
      </c>
    </row>
    <row r="11" spans="1:8" ht="12.75" customHeight="1" x14ac:dyDescent="0.2">
      <c r="A11" s="4">
        <f>DATE(YEAR(Labels!B3)+(-3),MONTH(Labels!B3)+(6),1)</f>
        <v>39264</v>
      </c>
      <c r="B11" s="4">
        <f>A3+(-910)</f>
        <v>39264</v>
      </c>
      <c r="C11" s="4">
        <f>Labels!B3+(-915)</f>
        <v>39264</v>
      </c>
      <c r="D11" t="e">
        <f t="shared" si="0"/>
        <v>#VALUE!</v>
      </c>
      <c r="E11" t="e">
        <f>"W "&amp;TEXT(B11,"m/d/yyyy")</f>
        <v>#VALUE!</v>
      </c>
      <c r="F11" t="str">
        <f t="shared" si="1"/>
        <v>MMM 2007</v>
      </c>
      <c r="G11" t="str">
        <f>"Q"&amp;(TRUNC((MONTH(A11)-1)/3)+1)&amp;" "&amp;YEAR(A11)</f>
        <v>Q3 2007</v>
      </c>
    </row>
    <row r="12" spans="1:8" ht="12.75" customHeight="1" x14ac:dyDescent="0.2">
      <c r="A12" s="4">
        <f>DATE(YEAR(Labels!B3)+(-3),MONTH(Labels!B3)+(7),1)</f>
        <v>39295</v>
      </c>
      <c r="C12" s="4">
        <f>Labels!B3+(-884)</f>
        <v>39295</v>
      </c>
      <c r="D12" t="e">
        <f t="shared" si="0"/>
        <v>#VALUE!</v>
      </c>
      <c r="F12" t="str">
        <f t="shared" si="1"/>
        <v>MMM 2007</v>
      </c>
    </row>
    <row r="13" spans="1:8" ht="12.75" customHeight="1" x14ac:dyDescent="0.2">
      <c r="A13" s="4">
        <f>DATE(YEAR(Labels!B3)+(-3),MONTH(Labels!B3)+(8),1)</f>
        <v>39326</v>
      </c>
      <c r="C13" s="4">
        <f>Labels!B3+(-853)</f>
        <v>39326</v>
      </c>
      <c r="D13" t="e">
        <f t="shared" si="0"/>
        <v>#VALUE!</v>
      </c>
      <c r="F13" t="str">
        <f t="shared" si="1"/>
        <v>MMM 2007</v>
      </c>
    </row>
    <row r="14" spans="1:8" ht="12.75" customHeight="1" x14ac:dyDescent="0.2">
      <c r="A14" s="4">
        <f>DATE(YEAR(Labels!B3)+(-3),MONTH(Labels!B3)+(9),1)</f>
        <v>39356</v>
      </c>
      <c r="C14" s="4">
        <f>Labels!B3+(-823)</f>
        <v>39356</v>
      </c>
      <c r="D14" t="e">
        <f t="shared" si="0"/>
        <v>#VALUE!</v>
      </c>
      <c r="F14" t="str">
        <f t="shared" si="1"/>
        <v>MMM 2007</v>
      </c>
      <c r="G14" t="str">
        <f>"Q"&amp;(TRUNC((MONTH(A14)-1)/3)+1)&amp;" "&amp;YEAR(A14)</f>
        <v>Q4 2007</v>
      </c>
    </row>
    <row r="15" spans="1:8" ht="12.75" customHeight="1" x14ac:dyDescent="0.2">
      <c r="A15" s="4">
        <f>DATE(YEAR(Labels!B3)+(-3),MONTH(Labels!B3)+(10),1)</f>
        <v>39387</v>
      </c>
      <c r="C15" s="4">
        <f>Labels!B3+(-792)</f>
        <v>39387</v>
      </c>
      <c r="D15" t="e">
        <f t="shared" si="0"/>
        <v>#VALUE!</v>
      </c>
      <c r="F15" t="str">
        <f t="shared" si="1"/>
        <v>MMM 2007</v>
      </c>
    </row>
    <row r="16" spans="1:8" ht="12.75" customHeight="1" x14ac:dyDescent="0.2">
      <c r="A16" s="4">
        <f>DATE(YEAR(Labels!B3)+(-3),MONTH(Labels!B3)+(11),1)</f>
        <v>39417</v>
      </c>
      <c r="C16" s="4">
        <f>Labels!B3+(-762)</f>
        <v>39417</v>
      </c>
      <c r="D16" t="e">
        <f t="shared" si="0"/>
        <v>#VALUE!</v>
      </c>
      <c r="F16" t="str">
        <f t="shared" si="1"/>
        <v>MMM 2007</v>
      </c>
    </row>
    <row r="17" spans="1:8" ht="12.75" customHeight="1" x14ac:dyDescent="0.2">
      <c r="A17" s="4">
        <f>DATE(YEAR(Labels!B3)+(-2),MONTH(Labels!B3)+(0),1)</f>
        <v>39448</v>
      </c>
      <c r="C17" s="4">
        <f>Labels!B3+(-731)</f>
        <v>39448</v>
      </c>
      <c r="D17" t="e">
        <f t="shared" si="0"/>
        <v>#VALUE!</v>
      </c>
      <c r="F17" t="str">
        <f t="shared" si="1"/>
        <v>MMM 2008</v>
      </c>
      <c r="G17" t="str">
        <f>"Q"&amp;(TRUNC((MONTH(A17)-1)/3)+1)&amp;" "&amp;YEAR(A17)</f>
        <v>Q1 2008</v>
      </c>
      <c r="H17" t="str">
        <f>TEXT(YEAR(A17),"0000")</f>
        <v>2008</v>
      </c>
    </row>
    <row r="18" spans="1:8" ht="12.75" customHeight="1" x14ac:dyDescent="0.2">
      <c r="A18" s="4">
        <f>DATE(YEAR(Labels!B3)+(-2),MONTH(Labels!B3)+(1),1)</f>
        <v>39479</v>
      </c>
      <c r="C18" s="4">
        <f>Labels!B3+(-700)</f>
        <v>39479</v>
      </c>
      <c r="D18" t="e">
        <f t="shared" si="0"/>
        <v>#VALUE!</v>
      </c>
      <c r="F18" t="str">
        <f t="shared" si="1"/>
        <v>MMM 2008</v>
      </c>
    </row>
    <row r="19" spans="1:8" ht="12.75" customHeight="1" x14ac:dyDescent="0.2">
      <c r="A19" s="4">
        <f>DATE(YEAR(Labels!B3)+(-2),MONTH(Labels!B3)+(2),1)</f>
        <v>39508</v>
      </c>
      <c r="C19" s="4">
        <f>Labels!B3+(-671)</f>
        <v>39508</v>
      </c>
      <c r="D19" t="e">
        <f t="shared" si="0"/>
        <v>#VALUE!</v>
      </c>
      <c r="F19" t="str">
        <f t="shared" si="1"/>
        <v>MMM 2008</v>
      </c>
    </row>
    <row r="20" spans="1:8" ht="12.75" customHeight="1" x14ac:dyDescent="0.2">
      <c r="A20" s="4">
        <f>DATE(YEAR(Labels!B3)+(-2),MONTH(Labels!B3)+(3),1)</f>
        <v>39539</v>
      </c>
      <c r="C20" s="4">
        <f>Labels!B3+(-640)</f>
        <v>39539</v>
      </c>
      <c r="D20" t="e">
        <f t="shared" si="0"/>
        <v>#VALUE!</v>
      </c>
      <c r="F20" t="str">
        <f t="shared" si="1"/>
        <v>MMM 2008</v>
      </c>
      <c r="G20" t="str">
        <f>"Q"&amp;(TRUNC((MONTH(A20)-1)/3)+1)&amp;" "&amp;YEAR(A20)</f>
        <v>Q2 2008</v>
      </c>
    </row>
    <row r="21" spans="1:8" ht="12.75" customHeight="1" x14ac:dyDescent="0.2">
      <c r="A21" s="4">
        <f>DATE(YEAR(Labels!B3)+(-2),MONTH(Labels!B3)+(4),1)</f>
        <v>39569</v>
      </c>
      <c r="C21" s="4">
        <f>Labels!B3+(-610)</f>
        <v>39569</v>
      </c>
      <c r="D21" t="e">
        <f t="shared" si="0"/>
        <v>#VALUE!</v>
      </c>
      <c r="F21" t="str">
        <f t="shared" si="1"/>
        <v>MMM 2008</v>
      </c>
    </row>
    <row r="22" spans="1:8" ht="12.75" customHeight="1" x14ac:dyDescent="0.2">
      <c r="A22" s="4">
        <f>DATE(YEAR(Labels!B3)+(-2),MONTH(Labels!B3)+(5),1)</f>
        <v>39600</v>
      </c>
      <c r="B22" s="4">
        <f>A3+(-574)</f>
        <v>39600</v>
      </c>
      <c r="C22" s="4">
        <f>Labels!B3+(-579)</f>
        <v>39600</v>
      </c>
      <c r="D22" t="e">
        <f t="shared" si="0"/>
        <v>#VALUE!</v>
      </c>
      <c r="E22" t="e">
        <f>"W "&amp;TEXT(B22,"m/d/yyyy")</f>
        <v>#VALUE!</v>
      </c>
      <c r="F22" t="str">
        <f t="shared" si="1"/>
        <v>MMM 2008</v>
      </c>
    </row>
    <row r="23" spans="1:8" ht="12.75" customHeight="1" x14ac:dyDescent="0.2">
      <c r="A23" s="4">
        <f>DATE(YEAR(Labels!B3)+(-2),MONTH(Labels!B3)+(6),1)</f>
        <v>39630</v>
      </c>
      <c r="C23" s="4">
        <f>Labels!B3+(-549)</f>
        <v>39630</v>
      </c>
      <c r="D23" t="e">
        <f t="shared" si="0"/>
        <v>#VALUE!</v>
      </c>
      <c r="F23" t="str">
        <f t="shared" si="1"/>
        <v>MMM 2008</v>
      </c>
      <c r="G23" t="str">
        <f>"Q"&amp;(TRUNC((MONTH(A23)-1)/3)+1)&amp;" "&amp;YEAR(A23)</f>
        <v>Q3 2008</v>
      </c>
    </row>
    <row r="24" spans="1:8" ht="12.75" customHeight="1" x14ac:dyDescent="0.2">
      <c r="A24" s="4">
        <f>DATE(YEAR(Labels!B3)+(-2),MONTH(Labels!B3)+(7),1)</f>
        <v>39661</v>
      </c>
      <c r="C24" s="4">
        <f>Labels!B3+(-518)</f>
        <v>39661</v>
      </c>
      <c r="D24" t="e">
        <f t="shared" si="0"/>
        <v>#VALUE!</v>
      </c>
      <c r="F24" t="str">
        <f t="shared" si="1"/>
        <v>MMM 2008</v>
      </c>
    </row>
    <row r="25" spans="1:8" ht="12.75" customHeight="1" x14ac:dyDescent="0.2">
      <c r="A25" s="4">
        <f>DATE(YEAR(Labels!B3)+(-2),MONTH(Labels!B3)+(8),1)</f>
        <v>39692</v>
      </c>
      <c r="C25" s="4">
        <f>Labels!B3+(-487)</f>
        <v>39692</v>
      </c>
      <c r="D25" t="e">
        <f t="shared" si="0"/>
        <v>#VALUE!</v>
      </c>
      <c r="F25" t="str">
        <f t="shared" si="1"/>
        <v>MMM 2008</v>
      </c>
    </row>
    <row r="26" spans="1:8" ht="12.75" customHeight="1" x14ac:dyDescent="0.2">
      <c r="A26" s="4">
        <f>DATE(YEAR(Labels!B3)+(-2),MONTH(Labels!B3)+(9),1)</f>
        <v>39722</v>
      </c>
      <c r="C26" s="4">
        <f>Labels!B3+(-457)</f>
        <v>39722</v>
      </c>
      <c r="D26" t="e">
        <f t="shared" si="0"/>
        <v>#VALUE!</v>
      </c>
      <c r="F26" t="str">
        <f t="shared" si="1"/>
        <v>MMM 2008</v>
      </c>
      <c r="G26" t="str">
        <f>"Q"&amp;(TRUNC((MONTH(A26)-1)/3)+1)&amp;" "&amp;YEAR(A26)</f>
        <v>Q4 2008</v>
      </c>
    </row>
    <row r="27" spans="1:8" ht="12.75" customHeight="1" x14ac:dyDescent="0.2">
      <c r="A27" s="4">
        <f>DATE(YEAR(Labels!B3)+(-2),MONTH(Labels!B3)+(10),1)</f>
        <v>39753</v>
      </c>
      <c r="C27" s="4">
        <f>Labels!B3+(-426)</f>
        <v>39753</v>
      </c>
      <c r="D27" t="e">
        <f t="shared" si="0"/>
        <v>#VALUE!</v>
      </c>
      <c r="F27" t="str">
        <f t="shared" si="1"/>
        <v>MMM 2008</v>
      </c>
    </row>
    <row r="28" spans="1:8" ht="12.75" customHeight="1" x14ac:dyDescent="0.2">
      <c r="A28" s="4">
        <f>DATE(YEAR(Labels!B3)+(-2),MONTH(Labels!B3)+(11),1)</f>
        <v>39783</v>
      </c>
      <c r="C28" s="4">
        <f>Labels!B3+(-396)</f>
        <v>39783</v>
      </c>
      <c r="D28" t="e">
        <f t="shared" si="0"/>
        <v>#VALUE!</v>
      </c>
      <c r="F28" t="str">
        <f t="shared" si="1"/>
        <v>MMM 2008</v>
      </c>
    </row>
    <row r="29" spans="1:8" ht="12.75" customHeight="1" x14ac:dyDescent="0.2">
      <c r="A29" s="4">
        <f>DATE(YEAR(Labels!B3)+(-1),MONTH(Labels!B3)+(0),1)</f>
        <v>39814</v>
      </c>
      <c r="C29" s="4">
        <f>Labels!B3+(-365)</f>
        <v>39814</v>
      </c>
      <c r="D29" t="e">
        <f t="shared" si="0"/>
        <v>#VALUE!</v>
      </c>
      <c r="F29" t="str">
        <f t="shared" si="1"/>
        <v>MMM 2009</v>
      </c>
      <c r="G29" t="str">
        <f>"Q"&amp;(TRUNC((MONTH(A29)-1)/3)+1)&amp;" "&amp;YEAR(A29)</f>
        <v>Q1 2009</v>
      </c>
      <c r="H29" t="str">
        <f>TEXT(YEAR(A29),"0000")</f>
        <v>2009</v>
      </c>
    </row>
    <row r="30" spans="1:8" ht="12.75" customHeight="1" x14ac:dyDescent="0.2">
      <c r="A30" s="4">
        <f>DATE(YEAR(Labels!B3)+(-1),MONTH(Labels!B3)+(1),1)</f>
        <v>39845</v>
      </c>
      <c r="B30" s="4">
        <f>A3+(-329)</f>
        <v>39845</v>
      </c>
      <c r="C30" s="4">
        <f>Labels!B3+(-334)</f>
        <v>39845</v>
      </c>
      <c r="D30" t="e">
        <f t="shared" si="0"/>
        <v>#VALUE!</v>
      </c>
      <c r="E30" t="e">
        <f>"W "&amp;TEXT(B30,"m/d/yyyy")</f>
        <v>#VALUE!</v>
      </c>
      <c r="F30" t="str">
        <f t="shared" si="1"/>
        <v>MMM 2009</v>
      </c>
    </row>
    <row r="31" spans="1:8" ht="12.75" customHeight="1" x14ac:dyDescent="0.2">
      <c r="A31" s="4">
        <f>DATE(YEAR(Labels!B3)+(-1),MONTH(Labels!B3)+(2),1)</f>
        <v>39873</v>
      </c>
      <c r="B31" s="4">
        <f>A3+(-301)</f>
        <v>39873</v>
      </c>
      <c r="C31" s="4">
        <f>Labels!B3+(-306)</f>
        <v>39873</v>
      </c>
      <c r="D31" t="e">
        <f t="shared" si="0"/>
        <v>#VALUE!</v>
      </c>
      <c r="E31" t="e">
        <f>"W "&amp;TEXT(B31,"m/d/yyyy")</f>
        <v>#VALUE!</v>
      </c>
      <c r="F31" t="str">
        <f t="shared" si="1"/>
        <v>MMM 2009</v>
      </c>
    </row>
    <row r="32" spans="1:8" ht="12.75" customHeight="1" x14ac:dyDescent="0.2">
      <c r="A32" s="4">
        <f>DATE(YEAR(Labels!B3)+(-1),MONTH(Labels!B3)+(3),1)</f>
        <v>39904</v>
      </c>
      <c r="C32" s="4">
        <f>Labels!B3+(-275)</f>
        <v>39904</v>
      </c>
      <c r="D32" t="e">
        <f t="shared" si="0"/>
        <v>#VALUE!</v>
      </c>
      <c r="F32" t="str">
        <f t="shared" si="1"/>
        <v>MMM 2009</v>
      </c>
      <c r="G32" t="str">
        <f>"Q"&amp;(TRUNC((MONTH(A32)-1)/3)+1)&amp;" "&amp;YEAR(A32)</f>
        <v>Q2 2009</v>
      </c>
    </row>
    <row r="33" spans="1:8" ht="12.75" customHeight="1" x14ac:dyDescent="0.2">
      <c r="A33" s="4">
        <f>DATE(YEAR(Labels!B3)+(-1),MONTH(Labels!B3)+(4),1)</f>
        <v>39934</v>
      </c>
      <c r="C33" s="4">
        <f>Labels!B3+(-245)</f>
        <v>39934</v>
      </c>
      <c r="D33" t="e">
        <f t="shared" si="0"/>
        <v>#VALUE!</v>
      </c>
      <c r="F33" t="str">
        <f t="shared" si="1"/>
        <v>MMM 2009</v>
      </c>
    </row>
    <row r="34" spans="1:8" ht="12.75" customHeight="1" x14ac:dyDescent="0.2">
      <c r="A34" s="4">
        <f>DATE(YEAR(Labels!B3)+(-1),MONTH(Labels!B3)+(5),1)</f>
        <v>39965</v>
      </c>
      <c r="C34" s="4">
        <f>Labels!B3+(-214)</f>
        <v>39965</v>
      </c>
      <c r="D34" t="e">
        <f t="shared" si="0"/>
        <v>#VALUE!</v>
      </c>
      <c r="F34" t="str">
        <f t="shared" si="1"/>
        <v>MMM 2009</v>
      </c>
    </row>
    <row r="35" spans="1:8" ht="12.75" customHeight="1" x14ac:dyDescent="0.2">
      <c r="A35" s="4">
        <f>DATE(YEAR(Labels!B3)+(-1),MONTH(Labels!B3)+(6),1)</f>
        <v>39995</v>
      </c>
      <c r="C35" s="4">
        <f>Labels!B3+(-184)</f>
        <v>39995</v>
      </c>
      <c r="D35" t="e">
        <f t="shared" si="0"/>
        <v>#VALUE!</v>
      </c>
      <c r="F35" t="str">
        <f t="shared" si="1"/>
        <v>MMM 2009</v>
      </c>
      <c r="G35" t="str">
        <f>"Q"&amp;(TRUNC((MONTH(A35)-1)/3)+1)&amp;" "&amp;YEAR(A35)</f>
        <v>Q3 2009</v>
      </c>
    </row>
    <row r="36" spans="1:8" ht="12.75" customHeight="1" x14ac:dyDescent="0.2">
      <c r="A36" s="4">
        <f>DATE(YEAR(Labels!B3)+(-1),MONTH(Labels!B3)+(7),1)</f>
        <v>40026</v>
      </c>
      <c r="C36" s="4">
        <f>Labels!B3+(-153)</f>
        <v>40026</v>
      </c>
      <c r="D36" t="e">
        <f t="shared" ref="D36:D60" si="2">TEXT(C36,"m/d/yyyy")</f>
        <v>#VALUE!</v>
      </c>
      <c r="F36" t="str">
        <f t="shared" ref="F36:F60" si="3">TEXT(A36,"MMM yyyy")</f>
        <v>MMM 2009</v>
      </c>
    </row>
    <row r="37" spans="1:8" ht="12.75" customHeight="1" x14ac:dyDescent="0.2">
      <c r="A37" s="4">
        <f>DATE(YEAR(Labels!B3)+(-1),MONTH(Labels!B3)+(8),1)</f>
        <v>40057</v>
      </c>
      <c r="C37" s="4">
        <f>Labels!B3+(-122)</f>
        <v>40057</v>
      </c>
      <c r="D37" t="e">
        <f t="shared" si="2"/>
        <v>#VALUE!</v>
      </c>
      <c r="F37" t="str">
        <f t="shared" si="3"/>
        <v>MMM 2009</v>
      </c>
    </row>
    <row r="38" spans="1:8" ht="12.75" customHeight="1" x14ac:dyDescent="0.2">
      <c r="A38" s="4">
        <f>DATE(YEAR(Labels!B3)+(-1),MONTH(Labels!B3)+(9),1)</f>
        <v>40087</v>
      </c>
      <c r="C38" s="4">
        <f>Labels!B3+(-92)</f>
        <v>40087</v>
      </c>
      <c r="D38" t="e">
        <f t="shared" si="2"/>
        <v>#VALUE!</v>
      </c>
      <c r="F38" t="str">
        <f t="shared" si="3"/>
        <v>MMM 2009</v>
      </c>
      <c r="G38" t="str">
        <f>"Q"&amp;(TRUNC((MONTH(A38)-1)/3)+1)&amp;" "&amp;YEAR(A38)</f>
        <v>Q4 2009</v>
      </c>
    </row>
    <row r="39" spans="1:8" ht="12.75" customHeight="1" x14ac:dyDescent="0.2">
      <c r="A39" s="4">
        <f>DATE(YEAR(Labels!B3)+(-1),MONTH(Labels!B3)+(10),1)</f>
        <v>40118</v>
      </c>
      <c r="B39" s="4">
        <f>A3+(-56)</f>
        <v>40118</v>
      </c>
      <c r="C39" s="4">
        <f>Labels!B3+(-61)</f>
        <v>40118</v>
      </c>
      <c r="D39" t="e">
        <f t="shared" si="2"/>
        <v>#VALUE!</v>
      </c>
      <c r="E39" t="e">
        <f>"W "&amp;TEXT(B39,"m/d/yyyy")</f>
        <v>#VALUE!</v>
      </c>
      <c r="F39" t="str">
        <f t="shared" si="3"/>
        <v>MMM 2009</v>
      </c>
    </row>
    <row r="40" spans="1:8" ht="12.75" customHeight="1" x14ac:dyDescent="0.2">
      <c r="A40" s="4">
        <f>DATE(YEAR(Labels!B3)+(-1),MONTH(Labels!B3)+(11),1)</f>
        <v>40148</v>
      </c>
      <c r="C40" s="4">
        <f>Labels!B3+(-31)</f>
        <v>40148</v>
      </c>
      <c r="D40" t="e">
        <f t="shared" si="2"/>
        <v>#VALUE!</v>
      </c>
      <c r="F40" t="str">
        <f t="shared" si="3"/>
        <v>MMM 2009</v>
      </c>
    </row>
    <row r="41" spans="1:8" ht="12.75" customHeight="1" x14ac:dyDescent="0.2">
      <c r="A41" s="4">
        <f>DATE(YEAR(Labels!B3)+(0),MONTH(Labels!B3)+(0),1)</f>
        <v>40179</v>
      </c>
      <c r="C41" s="4">
        <f>Labels!B3+(0)</f>
        <v>40179</v>
      </c>
      <c r="D41" t="e">
        <f t="shared" si="2"/>
        <v>#VALUE!</v>
      </c>
      <c r="F41" t="str">
        <f t="shared" si="3"/>
        <v>MMM 2010</v>
      </c>
      <c r="G41" t="str">
        <f>"Q"&amp;(TRUNC((MONTH(A41)-1)/3)+1)&amp;" "&amp;YEAR(A41)</f>
        <v>Q1 2010</v>
      </c>
      <c r="H41" t="str">
        <f>TEXT(YEAR(A41),"0000")</f>
        <v>2010</v>
      </c>
    </row>
    <row r="42" spans="1:8" ht="12.75" customHeight="1" x14ac:dyDescent="0.2">
      <c r="A42" s="4">
        <f>DATE(YEAR(Labels!B3)+(0),MONTH(Labels!B3)+(1),1)</f>
        <v>40210</v>
      </c>
      <c r="C42" s="4">
        <f>Labels!B3+(31)</f>
        <v>40210</v>
      </c>
      <c r="D42" t="e">
        <f t="shared" si="2"/>
        <v>#VALUE!</v>
      </c>
      <c r="F42" t="str">
        <f t="shared" si="3"/>
        <v>MMM 2010</v>
      </c>
    </row>
    <row r="43" spans="1:8" ht="12.75" customHeight="1" x14ac:dyDescent="0.2">
      <c r="A43" s="4">
        <f>DATE(YEAR(Labels!B3)+(0),MONTH(Labels!B3)+(2),1)</f>
        <v>40238</v>
      </c>
      <c r="C43" s="4">
        <f>Labels!B3+(59)</f>
        <v>40238</v>
      </c>
      <c r="D43" t="e">
        <f t="shared" si="2"/>
        <v>#VALUE!</v>
      </c>
      <c r="F43" t="str">
        <f t="shared" si="3"/>
        <v>MMM 2010</v>
      </c>
    </row>
    <row r="44" spans="1:8" ht="12.75" customHeight="1" x14ac:dyDescent="0.2">
      <c r="A44" s="4">
        <f>DATE(YEAR(Labels!B3)+(0),MONTH(Labels!B3)+(3),1)</f>
        <v>40269</v>
      </c>
      <c r="C44" s="4">
        <f>Labels!B3+(90)</f>
        <v>40269</v>
      </c>
      <c r="D44" t="e">
        <f t="shared" si="2"/>
        <v>#VALUE!</v>
      </c>
      <c r="F44" t="str">
        <f t="shared" si="3"/>
        <v>MMM 2010</v>
      </c>
      <c r="G44" t="str">
        <f>"Q"&amp;(TRUNC((MONTH(A44)-1)/3)+1)&amp;" "&amp;YEAR(A44)</f>
        <v>Q2 2010</v>
      </c>
    </row>
    <row r="45" spans="1:8" ht="12.75" customHeight="1" x14ac:dyDescent="0.2">
      <c r="A45" s="4">
        <f>DATE(YEAR(Labels!B3)+(0),MONTH(Labels!B3)+(4),1)</f>
        <v>40299</v>
      </c>
      <c r="C45" s="4">
        <f>Labels!B3+(120)</f>
        <v>40299</v>
      </c>
      <c r="D45" t="e">
        <f t="shared" si="2"/>
        <v>#VALUE!</v>
      </c>
      <c r="F45" t="str">
        <f t="shared" si="3"/>
        <v>MMM 2010</v>
      </c>
    </row>
    <row r="46" spans="1:8" ht="12.75" customHeight="1" x14ac:dyDescent="0.2">
      <c r="A46" s="4">
        <f>DATE(YEAR(Labels!B3)+(0),MONTH(Labels!B3)+(5),1)</f>
        <v>40330</v>
      </c>
      <c r="C46" s="4">
        <f>Labels!B3+(151)</f>
        <v>40330</v>
      </c>
      <c r="D46" t="e">
        <f t="shared" si="2"/>
        <v>#VALUE!</v>
      </c>
      <c r="F46" t="str">
        <f t="shared" si="3"/>
        <v>MMM 2010</v>
      </c>
    </row>
    <row r="47" spans="1:8" ht="12.75" customHeight="1" x14ac:dyDescent="0.2">
      <c r="A47" s="4">
        <f>DATE(YEAR(Labels!B3)+(0),MONTH(Labels!B3)+(6),1)</f>
        <v>40360</v>
      </c>
      <c r="C47" s="4">
        <f>Labels!B3+(181)</f>
        <v>40360</v>
      </c>
      <c r="D47" t="e">
        <f t="shared" si="2"/>
        <v>#VALUE!</v>
      </c>
      <c r="F47" t="str">
        <f t="shared" si="3"/>
        <v>MMM 2010</v>
      </c>
      <c r="G47" t="str">
        <f>"Q"&amp;(TRUNC((MONTH(A47)-1)/3)+1)&amp;" "&amp;YEAR(A47)</f>
        <v>Q3 2010</v>
      </c>
    </row>
    <row r="48" spans="1:8" ht="12.75" customHeight="1" x14ac:dyDescent="0.2">
      <c r="A48" s="4">
        <f>DATE(YEAR(Labels!B3)+(0),MONTH(Labels!B3)+(7),1)</f>
        <v>40391</v>
      </c>
      <c r="B48" s="4">
        <f>A3+(217)</f>
        <v>40391</v>
      </c>
      <c r="C48" s="4">
        <f>Labels!B3+(212)</f>
        <v>40391</v>
      </c>
      <c r="D48" t="e">
        <f t="shared" si="2"/>
        <v>#VALUE!</v>
      </c>
      <c r="E48" t="e">
        <f>"W "&amp;TEXT(B48,"m/d/yyyy")</f>
        <v>#VALUE!</v>
      </c>
      <c r="F48" t="str">
        <f t="shared" si="3"/>
        <v>MMM 2010</v>
      </c>
    </row>
    <row r="49" spans="1:8" ht="12.75" customHeight="1" x14ac:dyDescent="0.2">
      <c r="A49" s="4">
        <f>DATE(YEAR(Labels!B3)+(0),MONTH(Labels!B3)+(8),1)</f>
        <v>40422</v>
      </c>
      <c r="C49" s="4">
        <f>Labels!B3+(243)</f>
        <v>40422</v>
      </c>
      <c r="D49" t="e">
        <f t="shared" si="2"/>
        <v>#VALUE!</v>
      </c>
      <c r="F49" t="str">
        <f t="shared" si="3"/>
        <v>MMM 2010</v>
      </c>
    </row>
    <row r="50" spans="1:8" ht="12.75" customHeight="1" x14ac:dyDescent="0.2">
      <c r="A50" s="4">
        <f>DATE(YEAR(Labels!B3)+(0),MONTH(Labels!B3)+(9),1)</f>
        <v>40452</v>
      </c>
      <c r="C50" s="4">
        <f>Labels!B3+(273)</f>
        <v>40452</v>
      </c>
      <c r="D50" t="e">
        <f t="shared" si="2"/>
        <v>#VALUE!</v>
      </c>
      <c r="F50" t="str">
        <f t="shared" si="3"/>
        <v>MMM 2010</v>
      </c>
      <c r="G50" t="str">
        <f>"Q"&amp;(TRUNC((MONTH(A50)-1)/3)+1)&amp;" "&amp;YEAR(A50)</f>
        <v>Q4 2010</v>
      </c>
    </row>
    <row r="51" spans="1:8" ht="12.75" customHeight="1" x14ac:dyDescent="0.2">
      <c r="A51" s="4">
        <f>DATE(YEAR(Labels!B3)+(0),MONTH(Labels!B3)+(10),1)</f>
        <v>40483</v>
      </c>
      <c r="C51" s="4">
        <f>Labels!B3+(304)</f>
        <v>40483</v>
      </c>
      <c r="D51" t="e">
        <f t="shared" si="2"/>
        <v>#VALUE!</v>
      </c>
      <c r="F51" t="str">
        <f t="shared" si="3"/>
        <v>MMM 2010</v>
      </c>
    </row>
    <row r="52" spans="1:8" ht="12.75" customHeight="1" x14ac:dyDescent="0.2">
      <c r="A52" s="4">
        <f>DATE(YEAR(Labels!B3)+(0),MONTH(Labels!B3)+(11),1)</f>
        <v>40513</v>
      </c>
      <c r="C52" s="4">
        <f>Labels!B3+(334)</f>
        <v>40513</v>
      </c>
      <c r="D52" t="e">
        <f t="shared" si="2"/>
        <v>#VALUE!</v>
      </c>
      <c r="F52" t="str">
        <f t="shared" si="3"/>
        <v>MMM 2010</v>
      </c>
    </row>
    <row r="53" spans="1:8" ht="12.75" customHeight="1" x14ac:dyDescent="0.2">
      <c r="A53" s="4">
        <f>DATE(YEAR(Labels!B3)+(1),MONTH(Labels!B3)+(0),1)</f>
        <v>40544</v>
      </c>
      <c r="C53" s="4">
        <f>Labels!B3+(365)</f>
        <v>40544</v>
      </c>
      <c r="D53" t="e">
        <f t="shared" si="2"/>
        <v>#VALUE!</v>
      </c>
      <c r="F53" t="str">
        <f t="shared" si="3"/>
        <v>MMM 2011</v>
      </c>
      <c r="G53" t="str">
        <f>"Q"&amp;(TRUNC((MONTH(A53)-1)/3)+1)&amp;" "&amp;YEAR(A53)</f>
        <v>Q1 2011</v>
      </c>
      <c r="H53" t="str">
        <f>TEXT(YEAR(A53),"0000")</f>
        <v>2011</v>
      </c>
    </row>
    <row r="54" spans="1:8" ht="12.75" customHeight="1" x14ac:dyDescent="0.2">
      <c r="A54" s="4">
        <f>DATE(YEAR(Labels!B3)+(1),MONTH(Labels!B3)+(1),1)</f>
        <v>40575</v>
      </c>
      <c r="C54" s="4">
        <f>Labels!B3+(396)</f>
        <v>40575</v>
      </c>
      <c r="D54" t="e">
        <f t="shared" si="2"/>
        <v>#VALUE!</v>
      </c>
      <c r="F54" t="str">
        <f t="shared" si="3"/>
        <v>MMM 2011</v>
      </c>
    </row>
    <row r="55" spans="1:8" ht="12.75" customHeight="1" x14ac:dyDescent="0.2">
      <c r="A55" s="4">
        <f>DATE(YEAR(Labels!B3)+(1),MONTH(Labels!B3)+(2),1)</f>
        <v>40603</v>
      </c>
      <c r="C55" s="4">
        <f>Labels!B3+(424)</f>
        <v>40603</v>
      </c>
      <c r="D55" t="e">
        <f t="shared" si="2"/>
        <v>#VALUE!</v>
      </c>
      <c r="F55" t="str">
        <f t="shared" si="3"/>
        <v>MMM 2011</v>
      </c>
    </row>
    <row r="56" spans="1:8" ht="12.75" customHeight="1" x14ac:dyDescent="0.2">
      <c r="A56" s="4">
        <f>DATE(YEAR(Labels!B3)+(1),MONTH(Labels!B3)+(3),1)</f>
        <v>40634</v>
      </c>
      <c r="C56" s="4">
        <f>Labels!B3+(455)</f>
        <v>40634</v>
      </c>
      <c r="D56" t="e">
        <f t="shared" si="2"/>
        <v>#VALUE!</v>
      </c>
      <c r="F56" t="str">
        <f t="shared" si="3"/>
        <v>MMM 2011</v>
      </c>
      <c r="G56" t="str">
        <f>"Q"&amp;(TRUNC((MONTH(A56)-1)/3)+1)&amp;" "&amp;YEAR(A56)</f>
        <v>Q2 2011</v>
      </c>
    </row>
    <row r="57" spans="1:8" ht="12.75" customHeight="1" x14ac:dyDescent="0.2">
      <c r="A57" s="4">
        <f>DATE(YEAR(Labels!B3)+(1),MONTH(Labels!B3)+(4),1)</f>
        <v>40664</v>
      </c>
      <c r="B57" s="4">
        <f>A3+(490)</f>
        <v>40664</v>
      </c>
      <c r="C57" s="4">
        <f>Labels!B3+(485)</f>
        <v>40664</v>
      </c>
      <c r="D57" t="e">
        <f t="shared" si="2"/>
        <v>#VALUE!</v>
      </c>
      <c r="E57" t="e">
        <f>"W "&amp;TEXT(B57,"m/d/yyyy")</f>
        <v>#VALUE!</v>
      </c>
      <c r="F57" t="str">
        <f t="shared" si="3"/>
        <v>MMM 2011</v>
      </c>
    </row>
    <row r="58" spans="1:8" ht="12.75" customHeight="1" x14ac:dyDescent="0.2">
      <c r="A58" s="4">
        <f>DATE(YEAR(Labels!B3)+(1),MONTH(Labels!B3)+(5),1)</f>
        <v>40695</v>
      </c>
      <c r="C58" s="4">
        <f>Labels!B3+(516)</f>
        <v>40695</v>
      </c>
      <c r="D58" t="e">
        <f t="shared" si="2"/>
        <v>#VALUE!</v>
      </c>
      <c r="F58" t="str">
        <f t="shared" si="3"/>
        <v>MMM 2011</v>
      </c>
    </row>
    <row r="59" spans="1:8" ht="12.75" customHeight="1" x14ac:dyDescent="0.2">
      <c r="A59" s="4">
        <f>DATE(YEAR(Labels!B3)+(1),MONTH(Labels!B3)+(6),1)</f>
        <v>40725</v>
      </c>
      <c r="C59" s="4">
        <f>Labels!B3+(546)</f>
        <v>40725</v>
      </c>
      <c r="D59" t="e">
        <f t="shared" si="2"/>
        <v>#VALUE!</v>
      </c>
      <c r="F59" t="str">
        <f t="shared" si="3"/>
        <v>MMM 2011</v>
      </c>
      <c r="G59" t="str">
        <f>"Q"&amp;(TRUNC((MONTH(A59)-1)/3)+1)&amp;" "&amp;YEAR(A59)</f>
        <v>Q3 2011</v>
      </c>
    </row>
    <row r="60" spans="1:8" ht="12.75" customHeight="1" x14ac:dyDescent="0.2">
      <c r="A60" s="4">
        <f>DATE(YEAR(Labels!B3)+(2),MONTH(Labels!B3)+(0),1)</f>
        <v>40909</v>
      </c>
      <c r="B60" s="4">
        <f>A3+(735)</f>
        <v>40909</v>
      </c>
      <c r="C60" s="4">
        <f>Labels!B3+(730)</f>
        <v>40909</v>
      </c>
      <c r="D60" t="e">
        <f t="shared" si="2"/>
        <v>#VALUE!</v>
      </c>
      <c r="E60" t="e">
        <f>"W "&amp;TEXT(B60,"m/d/yyyy")</f>
        <v>#VALUE!</v>
      </c>
      <c r="F60" t="str">
        <f t="shared" si="3"/>
        <v>MMM 2012</v>
      </c>
      <c r="G60" t="str">
        <f>"Q"&amp;(TRUNC((MONTH(A60)-1)/3)+1)&amp;" "&amp;YEAR(A60)</f>
        <v>Q1 2012</v>
      </c>
      <c r="H60" t="str">
        <f>TEXT(YEAR(A60),"0000")</f>
        <v>2012</v>
      </c>
    </row>
    <row r="63" spans="1:8" ht="12.75" customHeight="1" x14ac:dyDescent="0.2">
      <c r="A63" s="1">
        <f>Sales!R109</f>
        <v>0</v>
      </c>
      <c r="B63" s="1">
        <f>Sales!S109</f>
        <v>0</v>
      </c>
      <c r="C63" s="1">
        <f>Sales!T109</f>
        <v>0</v>
      </c>
      <c r="D63" s="1">
        <f>Sales!V109</f>
        <v>0</v>
      </c>
      <c r="E63" s="1">
        <f>Sales!W109</f>
        <v>0</v>
      </c>
      <c r="F63" s="1">
        <f>Sales!X109</f>
        <v>0</v>
      </c>
    </row>
    <row r="64" spans="1:8" ht="12.75" customHeight="1" x14ac:dyDescent="0.2">
      <c r="A64" s="1">
        <f>'(Tables)'!O12</f>
        <v>1.0833333333333333</v>
      </c>
      <c r="B64" s="1">
        <f>'(Tables)'!P12</f>
        <v>1.1666666666666665</v>
      </c>
      <c r="C64" s="1">
        <f>'(Tables)'!Q12</f>
        <v>1.2499999999999998</v>
      </c>
      <c r="D64" s="1">
        <f>'(Tables)'!R12</f>
        <v>1.333333333333333</v>
      </c>
      <c r="E64" s="1">
        <f>'(Tables)'!S12</f>
        <v>1.4166666666666663</v>
      </c>
      <c r="F64" s="1">
        <f>'(Tables)'!T12</f>
        <v>1.4999999999999996</v>
      </c>
    </row>
    <row r="65" spans="1:6" ht="12.75" customHeight="1" x14ac:dyDescent="0.2">
      <c r="A65" t="e">
        <f t="array" ref="A65:B65">LOGEST(A63:F63,A64:F64,TRUE,FALSE)</f>
        <v>#NUM!</v>
      </c>
      <c r="B65" t="e">
        <v>#NUM!</v>
      </c>
    </row>
    <row r="67" spans="1:6" ht="12.75" customHeight="1" x14ac:dyDescent="0.2">
      <c r="A67" s="1">
        <f>Sales!R122</f>
        <v>0</v>
      </c>
      <c r="B67" s="1">
        <f>Sales!S122</f>
        <v>0</v>
      </c>
      <c r="C67" s="1">
        <f>Sales!T122</f>
        <v>0</v>
      </c>
      <c r="D67" s="1">
        <f>Sales!V122</f>
        <v>0</v>
      </c>
      <c r="E67" s="1">
        <f>Sales!W122</f>
        <v>0</v>
      </c>
      <c r="F67" s="1">
        <f>Sales!X122</f>
        <v>0</v>
      </c>
    </row>
    <row r="68" spans="1:6" ht="12.75" customHeight="1" x14ac:dyDescent="0.2">
      <c r="A68" s="1">
        <f>'(Tables)'!O12</f>
        <v>1.0833333333333333</v>
      </c>
      <c r="B68" s="1">
        <f>'(Tables)'!P12</f>
        <v>1.1666666666666665</v>
      </c>
      <c r="C68" s="1">
        <f>'(Tables)'!Q12</f>
        <v>1.2499999999999998</v>
      </c>
      <c r="D68" s="1">
        <f>'(Tables)'!R12</f>
        <v>1.333333333333333</v>
      </c>
      <c r="E68" s="1">
        <f>'(Tables)'!S12</f>
        <v>1.4166666666666663</v>
      </c>
      <c r="F68" s="1">
        <f>'(Tables)'!T12</f>
        <v>1.4999999999999996</v>
      </c>
    </row>
    <row r="69" spans="1:6" ht="12.75" customHeight="1" x14ac:dyDescent="0.2">
      <c r="A69" t="e">
        <f t="array" ref="A69:B69">LOGEST(A67:F67,A68:F68,TRUE,FALSE)</f>
        <v>#NUM!</v>
      </c>
      <c r="B69" t="e">
        <v>#NUM!</v>
      </c>
    </row>
    <row r="71" spans="1:6" ht="12.75" customHeight="1" x14ac:dyDescent="0.2">
      <c r="A71" s="1">
        <f>Sales!R135</f>
        <v>0</v>
      </c>
      <c r="B71" s="1">
        <f>Sales!S135</f>
        <v>0</v>
      </c>
      <c r="C71" s="1">
        <f>Sales!T135</f>
        <v>0</v>
      </c>
      <c r="D71" s="1">
        <f>Sales!V135</f>
        <v>0</v>
      </c>
      <c r="E71" s="1">
        <f>Sales!W135</f>
        <v>0</v>
      </c>
      <c r="F71" s="1">
        <f>Sales!X135</f>
        <v>0</v>
      </c>
    </row>
    <row r="72" spans="1:6" ht="12.75" customHeight="1" x14ac:dyDescent="0.2">
      <c r="A72" s="1">
        <f>'(Tables)'!O12</f>
        <v>1.0833333333333333</v>
      </c>
      <c r="B72" s="1">
        <f>'(Tables)'!P12</f>
        <v>1.1666666666666665</v>
      </c>
      <c r="C72" s="1">
        <f>'(Tables)'!Q12</f>
        <v>1.2499999999999998</v>
      </c>
      <c r="D72" s="1">
        <f>'(Tables)'!R12</f>
        <v>1.333333333333333</v>
      </c>
      <c r="E72" s="1">
        <f>'(Tables)'!S12</f>
        <v>1.4166666666666663</v>
      </c>
      <c r="F72" s="1">
        <f>'(Tables)'!T12</f>
        <v>1.4999999999999996</v>
      </c>
    </row>
    <row r="73" spans="1:6" ht="12.75" customHeight="1" x14ac:dyDescent="0.2">
      <c r="A73" t="e">
        <f t="array" ref="A73:B73">LOGEST(A71:F71,A72:F72,TRUE,FALSE)</f>
        <v>#NUM!</v>
      </c>
      <c r="B73" t="e">
        <v>#NUM!</v>
      </c>
    </row>
    <row r="75" spans="1:6" ht="12.75" customHeight="1" x14ac:dyDescent="0.2">
      <c r="A75" s="1">
        <f>Sales!R110</f>
        <v>0</v>
      </c>
      <c r="B75" s="1">
        <f>Sales!S110</f>
        <v>0</v>
      </c>
      <c r="C75" s="1">
        <f>Sales!T110</f>
        <v>0</v>
      </c>
      <c r="D75" s="1">
        <f>Sales!V110</f>
        <v>0</v>
      </c>
      <c r="E75" s="1">
        <f>Sales!W110</f>
        <v>0</v>
      </c>
      <c r="F75" s="1">
        <f>Sales!X110</f>
        <v>0</v>
      </c>
    </row>
    <row r="76" spans="1:6" ht="12.75" customHeight="1" x14ac:dyDescent="0.2">
      <c r="A76" s="1">
        <f>'(Tables)'!O12</f>
        <v>1.0833333333333333</v>
      </c>
      <c r="B76" s="1">
        <f>'(Tables)'!P12</f>
        <v>1.1666666666666665</v>
      </c>
      <c r="C76" s="1">
        <f>'(Tables)'!Q12</f>
        <v>1.2499999999999998</v>
      </c>
      <c r="D76" s="1">
        <f>'(Tables)'!R12</f>
        <v>1.333333333333333</v>
      </c>
      <c r="E76" s="1">
        <f>'(Tables)'!S12</f>
        <v>1.4166666666666663</v>
      </c>
      <c r="F76" s="1">
        <f>'(Tables)'!T12</f>
        <v>1.4999999999999996</v>
      </c>
    </row>
    <row r="77" spans="1:6" ht="12.75" customHeight="1" x14ac:dyDescent="0.2">
      <c r="A77" t="e">
        <f t="array" ref="A77:B77">LOGEST(A75:F75,A76:F76,TRUE,FALSE)</f>
        <v>#NUM!</v>
      </c>
      <c r="B77" t="e">
        <v>#NUM!</v>
      </c>
    </row>
    <row r="79" spans="1:6" ht="12.75" customHeight="1" x14ac:dyDescent="0.2">
      <c r="A79" s="1">
        <f>Sales!R123</f>
        <v>0</v>
      </c>
      <c r="B79" s="1">
        <f>Sales!S123</f>
        <v>0</v>
      </c>
      <c r="C79" s="1">
        <f>Sales!T123</f>
        <v>0</v>
      </c>
      <c r="D79" s="1">
        <f>Sales!V123</f>
        <v>0</v>
      </c>
      <c r="E79" s="1">
        <f>Sales!W123</f>
        <v>0</v>
      </c>
      <c r="F79" s="1">
        <f>Sales!X123</f>
        <v>0</v>
      </c>
    </row>
    <row r="80" spans="1:6" ht="12.75" customHeight="1" x14ac:dyDescent="0.2">
      <c r="A80" s="1">
        <f>'(Tables)'!O12</f>
        <v>1.0833333333333333</v>
      </c>
      <c r="B80" s="1">
        <f>'(Tables)'!P12</f>
        <v>1.1666666666666665</v>
      </c>
      <c r="C80" s="1">
        <f>'(Tables)'!Q12</f>
        <v>1.2499999999999998</v>
      </c>
      <c r="D80" s="1">
        <f>'(Tables)'!R12</f>
        <v>1.333333333333333</v>
      </c>
      <c r="E80" s="1">
        <f>'(Tables)'!S12</f>
        <v>1.4166666666666663</v>
      </c>
      <c r="F80" s="1">
        <f>'(Tables)'!T12</f>
        <v>1.4999999999999996</v>
      </c>
    </row>
    <row r="81" spans="1:6" ht="12.75" customHeight="1" x14ac:dyDescent="0.2">
      <c r="A81" t="e">
        <f t="array" ref="A81:B81">LOGEST(A79:F79,A80:F80,TRUE,FALSE)</f>
        <v>#NUM!</v>
      </c>
      <c r="B81" t="e">
        <v>#NUM!</v>
      </c>
    </row>
    <row r="83" spans="1:6" ht="12.75" customHeight="1" x14ac:dyDescent="0.2">
      <c r="A83" s="1">
        <f>Sales!R136</f>
        <v>0</v>
      </c>
      <c r="B83" s="1">
        <f>Sales!S136</f>
        <v>0</v>
      </c>
      <c r="C83" s="1">
        <f>Sales!T136</f>
        <v>0</v>
      </c>
      <c r="D83" s="1">
        <f>Sales!V136</f>
        <v>0</v>
      </c>
      <c r="E83" s="1">
        <f>Sales!W136</f>
        <v>0</v>
      </c>
      <c r="F83" s="1">
        <f>Sales!X136</f>
        <v>0</v>
      </c>
    </row>
    <row r="84" spans="1:6" ht="12.75" customHeight="1" x14ac:dyDescent="0.2">
      <c r="A84" s="1">
        <f>'(Tables)'!O12</f>
        <v>1.0833333333333333</v>
      </c>
      <c r="B84" s="1">
        <f>'(Tables)'!P12</f>
        <v>1.1666666666666665</v>
      </c>
      <c r="C84" s="1">
        <f>'(Tables)'!Q12</f>
        <v>1.2499999999999998</v>
      </c>
      <c r="D84" s="1">
        <f>'(Tables)'!R12</f>
        <v>1.333333333333333</v>
      </c>
      <c r="E84" s="1">
        <f>'(Tables)'!S12</f>
        <v>1.4166666666666663</v>
      </c>
      <c r="F84" s="1">
        <f>'(Tables)'!T12</f>
        <v>1.4999999999999996</v>
      </c>
    </row>
    <row r="85" spans="1:6" ht="12.75" customHeight="1" x14ac:dyDescent="0.2">
      <c r="A85" t="e">
        <f t="array" ref="A85:B85">LOGEST(A83:F83,A84:F84,TRUE,FALSE)</f>
        <v>#NUM!</v>
      </c>
      <c r="B85" t="e">
        <v>#NUM!</v>
      </c>
    </row>
    <row r="87" spans="1:6" ht="12.75" customHeight="1" x14ac:dyDescent="0.2">
      <c r="A87" s="1">
        <f>Practices!R179</f>
        <v>0</v>
      </c>
      <c r="B87" s="1">
        <f>Practices!S179</f>
        <v>0</v>
      </c>
      <c r="C87" s="1">
        <f>Practices!T179</f>
        <v>0</v>
      </c>
      <c r="D87" s="1">
        <f>Practices!V179</f>
        <v>0</v>
      </c>
      <c r="E87" s="1">
        <f>Practices!W179</f>
        <v>0</v>
      </c>
      <c r="F87" s="1">
        <f>Practices!X179</f>
        <v>0</v>
      </c>
    </row>
    <row r="88" spans="1:6" ht="12.75" customHeight="1" x14ac:dyDescent="0.2">
      <c r="A88" s="1">
        <f>'(Tables)'!O12</f>
        <v>1.0833333333333333</v>
      </c>
      <c r="B88" s="1">
        <f>'(Tables)'!P12</f>
        <v>1.1666666666666665</v>
      </c>
      <c r="C88" s="1">
        <f>'(Tables)'!Q12</f>
        <v>1.2499999999999998</v>
      </c>
      <c r="D88" s="1">
        <f>'(Tables)'!R12</f>
        <v>1.333333333333333</v>
      </c>
      <c r="E88" s="1">
        <f>'(Tables)'!S12</f>
        <v>1.4166666666666663</v>
      </c>
      <c r="F88" s="1">
        <f>'(Tables)'!T12</f>
        <v>1.4999999999999996</v>
      </c>
    </row>
    <row r="89" spans="1:6" ht="12.75" customHeight="1" x14ac:dyDescent="0.2">
      <c r="A89" t="e">
        <f t="array" ref="A89:B89">LOGEST(A87:F87,A88:F88,TRUE,FALSE)</f>
        <v>#NUM!</v>
      </c>
      <c r="B89" t="e">
        <v>#NUM!</v>
      </c>
    </row>
    <row r="91" spans="1:6" ht="12.75" customHeight="1" x14ac:dyDescent="0.2">
      <c r="A91" s="1">
        <f>Practices!R183</f>
        <v>0</v>
      </c>
      <c r="B91" s="1">
        <f>Practices!S183</f>
        <v>0</v>
      </c>
      <c r="C91" s="1">
        <f>Practices!T183</f>
        <v>0</v>
      </c>
      <c r="D91" s="1">
        <f>Practices!V183</f>
        <v>0</v>
      </c>
      <c r="E91" s="1">
        <f>Practices!W183</f>
        <v>0</v>
      </c>
      <c r="F91" s="1">
        <f>Practices!X183</f>
        <v>0</v>
      </c>
    </row>
    <row r="92" spans="1:6" ht="12.75" customHeight="1" x14ac:dyDescent="0.2">
      <c r="A92" s="1">
        <f>'(Tables)'!O12</f>
        <v>1.0833333333333333</v>
      </c>
      <c r="B92" s="1">
        <f>'(Tables)'!P12</f>
        <v>1.1666666666666665</v>
      </c>
      <c r="C92" s="1">
        <f>'(Tables)'!Q12</f>
        <v>1.2499999999999998</v>
      </c>
      <c r="D92" s="1">
        <f>'(Tables)'!R12</f>
        <v>1.333333333333333</v>
      </c>
      <c r="E92" s="1">
        <f>'(Tables)'!S12</f>
        <v>1.4166666666666663</v>
      </c>
      <c r="F92" s="1">
        <f>'(Tables)'!T12</f>
        <v>1.4999999999999996</v>
      </c>
    </row>
    <row r="93" spans="1:6" ht="12.75" customHeight="1" x14ac:dyDescent="0.2">
      <c r="A93" t="e">
        <f t="array" ref="A93:B93">LOGEST(A91:F91,A92:F92,TRUE,FALSE)</f>
        <v>#NUM!</v>
      </c>
      <c r="B93" t="e">
        <v>#NUM!</v>
      </c>
    </row>
    <row r="95" spans="1:6" ht="12.75" customHeight="1" x14ac:dyDescent="0.2">
      <c r="A95" s="1">
        <f>Practices!R187</f>
        <v>0</v>
      </c>
      <c r="B95" s="1">
        <f>Practices!S187</f>
        <v>0</v>
      </c>
      <c r="C95" s="1">
        <f>Practices!T187</f>
        <v>0</v>
      </c>
      <c r="D95" s="1">
        <f>Practices!V187</f>
        <v>0</v>
      </c>
      <c r="E95" s="1">
        <f>Practices!W187</f>
        <v>0</v>
      </c>
      <c r="F95" s="1">
        <f>Practices!X187</f>
        <v>0</v>
      </c>
    </row>
    <row r="96" spans="1:6" ht="12.75" customHeight="1" x14ac:dyDescent="0.2">
      <c r="A96" s="1">
        <f>'(Tables)'!O12</f>
        <v>1.0833333333333333</v>
      </c>
      <c r="B96" s="1">
        <f>'(Tables)'!P12</f>
        <v>1.1666666666666665</v>
      </c>
      <c r="C96" s="1">
        <f>'(Tables)'!Q12</f>
        <v>1.2499999999999998</v>
      </c>
      <c r="D96" s="1">
        <f>'(Tables)'!R12</f>
        <v>1.333333333333333</v>
      </c>
      <c r="E96" s="1">
        <f>'(Tables)'!S12</f>
        <v>1.4166666666666663</v>
      </c>
      <c r="F96" s="1">
        <f>'(Tables)'!T12</f>
        <v>1.4999999999999996</v>
      </c>
    </row>
    <row r="97" spans="1:6" ht="12.75" customHeight="1" x14ac:dyDescent="0.2">
      <c r="A97" t="e">
        <f t="array" ref="A97:B97">LOGEST(A95:F95,A96:F96,TRUE,FALSE)</f>
        <v>#NUM!</v>
      </c>
      <c r="B97" t="e">
        <v>#NUM!</v>
      </c>
    </row>
    <row r="99" spans="1:6" ht="12.75" customHeight="1" x14ac:dyDescent="0.2">
      <c r="A99" s="1">
        <f>Sales!R113</f>
        <v>0</v>
      </c>
      <c r="B99" s="1">
        <f>Sales!S113</f>
        <v>0</v>
      </c>
      <c r="C99" s="1">
        <f>Sales!T113</f>
        <v>0</v>
      </c>
      <c r="D99" s="1">
        <f>Sales!V113</f>
        <v>0</v>
      </c>
      <c r="E99" s="1">
        <f>Sales!W113</f>
        <v>0</v>
      </c>
      <c r="F99" s="1">
        <f>Sales!X113</f>
        <v>0</v>
      </c>
    </row>
    <row r="100" spans="1:6" ht="12.75" customHeight="1" x14ac:dyDescent="0.2">
      <c r="A100" s="1">
        <f>'(Tables)'!O12</f>
        <v>1.0833333333333333</v>
      </c>
      <c r="B100" s="1">
        <f>'(Tables)'!P12</f>
        <v>1.1666666666666665</v>
      </c>
      <c r="C100" s="1">
        <f>'(Tables)'!Q12</f>
        <v>1.2499999999999998</v>
      </c>
      <c r="D100" s="1">
        <f>'(Tables)'!R12</f>
        <v>1.333333333333333</v>
      </c>
      <c r="E100" s="1">
        <f>'(Tables)'!S12</f>
        <v>1.4166666666666663</v>
      </c>
      <c r="F100" s="1">
        <f>'(Tables)'!T12</f>
        <v>1.4999999999999996</v>
      </c>
    </row>
    <row r="101" spans="1:6" ht="12.75" customHeight="1" x14ac:dyDescent="0.2">
      <c r="A101" t="e">
        <f t="array" ref="A101:B101">LOGEST(A99:F99,A100:F100,TRUE,FALSE)</f>
        <v>#NUM!</v>
      </c>
      <c r="B101" t="e">
        <v>#NUM!</v>
      </c>
    </row>
    <row r="103" spans="1:6" ht="12.75" customHeight="1" x14ac:dyDescent="0.2">
      <c r="A103" s="1">
        <f>Sales!R126</f>
        <v>0</v>
      </c>
      <c r="B103" s="1">
        <f>Sales!S126</f>
        <v>0</v>
      </c>
      <c r="C103" s="1">
        <f>Sales!T126</f>
        <v>0</v>
      </c>
      <c r="D103" s="1">
        <f>Sales!V126</f>
        <v>0</v>
      </c>
      <c r="E103" s="1">
        <f>Sales!W126</f>
        <v>0</v>
      </c>
      <c r="F103" s="1">
        <f>Sales!X126</f>
        <v>0</v>
      </c>
    </row>
    <row r="104" spans="1:6" ht="12.75" customHeight="1" x14ac:dyDescent="0.2">
      <c r="A104" s="1">
        <f>'(Tables)'!O12</f>
        <v>1.0833333333333333</v>
      </c>
      <c r="B104" s="1">
        <f>'(Tables)'!P12</f>
        <v>1.1666666666666665</v>
      </c>
      <c r="C104" s="1">
        <f>'(Tables)'!Q12</f>
        <v>1.2499999999999998</v>
      </c>
      <c r="D104" s="1">
        <f>'(Tables)'!R12</f>
        <v>1.333333333333333</v>
      </c>
      <c r="E104" s="1">
        <f>'(Tables)'!S12</f>
        <v>1.4166666666666663</v>
      </c>
      <c r="F104" s="1">
        <f>'(Tables)'!T12</f>
        <v>1.4999999999999996</v>
      </c>
    </row>
    <row r="105" spans="1:6" ht="12.75" customHeight="1" x14ac:dyDescent="0.2">
      <c r="A105" t="e">
        <f t="array" ref="A105:B105">LOGEST(A103:F103,A104:F104,TRUE,FALSE)</f>
        <v>#NUM!</v>
      </c>
      <c r="B105" t="e">
        <v>#NUM!</v>
      </c>
    </row>
    <row r="107" spans="1:6" ht="12.75" customHeight="1" x14ac:dyDescent="0.2">
      <c r="A107" s="1">
        <f>Sales!R139</f>
        <v>0</v>
      </c>
      <c r="B107" s="1">
        <f>Sales!S139</f>
        <v>0</v>
      </c>
      <c r="C107" s="1">
        <f>Sales!T139</f>
        <v>0</v>
      </c>
      <c r="D107" s="1">
        <f>Sales!V139</f>
        <v>0</v>
      </c>
      <c r="E107" s="1">
        <f>Sales!W139</f>
        <v>0</v>
      </c>
      <c r="F107" s="1">
        <f>Sales!X139</f>
        <v>0</v>
      </c>
    </row>
    <row r="108" spans="1:6" ht="12.75" customHeight="1" x14ac:dyDescent="0.2">
      <c r="A108" s="1">
        <f>'(Tables)'!O12</f>
        <v>1.0833333333333333</v>
      </c>
      <c r="B108" s="1">
        <f>'(Tables)'!P12</f>
        <v>1.1666666666666665</v>
      </c>
      <c r="C108" s="1">
        <f>'(Tables)'!Q12</f>
        <v>1.2499999999999998</v>
      </c>
      <c r="D108" s="1">
        <f>'(Tables)'!R12</f>
        <v>1.333333333333333</v>
      </c>
      <c r="E108" s="1">
        <f>'(Tables)'!S12</f>
        <v>1.4166666666666663</v>
      </c>
      <c r="F108" s="1">
        <f>'(Tables)'!T12</f>
        <v>1.4999999999999996</v>
      </c>
    </row>
    <row r="109" spans="1:6" ht="12.75" customHeight="1" x14ac:dyDescent="0.2">
      <c r="A109" t="e">
        <f t="array" ref="A109:B109">LOGEST(A107:F107,A108:F108,TRUE,FALSE)</f>
        <v>#NUM!</v>
      </c>
      <c r="B109" t="e">
        <v>#NUM!</v>
      </c>
    </row>
    <row r="111" spans="1:6" ht="12.75" customHeight="1" x14ac:dyDescent="0.2">
      <c r="A111" s="1">
        <f>Sales!R114</f>
        <v>0</v>
      </c>
      <c r="B111" s="1">
        <f>Sales!S114</f>
        <v>0</v>
      </c>
      <c r="C111" s="1">
        <f>Sales!T114</f>
        <v>0</v>
      </c>
      <c r="D111" s="1">
        <f>Sales!V114</f>
        <v>0</v>
      </c>
      <c r="E111" s="1">
        <f>Sales!W114</f>
        <v>0</v>
      </c>
      <c r="F111" s="1">
        <f>Sales!X114</f>
        <v>0</v>
      </c>
    </row>
    <row r="112" spans="1:6" ht="12.75" customHeight="1" x14ac:dyDescent="0.2">
      <c r="A112" s="1">
        <f>'(Tables)'!O12</f>
        <v>1.0833333333333333</v>
      </c>
      <c r="B112" s="1">
        <f>'(Tables)'!P12</f>
        <v>1.1666666666666665</v>
      </c>
      <c r="C112" s="1">
        <f>'(Tables)'!Q12</f>
        <v>1.2499999999999998</v>
      </c>
      <c r="D112" s="1">
        <f>'(Tables)'!R12</f>
        <v>1.333333333333333</v>
      </c>
      <c r="E112" s="1">
        <f>'(Tables)'!S12</f>
        <v>1.4166666666666663</v>
      </c>
      <c r="F112" s="1">
        <f>'(Tables)'!T12</f>
        <v>1.4999999999999996</v>
      </c>
    </row>
    <row r="113" spans="1:6" ht="12.75" customHeight="1" x14ac:dyDescent="0.2">
      <c r="A113" t="e">
        <f t="array" ref="A113:B113">LOGEST(A111:F111,A112:F112,TRUE,FALSE)</f>
        <v>#NUM!</v>
      </c>
      <c r="B113" t="e">
        <v>#NUM!</v>
      </c>
    </row>
    <row r="115" spans="1:6" ht="12.75" customHeight="1" x14ac:dyDescent="0.2">
      <c r="A115" s="1">
        <f>Sales!R127</f>
        <v>0</v>
      </c>
      <c r="B115" s="1">
        <f>Sales!S127</f>
        <v>0</v>
      </c>
      <c r="C115" s="1">
        <f>Sales!T127</f>
        <v>0</v>
      </c>
      <c r="D115" s="1">
        <f>Sales!V127</f>
        <v>0</v>
      </c>
      <c r="E115" s="1">
        <f>Sales!W127</f>
        <v>0</v>
      </c>
      <c r="F115" s="1">
        <f>Sales!X127</f>
        <v>0</v>
      </c>
    </row>
    <row r="116" spans="1:6" ht="12.75" customHeight="1" x14ac:dyDescent="0.2">
      <c r="A116" s="1">
        <f>'(Tables)'!O12</f>
        <v>1.0833333333333333</v>
      </c>
      <c r="B116" s="1">
        <f>'(Tables)'!P12</f>
        <v>1.1666666666666665</v>
      </c>
      <c r="C116" s="1">
        <f>'(Tables)'!Q12</f>
        <v>1.2499999999999998</v>
      </c>
      <c r="D116" s="1">
        <f>'(Tables)'!R12</f>
        <v>1.333333333333333</v>
      </c>
      <c r="E116" s="1">
        <f>'(Tables)'!S12</f>
        <v>1.4166666666666663</v>
      </c>
      <c r="F116" s="1">
        <f>'(Tables)'!T12</f>
        <v>1.4999999999999996</v>
      </c>
    </row>
    <row r="117" spans="1:6" ht="12.75" customHeight="1" x14ac:dyDescent="0.2">
      <c r="A117" t="e">
        <f t="array" ref="A117:B117">LOGEST(A115:F115,A116:F116,TRUE,FALSE)</f>
        <v>#NUM!</v>
      </c>
      <c r="B117" t="e">
        <v>#NUM!</v>
      </c>
    </row>
    <row r="119" spans="1:6" ht="12.75" customHeight="1" x14ac:dyDescent="0.2">
      <c r="A119" s="1">
        <f>Sales!R140</f>
        <v>0</v>
      </c>
      <c r="B119" s="1">
        <f>Sales!S140</f>
        <v>0</v>
      </c>
      <c r="C119" s="1">
        <f>Sales!T140</f>
        <v>0</v>
      </c>
      <c r="D119" s="1">
        <f>Sales!V140</f>
        <v>0</v>
      </c>
      <c r="E119" s="1">
        <f>Sales!W140</f>
        <v>0</v>
      </c>
      <c r="F119" s="1">
        <f>Sales!X140</f>
        <v>0</v>
      </c>
    </row>
    <row r="120" spans="1:6" ht="12.75" customHeight="1" x14ac:dyDescent="0.2">
      <c r="A120" s="1">
        <f>'(Tables)'!O12</f>
        <v>1.0833333333333333</v>
      </c>
      <c r="B120" s="1">
        <f>'(Tables)'!P12</f>
        <v>1.1666666666666665</v>
      </c>
      <c r="C120" s="1">
        <f>'(Tables)'!Q12</f>
        <v>1.2499999999999998</v>
      </c>
      <c r="D120" s="1">
        <f>'(Tables)'!R12</f>
        <v>1.333333333333333</v>
      </c>
      <c r="E120" s="1">
        <f>'(Tables)'!S12</f>
        <v>1.4166666666666663</v>
      </c>
      <c r="F120" s="1">
        <f>'(Tables)'!T12</f>
        <v>1.4999999999999996</v>
      </c>
    </row>
    <row r="121" spans="1:6" ht="12.75" customHeight="1" x14ac:dyDescent="0.2">
      <c r="A121" t="e">
        <f t="array" ref="A121:B121">LOGEST(A119:F119,A120:F120,TRUE,FALSE)</f>
        <v>#NUM!</v>
      </c>
      <c r="B121" t="e">
        <v>#NUM!</v>
      </c>
    </row>
    <row r="123" spans="1:6" ht="12.75" customHeight="1" x14ac:dyDescent="0.2">
      <c r="A123" s="1">
        <f>Practices!R180</f>
        <v>0</v>
      </c>
      <c r="B123" s="1">
        <f>Practices!S180</f>
        <v>0</v>
      </c>
      <c r="C123" s="1">
        <f>Practices!T180</f>
        <v>0</v>
      </c>
      <c r="D123" s="1">
        <f>Practices!V180</f>
        <v>0</v>
      </c>
      <c r="E123" s="1">
        <f>Practices!W180</f>
        <v>0</v>
      </c>
      <c r="F123" s="1">
        <f>Practices!X180</f>
        <v>0</v>
      </c>
    </row>
    <row r="124" spans="1:6" ht="12.75" customHeight="1" x14ac:dyDescent="0.2">
      <c r="A124" s="1">
        <f>'(Tables)'!O12</f>
        <v>1.0833333333333333</v>
      </c>
      <c r="B124" s="1">
        <f>'(Tables)'!P12</f>
        <v>1.1666666666666665</v>
      </c>
      <c r="C124" s="1">
        <f>'(Tables)'!Q12</f>
        <v>1.2499999999999998</v>
      </c>
      <c r="D124" s="1">
        <f>'(Tables)'!R12</f>
        <v>1.333333333333333</v>
      </c>
      <c r="E124" s="1">
        <f>'(Tables)'!S12</f>
        <v>1.4166666666666663</v>
      </c>
      <c r="F124" s="1">
        <f>'(Tables)'!T12</f>
        <v>1.4999999999999996</v>
      </c>
    </row>
    <row r="125" spans="1:6" ht="12.75" customHeight="1" x14ac:dyDescent="0.2">
      <c r="A125" t="e">
        <f t="array" ref="A125:B125">LOGEST(A123:F123,A124:F124,TRUE,FALSE)</f>
        <v>#NUM!</v>
      </c>
      <c r="B125" t="e">
        <v>#NUM!</v>
      </c>
    </row>
    <row r="127" spans="1:6" ht="12.75" customHeight="1" x14ac:dyDescent="0.2">
      <c r="A127" s="1">
        <f>Practices!R184</f>
        <v>0</v>
      </c>
      <c r="B127" s="1">
        <f>Practices!S184</f>
        <v>0</v>
      </c>
      <c r="C127" s="1">
        <f>Practices!T184</f>
        <v>0</v>
      </c>
      <c r="D127" s="1">
        <f>Practices!V184</f>
        <v>0</v>
      </c>
      <c r="E127" s="1">
        <f>Practices!W184</f>
        <v>0</v>
      </c>
      <c r="F127" s="1">
        <f>Practices!X184</f>
        <v>0</v>
      </c>
    </row>
    <row r="128" spans="1:6" ht="12.75" customHeight="1" x14ac:dyDescent="0.2">
      <c r="A128" s="1">
        <f>'(Tables)'!O12</f>
        <v>1.0833333333333333</v>
      </c>
      <c r="B128" s="1">
        <f>'(Tables)'!P12</f>
        <v>1.1666666666666665</v>
      </c>
      <c r="C128" s="1">
        <f>'(Tables)'!Q12</f>
        <v>1.2499999999999998</v>
      </c>
      <c r="D128" s="1">
        <f>'(Tables)'!R12</f>
        <v>1.333333333333333</v>
      </c>
      <c r="E128" s="1">
        <f>'(Tables)'!S12</f>
        <v>1.4166666666666663</v>
      </c>
      <c r="F128" s="1">
        <f>'(Tables)'!T12</f>
        <v>1.4999999999999996</v>
      </c>
    </row>
    <row r="129" spans="1:6" ht="12.75" customHeight="1" x14ac:dyDescent="0.2">
      <c r="A129" t="e">
        <f t="array" ref="A129:B129">LOGEST(A127:F127,A128:F128,TRUE,FALSE)</f>
        <v>#NUM!</v>
      </c>
      <c r="B129" t="e">
        <v>#NUM!</v>
      </c>
    </row>
    <row r="131" spans="1:6" ht="12.75" customHeight="1" x14ac:dyDescent="0.2">
      <c r="A131" s="1">
        <f>Practices!R188</f>
        <v>0</v>
      </c>
      <c r="B131" s="1">
        <f>Practices!S188</f>
        <v>0</v>
      </c>
      <c r="C131" s="1">
        <f>Practices!T188</f>
        <v>0</v>
      </c>
      <c r="D131" s="1">
        <f>Practices!V188</f>
        <v>0</v>
      </c>
      <c r="E131" s="1">
        <f>Practices!W188</f>
        <v>0</v>
      </c>
      <c r="F131" s="1">
        <f>Practices!X188</f>
        <v>0</v>
      </c>
    </row>
    <row r="132" spans="1:6" ht="12.75" customHeight="1" x14ac:dyDescent="0.2">
      <c r="A132" s="1">
        <f>'(Tables)'!O12</f>
        <v>1.0833333333333333</v>
      </c>
      <c r="B132" s="1">
        <f>'(Tables)'!P12</f>
        <v>1.1666666666666665</v>
      </c>
      <c r="C132" s="1">
        <f>'(Tables)'!Q12</f>
        <v>1.2499999999999998</v>
      </c>
      <c r="D132" s="1">
        <f>'(Tables)'!R12</f>
        <v>1.333333333333333</v>
      </c>
      <c r="E132" s="1">
        <f>'(Tables)'!S12</f>
        <v>1.4166666666666663</v>
      </c>
      <c r="F132" s="1">
        <f>'(Tables)'!T12</f>
        <v>1.4999999999999996</v>
      </c>
    </row>
    <row r="133" spans="1:6" ht="12.75" customHeight="1" x14ac:dyDescent="0.2">
      <c r="A133" t="e">
        <f t="array" ref="A133:B133">LOGEST(A131:F131,A132:F132,TRUE,FALSE)</f>
        <v>#NUM!</v>
      </c>
      <c r="B133" t="e">
        <v>#NUM!</v>
      </c>
    </row>
    <row r="135" spans="1:6" ht="12.75" customHeight="1" x14ac:dyDescent="0.2">
      <c r="A135" s="1">
        <f>Practices!R9</f>
        <v>0</v>
      </c>
      <c r="B135" s="1">
        <f>Practices!S9</f>
        <v>0</v>
      </c>
      <c r="C135" s="1">
        <f>Practices!T9</f>
        <v>0</v>
      </c>
      <c r="D135" s="1">
        <f>Practices!V9</f>
        <v>0</v>
      </c>
      <c r="E135" s="1">
        <f>Practices!W9</f>
        <v>0</v>
      </c>
      <c r="F135" s="1">
        <f>Practices!X9</f>
        <v>0</v>
      </c>
    </row>
    <row r="136" spans="1:6" ht="12.75" customHeight="1" x14ac:dyDescent="0.2">
      <c r="A136" s="1">
        <f>'(Tables)'!O12</f>
        <v>1.0833333333333333</v>
      </c>
      <c r="B136" s="1">
        <f>'(Tables)'!P12</f>
        <v>1.1666666666666665</v>
      </c>
      <c r="C136" s="1">
        <f>'(Tables)'!Q12</f>
        <v>1.2499999999999998</v>
      </c>
      <c r="D136" s="1">
        <f>'(Tables)'!R12</f>
        <v>1.333333333333333</v>
      </c>
      <c r="E136" s="1">
        <f>'(Tables)'!S12</f>
        <v>1.4166666666666663</v>
      </c>
      <c r="F136" s="1">
        <f>'(Tables)'!T12</f>
        <v>1.4999999999999996</v>
      </c>
    </row>
    <row r="137" spans="1:6" ht="12.75" customHeight="1" x14ac:dyDescent="0.2">
      <c r="A137" t="e">
        <f t="array" ref="A137:B137">LOGEST(A135:F135,A136:F136,TRUE,FALSE)</f>
        <v>#NUM!</v>
      </c>
      <c r="B137" t="e">
        <v>#NUM!</v>
      </c>
    </row>
    <row r="139" spans="1:6" ht="12.75" customHeight="1" x14ac:dyDescent="0.2">
      <c r="A139" s="1">
        <f>Practices!R10</f>
        <v>0</v>
      </c>
      <c r="B139" s="1">
        <f>Practices!S10</f>
        <v>0</v>
      </c>
      <c r="C139" s="1">
        <f>Practices!T10</f>
        <v>0</v>
      </c>
      <c r="D139" s="1">
        <f>Practices!V10</f>
        <v>0</v>
      </c>
      <c r="E139" s="1">
        <f>Practices!W10</f>
        <v>0</v>
      </c>
      <c r="F139" s="1">
        <f>Practices!X10</f>
        <v>0</v>
      </c>
    </row>
    <row r="140" spans="1:6" ht="12.75" customHeight="1" x14ac:dyDescent="0.2">
      <c r="A140" s="1">
        <f>'(Tables)'!O12</f>
        <v>1.0833333333333333</v>
      </c>
      <c r="B140" s="1">
        <f>'(Tables)'!P12</f>
        <v>1.1666666666666665</v>
      </c>
      <c r="C140" s="1">
        <f>'(Tables)'!Q12</f>
        <v>1.2499999999999998</v>
      </c>
      <c r="D140" s="1">
        <f>'(Tables)'!R12</f>
        <v>1.333333333333333</v>
      </c>
      <c r="E140" s="1">
        <f>'(Tables)'!S12</f>
        <v>1.4166666666666663</v>
      </c>
      <c r="F140" s="1">
        <f>'(Tables)'!T12</f>
        <v>1.4999999999999996</v>
      </c>
    </row>
    <row r="141" spans="1:6" ht="12.75" customHeight="1" x14ac:dyDescent="0.2">
      <c r="A141" t="e">
        <f t="array" ref="A141:B141">LOGEST(A139:F139,A140:F140,TRUE,FALSE)</f>
        <v>#NUM!</v>
      </c>
      <c r="B141" t="e">
        <v>#NUM!</v>
      </c>
    </row>
    <row r="143" spans="1:6" ht="12.75" customHeight="1" x14ac:dyDescent="0.2">
      <c r="A143" s="1">
        <f>IncStmt!R6</f>
        <v>0</v>
      </c>
      <c r="B143" s="1">
        <f>IncStmt!S6</f>
        <v>0</v>
      </c>
      <c r="C143" s="1">
        <f>IncStmt!T6</f>
        <v>0</v>
      </c>
      <c r="D143" s="1">
        <f>IncStmt!V6</f>
        <v>0</v>
      </c>
      <c r="E143" s="1">
        <f>IncStmt!W6</f>
        <v>0</v>
      </c>
      <c r="F143" s="1">
        <f>IncStmt!X6</f>
        <v>0</v>
      </c>
    </row>
    <row r="144" spans="1:6" ht="12.75" customHeight="1" x14ac:dyDescent="0.2">
      <c r="A144" s="1">
        <f>'(Tables)'!O12</f>
        <v>1.0833333333333333</v>
      </c>
      <c r="B144" s="1">
        <f>'(Tables)'!P12</f>
        <v>1.1666666666666665</v>
      </c>
      <c r="C144" s="1">
        <f>'(Tables)'!Q12</f>
        <v>1.2499999999999998</v>
      </c>
      <c r="D144" s="1">
        <f>'(Tables)'!R12</f>
        <v>1.333333333333333</v>
      </c>
      <c r="E144" s="1">
        <f>'(Tables)'!S12</f>
        <v>1.4166666666666663</v>
      </c>
      <c r="F144" s="1">
        <f>'(Tables)'!T12</f>
        <v>1.4999999999999996</v>
      </c>
    </row>
    <row r="145" spans="1:6" ht="12.75" customHeight="1" x14ac:dyDescent="0.2">
      <c r="A145" t="e">
        <f t="array" ref="A145:B145">LOGEST(A143:F143,A144:F144,TRUE,FALSE)</f>
        <v>#NUM!</v>
      </c>
      <c r="B145" t="e">
        <v>#NUM!</v>
      </c>
    </row>
    <row r="147" spans="1:6" ht="12.75" customHeight="1" x14ac:dyDescent="0.2">
      <c r="A147" s="1">
        <f>Practices!R48</f>
        <v>0</v>
      </c>
      <c r="B147" s="1">
        <f>Practices!S48</f>
        <v>0</v>
      </c>
      <c r="C147" s="1">
        <f>Practices!T48</f>
        <v>0</v>
      </c>
      <c r="D147" s="1">
        <f>Practices!V48</f>
        <v>0</v>
      </c>
      <c r="E147" s="1">
        <f>Practices!W48</f>
        <v>0</v>
      </c>
      <c r="F147" s="1">
        <f>Practices!X48</f>
        <v>0</v>
      </c>
    </row>
    <row r="148" spans="1:6" ht="12.75" customHeight="1" x14ac:dyDescent="0.2">
      <c r="A148" s="1">
        <f>'(Tables)'!O12</f>
        <v>1.0833333333333333</v>
      </c>
      <c r="B148" s="1">
        <f>'(Tables)'!P12</f>
        <v>1.1666666666666665</v>
      </c>
      <c r="C148" s="1">
        <f>'(Tables)'!Q12</f>
        <v>1.2499999999999998</v>
      </c>
      <c r="D148" s="1">
        <f>'(Tables)'!R12</f>
        <v>1.333333333333333</v>
      </c>
      <c r="E148" s="1">
        <f>'(Tables)'!S12</f>
        <v>1.4166666666666663</v>
      </c>
      <c r="F148" s="1">
        <f>'(Tables)'!T12</f>
        <v>1.4999999999999996</v>
      </c>
    </row>
    <row r="149" spans="1:6" ht="12.75" customHeight="1" x14ac:dyDescent="0.2">
      <c r="A149" t="e">
        <f t="array" ref="A149:B149">LOGEST(A147:F147,A148:F148,TRUE,FALSE)</f>
        <v>#NUM!</v>
      </c>
      <c r="B149" t="e">
        <v>#NUM!</v>
      </c>
    </row>
    <row r="151" spans="1:6" ht="12.75" customHeight="1" x14ac:dyDescent="0.2">
      <c r="A151" s="1">
        <f>Practices!R52</f>
        <v>0</v>
      </c>
      <c r="B151" s="1">
        <f>Practices!S52</f>
        <v>0</v>
      </c>
      <c r="C151" s="1">
        <f>Practices!T52</f>
        <v>0</v>
      </c>
      <c r="D151" s="1">
        <f>Practices!V52</f>
        <v>0</v>
      </c>
      <c r="E151" s="1">
        <f>Practices!W52</f>
        <v>0</v>
      </c>
      <c r="F151" s="1">
        <f>Practices!X52</f>
        <v>0</v>
      </c>
    </row>
    <row r="152" spans="1:6" ht="12.75" customHeight="1" x14ac:dyDescent="0.2">
      <c r="A152" s="1">
        <f>'(Tables)'!O12</f>
        <v>1.0833333333333333</v>
      </c>
      <c r="B152" s="1">
        <f>'(Tables)'!P12</f>
        <v>1.1666666666666665</v>
      </c>
      <c r="C152" s="1">
        <f>'(Tables)'!Q12</f>
        <v>1.2499999999999998</v>
      </c>
      <c r="D152" s="1">
        <f>'(Tables)'!R12</f>
        <v>1.333333333333333</v>
      </c>
      <c r="E152" s="1">
        <f>'(Tables)'!S12</f>
        <v>1.4166666666666663</v>
      </c>
      <c r="F152" s="1">
        <f>'(Tables)'!T12</f>
        <v>1.4999999999999996</v>
      </c>
    </row>
    <row r="153" spans="1:6" ht="12.75" customHeight="1" x14ac:dyDescent="0.2">
      <c r="A153" t="e">
        <f t="array" ref="A153:B153">LOGEST(A151:F151,A152:F152,TRUE,FALSE)</f>
        <v>#NUM!</v>
      </c>
      <c r="B153" t="e">
        <v>#NUM!</v>
      </c>
    </row>
    <row r="155" spans="1:6" ht="12.75" customHeight="1" x14ac:dyDescent="0.2">
      <c r="A155" s="1">
        <f>Practices!R56</f>
        <v>0</v>
      </c>
      <c r="B155" s="1">
        <f>Practices!S56</f>
        <v>0</v>
      </c>
      <c r="C155" s="1">
        <f>Practices!T56</f>
        <v>0</v>
      </c>
      <c r="D155" s="1">
        <f>Practices!V56</f>
        <v>0</v>
      </c>
      <c r="E155" s="1">
        <f>Practices!W56</f>
        <v>0</v>
      </c>
      <c r="F155" s="1">
        <f>Practices!X56</f>
        <v>0</v>
      </c>
    </row>
    <row r="156" spans="1:6" ht="12.75" customHeight="1" x14ac:dyDescent="0.2">
      <c r="A156" s="1">
        <f>'(Tables)'!O12</f>
        <v>1.0833333333333333</v>
      </c>
      <c r="B156" s="1">
        <f>'(Tables)'!P12</f>
        <v>1.1666666666666665</v>
      </c>
      <c r="C156" s="1">
        <f>'(Tables)'!Q12</f>
        <v>1.2499999999999998</v>
      </c>
      <c r="D156" s="1">
        <f>'(Tables)'!R12</f>
        <v>1.333333333333333</v>
      </c>
      <c r="E156" s="1">
        <f>'(Tables)'!S12</f>
        <v>1.4166666666666663</v>
      </c>
      <c r="F156" s="1">
        <f>'(Tables)'!T12</f>
        <v>1.4999999999999996</v>
      </c>
    </row>
    <row r="157" spans="1:6" ht="12.75" customHeight="1" x14ac:dyDescent="0.2">
      <c r="A157" t="e">
        <f t="array" ref="A157:B157">LOGEST(A155:F155,A156:F156,TRUE,FALSE)</f>
        <v>#NUM!</v>
      </c>
      <c r="B157" t="e">
        <v>#NUM!</v>
      </c>
    </row>
    <row r="159" spans="1:6" ht="12.75" customHeight="1" x14ac:dyDescent="0.2">
      <c r="A159" s="1">
        <f>Practices!R49</f>
        <v>0</v>
      </c>
      <c r="B159" s="1">
        <f>Practices!S49</f>
        <v>0</v>
      </c>
      <c r="C159" s="1">
        <f>Practices!T49</f>
        <v>0</v>
      </c>
      <c r="D159" s="1">
        <f>Practices!V49</f>
        <v>0</v>
      </c>
      <c r="E159" s="1">
        <f>Practices!W49</f>
        <v>0</v>
      </c>
      <c r="F159" s="1">
        <f>Practices!X49</f>
        <v>0</v>
      </c>
    </row>
    <row r="160" spans="1:6" ht="12.75" customHeight="1" x14ac:dyDescent="0.2">
      <c r="A160" s="1">
        <f>'(Tables)'!O12</f>
        <v>1.0833333333333333</v>
      </c>
      <c r="B160" s="1">
        <f>'(Tables)'!P12</f>
        <v>1.1666666666666665</v>
      </c>
      <c r="C160" s="1">
        <f>'(Tables)'!Q12</f>
        <v>1.2499999999999998</v>
      </c>
      <c r="D160" s="1">
        <f>'(Tables)'!R12</f>
        <v>1.333333333333333</v>
      </c>
      <c r="E160" s="1">
        <f>'(Tables)'!S12</f>
        <v>1.4166666666666663</v>
      </c>
      <c r="F160" s="1">
        <f>'(Tables)'!T12</f>
        <v>1.4999999999999996</v>
      </c>
    </row>
    <row r="161" spans="1:6" ht="12.75" customHeight="1" x14ac:dyDescent="0.2">
      <c r="A161" t="e">
        <f t="array" ref="A161:B161">LOGEST(A159:F159,A160:F160,TRUE,FALSE)</f>
        <v>#NUM!</v>
      </c>
      <c r="B161" t="e">
        <v>#NUM!</v>
      </c>
    </row>
    <row r="163" spans="1:6" ht="12.75" customHeight="1" x14ac:dyDescent="0.2">
      <c r="A163" s="1">
        <f>Practices!R53</f>
        <v>0</v>
      </c>
      <c r="B163" s="1">
        <f>Practices!S53</f>
        <v>0</v>
      </c>
      <c r="C163" s="1">
        <f>Practices!T53</f>
        <v>0</v>
      </c>
      <c r="D163" s="1">
        <f>Practices!V53</f>
        <v>0</v>
      </c>
      <c r="E163" s="1">
        <f>Practices!W53</f>
        <v>0</v>
      </c>
      <c r="F163" s="1">
        <f>Practices!X53</f>
        <v>0</v>
      </c>
    </row>
    <row r="164" spans="1:6" ht="12.75" customHeight="1" x14ac:dyDescent="0.2">
      <c r="A164" s="1">
        <f>'(Tables)'!O12</f>
        <v>1.0833333333333333</v>
      </c>
      <c r="B164" s="1">
        <f>'(Tables)'!P12</f>
        <v>1.1666666666666665</v>
      </c>
      <c r="C164" s="1">
        <f>'(Tables)'!Q12</f>
        <v>1.2499999999999998</v>
      </c>
      <c r="D164" s="1">
        <f>'(Tables)'!R12</f>
        <v>1.333333333333333</v>
      </c>
      <c r="E164" s="1">
        <f>'(Tables)'!S12</f>
        <v>1.4166666666666663</v>
      </c>
      <c r="F164" s="1">
        <f>'(Tables)'!T12</f>
        <v>1.4999999999999996</v>
      </c>
    </row>
    <row r="165" spans="1:6" ht="12.75" customHeight="1" x14ac:dyDescent="0.2">
      <c r="A165" t="e">
        <f t="array" ref="A165:B165">LOGEST(A163:F163,A164:F164,TRUE,FALSE)</f>
        <v>#NUM!</v>
      </c>
      <c r="B165" t="e">
        <v>#NUM!</v>
      </c>
    </row>
    <row r="167" spans="1:6" ht="12.75" customHeight="1" x14ac:dyDescent="0.2">
      <c r="A167" s="1">
        <f>Practices!R57</f>
        <v>0</v>
      </c>
      <c r="B167" s="1">
        <f>Practices!S57</f>
        <v>0</v>
      </c>
      <c r="C167" s="1">
        <f>Practices!T57</f>
        <v>0</v>
      </c>
      <c r="D167" s="1">
        <f>Practices!V57</f>
        <v>0</v>
      </c>
      <c r="E167" s="1">
        <f>Practices!W57</f>
        <v>0</v>
      </c>
      <c r="F167" s="1">
        <f>Practices!X57</f>
        <v>0</v>
      </c>
    </row>
    <row r="168" spans="1:6" ht="12.75" customHeight="1" x14ac:dyDescent="0.2">
      <c r="A168" s="1">
        <f>'(Tables)'!O12</f>
        <v>1.0833333333333333</v>
      </c>
      <c r="B168" s="1">
        <f>'(Tables)'!P12</f>
        <v>1.1666666666666665</v>
      </c>
      <c r="C168" s="1">
        <f>'(Tables)'!Q12</f>
        <v>1.2499999999999998</v>
      </c>
      <c r="D168" s="1">
        <f>'(Tables)'!R12</f>
        <v>1.333333333333333</v>
      </c>
      <c r="E168" s="1">
        <f>'(Tables)'!S12</f>
        <v>1.4166666666666663</v>
      </c>
      <c r="F168" s="1">
        <f>'(Tables)'!T12</f>
        <v>1.4999999999999996</v>
      </c>
    </row>
    <row r="169" spans="1:6" ht="12.75" customHeight="1" x14ac:dyDescent="0.2">
      <c r="A169" t="e">
        <f t="array" ref="A169:B169">LOGEST(A167:F167,A168:F168,TRUE,FALSE)</f>
        <v>#NUM!</v>
      </c>
      <c r="B169" t="e">
        <v>#NUM!</v>
      </c>
    </row>
  </sheetData>
  <mergeCells count="2">
    <mergeCell ref="A1:C1"/>
    <mergeCell ref="A2:C2"/>
  </mergeCells>
  <pageMargins left="0.25" right="0.25" top="0.5" bottom="0.5" header="0.5" footer="0.5"/>
  <pageSetup paperSize="9" fitToHeight="32767" orientation="landscape" horizontalDpi="300" verticalDpi="300"/>
  <headerFooter alignWithMargins="0"/>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pageSetUpPr fitToPage="1"/>
  </sheetPr>
  <dimension ref="A1:BC1498"/>
  <sheetViews>
    <sheetView zoomScaleNormal="100" workbookViewId="0"/>
  </sheetViews>
  <sheetFormatPr defaultRowHeight="12.75" customHeight="1" x14ac:dyDescent="0.2"/>
  <cols>
    <col min="1" max="1" width="26.7109375" customWidth="1"/>
    <col min="2" max="2" width="12.7109375" customWidth="1"/>
    <col min="3" max="55" width="12.42578125" customWidth="1"/>
  </cols>
  <sheetData>
    <row r="1" spans="1:20" ht="12.75" customHeight="1" x14ac:dyDescent="0.2">
      <c r="A1" s="463" t="str">
        <f>Inputs!F7</f>
        <v xml:space="preserve"> </v>
      </c>
      <c r="B1" s="463"/>
      <c r="C1" s="463"/>
    </row>
    <row r="2" spans="1:20" ht="12.75" customHeight="1" x14ac:dyDescent="0.2">
      <c r="A2" s="463" t="e">
        <f>TEXT('(FnCalls 1)'!A41,"m/d/yyyy")&amp;" to "&amp;TEXT('(FnCalls 1)'!A59-1,"m/d/yyyy")</f>
        <v>#VALUE!</v>
      </c>
      <c r="B2" s="463"/>
      <c r="C2" s="463"/>
    </row>
    <row r="3" spans="1:20" ht="12.75" customHeight="1" x14ac:dyDescent="0.2">
      <c r="A3" s="1" t="str">
        <f>Labels!B33</f>
        <v>Channels_Dim</v>
      </c>
    </row>
    <row r="4" spans="1:20" ht="12.75" customHeight="1" x14ac:dyDescent="0.2">
      <c r="B4" s="181"/>
    </row>
    <row r="5" spans="1:20" ht="12.75" customHeight="1" x14ac:dyDescent="0.2">
      <c r="A5" s="182" t="str">
        <f>Labels!B317</f>
        <v>Channels 1</v>
      </c>
      <c r="B5" s="366" t="str">
        <f>Labels!B317</f>
        <v>Channels 1</v>
      </c>
    </row>
    <row r="6" spans="1:20" ht="12.75" customHeight="1" x14ac:dyDescent="0.2">
      <c r="A6" s="185" t="str">
        <f>Labels!B318</f>
        <v>Channels 2</v>
      </c>
      <c r="B6" s="367" t="str">
        <f>Labels!B318</f>
        <v>Channels 2</v>
      </c>
    </row>
    <row r="7" spans="1:20" ht="12.75" customHeight="1" x14ac:dyDescent="0.2">
      <c r="A7" s="1" t="str">
        <f>Labels!B287</f>
        <v>Time Periods</v>
      </c>
    </row>
    <row r="8" spans="1:20" ht="12.75" customHeight="1" x14ac:dyDescent="0.2">
      <c r="B8" s="9" t="str">
        <f>'(FnCalls 1)'!F40</f>
        <v>MMM 2009</v>
      </c>
      <c r="C8" s="10" t="str">
        <f>'(FnCalls 1)'!F41</f>
        <v>MMM 2010</v>
      </c>
      <c r="D8" s="10" t="str">
        <f>'(FnCalls 1)'!F42</f>
        <v>MMM 2010</v>
      </c>
      <c r="E8" s="10" t="str">
        <f>'(FnCalls 1)'!F43</f>
        <v>MMM 2010</v>
      </c>
      <c r="F8" s="10" t="str">
        <f>'(FnCalls 1)'!F44</f>
        <v>MMM 2010</v>
      </c>
      <c r="G8" s="10" t="str">
        <f>'(FnCalls 1)'!F45</f>
        <v>MMM 2010</v>
      </c>
      <c r="H8" s="10" t="str">
        <f>'(FnCalls 1)'!F46</f>
        <v>MMM 2010</v>
      </c>
      <c r="I8" s="10" t="str">
        <f>'(FnCalls 1)'!F47</f>
        <v>MMM 2010</v>
      </c>
      <c r="J8" s="10" t="str">
        <f>'(FnCalls 1)'!F48</f>
        <v>MMM 2010</v>
      </c>
      <c r="K8" s="10" t="str">
        <f>'(FnCalls 1)'!F49</f>
        <v>MMM 2010</v>
      </c>
      <c r="L8" s="10" t="str">
        <f>'(FnCalls 1)'!F50</f>
        <v>MMM 2010</v>
      </c>
      <c r="M8" s="10" t="str">
        <f>'(FnCalls 1)'!F51</f>
        <v>MMM 2010</v>
      </c>
      <c r="N8" s="10" t="str">
        <f>'(FnCalls 1)'!F52</f>
        <v>MMM 2010</v>
      </c>
      <c r="O8" s="10" t="str">
        <f>'(FnCalls 1)'!F53</f>
        <v>MMM 2011</v>
      </c>
      <c r="P8" s="10" t="str">
        <f>'(FnCalls 1)'!F54</f>
        <v>MMM 2011</v>
      </c>
      <c r="Q8" s="10" t="str">
        <f>'(FnCalls 1)'!F55</f>
        <v>MMM 2011</v>
      </c>
      <c r="R8" s="10" t="str">
        <f>'(FnCalls 1)'!F56</f>
        <v>MMM 2011</v>
      </c>
      <c r="S8" s="10" t="str">
        <f>'(FnCalls 1)'!F57</f>
        <v>MMM 2011</v>
      </c>
      <c r="T8" s="11" t="str">
        <f>'(FnCalls 1)'!F58</f>
        <v>MMM 2011</v>
      </c>
    </row>
    <row r="9" spans="1:20" ht="12.75" customHeight="1" x14ac:dyDescent="0.2">
      <c r="A9" s="97"/>
      <c r="B9" s="368">
        <f t="shared" ref="B9:T9" si="0">ROUND(B12*12,0)</f>
        <v>0</v>
      </c>
      <c r="C9" s="368">
        <f t="shared" si="0"/>
        <v>1</v>
      </c>
      <c r="D9" s="368">
        <f t="shared" si="0"/>
        <v>2</v>
      </c>
      <c r="E9" s="368">
        <f t="shared" si="0"/>
        <v>3</v>
      </c>
      <c r="F9" s="368">
        <f t="shared" si="0"/>
        <v>4</v>
      </c>
      <c r="G9" s="368">
        <f t="shared" si="0"/>
        <v>5</v>
      </c>
      <c r="H9" s="368">
        <f t="shared" si="0"/>
        <v>6</v>
      </c>
      <c r="I9" s="368">
        <f t="shared" si="0"/>
        <v>7</v>
      </c>
      <c r="J9" s="368">
        <f t="shared" si="0"/>
        <v>8</v>
      </c>
      <c r="K9" s="368">
        <f t="shared" si="0"/>
        <v>9</v>
      </c>
      <c r="L9" s="368">
        <f t="shared" si="0"/>
        <v>10</v>
      </c>
      <c r="M9" s="368">
        <f t="shared" si="0"/>
        <v>11</v>
      </c>
      <c r="N9" s="368">
        <f t="shared" si="0"/>
        <v>12</v>
      </c>
      <c r="O9" s="368">
        <f t="shared" si="0"/>
        <v>13</v>
      </c>
      <c r="P9" s="368">
        <f t="shared" si="0"/>
        <v>14</v>
      </c>
      <c r="Q9" s="368">
        <f t="shared" si="0"/>
        <v>15</v>
      </c>
      <c r="R9" s="368">
        <f t="shared" si="0"/>
        <v>16</v>
      </c>
      <c r="S9" s="368">
        <f t="shared" si="0"/>
        <v>17</v>
      </c>
      <c r="T9" s="369">
        <f t="shared" si="0"/>
        <v>18</v>
      </c>
    </row>
    <row r="10" spans="1:20" ht="12.75" customHeight="1" x14ac:dyDescent="0.2">
      <c r="A10" s="1" t="str">
        <f>Labels!B286</f>
        <v>Time</v>
      </c>
    </row>
    <row r="11" spans="1:20" ht="12.75" customHeight="1" x14ac:dyDescent="0.2">
      <c r="B11" s="9" t="str">
        <f>'(FnCalls 1)'!F40</f>
        <v>MMM 2009</v>
      </c>
      <c r="C11" s="10" t="str">
        <f>'(FnCalls 1)'!F41</f>
        <v>MMM 2010</v>
      </c>
      <c r="D11" s="10" t="str">
        <f>'(FnCalls 1)'!F42</f>
        <v>MMM 2010</v>
      </c>
      <c r="E11" s="10" t="str">
        <f>'(FnCalls 1)'!F43</f>
        <v>MMM 2010</v>
      </c>
      <c r="F11" s="10" t="str">
        <f>'(FnCalls 1)'!F44</f>
        <v>MMM 2010</v>
      </c>
      <c r="G11" s="10" t="str">
        <f>'(FnCalls 1)'!F45</f>
        <v>MMM 2010</v>
      </c>
      <c r="H11" s="10" t="str">
        <f>'(FnCalls 1)'!F46</f>
        <v>MMM 2010</v>
      </c>
      <c r="I11" s="10" t="str">
        <f>'(FnCalls 1)'!F47</f>
        <v>MMM 2010</v>
      </c>
      <c r="J11" s="10" t="str">
        <f>'(FnCalls 1)'!F48</f>
        <v>MMM 2010</v>
      </c>
      <c r="K11" s="10" t="str">
        <f>'(FnCalls 1)'!F49</f>
        <v>MMM 2010</v>
      </c>
      <c r="L11" s="10" t="str">
        <f>'(FnCalls 1)'!F50</f>
        <v>MMM 2010</v>
      </c>
      <c r="M11" s="10" t="str">
        <f>'(FnCalls 1)'!F51</f>
        <v>MMM 2010</v>
      </c>
      <c r="N11" s="10" t="str">
        <f>'(FnCalls 1)'!F52</f>
        <v>MMM 2010</v>
      </c>
      <c r="O11" s="10" t="str">
        <f>'(FnCalls 1)'!F53</f>
        <v>MMM 2011</v>
      </c>
      <c r="P11" s="10" t="str">
        <f>'(FnCalls 1)'!F54</f>
        <v>MMM 2011</v>
      </c>
      <c r="Q11" s="10" t="str">
        <f>'(FnCalls 1)'!F55</f>
        <v>MMM 2011</v>
      </c>
      <c r="R11" s="10" t="str">
        <f>'(FnCalls 1)'!F56</f>
        <v>MMM 2011</v>
      </c>
      <c r="S11" s="10" t="str">
        <f>'(FnCalls 1)'!F57</f>
        <v>MMM 2011</v>
      </c>
      <c r="T11" s="11" t="str">
        <f>'(FnCalls 1)'!F58</f>
        <v>MMM 2011</v>
      </c>
    </row>
    <row r="12" spans="1:20" ht="12.75" customHeight="1" x14ac:dyDescent="0.2">
      <c r="A12" s="97"/>
      <c r="B12" s="368">
        <f>0</f>
        <v>0</v>
      </c>
      <c r="C12" s="368">
        <f t="shared" ref="C12:T12" si="1">B12+1/12</f>
        <v>8.3333333333333329E-2</v>
      </c>
      <c r="D12" s="368">
        <f t="shared" si="1"/>
        <v>0.16666666666666666</v>
      </c>
      <c r="E12" s="368">
        <f t="shared" si="1"/>
        <v>0.25</v>
      </c>
      <c r="F12" s="368">
        <f t="shared" si="1"/>
        <v>0.33333333333333331</v>
      </c>
      <c r="G12" s="368">
        <f t="shared" si="1"/>
        <v>0.41666666666666663</v>
      </c>
      <c r="H12" s="368">
        <f t="shared" si="1"/>
        <v>0.49999999999999994</v>
      </c>
      <c r="I12" s="368">
        <f t="shared" si="1"/>
        <v>0.58333333333333326</v>
      </c>
      <c r="J12" s="368">
        <f t="shared" si="1"/>
        <v>0.66666666666666663</v>
      </c>
      <c r="K12" s="368">
        <f t="shared" si="1"/>
        <v>0.75</v>
      </c>
      <c r="L12" s="368">
        <f t="shared" si="1"/>
        <v>0.83333333333333337</v>
      </c>
      <c r="M12" s="368">
        <f t="shared" si="1"/>
        <v>0.91666666666666674</v>
      </c>
      <c r="N12" s="368">
        <f t="shared" si="1"/>
        <v>1</v>
      </c>
      <c r="O12" s="368">
        <f t="shared" si="1"/>
        <v>1.0833333333333333</v>
      </c>
      <c r="P12" s="368">
        <f t="shared" si="1"/>
        <v>1.1666666666666665</v>
      </c>
      <c r="Q12" s="368">
        <f t="shared" si="1"/>
        <v>1.2499999999999998</v>
      </c>
      <c r="R12" s="368">
        <f t="shared" si="1"/>
        <v>1.333333333333333</v>
      </c>
      <c r="S12" s="368">
        <f t="shared" si="1"/>
        <v>1.4166666666666663</v>
      </c>
      <c r="T12" s="369">
        <f t="shared" si="1"/>
        <v>1.4999999999999996</v>
      </c>
    </row>
    <row r="13" spans="1:20" ht="12.75" customHeight="1" x14ac:dyDescent="0.2">
      <c r="A13" s="1" t="str">
        <f>Labels!B87</f>
        <v>Size (Hrs)</v>
      </c>
    </row>
    <row r="14" spans="1:20" ht="12.75" customHeight="1" x14ac:dyDescent="0.2">
      <c r="B14" s="181"/>
    </row>
    <row r="15" spans="1:20" ht="12.75" customHeight="1" x14ac:dyDescent="0.2">
      <c r="A15" s="182" t="str">
        <f>Labels!B345</f>
        <v>Engage 1</v>
      </c>
      <c r="B15" s="150">
        <f>Inputs!F20</f>
        <v>1100</v>
      </c>
    </row>
    <row r="16" spans="1:20" ht="12.75" customHeight="1" x14ac:dyDescent="0.2">
      <c r="A16" s="191" t="str">
        <f>Labels!B346</f>
        <v>Engage 2</v>
      </c>
      <c r="B16" s="289">
        <f>Inputs!F21</f>
        <v>1200</v>
      </c>
    </row>
    <row r="17" spans="1:6" ht="12.75" customHeight="1" x14ac:dyDescent="0.2">
      <c r="A17" s="97" t="str">
        <f>Labels!C344</f>
        <v>Total</v>
      </c>
      <c r="B17" s="361">
        <f>AVERAGE(B15:B16)</f>
        <v>1150</v>
      </c>
    </row>
    <row r="18" spans="1:6" ht="12.75" customHeight="1" x14ac:dyDescent="0.2">
      <c r="A18" s="1" t="str">
        <f>Labels!B90</f>
        <v>Engage Types</v>
      </c>
    </row>
    <row r="19" spans="1:6" ht="12.75" customHeight="1" x14ac:dyDescent="0.2">
      <c r="B19" s="181"/>
    </row>
    <row r="20" spans="1:6" ht="12.75" customHeight="1" x14ac:dyDescent="0.2">
      <c r="A20" s="182" t="str">
        <f>Labels!B341</f>
        <v>EngageType 1</v>
      </c>
      <c r="B20" s="366" t="str">
        <f>Labels!B341</f>
        <v>EngageType 1</v>
      </c>
    </row>
    <row r="21" spans="1:6" ht="12.75" customHeight="1" x14ac:dyDescent="0.2">
      <c r="A21" s="185" t="str">
        <f>Labels!B342</f>
        <v>EngageType 2</v>
      </c>
      <c r="B21" s="367" t="str">
        <f>Labels!B342</f>
        <v>EngageType 2</v>
      </c>
    </row>
    <row r="22" spans="1:6" ht="12.75" customHeight="1" x14ac:dyDescent="0.2">
      <c r="A22" s="1" t="str">
        <f>Labels!B84</f>
        <v>Labor Share %</v>
      </c>
    </row>
    <row r="23" spans="1:6" ht="12.75" customHeight="1" x14ac:dyDescent="0.2">
      <c r="B23" s="9" t="str">
        <f>Labels!B345</f>
        <v>Engage 1</v>
      </c>
      <c r="C23" s="11" t="str">
        <f>Labels!B346</f>
        <v>Engage 2</v>
      </c>
    </row>
    <row r="24" spans="1:6" ht="12.75" customHeight="1" x14ac:dyDescent="0.2">
      <c r="A24" s="182" t="str">
        <f>Labels!B385</f>
        <v>Prof Level 1</v>
      </c>
      <c r="B24" s="370">
        <f>Inputs!F24</f>
        <v>0.5</v>
      </c>
      <c r="C24" s="371">
        <f>Inputs!F26</f>
        <v>0.5</v>
      </c>
    </row>
    <row r="25" spans="1:6" ht="12.75" customHeight="1" x14ac:dyDescent="0.2">
      <c r="A25" s="185" t="str">
        <f>Labels!B386</f>
        <v>Prof Level 2</v>
      </c>
      <c r="B25" s="372">
        <f>Inputs!F25</f>
        <v>0.5</v>
      </c>
      <c r="C25" s="373">
        <f>Inputs!F27</f>
        <v>0.5</v>
      </c>
    </row>
    <row r="26" spans="1:6" ht="12.75" customHeight="1" x14ac:dyDescent="0.2">
      <c r="A26" s="1" t="str">
        <f>Labels!B77</f>
        <v>Staff Hrs Applied</v>
      </c>
    </row>
    <row r="27" spans="1:6" ht="12.75" customHeight="1" x14ac:dyDescent="0.2">
      <c r="B27" s="9" t="str">
        <f>Labels!B335</f>
        <v>Period 1</v>
      </c>
      <c r="C27" s="10" t="str">
        <f>Labels!B336</f>
        <v>Period 2</v>
      </c>
      <c r="D27" s="10" t="str">
        <f>Labels!B337</f>
        <v>Period 3</v>
      </c>
      <c r="E27" s="10" t="str">
        <f>Labels!B338</f>
        <v>Period 4</v>
      </c>
      <c r="F27" s="181" t="str">
        <f>Labels!C334</f>
        <v>Total</v>
      </c>
    </row>
    <row r="28" spans="1:6" ht="12.75" customHeight="1" x14ac:dyDescent="0.2">
      <c r="A28" s="182" t="str">
        <f>Labels!B345</f>
        <v>Engage 1</v>
      </c>
      <c r="B28" s="223"/>
      <c r="C28" s="223"/>
      <c r="D28" s="223"/>
      <c r="E28" s="223"/>
      <c r="F28" s="224"/>
    </row>
    <row r="29" spans="1:6" ht="12.75" customHeight="1" x14ac:dyDescent="0.2">
      <c r="A29" s="188" t="str">
        <f>"   "&amp;Labels!B385</f>
        <v xml:space="preserve">   Prof Level 1</v>
      </c>
      <c r="B29" s="166">
        <f>Inputs!F32</f>
        <v>275</v>
      </c>
      <c r="C29" s="166">
        <f>Inputs!G32</f>
        <v>275</v>
      </c>
      <c r="D29" s="166">
        <f>Inputs!H32</f>
        <v>0</v>
      </c>
      <c r="E29" s="166">
        <f>Inputs!I32</f>
        <v>0</v>
      </c>
      <c r="F29" s="225">
        <f>SUM(B29:E29)</f>
        <v>550</v>
      </c>
    </row>
    <row r="30" spans="1:6" ht="12.75" customHeight="1" x14ac:dyDescent="0.2">
      <c r="A30" s="188" t="str">
        <f>"   "&amp;Labels!B386</f>
        <v xml:space="preserve">   Prof Level 2</v>
      </c>
      <c r="B30" s="166">
        <f>Inputs!F33</f>
        <v>275</v>
      </c>
      <c r="C30" s="166">
        <f>Inputs!G33</f>
        <v>275</v>
      </c>
      <c r="D30" s="166">
        <f>Inputs!H33</f>
        <v>0</v>
      </c>
      <c r="E30" s="166">
        <f>Inputs!I33</f>
        <v>0</v>
      </c>
      <c r="F30" s="225">
        <f>SUM(B30:E30)</f>
        <v>550</v>
      </c>
    </row>
    <row r="31" spans="1:6" ht="12.75" customHeight="1" x14ac:dyDescent="0.2">
      <c r="A31" s="191" t="str">
        <f>"   "&amp;Labels!C384</f>
        <v xml:space="preserve">   Total</v>
      </c>
      <c r="B31" s="216">
        <f>SUM(B29:B30)</f>
        <v>550</v>
      </c>
      <c r="C31" s="216">
        <f>SUM(C29:C30)</f>
        <v>550</v>
      </c>
      <c r="D31" s="216">
        <f>SUM(D29:D30)</f>
        <v>0</v>
      </c>
      <c r="E31" s="216">
        <f>SUM(E29:E30)</f>
        <v>0</v>
      </c>
      <c r="F31" s="217">
        <f>SUM(F29:F30)</f>
        <v>1100</v>
      </c>
    </row>
    <row r="32" spans="1:6" ht="12.75" customHeight="1" x14ac:dyDescent="0.2">
      <c r="A32" s="191" t="str">
        <f>Labels!B346</f>
        <v>Engage 2</v>
      </c>
      <c r="B32" s="216"/>
      <c r="C32" s="216"/>
      <c r="D32" s="216"/>
      <c r="E32" s="216"/>
      <c r="F32" s="217"/>
    </row>
    <row r="33" spans="1:6" ht="12.75" customHeight="1" x14ac:dyDescent="0.2">
      <c r="A33" s="188" t="str">
        <f>"   "&amp;Labels!B385</f>
        <v xml:space="preserve">   Prof Level 1</v>
      </c>
      <c r="B33" s="166">
        <f>Inputs!F34</f>
        <v>200</v>
      </c>
      <c r="C33" s="166">
        <f>Inputs!G34</f>
        <v>200</v>
      </c>
      <c r="D33" s="166">
        <f>Inputs!H34</f>
        <v>200</v>
      </c>
      <c r="E33" s="166">
        <f>Inputs!I34</f>
        <v>0</v>
      </c>
      <c r="F33" s="225">
        <f>SUM(B33:E33)</f>
        <v>600</v>
      </c>
    </row>
    <row r="34" spans="1:6" ht="12.75" customHeight="1" x14ac:dyDescent="0.2">
      <c r="A34" s="188" t="str">
        <f>"   "&amp;Labels!B386</f>
        <v xml:space="preserve">   Prof Level 2</v>
      </c>
      <c r="B34" s="166">
        <f>Inputs!F35</f>
        <v>200</v>
      </c>
      <c r="C34" s="166">
        <f>Inputs!G35</f>
        <v>200</v>
      </c>
      <c r="D34" s="166">
        <f>Inputs!H35</f>
        <v>200</v>
      </c>
      <c r="E34" s="166">
        <f>Inputs!I35</f>
        <v>0</v>
      </c>
      <c r="F34" s="225">
        <f>SUM(B34:E34)</f>
        <v>600</v>
      </c>
    </row>
    <row r="35" spans="1:6" ht="12.75" customHeight="1" x14ac:dyDescent="0.2">
      <c r="A35" s="191" t="str">
        <f>"   "&amp;Labels!C384</f>
        <v xml:space="preserve">   Total</v>
      </c>
      <c r="B35" s="216">
        <f>SUM(B33:B34)</f>
        <v>400</v>
      </c>
      <c r="C35" s="216">
        <f>SUM(C33:C34)</f>
        <v>400</v>
      </c>
      <c r="D35" s="216">
        <f>SUM(D33:D34)</f>
        <v>400</v>
      </c>
      <c r="E35" s="216">
        <f>SUM(E33:E34)</f>
        <v>0</v>
      </c>
      <c r="F35" s="217">
        <f>SUM(F33:F34)</f>
        <v>1200</v>
      </c>
    </row>
    <row r="36" spans="1:6" ht="12.75" customHeight="1" x14ac:dyDescent="0.2">
      <c r="A36" s="97" t="str">
        <f>Labels!C344</f>
        <v>Total</v>
      </c>
      <c r="B36" s="374">
        <f>SUM(B31,B35)</f>
        <v>950</v>
      </c>
      <c r="C36" s="374">
        <f>SUM(C31,C35)</f>
        <v>950</v>
      </c>
      <c r="D36" s="374">
        <f>SUM(D31,D35)</f>
        <v>400</v>
      </c>
      <c r="E36" s="374">
        <f>SUM(E31,E35)</f>
        <v>0</v>
      </c>
      <c r="F36" s="375">
        <f>SUM(B36:E36)</f>
        <v>2300</v>
      </c>
    </row>
    <row r="37" spans="1:6" ht="12.75" customHeight="1" x14ac:dyDescent="0.2">
      <c r="A37" s="188" t="str">
        <f>"   "&amp;Labels!B385</f>
        <v xml:space="preserve">   Prof Level 1</v>
      </c>
      <c r="B37" s="166">
        <f t="shared" ref="B37:E39" si="2">SUM(B29,B33)</f>
        <v>475</v>
      </c>
      <c r="C37" s="166">
        <f t="shared" si="2"/>
        <v>475</v>
      </c>
      <c r="D37" s="166">
        <f t="shared" si="2"/>
        <v>200</v>
      </c>
      <c r="E37" s="166">
        <f t="shared" si="2"/>
        <v>0</v>
      </c>
      <c r="F37" s="225">
        <f>SUM(B37:E37)</f>
        <v>1150</v>
      </c>
    </row>
    <row r="38" spans="1:6" ht="12.75" customHeight="1" x14ac:dyDescent="0.2">
      <c r="A38" s="188" t="str">
        <f>"   "&amp;Labels!B386</f>
        <v xml:space="preserve">   Prof Level 2</v>
      </c>
      <c r="B38" s="166">
        <f t="shared" si="2"/>
        <v>475</v>
      </c>
      <c r="C38" s="166">
        <f t="shared" si="2"/>
        <v>475</v>
      </c>
      <c r="D38" s="166">
        <f t="shared" si="2"/>
        <v>200</v>
      </c>
      <c r="E38" s="166">
        <f t="shared" si="2"/>
        <v>0</v>
      </c>
      <c r="F38" s="225">
        <f>SUM(B38:E38)</f>
        <v>1150</v>
      </c>
    </row>
    <row r="39" spans="1:6" ht="12.75" customHeight="1" x14ac:dyDescent="0.2">
      <c r="A39" s="185" t="str">
        <f>"   "&amp;Labels!C384</f>
        <v xml:space="preserve">   Total</v>
      </c>
      <c r="B39" s="297">
        <f t="shared" si="2"/>
        <v>950</v>
      </c>
      <c r="C39" s="297">
        <f t="shared" si="2"/>
        <v>950</v>
      </c>
      <c r="D39" s="297">
        <f t="shared" si="2"/>
        <v>400</v>
      </c>
      <c r="E39" s="297">
        <f t="shared" si="2"/>
        <v>0</v>
      </c>
      <c r="F39" s="298">
        <f>SUM(F31,F35)</f>
        <v>2300</v>
      </c>
    </row>
    <row r="40" spans="1:6" ht="12.75" customHeight="1" x14ac:dyDescent="0.2">
      <c r="A40" s="1" t="str">
        <f>Labels!B89</f>
        <v>Engage Time</v>
      </c>
    </row>
    <row r="41" spans="1:6" ht="12.75" customHeight="1" x14ac:dyDescent="0.2">
      <c r="B41" s="181"/>
    </row>
    <row r="42" spans="1:6" ht="12.75" customHeight="1" x14ac:dyDescent="0.2">
      <c r="A42" s="182" t="str">
        <f>Labels!B335</f>
        <v>Period 1</v>
      </c>
      <c r="B42" s="376">
        <f>1+0</f>
        <v>1</v>
      </c>
    </row>
    <row r="43" spans="1:6" ht="12.75" customHeight="1" x14ac:dyDescent="0.2">
      <c r="A43" s="191" t="str">
        <f>Labels!B336</f>
        <v>Period 2</v>
      </c>
      <c r="B43" s="377">
        <f>1+B42</f>
        <v>2</v>
      </c>
    </row>
    <row r="44" spans="1:6" ht="12.75" customHeight="1" x14ac:dyDescent="0.2">
      <c r="A44" s="191" t="str">
        <f>Labels!B337</f>
        <v>Period 3</v>
      </c>
      <c r="B44" s="377">
        <f>1+B43</f>
        <v>3</v>
      </c>
    </row>
    <row r="45" spans="1:6" ht="12.75" customHeight="1" x14ac:dyDescent="0.2">
      <c r="A45" s="185" t="str">
        <f>Labels!B338</f>
        <v>Period 4</v>
      </c>
      <c r="B45" s="378">
        <f>1+B44</f>
        <v>4</v>
      </c>
    </row>
    <row r="46" spans="1:6" ht="12.75" customHeight="1" x14ac:dyDescent="0.2">
      <c r="A46" s="1" t="str">
        <f>Labels!B82</f>
        <v>Applied Hours % Billed</v>
      </c>
    </row>
    <row r="47" spans="1:6" ht="12.75" customHeight="1" x14ac:dyDescent="0.2">
      <c r="B47" s="9" t="str">
        <f>Labels!B335</f>
        <v>Period 1</v>
      </c>
      <c r="C47" s="10" t="str">
        <f>Labels!B336</f>
        <v>Period 2</v>
      </c>
      <c r="D47" s="10" t="str">
        <f>Labels!B337</f>
        <v>Period 3</v>
      </c>
      <c r="E47" s="10" t="str">
        <f>Labels!B338</f>
        <v>Period 4</v>
      </c>
      <c r="F47" s="181" t="str">
        <f>Labels!C334</f>
        <v>Total</v>
      </c>
    </row>
    <row r="48" spans="1:6" ht="12.75" customHeight="1" x14ac:dyDescent="0.2">
      <c r="A48" s="182" t="str">
        <f>Labels!B345</f>
        <v>Engage 1</v>
      </c>
      <c r="B48" s="207"/>
      <c r="C48" s="207"/>
      <c r="D48" s="207"/>
      <c r="E48" s="207"/>
      <c r="F48" s="208"/>
    </row>
    <row r="49" spans="1:6" ht="12.75" customHeight="1" x14ac:dyDescent="0.2">
      <c r="A49" s="188" t="str">
        <f>"   "&amp;Labels!B385</f>
        <v xml:space="preserve">   Prof Level 1</v>
      </c>
      <c r="B49" s="218">
        <f>Inputs!F41</f>
        <v>1</v>
      </c>
      <c r="C49" s="218">
        <f>Inputs!G41</f>
        <v>1</v>
      </c>
      <c r="D49" s="218">
        <f>Inputs!H41</f>
        <v>1</v>
      </c>
      <c r="E49" s="218">
        <f>Inputs!I41</f>
        <v>1</v>
      </c>
      <c r="F49" s="219">
        <f>AVERAGE(B49:E49)</f>
        <v>1</v>
      </c>
    </row>
    <row r="50" spans="1:6" ht="12.75" customHeight="1" x14ac:dyDescent="0.2">
      <c r="A50" s="188" t="str">
        <f>"   "&amp;Labels!B386</f>
        <v xml:space="preserve">   Prof Level 2</v>
      </c>
      <c r="B50" s="218">
        <f>Inputs!F42</f>
        <v>1</v>
      </c>
      <c r="C50" s="218">
        <f>Inputs!G42</f>
        <v>1</v>
      </c>
      <c r="D50" s="218">
        <f>Inputs!H42</f>
        <v>1</v>
      </c>
      <c r="E50" s="218">
        <f>Inputs!I42</f>
        <v>1</v>
      </c>
      <c r="F50" s="219">
        <f>AVERAGE(B50:E50)</f>
        <v>1</v>
      </c>
    </row>
    <row r="51" spans="1:6" ht="12.75" customHeight="1" x14ac:dyDescent="0.2">
      <c r="A51" s="191" t="str">
        <f>"   "&amp;Labels!C384</f>
        <v xml:space="preserve">   Total</v>
      </c>
      <c r="B51" s="211">
        <f>AVERAGE(B49:B50)</f>
        <v>1</v>
      </c>
      <c r="C51" s="211">
        <f>AVERAGE(C49:C50)</f>
        <v>1</v>
      </c>
      <c r="D51" s="211">
        <f>AVERAGE(D49:D50)</f>
        <v>1</v>
      </c>
      <c r="E51" s="211">
        <f>AVERAGE(E49:E50)</f>
        <v>1</v>
      </c>
      <c r="F51" s="210">
        <f>AVERAGE(F49:F50)</f>
        <v>1</v>
      </c>
    </row>
    <row r="52" spans="1:6" ht="12.75" customHeight="1" x14ac:dyDescent="0.2">
      <c r="A52" s="191" t="str">
        <f>Labels!B346</f>
        <v>Engage 2</v>
      </c>
      <c r="B52" s="211"/>
      <c r="C52" s="211"/>
      <c r="D52" s="211"/>
      <c r="E52" s="211"/>
      <c r="F52" s="210"/>
    </row>
    <row r="53" spans="1:6" ht="12.75" customHeight="1" x14ac:dyDescent="0.2">
      <c r="A53" s="188" t="str">
        <f>"   "&amp;Labels!B385</f>
        <v xml:space="preserve">   Prof Level 1</v>
      </c>
      <c r="B53" s="218">
        <f>Inputs!F43</f>
        <v>1</v>
      </c>
      <c r="C53" s="218">
        <f>Inputs!G43</f>
        <v>1</v>
      </c>
      <c r="D53" s="218">
        <f>Inputs!H43</f>
        <v>1</v>
      </c>
      <c r="E53" s="218">
        <f>Inputs!I43</f>
        <v>1</v>
      </c>
      <c r="F53" s="219">
        <f>AVERAGE(B53:E53)</f>
        <v>1</v>
      </c>
    </row>
    <row r="54" spans="1:6" ht="12.75" customHeight="1" x14ac:dyDescent="0.2">
      <c r="A54" s="188" t="str">
        <f>"   "&amp;Labels!B386</f>
        <v xml:space="preserve">   Prof Level 2</v>
      </c>
      <c r="B54" s="218">
        <f>Inputs!F44</f>
        <v>1</v>
      </c>
      <c r="C54" s="218">
        <f>Inputs!G44</f>
        <v>1</v>
      </c>
      <c r="D54" s="218">
        <f>Inputs!H44</f>
        <v>1</v>
      </c>
      <c r="E54" s="218">
        <f>Inputs!I44</f>
        <v>1</v>
      </c>
      <c r="F54" s="219">
        <f>AVERAGE(B54:E54)</f>
        <v>1</v>
      </c>
    </row>
    <row r="55" spans="1:6" ht="12.75" customHeight="1" x14ac:dyDescent="0.2">
      <c r="A55" s="191" t="str">
        <f>"   "&amp;Labels!C384</f>
        <v xml:space="preserve">   Total</v>
      </c>
      <c r="B55" s="211">
        <f>AVERAGE(B53:B54)</f>
        <v>1</v>
      </c>
      <c r="C55" s="211">
        <f>AVERAGE(C53:C54)</f>
        <v>1</v>
      </c>
      <c r="D55" s="211">
        <f>AVERAGE(D53:D54)</f>
        <v>1</v>
      </c>
      <c r="E55" s="211">
        <f>AVERAGE(E53:E54)</f>
        <v>1</v>
      </c>
      <c r="F55" s="210">
        <f>AVERAGE(F53:F54)</f>
        <v>1</v>
      </c>
    </row>
    <row r="56" spans="1:6" ht="12.75" customHeight="1" x14ac:dyDescent="0.2">
      <c r="A56" s="97" t="str">
        <f>Labels!C344</f>
        <v>Total</v>
      </c>
      <c r="B56" s="379">
        <f>AVERAGE(B51,B55)</f>
        <v>1</v>
      </c>
      <c r="C56" s="379">
        <f>AVERAGE(C51,C55)</f>
        <v>1</v>
      </c>
      <c r="D56" s="379">
        <f>AVERAGE(D51,D55)</f>
        <v>1</v>
      </c>
      <c r="E56" s="379">
        <f>AVERAGE(E51,E55)</f>
        <v>1</v>
      </c>
      <c r="F56" s="380">
        <f>AVERAGE(B56:E56)</f>
        <v>1</v>
      </c>
    </row>
    <row r="57" spans="1:6" ht="12.75" customHeight="1" x14ac:dyDescent="0.2">
      <c r="A57" s="188" t="str">
        <f>"   "&amp;Labels!B385</f>
        <v xml:space="preserve">   Prof Level 1</v>
      </c>
      <c r="B57" s="218">
        <f t="shared" ref="B57:E59" si="3">AVERAGE(B49,B53)</f>
        <v>1</v>
      </c>
      <c r="C57" s="218">
        <f t="shared" si="3"/>
        <v>1</v>
      </c>
      <c r="D57" s="218">
        <f t="shared" si="3"/>
        <v>1</v>
      </c>
      <c r="E57" s="218">
        <f t="shared" si="3"/>
        <v>1</v>
      </c>
      <c r="F57" s="219">
        <f>AVERAGE(B57:E57)</f>
        <v>1</v>
      </c>
    </row>
    <row r="58" spans="1:6" ht="12.75" customHeight="1" x14ac:dyDescent="0.2">
      <c r="A58" s="188" t="str">
        <f>"   "&amp;Labels!B386</f>
        <v xml:space="preserve">   Prof Level 2</v>
      </c>
      <c r="B58" s="218">
        <f t="shared" si="3"/>
        <v>1</v>
      </c>
      <c r="C58" s="218">
        <f t="shared" si="3"/>
        <v>1</v>
      </c>
      <c r="D58" s="218">
        <f t="shared" si="3"/>
        <v>1</v>
      </c>
      <c r="E58" s="218">
        <f t="shared" si="3"/>
        <v>1</v>
      </c>
      <c r="F58" s="219">
        <f>AVERAGE(B58:E58)</f>
        <v>1</v>
      </c>
    </row>
    <row r="59" spans="1:6" ht="12.75" customHeight="1" x14ac:dyDescent="0.2">
      <c r="A59" s="185" t="str">
        <f>"   "&amp;Labels!C384</f>
        <v xml:space="preserve">   Total</v>
      </c>
      <c r="B59" s="186">
        <f t="shared" si="3"/>
        <v>1</v>
      </c>
      <c r="C59" s="186">
        <f t="shared" si="3"/>
        <v>1</v>
      </c>
      <c r="D59" s="186">
        <f t="shared" si="3"/>
        <v>1</v>
      </c>
      <c r="E59" s="186">
        <f t="shared" si="3"/>
        <v>1</v>
      </c>
      <c r="F59" s="187">
        <f>AVERAGE(F51,F55)</f>
        <v>1</v>
      </c>
    </row>
    <row r="60" spans="1:6" ht="12.75" customHeight="1" x14ac:dyDescent="0.2">
      <c r="A60" s="1" t="str">
        <f>Labels!B239</f>
        <v>Leads (Hrs)</v>
      </c>
    </row>
    <row r="61" spans="1:6" ht="12.75" customHeight="1" x14ac:dyDescent="0.2">
      <c r="B61" s="9" t="str">
        <f>Labels!B389</f>
        <v>Lead Qual 1</v>
      </c>
      <c r="C61" s="10" t="str">
        <f>Labels!B390</f>
        <v>Lead Qual 2</v>
      </c>
      <c r="D61" s="181" t="str">
        <f>Labels!C388</f>
        <v>Total</v>
      </c>
    </row>
    <row r="62" spans="1:6" ht="12.75" customHeight="1" x14ac:dyDescent="0.2">
      <c r="A62" s="182" t="str">
        <f>Labels!B381</f>
        <v>Practice 1</v>
      </c>
      <c r="B62" s="254"/>
      <c r="C62" s="254"/>
      <c r="D62" s="255"/>
    </row>
    <row r="63" spans="1:6" ht="12.75" customHeight="1" x14ac:dyDescent="0.2">
      <c r="A63" s="188" t="str">
        <f>"   "&amp;Labels!B385</f>
        <v xml:space="preserve">   Prof Level 1</v>
      </c>
      <c r="B63" s="256"/>
      <c r="C63" s="256"/>
      <c r="D63" s="257"/>
    </row>
    <row r="64" spans="1:6" ht="12.75" customHeight="1" x14ac:dyDescent="0.2">
      <c r="A64" s="198" t="str">
        <f>"      "&amp;Labels!B317</f>
        <v xml:space="preserve">      Channels 1</v>
      </c>
      <c r="B64" s="258">
        <f>Inputs!F56</f>
        <v>0</v>
      </c>
      <c r="C64" s="258">
        <f>Inputs!G56</f>
        <v>0</v>
      </c>
      <c r="D64" s="259">
        <f>SUM(B64:C64)</f>
        <v>0</v>
      </c>
    </row>
    <row r="65" spans="1:4" ht="12.75" customHeight="1" x14ac:dyDescent="0.2">
      <c r="A65" s="198" t="str">
        <f>"      "&amp;Labels!B318</f>
        <v xml:space="preserve">      Channels 2</v>
      </c>
      <c r="B65" s="258">
        <f>Inputs!F57</f>
        <v>0</v>
      </c>
      <c r="C65" s="258">
        <f>Inputs!G57</f>
        <v>0</v>
      </c>
      <c r="D65" s="259">
        <f>SUM(B65:C65)</f>
        <v>0</v>
      </c>
    </row>
    <row r="66" spans="1:4" ht="12.75" customHeight="1" x14ac:dyDescent="0.2">
      <c r="A66" s="188" t="str">
        <f>"      "&amp;Labels!C316</f>
        <v xml:space="preserve">      Total</v>
      </c>
      <c r="B66" s="256">
        <f>SUM(B64:B65)</f>
        <v>0</v>
      </c>
      <c r="C66" s="256">
        <f>SUM(C64:C65)</f>
        <v>0</v>
      </c>
      <c r="D66" s="257">
        <f>SUM(D64:D65)</f>
        <v>0</v>
      </c>
    </row>
    <row r="67" spans="1:4" ht="12.75" customHeight="1" x14ac:dyDescent="0.2">
      <c r="A67" s="188" t="str">
        <f>"   "&amp;Labels!B386</f>
        <v xml:space="preserve">   Prof Level 2</v>
      </c>
      <c r="B67" s="256"/>
      <c r="C67" s="256"/>
      <c r="D67" s="257"/>
    </row>
    <row r="68" spans="1:4" ht="12.75" customHeight="1" x14ac:dyDescent="0.2">
      <c r="A68" s="198" t="str">
        <f>"      "&amp;Labels!B317</f>
        <v xml:space="preserve">      Channels 1</v>
      </c>
      <c r="B68" s="258">
        <f>Inputs!F58</f>
        <v>0</v>
      </c>
      <c r="C68" s="258">
        <f>Inputs!G58</f>
        <v>0</v>
      </c>
      <c r="D68" s="259">
        <f>SUM(B68:C68)</f>
        <v>0</v>
      </c>
    </row>
    <row r="69" spans="1:4" ht="12.75" customHeight="1" x14ac:dyDescent="0.2">
      <c r="A69" s="198" t="str">
        <f>"      "&amp;Labels!B318</f>
        <v xml:space="preserve">      Channels 2</v>
      </c>
      <c r="B69" s="258">
        <f>Inputs!F59</f>
        <v>0</v>
      </c>
      <c r="C69" s="258">
        <f>Inputs!G59</f>
        <v>0</v>
      </c>
      <c r="D69" s="259">
        <f>SUM(B69:C69)</f>
        <v>0</v>
      </c>
    </row>
    <row r="70" spans="1:4" ht="12.75" customHeight="1" x14ac:dyDescent="0.2">
      <c r="A70" s="188" t="str">
        <f>"      "&amp;Labels!C316</f>
        <v xml:space="preserve">      Total</v>
      </c>
      <c r="B70" s="256">
        <f>SUM(B68:B69)</f>
        <v>0</v>
      </c>
      <c r="C70" s="256">
        <f>SUM(C68:C69)</f>
        <v>0</v>
      </c>
      <c r="D70" s="257">
        <f>SUM(D68:D69)</f>
        <v>0</v>
      </c>
    </row>
    <row r="71" spans="1:4" ht="12.75" customHeight="1" x14ac:dyDescent="0.2">
      <c r="A71" s="191" t="str">
        <f>"   "&amp;Labels!C384</f>
        <v xml:space="preserve">   Total</v>
      </c>
      <c r="B71" s="260">
        <f>SUM(B66,B70)</f>
        <v>0</v>
      </c>
      <c r="C71" s="260">
        <f>SUM(C66,C70)</f>
        <v>0</v>
      </c>
      <c r="D71" s="261">
        <f>SUM(D66,D70)</f>
        <v>0</v>
      </c>
    </row>
    <row r="72" spans="1:4" ht="12.75" customHeight="1" x14ac:dyDescent="0.2">
      <c r="A72" s="198" t="str">
        <f>"      "&amp;Labels!B317</f>
        <v xml:space="preserve">      Channels 1</v>
      </c>
      <c r="B72" s="258">
        <f t="shared" ref="B72:D74" si="4">SUM(B64,B68)</f>
        <v>0</v>
      </c>
      <c r="C72" s="258">
        <f t="shared" si="4"/>
        <v>0</v>
      </c>
      <c r="D72" s="259">
        <f t="shared" si="4"/>
        <v>0</v>
      </c>
    </row>
    <row r="73" spans="1:4" ht="12.75" customHeight="1" x14ac:dyDescent="0.2">
      <c r="A73" s="198" t="str">
        <f>"      "&amp;Labels!B318</f>
        <v xml:space="preserve">      Channels 2</v>
      </c>
      <c r="B73" s="258">
        <f t="shared" si="4"/>
        <v>0</v>
      </c>
      <c r="C73" s="258">
        <f t="shared" si="4"/>
        <v>0</v>
      </c>
      <c r="D73" s="259">
        <f t="shared" si="4"/>
        <v>0</v>
      </c>
    </row>
    <row r="74" spans="1:4" ht="12.75" customHeight="1" x14ac:dyDescent="0.2">
      <c r="A74" s="188" t="str">
        <f>"      "&amp;Labels!C316</f>
        <v xml:space="preserve">      Total</v>
      </c>
      <c r="B74" s="256">
        <f t="shared" si="4"/>
        <v>0</v>
      </c>
      <c r="C74" s="256">
        <f t="shared" si="4"/>
        <v>0</v>
      </c>
      <c r="D74" s="257">
        <f t="shared" si="4"/>
        <v>0</v>
      </c>
    </row>
    <row r="75" spans="1:4" ht="12.75" customHeight="1" x14ac:dyDescent="0.2">
      <c r="A75" s="191" t="str">
        <f>Labels!B382</f>
        <v>Practice 2</v>
      </c>
      <c r="B75" s="260"/>
      <c r="C75" s="260"/>
      <c r="D75" s="261"/>
    </row>
    <row r="76" spans="1:4" ht="12.75" customHeight="1" x14ac:dyDescent="0.2">
      <c r="A76" s="188" t="str">
        <f>"   "&amp;Labels!B385</f>
        <v xml:space="preserve">   Prof Level 1</v>
      </c>
      <c r="B76" s="256"/>
      <c r="C76" s="256"/>
      <c r="D76" s="257"/>
    </row>
    <row r="77" spans="1:4" ht="12.75" customHeight="1" x14ac:dyDescent="0.2">
      <c r="A77" s="198" t="str">
        <f>"      "&amp;Labels!B317</f>
        <v xml:space="preserve">      Channels 1</v>
      </c>
      <c r="B77" s="258">
        <f>Inputs!F60</f>
        <v>0</v>
      </c>
      <c r="C77" s="258">
        <f>Inputs!G60</f>
        <v>0</v>
      </c>
      <c r="D77" s="259">
        <f>SUM(B77:C77)</f>
        <v>0</v>
      </c>
    </row>
    <row r="78" spans="1:4" ht="12.75" customHeight="1" x14ac:dyDescent="0.2">
      <c r="A78" s="198" t="str">
        <f>"      "&amp;Labels!B318</f>
        <v xml:space="preserve">      Channels 2</v>
      </c>
      <c r="B78" s="258">
        <f>Inputs!F61</f>
        <v>0</v>
      </c>
      <c r="C78" s="258">
        <f>Inputs!G61</f>
        <v>0</v>
      </c>
      <c r="D78" s="259">
        <f>SUM(B78:C78)</f>
        <v>0</v>
      </c>
    </row>
    <row r="79" spans="1:4" ht="12.75" customHeight="1" x14ac:dyDescent="0.2">
      <c r="A79" s="188" t="str">
        <f>"      "&amp;Labels!C316</f>
        <v xml:space="preserve">      Total</v>
      </c>
      <c r="B79" s="256">
        <f>SUM(B77:B78)</f>
        <v>0</v>
      </c>
      <c r="C79" s="256">
        <f>SUM(C77:C78)</f>
        <v>0</v>
      </c>
      <c r="D79" s="257">
        <f>SUM(D77:D78)</f>
        <v>0</v>
      </c>
    </row>
    <row r="80" spans="1:4" ht="12.75" customHeight="1" x14ac:dyDescent="0.2">
      <c r="A80" s="188" t="str">
        <f>"   "&amp;Labels!B386</f>
        <v xml:space="preserve">   Prof Level 2</v>
      </c>
      <c r="B80" s="256"/>
      <c r="C80" s="256"/>
      <c r="D80" s="257"/>
    </row>
    <row r="81" spans="1:4" ht="12.75" customHeight="1" x14ac:dyDescent="0.2">
      <c r="A81" s="198" t="str">
        <f>"      "&amp;Labels!B317</f>
        <v xml:space="preserve">      Channels 1</v>
      </c>
      <c r="B81" s="258">
        <f>Inputs!F62</f>
        <v>0</v>
      </c>
      <c r="C81" s="258">
        <f>Inputs!G62</f>
        <v>0</v>
      </c>
      <c r="D81" s="259">
        <f>SUM(B81:C81)</f>
        <v>0</v>
      </c>
    </row>
    <row r="82" spans="1:4" ht="12.75" customHeight="1" x14ac:dyDescent="0.2">
      <c r="A82" s="198" t="str">
        <f>"      "&amp;Labels!B318</f>
        <v xml:space="preserve">      Channels 2</v>
      </c>
      <c r="B82" s="258">
        <f>Inputs!F63</f>
        <v>0</v>
      </c>
      <c r="C82" s="258">
        <f>Inputs!G63</f>
        <v>0</v>
      </c>
      <c r="D82" s="259">
        <f>SUM(B82:C82)</f>
        <v>0</v>
      </c>
    </row>
    <row r="83" spans="1:4" ht="12.75" customHeight="1" x14ac:dyDescent="0.2">
      <c r="A83" s="188" t="str">
        <f>"      "&amp;Labels!C316</f>
        <v xml:space="preserve">      Total</v>
      </c>
      <c r="B83" s="256">
        <f>SUM(B81:B82)</f>
        <v>0</v>
      </c>
      <c r="C83" s="256">
        <f>SUM(C81:C82)</f>
        <v>0</v>
      </c>
      <c r="D83" s="257">
        <f>SUM(D81:D82)</f>
        <v>0</v>
      </c>
    </row>
    <row r="84" spans="1:4" ht="12.75" customHeight="1" x14ac:dyDescent="0.2">
      <c r="A84" s="191" t="str">
        <f>"   "&amp;Labels!C384</f>
        <v xml:space="preserve">   Total</v>
      </c>
      <c r="B84" s="260">
        <f>SUM(B79,B83)</f>
        <v>0</v>
      </c>
      <c r="C84" s="260">
        <f>SUM(C79,C83)</f>
        <v>0</v>
      </c>
      <c r="D84" s="261">
        <f>SUM(D79,D83)</f>
        <v>0</v>
      </c>
    </row>
    <row r="85" spans="1:4" ht="12.75" customHeight="1" x14ac:dyDescent="0.2">
      <c r="A85" s="198" t="str">
        <f>"      "&amp;Labels!B317</f>
        <v xml:space="preserve">      Channels 1</v>
      </c>
      <c r="B85" s="258">
        <f t="shared" ref="B85:D87" si="5">SUM(B77,B81)</f>
        <v>0</v>
      </c>
      <c r="C85" s="258">
        <f t="shared" si="5"/>
        <v>0</v>
      </c>
      <c r="D85" s="259">
        <f t="shared" si="5"/>
        <v>0</v>
      </c>
    </row>
    <row r="86" spans="1:4" ht="12.75" customHeight="1" x14ac:dyDescent="0.2">
      <c r="A86" s="198" t="str">
        <f>"      "&amp;Labels!B318</f>
        <v xml:space="preserve">      Channels 2</v>
      </c>
      <c r="B86" s="258">
        <f t="shared" si="5"/>
        <v>0</v>
      </c>
      <c r="C86" s="258">
        <f t="shared" si="5"/>
        <v>0</v>
      </c>
      <c r="D86" s="259">
        <f t="shared" si="5"/>
        <v>0</v>
      </c>
    </row>
    <row r="87" spans="1:4" ht="12.75" customHeight="1" x14ac:dyDescent="0.2">
      <c r="A87" s="188" t="str">
        <f>"      "&amp;Labels!C316</f>
        <v xml:space="preserve">      Total</v>
      </c>
      <c r="B87" s="256">
        <f t="shared" si="5"/>
        <v>0</v>
      </c>
      <c r="C87" s="256">
        <f t="shared" si="5"/>
        <v>0</v>
      </c>
      <c r="D87" s="257">
        <f t="shared" si="5"/>
        <v>0</v>
      </c>
    </row>
    <row r="88" spans="1:4" ht="12.75" customHeight="1" x14ac:dyDescent="0.2">
      <c r="A88" s="97" t="str">
        <f>Labels!C380</f>
        <v>Total</v>
      </c>
      <c r="B88" s="360">
        <f>SUM(B71,B84)</f>
        <v>0</v>
      </c>
      <c r="C88" s="360">
        <f>SUM(C71,C84)</f>
        <v>0</v>
      </c>
      <c r="D88" s="381">
        <f>SUM(B88:C88)</f>
        <v>0</v>
      </c>
    </row>
    <row r="89" spans="1:4" ht="12.75" customHeight="1" x14ac:dyDescent="0.2">
      <c r="A89" s="188" t="str">
        <f>"   "&amp;Labels!B385</f>
        <v xml:space="preserve">   Prof Level 1</v>
      </c>
      <c r="B89" s="256"/>
      <c r="C89" s="256"/>
      <c r="D89" s="257"/>
    </row>
    <row r="90" spans="1:4" ht="12.75" customHeight="1" x14ac:dyDescent="0.2">
      <c r="A90" s="198" t="str">
        <f>"      "&amp;Labels!B317</f>
        <v xml:space="preserve">      Channels 1</v>
      </c>
      <c r="B90" s="258">
        <f t="shared" ref="B90:D92" si="6">SUM(B64,B77)</f>
        <v>0</v>
      </c>
      <c r="C90" s="258">
        <f t="shared" si="6"/>
        <v>0</v>
      </c>
      <c r="D90" s="259">
        <f t="shared" si="6"/>
        <v>0</v>
      </c>
    </row>
    <row r="91" spans="1:4" ht="12.75" customHeight="1" x14ac:dyDescent="0.2">
      <c r="A91" s="198" t="str">
        <f>"      "&amp;Labels!B318</f>
        <v xml:space="preserve">      Channels 2</v>
      </c>
      <c r="B91" s="258">
        <f t="shared" si="6"/>
        <v>0</v>
      </c>
      <c r="C91" s="258">
        <f t="shared" si="6"/>
        <v>0</v>
      </c>
      <c r="D91" s="259">
        <f t="shared" si="6"/>
        <v>0</v>
      </c>
    </row>
    <row r="92" spans="1:4" ht="12.75" customHeight="1" x14ac:dyDescent="0.2">
      <c r="A92" s="188" t="str">
        <f>"      "&amp;Labels!C316</f>
        <v xml:space="preserve">      Total</v>
      </c>
      <c r="B92" s="256">
        <f t="shared" si="6"/>
        <v>0</v>
      </c>
      <c r="C92" s="256">
        <f t="shared" si="6"/>
        <v>0</v>
      </c>
      <c r="D92" s="257">
        <f t="shared" si="6"/>
        <v>0</v>
      </c>
    </row>
    <row r="93" spans="1:4" ht="12.75" customHeight="1" x14ac:dyDescent="0.2">
      <c r="A93" s="188" t="str">
        <f>"   "&amp;Labels!B386</f>
        <v xml:space="preserve">   Prof Level 2</v>
      </c>
      <c r="B93" s="256"/>
      <c r="C93" s="256"/>
      <c r="D93" s="257"/>
    </row>
    <row r="94" spans="1:4" ht="12.75" customHeight="1" x14ac:dyDescent="0.2">
      <c r="A94" s="198" t="str">
        <f>"      "&amp;Labels!B317</f>
        <v xml:space="preserve">      Channels 1</v>
      </c>
      <c r="B94" s="258">
        <f t="shared" ref="B94:D97" si="7">SUM(B68,B81)</f>
        <v>0</v>
      </c>
      <c r="C94" s="258">
        <f t="shared" si="7"/>
        <v>0</v>
      </c>
      <c r="D94" s="259">
        <f t="shared" si="7"/>
        <v>0</v>
      </c>
    </row>
    <row r="95" spans="1:4" ht="12.75" customHeight="1" x14ac:dyDescent="0.2">
      <c r="A95" s="198" t="str">
        <f>"      "&amp;Labels!B318</f>
        <v xml:space="preserve">      Channels 2</v>
      </c>
      <c r="B95" s="258">
        <f t="shared" si="7"/>
        <v>0</v>
      </c>
      <c r="C95" s="258">
        <f t="shared" si="7"/>
        <v>0</v>
      </c>
      <c r="D95" s="259">
        <f t="shared" si="7"/>
        <v>0</v>
      </c>
    </row>
    <row r="96" spans="1:4" ht="12.75" customHeight="1" x14ac:dyDescent="0.2">
      <c r="A96" s="188" t="str">
        <f>"      "&amp;Labels!C316</f>
        <v xml:space="preserve">      Total</v>
      </c>
      <c r="B96" s="256">
        <f t="shared" si="7"/>
        <v>0</v>
      </c>
      <c r="C96" s="256">
        <f t="shared" si="7"/>
        <v>0</v>
      </c>
      <c r="D96" s="257">
        <f t="shared" si="7"/>
        <v>0</v>
      </c>
    </row>
    <row r="97" spans="1:4" ht="12.75" customHeight="1" x14ac:dyDescent="0.2">
      <c r="A97" s="191" t="str">
        <f>"   "&amp;Labels!C384</f>
        <v xml:space="preserve">   Total</v>
      </c>
      <c r="B97" s="260">
        <f t="shared" si="7"/>
        <v>0</v>
      </c>
      <c r="C97" s="260">
        <f t="shared" si="7"/>
        <v>0</v>
      </c>
      <c r="D97" s="261">
        <f t="shared" si="7"/>
        <v>0</v>
      </c>
    </row>
    <row r="98" spans="1:4" ht="12.75" customHeight="1" x14ac:dyDescent="0.2">
      <c r="A98" s="198" t="str">
        <f>"      "&amp;Labels!B317</f>
        <v xml:space="preserve">      Channels 1</v>
      </c>
      <c r="B98" s="258">
        <f>SUM(B72,B85)</f>
        <v>0</v>
      </c>
      <c r="C98" s="258">
        <f>SUM(C72,C85)</f>
        <v>0</v>
      </c>
      <c r="D98" s="259">
        <f>SUM(B98:C98)</f>
        <v>0</v>
      </c>
    </row>
    <row r="99" spans="1:4" ht="12.75" customHeight="1" x14ac:dyDescent="0.2">
      <c r="A99" s="198" t="str">
        <f>"      "&amp;Labels!B318</f>
        <v xml:space="preserve">      Channels 2</v>
      </c>
      <c r="B99" s="258">
        <f>SUM(B73,B86)</f>
        <v>0</v>
      </c>
      <c r="C99" s="258">
        <f>SUM(C73,C86)</f>
        <v>0</v>
      </c>
      <c r="D99" s="259">
        <f>SUM(B99:C99)</f>
        <v>0</v>
      </c>
    </row>
    <row r="100" spans="1:4" ht="12.75" customHeight="1" x14ac:dyDescent="0.2">
      <c r="A100" s="220" t="str">
        <f>"      "&amp;Labels!C316</f>
        <v xml:space="preserve">      Total</v>
      </c>
      <c r="B100" s="362">
        <f>SUM(B71,B84)</f>
        <v>0</v>
      </c>
      <c r="C100" s="362">
        <f>SUM(C71,C84)</f>
        <v>0</v>
      </c>
      <c r="D100" s="382">
        <f>SUM(D71,D84)</f>
        <v>0</v>
      </c>
    </row>
    <row r="101" spans="1:4" ht="12.75" customHeight="1" x14ac:dyDescent="0.2">
      <c r="A101" s="1" t="str">
        <f>Labels!B140</f>
        <v>Backlog (Hrs)</v>
      </c>
    </row>
    <row r="102" spans="1:4" ht="12.75" customHeight="1" x14ac:dyDescent="0.2">
      <c r="B102" s="9" t="str">
        <f>Labels!B381</f>
        <v>Practice 1</v>
      </c>
      <c r="C102" s="10" t="str">
        <f>Labels!B382</f>
        <v>Practice 2</v>
      </c>
      <c r="D102" s="181" t="str">
        <f>Labels!C380</f>
        <v>Total</v>
      </c>
    </row>
    <row r="103" spans="1:4" ht="12.75" customHeight="1" x14ac:dyDescent="0.2">
      <c r="A103" s="182" t="str">
        <f>Labels!B385</f>
        <v>Prof Level 1</v>
      </c>
      <c r="B103" s="254"/>
      <c r="C103" s="254"/>
      <c r="D103" s="255"/>
    </row>
    <row r="104" spans="1:4" ht="12.75" customHeight="1" x14ac:dyDescent="0.2">
      <c r="A104" s="188" t="str">
        <f>"   "&amp;Labels!B317</f>
        <v xml:space="preserve">   Channels 1</v>
      </c>
      <c r="B104" s="256">
        <f>Inputs!M55</f>
        <v>0</v>
      </c>
      <c r="C104" s="256">
        <f>Inputs!M59</f>
        <v>0</v>
      </c>
      <c r="D104" s="257">
        <f>SUM(B104:C104)</f>
        <v>0</v>
      </c>
    </row>
    <row r="105" spans="1:4" ht="12.75" customHeight="1" x14ac:dyDescent="0.2">
      <c r="A105" s="188" t="str">
        <f>"   "&amp;Labels!B318</f>
        <v xml:space="preserve">   Channels 2</v>
      </c>
      <c r="B105" s="256">
        <f>Inputs!M56</f>
        <v>0</v>
      </c>
      <c r="C105" s="256">
        <f>Inputs!M60</f>
        <v>0</v>
      </c>
      <c r="D105" s="257">
        <f>SUM(B105:C105)</f>
        <v>0</v>
      </c>
    </row>
    <row r="106" spans="1:4" ht="12.75" customHeight="1" x14ac:dyDescent="0.2">
      <c r="A106" s="191" t="str">
        <f>"   "&amp;Labels!C316</f>
        <v xml:space="preserve">   Total</v>
      </c>
      <c r="B106" s="260">
        <f>SUM(B104:B105)</f>
        <v>0</v>
      </c>
      <c r="C106" s="260">
        <f>SUM(C104:C105)</f>
        <v>0</v>
      </c>
      <c r="D106" s="261">
        <f>SUM(D104:D105)</f>
        <v>0</v>
      </c>
    </row>
    <row r="107" spans="1:4" ht="12.75" customHeight="1" x14ac:dyDescent="0.2">
      <c r="A107" s="191" t="str">
        <f>Labels!B386</f>
        <v>Prof Level 2</v>
      </c>
      <c r="B107" s="260"/>
      <c r="C107" s="260"/>
      <c r="D107" s="261"/>
    </row>
    <row r="108" spans="1:4" ht="12.75" customHeight="1" x14ac:dyDescent="0.2">
      <c r="A108" s="188" t="str">
        <f>"   "&amp;Labels!B317</f>
        <v xml:space="preserve">   Channels 1</v>
      </c>
      <c r="B108" s="256">
        <f>Inputs!M57</f>
        <v>0</v>
      </c>
      <c r="C108" s="256">
        <f>Inputs!M61</f>
        <v>0</v>
      </c>
      <c r="D108" s="257">
        <f>SUM(B108:C108)</f>
        <v>0</v>
      </c>
    </row>
    <row r="109" spans="1:4" ht="12.75" customHeight="1" x14ac:dyDescent="0.2">
      <c r="A109" s="188" t="str">
        <f>"   "&amp;Labels!B318</f>
        <v xml:space="preserve">   Channels 2</v>
      </c>
      <c r="B109" s="256">
        <f>Inputs!M58</f>
        <v>0</v>
      </c>
      <c r="C109" s="256">
        <f>Inputs!M62</f>
        <v>0</v>
      </c>
      <c r="D109" s="257">
        <f>SUM(B109:C109)</f>
        <v>0</v>
      </c>
    </row>
    <row r="110" spans="1:4" ht="12.75" customHeight="1" x14ac:dyDescent="0.2">
      <c r="A110" s="191" t="str">
        <f>"   "&amp;Labels!C316</f>
        <v xml:space="preserve">   Total</v>
      </c>
      <c r="B110" s="260">
        <f>SUM(B108:B109)</f>
        <v>0</v>
      </c>
      <c r="C110" s="260">
        <f>SUM(C108:C109)</f>
        <v>0</v>
      </c>
      <c r="D110" s="261">
        <f>SUM(D108:D109)</f>
        <v>0</v>
      </c>
    </row>
    <row r="111" spans="1:4" ht="12.75" customHeight="1" x14ac:dyDescent="0.2">
      <c r="A111" s="97" t="str">
        <f>Labels!C384</f>
        <v>Total</v>
      </c>
      <c r="B111" s="360">
        <f>SUM(B106,B110)</f>
        <v>0</v>
      </c>
      <c r="C111" s="360">
        <f>SUM(C106,C110)</f>
        <v>0</v>
      </c>
      <c r="D111" s="381">
        <f>SUM(B111:C111)</f>
        <v>0</v>
      </c>
    </row>
    <row r="112" spans="1:4" ht="12.75" customHeight="1" x14ac:dyDescent="0.2">
      <c r="A112" s="188" t="str">
        <f>"   "&amp;Labels!B317</f>
        <v xml:space="preserve">   Channels 1</v>
      </c>
      <c r="B112" s="256">
        <f t="shared" ref="B112:C114" si="8">SUM(B104,B108)</f>
        <v>0</v>
      </c>
      <c r="C112" s="256">
        <f t="shared" si="8"/>
        <v>0</v>
      </c>
      <c r="D112" s="257">
        <f>SUM(B112:C112)</f>
        <v>0</v>
      </c>
    </row>
    <row r="113" spans="1:19" ht="12.75" customHeight="1" x14ac:dyDescent="0.2">
      <c r="A113" s="188" t="str">
        <f>"   "&amp;Labels!B318</f>
        <v xml:space="preserve">   Channels 2</v>
      </c>
      <c r="B113" s="256">
        <f t="shared" si="8"/>
        <v>0</v>
      </c>
      <c r="C113" s="256">
        <f t="shared" si="8"/>
        <v>0</v>
      </c>
      <c r="D113" s="257">
        <f>SUM(B113:C113)</f>
        <v>0</v>
      </c>
    </row>
    <row r="114" spans="1:19" ht="12.75" customHeight="1" x14ac:dyDescent="0.2">
      <c r="A114" s="185" t="str">
        <f>"   "&amp;Labels!C316</f>
        <v xml:space="preserve">   Total</v>
      </c>
      <c r="B114" s="331">
        <f t="shared" si="8"/>
        <v>0</v>
      </c>
      <c r="C114" s="331">
        <f t="shared" si="8"/>
        <v>0</v>
      </c>
      <c r="D114" s="332">
        <f>SUM(D106,D110)</f>
        <v>0</v>
      </c>
    </row>
    <row r="115" spans="1:19" ht="12.75" customHeight="1" x14ac:dyDescent="0.2">
      <c r="A115" s="1" t="str">
        <f>Labels!B236</f>
        <v>Sales Lead Hrs Conv % (Yr)</v>
      </c>
    </row>
    <row r="116" spans="1:19" ht="12.75" customHeight="1" x14ac:dyDescent="0.2">
      <c r="B116" s="9" t="str">
        <f>'(FnCalls 1)'!F41</f>
        <v>MMM 2010</v>
      </c>
      <c r="C116" s="10" t="str">
        <f>'(FnCalls 1)'!F42</f>
        <v>MMM 2010</v>
      </c>
      <c r="D116" s="10" t="str">
        <f>'(FnCalls 1)'!F43</f>
        <v>MMM 2010</v>
      </c>
      <c r="E116" s="10" t="str">
        <f>'(FnCalls 1)'!F44</f>
        <v>MMM 2010</v>
      </c>
      <c r="F116" s="10" t="str">
        <f>'(FnCalls 1)'!F45</f>
        <v>MMM 2010</v>
      </c>
      <c r="G116" s="10" t="str">
        <f>'(FnCalls 1)'!F46</f>
        <v>MMM 2010</v>
      </c>
      <c r="H116" s="10" t="str">
        <f>'(FnCalls 1)'!F47</f>
        <v>MMM 2010</v>
      </c>
      <c r="I116" s="10" t="str">
        <f>'(FnCalls 1)'!F48</f>
        <v>MMM 2010</v>
      </c>
      <c r="J116" s="10" t="str">
        <f>'(FnCalls 1)'!F49</f>
        <v>MMM 2010</v>
      </c>
      <c r="K116" s="10" t="str">
        <f>'(FnCalls 1)'!F50</f>
        <v>MMM 2010</v>
      </c>
      <c r="L116" s="10" t="str">
        <f>'(FnCalls 1)'!F51</f>
        <v>MMM 2010</v>
      </c>
      <c r="M116" s="10" t="str">
        <f>'(FnCalls 1)'!F52</f>
        <v>MMM 2010</v>
      </c>
      <c r="N116" s="10" t="str">
        <f>'(FnCalls 1)'!F53</f>
        <v>MMM 2011</v>
      </c>
      <c r="O116" s="10" t="str">
        <f>'(FnCalls 1)'!F54</f>
        <v>MMM 2011</v>
      </c>
      <c r="P116" s="10" t="str">
        <f>'(FnCalls 1)'!F55</f>
        <v>MMM 2011</v>
      </c>
      <c r="Q116" s="10" t="str">
        <f>'(FnCalls 1)'!F56</f>
        <v>MMM 2011</v>
      </c>
      <c r="R116" s="10" t="str">
        <f>'(FnCalls 1)'!F57</f>
        <v>MMM 2011</v>
      </c>
      <c r="S116" s="11" t="str">
        <f>'(FnCalls 1)'!F58</f>
        <v>MMM 2011</v>
      </c>
    </row>
    <row r="117" spans="1:19" ht="12.75" customHeight="1" x14ac:dyDescent="0.2">
      <c r="A117" s="182" t="str">
        <f>Labels!B389</f>
        <v>Lead Qual 1</v>
      </c>
      <c r="B117" s="370"/>
      <c r="C117" s="370"/>
      <c r="D117" s="370"/>
      <c r="E117" s="370"/>
      <c r="F117" s="370"/>
      <c r="G117" s="370"/>
      <c r="H117" s="370"/>
      <c r="I117" s="370"/>
      <c r="J117" s="370"/>
      <c r="K117" s="370"/>
      <c r="L117" s="370"/>
      <c r="M117" s="370"/>
      <c r="N117" s="370"/>
      <c r="O117" s="370"/>
      <c r="P117" s="370"/>
      <c r="Q117" s="370"/>
      <c r="R117" s="370"/>
      <c r="S117" s="371"/>
    </row>
    <row r="118" spans="1:19" ht="12.75" customHeight="1" x14ac:dyDescent="0.2">
      <c r="A118" s="188" t="str">
        <f>"   "&amp;Labels!B381</f>
        <v xml:space="preserve">   Practice 1</v>
      </c>
      <c r="B118" s="275"/>
      <c r="C118" s="275"/>
      <c r="D118" s="275"/>
      <c r="E118" s="275"/>
      <c r="F118" s="275"/>
      <c r="G118" s="275"/>
      <c r="H118" s="275"/>
      <c r="I118" s="275"/>
      <c r="J118" s="275"/>
      <c r="K118" s="275"/>
      <c r="L118" s="275"/>
      <c r="M118" s="275"/>
      <c r="N118" s="275"/>
      <c r="O118" s="275"/>
      <c r="P118" s="275"/>
      <c r="Q118" s="275"/>
      <c r="R118" s="275"/>
      <c r="S118" s="276"/>
    </row>
    <row r="119" spans="1:19" ht="12.75" customHeight="1" x14ac:dyDescent="0.2">
      <c r="A119" s="198" t="str">
        <f>"      "&amp;Labels!B385</f>
        <v xml:space="preserve">      Prof Level 1</v>
      </c>
      <c r="B119" s="303"/>
      <c r="C119" s="303"/>
      <c r="D119" s="303"/>
      <c r="E119" s="303"/>
      <c r="F119" s="303"/>
      <c r="G119" s="303"/>
      <c r="H119" s="303"/>
      <c r="I119" s="303"/>
      <c r="J119" s="303"/>
      <c r="K119" s="303"/>
      <c r="L119" s="303"/>
      <c r="M119" s="303"/>
      <c r="N119" s="303"/>
      <c r="O119" s="303"/>
      <c r="P119" s="303"/>
      <c r="Q119" s="303"/>
      <c r="R119" s="303"/>
      <c r="S119" s="383"/>
    </row>
    <row r="120" spans="1:19" ht="12.75" customHeight="1" x14ac:dyDescent="0.2">
      <c r="A120" s="198" t="str">
        <f>"         "&amp;Labels!B317</f>
        <v xml:space="preserve">         Channels 1</v>
      </c>
      <c r="B120" s="384">
        <f>Inputs!F88</f>
        <v>0.5</v>
      </c>
      <c r="C120" s="384">
        <f>Inputs!G88</f>
        <v>0.5</v>
      </c>
      <c r="D120" s="384">
        <f>Inputs!H88</f>
        <v>0.5</v>
      </c>
      <c r="E120" s="384">
        <f>Inputs!I88</f>
        <v>0.5</v>
      </c>
      <c r="F120" s="384">
        <f>Inputs!J88</f>
        <v>0.5</v>
      </c>
      <c r="G120" s="384">
        <f>Inputs!K88</f>
        <v>0.5</v>
      </c>
      <c r="H120" s="384">
        <f>Inputs!L88</f>
        <v>0.5</v>
      </c>
      <c r="I120" s="384">
        <f>Inputs!M88</f>
        <v>0.5</v>
      </c>
      <c r="J120" s="384">
        <f>Inputs!N88</f>
        <v>0.5</v>
      </c>
      <c r="K120" s="384">
        <f>Inputs!O88</f>
        <v>0.5</v>
      </c>
      <c r="L120" s="384">
        <f>Inputs!P88</f>
        <v>0.5</v>
      </c>
      <c r="M120" s="384">
        <f>Inputs!Q88</f>
        <v>0.5</v>
      </c>
      <c r="N120" s="384">
        <f>Inputs!R88</f>
        <v>0.5</v>
      </c>
      <c r="O120" s="384">
        <f>Inputs!S88</f>
        <v>0.5</v>
      </c>
      <c r="P120" s="384">
        <f>Inputs!T88</f>
        <v>0.5</v>
      </c>
      <c r="Q120" s="384">
        <f>Inputs!U88</f>
        <v>0.5</v>
      </c>
      <c r="R120" s="384">
        <f>Inputs!V88</f>
        <v>0.5</v>
      </c>
      <c r="S120" s="385">
        <f>Inputs!W88</f>
        <v>0.5</v>
      </c>
    </row>
    <row r="121" spans="1:19" ht="12.75" customHeight="1" x14ac:dyDescent="0.2">
      <c r="A121" s="198" t="str">
        <f>"         "&amp;Labels!B318</f>
        <v xml:space="preserve">         Channels 2</v>
      </c>
      <c r="B121" s="384">
        <f>Inputs!F89</f>
        <v>0.5</v>
      </c>
      <c r="C121" s="384">
        <f>Inputs!G89</f>
        <v>0.5</v>
      </c>
      <c r="D121" s="384">
        <f>Inputs!H89</f>
        <v>0.5</v>
      </c>
      <c r="E121" s="384">
        <f>Inputs!I89</f>
        <v>0.5</v>
      </c>
      <c r="F121" s="384">
        <f>Inputs!J89</f>
        <v>0.5</v>
      </c>
      <c r="G121" s="384">
        <f>Inputs!K89</f>
        <v>0.5</v>
      </c>
      <c r="H121" s="384">
        <f>Inputs!L89</f>
        <v>0.5</v>
      </c>
      <c r="I121" s="384">
        <f>Inputs!M89</f>
        <v>0.5</v>
      </c>
      <c r="J121" s="384">
        <f>Inputs!N89</f>
        <v>0.5</v>
      </c>
      <c r="K121" s="384">
        <f>Inputs!O89</f>
        <v>0.5</v>
      </c>
      <c r="L121" s="384">
        <f>Inputs!P89</f>
        <v>0.5</v>
      </c>
      <c r="M121" s="384">
        <f>Inputs!Q89</f>
        <v>0.5</v>
      </c>
      <c r="N121" s="384">
        <f>Inputs!R89</f>
        <v>0.5</v>
      </c>
      <c r="O121" s="384">
        <f>Inputs!S89</f>
        <v>0.5</v>
      </c>
      <c r="P121" s="384">
        <f>Inputs!T89</f>
        <v>0.5</v>
      </c>
      <c r="Q121" s="384">
        <f>Inputs!U89</f>
        <v>0.5</v>
      </c>
      <c r="R121" s="384">
        <f>Inputs!V89</f>
        <v>0.5</v>
      </c>
      <c r="S121" s="385">
        <f>Inputs!W89</f>
        <v>0.5</v>
      </c>
    </row>
    <row r="122" spans="1:19" ht="12.75" customHeight="1" x14ac:dyDescent="0.2">
      <c r="A122" s="198" t="str">
        <f>"         "&amp;Labels!C316</f>
        <v xml:space="preserve">         Total</v>
      </c>
      <c r="B122" s="303">
        <f t="shared" ref="B122:S122" si="9">AVERAGE(B120:B121)</f>
        <v>0.5</v>
      </c>
      <c r="C122" s="303">
        <f t="shared" si="9"/>
        <v>0.5</v>
      </c>
      <c r="D122" s="303">
        <f t="shared" si="9"/>
        <v>0.5</v>
      </c>
      <c r="E122" s="303">
        <f t="shared" si="9"/>
        <v>0.5</v>
      </c>
      <c r="F122" s="303">
        <f t="shared" si="9"/>
        <v>0.5</v>
      </c>
      <c r="G122" s="303">
        <f t="shared" si="9"/>
        <v>0.5</v>
      </c>
      <c r="H122" s="303">
        <f t="shared" si="9"/>
        <v>0.5</v>
      </c>
      <c r="I122" s="303">
        <f t="shared" si="9"/>
        <v>0.5</v>
      </c>
      <c r="J122" s="303">
        <f t="shared" si="9"/>
        <v>0.5</v>
      </c>
      <c r="K122" s="303">
        <f t="shared" si="9"/>
        <v>0.5</v>
      </c>
      <c r="L122" s="303">
        <f t="shared" si="9"/>
        <v>0.5</v>
      </c>
      <c r="M122" s="303">
        <f t="shared" si="9"/>
        <v>0.5</v>
      </c>
      <c r="N122" s="303">
        <f t="shared" si="9"/>
        <v>0.5</v>
      </c>
      <c r="O122" s="303">
        <f t="shared" si="9"/>
        <v>0.5</v>
      </c>
      <c r="P122" s="303">
        <f t="shared" si="9"/>
        <v>0.5</v>
      </c>
      <c r="Q122" s="303">
        <f t="shared" si="9"/>
        <v>0.5</v>
      </c>
      <c r="R122" s="303">
        <f t="shared" si="9"/>
        <v>0.5</v>
      </c>
      <c r="S122" s="383">
        <f t="shared" si="9"/>
        <v>0.5</v>
      </c>
    </row>
    <row r="123" spans="1:19" ht="12.75" customHeight="1" x14ac:dyDescent="0.2">
      <c r="A123" s="198" t="str">
        <f>"      "&amp;Labels!B386</f>
        <v xml:space="preserve">      Prof Level 2</v>
      </c>
      <c r="B123" s="303"/>
      <c r="C123" s="303"/>
      <c r="D123" s="303"/>
      <c r="E123" s="303"/>
      <c r="F123" s="303"/>
      <c r="G123" s="303"/>
      <c r="H123" s="303"/>
      <c r="I123" s="303"/>
      <c r="J123" s="303"/>
      <c r="K123" s="303"/>
      <c r="L123" s="303"/>
      <c r="M123" s="303"/>
      <c r="N123" s="303"/>
      <c r="O123" s="303"/>
      <c r="P123" s="303"/>
      <c r="Q123" s="303"/>
      <c r="R123" s="303"/>
      <c r="S123" s="383"/>
    </row>
    <row r="124" spans="1:19" ht="12.75" customHeight="1" x14ac:dyDescent="0.2">
      <c r="A124" s="198" t="str">
        <f>"         "&amp;Labels!B317</f>
        <v xml:space="preserve">         Channels 1</v>
      </c>
      <c r="B124" s="384">
        <f>Inputs!F90</f>
        <v>0.5</v>
      </c>
      <c r="C124" s="384">
        <f>Inputs!G90</f>
        <v>0.5</v>
      </c>
      <c r="D124" s="384">
        <f>Inputs!H90</f>
        <v>0.5</v>
      </c>
      <c r="E124" s="384">
        <f>Inputs!I90</f>
        <v>0.5</v>
      </c>
      <c r="F124" s="384">
        <f>Inputs!J90</f>
        <v>0.5</v>
      </c>
      <c r="G124" s="384">
        <f>Inputs!K90</f>
        <v>0.5</v>
      </c>
      <c r="H124" s="384">
        <f>Inputs!L90</f>
        <v>0.5</v>
      </c>
      <c r="I124" s="384">
        <f>Inputs!M90</f>
        <v>0.5</v>
      </c>
      <c r="J124" s="384">
        <f>Inputs!N90</f>
        <v>0.5</v>
      </c>
      <c r="K124" s="384">
        <f>Inputs!O90</f>
        <v>0.5</v>
      </c>
      <c r="L124" s="384">
        <f>Inputs!P90</f>
        <v>0.5</v>
      </c>
      <c r="M124" s="384">
        <f>Inputs!Q90</f>
        <v>0.5</v>
      </c>
      <c r="N124" s="384">
        <f>Inputs!R90</f>
        <v>0.5</v>
      </c>
      <c r="O124" s="384">
        <f>Inputs!S90</f>
        <v>0.5</v>
      </c>
      <c r="P124" s="384">
        <f>Inputs!T90</f>
        <v>0.5</v>
      </c>
      <c r="Q124" s="384">
        <f>Inputs!U90</f>
        <v>0.5</v>
      </c>
      <c r="R124" s="384">
        <f>Inputs!V90</f>
        <v>0.5</v>
      </c>
      <c r="S124" s="385">
        <f>Inputs!W90</f>
        <v>0.5</v>
      </c>
    </row>
    <row r="125" spans="1:19" ht="12.75" customHeight="1" x14ac:dyDescent="0.2">
      <c r="A125" s="198" t="str">
        <f>"         "&amp;Labels!B318</f>
        <v xml:space="preserve">         Channels 2</v>
      </c>
      <c r="B125" s="384">
        <f>Inputs!F91</f>
        <v>0.5</v>
      </c>
      <c r="C125" s="384">
        <f>Inputs!G91</f>
        <v>0.5</v>
      </c>
      <c r="D125" s="384">
        <f>Inputs!H91</f>
        <v>0.5</v>
      </c>
      <c r="E125" s="384">
        <f>Inputs!I91</f>
        <v>0.5</v>
      </c>
      <c r="F125" s="384">
        <f>Inputs!J91</f>
        <v>0.5</v>
      </c>
      <c r="G125" s="384">
        <f>Inputs!K91</f>
        <v>0.5</v>
      </c>
      <c r="H125" s="384">
        <f>Inputs!L91</f>
        <v>0.5</v>
      </c>
      <c r="I125" s="384">
        <f>Inputs!M91</f>
        <v>0.5</v>
      </c>
      <c r="J125" s="384">
        <f>Inputs!N91</f>
        <v>0.5</v>
      </c>
      <c r="K125" s="384">
        <f>Inputs!O91</f>
        <v>0.5</v>
      </c>
      <c r="L125" s="384">
        <f>Inputs!P91</f>
        <v>0.5</v>
      </c>
      <c r="M125" s="384">
        <f>Inputs!Q91</f>
        <v>0.5</v>
      </c>
      <c r="N125" s="384">
        <f>Inputs!R91</f>
        <v>0.5</v>
      </c>
      <c r="O125" s="384">
        <f>Inputs!S91</f>
        <v>0.5</v>
      </c>
      <c r="P125" s="384">
        <f>Inputs!T91</f>
        <v>0.5</v>
      </c>
      <c r="Q125" s="384">
        <f>Inputs!U91</f>
        <v>0.5</v>
      </c>
      <c r="R125" s="384">
        <f>Inputs!V91</f>
        <v>0.5</v>
      </c>
      <c r="S125" s="385">
        <f>Inputs!W91</f>
        <v>0.5</v>
      </c>
    </row>
    <row r="126" spans="1:19" ht="12.75" customHeight="1" x14ac:dyDescent="0.2">
      <c r="A126" s="198" t="str">
        <f>"         "&amp;Labels!C316</f>
        <v xml:space="preserve">         Total</v>
      </c>
      <c r="B126" s="303">
        <f t="shared" ref="B126:S126" si="10">AVERAGE(B124:B125)</f>
        <v>0.5</v>
      </c>
      <c r="C126" s="303">
        <f t="shared" si="10"/>
        <v>0.5</v>
      </c>
      <c r="D126" s="303">
        <f t="shared" si="10"/>
        <v>0.5</v>
      </c>
      <c r="E126" s="303">
        <f t="shared" si="10"/>
        <v>0.5</v>
      </c>
      <c r="F126" s="303">
        <f t="shared" si="10"/>
        <v>0.5</v>
      </c>
      <c r="G126" s="303">
        <f t="shared" si="10"/>
        <v>0.5</v>
      </c>
      <c r="H126" s="303">
        <f t="shared" si="10"/>
        <v>0.5</v>
      </c>
      <c r="I126" s="303">
        <f t="shared" si="10"/>
        <v>0.5</v>
      </c>
      <c r="J126" s="303">
        <f t="shared" si="10"/>
        <v>0.5</v>
      </c>
      <c r="K126" s="303">
        <f t="shared" si="10"/>
        <v>0.5</v>
      </c>
      <c r="L126" s="303">
        <f t="shared" si="10"/>
        <v>0.5</v>
      </c>
      <c r="M126" s="303">
        <f t="shared" si="10"/>
        <v>0.5</v>
      </c>
      <c r="N126" s="303">
        <f t="shared" si="10"/>
        <v>0.5</v>
      </c>
      <c r="O126" s="303">
        <f t="shared" si="10"/>
        <v>0.5</v>
      </c>
      <c r="P126" s="303">
        <f t="shared" si="10"/>
        <v>0.5</v>
      </c>
      <c r="Q126" s="303">
        <f t="shared" si="10"/>
        <v>0.5</v>
      </c>
      <c r="R126" s="303">
        <f t="shared" si="10"/>
        <v>0.5</v>
      </c>
      <c r="S126" s="383">
        <f t="shared" si="10"/>
        <v>0.5</v>
      </c>
    </row>
    <row r="127" spans="1:19" ht="12.75" customHeight="1" x14ac:dyDescent="0.2">
      <c r="A127" s="188" t="str">
        <f>"      "&amp;Labels!C384</f>
        <v xml:space="preserve">      Total</v>
      </c>
      <c r="B127" s="275">
        <f t="shared" ref="B127:S127" si="11">AVERAGE(B122,B126)</f>
        <v>0.5</v>
      </c>
      <c r="C127" s="275">
        <f t="shared" si="11"/>
        <v>0.5</v>
      </c>
      <c r="D127" s="275">
        <f t="shared" si="11"/>
        <v>0.5</v>
      </c>
      <c r="E127" s="275">
        <f t="shared" si="11"/>
        <v>0.5</v>
      </c>
      <c r="F127" s="275">
        <f t="shared" si="11"/>
        <v>0.5</v>
      </c>
      <c r="G127" s="275">
        <f t="shared" si="11"/>
        <v>0.5</v>
      </c>
      <c r="H127" s="275">
        <f t="shared" si="11"/>
        <v>0.5</v>
      </c>
      <c r="I127" s="275">
        <f t="shared" si="11"/>
        <v>0.5</v>
      </c>
      <c r="J127" s="275">
        <f t="shared" si="11"/>
        <v>0.5</v>
      </c>
      <c r="K127" s="275">
        <f t="shared" si="11"/>
        <v>0.5</v>
      </c>
      <c r="L127" s="275">
        <f t="shared" si="11"/>
        <v>0.5</v>
      </c>
      <c r="M127" s="275">
        <f t="shared" si="11"/>
        <v>0.5</v>
      </c>
      <c r="N127" s="275">
        <f t="shared" si="11"/>
        <v>0.5</v>
      </c>
      <c r="O127" s="275">
        <f t="shared" si="11"/>
        <v>0.5</v>
      </c>
      <c r="P127" s="275">
        <f t="shared" si="11"/>
        <v>0.5</v>
      </c>
      <c r="Q127" s="275">
        <f t="shared" si="11"/>
        <v>0.5</v>
      </c>
      <c r="R127" s="275">
        <f t="shared" si="11"/>
        <v>0.5</v>
      </c>
      <c r="S127" s="276">
        <f t="shared" si="11"/>
        <v>0.5</v>
      </c>
    </row>
    <row r="128" spans="1:19" ht="12.75" customHeight="1" x14ac:dyDescent="0.2">
      <c r="A128" s="198" t="str">
        <f>"         "&amp;Labels!B317</f>
        <v xml:space="preserve">         Channels 1</v>
      </c>
      <c r="B128" s="384">
        <f t="shared" ref="B128:S128" si="12">AVERAGE(B120,B124)</f>
        <v>0.5</v>
      </c>
      <c r="C128" s="384">
        <f t="shared" si="12"/>
        <v>0.5</v>
      </c>
      <c r="D128" s="384">
        <f t="shared" si="12"/>
        <v>0.5</v>
      </c>
      <c r="E128" s="384">
        <f t="shared" si="12"/>
        <v>0.5</v>
      </c>
      <c r="F128" s="384">
        <f t="shared" si="12"/>
        <v>0.5</v>
      </c>
      <c r="G128" s="384">
        <f t="shared" si="12"/>
        <v>0.5</v>
      </c>
      <c r="H128" s="384">
        <f t="shared" si="12"/>
        <v>0.5</v>
      </c>
      <c r="I128" s="384">
        <f t="shared" si="12"/>
        <v>0.5</v>
      </c>
      <c r="J128" s="384">
        <f t="shared" si="12"/>
        <v>0.5</v>
      </c>
      <c r="K128" s="384">
        <f t="shared" si="12"/>
        <v>0.5</v>
      </c>
      <c r="L128" s="384">
        <f t="shared" si="12"/>
        <v>0.5</v>
      </c>
      <c r="M128" s="384">
        <f t="shared" si="12"/>
        <v>0.5</v>
      </c>
      <c r="N128" s="384">
        <f t="shared" si="12"/>
        <v>0.5</v>
      </c>
      <c r="O128" s="384">
        <f t="shared" si="12"/>
        <v>0.5</v>
      </c>
      <c r="P128" s="384">
        <f t="shared" si="12"/>
        <v>0.5</v>
      </c>
      <c r="Q128" s="384">
        <f t="shared" si="12"/>
        <v>0.5</v>
      </c>
      <c r="R128" s="384">
        <f t="shared" si="12"/>
        <v>0.5</v>
      </c>
      <c r="S128" s="385">
        <f t="shared" si="12"/>
        <v>0.5</v>
      </c>
    </row>
    <row r="129" spans="1:19" ht="12.75" customHeight="1" x14ac:dyDescent="0.2">
      <c r="A129" s="198" t="str">
        <f>"         "&amp;Labels!B318</f>
        <v xml:space="preserve">         Channels 2</v>
      </c>
      <c r="B129" s="384">
        <f t="shared" ref="B129:S129" si="13">AVERAGE(B121,B125)</f>
        <v>0.5</v>
      </c>
      <c r="C129" s="384">
        <f t="shared" si="13"/>
        <v>0.5</v>
      </c>
      <c r="D129" s="384">
        <f t="shared" si="13"/>
        <v>0.5</v>
      </c>
      <c r="E129" s="384">
        <f t="shared" si="13"/>
        <v>0.5</v>
      </c>
      <c r="F129" s="384">
        <f t="shared" si="13"/>
        <v>0.5</v>
      </c>
      <c r="G129" s="384">
        <f t="shared" si="13"/>
        <v>0.5</v>
      </c>
      <c r="H129" s="384">
        <f t="shared" si="13"/>
        <v>0.5</v>
      </c>
      <c r="I129" s="384">
        <f t="shared" si="13"/>
        <v>0.5</v>
      </c>
      <c r="J129" s="384">
        <f t="shared" si="13"/>
        <v>0.5</v>
      </c>
      <c r="K129" s="384">
        <f t="shared" si="13"/>
        <v>0.5</v>
      </c>
      <c r="L129" s="384">
        <f t="shared" si="13"/>
        <v>0.5</v>
      </c>
      <c r="M129" s="384">
        <f t="shared" si="13"/>
        <v>0.5</v>
      </c>
      <c r="N129" s="384">
        <f t="shared" si="13"/>
        <v>0.5</v>
      </c>
      <c r="O129" s="384">
        <f t="shared" si="13"/>
        <v>0.5</v>
      </c>
      <c r="P129" s="384">
        <f t="shared" si="13"/>
        <v>0.5</v>
      </c>
      <c r="Q129" s="384">
        <f t="shared" si="13"/>
        <v>0.5</v>
      </c>
      <c r="R129" s="384">
        <f t="shared" si="13"/>
        <v>0.5</v>
      </c>
      <c r="S129" s="385">
        <f t="shared" si="13"/>
        <v>0.5</v>
      </c>
    </row>
    <row r="130" spans="1:19" ht="12.75" customHeight="1" x14ac:dyDescent="0.2">
      <c r="A130" s="198" t="str">
        <f>"         "&amp;Labels!C316</f>
        <v xml:space="preserve">         Total</v>
      </c>
      <c r="B130" s="303">
        <f t="shared" ref="B130:S130" si="14">AVERAGE(B122,B126)</f>
        <v>0.5</v>
      </c>
      <c r="C130" s="303">
        <f t="shared" si="14"/>
        <v>0.5</v>
      </c>
      <c r="D130" s="303">
        <f t="shared" si="14"/>
        <v>0.5</v>
      </c>
      <c r="E130" s="303">
        <f t="shared" si="14"/>
        <v>0.5</v>
      </c>
      <c r="F130" s="303">
        <f t="shared" si="14"/>
        <v>0.5</v>
      </c>
      <c r="G130" s="303">
        <f t="shared" si="14"/>
        <v>0.5</v>
      </c>
      <c r="H130" s="303">
        <f t="shared" si="14"/>
        <v>0.5</v>
      </c>
      <c r="I130" s="303">
        <f t="shared" si="14"/>
        <v>0.5</v>
      </c>
      <c r="J130" s="303">
        <f t="shared" si="14"/>
        <v>0.5</v>
      </c>
      <c r="K130" s="303">
        <f t="shared" si="14"/>
        <v>0.5</v>
      </c>
      <c r="L130" s="303">
        <f t="shared" si="14"/>
        <v>0.5</v>
      </c>
      <c r="M130" s="303">
        <f t="shared" si="14"/>
        <v>0.5</v>
      </c>
      <c r="N130" s="303">
        <f t="shared" si="14"/>
        <v>0.5</v>
      </c>
      <c r="O130" s="303">
        <f t="shared" si="14"/>
        <v>0.5</v>
      </c>
      <c r="P130" s="303">
        <f t="shared" si="14"/>
        <v>0.5</v>
      </c>
      <c r="Q130" s="303">
        <f t="shared" si="14"/>
        <v>0.5</v>
      </c>
      <c r="R130" s="303">
        <f t="shared" si="14"/>
        <v>0.5</v>
      </c>
      <c r="S130" s="383">
        <f t="shared" si="14"/>
        <v>0.5</v>
      </c>
    </row>
    <row r="131" spans="1:19" ht="12.75" customHeight="1" x14ac:dyDescent="0.2">
      <c r="A131" s="188" t="str">
        <f>"   "&amp;Labels!B382</f>
        <v xml:space="preserve">   Practice 2</v>
      </c>
      <c r="B131" s="275"/>
      <c r="C131" s="275"/>
      <c r="D131" s="275"/>
      <c r="E131" s="275"/>
      <c r="F131" s="275"/>
      <c r="G131" s="275"/>
      <c r="H131" s="275"/>
      <c r="I131" s="275"/>
      <c r="J131" s="275"/>
      <c r="K131" s="275"/>
      <c r="L131" s="275"/>
      <c r="M131" s="275"/>
      <c r="N131" s="275"/>
      <c r="O131" s="275"/>
      <c r="P131" s="275"/>
      <c r="Q131" s="275"/>
      <c r="R131" s="275"/>
      <c r="S131" s="276"/>
    </row>
    <row r="132" spans="1:19" ht="12.75" customHeight="1" x14ac:dyDescent="0.2">
      <c r="A132" s="198" t="str">
        <f>"      "&amp;Labels!B385</f>
        <v xml:space="preserve">      Prof Level 1</v>
      </c>
      <c r="B132" s="303"/>
      <c r="C132" s="303"/>
      <c r="D132" s="303"/>
      <c r="E132" s="303"/>
      <c r="F132" s="303"/>
      <c r="G132" s="303"/>
      <c r="H132" s="303"/>
      <c r="I132" s="303"/>
      <c r="J132" s="303"/>
      <c r="K132" s="303"/>
      <c r="L132" s="303"/>
      <c r="M132" s="303"/>
      <c r="N132" s="303"/>
      <c r="O132" s="303"/>
      <c r="P132" s="303"/>
      <c r="Q132" s="303"/>
      <c r="R132" s="303"/>
      <c r="S132" s="383"/>
    </row>
    <row r="133" spans="1:19" ht="12.75" customHeight="1" x14ac:dyDescent="0.2">
      <c r="A133" s="198" t="str">
        <f>"         "&amp;Labels!B317</f>
        <v xml:space="preserve">         Channels 1</v>
      </c>
      <c r="B133" s="384">
        <f>Inputs!F92</f>
        <v>0.5</v>
      </c>
      <c r="C133" s="384">
        <f>Inputs!G92</f>
        <v>0.5</v>
      </c>
      <c r="D133" s="384">
        <f>Inputs!H92</f>
        <v>0.5</v>
      </c>
      <c r="E133" s="384">
        <f>Inputs!I92</f>
        <v>0.5</v>
      </c>
      <c r="F133" s="384">
        <f>Inputs!J92</f>
        <v>0.5</v>
      </c>
      <c r="G133" s="384">
        <f>Inputs!K92</f>
        <v>0.5</v>
      </c>
      <c r="H133" s="384">
        <f>Inputs!L92</f>
        <v>0.5</v>
      </c>
      <c r="I133" s="384">
        <f>Inputs!M92</f>
        <v>0.5</v>
      </c>
      <c r="J133" s="384">
        <f>Inputs!N92</f>
        <v>0.5</v>
      </c>
      <c r="K133" s="384">
        <f>Inputs!O92</f>
        <v>0.5</v>
      </c>
      <c r="L133" s="384">
        <f>Inputs!P92</f>
        <v>0.5</v>
      </c>
      <c r="M133" s="384">
        <f>Inputs!Q92</f>
        <v>0.5</v>
      </c>
      <c r="N133" s="384">
        <f>Inputs!R92</f>
        <v>0.5</v>
      </c>
      <c r="O133" s="384">
        <f>Inputs!S92</f>
        <v>0.5</v>
      </c>
      <c r="P133" s="384">
        <f>Inputs!T92</f>
        <v>0.5</v>
      </c>
      <c r="Q133" s="384">
        <f>Inputs!U92</f>
        <v>0.5</v>
      </c>
      <c r="R133" s="384">
        <f>Inputs!V92</f>
        <v>0.5</v>
      </c>
      <c r="S133" s="385">
        <f>Inputs!W92</f>
        <v>0.5</v>
      </c>
    </row>
    <row r="134" spans="1:19" ht="12.75" customHeight="1" x14ac:dyDescent="0.2">
      <c r="A134" s="198" t="str">
        <f>"         "&amp;Labels!B318</f>
        <v xml:space="preserve">         Channels 2</v>
      </c>
      <c r="B134" s="384">
        <f>Inputs!F93</f>
        <v>0.5</v>
      </c>
      <c r="C134" s="384">
        <f>Inputs!G93</f>
        <v>0.5</v>
      </c>
      <c r="D134" s="384">
        <f>Inputs!H93</f>
        <v>0.5</v>
      </c>
      <c r="E134" s="384">
        <f>Inputs!I93</f>
        <v>0.5</v>
      </c>
      <c r="F134" s="384">
        <f>Inputs!J93</f>
        <v>0.5</v>
      </c>
      <c r="G134" s="384">
        <f>Inputs!K93</f>
        <v>0.5</v>
      </c>
      <c r="H134" s="384">
        <f>Inputs!L93</f>
        <v>0.5</v>
      </c>
      <c r="I134" s="384">
        <f>Inputs!M93</f>
        <v>0.5</v>
      </c>
      <c r="J134" s="384">
        <f>Inputs!N93</f>
        <v>0.5</v>
      </c>
      <c r="K134" s="384">
        <f>Inputs!O93</f>
        <v>0.5</v>
      </c>
      <c r="L134" s="384">
        <f>Inputs!P93</f>
        <v>0.5</v>
      </c>
      <c r="M134" s="384">
        <f>Inputs!Q93</f>
        <v>0.5</v>
      </c>
      <c r="N134" s="384">
        <f>Inputs!R93</f>
        <v>0.5</v>
      </c>
      <c r="O134" s="384">
        <f>Inputs!S93</f>
        <v>0.5</v>
      </c>
      <c r="P134" s="384">
        <f>Inputs!T93</f>
        <v>0.5</v>
      </c>
      <c r="Q134" s="384">
        <f>Inputs!U93</f>
        <v>0.5</v>
      </c>
      <c r="R134" s="384">
        <f>Inputs!V93</f>
        <v>0.5</v>
      </c>
      <c r="S134" s="385">
        <f>Inputs!W93</f>
        <v>0.5</v>
      </c>
    </row>
    <row r="135" spans="1:19" ht="12.75" customHeight="1" x14ac:dyDescent="0.2">
      <c r="A135" s="198" t="str">
        <f>"         "&amp;Labels!C316</f>
        <v xml:space="preserve">         Total</v>
      </c>
      <c r="B135" s="303">
        <f t="shared" ref="B135:S135" si="15">AVERAGE(B133:B134)</f>
        <v>0.5</v>
      </c>
      <c r="C135" s="303">
        <f t="shared" si="15"/>
        <v>0.5</v>
      </c>
      <c r="D135" s="303">
        <f t="shared" si="15"/>
        <v>0.5</v>
      </c>
      <c r="E135" s="303">
        <f t="shared" si="15"/>
        <v>0.5</v>
      </c>
      <c r="F135" s="303">
        <f t="shared" si="15"/>
        <v>0.5</v>
      </c>
      <c r="G135" s="303">
        <f t="shared" si="15"/>
        <v>0.5</v>
      </c>
      <c r="H135" s="303">
        <f t="shared" si="15"/>
        <v>0.5</v>
      </c>
      <c r="I135" s="303">
        <f t="shared" si="15"/>
        <v>0.5</v>
      </c>
      <c r="J135" s="303">
        <f t="shared" si="15"/>
        <v>0.5</v>
      </c>
      <c r="K135" s="303">
        <f t="shared" si="15"/>
        <v>0.5</v>
      </c>
      <c r="L135" s="303">
        <f t="shared" si="15"/>
        <v>0.5</v>
      </c>
      <c r="M135" s="303">
        <f t="shared" si="15"/>
        <v>0.5</v>
      </c>
      <c r="N135" s="303">
        <f t="shared" si="15"/>
        <v>0.5</v>
      </c>
      <c r="O135" s="303">
        <f t="shared" si="15"/>
        <v>0.5</v>
      </c>
      <c r="P135" s="303">
        <f t="shared" si="15"/>
        <v>0.5</v>
      </c>
      <c r="Q135" s="303">
        <f t="shared" si="15"/>
        <v>0.5</v>
      </c>
      <c r="R135" s="303">
        <f t="shared" si="15"/>
        <v>0.5</v>
      </c>
      <c r="S135" s="383">
        <f t="shared" si="15"/>
        <v>0.5</v>
      </c>
    </row>
    <row r="136" spans="1:19" ht="12.75" customHeight="1" x14ac:dyDescent="0.2">
      <c r="A136" s="198" t="str">
        <f>"      "&amp;Labels!B386</f>
        <v xml:space="preserve">      Prof Level 2</v>
      </c>
      <c r="B136" s="303"/>
      <c r="C136" s="303"/>
      <c r="D136" s="303"/>
      <c r="E136" s="303"/>
      <c r="F136" s="303"/>
      <c r="G136" s="303"/>
      <c r="H136" s="303"/>
      <c r="I136" s="303"/>
      <c r="J136" s="303"/>
      <c r="K136" s="303"/>
      <c r="L136" s="303"/>
      <c r="M136" s="303"/>
      <c r="N136" s="303"/>
      <c r="O136" s="303"/>
      <c r="P136" s="303"/>
      <c r="Q136" s="303"/>
      <c r="R136" s="303"/>
      <c r="S136" s="383"/>
    </row>
    <row r="137" spans="1:19" ht="12.75" customHeight="1" x14ac:dyDescent="0.2">
      <c r="A137" s="198" t="str">
        <f>"         "&amp;Labels!B317</f>
        <v xml:space="preserve">         Channels 1</v>
      </c>
      <c r="B137" s="384">
        <f>Inputs!F94</f>
        <v>0.5</v>
      </c>
      <c r="C137" s="384">
        <f>Inputs!G94</f>
        <v>0.5</v>
      </c>
      <c r="D137" s="384">
        <f>Inputs!H94</f>
        <v>0.5</v>
      </c>
      <c r="E137" s="384">
        <f>Inputs!I94</f>
        <v>0.5</v>
      </c>
      <c r="F137" s="384">
        <f>Inputs!J94</f>
        <v>0.5</v>
      </c>
      <c r="G137" s="384">
        <f>Inputs!K94</f>
        <v>0.5</v>
      </c>
      <c r="H137" s="384">
        <f>Inputs!L94</f>
        <v>0.5</v>
      </c>
      <c r="I137" s="384">
        <f>Inputs!M94</f>
        <v>0.5</v>
      </c>
      <c r="J137" s="384">
        <f>Inputs!N94</f>
        <v>0.5</v>
      </c>
      <c r="K137" s="384">
        <f>Inputs!O94</f>
        <v>0.5</v>
      </c>
      <c r="L137" s="384">
        <f>Inputs!P94</f>
        <v>0.5</v>
      </c>
      <c r="M137" s="384">
        <f>Inputs!Q94</f>
        <v>0.5</v>
      </c>
      <c r="N137" s="384">
        <f>Inputs!R94</f>
        <v>0.5</v>
      </c>
      <c r="O137" s="384">
        <f>Inputs!S94</f>
        <v>0.5</v>
      </c>
      <c r="P137" s="384">
        <f>Inputs!T94</f>
        <v>0.5</v>
      </c>
      <c r="Q137" s="384">
        <f>Inputs!U94</f>
        <v>0.5</v>
      </c>
      <c r="R137" s="384">
        <f>Inputs!V94</f>
        <v>0.5</v>
      </c>
      <c r="S137" s="385">
        <f>Inputs!W94</f>
        <v>0.5</v>
      </c>
    </row>
    <row r="138" spans="1:19" ht="12.75" customHeight="1" x14ac:dyDescent="0.2">
      <c r="A138" s="198" t="str">
        <f>"         "&amp;Labels!B318</f>
        <v xml:space="preserve">         Channels 2</v>
      </c>
      <c r="B138" s="384">
        <f>Inputs!F95</f>
        <v>0.5</v>
      </c>
      <c r="C138" s="384">
        <f>Inputs!G95</f>
        <v>0.5</v>
      </c>
      <c r="D138" s="384">
        <f>Inputs!H95</f>
        <v>0.5</v>
      </c>
      <c r="E138" s="384">
        <f>Inputs!I95</f>
        <v>0.5</v>
      </c>
      <c r="F138" s="384">
        <f>Inputs!J95</f>
        <v>0.5</v>
      </c>
      <c r="G138" s="384">
        <f>Inputs!K95</f>
        <v>0.5</v>
      </c>
      <c r="H138" s="384">
        <f>Inputs!L95</f>
        <v>0.5</v>
      </c>
      <c r="I138" s="384">
        <f>Inputs!M95</f>
        <v>0.5</v>
      </c>
      <c r="J138" s="384">
        <f>Inputs!N95</f>
        <v>0.5</v>
      </c>
      <c r="K138" s="384">
        <f>Inputs!O95</f>
        <v>0.5</v>
      </c>
      <c r="L138" s="384">
        <f>Inputs!P95</f>
        <v>0.5</v>
      </c>
      <c r="M138" s="384">
        <f>Inputs!Q95</f>
        <v>0.5</v>
      </c>
      <c r="N138" s="384">
        <f>Inputs!R95</f>
        <v>0.5</v>
      </c>
      <c r="O138" s="384">
        <f>Inputs!S95</f>
        <v>0.5</v>
      </c>
      <c r="P138" s="384">
        <f>Inputs!T95</f>
        <v>0.5</v>
      </c>
      <c r="Q138" s="384">
        <f>Inputs!U95</f>
        <v>0.5</v>
      </c>
      <c r="R138" s="384">
        <f>Inputs!V95</f>
        <v>0.5</v>
      </c>
      <c r="S138" s="385">
        <f>Inputs!W95</f>
        <v>0.5</v>
      </c>
    </row>
    <row r="139" spans="1:19" ht="12.75" customHeight="1" x14ac:dyDescent="0.2">
      <c r="A139" s="198" t="str">
        <f>"         "&amp;Labels!C316</f>
        <v xml:space="preserve">         Total</v>
      </c>
      <c r="B139" s="303">
        <f t="shared" ref="B139:S139" si="16">AVERAGE(B137:B138)</f>
        <v>0.5</v>
      </c>
      <c r="C139" s="303">
        <f t="shared" si="16"/>
        <v>0.5</v>
      </c>
      <c r="D139" s="303">
        <f t="shared" si="16"/>
        <v>0.5</v>
      </c>
      <c r="E139" s="303">
        <f t="shared" si="16"/>
        <v>0.5</v>
      </c>
      <c r="F139" s="303">
        <f t="shared" si="16"/>
        <v>0.5</v>
      </c>
      <c r="G139" s="303">
        <f t="shared" si="16"/>
        <v>0.5</v>
      </c>
      <c r="H139" s="303">
        <f t="shared" si="16"/>
        <v>0.5</v>
      </c>
      <c r="I139" s="303">
        <f t="shared" si="16"/>
        <v>0.5</v>
      </c>
      <c r="J139" s="303">
        <f t="shared" si="16"/>
        <v>0.5</v>
      </c>
      <c r="K139" s="303">
        <f t="shared" si="16"/>
        <v>0.5</v>
      </c>
      <c r="L139" s="303">
        <f t="shared" si="16"/>
        <v>0.5</v>
      </c>
      <c r="M139" s="303">
        <f t="shared" si="16"/>
        <v>0.5</v>
      </c>
      <c r="N139" s="303">
        <f t="shared" si="16"/>
        <v>0.5</v>
      </c>
      <c r="O139" s="303">
        <f t="shared" si="16"/>
        <v>0.5</v>
      </c>
      <c r="P139" s="303">
        <f t="shared" si="16"/>
        <v>0.5</v>
      </c>
      <c r="Q139" s="303">
        <f t="shared" si="16"/>
        <v>0.5</v>
      </c>
      <c r="R139" s="303">
        <f t="shared" si="16"/>
        <v>0.5</v>
      </c>
      <c r="S139" s="383">
        <f t="shared" si="16"/>
        <v>0.5</v>
      </c>
    </row>
    <row r="140" spans="1:19" ht="12.75" customHeight="1" x14ac:dyDescent="0.2">
      <c r="A140" s="188" t="str">
        <f>"      "&amp;Labels!C384</f>
        <v xml:space="preserve">      Total</v>
      </c>
      <c r="B140" s="275">
        <f t="shared" ref="B140:S140" si="17">AVERAGE(B135,B139)</f>
        <v>0.5</v>
      </c>
      <c r="C140" s="275">
        <f t="shared" si="17"/>
        <v>0.5</v>
      </c>
      <c r="D140" s="275">
        <f t="shared" si="17"/>
        <v>0.5</v>
      </c>
      <c r="E140" s="275">
        <f t="shared" si="17"/>
        <v>0.5</v>
      </c>
      <c r="F140" s="275">
        <f t="shared" si="17"/>
        <v>0.5</v>
      </c>
      <c r="G140" s="275">
        <f t="shared" si="17"/>
        <v>0.5</v>
      </c>
      <c r="H140" s="275">
        <f t="shared" si="17"/>
        <v>0.5</v>
      </c>
      <c r="I140" s="275">
        <f t="shared" si="17"/>
        <v>0.5</v>
      </c>
      <c r="J140" s="275">
        <f t="shared" si="17"/>
        <v>0.5</v>
      </c>
      <c r="K140" s="275">
        <f t="shared" si="17"/>
        <v>0.5</v>
      </c>
      <c r="L140" s="275">
        <f t="shared" si="17"/>
        <v>0.5</v>
      </c>
      <c r="M140" s="275">
        <f t="shared" si="17"/>
        <v>0.5</v>
      </c>
      <c r="N140" s="275">
        <f t="shared" si="17"/>
        <v>0.5</v>
      </c>
      <c r="O140" s="275">
        <f t="shared" si="17"/>
        <v>0.5</v>
      </c>
      <c r="P140" s="275">
        <f t="shared" si="17"/>
        <v>0.5</v>
      </c>
      <c r="Q140" s="275">
        <f t="shared" si="17"/>
        <v>0.5</v>
      </c>
      <c r="R140" s="275">
        <f t="shared" si="17"/>
        <v>0.5</v>
      </c>
      <c r="S140" s="276">
        <f t="shared" si="17"/>
        <v>0.5</v>
      </c>
    </row>
    <row r="141" spans="1:19" ht="12.75" customHeight="1" x14ac:dyDescent="0.2">
      <c r="A141" s="198" t="str">
        <f>"         "&amp;Labels!B317</f>
        <v xml:space="preserve">         Channels 1</v>
      </c>
      <c r="B141" s="384">
        <f t="shared" ref="B141:S141" si="18">AVERAGE(B133,B137)</f>
        <v>0.5</v>
      </c>
      <c r="C141" s="384">
        <f t="shared" si="18"/>
        <v>0.5</v>
      </c>
      <c r="D141" s="384">
        <f t="shared" si="18"/>
        <v>0.5</v>
      </c>
      <c r="E141" s="384">
        <f t="shared" si="18"/>
        <v>0.5</v>
      </c>
      <c r="F141" s="384">
        <f t="shared" si="18"/>
        <v>0.5</v>
      </c>
      <c r="G141" s="384">
        <f t="shared" si="18"/>
        <v>0.5</v>
      </c>
      <c r="H141" s="384">
        <f t="shared" si="18"/>
        <v>0.5</v>
      </c>
      <c r="I141" s="384">
        <f t="shared" si="18"/>
        <v>0.5</v>
      </c>
      <c r="J141" s="384">
        <f t="shared" si="18"/>
        <v>0.5</v>
      </c>
      <c r="K141" s="384">
        <f t="shared" si="18"/>
        <v>0.5</v>
      </c>
      <c r="L141" s="384">
        <f t="shared" si="18"/>
        <v>0.5</v>
      </c>
      <c r="M141" s="384">
        <f t="shared" si="18"/>
        <v>0.5</v>
      </c>
      <c r="N141" s="384">
        <f t="shared" si="18"/>
        <v>0.5</v>
      </c>
      <c r="O141" s="384">
        <f t="shared" si="18"/>
        <v>0.5</v>
      </c>
      <c r="P141" s="384">
        <f t="shared" si="18"/>
        <v>0.5</v>
      </c>
      <c r="Q141" s="384">
        <f t="shared" si="18"/>
        <v>0.5</v>
      </c>
      <c r="R141" s="384">
        <f t="shared" si="18"/>
        <v>0.5</v>
      </c>
      <c r="S141" s="385">
        <f t="shared" si="18"/>
        <v>0.5</v>
      </c>
    </row>
    <row r="142" spans="1:19" ht="12.75" customHeight="1" x14ac:dyDescent="0.2">
      <c r="A142" s="198" t="str">
        <f>"         "&amp;Labels!B318</f>
        <v xml:space="preserve">         Channels 2</v>
      </c>
      <c r="B142" s="384">
        <f t="shared" ref="B142:S142" si="19">AVERAGE(B134,B138)</f>
        <v>0.5</v>
      </c>
      <c r="C142" s="384">
        <f t="shared" si="19"/>
        <v>0.5</v>
      </c>
      <c r="D142" s="384">
        <f t="shared" si="19"/>
        <v>0.5</v>
      </c>
      <c r="E142" s="384">
        <f t="shared" si="19"/>
        <v>0.5</v>
      </c>
      <c r="F142" s="384">
        <f t="shared" si="19"/>
        <v>0.5</v>
      </c>
      <c r="G142" s="384">
        <f t="shared" si="19"/>
        <v>0.5</v>
      </c>
      <c r="H142" s="384">
        <f t="shared" si="19"/>
        <v>0.5</v>
      </c>
      <c r="I142" s="384">
        <f t="shared" si="19"/>
        <v>0.5</v>
      </c>
      <c r="J142" s="384">
        <f t="shared" si="19"/>
        <v>0.5</v>
      </c>
      <c r="K142" s="384">
        <f t="shared" si="19"/>
        <v>0.5</v>
      </c>
      <c r="L142" s="384">
        <f t="shared" si="19"/>
        <v>0.5</v>
      </c>
      <c r="M142" s="384">
        <f t="shared" si="19"/>
        <v>0.5</v>
      </c>
      <c r="N142" s="384">
        <f t="shared" si="19"/>
        <v>0.5</v>
      </c>
      <c r="O142" s="384">
        <f t="shared" si="19"/>
        <v>0.5</v>
      </c>
      <c r="P142" s="384">
        <f t="shared" si="19"/>
        <v>0.5</v>
      </c>
      <c r="Q142" s="384">
        <f t="shared" si="19"/>
        <v>0.5</v>
      </c>
      <c r="R142" s="384">
        <f t="shared" si="19"/>
        <v>0.5</v>
      </c>
      <c r="S142" s="385">
        <f t="shared" si="19"/>
        <v>0.5</v>
      </c>
    </row>
    <row r="143" spans="1:19" ht="12.75" customHeight="1" x14ac:dyDescent="0.2">
      <c r="A143" s="198" t="str">
        <f>"         "&amp;Labels!C316</f>
        <v xml:space="preserve">         Total</v>
      </c>
      <c r="B143" s="303">
        <f t="shared" ref="B143:S143" si="20">AVERAGE(B135,B139)</f>
        <v>0.5</v>
      </c>
      <c r="C143" s="303">
        <f t="shared" si="20"/>
        <v>0.5</v>
      </c>
      <c r="D143" s="303">
        <f t="shared" si="20"/>
        <v>0.5</v>
      </c>
      <c r="E143" s="303">
        <f t="shared" si="20"/>
        <v>0.5</v>
      </c>
      <c r="F143" s="303">
        <f t="shared" si="20"/>
        <v>0.5</v>
      </c>
      <c r="G143" s="303">
        <f t="shared" si="20"/>
        <v>0.5</v>
      </c>
      <c r="H143" s="303">
        <f t="shared" si="20"/>
        <v>0.5</v>
      </c>
      <c r="I143" s="303">
        <f t="shared" si="20"/>
        <v>0.5</v>
      </c>
      <c r="J143" s="303">
        <f t="shared" si="20"/>
        <v>0.5</v>
      </c>
      <c r="K143" s="303">
        <f t="shared" si="20"/>
        <v>0.5</v>
      </c>
      <c r="L143" s="303">
        <f t="shared" si="20"/>
        <v>0.5</v>
      </c>
      <c r="M143" s="303">
        <f t="shared" si="20"/>
        <v>0.5</v>
      </c>
      <c r="N143" s="303">
        <f t="shared" si="20"/>
        <v>0.5</v>
      </c>
      <c r="O143" s="303">
        <f t="shared" si="20"/>
        <v>0.5</v>
      </c>
      <c r="P143" s="303">
        <f t="shared" si="20"/>
        <v>0.5</v>
      </c>
      <c r="Q143" s="303">
        <f t="shared" si="20"/>
        <v>0.5</v>
      </c>
      <c r="R143" s="303">
        <f t="shared" si="20"/>
        <v>0.5</v>
      </c>
      <c r="S143" s="383">
        <f t="shared" si="20"/>
        <v>0.5</v>
      </c>
    </row>
    <row r="144" spans="1:19" ht="12.75" customHeight="1" x14ac:dyDescent="0.2">
      <c r="A144" s="191" t="str">
        <f>"   "&amp;Labels!C380</f>
        <v xml:space="preserve">   Total</v>
      </c>
      <c r="B144" s="300">
        <f t="shared" ref="B144:S144" si="21">AVERAGE(B127,B140)</f>
        <v>0.5</v>
      </c>
      <c r="C144" s="300">
        <f t="shared" si="21"/>
        <v>0.5</v>
      </c>
      <c r="D144" s="300">
        <f t="shared" si="21"/>
        <v>0.5</v>
      </c>
      <c r="E144" s="300">
        <f t="shared" si="21"/>
        <v>0.5</v>
      </c>
      <c r="F144" s="300">
        <f t="shared" si="21"/>
        <v>0.5</v>
      </c>
      <c r="G144" s="300">
        <f t="shared" si="21"/>
        <v>0.5</v>
      </c>
      <c r="H144" s="300">
        <f t="shared" si="21"/>
        <v>0.5</v>
      </c>
      <c r="I144" s="300">
        <f t="shared" si="21"/>
        <v>0.5</v>
      </c>
      <c r="J144" s="300">
        <f t="shared" si="21"/>
        <v>0.5</v>
      </c>
      <c r="K144" s="300">
        <f t="shared" si="21"/>
        <v>0.5</v>
      </c>
      <c r="L144" s="300">
        <f t="shared" si="21"/>
        <v>0.5</v>
      </c>
      <c r="M144" s="300">
        <f t="shared" si="21"/>
        <v>0.5</v>
      </c>
      <c r="N144" s="300">
        <f t="shared" si="21"/>
        <v>0.5</v>
      </c>
      <c r="O144" s="300">
        <f t="shared" si="21"/>
        <v>0.5</v>
      </c>
      <c r="P144" s="300">
        <f t="shared" si="21"/>
        <v>0.5</v>
      </c>
      <c r="Q144" s="300">
        <f t="shared" si="21"/>
        <v>0.5</v>
      </c>
      <c r="R144" s="300">
        <f t="shared" si="21"/>
        <v>0.5</v>
      </c>
      <c r="S144" s="386">
        <f t="shared" si="21"/>
        <v>0.5</v>
      </c>
    </row>
    <row r="145" spans="1:19" ht="12.75" customHeight="1" x14ac:dyDescent="0.2">
      <c r="A145" s="198" t="str">
        <f>"      "&amp;Labels!B385</f>
        <v xml:space="preserve">      Prof Level 1</v>
      </c>
      <c r="B145" s="303"/>
      <c r="C145" s="303"/>
      <c r="D145" s="303"/>
      <c r="E145" s="303"/>
      <c r="F145" s="303"/>
      <c r="G145" s="303"/>
      <c r="H145" s="303"/>
      <c r="I145" s="303"/>
      <c r="J145" s="303"/>
      <c r="K145" s="303"/>
      <c r="L145" s="303"/>
      <c r="M145" s="303"/>
      <c r="N145" s="303"/>
      <c r="O145" s="303"/>
      <c r="P145" s="303"/>
      <c r="Q145" s="303"/>
      <c r="R145" s="303"/>
      <c r="S145" s="383"/>
    </row>
    <row r="146" spans="1:19" ht="12.75" customHeight="1" x14ac:dyDescent="0.2">
      <c r="A146" s="198" t="str">
        <f>"         "&amp;Labels!B317</f>
        <v xml:space="preserve">         Channels 1</v>
      </c>
      <c r="B146" s="384">
        <f t="shared" ref="B146:S146" si="22">AVERAGE(B120,B133)</f>
        <v>0.5</v>
      </c>
      <c r="C146" s="384">
        <f t="shared" si="22"/>
        <v>0.5</v>
      </c>
      <c r="D146" s="384">
        <f t="shared" si="22"/>
        <v>0.5</v>
      </c>
      <c r="E146" s="384">
        <f t="shared" si="22"/>
        <v>0.5</v>
      </c>
      <c r="F146" s="384">
        <f t="shared" si="22"/>
        <v>0.5</v>
      </c>
      <c r="G146" s="384">
        <f t="shared" si="22"/>
        <v>0.5</v>
      </c>
      <c r="H146" s="384">
        <f t="shared" si="22"/>
        <v>0.5</v>
      </c>
      <c r="I146" s="384">
        <f t="shared" si="22"/>
        <v>0.5</v>
      </c>
      <c r="J146" s="384">
        <f t="shared" si="22"/>
        <v>0.5</v>
      </c>
      <c r="K146" s="384">
        <f t="shared" si="22"/>
        <v>0.5</v>
      </c>
      <c r="L146" s="384">
        <f t="shared" si="22"/>
        <v>0.5</v>
      </c>
      <c r="M146" s="384">
        <f t="shared" si="22"/>
        <v>0.5</v>
      </c>
      <c r="N146" s="384">
        <f t="shared" si="22"/>
        <v>0.5</v>
      </c>
      <c r="O146" s="384">
        <f t="shared" si="22"/>
        <v>0.5</v>
      </c>
      <c r="P146" s="384">
        <f t="shared" si="22"/>
        <v>0.5</v>
      </c>
      <c r="Q146" s="384">
        <f t="shared" si="22"/>
        <v>0.5</v>
      </c>
      <c r="R146" s="384">
        <f t="shared" si="22"/>
        <v>0.5</v>
      </c>
      <c r="S146" s="385">
        <f t="shared" si="22"/>
        <v>0.5</v>
      </c>
    </row>
    <row r="147" spans="1:19" ht="12.75" customHeight="1" x14ac:dyDescent="0.2">
      <c r="A147" s="198" t="str">
        <f>"         "&amp;Labels!B318</f>
        <v xml:space="preserve">         Channels 2</v>
      </c>
      <c r="B147" s="384">
        <f t="shared" ref="B147:S147" si="23">AVERAGE(B121,B134)</f>
        <v>0.5</v>
      </c>
      <c r="C147" s="384">
        <f t="shared" si="23"/>
        <v>0.5</v>
      </c>
      <c r="D147" s="384">
        <f t="shared" si="23"/>
        <v>0.5</v>
      </c>
      <c r="E147" s="384">
        <f t="shared" si="23"/>
        <v>0.5</v>
      </c>
      <c r="F147" s="384">
        <f t="shared" si="23"/>
        <v>0.5</v>
      </c>
      <c r="G147" s="384">
        <f t="shared" si="23"/>
        <v>0.5</v>
      </c>
      <c r="H147" s="384">
        <f t="shared" si="23"/>
        <v>0.5</v>
      </c>
      <c r="I147" s="384">
        <f t="shared" si="23"/>
        <v>0.5</v>
      </c>
      <c r="J147" s="384">
        <f t="shared" si="23"/>
        <v>0.5</v>
      </c>
      <c r="K147" s="384">
        <f t="shared" si="23"/>
        <v>0.5</v>
      </c>
      <c r="L147" s="384">
        <f t="shared" si="23"/>
        <v>0.5</v>
      </c>
      <c r="M147" s="384">
        <f t="shared" si="23"/>
        <v>0.5</v>
      </c>
      <c r="N147" s="384">
        <f t="shared" si="23"/>
        <v>0.5</v>
      </c>
      <c r="O147" s="384">
        <f t="shared" si="23"/>
        <v>0.5</v>
      </c>
      <c r="P147" s="384">
        <f t="shared" si="23"/>
        <v>0.5</v>
      </c>
      <c r="Q147" s="384">
        <f t="shared" si="23"/>
        <v>0.5</v>
      </c>
      <c r="R147" s="384">
        <f t="shared" si="23"/>
        <v>0.5</v>
      </c>
      <c r="S147" s="385">
        <f t="shared" si="23"/>
        <v>0.5</v>
      </c>
    </row>
    <row r="148" spans="1:19" ht="12.75" customHeight="1" x14ac:dyDescent="0.2">
      <c r="A148" s="198" t="str">
        <f>"         "&amp;Labels!C316</f>
        <v xml:space="preserve">         Total</v>
      </c>
      <c r="B148" s="303">
        <f t="shared" ref="B148:S148" si="24">AVERAGE(B122,B135)</f>
        <v>0.5</v>
      </c>
      <c r="C148" s="303">
        <f t="shared" si="24"/>
        <v>0.5</v>
      </c>
      <c r="D148" s="303">
        <f t="shared" si="24"/>
        <v>0.5</v>
      </c>
      <c r="E148" s="303">
        <f t="shared" si="24"/>
        <v>0.5</v>
      </c>
      <c r="F148" s="303">
        <f t="shared" si="24"/>
        <v>0.5</v>
      </c>
      <c r="G148" s="303">
        <f t="shared" si="24"/>
        <v>0.5</v>
      </c>
      <c r="H148" s="303">
        <f t="shared" si="24"/>
        <v>0.5</v>
      </c>
      <c r="I148" s="303">
        <f t="shared" si="24"/>
        <v>0.5</v>
      </c>
      <c r="J148" s="303">
        <f t="shared" si="24"/>
        <v>0.5</v>
      </c>
      <c r="K148" s="303">
        <f t="shared" si="24"/>
        <v>0.5</v>
      </c>
      <c r="L148" s="303">
        <f t="shared" si="24"/>
        <v>0.5</v>
      </c>
      <c r="M148" s="303">
        <f t="shared" si="24"/>
        <v>0.5</v>
      </c>
      <c r="N148" s="303">
        <f t="shared" si="24"/>
        <v>0.5</v>
      </c>
      <c r="O148" s="303">
        <f t="shared" si="24"/>
        <v>0.5</v>
      </c>
      <c r="P148" s="303">
        <f t="shared" si="24"/>
        <v>0.5</v>
      </c>
      <c r="Q148" s="303">
        <f t="shared" si="24"/>
        <v>0.5</v>
      </c>
      <c r="R148" s="303">
        <f t="shared" si="24"/>
        <v>0.5</v>
      </c>
      <c r="S148" s="383">
        <f t="shared" si="24"/>
        <v>0.5</v>
      </c>
    </row>
    <row r="149" spans="1:19" ht="12.75" customHeight="1" x14ac:dyDescent="0.2">
      <c r="A149" s="198" t="str">
        <f>"      "&amp;Labels!B386</f>
        <v xml:space="preserve">      Prof Level 2</v>
      </c>
      <c r="B149" s="303"/>
      <c r="C149" s="303"/>
      <c r="D149" s="303"/>
      <c r="E149" s="303"/>
      <c r="F149" s="303"/>
      <c r="G149" s="303"/>
      <c r="H149" s="303"/>
      <c r="I149" s="303"/>
      <c r="J149" s="303"/>
      <c r="K149" s="303"/>
      <c r="L149" s="303"/>
      <c r="M149" s="303"/>
      <c r="N149" s="303"/>
      <c r="O149" s="303"/>
      <c r="P149" s="303"/>
      <c r="Q149" s="303"/>
      <c r="R149" s="303"/>
      <c r="S149" s="383"/>
    </row>
    <row r="150" spans="1:19" ht="12.75" customHeight="1" x14ac:dyDescent="0.2">
      <c r="A150" s="198" t="str">
        <f>"         "&amp;Labels!B317</f>
        <v xml:space="preserve">         Channels 1</v>
      </c>
      <c r="B150" s="384">
        <f t="shared" ref="B150:S150" si="25">AVERAGE(B124,B137)</f>
        <v>0.5</v>
      </c>
      <c r="C150" s="384">
        <f t="shared" si="25"/>
        <v>0.5</v>
      </c>
      <c r="D150" s="384">
        <f t="shared" si="25"/>
        <v>0.5</v>
      </c>
      <c r="E150" s="384">
        <f t="shared" si="25"/>
        <v>0.5</v>
      </c>
      <c r="F150" s="384">
        <f t="shared" si="25"/>
        <v>0.5</v>
      </c>
      <c r="G150" s="384">
        <f t="shared" si="25"/>
        <v>0.5</v>
      </c>
      <c r="H150" s="384">
        <f t="shared" si="25"/>
        <v>0.5</v>
      </c>
      <c r="I150" s="384">
        <f t="shared" si="25"/>
        <v>0.5</v>
      </c>
      <c r="J150" s="384">
        <f t="shared" si="25"/>
        <v>0.5</v>
      </c>
      <c r="K150" s="384">
        <f t="shared" si="25"/>
        <v>0.5</v>
      </c>
      <c r="L150" s="384">
        <f t="shared" si="25"/>
        <v>0.5</v>
      </c>
      <c r="M150" s="384">
        <f t="shared" si="25"/>
        <v>0.5</v>
      </c>
      <c r="N150" s="384">
        <f t="shared" si="25"/>
        <v>0.5</v>
      </c>
      <c r="O150" s="384">
        <f t="shared" si="25"/>
        <v>0.5</v>
      </c>
      <c r="P150" s="384">
        <f t="shared" si="25"/>
        <v>0.5</v>
      </c>
      <c r="Q150" s="384">
        <f t="shared" si="25"/>
        <v>0.5</v>
      </c>
      <c r="R150" s="384">
        <f t="shared" si="25"/>
        <v>0.5</v>
      </c>
      <c r="S150" s="385">
        <f t="shared" si="25"/>
        <v>0.5</v>
      </c>
    </row>
    <row r="151" spans="1:19" ht="12.75" customHeight="1" x14ac:dyDescent="0.2">
      <c r="A151" s="198" t="str">
        <f>"         "&amp;Labels!B318</f>
        <v xml:space="preserve">         Channels 2</v>
      </c>
      <c r="B151" s="384">
        <f t="shared" ref="B151:S151" si="26">AVERAGE(B125,B138)</f>
        <v>0.5</v>
      </c>
      <c r="C151" s="384">
        <f t="shared" si="26"/>
        <v>0.5</v>
      </c>
      <c r="D151" s="384">
        <f t="shared" si="26"/>
        <v>0.5</v>
      </c>
      <c r="E151" s="384">
        <f t="shared" si="26"/>
        <v>0.5</v>
      </c>
      <c r="F151" s="384">
        <f t="shared" si="26"/>
        <v>0.5</v>
      </c>
      <c r="G151" s="384">
        <f t="shared" si="26"/>
        <v>0.5</v>
      </c>
      <c r="H151" s="384">
        <f t="shared" si="26"/>
        <v>0.5</v>
      </c>
      <c r="I151" s="384">
        <f t="shared" si="26"/>
        <v>0.5</v>
      </c>
      <c r="J151" s="384">
        <f t="shared" si="26"/>
        <v>0.5</v>
      </c>
      <c r="K151" s="384">
        <f t="shared" si="26"/>
        <v>0.5</v>
      </c>
      <c r="L151" s="384">
        <f t="shared" si="26"/>
        <v>0.5</v>
      </c>
      <c r="M151" s="384">
        <f t="shared" si="26"/>
        <v>0.5</v>
      </c>
      <c r="N151" s="384">
        <f t="shared" si="26"/>
        <v>0.5</v>
      </c>
      <c r="O151" s="384">
        <f t="shared" si="26"/>
        <v>0.5</v>
      </c>
      <c r="P151" s="384">
        <f t="shared" si="26"/>
        <v>0.5</v>
      </c>
      <c r="Q151" s="384">
        <f t="shared" si="26"/>
        <v>0.5</v>
      </c>
      <c r="R151" s="384">
        <f t="shared" si="26"/>
        <v>0.5</v>
      </c>
      <c r="S151" s="385">
        <f t="shared" si="26"/>
        <v>0.5</v>
      </c>
    </row>
    <row r="152" spans="1:19" ht="12.75" customHeight="1" x14ac:dyDescent="0.2">
      <c r="A152" s="198" t="str">
        <f>"         "&amp;Labels!C316</f>
        <v xml:space="preserve">         Total</v>
      </c>
      <c r="B152" s="303">
        <f t="shared" ref="B152:S152" si="27">AVERAGE(B126,B139)</f>
        <v>0.5</v>
      </c>
      <c r="C152" s="303">
        <f t="shared" si="27"/>
        <v>0.5</v>
      </c>
      <c r="D152" s="303">
        <f t="shared" si="27"/>
        <v>0.5</v>
      </c>
      <c r="E152" s="303">
        <f t="shared" si="27"/>
        <v>0.5</v>
      </c>
      <c r="F152" s="303">
        <f t="shared" si="27"/>
        <v>0.5</v>
      </c>
      <c r="G152" s="303">
        <f t="shared" si="27"/>
        <v>0.5</v>
      </c>
      <c r="H152" s="303">
        <f t="shared" si="27"/>
        <v>0.5</v>
      </c>
      <c r="I152" s="303">
        <f t="shared" si="27"/>
        <v>0.5</v>
      </c>
      <c r="J152" s="303">
        <f t="shared" si="27"/>
        <v>0.5</v>
      </c>
      <c r="K152" s="303">
        <f t="shared" si="27"/>
        <v>0.5</v>
      </c>
      <c r="L152" s="303">
        <f t="shared" si="27"/>
        <v>0.5</v>
      </c>
      <c r="M152" s="303">
        <f t="shared" si="27"/>
        <v>0.5</v>
      </c>
      <c r="N152" s="303">
        <f t="shared" si="27"/>
        <v>0.5</v>
      </c>
      <c r="O152" s="303">
        <f t="shared" si="27"/>
        <v>0.5</v>
      </c>
      <c r="P152" s="303">
        <f t="shared" si="27"/>
        <v>0.5</v>
      </c>
      <c r="Q152" s="303">
        <f t="shared" si="27"/>
        <v>0.5</v>
      </c>
      <c r="R152" s="303">
        <f t="shared" si="27"/>
        <v>0.5</v>
      </c>
      <c r="S152" s="383">
        <f t="shared" si="27"/>
        <v>0.5</v>
      </c>
    </row>
    <row r="153" spans="1:19" ht="12.75" customHeight="1" x14ac:dyDescent="0.2">
      <c r="A153" s="188" t="str">
        <f>"      "&amp;Labels!C384</f>
        <v xml:space="preserve">      Total</v>
      </c>
      <c r="B153" s="275">
        <f t="shared" ref="B153:S153" si="28">AVERAGE(B127,B140)</f>
        <v>0.5</v>
      </c>
      <c r="C153" s="275">
        <f t="shared" si="28"/>
        <v>0.5</v>
      </c>
      <c r="D153" s="275">
        <f t="shared" si="28"/>
        <v>0.5</v>
      </c>
      <c r="E153" s="275">
        <f t="shared" si="28"/>
        <v>0.5</v>
      </c>
      <c r="F153" s="275">
        <f t="shared" si="28"/>
        <v>0.5</v>
      </c>
      <c r="G153" s="275">
        <f t="shared" si="28"/>
        <v>0.5</v>
      </c>
      <c r="H153" s="275">
        <f t="shared" si="28"/>
        <v>0.5</v>
      </c>
      <c r="I153" s="275">
        <f t="shared" si="28"/>
        <v>0.5</v>
      </c>
      <c r="J153" s="275">
        <f t="shared" si="28"/>
        <v>0.5</v>
      </c>
      <c r="K153" s="275">
        <f t="shared" si="28"/>
        <v>0.5</v>
      </c>
      <c r="L153" s="275">
        <f t="shared" si="28"/>
        <v>0.5</v>
      </c>
      <c r="M153" s="275">
        <f t="shared" si="28"/>
        <v>0.5</v>
      </c>
      <c r="N153" s="275">
        <f t="shared" si="28"/>
        <v>0.5</v>
      </c>
      <c r="O153" s="275">
        <f t="shared" si="28"/>
        <v>0.5</v>
      </c>
      <c r="P153" s="275">
        <f t="shared" si="28"/>
        <v>0.5</v>
      </c>
      <c r="Q153" s="275">
        <f t="shared" si="28"/>
        <v>0.5</v>
      </c>
      <c r="R153" s="275">
        <f t="shared" si="28"/>
        <v>0.5</v>
      </c>
      <c r="S153" s="276">
        <f t="shared" si="28"/>
        <v>0.5</v>
      </c>
    </row>
    <row r="154" spans="1:19" ht="12.75" customHeight="1" x14ac:dyDescent="0.2">
      <c r="A154" s="198" t="str">
        <f>"         "&amp;Labels!B317</f>
        <v xml:space="preserve">         Channels 1</v>
      </c>
      <c r="B154" s="384">
        <f t="shared" ref="B154:S154" si="29">AVERAGE(B128,B141)</f>
        <v>0.5</v>
      </c>
      <c r="C154" s="384">
        <f t="shared" si="29"/>
        <v>0.5</v>
      </c>
      <c r="D154" s="384">
        <f t="shared" si="29"/>
        <v>0.5</v>
      </c>
      <c r="E154" s="384">
        <f t="shared" si="29"/>
        <v>0.5</v>
      </c>
      <c r="F154" s="384">
        <f t="shared" si="29"/>
        <v>0.5</v>
      </c>
      <c r="G154" s="384">
        <f t="shared" si="29"/>
        <v>0.5</v>
      </c>
      <c r="H154" s="384">
        <f t="shared" si="29"/>
        <v>0.5</v>
      </c>
      <c r="I154" s="384">
        <f t="shared" si="29"/>
        <v>0.5</v>
      </c>
      <c r="J154" s="384">
        <f t="shared" si="29"/>
        <v>0.5</v>
      </c>
      <c r="K154" s="384">
        <f t="shared" si="29"/>
        <v>0.5</v>
      </c>
      <c r="L154" s="384">
        <f t="shared" si="29"/>
        <v>0.5</v>
      </c>
      <c r="M154" s="384">
        <f t="shared" si="29"/>
        <v>0.5</v>
      </c>
      <c r="N154" s="384">
        <f t="shared" si="29"/>
        <v>0.5</v>
      </c>
      <c r="O154" s="384">
        <f t="shared" si="29"/>
        <v>0.5</v>
      </c>
      <c r="P154" s="384">
        <f t="shared" si="29"/>
        <v>0.5</v>
      </c>
      <c r="Q154" s="384">
        <f t="shared" si="29"/>
        <v>0.5</v>
      </c>
      <c r="R154" s="384">
        <f t="shared" si="29"/>
        <v>0.5</v>
      </c>
      <c r="S154" s="385">
        <f t="shared" si="29"/>
        <v>0.5</v>
      </c>
    </row>
    <row r="155" spans="1:19" ht="12.75" customHeight="1" x14ac:dyDescent="0.2">
      <c r="A155" s="198" t="str">
        <f>"         "&amp;Labels!B318</f>
        <v xml:space="preserve">         Channels 2</v>
      </c>
      <c r="B155" s="384">
        <f t="shared" ref="B155:S155" si="30">AVERAGE(B129,B142)</f>
        <v>0.5</v>
      </c>
      <c r="C155" s="384">
        <f t="shared" si="30"/>
        <v>0.5</v>
      </c>
      <c r="D155" s="384">
        <f t="shared" si="30"/>
        <v>0.5</v>
      </c>
      <c r="E155" s="384">
        <f t="shared" si="30"/>
        <v>0.5</v>
      </c>
      <c r="F155" s="384">
        <f t="shared" si="30"/>
        <v>0.5</v>
      </c>
      <c r="G155" s="384">
        <f t="shared" si="30"/>
        <v>0.5</v>
      </c>
      <c r="H155" s="384">
        <f t="shared" si="30"/>
        <v>0.5</v>
      </c>
      <c r="I155" s="384">
        <f t="shared" si="30"/>
        <v>0.5</v>
      </c>
      <c r="J155" s="384">
        <f t="shared" si="30"/>
        <v>0.5</v>
      </c>
      <c r="K155" s="384">
        <f t="shared" si="30"/>
        <v>0.5</v>
      </c>
      <c r="L155" s="384">
        <f t="shared" si="30"/>
        <v>0.5</v>
      </c>
      <c r="M155" s="384">
        <f t="shared" si="30"/>
        <v>0.5</v>
      </c>
      <c r="N155" s="384">
        <f t="shared" si="30"/>
        <v>0.5</v>
      </c>
      <c r="O155" s="384">
        <f t="shared" si="30"/>
        <v>0.5</v>
      </c>
      <c r="P155" s="384">
        <f t="shared" si="30"/>
        <v>0.5</v>
      </c>
      <c r="Q155" s="384">
        <f t="shared" si="30"/>
        <v>0.5</v>
      </c>
      <c r="R155" s="384">
        <f t="shared" si="30"/>
        <v>0.5</v>
      </c>
      <c r="S155" s="385">
        <f t="shared" si="30"/>
        <v>0.5</v>
      </c>
    </row>
    <row r="156" spans="1:19" ht="12.75" customHeight="1" x14ac:dyDescent="0.2">
      <c r="A156" s="198" t="str">
        <f>"         "&amp;Labels!C316</f>
        <v xml:space="preserve">         Total</v>
      </c>
      <c r="B156" s="303">
        <f t="shared" ref="B156:S156" si="31">AVERAGE(B127,B140)</f>
        <v>0.5</v>
      </c>
      <c r="C156" s="303">
        <f t="shared" si="31"/>
        <v>0.5</v>
      </c>
      <c r="D156" s="303">
        <f t="shared" si="31"/>
        <v>0.5</v>
      </c>
      <c r="E156" s="303">
        <f t="shared" si="31"/>
        <v>0.5</v>
      </c>
      <c r="F156" s="303">
        <f t="shared" si="31"/>
        <v>0.5</v>
      </c>
      <c r="G156" s="303">
        <f t="shared" si="31"/>
        <v>0.5</v>
      </c>
      <c r="H156" s="303">
        <f t="shared" si="31"/>
        <v>0.5</v>
      </c>
      <c r="I156" s="303">
        <f t="shared" si="31"/>
        <v>0.5</v>
      </c>
      <c r="J156" s="303">
        <f t="shared" si="31"/>
        <v>0.5</v>
      </c>
      <c r="K156" s="303">
        <f t="shared" si="31"/>
        <v>0.5</v>
      </c>
      <c r="L156" s="303">
        <f t="shared" si="31"/>
        <v>0.5</v>
      </c>
      <c r="M156" s="303">
        <f t="shared" si="31"/>
        <v>0.5</v>
      </c>
      <c r="N156" s="303">
        <f t="shared" si="31"/>
        <v>0.5</v>
      </c>
      <c r="O156" s="303">
        <f t="shared" si="31"/>
        <v>0.5</v>
      </c>
      <c r="P156" s="303">
        <f t="shared" si="31"/>
        <v>0.5</v>
      </c>
      <c r="Q156" s="303">
        <f t="shared" si="31"/>
        <v>0.5</v>
      </c>
      <c r="R156" s="303">
        <f t="shared" si="31"/>
        <v>0.5</v>
      </c>
      <c r="S156" s="383">
        <f t="shared" si="31"/>
        <v>0.5</v>
      </c>
    </row>
    <row r="157" spans="1:19" ht="12.75" customHeight="1" x14ac:dyDescent="0.2">
      <c r="A157" s="191" t="str">
        <f>Labels!B390</f>
        <v>Lead Qual 2</v>
      </c>
      <c r="B157" s="300"/>
      <c r="C157" s="300"/>
      <c r="D157" s="300"/>
      <c r="E157" s="300"/>
      <c r="F157" s="300"/>
      <c r="G157" s="300"/>
      <c r="H157" s="300"/>
      <c r="I157" s="300"/>
      <c r="J157" s="300"/>
      <c r="K157" s="300"/>
      <c r="L157" s="300"/>
      <c r="M157" s="300"/>
      <c r="N157" s="300"/>
      <c r="O157" s="300"/>
      <c r="P157" s="300"/>
      <c r="Q157" s="300"/>
      <c r="R157" s="300"/>
      <c r="S157" s="386"/>
    </row>
    <row r="158" spans="1:19" ht="12.75" customHeight="1" x14ac:dyDescent="0.2">
      <c r="A158" s="188" t="str">
        <f>"   "&amp;Labels!B381</f>
        <v xml:space="preserve">   Practice 1</v>
      </c>
      <c r="B158" s="275"/>
      <c r="C158" s="275"/>
      <c r="D158" s="275"/>
      <c r="E158" s="275"/>
      <c r="F158" s="275"/>
      <c r="G158" s="275"/>
      <c r="H158" s="275"/>
      <c r="I158" s="275"/>
      <c r="J158" s="275"/>
      <c r="K158" s="275"/>
      <c r="L158" s="275"/>
      <c r="M158" s="275"/>
      <c r="N158" s="275"/>
      <c r="O158" s="275"/>
      <c r="P158" s="275"/>
      <c r="Q158" s="275"/>
      <c r="R158" s="275"/>
      <c r="S158" s="276"/>
    </row>
    <row r="159" spans="1:19" ht="12.75" customHeight="1" x14ac:dyDescent="0.2">
      <c r="A159" s="198" t="str">
        <f>"      "&amp;Labels!B385</f>
        <v xml:space="preserve">      Prof Level 1</v>
      </c>
      <c r="B159" s="303"/>
      <c r="C159" s="303"/>
      <c r="D159" s="303"/>
      <c r="E159" s="303"/>
      <c r="F159" s="303"/>
      <c r="G159" s="303"/>
      <c r="H159" s="303"/>
      <c r="I159" s="303"/>
      <c r="J159" s="303"/>
      <c r="K159" s="303"/>
      <c r="L159" s="303"/>
      <c r="M159" s="303"/>
      <c r="N159" s="303"/>
      <c r="O159" s="303"/>
      <c r="P159" s="303"/>
      <c r="Q159" s="303"/>
      <c r="R159" s="303"/>
      <c r="S159" s="383"/>
    </row>
    <row r="160" spans="1:19" ht="12.75" customHeight="1" x14ac:dyDescent="0.2">
      <c r="A160" s="198" t="str">
        <f>"         "&amp;Labels!B317</f>
        <v xml:space="preserve">         Channels 1</v>
      </c>
      <c r="B160" s="384">
        <f>Inputs!F96</f>
        <v>0.5</v>
      </c>
      <c r="C160" s="384">
        <f>Inputs!G96</f>
        <v>0.5</v>
      </c>
      <c r="D160" s="384">
        <f>Inputs!H96</f>
        <v>0.5</v>
      </c>
      <c r="E160" s="384">
        <f>Inputs!I96</f>
        <v>0.5</v>
      </c>
      <c r="F160" s="384">
        <f>Inputs!J96</f>
        <v>0.5</v>
      </c>
      <c r="G160" s="384">
        <f>Inputs!K96</f>
        <v>0.5</v>
      </c>
      <c r="H160" s="384">
        <f>Inputs!L96</f>
        <v>0.5</v>
      </c>
      <c r="I160" s="384">
        <f>Inputs!M96</f>
        <v>0.5</v>
      </c>
      <c r="J160" s="384">
        <f>Inputs!N96</f>
        <v>0.5</v>
      </c>
      <c r="K160" s="384">
        <f>Inputs!O96</f>
        <v>0.5</v>
      </c>
      <c r="L160" s="384">
        <f>Inputs!P96</f>
        <v>0.5</v>
      </c>
      <c r="M160" s="384">
        <f>Inputs!Q96</f>
        <v>0.5</v>
      </c>
      <c r="N160" s="384">
        <f>Inputs!R96</f>
        <v>0.5</v>
      </c>
      <c r="O160" s="384">
        <f>Inputs!S96</f>
        <v>0.5</v>
      </c>
      <c r="P160" s="384">
        <f>Inputs!T96</f>
        <v>0.5</v>
      </c>
      <c r="Q160" s="384">
        <f>Inputs!U96</f>
        <v>0.5</v>
      </c>
      <c r="R160" s="384">
        <f>Inputs!V96</f>
        <v>0.5</v>
      </c>
      <c r="S160" s="385">
        <f>Inputs!W96</f>
        <v>0.5</v>
      </c>
    </row>
    <row r="161" spans="1:19" ht="12.75" customHeight="1" x14ac:dyDescent="0.2">
      <c r="A161" s="198" t="str">
        <f>"         "&amp;Labels!B318</f>
        <v xml:space="preserve">         Channels 2</v>
      </c>
      <c r="B161" s="384">
        <f>Inputs!F97</f>
        <v>0.5</v>
      </c>
      <c r="C161" s="384">
        <f>Inputs!G97</f>
        <v>0.5</v>
      </c>
      <c r="D161" s="384">
        <f>Inputs!H97</f>
        <v>0.5</v>
      </c>
      <c r="E161" s="384">
        <f>Inputs!I97</f>
        <v>0.5</v>
      </c>
      <c r="F161" s="384">
        <f>Inputs!J97</f>
        <v>0.5</v>
      </c>
      <c r="G161" s="384">
        <f>Inputs!K97</f>
        <v>0.5</v>
      </c>
      <c r="H161" s="384">
        <f>Inputs!L97</f>
        <v>0.5</v>
      </c>
      <c r="I161" s="384">
        <f>Inputs!M97</f>
        <v>0.5</v>
      </c>
      <c r="J161" s="384">
        <f>Inputs!N97</f>
        <v>0.5</v>
      </c>
      <c r="K161" s="384">
        <f>Inputs!O97</f>
        <v>0.5</v>
      </c>
      <c r="L161" s="384">
        <f>Inputs!P97</f>
        <v>0.5</v>
      </c>
      <c r="M161" s="384">
        <f>Inputs!Q97</f>
        <v>0.5</v>
      </c>
      <c r="N161" s="384">
        <f>Inputs!R97</f>
        <v>0.5</v>
      </c>
      <c r="O161" s="384">
        <f>Inputs!S97</f>
        <v>0.5</v>
      </c>
      <c r="P161" s="384">
        <f>Inputs!T97</f>
        <v>0.5</v>
      </c>
      <c r="Q161" s="384">
        <f>Inputs!U97</f>
        <v>0.5</v>
      </c>
      <c r="R161" s="384">
        <f>Inputs!V97</f>
        <v>0.5</v>
      </c>
      <c r="S161" s="385">
        <f>Inputs!W97</f>
        <v>0.5</v>
      </c>
    </row>
    <row r="162" spans="1:19" ht="12.75" customHeight="1" x14ac:dyDescent="0.2">
      <c r="A162" s="198" t="str">
        <f>"         "&amp;Labels!C316</f>
        <v xml:space="preserve">         Total</v>
      </c>
      <c r="B162" s="303">
        <f t="shared" ref="B162:S162" si="32">AVERAGE(B160:B161)</f>
        <v>0.5</v>
      </c>
      <c r="C162" s="303">
        <f t="shared" si="32"/>
        <v>0.5</v>
      </c>
      <c r="D162" s="303">
        <f t="shared" si="32"/>
        <v>0.5</v>
      </c>
      <c r="E162" s="303">
        <f t="shared" si="32"/>
        <v>0.5</v>
      </c>
      <c r="F162" s="303">
        <f t="shared" si="32"/>
        <v>0.5</v>
      </c>
      <c r="G162" s="303">
        <f t="shared" si="32"/>
        <v>0.5</v>
      </c>
      <c r="H162" s="303">
        <f t="shared" si="32"/>
        <v>0.5</v>
      </c>
      <c r="I162" s="303">
        <f t="shared" si="32"/>
        <v>0.5</v>
      </c>
      <c r="J162" s="303">
        <f t="shared" si="32"/>
        <v>0.5</v>
      </c>
      <c r="K162" s="303">
        <f t="shared" si="32"/>
        <v>0.5</v>
      </c>
      <c r="L162" s="303">
        <f t="shared" si="32"/>
        <v>0.5</v>
      </c>
      <c r="M162" s="303">
        <f t="shared" si="32"/>
        <v>0.5</v>
      </c>
      <c r="N162" s="303">
        <f t="shared" si="32"/>
        <v>0.5</v>
      </c>
      <c r="O162" s="303">
        <f t="shared" si="32"/>
        <v>0.5</v>
      </c>
      <c r="P162" s="303">
        <f t="shared" si="32"/>
        <v>0.5</v>
      </c>
      <c r="Q162" s="303">
        <f t="shared" si="32"/>
        <v>0.5</v>
      </c>
      <c r="R162" s="303">
        <f t="shared" si="32"/>
        <v>0.5</v>
      </c>
      <c r="S162" s="383">
        <f t="shared" si="32"/>
        <v>0.5</v>
      </c>
    </row>
    <row r="163" spans="1:19" ht="12.75" customHeight="1" x14ac:dyDescent="0.2">
      <c r="A163" s="198" t="str">
        <f>"      "&amp;Labels!B386</f>
        <v xml:space="preserve">      Prof Level 2</v>
      </c>
      <c r="B163" s="303"/>
      <c r="C163" s="303"/>
      <c r="D163" s="303"/>
      <c r="E163" s="303"/>
      <c r="F163" s="303"/>
      <c r="G163" s="303"/>
      <c r="H163" s="303"/>
      <c r="I163" s="303"/>
      <c r="J163" s="303"/>
      <c r="K163" s="303"/>
      <c r="L163" s="303"/>
      <c r="M163" s="303"/>
      <c r="N163" s="303"/>
      <c r="O163" s="303"/>
      <c r="P163" s="303"/>
      <c r="Q163" s="303"/>
      <c r="R163" s="303"/>
      <c r="S163" s="383"/>
    </row>
    <row r="164" spans="1:19" ht="12.75" customHeight="1" x14ac:dyDescent="0.2">
      <c r="A164" s="198" t="str">
        <f>"         "&amp;Labels!B317</f>
        <v xml:space="preserve">         Channels 1</v>
      </c>
      <c r="B164" s="384">
        <f>Inputs!F98</f>
        <v>0.5</v>
      </c>
      <c r="C164" s="384">
        <f>Inputs!G98</f>
        <v>0.5</v>
      </c>
      <c r="D164" s="384">
        <f>Inputs!H98</f>
        <v>0.5</v>
      </c>
      <c r="E164" s="384">
        <f>Inputs!I98</f>
        <v>0.5</v>
      </c>
      <c r="F164" s="384">
        <f>Inputs!J98</f>
        <v>0.5</v>
      </c>
      <c r="G164" s="384">
        <f>Inputs!K98</f>
        <v>0.5</v>
      </c>
      <c r="H164" s="384">
        <f>Inputs!L98</f>
        <v>0.5</v>
      </c>
      <c r="I164" s="384">
        <f>Inputs!M98</f>
        <v>0.5</v>
      </c>
      <c r="J164" s="384">
        <f>Inputs!N98</f>
        <v>0.5</v>
      </c>
      <c r="K164" s="384">
        <f>Inputs!O98</f>
        <v>0.5</v>
      </c>
      <c r="L164" s="384">
        <f>Inputs!P98</f>
        <v>0.5</v>
      </c>
      <c r="M164" s="384">
        <f>Inputs!Q98</f>
        <v>0.5</v>
      </c>
      <c r="N164" s="384">
        <f>Inputs!R98</f>
        <v>0.5</v>
      </c>
      <c r="O164" s="384">
        <f>Inputs!S98</f>
        <v>0.5</v>
      </c>
      <c r="P164" s="384">
        <f>Inputs!T98</f>
        <v>0.5</v>
      </c>
      <c r="Q164" s="384">
        <f>Inputs!U98</f>
        <v>0.5</v>
      </c>
      <c r="R164" s="384">
        <f>Inputs!V98</f>
        <v>0.5</v>
      </c>
      <c r="S164" s="385">
        <f>Inputs!W98</f>
        <v>0.5</v>
      </c>
    </row>
    <row r="165" spans="1:19" ht="12.75" customHeight="1" x14ac:dyDescent="0.2">
      <c r="A165" s="198" t="str">
        <f>"         "&amp;Labels!B318</f>
        <v xml:space="preserve">         Channels 2</v>
      </c>
      <c r="B165" s="384">
        <f>Inputs!F99</f>
        <v>0.5</v>
      </c>
      <c r="C165" s="384">
        <f>Inputs!G99</f>
        <v>0.5</v>
      </c>
      <c r="D165" s="384">
        <f>Inputs!H99</f>
        <v>0.5</v>
      </c>
      <c r="E165" s="384">
        <f>Inputs!I99</f>
        <v>0.5</v>
      </c>
      <c r="F165" s="384">
        <f>Inputs!J99</f>
        <v>0.5</v>
      </c>
      <c r="G165" s="384">
        <f>Inputs!K99</f>
        <v>0.5</v>
      </c>
      <c r="H165" s="384">
        <f>Inputs!L99</f>
        <v>0.5</v>
      </c>
      <c r="I165" s="384">
        <f>Inputs!M99</f>
        <v>0.5</v>
      </c>
      <c r="J165" s="384">
        <f>Inputs!N99</f>
        <v>0.5</v>
      </c>
      <c r="K165" s="384">
        <f>Inputs!O99</f>
        <v>0.5</v>
      </c>
      <c r="L165" s="384">
        <f>Inputs!P99</f>
        <v>0.5</v>
      </c>
      <c r="M165" s="384">
        <f>Inputs!Q99</f>
        <v>0.5</v>
      </c>
      <c r="N165" s="384">
        <f>Inputs!R99</f>
        <v>0.5</v>
      </c>
      <c r="O165" s="384">
        <f>Inputs!S99</f>
        <v>0.5</v>
      </c>
      <c r="P165" s="384">
        <f>Inputs!T99</f>
        <v>0.5</v>
      </c>
      <c r="Q165" s="384">
        <f>Inputs!U99</f>
        <v>0.5</v>
      </c>
      <c r="R165" s="384">
        <f>Inputs!V99</f>
        <v>0.5</v>
      </c>
      <c r="S165" s="385">
        <f>Inputs!W99</f>
        <v>0.5</v>
      </c>
    </row>
    <row r="166" spans="1:19" ht="12.75" customHeight="1" x14ac:dyDescent="0.2">
      <c r="A166" s="198" t="str">
        <f>"         "&amp;Labels!C316</f>
        <v xml:space="preserve">         Total</v>
      </c>
      <c r="B166" s="303">
        <f t="shared" ref="B166:S166" si="33">AVERAGE(B164:B165)</f>
        <v>0.5</v>
      </c>
      <c r="C166" s="303">
        <f t="shared" si="33"/>
        <v>0.5</v>
      </c>
      <c r="D166" s="303">
        <f t="shared" si="33"/>
        <v>0.5</v>
      </c>
      <c r="E166" s="303">
        <f t="shared" si="33"/>
        <v>0.5</v>
      </c>
      <c r="F166" s="303">
        <f t="shared" si="33"/>
        <v>0.5</v>
      </c>
      <c r="G166" s="303">
        <f t="shared" si="33"/>
        <v>0.5</v>
      </c>
      <c r="H166" s="303">
        <f t="shared" si="33"/>
        <v>0.5</v>
      </c>
      <c r="I166" s="303">
        <f t="shared" si="33"/>
        <v>0.5</v>
      </c>
      <c r="J166" s="303">
        <f t="shared" si="33"/>
        <v>0.5</v>
      </c>
      <c r="K166" s="303">
        <f t="shared" si="33"/>
        <v>0.5</v>
      </c>
      <c r="L166" s="303">
        <f t="shared" si="33"/>
        <v>0.5</v>
      </c>
      <c r="M166" s="303">
        <f t="shared" si="33"/>
        <v>0.5</v>
      </c>
      <c r="N166" s="303">
        <f t="shared" si="33"/>
        <v>0.5</v>
      </c>
      <c r="O166" s="303">
        <f t="shared" si="33"/>
        <v>0.5</v>
      </c>
      <c r="P166" s="303">
        <f t="shared" si="33"/>
        <v>0.5</v>
      </c>
      <c r="Q166" s="303">
        <f t="shared" si="33"/>
        <v>0.5</v>
      </c>
      <c r="R166" s="303">
        <f t="shared" si="33"/>
        <v>0.5</v>
      </c>
      <c r="S166" s="383">
        <f t="shared" si="33"/>
        <v>0.5</v>
      </c>
    </row>
    <row r="167" spans="1:19" ht="12.75" customHeight="1" x14ac:dyDescent="0.2">
      <c r="A167" s="188" t="str">
        <f>"      "&amp;Labels!C384</f>
        <v xml:space="preserve">      Total</v>
      </c>
      <c r="B167" s="275">
        <f t="shared" ref="B167:S167" si="34">AVERAGE(B162,B166)</f>
        <v>0.5</v>
      </c>
      <c r="C167" s="275">
        <f t="shared" si="34"/>
        <v>0.5</v>
      </c>
      <c r="D167" s="275">
        <f t="shared" si="34"/>
        <v>0.5</v>
      </c>
      <c r="E167" s="275">
        <f t="shared" si="34"/>
        <v>0.5</v>
      </c>
      <c r="F167" s="275">
        <f t="shared" si="34"/>
        <v>0.5</v>
      </c>
      <c r="G167" s="275">
        <f t="shared" si="34"/>
        <v>0.5</v>
      </c>
      <c r="H167" s="275">
        <f t="shared" si="34"/>
        <v>0.5</v>
      </c>
      <c r="I167" s="275">
        <f t="shared" si="34"/>
        <v>0.5</v>
      </c>
      <c r="J167" s="275">
        <f t="shared" si="34"/>
        <v>0.5</v>
      </c>
      <c r="K167" s="275">
        <f t="shared" si="34"/>
        <v>0.5</v>
      </c>
      <c r="L167" s="275">
        <f t="shared" si="34"/>
        <v>0.5</v>
      </c>
      <c r="M167" s="275">
        <f t="shared" si="34"/>
        <v>0.5</v>
      </c>
      <c r="N167" s="275">
        <f t="shared" si="34"/>
        <v>0.5</v>
      </c>
      <c r="O167" s="275">
        <f t="shared" si="34"/>
        <v>0.5</v>
      </c>
      <c r="P167" s="275">
        <f t="shared" si="34"/>
        <v>0.5</v>
      </c>
      <c r="Q167" s="275">
        <f t="shared" si="34"/>
        <v>0.5</v>
      </c>
      <c r="R167" s="275">
        <f t="shared" si="34"/>
        <v>0.5</v>
      </c>
      <c r="S167" s="276">
        <f t="shared" si="34"/>
        <v>0.5</v>
      </c>
    </row>
    <row r="168" spans="1:19" ht="12.75" customHeight="1" x14ac:dyDescent="0.2">
      <c r="A168" s="198" t="str">
        <f>"         "&amp;Labels!B317</f>
        <v xml:space="preserve">         Channels 1</v>
      </c>
      <c r="B168" s="384">
        <f t="shared" ref="B168:S168" si="35">AVERAGE(B160,B164)</f>
        <v>0.5</v>
      </c>
      <c r="C168" s="384">
        <f t="shared" si="35"/>
        <v>0.5</v>
      </c>
      <c r="D168" s="384">
        <f t="shared" si="35"/>
        <v>0.5</v>
      </c>
      <c r="E168" s="384">
        <f t="shared" si="35"/>
        <v>0.5</v>
      </c>
      <c r="F168" s="384">
        <f t="shared" si="35"/>
        <v>0.5</v>
      </c>
      <c r="G168" s="384">
        <f t="shared" si="35"/>
        <v>0.5</v>
      </c>
      <c r="H168" s="384">
        <f t="shared" si="35"/>
        <v>0.5</v>
      </c>
      <c r="I168" s="384">
        <f t="shared" si="35"/>
        <v>0.5</v>
      </c>
      <c r="J168" s="384">
        <f t="shared" si="35"/>
        <v>0.5</v>
      </c>
      <c r="K168" s="384">
        <f t="shared" si="35"/>
        <v>0.5</v>
      </c>
      <c r="L168" s="384">
        <f t="shared" si="35"/>
        <v>0.5</v>
      </c>
      <c r="M168" s="384">
        <f t="shared" si="35"/>
        <v>0.5</v>
      </c>
      <c r="N168" s="384">
        <f t="shared" si="35"/>
        <v>0.5</v>
      </c>
      <c r="O168" s="384">
        <f t="shared" si="35"/>
        <v>0.5</v>
      </c>
      <c r="P168" s="384">
        <f t="shared" si="35"/>
        <v>0.5</v>
      </c>
      <c r="Q168" s="384">
        <f t="shared" si="35"/>
        <v>0.5</v>
      </c>
      <c r="R168" s="384">
        <f t="shared" si="35"/>
        <v>0.5</v>
      </c>
      <c r="S168" s="385">
        <f t="shared" si="35"/>
        <v>0.5</v>
      </c>
    </row>
    <row r="169" spans="1:19" ht="12.75" customHeight="1" x14ac:dyDescent="0.2">
      <c r="A169" s="198" t="str">
        <f>"         "&amp;Labels!B318</f>
        <v xml:space="preserve">         Channels 2</v>
      </c>
      <c r="B169" s="384">
        <f t="shared" ref="B169:S169" si="36">AVERAGE(B161,B165)</f>
        <v>0.5</v>
      </c>
      <c r="C169" s="384">
        <f t="shared" si="36"/>
        <v>0.5</v>
      </c>
      <c r="D169" s="384">
        <f t="shared" si="36"/>
        <v>0.5</v>
      </c>
      <c r="E169" s="384">
        <f t="shared" si="36"/>
        <v>0.5</v>
      </c>
      <c r="F169" s="384">
        <f t="shared" si="36"/>
        <v>0.5</v>
      </c>
      <c r="G169" s="384">
        <f t="shared" si="36"/>
        <v>0.5</v>
      </c>
      <c r="H169" s="384">
        <f t="shared" si="36"/>
        <v>0.5</v>
      </c>
      <c r="I169" s="384">
        <f t="shared" si="36"/>
        <v>0.5</v>
      </c>
      <c r="J169" s="384">
        <f t="shared" si="36"/>
        <v>0.5</v>
      </c>
      <c r="K169" s="384">
        <f t="shared" si="36"/>
        <v>0.5</v>
      </c>
      <c r="L169" s="384">
        <f t="shared" si="36"/>
        <v>0.5</v>
      </c>
      <c r="M169" s="384">
        <f t="shared" si="36"/>
        <v>0.5</v>
      </c>
      <c r="N169" s="384">
        <f t="shared" si="36"/>
        <v>0.5</v>
      </c>
      <c r="O169" s="384">
        <f t="shared" si="36"/>
        <v>0.5</v>
      </c>
      <c r="P169" s="384">
        <f t="shared" si="36"/>
        <v>0.5</v>
      </c>
      <c r="Q169" s="384">
        <f t="shared" si="36"/>
        <v>0.5</v>
      </c>
      <c r="R169" s="384">
        <f t="shared" si="36"/>
        <v>0.5</v>
      </c>
      <c r="S169" s="385">
        <f t="shared" si="36"/>
        <v>0.5</v>
      </c>
    </row>
    <row r="170" spans="1:19" ht="12.75" customHeight="1" x14ac:dyDescent="0.2">
      <c r="A170" s="198" t="str">
        <f>"         "&amp;Labels!C316</f>
        <v xml:space="preserve">         Total</v>
      </c>
      <c r="B170" s="303">
        <f t="shared" ref="B170:S170" si="37">AVERAGE(B162,B166)</f>
        <v>0.5</v>
      </c>
      <c r="C170" s="303">
        <f t="shared" si="37"/>
        <v>0.5</v>
      </c>
      <c r="D170" s="303">
        <f t="shared" si="37"/>
        <v>0.5</v>
      </c>
      <c r="E170" s="303">
        <f t="shared" si="37"/>
        <v>0.5</v>
      </c>
      <c r="F170" s="303">
        <f t="shared" si="37"/>
        <v>0.5</v>
      </c>
      <c r="G170" s="303">
        <f t="shared" si="37"/>
        <v>0.5</v>
      </c>
      <c r="H170" s="303">
        <f t="shared" si="37"/>
        <v>0.5</v>
      </c>
      <c r="I170" s="303">
        <f t="shared" si="37"/>
        <v>0.5</v>
      </c>
      <c r="J170" s="303">
        <f t="shared" si="37"/>
        <v>0.5</v>
      </c>
      <c r="K170" s="303">
        <f t="shared" si="37"/>
        <v>0.5</v>
      </c>
      <c r="L170" s="303">
        <f t="shared" si="37"/>
        <v>0.5</v>
      </c>
      <c r="M170" s="303">
        <f t="shared" si="37"/>
        <v>0.5</v>
      </c>
      <c r="N170" s="303">
        <f t="shared" si="37"/>
        <v>0.5</v>
      </c>
      <c r="O170" s="303">
        <f t="shared" si="37"/>
        <v>0.5</v>
      </c>
      <c r="P170" s="303">
        <f t="shared" si="37"/>
        <v>0.5</v>
      </c>
      <c r="Q170" s="303">
        <f t="shared" si="37"/>
        <v>0.5</v>
      </c>
      <c r="R170" s="303">
        <f t="shared" si="37"/>
        <v>0.5</v>
      </c>
      <c r="S170" s="383">
        <f t="shared" si="37"/>
        <v>0.5</v>
      </c>
    </row>
    <row r="171" spans="1:19" ht="12.75" customHeight="1" x14ac:dyDescent="0.2">
      <c r="A171" s="188" t="str">
        <f>"   "&amp;Labels!B382</f>
        <v xml:space="preserve">   Practice 2</v>
      </c>
      <c r="B171" s="275"/>
      <c r="C171" s="275"/>
      <c r="D171" s="275"/>
      <c r="E171" s="275"/>
      <c r="F171" s="275"/>
      <c r="G171" s="275"/>
      <c r="H171" s="275"/>
      <c r="I171" s="275"/>
      <c r="J171" s="275"/>
      <c r="K171" s="275"/>
      <c r="L171" s="275"/>
      <c r="M171" s="275"/>
      <c r="N171" s="275"/>
      <c r="O171" s="275"/>
      <c r="P171" s="275"/>
      <c r="Q171" s="275"/>
      <c r="R171" s="275"/>
      <c r="S171" s="276"/>
    </row>
    <row r="172" spans="1:19" ht="12.75" customHeight="1" x14ac:dyDescent="0.2">
      <c r="A172" s="198" t="str">
        <f>"      "&amp;Labels!B385</f>
        <v xml:space="preserve">      Prof Level 1</v>
      </c>
      <c r="B172" s="303"/>
      <c r="C172" s="303"/>
      <c r="D172" s="303"/>
      <c r="E172" s="303"/>
      <c r="F172" s="303"/>
      <c r="G172" s="303"/>
      <c r="H172" s="303"/>
      <c r="I172" s="303"/>
      <c r="J172" s="303"/>
      <c r="K172" s="303"/>
      <c r="L172" s="303"/>
      <c r="M172" s="303"/>
      <c r="N172" s="303"/>
      <c r="O172" s="303"/>
      <c r="P172" s="303"/>
      <c r="Q172" s="303"/>
      <c r="R172" s="303"/>
      <c r="S172" s="383"/>
    </row>
    <row r="173" spans="1:19" ht="12.75" customHeight="1" x14ac:dyDescent="0.2">
      <c r="A173" s="198" t="str">
        <f>"         "&amp;Labels!B317</f>
        <v xml:space="preserve">         Channels 1</v>
      </c>
      <c r="B173" s="384">
        <f>Inputs!F100</f>
        <v>0.5</v>
      </c>
      <c r="C173" s="384">
        <f>Inputs!G100</f>
        <v>0.5</v>
      </c>
      <c r="D173" s="384">
        <f>Inputs!H100</f>
        <v>0.5</v>
      </c>
      <c r="E173" s="384">
        <f>Inputs!I100</f>
        <v>0.5</v>
      </c>
      <c r="F173" s="384">
        <f>Inputs!J100</f>
        <v>0.5</v>
      </c>
      <c r="G173" s="384">
        <f>Inputs!K100</f>
        <v>0.5</v>
      </c>
      <c r="H173" s="384">
        <f>Inputs!L100</f>
        <v>0.5</v>
      </c>
      <c r="I173" s="384">
        <f>Inputs!M100</f>
        <v>0.5</v>
      </c>
      <c r="J173" s="384">
        <f>Inputs!N100</f>
        <v>0.5</v>
      </c>
      <c r="K173" s="384">
        <f>Inputs!O100</f>
        <v>0.5</v>
      </c>
      <c r="L173" s="384">
        <f>Inputs!P100</f>
        <v>0.5</v>
      </c>
      <c r="M173" s="384">
        <f>Inputs!Q100</f>
        <v>0.5</v>
      </c>
      <c r="N173" s="384">
        <f>Inputs!R100</f>
        <v>0.5</v>
      </c>
      <c r="O173" s="384">
        <f>Inputs!S100</f>
        <v>0.5</v>
      </c>
      <c r="P173" s="384">
        <f>Inputs!T100</f>
        <v>0.5</v>
      </c>
      <c r="Q173" s="384">
        <f>Inputs!U100</f>
        <v>0.5</v>
      </c>
      <c r="R173" s="384">
        <f>Inputs!V100</f>
        <v>0.5</v>
      </c>
      <c r="S173" s="385">
        <f>Inputs!W100</f>
        <v>0.5</v>
      </c>
    </row>
    <row r="174" spans="1:19" ht="12.75" customHeight="1" x14ac:dyDescent="0.2">
      <c r="A174" s="198" t="str">
        <f>"         "&amp;Labels!B318</f>
        <v xml:space="preserve">         Channels 2</v>
      </c>
      <c r="B174" s="384">
        <f>Inputs!F101</f>
        <v>0.5</v>
      </c>
      <c r="C174" s="384">
        <f>Inputs!G101</f>
        <v>0.5</v>
      </c>
      <c r="D174" s="384">
        <f>Inputs!H101</f>
        <v>0.5</v>
      </c>
      <c r="E174" s="384">
        <f>Inputs!I101</f>
        <v>0.5</v>
      </c>
      <c r="F174" s="384">
        <f>Inputs!J101</f>
        <v>0.5</v>
      </c>
      <c r="G174" s="384">
        <f>Inputs!K101</f>
        <v>0.5</v>
      </c>
      <c r="H174" s="384">
        <f>Inputs!L101</f>
        <v>0.5</v>
      </c>
      <c r="I174" s="384">
        <f>Inputs!M101</f>
        <v>0.5</v>
      </c>
      <c r="J174" s="384">
        <f>Inputs!N101</f>
        <v>0.5</v>
      </c>
      <c r="K174" s="384">
        <f>Inputs!O101</f>
        <v>0.5</v>
      </c>
      <c r="L174" s="384">
        <f>Inputs!P101</f>
        <v>0.5</v>
      </c>
      <c r="M174" s="384">
        <f>Inputs!Q101</f>
        <v>0.5</v>
      </c>
      <c r="N174" s="384">
        <f>Inputs!R101</f>
        <v>0.5</v>
      </c>
      <c r="O174" s="384">
        <f>Inputs!S101</f>
        <v>0.5</v>
      </c>
      <c r="P174" s="384">
        <f>Inputs!T101</f>
        <v>0.5</v>
      </c>
      <c r="Q174" s="384">
        <f>Inputs!U101</f>
        <v>0.5</v>
      </c>
      <c r="R174" s="384">
        <f>Inputs!V101</f>
        <v>0.5</v>
      </c>
      <c r="S174" s="385">
        <f>Inputs!W101</f>
        <v>0.5</v>
      </c>
    </row>
    <row r="175" spans="1:19" ht="12.75" customHeight="1" x14ac:dyDescent="0.2">
      <c r="A175" s="198" t="str">
        <f>"         "&amp;Labels!C316</f>
        <v xml:space="preserve">         Total</v>
      </c>
      <c r="B175" s="303">
        <f t="shared" ref="B175:S175" si="38">AVERAGE(B173:B174)</f>
        <v>0.5</v>
      </c>
      <c r="C175" s="303">
        <f t="shared" si="38"/>
        <v>0.5</v>
      </c>
      <c r="D175" s="303">
        <f t="shared" si="38"/>
        <v>0.5</v>
      </c>
      <c r="E175" s="303">
        <f t="shared" si="38"/>
        <v>0.5</v>
      </c>
      <c r="F175" s="303">
        <f t="shared" si="38"/>
        <v>0.5</v>
      </c>
      <c r="G175" s="303">
        <f t="shared" si="38"/>
        <v>0.5</v>
      </c>
      <c r="H175" s="303">
        <f t="shared" si="38"/>
        <v>0.5</v>
      </c>
      <c r="I175" s="303">
        <f t="shared" si="38"/>
        <v>0.5</v>
      </c>
      <c r="J175" s="303">
        <f t="shared" si="38"/>
        <v>0.5</v>
      </c>
      <c r="K175" s="303">
        <f t="shared" si="38"/>
        <v>0.5</v>
      </c>
      <c r="L175" s="303">
        <f t="shared" si="38"/>
        <v>0.5</v>
      </c>
      <c r="M175" s="303">
        <f t="shared" si="38"/>
        <v>0.5</v>
      </c>
      <c r="N175" s="303">
        <f t="shared" si="38"/>
        <v>0.5</v>
      </c>
      <c r="O175" s="303">
        <f t="shared" si="38"/>
        <v>0.5</v>
      </c>
      <c r="P175" s="303">
        <f t="shared" si="38"/>
        <v>0.5</v>
      </c>
      <c r="Q175" s="303">
        <f t="shared" si="38"/>
        <v>0.5</v>
      </c>
      <c r="R175" s="303">
        <f t="shared" si="38"/>
        <v>0.5</v>
      </c>
      <c r="S175" s="383">
        <f t="shared" si="38"/>
        <v>0.5</v>
      </c>
    </row>
    <row r="176" spans="1:19" ht="12.75" customHeight="1" x14ac:dyDescent="0.2">
      <c r="A176" s="198" t="str">
        <f>"      "&amp;Labels!B386</f>
        <v xml:space="preserve">      Prof Level 2</v>
      </c>
      <c r="B176" s="303"/>
      <c r="C176" s="303"/>
      <c r="D176" s="303"/>
      <c r="E176" s="303"/>
      <c r="F176" s="303"/>
      <c r="G176" s="303"/>
      <c r="H176" s="303"/>
      <c r="I176" s="303"/>
      <c r="J176" s="303"/>
      <c r="K176" s="303"/>
      <c r="L176" s="303"/>
      <c r="M176" s="303"/>
      <c r="N176" s="303"/>
      <c r="O176" s="303"/>
      <c r="P176" s="303"/>
      <c r="Q176" s="303"/>
      <c r="R176" s="303"/>
      <c r="S176" s="383"/>
    </row>
    <row r="177" spans="1:19" ht="12.75" customHeight="1" x14ac:dyDescent="0.2">
      <c r="A177" s="198" t="str">
        <f>"         "&amp;Labels!B317</f>
        <v xml:space="preserve">         Channels 1</v>
      </c>
      <c r="B177" s="384">
        <f>Inputs!F102</f>
        <v>0.5</v>
      </c>
      <c r="C177" s="384">
        <f>Inputs!G102</f>
        <v>0.5</v>
      </c>
      <c r="D177" s="384">
        <f>Inputs!H102</f>
        <v>0.5</v>
      </c>
      <c r="E177" s="384">
        <f>Inputs!I102</f>
        <v>0.5</v>
      </c>
      <c r="F177" s="384">
        <f>Inputs!J102</f>
        <v>0.5</v>
      </c>
      <c r="G177" s="384">
        <f>Inputs!K102</f>
        <v>0.5</v>
      </c>
      <c r="H177" s="384">
        <f>Inputs!L102</f>
        <v>0.5</v>
      </c>
      <c r="I177" s="384">
        <f>Inputs!M102</f>
        <v>0.5</v>
      </c>
      <c r="J177" s="384">
        <f>Inputs!N102</f>
        <v>0.5</v>
      </c>
      <c r="K177" s="384">
        <f>Inputs!O102</f>
        <v>0.5</v>
      </c>
      <c r="L177" s="384">
        <f>Inputs!P102</f>
        <v>0.5</v>
      </c>
      <c r="M177" s="384">
        <f>Inputs!Q102</f>
        <v>0.5</v>
      </c>
      <c r="N177" s="384">
        <f>Inputs!R102</f>
        <v>0.5</v>
      </c>
      <c r="O177" s="384">
        <f>Inputs!S102</f>
        <v>0.5</v>
      </c>
      <c r="P177" s="384">
        <f>Inputs!T102</f>
        <v>0.5</v>
      </c>
      <c r="Q177" s="384">
        <f>Inputs!U102</f>
        <v>0.5</v>
      </c>
      <c r="R177" s="384">
        <f>Inputs!V102</f>
        <v>0.5</v>
      </c>
      <c r="S177" s="385">
        <f>Inputs!W102</f>
        <v>0.5</v>
      </c>
    </row>
    <row r="178" spans="1:19" ht="12.75" customHeight="1" x14ac:dyDescent="0.2">
      <c r="A178" s="198" t="str">
        <f>"         "&amp;Labels!B318</f>
        <v xml:space="preserve">         Channels 2</v>
      </c>
      <c r="B178" s="384">
        <f>Inputs!F103</f>
        <v>0.5</v>
      </c>
      <c r="C178" s="384">
        <f>Inputs!G103</f>
        <v>0.5</v>
      </c>
      <c r="D178" s="384">
        <f>Inputs!H103</f>
        <v>0.5</v>
      </c>
      <c r="E178" s="384">
        <f>Inputs!I103</f>
        <v>0.5</v>
      </c>
      <c r="F178" s="384">
        <f>Inputs!J103</f>
        <v>0.5</v>
      </c>
      <c r="G178" s="384">
        <f>Inputs!K103</f>
        <v>0.5</v>
      </c>
      <c r="H178" s="384">
        <f>Inputs!L103</f>
        <v>0.5</v>
      </c>
      <c r="I178" s="384">
        <f>Inputs!M103</f>
        <v>0.5</v>
      </c>
      <c r="J178" s="384">
        <f>Inputs!N103</f>
        <v>0.5</v>
      </c>
      <c r="K178" s="384">
        <f>Inputs!O103</f>
        <v>0.5</v>
      </c>
      <c r="L178" s="384">
        <f>Inputs!P103</f>
        <v>0.5</v>
      </c>
      <c r="M178" s="384">
        <f>Inputs!Q103</f>
        <v>0.5</v>
      </c>
      <c r="N178" s="384">
        <f>Inputs!R103</f>
        <v>0.5</v>
      </c>
      <c r="O178" s="384">
        <f>Inputs!S103</f>
        <v>0.5</v>
      </c>
      <c r="P178" s="384">
        <f>Inputs!T103</f>
        <v>0.5</v>
      </c>
      <c r="Q178" s="384">
        <f>Inputs!U103</f>
        <v>0.5</v>
      </c>
      <c r="R178" s="384">
        <f>Inputs!V103</f>
        <v>0.5</v>
      </c>
      <c r="S178" s="385">
        <f>Inputs!W103</f>
        <v>0.5</v>
      </c>
    </row>
    <row r="179" spans="1:19" ht="12.75" customHeight="1" x14ac:dyDescent="0.2">
      <c r="A179" s="198" t="str">
        <f>"         "&amp;Labels!C316</f>
        <v xml:space="preserve">         Total</v>
      </c>
      <c r="B179" s="303">
        <f t="shared" ref="B179:S179" si="39">AVERAGE(B177:B178)</f>
        <v>0.5</v>
      </c>
      <c r="C179" s="303">
        <f t="shared" si="39"/>
        <v>0.5</v>
      </c>
      <c r="D179" s="303">
        <f t="shared" si="39"/>
        <v>0.5</v>
      </c>
      <c r="E179" s="303">
        <f t="shared" si="39"/>
        <v>0.5</v>
      </c>
      <c r="F179" s="303">
        <f t="shared" si="39"/>
        <v>0.5</v>
      </c>
      <c r="G179" s="303">
        <f t="shared" si="39"/>
        <v>0.5</v>
      </c>
      <c r="H179" s="303">
        <f t="shared" si="39"/>
        <v>0.5</v>
      </c>
      <c r="I179" s="303">
        <f t="shared" si="39"/>
        <v>0.5</v>
      </c>
      <c r="J179" s="303">
        <f t="shared" si="39"/>
        <v>0.5</v>
      </c>
      <c r="K179" s="303">
        <f t="shared" si="39"/>
        <v>0.5</v>
      </c>
      <c r="L179" s="303">
        <f t="shared" si="39"/>
        <v>0.5</v>
      </c>
      <c r="M179" s="303">
        <f t="shared" si="39"/>
        <v>0.5</v>
      </c>
      <c r="N179" s="303">
        <f t="shared" si="39"/>
        <v>0.5</v>
      </c>
      <c r="O179" s="303">
        <f t="shared" si="39"/>
        <v>0.5</v>
      </c>
      <c r="P179" s="303">
        <f t="shared" si="39"/>
        <v>0.5</v>
      </c>
      <c r="Q179" s="303">
        <f t="shared" si="39"/>
        <v>0.5</v>
      </c>
      <c r="R179" s="303">
        <f t="shared" si="39"/>
        <v>0.5</v>
      </c>
      <c r="S179" s="383">
        <f t="shared" si="39"/>
        <v>0.5</v>
      </c>
    </row>
    <row r="180" spans="1:19" ht="12.75" customHeight="1" x14ac:dyDescent="0.2">
      <c r="A180" s="188" t="str">
        <f>"      "&amp;Labels!C384</f>
        <v xml:space="preserve">      Total</v>
      </c>
      <c r="B180" s="275">
        <f t="shared" ref="B180:S180" si="40">AVERAGE(B175,B179)</f>
        <v>0.5</v>
      </c>
      <c r="C180" s="275">
        <f t="shared" si="40"/>
        <v>0.5</v>
      </c>
      <c r="D180" s="275">
        <f t="shared" si="40"/>
        <v>0.5</v>
      </c>
      <c r="E180" s="275">
        <f t="shared" si="40"/>
        <v>0.5</v>
      </c>
      <c r="F180" s="275">
        <f t="shared" si="40"/>
        <v>0.5</v>
      </c>
      <c r="G180" s="275">
        <f t="shared" si="40"/>
        <v>0.5</v>
      </c>
      <c r="H180" s="275">
        <f t="shared" si="40"/>
        <v>0.5</v>
      </c>
      <c r="I180" s="275">
        <f t="shared" si="40"/>
        <v>0.5</v>
      </c>
      <c r="J180" s="275">
        <f t="shared" si="40"/>
        <v>0.5</v>
      </c>
      <c r="K180" s="275">
        <f t="shared" si="40"/>
        <v>0.5</v>
      </c>
      <c r="L180" s="275">
        <f t="shared" si="40"/>
        <v>0.5</v>
      </c>
      <c r="M180" s="275">
        <f t="shared" si="40"/>
        <v>0.5</v>
      </c>
      <c r="N180" s="275">
        <f t="shared" si="40"/>
        <v>0.5</v>
      </c>
      <c r="O180" s="275">
        <f t="shared" si="40"/>
        <v>0.5</v>
      </c>
      <c r="P180" s="275">
        <f t="shared" si="40"/>
        <v>0.5</v>
      </c>
      <c r="Q180" s="275">
        <f t="shared" si="40"/>
        <v>0.5</v>
      </c>
      <c r="R180" s="275">
        <f t="shared" si="40"/>
        <v>0.5</v>
      </c>
      <c r="S180" s="276">
        <f t="shared" si="40"/>
        <v>0.5</v>
      </c>
    </row>
    <row r="181" spans="1:19" ht="12.75" customHeight="1" x14ac:dyDescent="0.2">
      <c r="A181" s="198" t="str">
        <f>"         "&amp;Labels!B317</f>
        <v xml:space="preserve">         Channels 1</v>
      </c>
      <c r="B181" s="384">
        <f t="shared" ref="B181:S181" si="41">AVERAGE(B173,B177)</f>
        <v>0.5</v>
      </c>
      <c r="C181" s="384">
        <f t="shared" si="41"/>
        <v>0.5</v>
      </c>
      <c r="D181" s="384">
        <f t="shared" si="41"/>
        <v>0.5</v>
      </c>
      <c r="E181" s="384">
        <f t="shared" si="41"/>
        <v>0.5</v>
      </c>
      <c r="F181" s="384">
        <f t="shared" si="41"/>
        <v>0.5</v>
      </c>
      <c r="G181" s="384">
        <f t="shared" si="41"/>
        <v>0.5</v>
      </c>
      <c r="H181" s="384">
        <f t="shared" si="41"/>
        <v>0.5</v>
      </c>
      <c r="I181" s="384">
        <f t="shared" si="41"/>
        <v>0.5</v>
      </c>
      <c r="J181" s="384">
        <f t="shared" si="41"/>
        <v>0.5</v>
      </c>
      <c r="K181" s="384">
        <f t="shared" si="41"/>
        <v>0.5</v>
      </c>
      <c r="L181" s="384">
        <f t="shared" si="41"/>
        <v>0.5</v>
      </c>
      <c r="M181" s="384">
        <f t="shared" si="41"/>
        <v>0.5</v>
      </c>
      <c r="N181" s="384">
        <f t="shared" si="41"/>
        <v>0.5</v>
      </c>
      <c r="O181" s="384">
        <f t="shared" si="41"/>
        <v>0.5</v>
      </c>
      <c r="P181" s="384">
        <f t="shared" si="41"/>
        <v>0.5</v>
      </c>
      <c r="Q181" s="384">
        <f t="shared" si="41"/>
        <v>0.5</v>
      </c>
      <c r="R181" s="384">
        <f t="shared" si="41"/>
        <v>0.5</v>
      </c>
      <c r="S181" s="385">
        <f t="shared" si="41"/>
        <v>0.5</v>
      </c>
    </row>
    <row r="182" spans="1:19" ht="12.75" customHeight="1" x14ac:dyDescent="0.2">
      <c r="A182" s="198" t="str">
        <f>"         "&amp;Labels!B318</f>
        <v xml:space="preserve">         Channels 2</v>
      </c>
      <c r="B182" s="384">
        <f t="shared" ref="B182:S182" si="42">AVERAGE(B174,B178)</f>
        <v>0.5</v>
      </c>
      <c r="C182" s="384">
        <f t="shared" si="42"/>
        <v>0.5</v>
      </c>
      <c r="D182" s="384">
        <f t="shared" si="42"/>
        <v>0.5</v>
      </c>
      <c r="E182" s="384">
        <f t="shared" si="42"/>
        <v>0.5</v>
      </c>
      <c r="F182" s="384">
        <f t="shared" si="42"/>
        <v>0.5</v>
      </c>
      <c r="G182" s="384">
        <f t="shared" si="42"/>
        <v>0.5</v>
      </c>
      <c r="H182" s="384">
        <f t="shared" si="42"/>
        <v>0.5</v>
      </c>
      <c r="I182" s="384">
        <f t="shared" si="42"/>
        <v>0.5</v>
      </c>
      <c r="J182" s="384">
        <f t="shared" si="42"/>
        <v>0.5</v>
      </c>
      <c r="K182" s="384">
        <f t="shared" si="42"/>
        <v>0.5</v>
      </c>
      <c r="L182" s="384">
        <f t="shared" si="42"/>
        <v>0.5</v>
      </c>
      <c r="M182" s="384">
        <f t="shared" si="42"/>
        <v>0.5</v>
      </c>
      <c r="N182" s="384">
        <f t="shared" si="42"/>
        <v>0.5</v>
      </c>
      <c r="O182" s="384">
        <f t="shared" si="42"/>
        <v>0.5</v>
      </c>
      <c r="P182" s="384">
        <f t="shared" si="42"/>
        <v>0.5</v>
      </c>
      <c r="Q182" s="384">
        <f t="shared" si="42"/>
        <v>0.5</v>
      </c>
      <c r="R182" s="384">
        <f t="shared" si="42"/>
        <v>0.5</v>
      </c>
      <c r="S182" s="385">
        <f t="shared" si="42"/>
        <v>0.5</v>
      </c>
    </row>
    <row r="183" spans="1:19" ht="12.75" customHeight="1" x14ac:dyDescent="0.2">
      <c r="A183" s="198" t="str">
        <f>"         "&amp;Labels!C316</f>
        <v xml:space="preserve">         Total</v>
      </c>
      <c r="B183" s="303">
        <f t="shared" ref="B183:S183" si="43">AVERAGE(B175,B179)</f>
        <v>0.5</v>
      </c>
      <c r="C183" s="303">
        <f t="shared" si="43"/>
        <v>0.5</v>
      </c>
      <c r="D183" s="303">
        <f t="shared" si="43"/>
        <v>0.5</v>
      </c>
      <c r="E183" s="303">
        <f t="shared" si="43"/>
        <v>0.5</v>
      </c>
      <c r="F183" s="303">
        <f t="shared" si="43"/>
        <v>0.5</v>
      </c>
      <c r="G183" s="303">
        <f t="shared" si="43"/>
        <v>0.5</v>
      </c>
      <c r="H183" s="303">
        <f t="shared" si="43"/>
        <v>0.5</v>
      </c>
      <c r="I183" s="303">
        <f t="shared" si="43"/>
        <v>0.5</v>
      </c>
      <c r="J183" s="303">
        <f t="shared" si="43"/>
        <v>0.5</v>
      </c>
      <c r="K183" s="303">
        <f t="shared" si="43"/>
        <v>0.5</v>
      </c>
      <c r="L183" s="303">
        <f t="shared" si="43"/>
        <v>0.5</v>
      </c>
      <c r="M183" s="303">
        <f t="shared" si="43"/>
        <v>0.5</v>
      </c>
      <c r="N183" s="303">
        <f t="shared" si="43"/>
        <v>0.5</v>
      </c>
      <c r="O183" s="303">
        <f t="shared" si="43"/>
        <v>0.5</v>
      </c>
      <c r="P183" s="303">
        <f t="shared" si="43"/>
        <v>0.5</v>
      </c>
      <c r="Q183" s="303">
        <f t="shared" si="43"/>
        <v>0.5</v>
      </c>
      <c r="R183" s="303">
        <f t="shared" si="43"/>
        <v>0.5</v>
      </c>
      <c r="S183" s="383">
        <f t="shared" si="43"/>
        <v>0.5</v>
      </c>
    </row>
    <row r="184" spans="1:19" ht="12.75" customHeight="1" x14ac:dyDescent="0.2">
      <c r="A184" s="191" t="str">
        <f>"   "&amp;Labels!C380</f>
        <v xml:space="preserve">   Total</v>
      </c>
      <c r="B184" s="300">
        <f t="shared" ref="B184:S184" si="44">AVERAGE(B167,B180)</f>
        <v>0.5</v>
      </c>
      <c r="C184" s="300">
        <f t="shared" si="44"/>
        <v>0.5</v>
      </c>
      <c r="D184" s="300">
        <f t="shared" si="44"/>
        <v>0.5</v>
      </c>
      <c r="E184" s="300">
        <f t="shared" si="44"/>
        <v>0.5</v>
      </c>
      <c r="F184" s="300">
        <f t="shared" si="44"/>
        <v>0.5</v>
      </c>
      <c r="G184" s="300">
        <f t="shared" si="44"/>
        <v>0.5</v>
      </c>
      <c r="H184" s="300">
        <f t="shared" si="44"/>
        <v>0.5</v>
      </c>
      <c r="I184" s="300">
        <f t="shared" si="44"/>
        <v>0.5</v>
      </c>
      <c r="J184" s="300">
        <f t="shared" si="44"/>
        <v>0.5</v>
      </c>
      <c r="K184" s="300">
        <f t="shared" si="44"/>
        <v>0.5</v>
      </c>
      <c r="L184" s="300">
        <f t="shared" si="44"/>
        <v>0.5</v>
      </c>
      <c r="M184" s="300">
        <f t="shared" si="44"/>
        <v>0.5</v>
      </c>
      <c r="N184" s="300">
        <f t="shared" si="44"/>
        <v>0.5</v>
      </c>
      <c r="O184" s="300">
        <f t="shared" si="44"/>
        <v>0.5</v>
      </c>
      <c r="P184" s="300">
        <f t="shared" si="44"/>
        <v>0.5</v>
      </c>
      <c r="Q184" s="300">
        <f t="shared" si="44"/>
        <v>0.5</v>
      </c>
      <c r="R184" s="300">
        <f t="shared" si="44"/>
        <v>0.5</v>
      </c>
      <c r="S184" s="386">
        <f t="shared" si="44"/>
        <v>0.5</v>
      </c>
    </row>
    <row r="185" spans="1:19" ht="12.75" customHeight="1" x14ac:dyDescent="0.2">
      <c r="A185" s="198" t="str">
        <f>"      "&amp;Labels!B385</f>
        <v xml:space="preserve">      Prof Level 1</v>
      </c>
      <c r="B185" s="303"/>
      <c r="C185" s="303"/>
      <c r="D185" s="303"/>
      <c r="E185" s="303"/>
      <c r="F185" s="303"/>
      <c r="G185" s="303"/>
      <c r="H185" s="303"/>
      <c r="I185" s="303"/>
      <c r="J185" s="303"/>
      <c r="K185" s="303"/>
      <c r="L185" s="303"/>
      <c r="M185" s="303"/>
      <c r="N185" s="303"/>
      <c r="O185" s="303"/>
      <c r="P185" s="303"/>
      <c r="Q185" s="303"/>
      <c r="R185" s="303"/>
      <c r="S185" s="383"/>
    </row>
    <row r="186" spans="1:19" ht="12.75" customHeight="1" x14ac:dyDescent="0.2">
      <c r="A186" s="198" t="str">
        <f>"         "&amp;Labels!B317</f>
        <v xml:space="preserve">         Channels 1</v>
      </c>
      <c r="B186" s="384">
        <f t="shared" ref="B186:S186" si="45">AVERAGE(B160,B173)</f>
        <v>0.5</v>
      </c>
      <c r="C186" s="384">
        <f t="shared" si="45"/>
        <v>0.5</v>
      </c>
      <c r="D186" s="384">
        <f t="shared" si="45"/>
        <v>0.5</v>
      </c>
      <c r="E186" s="384">
        <f t="shared" si="45"/>
        <v>0.5</v>
      </c>
      <c r="F186" s="384">
        <f t="shared" si="45"/>
        <v>0.5</v>
      </c>
      <c r="G186" s="384">
        <f t="shared" si="45"/>
        <v>0.5</v>
      </c>
      <c r="H186" s="384">
        <f t="shared" si="45"/>
        <v>0.5</v>
      </c>
      <c r="I186" s="384">
        <f t="shared" si="45"/>
        <v>0.5</v>
      </c>
      <c r="J186" s="384">
        <f t="shared" si="45"/>
        <v>0.5</v>
      </c>
      <c r="K186" s="384">
        <f t="shared" si="45"/>
        <v>0.5</v>
      </c>
      <c r="L186" s="384">
        <f t="shared" si="45"/>
        <v>0.5</v>
      </c>
      <c r="M186" s="384">
        <f t="shared" si="45"/>
        <v>0.5</v>
      </c>
      <c r="N186" s="384">
        <f t="shared" si="45"/>
        <v>0.5</v>
      </c>
      <c r="O186" s="384">
        <f t="shared" si="45"/>
        <v>0.5</v>
      </c>
      <c r="P186" s="384">
        <f t="shared" si="45"/>
        <v>0.5</v>
      </c>
      <c r="Q186" s="384">
        <f t="shared" si="45"/>
        <v>0.5</v>
      </c>
      <c r="R186" s="384">
        <f t="shared" si="45"/>
        <v>0.5</v>
      </c>
      <c r="S186" s="385">
        <f t="shared" si="45"/>
        <v>0.5</v>
      </c>
    </row>
    <row r="187" spans="1:19" ht="12.75" customHeight="1" x14ac:dyDescent="0.2">
      <c r="A187" s="198" t="str">
        <f>"         "&amp;Labels!B318</f>
        <v xml:space="preserve">         Channels 2</v>
      </c>
      <c r="B187" s="384">
        <f t="shared" ref="B187:S187" si="46">AVERAGE(B161,B174)</f>
        <v>0.5</v>
      </c>
      <c r="C187" s="384">
        <f t="shared" si="46"/>
        <v>0.5</v>
      </c>
      <c r="D187" s="384">
        <f t="shared" si="46"/>
        <v>0.5</v>
      </c>
      <c r="E187" s="384">
        <f t="shared" si="46"/>
        <v>0.5</v>
      </c>
      <c r="F187" s="384">
        <f t="shared" si="46"/>
        <v>0.5</v>
      </c>
      <c r="G187" s="384">
        <f t="shared" si="46"/>
        <v>0.5</v>
      </c>
      <c r="H187" s="384">
        <f t="shared" si="46"/>
        <v>0.5</v>
      </c>
      <c r="I187" s="384">
        <f t="shared" si="46"/>
        <v>0.5</v>
      </c>
      <c r="J187" s="384">
        <f t="shared" si="46"/>
        <v>0.5</v>
      </c>
      <c r="K187" s="384">
        <f t="shared" si="46"/>
        <v>0.5</v>
      </c>
      <c r="L187" s="384">
        <f t="shared" si="46"/>
        <v>0.5</v>
      </c>
      <c r="M187" s="384">
        <f t="shared" si="46"/>
        <v>0.5</v>
      </c>
      <c r="N187" s="384">
        <f t="shared" si="46"/>
        <v>0.5</v>
      </c>
      <c r="O187" s="384">
        <f t="shared" si="46"/>
        <v>0.5</v>
      </c>
      <c r="P187" s="384">
        <f t="shared" si="46"/>
        <v>0.5</v>
      </c>
      <c r="Q187" s="384">
        <f t="shared" si="46"/>
        <v>0.5</v>
      </c>
      <c r="R187" s="384">
        <f t="shared" si="46"/>
        <v>0.5</v>
      </c>
      <c r="S187" s="385">
        <f t="shared" si="46"/>
        <v>0.5</v>
      </c>
    </row>
    <row r="188" spans="1:19" ht="12.75" customHeight="1" x14ac:dyDescent="0.2">
      <c r="A188" s="198" t="str">
        <f>"         "&amp;Labels!C316</f>
        <v xml:space="preserve">         Total</v>
      </c>
      <c r="B188" s="303">
        <f t="shared" ref="B188:S188" si="47">AVERAGE(B162,B175)</f>
        <v>0.5</v>
      </c>
      <c r="C188" s="303">
        <f t="shared" si="47"/>
        <v>0.5</v>
      </c>
      <c r="D188" s="303">
        <f t="shared" si="47"/>
        <v>0.5</v>
      </c>
      <c r="E188" s="303">
        <f t="shared" si="47"/>
        <v>0.5</v>
      </c>
      <c r="F188" s="303">
        <f t="shared" si="47"/>
        <v>0.5</v>
      </c>
      <c r="G188" s="303">
        <f t="shared" si="47"/>
        <v>0.5</v>
      </c>
      <c r="H188" s="303">
        <f t="shared" si="47"/>
        <v>0.5</v>
      </c>
      <c r="I188" s="303">
        <f t="shared" si="47"/>
        <v>0.5</v>
      </c>
      <c r="J188" s="303">
        <f t="shared" si="47"/>
        <v>0.5</v>
      </c>
      <c r="K188" s="303">
        <f t="shared" si="47"/>
        <v>0.5</v>
      </c>
      <c r="L188" s="303">
        <f t="shared" si="47"/>
        <v>0.5</v>
      </c>
      <c r="M188" s="303">
        <f t="shared" si="47"/>
        <v>0.5</v>
      </c>
      <c r="N188" s="303">
        <f t="shared" si="47"/>
        <v>0.5</v>
      </c>
      <c r="O188" s="303">
        <f t="shared" si="47"/>
        <v>0.5</v>
      </c>
      <c r="P188" s="303">
        <f t="shared" si="47"/>
        <v>0.5</v>
      </c>
      <c r="Q188" s="303">
        <f t="shared" si="47"/>
        <v>0.5</v>
      </c>
      <c r="R188" s="303">
        <f t="shared" si="47"/>
        <v>0.5</v>
      </c>
      <c r="S188" s="383">
        <f t="shared" si="47"/>
        <v>0.5</v>
      </c>
    </row>
    <row r="189" spans="1:19" ht="12.75" customHeight="1" x14ac:dyDescent="0.2">
      <c r="A189" s="198" t="str">
        <f>"      "&amp;Labels!B386</f>
        <v xml:space="preserve">      Prof Level 2</v>
      </c>
      <c r="B189" s="303"/>
      <c r="C189" s="303"/>
      <c r="D189" s="303"/>
      <c r="E189" s="303"/>
      <c r="F189" s="303"/>
      <c r="G189" s="303"/>
      <c r="H189" s="303"/>
      <c r="I189" s="303"/>
      <c r="J189" s="303"/>
      <c r="K189" s="303"/>
      <c r="L189" s="303"/>
      <c r="M189" s="303"/>
      <c r="N189" s="303"/>
      <c r="O189" s="303"/>
      <c r="P189" s="303"/>
      <c r="Q189" s="303"/>
      <c r="R189" s="303"/>
      <c r="S189" s="383"/>
    </row>
    <row r="190" spans="1:19" ht="12.75" customHeight="1" x14ac:dyDescent="0.2">
      <c r="A190" s="198" t="str">
        <f>"         "&amp;Labels!B317</f>
        <v xml:space="preserve">         Channels 1</v>
      </c>
      <c r="B190" s="384">
        <f t="shared" ref="B190:S190" si="48">AVERAGE(B164,B177)</f>
        <v>0.5</v>
      </c>
      <c r="C190" s="384">
        <f t="shared" si="48"/>
        <v>0.5</v>
      </c>
      <c r="D190" s="384">
        <f t="shared" si="48"/>
        <v>0.5</v>
      </c>
      <c r="E190" s="384">
        <f t="shared" si="48"/>
        <v>0.5</v>
      </c>
      <c r="F190" s="384">
        <f t="shared" si="48"/>
        <v>0.5</v>
      </c>
      <c r="G190" s="384">
        <f t="shared" si="48"/>
        <v>0.5</v>
      </c>
      <c r="H190" s="384">
        <f t="shared" si="48"/>
        <v>0.5</v>
      </c>
      <c r="I190" s="384">
        <f t="shared" si="48"/>
        <v>0.5</v>
      </c>
      <c r="J190" s="384">
        <f t="shared" si="48"/>
        <v>0.5</v>
      </c>
      <c r="K190" s="384">
        <f t="shared" si="48"/>
        <v>0.5</v>
      </c>
      <c r="L190" s="384">
        <f t="shared" si="48"/>
        <v>0.5</v>
      </c>
      <c r="M190" s="384">
        <f t="shared" si="48"/>
        <v>0.5</v>
      </c>
      <c r="N190" s="384">
        <f t="shared" si="48"/>
        <v>0.5</v>
      </c>
      <c r="O190" s="384">
        <f t="shared" si="48"/>
        <v>0.5</v>
      </c>
      <c r="P190" s="384">
        <f t="shared" si="48"/>
        <v>0.5</v>
      </c>
      <c r="Q190" s="384">
        <f t="shared" si="48"/>
        <v>0.5</v>
      </c>
      <c r="R190" s="384">
        <f t="shared" si="48"/>
        <v>0.5</v>
      </c>
      <c r="S190" s="385">
        <f t="shared" si="48"/>
        <v>0.5</v>
      </c>
    </row>
    <row r="191" spans="1:19" ht="12.75" customHeight="1" x14ac:dyDescent="0.2">
      <c r="A191" s="198" t="str">
        <f>"         "&amp;Labels!B318</f>
        <v xml:space="preserve">         Channels 2</v>
      </c>
      <c r="B191" s="384">
        <f t="shared" ref="B191:S191" si="49">AVERAGE(B165,B178)</f>
        <v>0.5</v>
      </c>
      <c r="C191" s="384">
        <f t="shared" si="49"/>
        <v>0.5</v>
      </c>
      <c r="D191" s="384">
        <f t="shared" si="49"/>
        <v>0.5</v>
      </c>
      <c r="E191" s="384">
        <f t="shared" si="49"/>
        <v>0.5</v>
      </c>
      <c r="F191" s="384">
        <f t="shared" si="49"/>
        <v>0.5</v>
      </c>
      <c r="G191" s="384">
        <f t="shared" si="49"/>
        <v>0.5</v>
      </c>
      <c r="H191" s="384">
        <f t="shared" si="49"/>
        <v>0.5</v>
      </c>
      <c r="I191" s="384">
        <f t="shared" si="49"/>
        <v>0.5</v>
      </c>
      <c r="J191" s="384">
        <f t="shared" si="49"/>
        <v>0.5</v>
      </c>
      <c r="K191" s="384">
        <f t="shared" si="49"/>
        <v>0.5</v>
      </c>
      <c r="L191" s="384">
        <f t="shared" si="49"/>
        <v>0.5</v>
      </c>
      <c r="M191" s="384">
        <f t="shared" si="49"/>
        <v>0.5</v>
      </c>
      <c r="N191" s="384">
        <f t="shared" si="49"/>
        <v>0.5</v>
      </c>
      <c r="O191" s="384">
        <f t="shared" si="49"/>
        <v>0.5</v>
      </c>
      <c r="P191" s="384">
        <f t="shared" si="49"/>
        <v>0.5</v>
      </c>
      <c r="Q191" s="384">
        <f t="shared" si="49"/>
        <v>0.5</v>
      </c>
      <c r="R191" s="384">
        <f t="shared" si="49"/>
        <v>0.5</v>
      </c>
      <c r="S191" s="385">
        <f t="shared" si="49"/>
        <v>0.5</v>
      </c>
    </row>
    <row r="192" spans="1:19" ht="12.75" customHeight="1" x14ac:dyDescent="0.2">
      <c r="A192" s="198" t="str">
        <f>"         "&amp;Labels!C316</f>
        <v xml:space="preserve">         Total</v>
      </c>
      <c r="B192" s="303">
        <f t="shared" ref="B192:S192" si="50">AVERAGE(B166,B179)</f>
        <v>0.5</v>
      </c>
      <c r="C192" s="303">
        <f t="shared" si="50"/>
        <v>0.5</v>
      </c>
      <c r="D192" s="303">
        <f t="shared" si="50"/>
        <v>0.5</v>
      </c>
      <c r="E192" s="303">
        <f t="shared" si="50"/>
        <v>0.5</v>
      </c>
      <c r="F192" s="303">
        <f t="shared" si="50"/>
        <v>0.5</v>
      </c>
      <c r="G192" s="303">
        <f t="shared" si="50"/>
        <v>0.5</v>
      </c>
      <c r="H192" s="303">
        <f t="shared" si="50"/>
        <v>0.5</v>
      </c>
      <c r="I192" s="303">
        <f t="shared" si="50"/>
        <v>0.5</v>
      </c>
      <c r="J192" s="303">
        <f t="shared" si="50"/>
        <v>0.5</v>
      </c>
      <c r="K192" s="303">
        <f t="shared" si="50"/>
        <v>0.5</v>
      </c>
      <c r="L192" s="303">
        <f t="shared" si="50"/>
        <v>0.5</v>
      </c>
      <c r="M192" s="303">
        <f t="shared" si="50"/>
        <v>0.5</v>
      </c>
      <c r="N192" s="303">
        <f t="shared" si="50"/>
        <v>0.5</v>
      </c>
      <c r="O192" s="303">
        <f t="shared" si="50"/>
        <v>0.5</v>
      </c>
      <c r="P192" s="303">
        <f t="shared" si="50"/>
        <v>0.5</v>
      </c>
      <c r="Q192" s="303">
        <f t="shared" si="50"/>
        <v>0.5</v>
      </c>
      <c r="R192" s="303">
        <f t="shared" si="50"/>
        <v>0.5</v>
      </c>
      <c r="S192" s="383">
        <f t="shared" si="50"/>
        <v>0.5</v>
      </c>
    </row>
    <row r="193" spans="1:19" ht="12.75" customHeight="1" x14ac:dyDescent="0.2">
      <c r="A193" s="188" t="str">
        <f>"      "&amp;Labels!C384</f>
        <v xml:space="preserve">      Total</v>
      </c>
      <c r="B193" s="275">
        <f t="shared" ref="B193:S193" si="51">AVERAGE(B167,B180)</f>
        <v>0.5</v>
      </c>
      <c r="C193" s="275">
        <f t="shared" si="51"/>
        <v>0.5</v>
      </c>
      <c r="D193" s="275">
        <f t="shared" si="51"/>
        <v>0.5</v>
      </c>
      <c r="E193" s="275">
        <f t="shared" si="51"/>
        <v>0.5</v>
      </c>
      <c r="F193" s="275">
        <f t="shared" si="51"/>
        <v>0.5</v>
      </c>
      <c r="G193" s="275">
        <f t="shared" si="51"/>
        <v>0.5</v>
      </c>
      <c r="H193" s="275">
        <f t="shared" si="51"/>
        <v>0.5</v>
      </c>
      <c r="I193" s="275">
        <f t="shared" si="51"/>
        <v>0.5</v>
      </c>
      <c r="J193" s="275">
        <f t="shared" si="51"/>
        <v>0.5</v>
      </c>
      <c r="K193" s="275">
        <f t="shared" si="51"/>
        <v>0.5</v>
      </c>
      <c r="L193" s="275">
        <f t="shared" si="51"/>
        <v>0.5</v>
      </c>
      <c r="M193" s="275">
        <f t="shared" si="51"/>
        <v>0.5</v>
      </c>
      <c r="N193" s="275">
        <f t="shared" si="51"/>
        <v>0.5</v>
      </c>
      <c r="O193" s="275">
        <f t="shared" si="51"/>
        <v>0.5</v>
      </c>
      <c r="P193" s="275">
        <f t="shared" si="51"/>
        <v>0.5</v>
      </c>
      <c r="Q193" s="275">
        <f t="shared" si="51"/>
        <v>0.5</v>
      </c>
      <c r="R193" s="275">
        <f t="shared" si="51"/>
        <v>0.5</v>
      </c>
      <c r="S193" s="276">
        <f t="shared" si="51"/>
        <v>0.5</v>
      </c>
    </row>
    <row r="194" spans="1:19" ht="12.75" customHeight="1" x14ac:dyDescent="0.2">
      <c r="A194" s="198" t="str">
        <f>"         "&amp;Labels!B317</f>
        <v xml:space="preserve">         Channels 1</v>
      </c>
      <c r="B194" s="384">
        <f t="shared" ref="B194:S194" si="52">AVERAGE(B168,B181)</f>
        <v>0.5</v>
      </c>
      <c r="C194" s="384">
        <f t="shared" si="52"/>
        <v>0.5</v>
      </c>
      <c r="D194" s="384">
        <f t="shared" si="52"/>
        <v>0.5</v>
      </c>
      <c r="E194" s="384">
        <f t="shared" si="52"/>
        <v>0.5</v>
      </c>
      <c r="F194" s="384">
        <f t="shared" si="52"/>
        <v>0.5</v>
      </c>
      <c r="G194" s="384">
        <f t="shared" si="52"/>
        <v>0.5</v>
      </c>
      <c r="H194" s="384">
        <f t="shared" si="52"/>
        <v>0.5</v>
      </c>
      <c r="I194" s="384">
        <f t="shared" si="52"/>
        <v>0.5</v>
      </c>
      <c r="J194" s="384">
        <f t="shared" si="52"/>
        <v>0.5</v>
      </c>
      <c r="K194" s="384">
        <f t="shared" si="52"/>
        <v>0.5</v>
      </c>
      <c r="L194" s="384">
        <f t="shared" si="52"/>
        <v>0.5</v>
      </c>
      <c r="M194" s="384">
        <f t="shared" si="52"/>
        <v>0.5</v>
      </c>
      <c r="N194" s="384">
        <f t="shared" si="52"/>
        <v>0.5</v>
      </c>
      <c r="O194" s="384">
        <f t="shared" si="52"/>
        <v>0.5</v>
      </c>
      <c r="P194" s="384">
        <f t="shared" si="52"/>
        <v>0.5</v>
      </c>
      <c r="Q194" s="384">
        <f t="shared" si="52"/>
        <v>0.5</v>
      </c>
      <c r="R194" s="384">
        <f t="shared" si="52"/>
        <v>0.5</v>
      </c>
      <c r="S194" s="385">
        <f t="shared" si="52"/>
        <v>0.5</v>
      </c>
    </row>
    <row r="195" spans="1:19" ht="12.75" customHeight="1" x14ac:dyDescent="0.2">
      <c r="A195" s="198" t="str">
        <f>"         "&amp;Labels!B318</f>
        <v xml:space="preserve">         Channels 2</v>
      </c>
      <c r="B195" s="384">
        <f t="shared" ref="B195:S195" si="53">AVERAGE(B169,B182)</f>
        <v>0.5</v>
      </c>
      <c r="C195" s="384">
        <f t="shared" si="53"/>
        <v>0.5</v>
      </c>
      <c r="D195" s="384">
        <f t="shared" si="53"/>
        <v>0.5</v>
      </c>
      <c r="E195" s="384">
        <f t="shared" si="53"/>
        <v>0.5</v>
      </c>
      <c r="F195" s="384">
        <f t="shared" si="53"/>
        <v>0.5</v>
      </c>
      <c r="G195" s="384">
        <f t="shared" si="53"/>
        <v>0.5</v>
      </c>
      <c r="H195" s="384">
        <f t="shared" si="53"/>
        <v>0.5</v>
      </c>
      <c r="I195" s="384">
        <f t="shared" si="53"/>
        <v>0.5</v>
      </c>
      <c r="J195" s="384">
        <f t="shared" si="53"/>
        <v>0.5</v>
      </c>
      <c r="K195" s="384">
        <f t="shared" si="53"/>
        <v>0.5</v>
      </c>
      <c r="L195" s="384">
        <f t="shared" si="53"/>
        <v>0.5</v>
      </c>
      <c r="M195" s="384">
        <f t="shared" si="53"/>
        <v>0.5</v>
      </c>
      <c r="N195" s="384">
        <f t="shared" si="53"/>
        <v>0.5</v>
      </c>
      <c r="O195" s="384">
        <f t="shared" si="53"/>
        <v>0.5</v>
      </c>
      <c r="P195" s="384">
        <f t="shared" si="53"/>
        <v>0.5</v>
      </c>
      <c r="Q195" s="384">
        <f t="shared" si="53"/>
        <v>0.5</v>
      </c>
      <c r="R195" s="384">
        <f t="shared" si="53"/>
        <v>0.5</v>
      </c>
      <c r="S195" s="385">
        <f t="shared" si="53"/>
        <v>0.5</v>
      </c>
    </row>
    <row r="196" spans="1:19" ht="12.75" customHeight="1" x14ac:dyDescent="0.2">
      <c r="A196" s="198" t="str">
        <f>"         "&amp;Labels!C316</f>
        <v xml:space="preserve">         Total</v>
      </c>
      <c r="B196" s="303">
        <f t="shared" ref="B196:S196" si="54">AVERAGE(B167,B180)</f>
        <v>0.5</v>
      </c>
      <c r="C196" s="303">
        <f t="shared" si="54"/>
        <v>0.5</v>
      </c>
      <c r="D196" s="303">
        <f t="shared" si="54"/>
        <v>0.5</v>
      </c>
      <c r="E196" s="303">
        <f t="shared" si="54"/>
        <v>0.5</v>
      </c>
      <c r="F196" s="303">
        <f t="shared" si="54"/>
        <v>0.5</v>
      </c>
      <c r="G196" s="303">
        <f t="shared" si="54"/>
        <v>0.5</v>
      </c>
      <c r="H196" s="303">
        <f t="shared" si="54"/>
        <v>0.5</v>
      </c>
      <c r="I196" s="303">
        <f t="shared" si="54"/>
        <v>0.5</v>
      </c>
      <c r="J196" s="303">
        <f t="shared" si="54"/>
        <v>0.5</v>
      </c>
      <c r="K196" s="303">
        <f t="shared" si="54"/>
        <v>0.5</v>
      </c>
      <c r="L196" s="303">
        <f t="shared" si="54"/>
        <v>0.5</v>
      </c>
      <c r="M196" s="303">
        <f t="shared" si="54"/>
        <v>0.5</v>
      </c>
      <c r="N196" s="303">
        <f t="shared" si="54"/>
        <v>0.5</v>
      </c>
      <c r="O196" s="303">
        <f t="shared" si="54"/>
        <v>0.5</v>
      </c>
      <c r="P196" s="303">
        <f t="shared" si="54"/>
        <v>0.5</v>
      </c>
      <c r="Q196" s="303">
        <f t="shared" si="54"/>
        <v>0.5</v>
      </c>
      <c r="R196" s="303">
        <f t="shared" si="54"/>
        <v>0.5</v>
      </c>
      <c r="S196" s="383">
        <f t="shared" si="54"/>
        <v>0.5</v>
      </c>
    </row>
    <row r="197" spans="1:19" ht="12.75" customHeight="1" x14ac:dyDescent="0.2">
      <c r="A197" s="97" t="str">
        <f>Labels!C388</f>
        <v>Total</v>
      </c>
      <c r="B197" s="387">
        <f t="shared" ref="B197:S197" si="55">AVERAGE(B144,B184)</f>
        <v>0.5</v>
      </c>
      <c r="C197" s="387">
        <f t="shared" si="55"/>
        <v>0.5</v>
      </c>
      <c r="D197" s="387">
        <f t="shared" si="55"/>
        <v>0.5</v>
      </c>
      <c r="E197" s="387">
        <f t="shared" si="55"/>
        <v>0.5</v>
      </c>
      <c r="F197" s="387">
        <f t="shared" si="55"/>
        <v>0.5</v>
      </c>
      <c r="G197" s="387">
        <f t="shared" si="55"/>
        <v>0.5</v>
      </c>
      <c r="H197" s="387">
        <f t="shared" si="55"/>
        <v>0.5</v>
      </c>
      <c r="I197" s="387">
        <f t="shared" si="55"/>
        <v>0.5</v>
      </c>
      <c r="J197" s="387">
        <f t="shared" si="55"/>
        <v>0.5</v>
      </c>
      <c r="K197" s="387">
        <f t="shared" si="55"/>
        <v>0.5</v>
      </c>
      <c r="L197" s="387">
        <f t="shared" si="55"/>
        <v>0.5</v>
      </c>
      <c r="M197" s="387">
        <f t="shared" si="55"/>
        <v>0.5</v>
      </c>
      <c r="N197" s="387">
        <f t="shared" si="55"/>
        <v>0.5</v>
      </c>
      <c r="O197" s="387">
        <f t="shared" si="55"/>
        <v>0.5</v>
      </c>
      <c r="P197" s="387">
        <f t="shared" si="55"/>
        <v>0.5</v>
      </c>
      <c r="Q197" s="387">
        <f t="shared" si="55"/>
        <v>0.5</v>
      </c>
      <c r="R197" s="387">
        <f t="shared" si="55"/>
        <v>0.5</v>
      </c>
      <c r="S197" s="388">
        <f t="shared" si="55"/>
        <v>0.5</v>
      </c>
    </row>
    <row r="198" spans="1:19" ht="12.75" customHeight="1" x14ac:dyDescent="0.2">
      <c r="A198" s="188" t="str">
        <f>"   "&amp;Labels!B381</f>
        <v xml:space="preserve">   Practice 1</v>
      </c>
      <c r="B198" s="275"/>
      <c r="C198" s="275"/>
      <c r="D198" s="275"/>
      <c r="E198" s="275"/>
      <c r="F198" s="275"/>
      <c r="G198" s="275"/>
      <c r="H198" s="275"/>
      <c r="I198" s="275"/>
      <c r="J198" s="275"/>
      <c r="K198" s="275"/>
      <c r="L198" s="275"/>
      <c r="M198" s="275"/>
      <c r="N198" s="275"/>
      <c r="O198" s="275"/>
      <c r="P198" s="275"/>
      <c r="Q198" s="275"/>
      <c r="R198" s="275"/>
      <c r="S198" s="276"/>
    </row>
    <row r="199" spans="1:19" ht="12.75" customHeight="1" x14ac:dyDescent="0.2">
      <c r="A199" s="198" t="str">
        <f>"      "&amp;Labels!B385</f>
        <v xml:space="preserve">      Prof Level 1</v>
      </c>
      <c r="B199" s="303"/>
      <c r="C199" s="303"/>
      <c r="D199" s="303"/>
      <c r="E199" s="303"/>
      <c r="F199" s="303"/>
      <c r="G199" s="303"/>
      <c r="H199" s="303"/>
      <c r="I199" s="303"/>
      <c r="J199" s="303"/>
      <c r="K199" s="303"/>
      <c r="L199" s="303"/>
      <c r="M199" s="303"/>
      <c r="N199" s="303"/>
      <c r="O199" s="303"/>
      <c r="P199" s="303"/>
      <c r="Q199" s="303"/>
      <c r="R199" s="303"/>
      <c r="S199" s="383"/>
    </row>
    <row r="200" spans="1:19" ht="12.75" customHeight="1" x14ac:dyDescent="0.2">
      <c r="A200" s="198" t="str">
        <f>"         "&amp;Labels!B317</f>
        <v xml:space="preserve">         Channels 1</v>
      </c>
      <c r="B200" s="384">
        <f t="shared" ref="B200:S200" si="56">AVERAGE(B120,B160)</f>
        <v>0.5</v>
      </c>
      <c r="C200" s="384">
        <f t="shared" si="56"/>
        <v>0.5</v>
      </c>
      <c r="D200" s="384">
        <f t="shared" si="56"/>
        <v>0.5</v>
      </c>
      <c r="E200" s="384">
        <f t="shared" si="56"/>
        <v>0.5</v>
      </c>
      <c r="F200" s="384">
        <f t="shared" si="56"/>
        <v>0.5</v>
      </c>
      <c r="G200" s="384">
        <f t="shared" si="56"/>
        <v>0.5</v>
      </c>
      <c r="H200" s="384">
        <f t="shared" si="56"/>
        <v>0.5</v>
      </c>
      <c r="I200" s="384">
        <f t="shared" si="56"/>
        <v>0.5</v>
      </c>
      <c r="J200" s="384">
        <f t="shared" si="56"/>
        <v>0.5</v>
      </c>
      <c r="K200" s="384">
        <f t="shared" si="56"/>
        <v>0.5</v>
      </c>
      <c r="L200" s="384">
        <f t="shared" si="56"/>
        <v>0.5</v>
      </c>
      <c r="M200" s="384">
        <f t="shared" si="56"/>
        <v>0.5</v>
      </c>
      <c r="N200" s="384">
        <f t="shared" si="56"/>
        <v>0.5</v>
      </c>
      <c r="O200" s="384">
        <f t="shared" si="56"/>
        <v>0.5</v>
      </c>
      <c r="P200" s="384">
        <f t="shared" si="56"/>
        <v>0.5</v>
      </c>
      <c r="Q200" s="384">
        <f t="shared" si="56"/>
        <v>0.5</v>
      </c>
      <c r="R200" s="384">
        <f t="shared" si="56"/>
        <v>0.5</v>
      </c>
      <c r="S200" s="385">
        <f t="shared" si="56"/>
        <v>0.5</v>
      </c>
    </row>
    <row r="201" spans="1:19" ht="12.75" customHeight="1" x14ac:dyDescent="0.2">
      <c r="A201" s="198" t="str">
        <f>"         "&amp;Labels!B318</f>
        <v xml:space="preserve">         Channels 2</v>
      </c>
      <c r="B201" s="384">
        <f t="shared" ref="B201:S201" si="57">AVERAGE(B121,B161)</f>
        <v>0.5</v>
      </c>
      <c r="C201" s="384">
        <f t="shared" si="57"/>
        <v>0.5</v>
      </c>
      <c r="D201" s="384">
        <f t="shared" si="57"/>
        <v>0.5</v>
      </c>
      <c r="E201" s="384">
        <f t="shared" si="57"/>
        <v>0.5</v>
      </c>
      <c r="F201" s="384">
        <f t="shared" si="57"/>
        <v>0.5</v>
      </c>
      <c r="G201" s="384">
        <f t="shared" si="57"/>
        <v>0.5</v>
      </c>
      <c r="H201" s="384">
        <f t="shared" si="57"/>
        <v>0.5</v>
      </c>
      <c r="I201" s="384">
        <f t="shared" si="57"/>
        <v>0.5</v>
      </c>
      <c r="J201" s="384">
        <f t="shared" si="57"/>
        <v>0.5</v>
      </c>
      <c r="K201" s="384">
        <f t="shared" si="57"/>
        <v>0.5</v>
      </c>
      <c r="L201" s="384">
        <f t="shared" si="57"/>
        <v>0.5</v>
      </c>
      <c r="M201" s="384">
        <f t="shared" si="57"/>
        <v>0.5</v>
      </c>
      <c r="N201" s="384">
        <f t="shared" si="57"/>
        <v>0.5</v>
      </c>
      <c r="O201" s="384">
        <f t="shared" si="57"/>
        <v>0.5</v>
      </c>
      <c r="P201" s="384">
        <f t="shared" si="57"/>
        <v>0.5</v>
      </c>
      <c r="Q201" s="384">
        <f t="shared" si="57"/>
        <v>0.5</v>
      </c>
      <c r="R201" s="384">
        <f t="shared" si="57"/>
        <v>0.5</v>
      </c>
      <c r="S201" s="385">
        <f t="shared" si="57"/>
        <v>0.5</v>
      </c>
    </row>
    <row r="202" spans="1:19" ht="12.75" customHeight="1" x14ac:dyDescent="0.2">
      <c r="A202" s="198" t="str">
        <f>"         "&amp;Labels!C316</f>
        <v xml:space="preserve">         Total</v>
      </c>
      <c r="B202" s="303">
        <f t="shared" ref="B202:S202" si="58">AVERAGE(B122,B162)</f>
        <v>0.5</v>
      </c>
      <c r="C202" s="303">
        <f t="shared" si="58"/>
        <v>0.5</v>
      </c>
      <c r="D202" s="303">
        <f t="shared" si="58"/>
        <v>0.5</v>
      </c>
      <c r="E202" s="303">
        <f t="shared" si="58"/>
        <v>0.5</v>
      </c>
      <c r="F202" s="303">
        <f t="shared" si="58"/>
        <v>0.5</v>
      </c>
      <c r="G202" s="303">
        <f t="shared" si="58"/>
        <v>0.5</v>
      </c>
      <c r="H202" s="303">
        <f t="shared" si="58"/>
        <v>0.5</v>
      </c>
      <c r="I202" s="303">
        <f t="shared" si="58"/>
        <v>0.5</v>
      </c>
      <c r="J202" s="303">
        <f t="shared" si="58"/>
        <v>0.5</v>
      </c>
      <c r="K202" s="303">
        <f t="shared" si="58"/>
        <v>0.5</v>
      </c>
      <c r="L202" s="303">
        <f t="shared" si="58"/>
        <v>0.5</v>
      </c>
      <c r="M202" s="303">
        <f t="shared" si="58"/>
        <v>0.5</v>
      </c>
      <c r="N202" s="303">
        <f t="shared" si="58"/>
        <v>0.5</v>
      </c>
      <c r="O202" s="303">
        <f t="shared" si="58"/>
        <v>0.5</v>
      </c>
      <c r="P202" s="303">
        <f t="shared" si="58"/>
        <v>0.5</v>
      </c>
      <c r="Q202" s="303">
        <f t="shared" si="58"/>
        <v>0.5</v>
      </c>
      <c r="R202" s="303">
        <f t="shared" si="58"/>
        <v>0.5</v>
      </c>
      <c r="S202" s="383">
        <f t="shared" si="58"/>
        <v>0.5</v>
      </c>
    </row>
    <row r="203" spans="1:19" ht="12.75" customHeight="1" x14ac:dyDescent="0.2">
      <c r="A203" s="198" t="str">
        <f>"      "&amp;Labels!B386</f>
        <v xml:space="preserve">      Prof Level 2</v>
      </c>
      <c r="B203" s="303"/>
      <c r="C203" s="303"/>
      <c r="D203" s="303"/>
      <c r="E203" s="303"/>
      <c r="F203" s="303"/>
      <c r="G203" s="303"/>
      <c r="H203" s="303"/>
      <c r="I203" s="303"/>
      <c r="J203" s="303"/>
      <c r="K203" s="303"/>
      <c r="L203" s="303"/>
      <c r="M203" s="303"/>
      <c r="N203" s="303"/>
      <c r="O203" s="303"/>
      <c r="P203" s="303"/>
      <c r="Q203" s="303"/>
      <c r="R203" s="303"/>
      <c r="S203" s="383"/>
    </row>
    <row r="204" spans="1:19" ht="12.75" customHeight="1" x14ac:dyDescent="0.2">
      <c r="A204" s="198" t="str">
        <f>"         "&amp;Labels!B317</f>
        <v xml:space="preserve">         Channels 1</v>
      </c>
      <c r="B204" s="384">
        <f t="shared" ref="B204:S204" si="59">AVERAGE(B124,B164)</f>
        <v>0.5</v>
      </c>
      <c r="C204" s="384">
        <f t="shared" si="59"/>
        <v>0.5</v>
      </c>
      <c r="D204" s="384">
        <f t="shared" si="59"/>
        <v>0.5</v>
      </c>
      <c r="E204" s="384">
        <f t="shared" si="59"/>
        <v>0.5</v>
      </c>
      <c r="F204" s="384">
        <f t="shared" si="59"/>
        <v>0.5</v>
      </c>
      <c r="G204" s="384">
        <f t="shared" si="59"/>
        <v>0.5</v>
      </c>
      <c r="H204" s="384">
        <f t="shared" si="59"/>
        <v>0.5</v>
      </c>
      <c r="I204" s="384">
        <f t="shared" si="59"/>
        <v>0.5</v>
      </c>
      <c r="J204" s="384">
        <f t="shared" si="59"/>
        <v>0.5</v>
      </c>
      <c r="K204" s="384">
        <f t="shared" si="59"/>
        <v>0.5</v>
      </c>
      <c r="L204" s="384">
        <f t="shared" si="59"/>
        <v>0.5</v>
      </c>
      <c r="M204" s="384">
        <f t="shared" si="59"/>
        <v>0.5</v>
      </c>
      <c r="N204" s="384">
        <f t="shared" si="59"/>
        <v>0.5</v>
      </c>
      <c r="O204" s="384">
        <f t="shared" si="59"/>
        <v>0.5</v>
      </c>
      <c r="P204" s="384">
        <f t="shared" si="59"/>
        <v>0.5</v>
      </c>
      <c r="Q204" s="384">
        <f t="shared" si="59"/>
        <v>0.5</v>
      </c>
      <c r="R204" s="384">
        <f t="shared" si="59"/>
        <v>0.5</v>
      </c>
      <c r="S204" s="385">
        <f t="shared" si="59"/>
        <v>0.5</v>
      </c>
    </row>
    <row r="205" spans="1:19" ht="12.75" customHeight="1" x14ac:dyDescent="0.2">
      <c r="A205" s="198" t="str">
        <f>"         "&amp;Labels!B318</f>
        <v xml:space="preserve">         Channels 2</v>
      </c>
      <c r="B205" s="384">
        <f t="shared" ref="B205:S205" si="60">AVERAGE(B125,B165)</f>
        <v>0.5</v>
      </c>
      <c r="C205" s="384">
        <f t="shared" si="60"/>
        <v>0.5</v>
      </c>
      <c r="D205" s="384">
        <f t="shared" si="60"/>
        <v>0.5</v>
      </c>
      <c r="E205" s="384">
        <f t="shared" si="60"/>
        <v>0.5</v>
      </c>
      <c r="F205" s="384">
        <f t="shared" si="60"/>
        <v>0.5</v>
      </c>
      <c r="G205" s="384">
        <f t="shared" si="60"/>
        <v>0.5</v>
      </c>
      <c r="H205" s="384">
        <f t="shared" si="60"/>
        <v>0.5</v>
      </c>
      <c r="I205" s="384">
        <f t="shared" si="60"/>
        <v>0.5</v>
      </c>
      <c r="J205" s="384">
        <f t="shared" si="60"/>
        <v>0.5</v>
      </c>
      <c r="K205" s="384">
        <f t="shared" si="60"/>
        <v>0.5</v>
      </c>
      <c r="L205" s="384">
        <f t="shared" si="60"/>
        <v>0.5</v>
      </c>
      <c r="M205" s="384">
        <f t="shared" si="60"/>
        <v>0.5</v>
      </c>
      <c r="N205" s="384">
        <f t="shared" si="60"/>
        <v>0.5</v>
      </c>
      <c r="O205" s="384">
        <f t="shared" si="60"/>
        <v>0.5</v>
      </c>
      <c r="P205" s="384">
        <f t="shared" si="60"/>
        <v>0.5</v>
      </c>
      <c r="Q205" s="384">
        <f t="shared" si="60"/>
        <v>0.5</v>
      </c>
      <c r="R205" s="384">
        <f t="shared" si="60"/>
        <v>0.5</v>
      </c>
      <c r="S205" s="385">
        <f t="shared" si="60"/>
        <v>0.5</v>
      </c>
    </row>
    <row r="206" spans="1:19" ht="12.75" customHeight="1" x14ac:dyDescent="0.2">
      <c r="A206" s="198" t="str">
        <f>"         "&amp;Labels!C316</f>
        <v xml:space="preserve">         Total</v>
      </c>
      <c r="B206" s="303">
        <f t="shared" ref="B206:S206" si="61">AVERAGE(B126,B166)</f>
        <v>0.5</v>
      </c>
      <c r="C206" s="303">
        <f t="shared" si="61"/>
        <v>0.5</v>
      </c>
      <c r="D206" s="303">
        <f t="shared" si="61"/>
        <v>0.5</v>
      </c>
      <c r="E206" s="303">
        <f t="shared" si="61"/>
        <v>0.5</v>
      </c>
      <c r="F206" s="303">
        <f t="shared" si="61"/>
        <v>0.5</v>
      </c>
      <c r="G206" s="303">
        <f t="shared" si="61"/>
        <v>0.5</v>
      </c>
      <c r="H206" s="303">
        <f t="shared" si="61"/>
        <v>0.5</v>
      </c>
      <c r="I206" s="303">
        <f t="shared" si="61"/>
        <v>0.5</v>
      </c>
      <c r="J206" s="303">
        <f t="shared" si="61"/>
        <v>0.5</v>
      </c>
      <c r="K206" s="303">
        <f t="shared" si="61"/>
        <v>0.5</v>
      </c>
      <c r="L206" s="303">
        <f t="shared" si="61"/>
        <v>0.5</v>
      </c>
      <c r="M206" s="303">
        <f t="shared" si="61"/>
        <v>0.5</v>
      </c>
      <c r="N206" s="303">
        <f t="shared" si="61"/>
        <v>0.5</v>
      </c>
      <c r="O206" s="303">
        <f t="shared" si="61"/>
        <v>0.5</v>
      </c>
      <c r="P206" s="303">
        <f t="shared" si="61"/>
        <v>0.5</v>
      </c>
      <c r="Q206" s="303">
        <f t="shared" si="61"/>
        <v>0.5</v>
      </c>
      <c r="R206" s="303">
        <f t="shared" si="61"/>
        <v>0.5</v>
      </c>
      <c r="S206" s="383">
        <f t="shared" si="61"/>
        <v>0.5</v>
      </c>
    </row>
    <row r="207" spans="1:19" ht="12.75" customHeight="1" x14ac:dyDescent="0.2">
      <c r="A207" s="188" t="str">
        <f>"      "&amp;Labels!C384</f>
        <v xml:space="preserve">      Total</v>
      </c>
      <c r="B207" s="275">
        <f t="shared" ref="B207:S207" si="62">AVERAGE(B127,B167)</f>
        <v>0.5</v>
      </c>
      <c r="C207" s="275">
        <f t="shared" si="62"/>
        <v>0.5</v>
      </c>
      <c r="D207" s="275">
        <f t="shared" si="62"/>
        <v>0.5</v>
      </c>
      <c r="E207" s="275">
        <f t="shared" si="62"/>
        <v>0.5</v>
      </c>
      <c r="F207" s="275">
        <f t="shared" si="62"/>
        <v>0.5</v>
      </c>
      <c r="G207" s="275">
        <f t="shared" si="62"/>
        <v>0.5</v>
      </c>
      <c r="H207" s="275">
        <f t="shared" si="62"/>
        <v>0.5</v>
      </c>
      <c r="I207" s="275">
        <f t="shared" si="62"/>
        <v>0.5</v>
      </c>
      <c r="J207" s="275">
        <f t="shared" si="62"/>
        <v>0.5</v>
      </c>
      <c r="K207" s="275">
        <f t="shared" si="62"/>
        <v>0.5</v>
      </c>
      <c r="L207" s="275">
        <f t="shared" si="62"/>
        <v>0.5</v>
      </c>
      <c r="M207" s="275">
        <f t="shared" si="62"/>
        <v>0.5</v>
      </c>
      <c r="N207" s="275">
        <f t="shared" si="62"/>
        <v>0.5</v>
      </c>
      <c r="O207" s="275">
        <f t="shared" si="62"/>
        <v>0.5</v>
      </c>
      <c r="P207" s="275">
        <f t="shared" si="62"/>
        <v>0.5</v>
      </c>
      <c r="Q207" s="275">
        <f t="shared" si="62"/>
        <v>0.5</v>
      </c>
      <c r="R207" s="275">
        <f t="shared" si="62"/>
        <v>0.5</v>
      </c>
      <c r="S207" s="276">
        <f t="shared" si="62"/>
        <v>0.5</v>
      </c>
    </row>
    <row r="208" spans="1:19" ht="12.75" customHeight="1" x14ac:dyDescent="0.2">
      <c r="A208" s="198" t="str">
        <f>"         "&amp;Labels!B317</f>
        <v xml:space="preserve">         Channels 1</v>
      </c>
      <c r="B208" s="384">
        <f t="shared" ref="B208:S208" si="63">AVERAGE(B128,B168)</f>
        <v>0.5</v>
      </c>
      <c r="C208" s="384">
        <f t="shared" si="63"/>
        <v>0.5</v>
      </c>
      <c r="D208" s="384">
        <f t="shared" si="63"/>
        <v>0.5</v>
      </c>
      <c r="E208" s="384">
        <f t="shared" si="63"/>
        <v>0.5</v>
      </c>
      <c r="F208" s="384">
        <f t="shared" si="63"/>
        <v>0.5</v>
      </c>
      <c r="G208" s="384">
        <f t="shared" si="63"/>
        <v>0.5</v>
      </c>
      <c r="H208" s="384">
        <f t="shared" si="63"/>
        <v>0.5</v>
      </c>
      <c r="I208" s="384">
        <f t="shared" si="63"/>
        <v>0.5</v>
      </c>
      <c r="J208" s="384">
        <f t="shared" si="63"/>
        <v>0.5</v>
      </c>
      <c r="K208" s="384">
        <f t="shared" si="63"/>
        <v>0.5</v>
      </c>
      <c r="L208" s="384">
        <f t="shared" si="63"/>
        <v>0.5</v>
      </c>
      <c r="M208" s="384">
        <f t="shared" si="63"/>
        <v>0.5</v>
      </c>
      <c r="N208" s="384">
        <f t="shared" si="63"/>
        <v>0.5</v>
      </c>
      <c r="O208" s="384">
        <f t="shared" si="63"/>
        <v>0.5</v>
      </c>
      <c r="P208" s="384">
        <f t="shared" si="63"/>
        <v>0.5</v>
      </c>
      <c r="Q208" s="384">
        <f t="shared" si="63"/>
        <v>0.5</v>
      </c>
      <c r="R208" s="384">
        <f t="shared" si="63"/>
        <v>0.5</v>
      </c>
      <c r="S208" s="385">
        <f t="shared" si="63"/>
        <v>0.5</v>
      </c>
    </row>
    <row r="209" spans="1:19" ht="12.75" customHeight="1" x14ac:dyDescent="0.2">
      <c r="A209" s="198" t="str">
        <f>"         "&amp;Labels!B318</f>
        <v xml:space="preserve">         Channels 2</v>
      </c>
      <c r="B209" s="384">
        <f t="shared" ref="B209:S209" si="64">AVERAGE(B129,B169)</f>
        <v>0.5</v>
      </c>
      <c r="C209" s="384">
        <f t="shared" si="64"/>
        <v>0.5</v>
      </c>
      <c r="D209" s="384">
        <f t="shared" si="64"/>
        <v>0.5</v>
      </c>
      <c r="E209" s="384">
        <f t="shared" si="64"/>
        <v>0.5</v>
      </c>
      <c r="F209" s="384">
        <f t="shared" si="64"/>
        <v>0.5</v>
      </c>
      <c r="G209" s="384">
        <f t="shared" si="64"/>
        <v>0.5</v>
      </c>
      <c r="H209" s="384">
        <f t="shared" si="64"/>
        <v>0.5</v>
      </c>
      <c r="I209" s="384">
        <f t="shared" si="64"/>
        <v>0.5</v>
      </c>
      <c r="J209" s="384">
        <f t="shared" si="64"/>
        <v>0.5</v>
      </c>
      <c r="K209" s="384">
        <f t="shared" si="64"/>
        <v>0.5</v>
      </c>
      <c r="L209" s="384">
        <f t="shared" si="64"/>
        <v>0.5</v>
      </c>
      <c r="M209" s="384">
        <f t="shared" si="64"/>
        <v>0.5</v>
      </c>
      <c r="N209" s="384">
        <f t="shared" si="64"/>
        <v>0.5</v>
      </c>
      <c r="O209" s="384">
        <f t="shared" si="64"/>
        <v>0.5</v>
      </c>
      <c r="P209" s="384">
        <f t="shared" si="64"/>
        <v>0.5</v>
      </c>
      <c r="Q209" s="384">
        <f t="shared" si="64"/>
        <v>0.5</v>
      </c>
      <c r="R209" s="384">
        <f t="shared" si="64"/>
        <v>0.5</v>
      </c>
      <c r="S209" s="385">
        <f t="shared" si="64"/>
        <v>0.5</v>
      </c>
    </row>
    <row r="210" spans="1:19" ht="12.75" customHeight="1" x14ac:dyDescent="0.2">
      <c r="A210" s="198" t="str">
        <f>"         "&amp;Labels!C316</f>
        <v xml:space="preserve">         Total</v>
      </c>
      <c r="B210" s="303">
        <f t="shared" ref="B210:S210" si="65">AVERAGE(B127,B167)</f>
        <v>0.5</v>
      </c>
      <c r="C210" s="303">
        <f t="shared" si="65"/>
        <v>0.5</v>
      </c>
      <c r="D210" s="303">
        <f t="shared" si="65"/>
        <v>0.5</v>
      </c>
      <c r="E210" s="303">
        <f t="shared" si="65"/>
        <v>0.5</v>
      </c>
      <c r="F210" s="303">
        <f t="shared" si="65"/>
        <v>0.5</v>
      </c>
      <c r="G210" s="303">
        <f t="shared" si="65"/>
        <v>0.5</v>
      </c>
      <c r="H210" s="303">
        <f t="shared" si="65"/>
        <v>0.5</v>
      </c>
      <c r="I210" s="303">
        <f t="shared" si="65"/>
        <v>0.5</v>
      </c>
      <c r="J210" s="303">
        <f t="shared" si="65"/>
        <v>0.5</v>
      </c>
      <c r="K210" s="303">
        <f t="shared" si="65"/>
        <v>0.5</v>
      </c>
      <c r="L210" s="303">
        <f t="shared" si="65"/>
        <v>0.5</v>
      </c>
      <c r="M210" s="303">
        <f t="shared" si="65"/>
        <v>0.5</v>
      </c>
      <c r="N210" s="303">
        <f t="shared" si="65"/>
        <v>0.5</v>
      </c>
      <c r="O210" s="303">
        <f t="shared" si="65"/>
        <v>0.5</v>
      </c>
      <c r="P210" s="303">
        <f t="shared" si="65"/>
        <v>0.5</v>
      </c>
      <c r="Q210" s="303">
        <f t="shared" si="65"/>
        <v>0.5</v>
      </c>
      <c r="R210" s="303">
        <f t="shared" si="65"/>
        <v>0.5</v>
      </c>
      <c r="S210" s="383">
        <f t="shared" si="65"/>
        <v>0.5</v>
      </c>
    </row>
    <row r="211" spans="1:19" ht="12.75" customHeight="1" x14ac:dyDescent="0.2">
      <c r="A211" s="188" t="str">
        <f>"   "&amp;Labels!B382</f>
        <v xml:space="preserve">   Practice 2</v>
      </c>
      <c r="B211" s="275"/>
      <c r="C211" s="275"/>
      <c r="D211" s="275"/>
      <c r="E211" s="275"/>
      <c r="F211" s="275"/>
      <c r="G211" s="275"/>
      <c r="H211" s="275"/>
      <c r="I211" s="275"/>
      <c r="J211" s="275"/>
      <c r="K211" s="275"/>
      <c r="L211" s="275"/>
      <c r="M211" s="275"/>
      <c r="N211" s="275"/>
      <c r="O211" s="275"/>
      <c r="P211" s="275"/>
      <c r="Q211" s="275"/>
      <c r="R211" s="275"/>
      <c r="S211" s="276"/>
    </row>
    <row r="212" spans="1:19" ht="12.75" customHeight="1" x14ac:dyDescent="0.2">
      <c r="A212" s="198" t="str">
        <f>"      "&amp;Labels!B385</f>
        <v xml:space="preserve">      Prof Level 1</v>
      </c>
      <c r="B212" s="303"/>
      <c r="C212" s="303"/>
      <c r="D212" s="303"/>
      <c r="E212" s="303"/>
      <c r="F212" s="303"/>
      <c r="G212" s="303"/>
      <c r="H212" s="303"/>
      <c r="I212" s="303"/>
      <c r="J212" s="303"/>
      <c r="K212" s="303"/>
      <c r="L212" s="303"/>
      <c r="M212" s="303"/>
      <c r="N212" s="303"/>
      <c r="O212" s="303"/>
      <c r="P212" s="303"/>
      <c r="Q212" s="303"/>
      <c r="R212" s="303"/>
      <c r="S212" s="383"/>
    </row>
    <row r="213" spans="1:19" ht="12.75" customHeight="1" x14ac:dyDescent="0.2">
      <c r="A213" s="198" t="str">
        <f>"         "&amp;Labels!B317</f>
        <v xml:space="preserve">         Channels 1</v>
      </c>
      <c r="B213" s="384">
        <f t="shared" ref="B213:S213" si="66">AVERAGE(B133,B173)</f>
        <v>0.5</v>
      </c>
      <c r="C213" s="384">
        <f t="shared" si="66"/>
        <v>0.5</v>
      </c>
      <c r="D213" s="384">
        <f t="shared" si="66"/>
        <v>0.5</v>
      </c>
      <c r="E213" s="384">
        <f t="shared" si="66"/>
        <v>0.5</v>
      </c>
      <c r="F213" s="384">
        <f t="shared" si="66"/>
        <v>0.5</v>
      </c>
      <c r="G213" s="384">
        <f t="shared" si="66"/>
        <v>0.5</v>
      </c>
      <c r="H213" s="384">
        <f t="shared" si="66"/>
        <v>0.5</v>
      </c>
      <c r="I213" s="384">
        <f t="shared" si="66"/>
        <v>0.5</v>
      </c>
      <c r="J213" s="384">
        <f t="shared" si="66"/>
        <v>0.5</v>
      </c>
      <c r="K213" s="384">
        <f t="shared" si="66"/>
        <v>0.5</v>
      </c>
      <c r="L213" s="384">
        <f t="shared" si="66"/>
        <v>0.5</v>
      </c>
      <c r="M213" s="384">
        <f t="shared" si="66"/>
        <v>0.5</v>
      </c>
      <c r="N213" s="384">
        <f t="shared" si="66"/>
        <v>0.5</v>
      </c>
      <c r="O213" s="384">
        <f t="shared" si="66"/>
        <v>0.5</v>
      </c>
      <c r="P213" s="384">
        <f t="shared" si="66"/>
        <v>0.5</v>
      </c>
      <c r="Q213" s="384">
        <f t="shared" si="66"/>
        <v>0.5</v>
      </c>
      <c r="R213" s="384">
        <f t="shared" si="66"/>
        <v>0.5</v>
      </c>
      <c r="S213" s="385">
        <f t="shared" si="66"/>
        <v>0.5</v>
      </c>
    </row>
    <row r="214" spans="1:19" ht="12.75" customHeight="1" x14ac:dyDescent="0.2">
      <c r="A214" s="198" t="str">
        <f>"         "&amp;Labels!B318</f>
        <v xml:space="preserve">         Channels 2</v>
      </c>
      <c r="B214" s="384">
        <f t="shared" ref="B214:S214" si="67">AVERAGE(B134,B174)</f>
        <v>0.5</v>
      </c>
      <c r="C214" s="384">
        <f t="shared" si="67"/>
        <v>0.5</v>
      </c>
      <c r="D214" s="384">
        <f t="shared" si="67"/>
        <v>0.5</v>
      </c>
      <c r="E214" s="384">
        <f t="shared" si="67"/>
        <v>0.5</v>
      </c>
      <c r="F214" s="384">
        <f t="shared" si="67"/>
        <v>0.5</v>
      </c>
      <c r="G214" s="384">
        <f t="shared" si="67"/>
        <v>0.5</v>
      </c>
      <c r="H214" s="384">
        <f t="shared" si="67"/>
        <v>0.5</v>
      </c>
      <c r="I214" s="384">
        <f t="shared" si="67"/>
        <v>0.5</v>
      </c>
      <c r="J214" s="384">
        <f t="shared" si="67"/>
        <v>0.5</v>
      </c>
      <c r="K214" s="384">
        <f t="shared" si="67"/>
        <v>0.5</v>
      </c>
      <c r="L214" s="384">
        <f t="shared" si="67"/>
        <v>0.5</v>
      </c>
      <c r="M214" s="384">
        <f t="shared" si="67"/>
        <v>0.5</v>
      </c>
      <c r="N214" s="384">
        <f t="shared" si="67"/>
        <v>0.5</v>
      </c>
      <c r="O214" s="384">
        <f t="shared" si="67"/>
        <v>0.5</v>
      </c>
      <c r="P214" s="384">
        <f t="shared" si="67"/>
        <v>0.5</v>
      </c>
      <c r="Q214" s="384">
        <f t="shared" si="67"/>
        <v>0.5</v>
      </c>
      <c r="R214" s="384">
        <f t="shared" si="67"/>
        <v>0.5</v>
      </c>
      <c r="S214" s="385">
        <f t="shared" si="67"/>
        <v>0.5</v>
      </c>
    </row>
    <row r="215" spans="1:19" ht="12.75" customHeight="1" x14ac:dyDescent="0.2">
      <c r="A215" s="198" t="str">
        <f>"         "&amp;Labels!C316</f>
        <v xml:space="preserve">         Total</v>
      </c>
      <c r="B215" s="303">
        <f t="shared" ref="B215:S215" si="68">AVERAGE(B135,B175)</f>
        <v>0.5</v>
      </c>
      <c r="C215" s="303">
        <f t="shared" si="68"/>
        <v>0.5</v>
      </c>
      <c r="D215" s="303">
        <f t="shared" si="68"/>
        <v>0.5</v>
      </c>
      <c r="E215" s="303">
        <f t="shared" si="68"/>
        <v>0.5</v>
      </c>
      <c r="F215" s="303">
        <f t="shared" si="68"/>
        <v>0.5</v>
      </c>
      <c r="G215" s="303">
        <f t="shared" si="68"/>
        <v>0.5</v>
      </c>
      <c r="H215" s="303">
        <f t="shared" si="68"/>
        <v>0.5</v>
      </c>
      <c r="I215" s="303">
        <f t="shared" si="68"/>
        <v>0.5</v>
      </c>
      <c r="J215" s="303">
        <f t="shared" si="68"/>
        <v>0.5</v>
      </c>
      <c r="K215" s="303">
        <f t="shared" si="68"/>
        <v>0.5</v>
      </c>
      <c r="L215" s="303">
        <f t="shared" si="68"/>
        <v>0.5</v>
      </c>
      <c r="M215" s="303">
        <f t="shared" si="68"/>
        <v>0.5</v>
      </c>
      <c r="N215" s="303">
        <f t="shared" si="68"/>
        <v>0.5</v>
      </c>
      <c r="O215" s="303">
        <f t="shared" si="68"/>
        <v>0.5</v>
      </c>
      <c r="P215" s="303">
        <f t="shared" si="68"/>
        <v>0.5</v>
      </c>
      <c r="Q215" s="303">
        <f t="shared" si="68"/>
        <v>0.5</v>
      </c>
      <c r="R215" s="303">
        <f t="shared" si="68"/>
        <v>0.5</v>
      </c>
      <c r="S215" s="383">
        <f t="shared" si="68"/>
        <v>0.5</v>
      </c>
    </row>
    <row r="216" spans="1:19" ht="12.75" customHeight="1" x14ac:dyDescent="0.2">
      <c r="A216" s="198" t="str">
        <f>"      "&amp;Labels!B386</f>
        <v xml:space="preserve">      Prof Level 2</v>
      </c>
      <c r="B216" s="303"/>
      <c r="C216" s="303"/>
      <c r="D216" s="303"/>
      <c r="E216" s="303"/>
      <c r="F216" s="303"/>
      <c r="G216" s="303"/>
      <c r="H216" s="303"/>
      <c r="I216" s="303"/>
      <c r="J216" s="303"/>
      <c r="K216" s="303"/>
      <c r="L216" s="303"/>
      <c r="M216" s="303"/>
      <c r="N216" s="303"/>
      <c r="O216" s="303"/>
      <c r="P216" s="303"/>
      <c r="Q216" s="303"/>
      <c r="R216" s="303"/>
      <c r="S216" s="383"/>
    </row>
    <row r="217" spans="1:19" ht="12.75" customHeight="1" x14ac:dyDescent="0.2">
      <c r="A217" s="198" t="str">
        <f>"         "&amp;Labels!B317</f>
        <v xml:space="preserve">         Channels 1</v>
      </c>
      <c r="B217" s="384">
        <f t="shared" ref="B217:S217" si="69">AVERAGE(B137,B177)</f>
        <v>0.5</v>
      </c>
      <c r="C217" s="384">
        <f t="shared" si="69"/>
        <v>0.5</v>
      </c>
      <c r="D217" s="384">
        <f t="shared" si="69"/>
        <v>0.5</v>
      </c>
      <c r="E217" s="384">
        <f t="shared" si="69"/>
        <v>0.5</v>
      </c>
      <c r="F217" s="384">
        <f t="shared" si="69"/>
        <v>0.5</v>
      </c>
      <c r="G217" s="384">
        <f t="shared" si="69"/>
        <v>0.5</v>
      </c>
      <c r="H217" s="384">
        <f t="shared" si="69"/>
        <v>0.5</v>
      </c>
      <c r="I217" s="384">
        <f t="shared" si="69"/>
        <v>0.5</v>
      </c>
      <c r="J217" s="384">
        <f t="shared" si="69"/>
        <v>0.5</v>
      </c>
      <c r="K217" s="384">
        <f t="shared" si="69"/>
        <v>0.5</v>
      </c>
      <c r="L217" s="384">
        <f t="shared" si="69"/>
        <v>0.5</v>
      </c>
      <c r="M217" s="384">
        <f t="shared" si="69"/>
        <v>0.5</v>
      </c>
      <c r="N217" s="384">
        <f t="shared" si="69"/>
        <v>0.5</v>
      </c>
      <c r="O217" s="384">
        <f t="shared" si="69"/>
        <v>0.5</v>
      </c>
      <c r="P217" s="384">
        <f t="shared" si="69"/>
        <v>0.5</v>
      </c>
      <c r="Q217" s="384">
        <f t="shared" si="69"/>
        <v>0.5</v>
      </c>
      <c r="R217" s="384">
        <f t="shared" si="69"/>
        <v>0.5</v>
      </c>
      <c r="S217" s="385">
        <f t="shared" si="69"/>
        <v>0.5</v>
      </c>
    </row>
    <row r="218" spans="1:19" ht="12.75" customHeight="1" x14ac:dyDescent="0.2">
      <c r="A218" s="198" t="str">
        <f>"         "&amp;Labels!B318</f>
        <v xml:space="preserve">         Channels 2</v>
      </c>
      <c r="B218" s="384">
        <f t="shared" ref="B218:S218" si="70">AVERAGE(B138,B178)</f>
        <v>0.5</v>
      </c>
      <c r="C218" s="384">
        <f t="shared" si="70"/>
        <v>0.5</v>
      </c>
      <c r="D218" s="384">
        <f t="shared" si="70"/>
        <v>0.5</v>
      </c>
      <c r="E218" s="384">
        <f t="shared" si="70"/>
        <v>0.5</v>
      </c>
      <c r="F218" s="384">
        <f t="shared" si="70"/>
        <v>0.5</v>
      </c>
      <c r="G218" s="384">
        <f t="shared" si="70"/>
        <v>0.5</v>
      </c>
      <c r="H218" s="384">
        <f t="shared" si="70"/>
        <v>0.5</v>
      </c>
      <c r="I218" s="384">
        <f t="shared" si="70"/>
        <v>0.5</v>
      </c>
      <c r="J218" s="384">
        <f t="shared" si="70"/>
        <v>0.5</v>
      </c>
      <c r="K218" s="384">
        <f t="shared" si="70"/>
        <v>0.5</v>
      </c>
      <c r="L218" s="384">
        <f t="shared" si="70"/>
        <v>0.5</v>
      </c>
      <c r="M218" s="384">
        <f t="shared" si="70"/>
        <v>0.5</v>
      </c>
      <c r="N218" s="384">
        <f t="shared" si="70"/>
        <v>0.5</v>
      </c>
      <c r="O218" s="384">
        <f t="shared" si="70"/>
        <v>0.5</v>
      </c>
      <c r="P218" s="384">
        <f t="shared" si="70"/>
        <v>0.5</v>
      </c>
      <c r="Q218" s="384">
        <f t="shared" si="70"/>
        <v>0.5</v>
      </c>
      <c r="R218" s="384">
        <f t="shared" si="70"/>
        <v>0.5</v>
      </c>
      <c r="S218" s="385">
        <f t="shared" si="70"/>
        <v>0.5</v>
      </c>
    </row>
    <row r="219" spans="1:19" ht="12.75" customHeight="1" x14ac:dyDescent="0.2">
      <c r="A219" s="198" t="str">
        <f>"         "&amp;Labels!C316</f>
        <v xml:space="preserve">         Total</v>
      </c>
      <c r="B219" s="303">
        <f t="shared" ref="B219:S219" si="71">AVERAGE(B139,B179)</f>
        <v>0.5</v>
      </c>
      <c r="C219" s="303">
        <f t="shared" si="71"/>
        <v>0.5</v>
      </c>
      <c r="D219" s="303">
        <f t="shared" si="71"/>
        <v>0.5</v>
      </c>
      <c r="E219" s="303">
        <f t="shared" si="71"/>
        <v>0.5</v>
      </c>
      <c r="F219" s="303">
        <f t="shared" si="71"/>
        <v>0.5</v>
      </c>
      <c r="G219" s="303">
        <f t="shared" si="71"/>
        <v>0.5</v>
      </c>
      <c r="H219" s="303">
        <f t="shared" si="71"/>
        <v>0.5</v>
      </c>
      <c r="I219" s="303">
        <f t="shared" si="71"/>
        <v>0.5</v>
      </c>
      <c r="J219" s="303">
        <f t="shared" si="71"/>
        <v>0.5</v>
      </c>
      <c r="K219" s="303">
        <f t="shared" si="71"/>
        <v>0.5</v>
      </c>
      <c r="L219" s="303">
        <f t="shared" si="71"/>
        <v>0.5</v>
      </c>
      <c r="M219" s="303">
        <f t="shared" si="71"/>
        <v>0.5</v>
      </c>
      <c r="N219" s="303">
        <f t="shared" si="71"/>
        <v>0.5</v>
      </c>
      <c r="O219" s="303">
        <f t="shared" si="71"/>
        <v>0.5</v>
      </c>
      <c r="P219" s="303">
        <f t="shared" si="71"/>
        <v>0.5</v>
      </c>
      <c r="Q219" s="303">
        <f t="shared" si="71"/>
        <v>0.5</v>
      </c>
      <c r="R219" s="303">
        <f t="shared" si="71"/>
        <v>0.5</v>
      </c>
      <c r="S219" s="383">
        <f t="shared" si="71"/>
        <v>0.5</v>
      </c>
    </row>
    <row r="220" spans="1:19" ht="12.75" customHeight="1" x14ac:dyDescent="0.2">
      <c r="A220" s="188" t="str">
        <f>"      "&amp;Labels!C384</f>
        <v xml:space="preserve">      Total</v>
      </c>
      <c r="B220" s="275">
        <f t="shared" ref="B220:S220" si="72">AVERAGE(B140,B180)</f>
        <v>0.5</v>
      </c>
      <c r="C220" s="275">
        <f t="shared" si="72"/>
        <v>0.5</v>
      </c>
      <c r="D220" s="275">
        <f t="shared" si="72"/>
        <v>0.5</v>
      </c>
      <c r="E220" s="275">
        <f t="shared" si="72"/>
        <v>0.5</v>
      </c>
      <c r="F220" s="275">
        <f t="shared" si="72"/>
        <v>0.5</v>
      </c>
      <c r="G220" s="275">
        <f t="shared" si="72"/>
        <v>0.5</v>
      </c>
      <c r="H220" s="275">
        <f t="shared" si="72"/>
        <v>0.5</v>
      </c>
      <c r="I220" s="275">
        <f t="shared" si="72"/>
        <v>0.5</v>
      </c>
      <c r="J220" s="275">
        <f t="shared" si="72"/>
        <v>0.5</v>
      </c>
      <c r="K220" s="275">
        <f t="shared" si="72"/>
        <v>0.5</v>
      </c>
      <c r="L220" s="275">
        <f t="shared" si="72"/>
        <v>0.5</v>
      </c>
      <c r="M220" s="275">
        <f t="shared" si="72"/>
        <v>0.5</v>
      </c>
      <c r="N220" s="275">
        <f t="shared" si="72"/>
        <v>0.5</v>
      </c>
      <c r="O220" s="275">
        <f t="shared" si="72"/>
        <v>0.5</v>
      </c>
      <c r="P220" s="275">
        <f t="shared" si="72"/>
        <v>0.5</v>
      </c>
      <c r="Q220" s="275">
        <f t="shared" si="72"/>
        <v>0.5</v>
      </c>
      <c r="R220" s="275">
        <f t="shared" si="72"/>
        <v>0.5</v>
      </c>
      <c r="S220" s="276">
        <f t="shared" si="72"/>
        <v>0.5</v>
      </c>
    </row>
    <row r="221" spans="1:19" ht="12.75" customHeight="1" x14ac:dyDescent="0.2">
      <c r="A221" s="198" t="str">
        <f>"         "&amp;Labels!B317</f>
        <v xml:space="preserve">         Channels 1</v>
      </c>
      <c r="B221" s="384">
        <f t="shared" ref="B221:S221" si="73">AVERAGE(B141,B181)</f>
        <v>0.5</v>
      </c>
      <c r="C221" s="384">
        <f t="shared" si="73"/>
        <v>0.5</v>
      </c>
      <c r="D221" s="384">
        <f t="shared" si="73"/>
        <v>0.5</v>
      </c>
      <c r="E221" s="384">
        <f t="shared" si="73"/>
        <v>0.5</v>
      </c>
      <c r="F221" s="384">
        <f t="shared" si="73"/>
        <v>0.5</v>
      </c>
      <c r="G221" s="384">
        <f t="shared" si="73"/>
        <v>0.5</v>
      </c>
      <c r="H221" s="384">
        <f t="shared" si="73"/>
        <v>0.5</v>
      </c>
      <c r="I221" s="384">
        <f t="shared" si="73"/>
        <v>0.5</v>
      </c>
      <c r="J221" s="384">
        <f t="shared" si="73"/>
        <v>0.5</v>
      </c>
      <c r="K221" s="384">
        <f t="shared" si="73"/>
        <v>0.5</v>
      </c>
      <c r="L221" s="384">
        <f t="shared" si="73"/>
        <v>0.5</v>
      </c>
      <c r="M221" s="384">
        <f t="shared" si="73"/>
        <v>0.5</v>
      </c>
      <c r="N221" s="384">
        <f t="shared" si="73"/>
        <v>0.5</v>
      </c>
      <c r="O221" s="384">
        <f t="shared" si="73"/>
        <v>0.5</v>
      </c>
      <c r="P221" s="384">
        <f t="shared" si="73"/>
        <v>0.5</v>
      </c>
      <c r="Q221" s="384">
        <f t="shared" si="73"/>
        <v>0.5</v>
      </c>
      <c r="R221" s="384">
        <f t="shared" si="73"/>
        <v>0.5</v>
      </c>
      <c r="S221" s="385">
        <f t="shared" si="73"/>
        <v>0.5</v>
      </c>
    </row>
    <row r="222" spans="1:19" ht="12.75" customHeight="1" x14ac:dyDescent="0.2">
      <c r="A222" s="198" t="str">
        <f>"         "&amp;Labels!B318</f>
        <v xml:space="preserve">         Channels 2</v>
      </c>
      <c r="B222" s="384">
        <f t="shared" ref="B222:S222" si="74">AVERAGE(B142,B182)</f>
        <v>0.5</v>
      </c>
      <c r="C222" s="384">
        <f t="shared" si="74"/>
        <v>0.5</v>
      </c>
      <c r="D222" s="384">
        <f t="shared" si="74"/>
        <v>0.5</v>
      </c>
      <c r="E222" s="384">
        <f t="shared" si="74"/>
        <v>0.5</v>
      </c>
      <c r="F222" s="384">
        <f t="shared" si="74"/>
        <v>0.5</v>
      </c>
      <c r="G222" s="384">
        <f t="shared" si="74"/>
        <v>0.5</v>
      </c>
      <c r="H222" s="384">
        <f t="shared" si="74"/>
        <v>0.5</v>
      </c>
      <c r="I222" s="384">
        <f t="shared" si="74"/>
        <v>0.5</v>
      </c>
      <c r="J222" s="384">
        <f t="shared" si="74"/>
        <v>0.5</v>
      </c>
      <c r="K222" s="384">
        <f t="shared" si="74"/>
        <v>0.5</v>
      </c>
      <c r="L222" s="384">
        <f t="shared" si="74"/>
        <v>0.5</v>
      </c>
      <c r="M222" s="384">
        <f t="shared" si="74"/>
        <v>0.5</v>
      </c>
      <c r="N222" s="384">
        <f t="shared" si="74"/>
        <v>0.5</v>
      </c>
      <c r="O222" s="384">
        <f t="shared" si="74"/>
        <v>0.5</v>
      </c>
      <c r="P222" s="384">
        <f t="shared" si="74"/>
        <v>0.5</v>
      </c>
      <c r="Q222" s="384">
        <f t="shared" si="74"/>
        <v>0.5</v>
      </c>
      <c r="R222" s="384">
        <f t="shared" si="74"/>
        <v>0.5</v>
      </c>
      <c r="S222" s="385">
        <f t="shared" si="74"/>
        <v>0.5</v>
      </c>
    </row>
    <row r="223" spans="1:19" ht="12.75" customHeight="1" x14ac:dyDescent="0.2">
      <c r="A223" s="198" t="str">
        <f>"         "&amp;Labels!C316</f>
        <v xml:space="preserve">         Total</v>
      </c>
      <c r="B223" s="303">
        <f t="shared" ref="B223:S223" si="75">AVERAGE(B140,B180)</f>
        <v>0.5</v>
      </c>
      <c r="C223" s="303">
        <f t="shared" si="75"/>
        <v>0.5</v>
      </c>
      <c r="D223" s="303">
        <f t="shared" si="75"/>
        <v>0.5</v>
      </c>
      <c r="E223" s="303">
        <f t="shared" si="75"/>
        <v>0.5</v>
      </c>
      <c r="F223" s="303">
        <f t="shared" si="75"/>
        <v>0.5</v>
      </c>
      <c r="G223" s="303">
        <f t="shared" si="75"/>
        <v>0.5</v>
      </c>
      <c r="H223" s="303">
        <f t="shared" si="75"/>
        <v>0.5</v>
      </c>
      <c r="I223" s="303">
        <f t="shared" si="75"/>
        <v>0.5</v>
      </c>
      <c r="J223" s="303">
        <f t="shared" si="75"/>
        <v>0.5</v>
      </c>
      <c r="K223" s="303">
        <f t="shared" si="75"/>
        <v>0.5</v>
      </c>
      <c r="L223" s="303">
        <f t="shared" si="75"/>
        <v>0.5</v>
      </c>
      <c r="M223" s="303">
        <f t="shared" si="75"/>
        <v>0.5</v>
      </c>
      <c r="N223" s="303">
        <f t="shared" si="75"/>
        <v>0.5</v>
      </c>
      <c r="O223" s="303">
        <f t="shared" si="75"/>
        <v>0.5</v>
      </c>
      <c r="P223" s="303">
        <f t="shared" si="75"/>
        <v>0.5</v>
      </c>
      <c r="Q223" s="303">
        <f t="shared" si="75"/>
        <v>0.5</v>
      </c>
      <c r="R223" s="303">
        <f t="shared" si="75"/>
        <v>0.5</v>
      </c>
      <c r="S223" s="383">
        <f t="shared" si="75"/>
        <v>0.5</v>
      </c>
    </row>
    <row r="224" spans="1:19" ht="12.75" customHeight="1" x14ac:dyDescent="0.2">
      <c r="A224" s="191" t="str">
        <f>"   "&amp;Labels!C380</f>
        <v xml:space="preserve">   Total</v>
      </c>
      <c r="B224" s="300">
        <f t="shared" ref="B224:S224" si="76">AVERAGE(B144,B184)</f>
        <v>0.5</v>
      </c>
      <c r="C224" s="300">
        <f t="shared" si="76"/>
        <v>0.5</v>
      </c>
      <c r="D224" s="300">
        <f t="shared" si="76"/>
        <v>0.5</v>
      </c>
      <c r="E224" s="300">
        <f t="shared" si="76"/>
        <v>0.5</v>
      </c>
      <c r="F224" s="300">
        <f t="shared" si="76"/>
        <v>0.5</v>
      </c>
      <c r="G224" s="300">
        <f t="shared" si="76"/>
        <v>0.5</v>
      </c>
      <c r="H224" s="300">
        <f t="shared" si="76"/>
        <v>0.5</v>
      </c>
      <c r="I224" s="300">
        <f t="shared" si="76"/>
        <v>0.5</v>
      </c>
      <c r="J224" s="300">
        <f t="shared" si="76"/>
        <v>0.5</v>
      </c>
      <c r="K224" s="300">
        <f t="shared" si="76"/>
        <v>0.5</v>
      </c>
      <c r="L224" s="300">
        <f t="shared" si="76"/>
        <v>0.5</v>
      </c>
      <c r="M224" s="300">
        <f t="shared" si="76"/>
        <v>0.5</v>
      </c>
      <c r="N224" s="300">
        <f t="shared" si="76"/>
        <v>0.5</v>
      </c>
      <c r="O224" s="300">
        <f t="shared" si="76"/>
        <v>0.5</v>
      </c>
      <c r="P224" s="300">
        <f t="shared" si="76"/>
        <v>0.5</v>
      </c>
      <c r="Q224" s="300">
        <f t="shared" si="76"/>
        <v>0.5</v>
      </c>
      <c r="R224" s="300">
        <f t="shared" si="76"/>
        <v>0.5</v>
      </c>
      <c r="S224" s="386">
        <f t="shared" si="76"/>
        <v>0.5</v>
      </c>
    </row>
    <row r="225" spans="1:19" ht="12.75" customHeight="1" x14ac:dyDescent="0.2">
      <c r="A225" s="198" t="str">
        <f>"      "&amp;Labels!B385</f>
        <v xml:space="preserve">      Prof Level 1</v>
      </c>
      <c r="B225" s="303"/>
      <c r="C225" s="303"/>
      <c r="D225" s="303"/>
      <c r="E225" s="303"/>
      <c r="F225" s="303"/>
      <c r="G225" s="303"/>
      <c r="H225" s="303"/>
      <c r="I225" s="303"/>
      <c r="J225" s="303"/>
      <c r="K225" s="303"/>
      <c r="L225" s="303"/>
      <c r="M225" s="303"/>
      <c r="N225" s="303"/>
      <c r="O225" s="303"/>
      <c r="P225" s="303"/>
      <c r="Q225" s="303"/>
      <c r="R225" s="303"/>
      <c r="S225" s="383"/>
    </row>
    <row r="226" spans="1:19" ht="12.75" customHeight="1" x14ac:dyDescent="0.2">
      <c r="A226" s="198" t="str">
        <f>"         "&amp;Labels!B317</f>
        <v xml:space="preserve">         Channels 1</v>
      </c>
      <c r="B226" s="384">
        <f t="shared" ref="B226:S226" si="77">AVERAGE(B146,B186)</f>
        <v>0.5</v>
      </c>
      <c r="C226" s="384">
        <f t="shared" si="77"/>
        <v>0.5</v>
      </c>
      <c r="D226" s="384">
        <f t="shared" si="77"/>
        <v>0.5</v>
      </c>
      <c r="E226" s="384">
        <f t="shared" si="77"/>
        <v>0.5</v>
      </c>
      <c r="F226" s="384">
        <f t="shared" si="77"/>
        <v>0.5</v>
      </c>
      <c r="G226" s="384">
        <f t="shared" si="77"/>
        <v>0.5</v>
      </c>
      <c r="H226" s="384">
        <f t="shared" si="77"/>
        <v>0.5</v>
      </c>
      <c r="I226" s="384">
        <f t="shared" si="77"/>
        <v>0.5</v>
      </c>
      <c r="J226" s="384">
        <f t="shared" si="77"/>
        <v>0.5</v>
      </c>
      <c r="K226" s="384">
        <f t="shared" si="77"/>
        <v>0.5</v>
      </c>
      <c r="L226" s="384">
        <f t="shared" si="77"/>
        <v>0.5</v>
      </c>
      <c r="M226" s="384">
        <f t="shared" si="77"/>
        <v>0.5</v>
      </c>
      <c r="N226" s="384">
        <f t="shared" si="77"/>
        <v>0.5</v>
      </c>
      <c r="O226" s="384">
        <f t="shared" si="77"/>
        <v>0.5</v>
      </c>
      <c r="P226" s="384">
        <f t="shared" si="77"/>
        <v>0.5</v>
      </c>
      <c r="Q226" s="384">
        <f t="shared" si="77"/>
        <v>0.5</v>
      </c>
      <c r="R226" s="384">
        <f t="shared" si="77"/>
        <v>0.5</v>
      </c>
      <c r="S226" s="385">
        <f t="shared" si="77"/>
        <v>0.5</v>
      </c>
    </row>
    <row r="227" spans="1:19" ht="12.75" customHeight="1" x14ac:dyDescent="0.2">
      <c r="A227" s="198" t="str">
        <f>"         "&amp;Labels!B318</f>
        <v xml:space="preserve">         Channels 2</v>
      </c>
      <c r="B227" s="384">
        <f t="shared" ref="B227:S227" si="78">AVERAGE(B147,B187)</f>
        <v>0.5</v>
      </c>
      <c r="C227" s="384">
        <f t="shared" si="78"/>
        <v>0.5</v>
      </c>
      <c r="D227" s="384">
        <f t="shared" si="78"/>
        <v>0.5</v>
      </c>
      <c r="E227" s="384">
        <f t="shared" si="78"/>
        <v>0.5</v>
      </c>
      <c r="F227" s="384">
        <f t="shared" si="78"/>
        <v>0.5</v>
      </c>
      <c r="G227" s="384">
        <f t="shared" si="78"/>
        <v>0.5</v>
      </c>
      <c r="H227" s="384">
        <f t="shared" si="78"/>
        <v>0.5</v>
      </c>
      <c r="I227" s="384">
        <f t="shared" si="78"/>
        <v>0.5</v>
      </c>
      <c r="J227" s="384">
        <f t="shared" si="78"/>
        <v>0.5</v>
      </c>
      <c r="K227" s="384">
        <f t="shared" si="78"/>
        <v>0.5</v>
      </c>
      <c r="L227" s="384">
        <f t="shared" si="78"/>
        <v>0.5</v>
      </c>
      <c r="M227" s="384">
        <f t="shared" si="78"/>
        <v>0.5</v>
      </c>
      <c r="N227" s="384">
        <f t="shared" si="78"/>
        <v>0.5</v>
      </c>
      <c r="O227" s="384">
        <f t="shared" si="78"/>
        <v>0.5</v>
      </c>
      <c r="P227" s="384">
        <f t="shared" si="78"/>
        <v>0.5</v>
      </c>
      <c r="Q227" s="384">
        <f t="shared" si="78"/>
        <v>0.5</v>
      </c>
      <c r="R227" s="384">
        <f t="shared" si="78"/>
        <v>0.5</v>
      </c>
      <c r="S227" s="385">
        <f t="shared" si="78"/>
        <v>0.5</v>
      </c>
    </row>
    <row r="228" spans="1:19" ht="12.75" customHeight="1" x14ac:dyDescent="0.2">
      <c r="A228" s="198" t="str">
        <f>"         "&amp;Labels!C316</f>
        <v xml:space="preserve">         Total</v>
      </c>
      <c r="B228" s="303">
        <f t="shared" ref="B228:S228" si="79">AVERAGE(B148,B188)</f>
        <v>0.5</v>
      </c>
      <c r="C228" s="303">
        <f t="shared" si="79"/>
        <v>0.5</v>
      </c>
      <c r="D228" s="303">
        <f t="shared" si="79"/>
        <v>0.5</v>
      </c>
      <c r="E228" s="303">
        <f t="shared" si="79"/>
        <v>0.5</v>
      </c>
      <c r="F228" s="303">
        <f t="shared" si="79"/>
        <v>0.5</v>
      </c>
      <c r="G228" s="303">
        <f t="shared" si="79"/>
        <v>0.5</v>
      </c>
      <c r="H228" s="303">
        <f t="shared" si="79"/>
        <v>0.5</v>
      </c>
      <c r="I228" s="303">
        <f t="shared" si="79"/>
        <v>0.5</v>
      </c>
      <c r="J228" s="303">
        <f t="shared" si="79"/>
        <v>0.5</v>
      </c>
      <c r="K228" s="303">
        <f t="shared" si="79"/>
        <v>0.5</v>
      </c>
      <c r="L228" s="303">
        <f t="shared" si="79"/>
        <v>0.5</v>
      </c>
      <c r="M228" s="303">
        <f t="shared" si="79"/>
        <v>0.5</v>
      </c>
      <c r="N228" s="303">
        <f t="shared" si="79"/>
        <v>0.5</v>
      </c>
      <c r="O228" s="303">
        <f t="shared" si="79"/>
        <v>0.5</v>
      </c>
      <c r="P228" s="303">
        <f t="shared" si="79"/>
        <v>0.5</v>
      </c>
      <c r="Q228" s="303">
        <f t="shared" si="79"/>
        <v>0.5</v>
      </c>
      <c r="R228" s="303">
        <f t="shared" si="79"/>
        <v>0.5</v>
      </c>
      <c r="S228" s="383">
        <f t="shared" si="79"/>
        <v>0.5</v>
      </c>
    </row>
    <row r="229" spans="1:19" ht="12.75" customHeight="1" x14ac:dyDescent="0.2">
      <c r="A229" s="198" t="str">
        <f>"      "&amp;Labels!B386</f>
        <v xml:space="preserve">      Prof Level 2</v>
      </c>
      <c r="B229" s="303"/>
      <c r="C229" s="303"/>
      <c r="D229" s="303"/>
      <c r="E229" s="303"/>
      <c r="F229" s="303"/>
      <c r="G229" s="303"/>
      <c r="H229" s="303"/>
      <c r="I229" s="303"/>
      <c r="J229" s="303"/>
      <c r="K229" s="303"/>
      <c r="L229" s="303"/>
      <c r="M229" s="303"/>
      <c r="N229" s="303"/>
      <c r="O229" s="303"/>
      <c r="P229" s="303"/>
      <c r="Q229" s="303"/>
      <c r="R229" s="303"/>
      <c r="S229" s="383"/>
    </row>
    <row r="230" spans="1:19" ht="12.75" customHeight="1" x14ac:dyDescent="0.2">
      <c r="A230" s="198" t="str">
        <f>"         "&amp;Labels!B317</f>
        <v xml:space="preserve">         Channels 1</v>
      </c>
      <c r="B230" s="384">
        <f t="shared" ref="B230:S230" si="80">AVERAGE(B150,B190)</f>
        <v>0.5</v>
      </c>
      <c r="C230" s="384">
        <f t="shared" si="80"/>
        <v>0.5</v>
      </c>
      <c r="D230" s="384">
        <f t="shared" si="80"/>
        <v>0.5</v>
      </c>
      <c r="E230" s="384">
        <f t="shared" si="80"/>
        <v>0.5</v>
      </c>
      <c r="F230" s="384">
        <f t="shared" si="80"/>
        <v>0.5</v>
      </c>
      <c r="G230" s="384">
        <f t="shared" si="80"/>
        <v>0.5</v>
      </c>
      <c r="H230" s="384">
        <f t="shared" si="80"/>
        <v>0.5</v>
      </c>
      <c r="I230" s="384">
        <f t="shared" si="80"/>
        <v>0.5</v>
      </c>
      <c r="J230" s="384">
        <f t="shared" si="80"/>
        <v>0.5</v>
      </c>
      <c r="K230" s="384">
        <f t="shared" si="80"/>
        <v>0.5</v>
      </c>
      <c r="L230" s="384">
        <f t="shared" si="80"/>
        <v>0.5</v>
      </c>
      <c r="M230" s="384">
        <f t="shared" si="80"/>
        <v>0.5</v>
      </c>
      <c r="N230" s="384">
        <f t="shared" si="80"/>
        <v>0.5</v>
      </c>
      <c r="O230" s="384">
        <f t="shared" si="80"/>
        <v>0.5</v>
      </c>
      <c r="P230" s="384">
        <f t="shared" si="80"/>
        <v>0.5</v>
      </c>
      <c r="Q230" s="384">
        <f t="shared" si="80"/>
        <v>0.5</v>
      </c>
      <c r="R230" s="384">
        <f t="shared" si="80"/>
        <v>0.5</v>
      </c>
      <c r="S230" s="385">
        <f t="shared" si="80"/>
        <v>0.5</v>
      </c>
    </row>
    <row r="231" spans="1:19" ht="12.75" customHeight="1" x14ac:dyDescent="0.2">
      <c r="A231" s="198" t="str">
        <f>"         "&amp;Labels!B318</f>
        <v xml:space="preserve">         Channels 2</v>
      </c>
      <c r="B231" s="384">
        <f t="shared" ref="B231:S231" si="81">AVERAGE(B151,B191)</f>
        <v>0.5</v>
      </c>
      <c r="C231" s="384">
        <f t="shared" si="81"/>
        <v>0.5</v>
      </c>
      <c r="D231" s="384">
        <f t="shared" si="81"/>
        <v>0.5</v>
      </c>
      <c r="E231" s="384">
        <f t="shared" si="81"/>
        <v>0.5</v>
      </c>
      <c r="F231" s="384">
        <f t="shared" si="81"/>
        <v>0.5</v>
      </c>
      <c r="G231" s="384">
        <f t="shared" si="81"/>
        <v>0.5</v>
      </c>
      <c r="H231" s="384">
        <f t="shared" si="81"/>
        <v>0.5</v>
      </c>
      <c r="I231" s="384">
        <f t="shared" si="81"/>
        <v>0.5</v>
      </c>
      <c r="J231" s="384">
        <f t="shared" si="81"/>
        <v>0.5</v>
      </c>
      <c r="K231" s="384">
        <f t="shared" si="81"/>
        <v>0.5</v>
      </c>
      <c r="L231" s="384">
        <f t="shared" si="81"/>
        <v>0.5</v>
      </c>
      <c r="M231" s="384">
        <f t="shared" si="81"/>
        <v>0.5</v>
      </c>
      <c r="N231" s="384">
        <f t="shared" si="81"/>
        <v>0.5</v>
      </c>
      <c r="O231" s="384">
        <f t="shared" si="81"/>
        <v>0.5</v>
      </c>
      <c r="P231" s="384">
        <f t="shared" si="81"/>
        <v>0.5</v>
      </c>
      <c r="Q231" s="384">
        <f t="shared" si="81"/>
        <v>0.5</v>
      </c>
      <c r="R231" s="384">
        <f t="shared" si="81"/>
        <v>0.5</v>
      </c>
      <c r="S231" s="385">
        <f t="shared" si="81"/>
        <v>0.5</v>
      </c>
    </row>
    <row r="232" spans="1:19" ht="12.75" customHeight="1" x14ac:dyDescent="0.2">
      <c r="A232" s="198" t="str">
        <f>"         "&amp;Labels!C316</f>
        <v xml:space="preserve">         Total</v>
      </c>
      <c r="B232" s="303">
        <f t="shared" ref="B232:S232" si="82">AVERAGE(B152,B192)</f>
        <v>0.5</v>
      </c>
      <c r="C232" s="303">
        <f t="shared" si="82"/>
        <v>0.5</v>
      </c>
      <c r="D232" s="303">
        <f t="shared" si="82"/>
        <v>0.5</v>
      </c>
      <c r="E232" s="303">
        <f t="shared" si="82"/>
        <v>0.5</v>
      </c>
      <c r="F232" s="303">
        <f t="shared" si="82"/>
        <v>0.5</v>
      </c>
      <c r="G232" s="303">
        <f t="shared" si="82"/>
        <v>0.5</v>
      </c>
      <c r="H232" s="303">
        <f t="shared" si="82"/>
        <v>0.5</v>
      </c>
      <c r="I232" s="303">
        <f t="shared" si="82"/>
        <v>0.5</v>
      </c>
      <c r="J232" s="303">
        <f t="shared" si="82"/>
        <v>0.5</v>
      </c>
      <c r="K232" s="303">
        <f t="shared" si="82"/>
        <v>0.5</v>
      </c>
      <c r="L232" s="303">
        <f t="shared" si="82"/>
        <v>0.5</v>
      </c>
      <c r="M232" s="303">
        <f t="shared" si="82"/>
        <v>0.5</v>
      </c>
      <c r="N232" s="303">
        <f t="shared" si="82"/>
        <v>0.5</v>
      </c>
      <c r="O232" s="303">
        <f t="shared" si="82"/>
        <v>0.5</v>
      </c>
      <c r="P232" s="303">
        <f t="shared" si="82"/>
        <v>0.5</v>
      </c>
      <c r="Q232" s="303">
        <f t="shared" si="82"/>
        <v>0.5</v>
      </c>
      <c r="R232" s="303">
        <f t="shared" si="82"/>
        <v>0.5</v>
      </c>
      <c r="S232" s="383">
        <f t="shared" si="82"/>
        <v>0.5</v>
      </c>
    </row>
    <row r="233" spans="1:19" ht="12.75" customHeight="1" x14ac:dyDescent="0.2">
      <c r="A233" s="188" t="str">
        <f>"      "&amp;Labels!C384</f>
        <v xml:space="preserve">      Total</v>
      </c>
      <c r="B233" s="275">
        <f t="shared" ref="B233:S233" si="83">AVERAGE(B144,B184)</f>
        <v>0.5</v>
      </c>
      <c r="C233" s="275">
        <f t="shared" si="83"/>
        <v>0.5</v>
      </c>
      <c r="D233" s="275">
        <f t="shared" si="83"/>
        <v>0.5</v>
      </c>
      <c r="E233" s="275">
        <f t="shared" si="83"/>
        <v>0.5</v>
      </c>
      <c r="F233" s="275">
        <f t="shared" si="83"/>
        <v>0.5</v>
      </c>
      <c r="G233" s="275">
        <f t="shared" si="83"/>
        <v>0.5</v>
      </c>
      <c r="H233" s="275">
        <f t="shared" si="83"/>
        <v>0.5</v>
      </c>
      <c r="I233" s="275">
        <f t="shared" si="83"/>
        <v>0.5</v>
      </c>
      <c r="J233" s="275">
        <f t="shared" si="83"/>
        <v>0.5</v>
      </c>
      <c r="K233" s="275">
        <f t="shared" si="83"/>
        <v>0.5</v>
      </c>
      <c r="L233" s="275">
        <f t="shared" si="83"/>
        <v>0.5</v>
      </c>
      <c r="M233" s="275">
        <f t="shared" si="83"/>
        <v>0.5</v>
      </c>
      <c r="N233" s="275">
        <f t="shared" si="83"/>
        <v>0.5</v>
      </c>
      <c r="O233" s="275">
        <f t="shared" si="83"/>
        <v>0.5</v>
      </c>
      <c r="P233" s="275">
        <f t="shared" si="83"/>
        <v>0.5</v>
      </c>
      <c r="Q233" s="275">
        <f t="shared" si="83"/>
        <v>0.5</v>
      </c>
      <c r="R233" s="275">
        <f t="shared" si="83"/>
        <v>0.5</v>
      </c>
      <c r="S233" s="276">
        <f t="shared" si="83"/>
        <v>0.5</v>
      </c>
    </row>
    <row r="234" spans="1:19" ht="12.75" customHeight="1" x14ac:dyDescent="0.2">
      <c r="A234" s="198" t="str">
        <f>"         "&amp;Labels!B317</f>
        <v xml:space="preserve">         Channels 1</v>
      </c>
      <c r="B234" s="384">
        <f t="shared" ref="B234:S234" si="84">AVERAGE(B154,B194)</f>
        <v>0.5</v>
      </c>
      <c r="C234" s="384">
        <f t="shared" si="84"/>
        <v>0.5</v>
      </c>
      <c r="D234" s="384">
        <f t="shared" si="84"/>
        <v>0.5</v>
      </c>
      <c r="E234" s="384">
        <f t="shared" si="84"/>
        <v>0.5</v>
      </c>
      <c r="F234" s="384">
        <f t="shared" si="84"/>
        <v>0.5</v>
      </c>
      <c r="G234" s="384">
        <f t="shared" si="84"/>
        <v>0.5</v>
      </c>
      <c r="H234" s="384">
        <f t="shared" si="84"/>
        <v>0.5</v>
      </c>
      <c r="I234" s="384">
        <f t="shared" si="84"/>
        <v>0.5</v>
      </c>
      <c r="J234" s="384">
        <f t="shared" si="84"/>
        <v>0.5</v>
      </c>
      <c r="K234" s="384">
        <f t="shared" si="84"/>
        <v>0.5</v>
      </c>
      <c r="L234" s="384">
        <f t="shared" si="84"/>
        <v>0.5</v>
      </c>
      <c r="M234" s="384">
        <f t="shared" si="84"/>
        <v>0.5</v>
      </c>
      <c r="N234" s="384">
        <f t="shared" si="84"/>
        <v>0.5</v>
      </c>
      <c r="O234" s="384">
        <f t="shared" si="84"/>
        <v>0.5</v>
      </c>
      <c r="P234" s="384">
        <f t="shared" si="84"/>
        <v>0.5</v>
      </c>
      <c r="Q234" s="384">
        <f t="shared" si="84"/>
        <v>0.5</v>
      </c>
      <c r="R234" s="384">
        <f t="shared" si="84"/>
        <v>0.5</v>
      </c>
      <c r="S234" s="385">
        <f t="shared" si="84"/>
        <v>0.5</v>
      </c>
    </row>
    <row r="235" spans="1:19" ht="12.75" customHeight="1" x14ac:dyDescent="0.2">
      <c r="A235" s="198" t="str">
        <f>"         "&amp;Labels!B318</f>
        <v xml:space="preserve">         Channels 2</v>
      </c>
      <c r="B235" s="384">
        <f t="shared" ref="B235:S235" si="85">AVERAGE(B155,B195)</f>
        <v>0.5</v>
      </c>
      <c r="C235" s="384">
        <f t="shared" si="85"/>
        <v>0.5</v>
      </c>
      <c r="D235" s="384">
        <f t="shared" si="85"/>
        <v>0.5</v>
      </c>
      <c r="E235" s="384">
        <f t="shared" si="85"/>
        <v>0.5</v>
      </c>
      <c r="F235" s="384">
        <f t="shared" si="85"/>
        <v>0.5</v>
      </c>
      <c r="G235" s="384">
        <f t="shared" si="85"/>
        <v>0.5</v>
      </c>
      <c r="H235" s="384">
        <f t="shared" si="85"/>
        <v>0.5</v>
      </c>
      <c r="I235" s="384">
        <f t="shared" si="85"/>
        <v>0.5</v>
      </c>
      <c r="J235" s="384">
        <f t="shared" si="85"/>
        <v>0.5</v>
      </c>
      <c r="K235" s="384">
        <f t="shared" si="85"/>
        <v>0.5</v>
      </c>
      <c r="L235" s="384">
        <f t="shared" si="85"/>
        <v>0.5</v>
      </c>
      <c r="M235" s="384">
        <f t="shared" si="85"/>
        <v>0.5</v>
      </c>
      <c r="N235" s="384">
        <f t="shared" si="85"/>
        <v>0.5</v>
      </c>
      <c r="O235" s="384">
        <f t="shared" si="85"/>
        <v>0.5</v>
      </c>
      <c r="P235" s="384">
        <f t="shared" si="85"/>
        <v>0.5</v>
      </c>
      <c r="Q235" s="384">
        <f t="shared" si="85"/>
        <v>0.5</v>
      </c>
      <c r="R235" s="384">
        <f t="shared" si="85"/>
        <v>0.5</v>
      </c>
      <c r="S235" s="385">
        <f t="shared" si="85"/>
        <v>0.5</v>
      </c>
    </row>
    <row r="236" spans="1:19" ht="12.75" customHeight="1" x14ac:dyDescent="0.2">
      <c r="A236" s="230" t="str">
        <f>"         "&amp;Labels!C316</f>
        <v xml:space="preserve">         Total</v>
      </c>
      <c r="B236" s="389">
        <f t="shared" ref="B236:S236" si="86">AVERAGE(B144,B184)</f>
        <v>0.5</v>
      </c>
      <c r="C236" s="389">
        <f t="shared" si="86"/>
        <v>0.5</v>
      </c>
      <c r="D236" s="389">
        <f t="shared" si="86"/>
        <v>0.5</v>
      </c>
      <c r="E236" s="389">
        <f t="shared" si="86"/>
        <v>0.5</v>
      </c>
      <c r="F236" s="389">
        <f t="shared" si="86"/>
        <v>0.5</v>
      </c>
      <c r="G236" s="389">
        <f t="shared" si="86"/>
        <v>0.5</v>
      </c>
      <c r="H236" s="389">
        <f t="shared" si="86"/>
        <v>0.5</v>
      </c>
      <c r="I236" s="389">
        <f t="shared" si="86"/>
        <v>0.5</v>
      </c>
      <c r="J236" s="389">
        <f t="shared" si="86"/>
        <v>0.5</v>
      </c>
      <c r="K236" s="389">
        <f t="shared" si="86"/>
        <v>0.5</v>
      </c>
      <c r="L236" s="389">
        <f t="shared" si="86"/>
        <v>0.5</v>
      </c>
      <c r="M236" s="389">
        <f t="shared" si="86"/>
        <v>0.5</v>
      </c>
      <c r="N236" s="389">
        <f t="shared" si="86"/>
        <v>0.5</v>
      </c>
      <c r="O236" s="389">
        <f t="shared" si="86"/>
        <v>0.5</v>
      </c>
      <c r="P236" s="389">
        <f t="shared" si="86"/>
        <v>0.5</v>
      </c>
      <c r="Q236" s="389">
        <f t="shared" si="86"/>
        <v>0.5</v>
      </c>
      <c r="R236" s="389">
        <f t="shared" si="86"/>
        <v>0.5</v>
      </c>
      <c r="S236" s="390">
        <f t="shared" si="86"/>
        <v>0.5</v>
      </c>
    </row>
    <row r="237" spans="1:19" ht="12.75" customHeight="1" x14ac:dyDescent="0.2">
      <c r="A237" s="1" t="str">
        <f>Labels!B238</f>
        <v>Sales Lead Expire Hrs% (Yr)</v>
      </c>
    </row>
    <row r="238" spans="1:19" ht="12.75" customHeight="1" x14ac:dyDescent="0.2">
      <c r="B238" s="9" t="str">
        <f>'(FnCalls 1)'!F41</f>
        <v>MMM 2010</v>
      </c>
      <c r="C238" s="10" t="str">
        <f>'(FnCalls 1)'!F42</f>
        <v>MMM 2010</v>
      </c>
      <c r="D238" s="10" t="str">
        <f>'(FnCalls 1)'!F43</f>
        <v>MMM 2010</v>
      </c>
      <c r="E238" s="10" t="str">
        <f>'(FnCalls 1)'!F44</f>
        <v>MMM 2010</v>
      </c>
      <c r="F238" s="10" t="str">
        <f>'(FnCalls 1)'!F45</f>
        <v>MMM 2010</v>
      </c>
      <c r="G238" s="10" t="str">
        <f>'(FnCalls 1)'!F46</f>
        <v>MMM 2010</v>
      </c>
      <c r="H238" s="10" t="str">
        <f>'(FnCalls 1)'!F47</f>
        <v>MMM 2010</v>
      </c>
      <c r="I238" s="10" t="str">
        <f>'(FnCalls 1)'!F48</f>
        <v>MMM 2010</v>
      </c>
      <c r="J238" s="10" t="str">
        <f>'(FnCalls 1)'!F49</f>
        <v>MMM 2010</v>
      </c>
      <c r="K238" s="10" t="str">
        <f>'(FnCalls 1)'!F50</f>
        <v>MMM 2010</v>
      </c>
      <c r="L238" s="10" t="str">
        <f>'(FnCalls 1)'!F51</f>
        <v>MMM 2010</v>
      </c>
      <c r="M238" s="10" t="str">
        <f>'(FnCalls 1)'!F52</f>
        <v>MMM 2010</v>
      </c>
      <c r="N238" s="10" t="str">
        <f>'(FnCalls 1)'!F53</f>
        <v>MMM 2011</v>
      </c>
      <c r="O238" s="10" t="str">
        <f>'(FnCalls 1)'!F54</f>
        <v>MMM 2011</v>
      </c>
      <c r="P238" s="10" t="str">
        <f>'(FnCalls 1)'!F55</f>
        <v>MMM 2011</v>
      </c>
      <c r="Q238" s="10" t="str">
        <f>'(FnCalls 1)'!F56</f>
        <v>MMM 2011</v>
      </c>
      <c r="R238" s="10" t="str">
        <f>'(FnCalls 1)'!F57</f>
        <v>MMM 2011</v>
      </c>
      <c r="S238" s="11" t="str">
        <f>'(FnCalls 1)'!F58</f>
        <v>MMM 2011</v>
      </c>
    </row>
    <row r="239" spans="1:19" ht="12.75" customHeight="1" x14ac:dyDescent="0.2">
      <c r="A239" s="182" t="str">
        <f>Labels!B389</f>
        <v>Lead Qual 1</v>
      </c>
      <c r="B239" s="370"/>
      <c r="C239" s="370"/>
      <c r="D239" s="370"/>
      <c r="E239" s="370"/>
      <c r="F239" s="370"/>
      <c r="G239" s="370"/>
      <c r="H239" s="370"/>
      <c r="I239" s="370"/>
      <c r="J239" s="370"/>
      <c r="K239" s="370"/>
      <c r="L239" s="370"/>
      <c r="M239" s="370"/>
      <c r="N239" s="370"/>
      <c r="O239" s="370"/>
      <c r="P239" s="370"/>
      <c r="Q239" s="370"/>
      <c r="R239" s="370"/>
      <c r="S239" s="371"/>
    </row>
    <row r="240" spans="1:19" ht="12.75" customHeight="1" x14ac:dyDescent="0.2">
      <c r="A240" s="188" t="str">
        <f>"   "&amp;Labels!B381</f>
        <v xml:space="preserve">   Practice 1</v>
      </c>
      <c r="B240" s="275"/>
      <c r="C240" s="275"/>
      <c r="D240" s="275"/>
      <c r="E240" s="275"/>
      <c r="F240" s="275"/>
      <c r="G240" s="275"/>
      <c r="H240" s="275"/>
      <c r="I240" s="275"/>
      <c r="J240" s="275"/>
      <c r="K240" s="275"/>
      <c r="L240" s="275"/>
      <c r="M240" s="275"/>
      <c r="N240" s="275"/>
      <c r="O240" s="275"/>
      <c r="P240" s="275"/>
      <c r="Q240" s="275"/>
      <c r="R240" s="275"/>
      <c r="S240" s="276"/>
    </row>
    <row r="241" spans="1:19" ht="12.75" customHeight="1" x14ac:dyDescent="0.2">
      <c r="A241" s="198" t="str">
        <f>"      "&amp;Labels!B385</f>
        <v xml:space="preserve">      Prof Level 1</v>
      </c>
      <c r="B241" s="303"/>
      <c r="C241" s="303"/>
      <c r="D241" s="303"/>
      <c r="E241" s="303"/>
      <c r="F241" s="303"/>
      <c r="G241" s="303"/>
      <c r="H241" s="303"/>
      <c r="I241" s="303"/>
      <c r="J241" s="303"/>
      <c r="K241" s="303"/>
      <c r="L241" s="303"/>
      <c r="M241" s="303"/>
      <c r="N241" s="303"/>
      <c r="O241" s="303"/>
      <c r="P241" s="303"/>
      <c r="Q241" s="303"/>
      <c r="R241" s="303"/>
      <c r="S241" s="383"/>
    </row>
    <row r="242" spans="1:19" ht="12.75" customHeight="1" x14ac:dyDescent="0.2">
      <c r="A242" s="198" t="str">
        <f>"         "&amp;Labels!B317</f>
        <v xml:space="preserve">         Channels 1</v>
      </c>
      <c r="B242" s="384">
        <f>Inputs!F105</f>
        <v>0.3</v>
      </c>
      <c r="C242" s="384">
        <f>Inputs!G105</f>
        <v>0.3</v>
      </c>
      <c r="D242" s="384">
        <f>Inputs!H105</f>
        <v>0.3</v>
      </c>
      <c r="E242" s="384">
        <f>Inputs!I105</f>
        <v>0.3</v>
      </c>
      <c r="F242" s="384">
        <f>Inputs!J105</f>
        <v>0.3</v>
      </c>
      <c r="G242" s="384">
        <f>Inputs!K105</f>
        <v>0.3</v>
      </c>
      <c r="H242" s="384">
        <f>Inputs!L105</f>
        <v>0.3</v>
      </c>
      <c r="I242" s="384">
        <f>Inputs!M105</f>
        <v>0.3</v>
      </c>
      <c r="J242" s="384">
        <f>Inputs!N105</f>
        <v>0.3</v>
      </c>
      <c r="K242" s="384">
        <f>Inputs!O105</f>
        <v>0.3</v>
      </c>
      <c r="L242" s="384">
        <f>Inputs!P105</f>
        <v>0.3</v>
      </c>
      <c r="M242" s="384">
        <f>Inputs!Q105</f>
        <v>0.3</v>
      </c>
      <c r="N242" s="384">
        <f>Inputs!R105</f>
        <v>0.3</v>
      </c>
      <c r="O242" s="384">
        <f>Inputs!S105</f>
        <v>0.3</v>
      </c>
      <c r="P242" s="384">
        <f>Inputs!T105</f>
        <v>0.3</v>
      </c>
      <c r="Q242" s="384">
        <f>Inputs!U105</f>
        <v>0.3</v>
      </c>
      <c r="R242" s="384">
        <f>Inputs!V105</f>
        <v>0.3</v>
      </c>
      <c r="S242" s="385">
        <f>Inputs!W105</f>
        <v>0.3</v>
      </c>
    </row>
    <row r="243" spans="1:19" ht="12.75" customHeight="1" x14ac:dyDescent="0.2">
      <c r="A243" s="198" t="str">
        <f>"         "&amp;Labels!B318</f>
        <v xml:space="preserve">         Channels 2</v>
      </c>
      <c r="B243" s="384">
        <f>Inputs!F106</f>
        <v>0.3</v>
      </c>
      <c r="C243" s="384">
        <f>Inputs!G106</f>
        <v>0.3</v>
      </c>
      <c r="D243" s="384">
        <f>Inputs!H106</f>
        <v>0.3</v>
      </c>
      <c r="E243" s="384">
        <f>Inputs!I106</f>
        <v>0.3</v>
      </c>
      <c r="F243" s="384">
        <f>Inputs!J106</f>
        <v>0.3</v>
      </c>
      <c r="G243" s="384">
        <f>Inputs!K106</f>
        <v>0.3</v>
      </c>
      <c r="H243" s="384">
        <f>Inputs!L106</f>
        <v>0.3</v>
      </c>
      <c r="I243" s="384">
        <f>Inputs!M106</f>
        <v>0.3</v>
      </c>
      <c r="J243" s="384">
        <f>Inputs!N106</f>
        <v>0.3</v>
      </c>
      <c r="K243" s="384">
        <f>Inputs!O106</f>
        <v>0.3</v>
      </c>
      <c r="L243" s="384">
        <f>Inputs!P106</f>
        <v>0.3</v>
      </c>
      <c r="M243" s="384">
        <f>Inputs!Q106</f>
        <v>0.3</v>
      </c>
      <c r="N243" s="384">
        <f>Inputs!R106</f>
        <v>0.3</v>
      </c>
      <c r="O243" s="384">
        <f>Inputs!S106</f>
        <v>0.3</v>
      </c>
      <c r="P243" s="384">
        <f>Inputs!T106</f>
        <v>0.3</v>
      </c>
      <c r="Q243" s="384">
        <f>Inputs!U106</f>
        <v>0.3</v>
      </c>
      <c r="R243" s="384">
        <f>Inputs!V106</f>
        <v>0.3</v>
      </c>
      <c r="S243" s="385">
        <f>Inputs!W106</f>
        <v>0.3</v>
      </c>
    </row>
    <row r="244" spans="1:19" ht="12.75" customHeight="1" x14ac:dyDescent="0.2">
      <c r="A244" s="198" t="str">
        <f>"         "&amp;Labels!C316</f>
        <v xml:space="preserve">         Total</v>
      </c>
      <c r="B244" s="303">
        <f t="shared" ref="B244:S244" si="87">AVERAGE(B242:B243)</f>
        <v>0.3</v>
      </c>
      <c r="C244" s="303">
        <f t="shared" si="87"/>
        <v>0.3</v>
      </c>
      <c r="D244" s="303">
        <f t="shared" si="87"/>
        <v>0.3</v>
      </c>
      <c r="E244" s="303">
        <f t="shared" si="87"/>
        <v>0.3</v>
      </c>
      <c r="F244" s="303">
        <f t="shared" si="87"/>
        <v>0.3</v>
      </c>
      <c r="G244" s="303">
        <f t="shared" si="87"/>
        <v>0.3</v>
      </c>
      <c r="H244" s="303">
        <f t="shared" si="87"/>
        <v>0.3</v>
      </c>
      <c r="I244" s="303">
        <f t="shared" si="87"/>
        <v>0.3</v>
      </c>
      <c r="J244" s="303">
        <f t="shared" si="87"/>
        <v>0.3</v>
      </c>
      <c r="K244" s="303">
        <f t="shared" si="87"/>
        <v>0.3</v>
      </c>
      <c r="L244" s="303">
        <f t="shared" si="87"/>
        <v>0.3</v>
      </c>
      <c r="M244" s="303">
        <f t="shared" si="87"/>
        <v>0.3</v>
      </c>
      <c r="N244" s="303">
        <f t="shared" si="87"/>
        <v>0.3</v>
      </c>
      <c r="O244" s="303">
        <f t="shared" si="87"/>
        <v>0.3</v>
      </c>
      <c r="P244" s="303">
        <f t="shared" si="87"/>
        <v>0.3</v>
      </c>
      <c r="Q244" s="303">
        <f t="shared" si="87"/>
        <v>0.3</v>
      </c>
      <c r="R244" s="303">
        <f t="shared" si="87"/>
        <v>0.3</v>
      </c>
      <c r="S244" s="383">
        <f t="shared" si="87"/>
        <v>0.3</v>
      </c>
    </row>
    <row r="245" spans="1:19" ht="12.75" customHeight="1" x14ac:dyDescent="0.2">
      <c r="A245" s="198" t="str">
        <f>"      "&amp;Labels!B386</f>
        <v xml:space="preserve">      Prof Level 2</v>
      </c>
      <c r="B245" s="303"/>
      <c r="C245" s="303"/>
      <c r="D245" s="303"/>
      <c r="E245" s="303"/>
      <c r="F245" s="303"/>
      <c r="G245" s="303"/>
      <c r="H245" s="303"/>
      <c r="I245" s="303"/>
      <c r="J245" s="303"/>
      <c r="K245" s="303"/>
      <c r="L245" s="303"/>
      <c r="M245" s="303"/>
      <c r="N245" s="303"/>
      <c r="O245" s="303"/>
      <c r="P245" s="303"/>
      <c r="Q245" s="303"/>
      <c r="R245" s="303"/>
      <c r="S245" s="383"/>
    </row>
    <row r="246" spans="1:19" ht="12.75" customHeight="1" x14ac:dyDescent="0.2">
      <c r="A246" s="198" t="str">
        <f>"         "&amp;Labels!B317</f>
        <v xml:space="preserve">         Channels 1</v>
      </c>
      <c r="B246" s="384">
        <f>Inputs!F107</f>
        <v>0.3</v>
      </c>
      <c r="C246" s="384">
        <f>Inputs!G107</f>
        <v>0.3</v>
      </c>
      <c r="D246" s="384">
        <f>Inputs!H107</f>
        <v>0.3</v>
      </c>
      <c r="E246" s="384">
        <f>Inputs!I107</f>
        <v>0.3</v>
      </c>
      <c r="F246" s="384">
        <f>Inputs!J107</f>
        <v>0.3</v>
      </c>
      <c r="G246" s="384">
        <f>Inputs!K107</f>
        <v>0.3</v>
      </c>
      <c r="H246" s="384">
        <f>Inputs!L107</f>
        <v>0.3</v>
      </c>
      <c r="I246" s="384">
        <f>Inputs!M107</f>
        <v>0.3</v>
      </c>
      <c r="J246" s="384">
        <f>Inputs!N107</f>
        <v>0.3</v>
      </c>
      <c r="K246" s="384">
        <f>Inputs!O107</f>
        <v>0.3</v>
      </c>
      <c r="L246" s="384">
        <f>Inputs!P107</f>
        <v>0.3</v>
      </c>
      <c r="M246" s="384">
        <f>Inputs!Q107</f>
        <v>0.3</v>
      </c>
      <c r="N246" s="384">
        <f>Inputs!R107</f>
        <v>0.3</v>
      </c>
      <c r="O246" s="384">
        <f>Inputs!S107</f>
        <v>0.3</v>
      </c>
      <c r="P246" s="384">
        <f>Inputs!T107</f>
        <v>0.3</v>
      </c>
      <c r="Q246" s="384">
        <f>Inputs!U107</f>
        <v>0.3</v>
      </c>
      <c r="R246" s="384">
        <f>Inputs!V107</f>
        <v>0.3</v>
      </c>
      <c r="S246" s="385">
        <f>Inputs!W107</f>
        <v>0.3</v>
      </c>
    </row>
    <row r="247" spans="1:19" ht="12.75" customHeight="1" x14ac:dyDescent="0.2">
      <c r="A247" s="198" t="str">
        <f>"         "&amp;Labels!B318</f>
        <v xml:space="preserve">         Channels 2</v>
      </c>
      <c r="B247" s="384">
        <f>Inputs!F108</f>
        <v>0.3</v>
      </c>
      <c r="C247" s="384">
        <f>Inputs!G108</f>
        <v>0.3</v>
      </c>
      <c r="D247" s="384">
        <f>Inputs!H108</f>
        <v>0.3</v>
      </c>
      <c r="E247" s="384">
        <f>Inputs!I108</f>
        <v>0.3</v>
      </c>
      <c r="F247" s="384">
        <f>Inputs!J108</f>
        <v>0.3</v>
      </c>
      <c r="G247" s="384">
        <f>Inputs!K108</f>
        <v>0.3</v>
      </c>
      <c r="H247" s="384">
        <f>Inputs!L108</f>
        <v>0.3</v>
      </c>
      <c r="I247" s="384">
        <f>Inputs!M108</f>
        <v>0.3</v>
      </c>
      <c r="J247" s="384">
        <f>Inputs!N108</f>
        <v>0.3</v>
      </c>
      <c r="K247" s="384">
        <f>Inputs!O108</f>
        <v>0.3</v>
      </c>
      <c r="L247" s="384">
        <f>Inputs!P108</f>
        <v>0.3</v>
      </c>
      <c r="M247" s="384">
        <f>Inputs!Q108</f>
        <v>0.3</v>
      </c>
      <c r="N247" s="384">
        <f>Inputs!R108</f>
        <v>0.3</v>
      </c>
      <c r="O247" s="384">
        <f>Inputs!S108</f>
        <v>0.3</v>
      </c>
      <c r="P247" s="384">
        <f>Inputs!T108</f>
        <v>0.3</v>
      </c>
      <c r="Q247" s="384">
        <f>Inputs!U108</f>
        <v>0.3</v>
      </c>
      <c r="R247" s="384">
        <f>Inputs!V108</f>
        <v>0.3</v>
      </c>
      <c r="S247" s="385">
        <f>Inputs!W108</f>
        <v>0.3</v>
      </c>
    </row>
    <row r="248" spans="1:19" ht="12.75" customHeight="1" x14ac:dyDescent="0.2">
      <c r="A248" s="198" t="str">
        <f>"         "&amp;Labels!C316</f>
        <v xml:space="preserve">         Total</v>
      </c>
      <c r="B248" s="303">
        <f t="shared" ref="B248:S248" si="88">AVERAGE(B246:B247)</f>
        <v>0.3</v>
      </c>
      <c r="C248" s="303">
        <f t="shared" si="88"/>
        <v>0.3</v>
      </c>
      <c r="D248" s="303">
        <f t="shared" si="88"/>
        <v>0.3</v>
      </c>
      <c r="E248" s="303">
        <f t="shared" si="88"/>
        <v>0.3</v>
      </c>
      <c r="F248" s="303">
        <f t="shared" si="88"/>
        <v>0.3</v>
      </c>
      <c r="G248" s="303">
        <f t="shared" si="88"/>
        <v>0.3</v>
      </c>
      <c r="H248" s="303">
        <f t="shared" si="88"/>
        <v>0.3</v>
      </c>
      <c r="I248" s="303">
        <f t="shared" si="88"/>
        <v>0.3</v>
      </c>
      <c r="J248" s="303">
        <f t="shared" si="88"/>
        <v>0.3</v>
      </c>
      <c r="K248" s="303">
        <f t="shared" si="88"/>
        <v>0.3</v>
      </c>
      <c r="L248" s="303">
        <f t="shared" si="88"/>
        <v>0.3</v>
      </c>
      <c r="M248" s="303">
        <f t="shared" si="88"/>
        <v>0.3</v>
      </c>
      <c r="N248" s="303">
        <f t="shared" si="88"/>
        <v>0.3</v>
      </c>
      <c r="O248" s="303">
        <f t="shared" si="88"/>
        <v>0.3</v>
      </c>
      <c r="P248" s="303">
        <f t="shared" si="88"/>
        <v>0.3</v>
      </c>
      <c r="Q248" s="303">
        <f t="shared" si="88"/>
        <v>0.3</v>
      </c>
      <c r="R248" s="303">
        <f t="shared" si="88"/>
        <v>0.3</v>
      </c>
      <c r="S248" s="383">
        <f t="shared" si="88"/>
        <v>0.3</v>
      </c>
    </row>
    <row r="249" spans="1:19" ht="12.75" customHeight="1" x14ac:dyDescent="0.2">
      <c r="A249" s="188" t="str">
        <f>"      "&amp;Labels!C384</f>
        <v xml:space="preserve">      Total</v>
      </c>
      <c r="B249" s="275">
        <f t="shared" ref="B249:S249" si="89">AVERAGE(B244,B248)</f>
        <v>0.3</v>
      </c>
      <c r="C249" s="275">
        <f t="shared" si="89"/>
        <v>0.3</v>
      </c>
      <c r="D249" s="275">
        <f t="shared" si="89"/>
        <v>0.3</v>
      </c>
      <c r="E249" s="275">
        <f t="shared" si="89"/>
        <v>0.3</v>
      </c>
      <c r="F249" s="275">
        <f t="shared" si="89"/>
        <v>0.3</v>
      </c>
      <c r="G249" s="275">
        <f t="shared" si="89"/>
        <v>0.3</v>
      </c>
      <c r="H249" s="275">
        <f t="shared" si="89"/>
        <v>0.3</v>
      </c>
      <c r="I249" s="275">
        <f t="shared" si="89"/>
        <v>0.3</v>
      </c>
      <c r="J249" s="275">
        <f t="shared" si="89"/>
        <v>0.3</v>
      </c>
      <c r="K249" s="275">
        <f t="shared" si="89"/>
        <v>0.3</v>
      </c>
      <c r="L249" s="275">
        <f t="shared" si="89"/>
        <v>0.3</v>
      </c>
      <c r="M249" s="275">
        <f t="shared" si="89"/>
        <v>0.3</v>
      </c>
      <c r="N249" s="275">
        <f t="shared" si="89"/>
        <v>0.3</v>
      </c>
      <c r="O249" s="275">
        <f t="shared" si="89"/>
        <v>0.3</v>
      </c>
      <c r="P249" s="275">
        <f t="shared" si="89"/>
        <v>0.3</v>
      </c>
      <c r="Q249" s="275">
        <f t="shared" si="89"/>
        <v>0.3</v>
      </c>
      <c r="R249" s="275">
        <f t="shared" si="89"/>
        <v>0.3</v>
      </c>
      <c r="S249" s="276">
        <f t="shared" si="89"/>
        <v>0.3</v>
      </c>
    </row>
    <row r="250" spans="1:19" ht="12.75" customHeight="1" x14ac:dyDescent="0.2">
      <c r="A250" s="198" t="str">
        <f>"         "&amp;Labels!B317</f>
        <v xml:space="preserve">         Channels 1</v>
      </c>
      <c r="B250" s="384">
        <f t="shared" ref="B250:S250" si="90">AVERAGE(B242,B246)</f>
        <v>0.3</v>
      </c>
      <c r="C250" s="384">
        <f t="shared" si="90"/>
        <v>0.3</v>
      </c>
      <c r="D250" s="384">
        <f t="shared" si="90"/>
        <v>0.3</v>
      </c>
      <c r="E250" s="384">
        <f t="shared" si="90"/>
        <v>0.3</v>
      </c>
      <c r="F250" s="384">
        <f t="shared" si="90"/>
        <v>0.3</v>
      </c>
      <c r="G250" s="384">
        <f t="shared" si="90"/>
        <v>0.3</v>
      </c>
      <c r="H250" s="384">
        <f t="shared" si="90"/>
        <v>0.3</v>
      </c>
      <c r="I250" s="384">
        <f t="shared" si="90"/>
        <v>0.3</v>
      </c>
      <c r="J250" s="384">
        <f t="shared" si="90"/>
        <v>0.3</v>
      </c>
      <c r="K250" s="384">
        <f t="shared" si="90"/>
        <v>0.3</v>
      </c>
      <c r="L250" s="384">
        <f t="shared" si="90"/>
        <v>0.3</v>
      </c>
      <c r="M250" s="384">
        <f t="shared" si="90"/>
        <v>0.3</v>
      </c>
      <c r="N250" s="384">
        <f t="shared" si="90"/>
        <v>0.3</v>
      </c>
      <c r="O250" s="384">
        <f t="shared" si="90"/>
        <v>0.3</v>
      </c>
      <c r="P250" s="384">
        <f t="shared" si="90"/>
        <v>0.3</v>
      </c>
      <c r="Q250" s="384">
        <f t="shared" si="90"/>
        <v>0.3</v>
      </c>
      <c r="R250" s="384">
        <f t="shared" si="90"/>
        <v>0.3</v>
      </c>
      <c r="S250" s="385">
        <f t="shared" si="90"/>
        <v>0.3</v>
      </c>
    </row>
    <row r="251" spans="1:19" ht="12.75" customHeight="1" x14ac:dyDescent="0.2">
      <c r="A251" s="198" t="str">
        <f>"         "&amp;Labels!B318</f>
        <v xml:space="preserve">         Channels 2</v>
      </c>
      <c r="B251" s="384">
        <f t="shared" ref="B251:S251" si="91">AVERAGE(B243,B247)</f>
        <v>0.3</v>
      </c>
      <c r="C251" s="384">
        <f t="shared" si="91"/>
        <v>0.3</v>
      </c>
      <c r="D251" s="384">
        <f t="shared" si="91"/>
        <v>0.3</v>
      </c>
      <c r="E251" s="384">
        <f t="shared" si="91"/>
        <v>0.3</v>
      </c>
      <c r="F251" s="384">
        <f t="shared" si="91"/>
        <v>0.3</v>
      </c>
      <c r="G251" s="384">
        <f t="shared" si="91"/>
        <v>0.3</v>
      </c>
      <c r="H251" s="384">
        <f t="shared" si="91"/>
        <v>0.3</v>
      </c>
      <c r="I251" s="384">
        <f t="shared" si="91"/>
        <v>0.3</v>
      </c>
      <c r="J251" s="384">
        <f t="shared" si="91"/>
        <v>0.3</v>
      </c>
      <c r="K251" s="384">
        <f t="shared" si="91"/>
        <v>0.3</v>
      </c>
      <c r="L251" s="384">
        <f t="shared" si="91"/>
        <v>0.3</v>
      </c>
      <c r="M251" s="384">
        <f t="shared" si="91"/>
        <v>0.3</v>
      </c>
      <c r="N251" s="384">
        <f t="shared" si="91"/>
        <v>0.3</v>
      </c>
      <c r="O251" s="384">
        <f t="shared" si="91"/>
        <v>0.3</v>
      </c>
      <c r="P251" s="384">
        <f t="shared" si="91"/>
        <v>0.3</v>
      </c>
      <c r="Q251" s="384">
        <f t="shared" si="91"/>
        <v>0.3</v>
      </c>
      <c r="R251" s="384">
        <f t="shared" si="91"/>
        <v>0.3</v>
      </c>
      <c r="S251" s="385">
        <f t="shared" si="91"/>
        <v>0.3</v>
      </c>
    </row>
    <row r="252" spans="1:19" ht="12.75" customHeight="1" x14ac:dyDescent="0.2">
      <c r="A252" s="198" t="str">
        <f>"         "&amp;Labels!C316</f>
        <v xml:space="preserve">         Total</v>
      </c>
      <c r="B252" s="303">
        <f t="shared" ref="B252:S252" si="92">AVERAGE(B244,B248)</f>
        <v>0.3</v>
      </c>
      <c r="C252" s="303">
        <f t="shared" si="92"/>
        <v>0.3</v>
      </c>
      <c r="D252" s="303">
        <f t="shared" si="92"/>
        <v>0.3</v>
      </c>
      <c r="E252" s="303">
        <f t="shared" si="92"/>
        <v>0.3</v>
      </c>
      <c r="F252" s="303">
        <f t="shared" si="92"/>
        <v>0.3</v>
      </c>
      <c r="G252" s="303">
        <f t="shared" si="92"/>
        <v>0.3</v>
      </c>
      <c r="H252" s="303">
        <f t="shared" si="92"/>
        <v>0.3</v>
      </c>
      <c r="I252" s="303">
        <f t="shared" si="92"/>
        <v>0.3</v>
      </c>
      <c r="J252" s="303">
        <f t="shared" si="92"/>
        <v>0.3</v>
      </c>
      <c r="K252" s="303">
        <f t="shared" si="92"/>
        <v>0.3</v>
      </c>
      <c r="L252" s="303">
        <f t="shared" si="92"/>
        <v>0.3</v>
      </c>
      <c r="M252" s="303">
        <f t="shared" si="92"/>
        <v>0.3</v>
      </c>
      <c r="N252" s="303">
        <f t="shared" si="92"/>
        <v>0.3</v>
      </c>
      <c r="O252" s="303">
        <f t="shared" si="92"/>
        <v>0.3</v>
      </c>
      <c r="P252" s="303">
        <f t="shared" si="92"/>
        <v>0.3</v>
      </c>
      <c r="Q252" s="303">
        <f t="shared" si="92"/>
        <v>0.3</v>
      </c>
      <c r="R252" s="303">
        <f t="shared" si="92"/>
        <v>0.3</v>
      </c>
      <c r="S252" s="383">
        <f t="shared" si="92"/>
        <v>0.3</v>
      </c>
    </row>
    <row r="253" spans="1:19" ht="12.75" customHeight="1" x14ac:dyDescent="0.2">
      <c r="A253" s="188" t="str">
        <f>"   "&amp;Labels!B382</f>
        <v xml:space="preserve">   Practice 2</v>
      </c>
      <c r="B253" s="275"/>
      <c r="C253" s="275"/>
      <c r="D253" s="275"/>
      <c r="E253" s="275"/>
      <c r="F253" s="275"/>
      <c r="G253" s="275"/>
      <c r="H253" s="275"/>
      <c r="I253" s="275"/>
      <c r="J253" s="275"/>
      <c r="K253" s="275"/>
      <c r="L253" s="275"/>
      <c r="M253" s="275"/>
      <c r="N253" s="275"/>
      <c r="O253" s="275"/>
      <c r="P253" s="275"/>
      <c r="Q253" s="275"/>
      <c r="R253" s="275"/>
      <c r="S253" s="276"/>
    </row>
    <row r="254" spans="1:19" ht="12.75" customHeight="1" x14ac:dyDescent="0.2">
      <c r="A254" s="198" t="str">
        <f>"      "&amp;Labels!B385</f>
        <v xml:space="preserve">      Prof Level 1</v>
      </c>
      <c r="B254" s="303"/>
      <c r="C254" s="303"/>
      <c r="D254" s="303"/>
      <c r="E254" s="303"/>
      <c r="F254" s="303"/>
      <c r="G254" s="303"/>
      <c r="H254" s="303"/>
      <c r="I254" s="303"/>
      <c r="J254" s="303"/>
      <c r="K254" s="303"/>
      <c r="L254" s="303"/>
      <c r="M254" s="303"/>
      <c r="N254" s="303"/>
      <c r="O254" s="303"/>
      <c r="P254" s="303"/>
      <c r="Q254" s="303"/>
      <c r="R254" s="303"/>
      <c r="S254" s="383"/>
    </row>
    <row r="255" spans="1:19" ht="12.75" customHeight="1" x14ac:dyDescent="0.2">
      <c r="A255" s="198" t="str">
        <f>"         "&amp;Labels!B317</f>
        <v xml:space="preserve">         Channels 1</v>
      </c>
      <c r="B255" s="384">
        <f>Inputs!F109</f>
        <v>0.3</v>
      </c>
      <c r="C255" s="384">
        <f>Inputs!G109</f>
        <v>0.3</v>
      </c>
      <c r="D255" s="384">
        <f>Inputs!H109</f>
        <v>0.3</v>
      </c>
      <c r="E255" s="384">
        <f>Inputs!I109</f>
        <v>0.3</v>
      </c>
      <c r="F255" s="384">
        <f>Inputs!J109</f>
        <v>0.3</v>
      </c>
      <c r="G255" s="384">
        <f>Inputs!K109</f>
        <v>0.3</v>
      </c>
      <c r="H255" s="384">
        <f>Inputs!L109</f>
        <v>0.3</v>
      </c>
      <c r="I255" s="384">
        <f>Inputs!M109</f>
        <v>0.3</v>
      </c>
      <c r="J255" s="384">
        <f>Inputs!N109</f>
        <v>0.3</v>
      </c>
      <c r="K255" s="384">
        <f>Inputs!O109</f>
        <v>0.3</v>
      </c>
      <c r="L255" s="384">
        <f>Inputs!P109</f>
        <v>0.3</v>
      </c>
      <c r="M255" s="384">
        <f>Inputs!Q109</f>
        <v>0.3</v>
      </c>
      <c r="N255" s="384">
        <f>Inputs!R109</f>
        <v>0.3</v>
      </c>
      <c r="O255" s="384">
        <f>Inputs!S109</f>
        <v>0.3</v>
      </c>
      <c r="P255" s="384">
        <f>Inputs!T109</f>
        <v>0.3</v>
      </c>
      <c r="Q255" s="384">
        <f>Inputs!U109</f>
        <v>0.3</v>
      </c>
      <c r="R255" s="384">
        <f>Inputs!V109</f>
        <v>0.3</v>
      </c>
      <c r="S255" s="385">
        <f>Inputs!W109</f>
        <v>0.3</v>
      </c>
    </row>
    <row r="256" spans="1:19" ht="12.75" customHeight="1" x14ac:dyDescent="0.2">
      <c r="A256" s="198" t="str">
        <f>"         "&amp;Labels!B318</f>
        <v xml:space="preserve">         Channels 2</v>
      </c>
      <c r="B256" s="384">
        <f>Inputs!F110</f>
        <v>0.3</v>
      </c>
      <c r="C256" s="384">
        <f>Inputs!G110</f>
        <v>0.3</v>
      </c>
      <c r="D256" s="384">
        <f>Inputs!H110</f>
        <v>0.3</v>
      </c>
      <c r="E256" s="384">
        <f>Inputs!I110</f>
        <v>0.3</v>
      </c>
      <c r="F256" s="384">
        <f>Inputs!J110</f>
        <v>0.3</v>
      </c>
      <c r="G256" s="384">
        <f>Inputs!K110</f>
        <v>0.3</v>
      </c>
      <c r="H256" s="384">
        <f>Inputs!L110</f>
        <v>0.3</v>
      </c>
      <c r="I256" s="384">
        <f>Inputs!M110</f>
        <v>0.3</v>
      </c>
      <c r="J256" s="384">
        <f>Inputs!N110</f>
        <v>0.3</v>
      </c>
      <c r="K256" s="384">
        <f>Inputs!O110</f>
        <v>0.3</v>
      </c>
      <c r="L256" s="384">
        <f>Inputs!P110</f>
        <v>0.3</v>
      </c>
      <c r="M256" s="384">
        <f>Inputs!Q110</f>
        <v>0.3</v>
      </c>
      <c r="N256" s="384">
        <f>Inputs!R110</f>
        <v>0.3</v>
      </c>
      <c r="O256" s="384">
        <f>Inputs!S110</f>
        <v>0.3</v>
      </c>
      <c r="P256" s="384">
        <f>Inputs!T110</f>
        <v>0.3</v>
      </c>
      <c r="Q256" s="384">
        <f>Inputs!U110</f>
        <v>0.3</v>
      </c>
      <c r="R256" s="384">
        <f>Inputs!V110</f>
        <v>0.3</v>
      </c>
      <c r="S256" s="385">
        <f>Inputs!W110</f>
        <v>0.3</v>
      </c>
    </row>
    <row r="257" spans="1:19" ht="12.75" customHeight="1" x14ac:dyDescent="0.2">
      <c r="A257" s="198" t="str">
        <f>"         "&amp;Labels!C316</f>
        <v xml:space="preserve">         Total</v>
      </c>
      <c r="B257" s="303">
        <f t="shared" ref="B257:S257" si="93">AVERAGE(B255:B256)</f>
        <v>0.3</v>
      </c>
      <c r="C257" s="303">
        <f t="shared" si="93"/>
        <v>0.3</v>
      </c>
      <c r="D257" s="303">
        <f t="shared" si="93"/>
        <v>0.3</v>
      </c>
      <c r="E257" s="303">
        <f t="shared" si="93"/>
        <v>0.3</v>
      </c>
      <c r="F257" s="303">
        <f t="shared" si="93"/>
        <v>0.3</v>
      </c>
      <c r="G257" s="303">
        <f t="shared" si="93"/>
        <v>0.3</v>
      </c>
      <c r="H257" s="303">
        <f t="shared" si="93"/>
        <v>0.3</v>
      </c>
      <c r="I257" s="303">
        <f t="shared" si="93"/>
        <v>0.3</v>
      </c>
      <c r="J257" s="303">
        <f t="shared" si="93"/>
        <v>0.3</v>
      </c>
      <c r="K257" s="303">
        <f t="shared" si="93"/>
        <v>0.3</v>
      </c>
      <c r="L257" s="303">
        <f t="shared" si="93"/>
        <v>0.3</v>
      </c>
      <c r="M257" s="303">
        <f t="shared" si="93"/>
        <v>0.3</v>
      </c>
      <c r="N257" s="303">
        <f t="shared" si="93"/>
        <v>0.3</v>
      </c>
      <c r="O257" s="303">
        <f t="shared" si="93"/>
        <v>0.3</v>
      </c>
      <c r="P257" s="303">
        <f t="shared" si="93"/>
        <v>0.3</v>
      </c>
      <c r="Q257" s="303">
        <f t="shared" si="93"/>
        <v>0.3</v>
      </c>
      <c r="R257" s="303">
        <f t="shared" si="93"/>
        <v>0.3</v>
      </c>
      <c r="S257" s="383">
        <f t="shared" si="93"/>
        <v>0.3</v>
      </c>
    </row>
    <row r="258" spans="1:19" ht="12.75" customHeight="1" x14ac:dyDescent="0.2">
      <c r="A258" s="198" t="str">
        <f>"      "&amp;Labels!B386</f>
        <v xml:space="preserve">      Prof Level 2</v>
      </c>
      <c r="B258" s="303"/>
      <c r="C258" s="303"/>
      <c r="D258" s="303"/>
      <c r="E258" s="303"/>
      <c r="F258" s="303"/>
      <c r="G258" s="303"/>
      <c r="H258" s="303"/>
      <c r="I258" s="303"/>
      <c r="J258" s="303"/>
      <c r="K258" s="303"/>
      <c r="L258" s="303"/>
      <c r="M258" s="303"/>
      <c r="N258" s="303"/>
      <c r="O258" s="303"/>
      <c r="P258" s="303"/>
      <c r="Q258" s="303"/>
      <c r="R258" s="303"/>
      <c r="S258" s="383"/>
    </row>
    <row r="259" spans="1:19" ht="12.75" customHeight="1" x14ac:dyDescent="0.2">
      <c r="A259" s="198" t="str">
        <f>"         "&amp;Labels!B317</f>
        <v xml:space="preserve">         Channels 1</v>
      </c>
      <c r="B259" s="384">
        <f>Inputs!F111</f>
        <v>0.3</v>
      </c>
      <c r="C259" s="384">
        <f>Inputs!G111</f>
        <v>0.3</v>
      </c>
      <c r="D259" s="384">
        <f>Inputs!H111</f>
        <v>0.3</v>
      </c>
      <c r="E259" s="384">
        <f>Inputs!I111</f>
        <v>0.3</v>
      </c>
      <c r="F259" s="384">
        <f>Inputs!J111</f>
        <v>0.3</v>
      </c>
      <c r="G259" s="384">
        <f>Inputs!K111</f>
        <v>0.3</v>
      </c>
      <c r="H259" s="384">
        <f>Inputs!L111</f>
        <v>0.3</v>
      </c>
      <c r="I259" s="384">
        <f>Inputs!M111</f>
        <v>0.3</v>
      </c>
      <c r="J259" s="384">
        <f>Inputs!N111</f>
        <v>0.3</v>
      </c>
      <c r="K259" s="384">
        <f>Inputs!O111</f>
        <v>0.3</v>
      </c>
      <c r="L259" s="384">
        <f>Inputs!P111</f>
        <v>0.3</v>
      </c>
      <c r="M259" s="384">
        <f>Inputs!Q111</f>
        <v>0.3</v>
      </c>
      <c r="N259" s="384">
        <f>Inputs!R111</f>
        <v>0.3</v>
      </c>
      <c r="O259" s="384">
        <f>Inputs!S111</f>
        <v>0.3</v>
      </c>
      <c r="P259" s="384">
        <f>Inputs!T111</f>
        <v>0.3</v>
      </c>
      <c r="Q259" s="384">
        <f>Inputs!U111</f>
        <v>0.3</v>
      </c>
      <c r="R259" s="384">
        <f>Inputs!V111</f>
        <v>0.3</v>
      </c>
      <c r="S259" s="385">
        <f>Inputs!W111</f>
        <v>0.3</v>
      </c>
    </row>
    <row r="260" spans="1:19" ht="12.75" customHeight="1" x14ac:dyDescent="0.2">
      <c r="A260" s="198" t="str">
        <f>"         "&amp;Labels!B318</f>
        <v xml:space="preserve">         Channels 2</v>
      </c>
      <c r="B260" s="384">
        <f>Inputs!F112</f>
        <v>0.3</v>
      </c>
      <c r="C260" s="384">
        <f>Inputs!G112</f>
        <v>0.3</v>
      </c>
      <c r="D260" s="384">
        <f>Inputs!H112</f>
        <v>0.3</v>
      </c>
      <c r="E260" s="384">
        <f>Inputs!I112</f>
        <v>0.3</v>
      </c>
      <c r="F260" s="384">
        <f>Inputs!J112</f>
        <v>0.3</v>
      </c>
      <c r="G260" s="384">
        <f>Inputs!K112</f>
        <v>0.3</v>
      </c>
      <c r="H260" s="384">
        <f>Inputs!L112</f>
        <v>0.3</v>
      </c>
      <c r="I260" s="384">
        <f>Inputs!M112</f>
        <v>0.3</v>
      </c>
      <c r="J260" s="384">
        <f>Inputs!N112</f>
        <v>0.3</v>
      </c>
      <c r="K260" s="384">
        <f>Inputs!O112</f>
        <v>0.3</v>
      </c>
      <c r="L260" s="384">
        <f>Inputs!P112</f>
        <v>0.3</v>
      </c>
      <c r="M260" s="384">
        <f>Inputs!Q112</f>
        <v>0.3</v>
      </c>
      <c r="N260" s="384">
        <f>Inputs!R112</f>
        <v>0.3</v>
      </c>
      <c r="O260" s="384">
        <f>Inputs!S112</f>
        <v>0.3</v>
      </c>
      <c r="P260" s="384">
        <f>Inputs!T112</f>
        <v>0.3</v>
      </c>
      <c r="Q260" s="384">
        <f>Inputs!U112</f>
        <v>0.3</v>
      </c>
      <c r="R260" s="384">
        <f>Inputs!V112</f>
        <v>0.3</v>
      </c>
      <c r="S260" s="385">
        <f>Inputs!W112</f>
        <v>0.3</v>
      </c>
    </row>
    <row r="261" spans="1:19" ht="12.75" customHeight="1" x14ac:dyDescent="0.2">
      <c r="A261" s="198" t="str">
        <f>"         "&amp;Labels!C316</f>
        <v xml:space="preserve">         Total</v>
      </c>
      <c r="B261" s="303">
        <f t="shared" ref="B261:S261" si="94">AVERAGE(B259:B260)</f>
        <v>0.3</v>
      </c>
      <c r="C261" s="303">
        <f t="shared" si="94"/>
        <v>0.3</v>
      </c>
      <c r="D261" s="303">
        <f t="shared" si="94"/>
        <v>0.3</v>
      </c>
      <c r="E261" s="303">
        <f t="shared" si="94"/>
        <v>0.3</v>
      </c>
      <c r="F261" s="303">
        <f t="shared" si="94"/>
        <v>0.3</v>
      </c>
      <c r="G261" s="303">
        <f t="shared" si="94"/>
        <v>0.3</v>
      </c>
      <c r="H261" s="303">
        <f t="shared" si="94"/>
        <v>0.3</v>
      </c>
      <c r="I261" s="303">
        <f t="shared" si="94"/>
        <v>0.3</v>
      </c>
      <c r="J261" s="303">
        <f t="shared" si="94"/>
        <v>0.3</v>
      </c>
      <c r="K261" s="303">
        <f t="shared" si="94"/>
        <v>0.3</v>
      </c>
      <c r="L261" s="303">
        <f t="shared" si="94"/>
        <v>0.3</v>
      </c>
      <c r="M261" s="303">
        <f t="shared" si="94"/>
        <v>0.3</v>
      </c>
      <c r="N261" s="303">
        <f t="shared" si="94"/>
        <v>0.3</v>
      </c>
      <c r="O261" s="303">
        <f t="shared" si="94"/>
        <v>0.3</v>
      </c>
      <c r="P261" s="303">
        <f t="shared" si="94"/>
        <v>0.3</v>
      </c>
      <c r="Q261" s="303">
        <f t="shared" si="94"/>
        <v>0.3</v>
      </c>
      <c r="R261" s="303">
        <f t="shared" si="94"/>
        <v>0.3</v>
      </c>
      <c r="S261" s="383">
        <f t="shared" si="94"/>
        <v>0.3</v>
      </c>
    </row>
    <row r="262" spans="1:19" ht="12.75" customHeight="1" x14ac:dyDescent="0.2">
      <c r="A262" s="188" t="str">
        <f>"      "&amp;Labels!C384</f>
        <v xml:space="preserve">      Total</v>
      </c>
      <c r="B262" s="275">
        <f t="shared" ref="B262:S262" si="95">AVERAGE(B257,B261)</f>
        <v>0.3</v>
      </c>
      <c r="C262" s="275">
        <f t="shared" si="95"/>
        <v>0.3</v>
      </c>
      <c r="D262" s="275">
        <f t="shared" si="95"/>
        <v>0.3</v>
      </c>
      <c r="E262" s="275">
        <f t="shared" si="95"/>
        <v>0.3</v>
      </c>
      <c r="F262" s="275">
        <f t="shared" si="95"/>
        <v>0.3</v>
      </c>
      <c r="G262" s="275">
        <f t="shared" si="95"/>
        <v>0.3</v>
      </c>
      <c r="H262" s="275">
        <f t="shared" si="95"/>
        <v>0.3</v>
      </c>
      <c r="I262" s="275">
        <f t="shared" si="95"/>
        <v>0.3</v>
      </c>
      <c r="J262" s="275">
        <f t="shared" si="95"/>
        <v>0.3</v>
      </c>
      <c r="K262" s="275">
        <f t="shared" si="95"/>
        <v>0.3</v>
      </c>
      <c r="L262" s="275">
        <f t="shared" si="95"/>
        <v>0.3</v>
      </c>
      <c r="M262" s="275">
        <f t="shared" si="95"/>
        <v>0.3</v>
      </c>
      <c r="N262" s="275">
        <f t="shared" si="95"/>
        <v>0.3</v>
      </c>
      <c r="O262" s="275">
        <f t="shared" si="95"/>
        <v>0.3</v>
      </c>
      <c r="P262" s="275">
        <f t="shared" si="95"/>
        <v>0.3</v>
      </c>
      <c r="Q262" s="275">
        <f t="shared" si="95"/>
        <v>0.3</v>
      </c>
      <c r="R262" s="275">
        <f t="shared" si="95"/>
        <v>0.3</v>
      </c>
      <c r="S262" s="276">
        <f t="shared" si="95"/>
        <v>0.3</v>
      </c>
    </row>
    <row r="263" spans="1:19" ht="12.75" customHeight="1" x14ac:dyDescent="0.2">
      <c r="A263" s="198" t="str">
        <f>"         "&amp;Labels!B317</f>
        <v xml:space="preserve">         Channels 1</v>
      </c>
      <c r="B263" s="384">
        <f t="shared" ref="B263:S263" si="96">AVERAGE(B255,B259)</f>
        <v>0.3</v>
      </c>
      <c r="C263" s="384">
        <f t="shared" si="96"/>
        <v>0.3</v>
      </c>
      <c r="D263" s="384">
        <f t="shared" si="96"/>
        <v>0.3</v>
      </c>
      <c r="E263" s="384">
        <f t="shared" si="96"/>
        <v>0.3</v>
      </c>
      <c r="F263" s="384">
        <f t="shared" si="96"/>
        <v>0.3</v>
      </c>
      <c r="G263" s="384">
        <f t="shared" si="96"/>
        <v>0.3</v>
      </c>
      <c r="H263" s="384">
        <f t="shared" si="96"/>
        <v>0.3</v>
      </c>
      <c r="I263" s="384">
        <f t="shared" si="96"/>
        <v>0.3</v>
      </c>
      <c r="J263" s="384">
        <f t="shared" si="96"/>
        <v>0.3</v>
      </c>
      <c r="K263" s="384">
        <f t="shared" si="96"/>
        <v>0.3</v>
      </c>
      <c r="L263" s="384">
        <f t="shared" si="96"/>
        <v>0.3</v>
      </c>
      <c r="M263" s="384">
        <f t="shared" si="96"/>
        <v>0.3</v>
      </c>
      <c r="N263" s="384">
        <f t="shared" si="96"/>
        <v>0.3</v>
      </c>
      <c r="O263" s="384">
        <f t="shared" si="96"/>
        <v>0.3</v>
      </c>
      <c r="P263" s="384">
        <f t="shared" si="96"/>
        <v>0.3</v>
      </c>
      <c r="Q263" s="384">
        <f t="shared" si="96"/>
        <v>0.3</v>
      </c>
      <c r="R263" s="384">
        <f t="shared" si="96"/>
        <v>0.3</v>
      </c>
      <c r="S263" s="385">
        <f t="shared" si="96"/>
        <v>0.3</v>
      </c>
    </row>
    <row r="264" spans="1:19" ht="12.75" customHeight="1" x14ac:dyDescent="0.2">
      <c r="A264" s="198" t="str">
        <f>"         "&amp;Labels!B318</f>
        <v xml:space="preserve">         Channels 2</v>
      </c>
      <c r="B264" s="384">
        <f t="shared" ref="B264:S264" si="97">AVERAGE(B256,B260)</f>
        <v>0.3</v>
      </c>
      <c r="C264" s="384">
        <f t="shared" si="97"/>
        <v>0.3</v>
      </c>
      <c r="D264" s="384">
        <f t="shared" si="97"/>
        <v>0.3</v>
      </c>
      <c r="E264" s="384">
        <f t="shared" si="97"/>
        <v>0.3</v>
      </c>
      <c r="F264" s="384">
        <f t="shared" si="97"/>
        <v>0.3</v>
      </c>
      <c r="G264" s="384">
        <f t="shared" si="97"/>
        <v>0.3</v>
      </c>
      <c r="H264" s="384">
        <f t="shared" si="97"/>
        <v>0.3</v>
      </c>
      <c r="I264" s="384">
        <f t="shared" si="97"/>
        <v>0.3</v>
      </c>
      <c r="J264" s="384">
        <f t="shared" si="97"/>
        <v>0.3</v>
      </c>
      <c r="K264" s="384">
        <f t="shared" si="97"/>
        <v>0.3</v>
      </c>
      <c r="L264" s="384">
        <f t="shared" si="97"/>
        <v>0.3</v>
      </c>
      <c r="M264" s="384">
        <f t="shared" si="97"/>
        <v>0.3</v>
      </c>
      <c r="N264" s="384">
        <f t="shared" si="97"/>
        <v>0.3</v>
      </c>
      <c r="O264" s="384">
        <f t="shared" si="97"/>
        <v>0.3</v>
      </c>
      <c r="P264" s="384">
        <f t="shared" si="97"/>
        <v>0.3</v>
      </c>
      <c r="Q264" s="384">
        <f t="shared" si="97"/>
        <v>0.3</v>
      </c>
      <c r="R264" s="384">
        <f t="shared" si="97"/>
        <v>0.3</v>
      </c>
      <c r="S264" s="385">
        <f t="shared" si="97"/>
        <v>0.3</v>
      </c>
    </row>
    <row r="265" spans="1:19" ht="12.75" customHeight="1" x14ac:dyDescent="0.2">
      <c r="A265" s="198" t="str">
        <f>"         "&amp;Labels!C316</f>
        <v xml:space="preserve">         Total</v>
      </c>
      <c r="B265" s="303">
        <f t="shared" ref="B265:S265" si="98">AVERAGE(B257,B261)</f>
        <v>0.3</v>
      </c>
      <c r="C265" s="303">
        <f t="shared" si="98"/>
        <v>0.3</v>
      </c>
      <c r="D265" s="303">
        <f t="shared" si="98"/>
        <v>0.3</v>
      </c>
      <c r="E265" s="303">
        <f t="shared" si="98"/>
        <v>0.3</v>
      </c>
      <c r="F265" s="303">
        <f t="shared" si="98"/>
        <v>0.3</v>
      </c>
      <c r="G265" s="303">
        <f t="shared" si="98"/>
        <v>0.3</v>
      </c>
      <c r="H265" s="303">
        <f t="shared" si="98"/>
        <v>0.3</v>
      </c>
      <c r="I265" s="303">
        <f t="shared" si="98"/>
        <v>0.3</v>
      </c>
      <c r="J265" s="303">
        <f t="shared" si="98"/>
        <v>0.3</v>
      </c>
      <c r="K265" s="303">
        <f t="shared" si="98"/>
        <v>0.3</v>
      </c>
      <c r="L265" s="303">
        <f t="shared" si="98"/>
        <v>0.3</v>
      </c>
      <c r="M265" s="303">
        <f t="shared" si="98"/>
        <v>0.3</v>
      </c>
      <c r="N265" s="303">
        <f t="shared" si="98"/>
        <v>0.3</v>
      </c>
      <c r="O265" s="303">
        <f t="shared" si="98"/>
        <v>0.3</v>
      </c>
      <c r="P265" s="303">
        <f t="shared" si="98"/>
        <v>0.3</v>
      </c>
      <c r="Q265" s="303">
        <f t="shared" si="98"/>
        <v>0.3</v>
      </c>
      <c r="R265" s="303">
        <f t="shared" si="98"/>
        <v>0.3</v>
      </c>
      <c r="S265" s="383">
        <f t="shared" si="98"/>
        <v>0.3</v>
      </c>
    </row>
    <row r="266" spans="1:19" ht="12.75" customHeight="1" x14ac:dyDescent="0.2">
      <c r="A266" s="191" t="str">
        <f>"   "&amp;Labels!C380</f>
        <v xml:space="preserve">   Total</v>
      </c>
      <c r="B266" s="300">
        <f t="shared" ref="B266:S266" si="99">AVERAGE(B249,B262)</f>
        <v>0.3</v>
      </c>
      <c r="C266" s="300">
        <f t="shared" si="99"/>
        <v>0.3</v>
      </c>
      <c r="D266" s="300">
        <f t="shared" si="99"/>
        <v>0.3</v>
      </c>
      <c r="E266" s="300">
        <f t="shared" si="99"/>
        <v>0.3</v>
      </c>
      <c r="F266" s="300">
        <f t="shared" si="99"/>
        <v>0.3</v>
      </c>
      <c r="G266" s="300">
        <f t="shared" si="99"/>
        <v>0.3</v>
      </c>
      <c r="H266" s="300">
        <f t="shared" si="99"/>
        <v>0.3</v>
      </c>
      <c r="I266" s="300">
        <f t="shared" si="99"/>
        <v>0.3</v>
      </c>
      <c r="J266" s="300">
        <f t="shared" si="99"/>
        <v>0.3</v>
      </c>
      <c r="K266" s="300">
        <f t="shared" si="99"/>
        <v>0.3</v>
      </c>
      <c r="L266" s="300">
        <f t="shared" si="99"/>
        <v>0.3</v>
      </c>
      <c r="M266" s="300">
        <f t="shared" si="99"/>
        <v>0.3</v>
      </c>
      <c r="N266" s="300">
        <f t="shared" si="99"/>
        <v>0.3</v>
      </c>
      <c r="O266" s="300">
        <f t="shared" si="99"/>
        <v>0.3</v>
      </c>
      <c r="P266" s="300">
        <f t="shared" si="99"/>
        <v>0.3</v>
      </c>
      <c r="Q266" s="300">
        <f t="shared" si="99"/>
        <v>0.3</v>
      </c>
      <c r="R266" s="300">
        <f t="shared" si="99"/>
        <v>0.3</v>
      </c>
      <c r="S266" s="386">
        <f t="shared" si="99"/>
        <v>0.3</v>
      </c>
    </row>
    <row r="267" spans="1:19" ht="12.75" customHeight="1" x14ac:dyDescent="0.2">
      <c r="A267" s="198" t="str">
        <f>"      "&amp;Labels!B385</f>
        <v xml:space="preserve">      Prof Level 1</v>
      </c>
      <c r="B267" s="303"/>
      <c r="C267" s="303"/>
      <c r="D267" s="303"/>
      <c r="E267" s="303"/>
      <c r="F267" s="303"/>
      <c r="G267" s="303"/>
      <c r="H267" s="303"/>
      <c r="I267" s="303"/>
      <c r="J267" s="303"/>
      <c r="K267" s="303"/>
      <c r="L267" s="303"/>
      <c r="M267" s="303"/>
      <c r="N267" s="303"/>
      <c r="O267" s="303"/>
      <c r="P267" s="303"/>
      <c r="Q267" s="303"/>
      <c r="R267" s="303"/>
      <c r="S267" s="383"/>
    </row>
    <row r="268" spans="1:19" ht="12.75" customHeight="1" x14ac:dyDescent="0.2">
      <c r="A268" s="198" t="str">
        <f>"         "&amp;Labels!B317</f>
        <v xml:space="preserve">         Channels 1</v>
      </c>
      <c r="B268" s="384">
        <f t="shared" ref="B268:S268" si="100">AVERAGE(B242,B255)</f>
        <v>0.3</v>
      </c>
      <c r="C268" s="384">
        <f t="shared" si="100"/>
        <v>0.3</v>
      </c>
      <c r="D268" s="384">
        <f t="shared" si="100"/>
        <v>0.3</v>
      </c>
      <c r="E268" s="384">
        <f t="shared" si="100"/>
        <v>0.3</v>
      </c>
      <c r="F268" s="384">
        <f t="shared" si="100"/>
        <v>0.3</v>
      </c>
      <c r="G268" s="384">
        <f t="shared" si="100"/>
        <v>0.3</v>
      </c>
      <c r="H268" s="384">
        <f t="shared" si="100"/>
        <v>0.3</v>
      </c>
      <c r="I268" s="384">
        <f t="shared" si="100"/>
        <v>0.3</v>
      </c>
      <c r="J268" s="384">
        <f t="shared" si="100"/>
        <v>0.3</v>
      </c>
      <c r="K268" s="384">
        <f t="shared" si="100"/>
        <v>0.3</v>
      </c>
      <c r="L268" s="384">
        <f t="shared" si="100"/>
        <v>0.3</v>
      </c>
      <c r="M268" s="384">
        <f t="shared" si="100"/>
        <v>0.3</v>
      </c>
      <c r="N268" s="384">
        <f t="shared" si="100"/>
        <v>0.3</v>
      </c>
      <c r="O268" s="384">
        <f t="shared" si="100"/>
        <v>0.3</v>
      </c>
      <c r="P268" s="384">
        <f t="shared" si="100"/>
        <v>0.3</v>
      </c>
      <c r="Q268" s="384">
        <f t="shared" si="100"/>
        <v>0.3</v>
      </c>
      <c r="R268" s="384">
        <f t="shared" si="100"/>
        <v>0.3</v>
      </c>
      <c r="S268" s="385">
        <f t="shared" si="100"/>
        <v>0.3</v>
      </c>
    </row>
    <row r="269" spans="1:19" ht="12.75" customHeight="1" x14ac:dyDescent="0.2">
      <c r="A269" s="198" t="str">
        <f>"         "&amp;Labels!B318</f>
        <v xml:space="preserve">         Channels 2</v>
      </c>
      <c r="B269" s="384">
        <f t="shared" ref="B269:S269" si="101">AVERAGE(B243,B256)</f>
        <v>0.3</v>
      </c>
      <c r="C269" s="384">
        <f t="shared" si="101"/>
        <v>0.3</v>
      </c>
      <c r="D269" s="384">
        <f t="shared" si="101"/>
        <v>0.3</v>
      </c>
      <c r="E269" s="384">
        <f t="shared" si="101"/>
        <v>0.3</v>
      </c>
      <c r="F269" s="384">
        <f t="shared" si="101"/>
        <v>0.3</v>
      </c>
      <c r="G269" s="384">
        <f t="shared" si="101"/>
        <v>0.3</v>
      </c>
      <c r="H269" s="384">
        <f t="shared" si="101"/>
        <v>0.3</v>
      </c>
      <c r="I269" s="384">
        <f t="shared" si="101"/>
        <v>0.3</v>
      </c>
      <c r="J269" s="384">
        <f t="shared" si="101"/>
        <v>0.3</v>
      </c>
      <c r="K269" s="384">
        <f t="shared" si="101"/>
        <v>0.3</v>
      </c>
      <c r="L269" s="384">
        <f t="shared" si="101"/>
        <v>0.3</v>
      </c>
      <c r="M269" s="384">
        <f t="shared" si="101"/>
        <v>0.3</v>
      </c>
      <c r="N269" s="384">
        <f t="shared" si="101"/>
        <v>0.3</v>
      </c>
      <c r="O269" s="384">
        <f t="shared" si="101"/>
        <v>0.3</v>
      </c>
      <c r="P269" s="384">
        <f t="shared" si="101"/>
        <v>0.3</v>
      </c>
      <c r="Q269" s="384">
        <f t="shared" si="101"/>
        <v>0.3</v>
      </c>
      <c r="R269" s="384">
        <f t="shared" si="101"/>
        <v>0.3</v>
      </c>
      <c r="S269" s="385">
        <f t="shared" si="101"/>
        <v>0.3</v>
      </c>
    </row>
    <row r="270" spans="1:19" ht="12.75" customHeight="1" x14ac:dyDescent="0.2">
      <c r="A270" s="198" t="str">
        <f>"         "&amp;Labels!C316</f>
        <v xml:space="preserve">         Total</v>
      </c>
      <c r="B270" s="303">
        <f t="shared" ref="B270:S270" si="102">AVERAGE(B244,B257)</f>
        <v>0.3</v>
      </c>
      <c r="C270" s="303">
        <f t="shared" si="102"/>
        <v>0.3</v>
      </c>
      <c r="D270" s="303">
        <f t="shared" si="102"/>
        <v>0.3</v>
      </c>
      <c r="E270" s="303">
        <f t="shared" si="102"/>
        <v>0.3</v>
      </c>
      <c r="F270" s="303">
        <f t="shared" si="102"/>
        <v>0.3</v>
      </c>
      <c r="G270" s="303">
        <f t="shared" si="102"/>
        <v>0.3</v>
      </c>
      <c r="H270" s="303">
        <f t="shared" si="102"/>
        <v>0.3</v>
      </c>
      <c r="I270" s="303">
        <f t="shared" si="102"/>
        <v>0.3</v>
      </c>
      <c r="J270" s="303">
        <f t="shared" si="102"/>
        <v>0.3</v>
      </c>
      <c r="K270" s="303">
        <f t="shared" si="102"/>
        <v>0.3</v>
      </c>
      <c r="L270" s="303">
        <f t="shared" si="102"/>
        <v>0.3</v>
      </c>
      <c r="M270" s="303">
        <f t="shared" si="102"/>
        <v>0.3</v>
      </c>
      <c r="N270" s="303">
        <f t="shared" si="102"/>
        <v>0.3</v>
      </c>
      <c r="O270" s="303">
        <f t="shared" si="102"/>
        <v>0.3</v>
      </c>
      <c r="P270" s="303">
        <f t="shared" si="102"/>
        <v>0.3</v>
      </c>
      <c r="Q270" s="303">
        <f t="shared" si="102"/>
        <v>0.3</v>
      </c>
      <c r="R270" s="303">
        <f t="shared" si="102"/>
        <v>0.3</v>
      </c>
      <c r="S270" s="383">
        <f t="shared" si="102"/>
        <v>0.3</v>
      </c>
    </row>
    <row r="271" spans="1:19" ht="12.75" customHeight="1" x14ac:dyDescent="0.2">
      <c r="A271" s="198" t="str">
        <f>"      "&amp;Labels!B386</f>
        <v xml:space="preserve">      Prof Level 2</v>
      </c>
      <c r="B271" s="303"/>
      <c r="C271" s="303"/>
      <c r="D271" s="303"/>
      <c r="E271" s="303"/>
      <c r="F271" s="303"/>
      <c r="G271" s="303"/>
      <c r="H271" s="303"/>
      <c r="I271" s="303"/>
      <c r="J271" s="303"/>
      <c r="K271" s="303"/>
      <c r="L271" s="303"/>
      <c r="M271" s="303"/>
      <c r="N271" s="303"/>
      <c r="O271" s="303"/>
      <c r="P271" s="303"/>
      <c r="Q271" s="303"/>
      <c r="R271" s="303"/>
      <c r="S271" s="383"/>
    </row>
    <row r="272" spans="1:19" ht="12.75" customHeight="1" x14ac:dyDescent="0.2">
      <c r="A272" s="198" t="str">
        <f>"         "&amp;Labels!B317</f>
        <v xml:space="preserve">         Channels 1</v>
      </c>
      <c r="B272" s="384">
        <f t="shared" ref="B272:S272" si="103">AVERAGE(B246,B259)</f>
        <v>0.3</v>
      </c>
      <c r="C272" s="384">
        <f t="shared" si="103"/>
        <v>0.3</v>
      </c>
      <c r="D272" s="384">
        <f t="shared" si="103"/>
        <v>0.3</v>
      </c>
      <c r="E272" s="384">
        <f t="shared" si="103"/>
        <v>0.3</v>
      </c>
      <c r="F272" s="384">
        <f t="shared" si="103"/>
        <v>0.3</v>
      </c>
      <c r="G272" s="384">
        <f t="shared" si="103"/>
        <v>0.3</v>
      </c>
      <c r="H272" s="384">
        <f t="shared" si="103"/>
        <v>0.3</v>
      </c>
      <c r="I272" s="384">
        <f t="shared" si="103"/>
        <v>0.3</v>
      </c>
      <c r="J272" s="384">
        <f t="shared" si="103"/>
        <v>0.3</v>
      </c>
      <c r="K272" s="384">
        <f t="shared" si="103"/>
        <v>0.3</v>
      </c>
      <c r="L272" s="384">
        <f t="shared" si="103"/>
        <v>0.3</v>
      </c>
      <c r="M272" s="384">
        <f t="shared" si="103"/>
        <v>0.3</v>
      </c>
      <c r="N272" s="384">
        <f t="shared" si="103"/>
        <v>0.3</v>
      </c>
      <c r="O272" s="384">
        <f t="shared" si="103"/>
        <v>0.3</v>
      </c>
      <c r="P272" s="384">
        <f t="shared" si="103"/>
        <v>0.3</v>
      </c>
      <c r="Q272" s="384">
        <f t="shared" si="103"/>
        <v>0.3</v>
      </c>
      <c r="R272" s="384">
        <f t="shared" si="103"/>
        <v>0.3</v>
      </c>
      <c r="S272" s="385">
        <f t="shared" si="103"/>
        <v>0.3</v>
      </c>
    </row>
    <row r="273" spans="1:19" ht="12.75" customHeight="1" x14ac:dyDescent="0.2">
      <c r="A273" s="198" t="str">
        <f>"         "&amp;Labels!B318</f>
        <v xml:space="preserve">         Channels 2</v>
      </c>
      <c r="B273" s="384">
        <f t="shared" ref="B273:S273" si="104">AVERAGE(B247,B260)</f>
        <v>0.3</v>
      </c>
      <c r="C273" s="384">
        <f t="shared" si="104"/>
        <v>0.3</v>
      </c>
      <c r="D273" s="384">
        <f t="shared" si="104"/>
        <v>0.3</v>
      </c>
      <c r="E273" s="384">
        <f t="shared" si="104"/>
        <v>0.3</v>
      </c>
      <c r="F273" s="384">
        <f t="shared" si="104"/>
        <v>0.3</v>
      </c>
      <c r="G273" s="384">
        <f t="shared" si="104"/>
        <v>0.3</v>
      </c>
      <c r="H273" s="384">
        <f t="shared" si="104"/>
        <v>0.3</v>
      </c>
      <c r="I273" s="384">
        <f t="shared" si="104"/>
        <v>0.3</v>
      </c>
      <c r="J273" s="384">
        <f t="shared" si="104"/>
        <v>0.3</v>
      </c>
      <c r="K273" s="384">
        <f t="shared" si="104"/>
        <v>0.3</v>
      </c>
      <c r="L273" s="384">
        <f t="shared" si="104"/>
        <v>0.3</v>
      </c>
      <c r="M273" s="384">
        <f t="shared" si="104"/>
        <v>0.3</v>
      </c>
      <c r="N273" s="384">
        <f t="shared" si="104"/>
        <v>0.3</v>
      </c>
      <c r="O273" s="384">
        <f t="shared" si="104"/>
        <v>0.3</v>
      </c>
      <c r="P273" s="384">
        <f t="shared" si="104"/>
        <v>0.3</v>
      </c>
      <c r="Q273" s="384">
        <f t="shared" si="104"/>
        <v>0.3</v>
      </c>
      <c r="R273" s="384">
        <f t="shared" si="104"/>
        <v>0.3</v>
      </c>
      <c r="S273" s="385">
        <f t="shared" si="104"/>
        <v>0.3</v>
      </c>
    </row>
    <row r="274" spans="1:19" ht="12.75" customHeight="1" x14ac:dyDescent="0.2">
      <c r="A274" s="198" t="str">
        <f>"         "&amp;Labels!C316</f>
        <v xml:space="preserve">         Total</v>
      </c>
      <c r="B274" s="303">
        <f t="shared" ref="B274:S274" si="105">AVERAGE(B248,B261)</f>
        <v>0.3</v>
      </c>
      <c r="C274" s="303">
        <f t="shared" si="105"/>
        <v>0.3</v>
      </c>
      <c r="D274" s="303">
        <f t="shared" si="105"/>
        <v>0.3</v>
      </c>
      <c r="E274" s="303">
        <f t="shared" si="105"/>
        <v>0.3</v>
      </c>
      <c r="F274" s="303">
        <f t="shared" si="105"/>
        <v>0.3</v>
      </c>
      <c r="G274" s="303">
        <f t="shared" si="105"/>
        <v>0.3</v>
      </c>
      <c r="H274" s="303">
        <f t="shared" si="105"/>
        <v>0.3</v>
      </c>
      <c r="I274" s="303">
        <f t="shared" si="105"/>
        <v>0.3</v>
      </c>
      <c r="J274" s="303">
        <f t="shared" si="105"/>
        <v>0.3</v>
      </c>
      <c r="K274" s="303">
        <f t="shared" si="105"/>
        <v>0.3</v>
      </c>
      <c r="L274" s="303">
        <f t="shared" si="105"/>
        <v>0.3</v>
      </c>
      <c r="M274" s="303">
        <f t="shared" si="105"/>
        <v>0.3</v>
      </c>
      <c r="N274" s="303">
        <f t="shared" si="105"/>
        <v>0.3</v>
      </c>
      <c r="O274" s="303">
        <f t="shared" si="105"/>
        <v>0.3</v>
      </c>
      <c r="P274" s="303">
        <f t="shared" si="105"/>
        <v>0.3</v>
      </c>
      <c r="Q274" s="303">
        <f t="shared" si="105"/>
        <v>0.3</v>
      </c>
      <c r="R274" s="303">
        <f t="shared" si="105"/>
        <v>0.3</v>
      </c>
      <c r="S274" s="383">
        <f t="shared" si="105"/>
        <v>0.3</v>
      </c>
    </row>
    <row r="275" spans="1:19" ht="12.75" customHeight="1" x14ac:dyDescent="0.2">
      <c r="A275" s="188" t="str">
        <f>"      "&amp;Labels!C384</f>
        <v xml:space="preserve">      Total</v>
      </c>
      <c r="B275" s="275">
        <f t="shared" ref="B275:S275" si="106">AVERAGE(B249,B262)</f>
        <v>0.3</v>
      </c>
      <c r="C275" s="275">
        <f t="shared" si="106"/>
        <v>0.3</v>
      </c>
      <c r="D275" s="275">
        <f t="shared" si="106"/>
        <v>0.3</v>
      </c>
      <c r="E275" s="275">
        <f t="shared" si="106"/>
        <v>0.3</v>
      </c>
      <c r="F275" s="275">
        <f t="shared" si="106"/>
        <v>0.3</v>
      </c>
      <c r="G275" s="275">
        <f t="shared" si="106"/>
        <v>0.3</v>
      </c>
      <c r="H275" s="275">
        <f t="shared" si="106"/>
        <v>0.3</v>
      </c>
      <c r="I275" s="275">
        <f t="shared" si="106"/>
        <v>0.3</v>
      </c>
      <c r="J275" s="275">
        <f t="shared" si="106"/>
        <v>0.3</v>
      </c>
      <c r="K275" s="275">
        <f t="shared" si="106"/>
        <v>0.3</v>
      </c>
      <c r="L275" s="275">
        <f t="shared" si="106"/>
        <v>0.3</v>
      </c>
      <c r="M275" s="275">
        <f t="shared" si="106"/>
        <v>0.3</v>
      </c>
      <c r="N275" s="275">
        <f t="shared" si="106"/>
        <v>0.3</v>
      </c>
      <c r="O275" s="275">
        <f t="shared" si="106"/>
        <v>0.3</v>
      </c>
      <c r="P275" s="275">
        <f t="shared" si="106"/>
        <v>0.3</v>
      </c>
      <c r="Q275" s="275">
        <f t="shared" si="106"/>
        <v>0.3</v>
      </c>
      <c r="R275" s="275">
        <f t="shared" si="106"/>
        <v>0.3</v>
      </c>
      <c r="S275" s="276">
        <f t="shared" si="106"/>
        <v>0.3</v>
      </c>
    </row>
    <row r="276" spans="1:19" ht="12.75" customHeight="1" x14ac:dyDescent="0.2">
      <c r="A276" s="198" t="str">
        <f>"         "&amp;Labels!B317</f>
        <v xml:space="preserve">         Channels 1</v>
      </c>
      <c r="B276" s="384">
        <f t="shared" ref="B276:S276" si="107">AVERAGE(B250,B263)</f>
        <v>0.3</v>
      </c>
      <c r="C276" s="384">
        <f t="shared" si="107"/>
        <v>0.3</v>
      </c>
      <c r="D276" s="384">
        <f t="shared" si="107"/>
        <v>0.3</v>
      </c>
      <c r="E276" s="384">
        <f t="shared" si="107"/>
        <v>0.3</v>
      </c>
      <c r="F276" s="384">
        <f t="shared" si="107"/>
        <v>0.3</v>
      </c>
      <c r="G276" s="384">
        <f t="shared" si="107"/>
        <v>0.3</v>
      </c>
      <c r="H276" s="384">
        <f t="shared" si="107"/>
        <v>0.3</v>
      </c>
      <c r="I276" s="384">
        <f t="shared" si="107"/>
        <v>0.3</v>
      </c>
      <c r="J276" s="384">
        <f t="shared" si="107"/>
        <v>0.3</v>
      </c>
      <c r="K276" s="384">
        <f t="shared" si="107"/>
        <v>0.3</v>
      </c>
      <c r="L276" s="384">
        <f t="shared" si="107"/>
        <v>0.3</v>
      </c>
      <c r="M276" s="384">
        <f t="shared" si="107"/>
        <v>0.3</v>
      </c>
      <c r="N276" s="384">
        <f t="shared" si="107"/>
        <v>0.3</v>
      </c>
      <c r="O276" s="384">
        <f t="shared" si="107"/>
        <v>0.3</v>
      </c>
      <c r="P276" s="384">
        <f t="shared" si="107"/>
        <v>0.3</v>
      </c>
      <c r="Q276" s="384">
        <f t="shared" si="107"/>
        <v>0.3</v>
      </c>
      <c r="R276" s="384">
        <f t="shared" si="107"/>
        <v>0.3</v>
      </c>
      <c r="S276" s="385">
        <f t="shared" si="107"/>
        <v>0.3</v>
      </c>
    </row>
    <row r="277" spans="1:19" ht="12.75" customHeight="1" x14ac:dyDescent="0.2">
      <c r="A277" s="198" t="str">
        <f>"         "&amp;Labels!B318</f>
        <v xml:space="preserve">         Channels 2</v>
      </c>
      <c r="B277" s="384">
        <f t="shared" ref="B277:S277" si="108">AVERAGE(B251,B264)</f>
        <v>0.3</v>
      </c>
      <c r="C277" s="384">
        <f t="shared" si="108"/>
        <v>0.3</v>
      </c>
      <c r="D277" s="384">
        <f t="shared" si="108"/>
        <v>0.3</v>
      </c>
      <c r="E277" s="384">
        <f t="shared" si="108"/>
        <v>0.3</v>
      </c>
      <c r="F277" s="384">
        <f t="shared" si="108"/>
        <v>0.3</v>
      </c>
      <c r="G277" s="384">
        <f t="shared" si="108"/>
        <v>0.3</v>
      </c>
      <c r="H277" s="384">
        <f t="shared" si="108"/>
        <v>0.3</v>
      </c>
      <c r="I277" s="384">
        <f t="shared" si="108"/>
        <v>0.3</v>
      </c>
      <c r="J277" s="384">
        <f t="shared" si="108"/>
        <v>0.3</v>
      </c>
      <c r="K277" s="384">
        <f t="shared" si="108"/>
        <v>0.3</v>
      </c>
      <c r="L277" s="384">
        <f t="shared" si="108"/>
        <v>0.3</v>
      </c>
      <c r="M277" s="384">
        <f t="shared" si="108"/>
        <v>0.3</v>
      </c>
      <c r="N277" s="384">
        <f t="shared" si="108"/>
        <v>0.3</v>
      </c>
      <c r="O277" s="384">
        <f t="shared" si="108"/>
        <v>0.3</v>
      </c>
      <c r="P277" s="384">
        <f t="shared" si="108"/>
        <v>0.3</v>
      </c>
      <c r="Q277" s="384">
        <f t="shared" si="108"/>
        <v>0.3</v>
      </c>
      <c r="R277" s="384">
        <f t="shared" si="108"/>
        <v>0.3</v>
      </c>
      <c r="S277" s="385">
        <f t="shared" si="108"/>
        <v>0.3</v>
      </c>
    </row>
    <row r="278" spans="1:19" ht="12.75" customHeight="1" x14ac:dyDescent="0.2">
      <c r="A278" s="198" t="str">
        <f>"         "&amp;Labels!C316</f>
        <v xml:space="preserve">         Total</v>
      </c>
      <c r="B278" s="303">
        <f t="shared" ref="B278:S278" si="109">AVERAGE(B249,B262)</f>
        <v>0.3</v>
      </c>
      <c r="C278" s="303">
        <f t="shared" si="109"/>
        <v>0.3</v>
      </c>
      <c r="D278" s="303">
        <f t="shared" si="109"/>
        <v>0.3</v>
      </c>
      <c r="E278" s="303">
        <f t="shared" si="109"/>
        <v>0.3</v>
      </c>
      <c r="F278" s="303">
        <f t="shared" si="109"/>
        <v>0.3</v>
      </c>
      <c r="G278" s="303">
        <f t="shared" si="109"/>
        <v>0.3</v>
      </c>
      <c r="H278" s="303">
        <f t="shared" si="109"/>
        <v>0.3</v>
      </c>
      <c r="I278" s="303">
        <f t="shared" si="109"/>
        <v>0.3</v>
      </c>
      <c r="J278" s="303">
        <f t="shared" si="109"/>
        <v>0.3</v>
      </c>
      <c r="K278" s="303">
        <f t="shared" si="109"/>
        <v>0.3</v>
      </c>
      <c r="L278" s="303">
        <f t="shared" si="109"/>
        <v>0.3</v>
      </c>
      <c r="M278" s="303">
        <f t="shared" si="109"/>
        <v>0.3</v>
      </c>
      <c r="N278" s="303">
        <f t="shared" si="109"/>
        <v>0.3</v>
      </c>
      <c r="O278" s="303">
        <f t="shared" si="109"/>
        <v>0.3</v>
      </c>
      <c r="P278" s="303">
        <f t="shared" si="109"/>
        <v>0.3</v>
      </c>
      <c r="Q278" s="303">
        <f t="shared" si="109"/>
        <v>0.3</v>
      </c>
      <c r="R278" s="303">
        <f t="shared" si="109"/>
        <v>0.3</v>
      </c>
      <c r="S278" s="383">
        <f t="shared" si="109"/>
        <v>0.3</v>
      </c>
    </row>
    <row r="279" spans="1:19" ht="12.75" customHeight="1" x14ac:dyDescent="0.2">
      <c r="A279" s="191" t="str">
        <f>Labels!B390</f>
        <v>Lead Qual 2</v>
      </c>
      <c r="B279" s="300"/>
      <c r="C279" s="300"/>
      <c r="D279" s="300"/>
      <c r="E279" s="300"/>
      <c r="F279" s="300"/>
      <c r="G279" s="300"/>
      <c r="H279" s="300"/>
      <c r="I279" s="300"/>
      <c r="J279" s="300"/>
      <c r="K279" s="300"/>
      <c r="L279" s="300"/>
      <c r="M279" s="300"/>
      <c r="N279" s="300"/>
      <c r="O279" s="300"/>
      <c r="P279" s="300"/>
      <c r="Q279" s="300"/>
      <c r="R279" s="300"/>
      <c r="S279" s="386"/>
    </row>
    <row r="280" spans="1:19" ht="12.75" customHeight="1" x14ac:dyDescent="0.2">
      <c r="A280" s="188" t="str">
        <f>"   "&amp;Labels!B381</f>
        <v xml:space="preserve">   Practice 1</v>
      </c>
      <c r="B280" s="275"/>
      <c r="C280" s="275"/>
      <c r="D280" s="275"/>
      <c r="E280" s="275"/>
      <c r="F280" s="275"/>
      <c r="G280" s="275"/>
      <c r="H280" s="275"/>
      <c r="I280" s="275"/>
      <c r="J280" s="275"/>
      <c r="K280" s="275"/>
      <c r="L280" s="275"/>
      <c r="M280" s="275"/>
      <c r="N280" s="275"/>
      <c r="O280" s="275"/>
      <c r="P280" s="275"/>
      <c r="Q280" s="275"/>
      <c r="R280" s="275"/>
      <c r="S280" s="276"/>
    </row>
    <row r="281" spans="1:19" ht="12.75" customHeight="1" x14ac:dyDescent="0.2">
      <c r="A281" s="198" t="str">
        <f>"      "&amp;Labels!B385</f>
        <v xml:space="preserve">      Prof Level 1</v>
      </c>
      <c r="B281" s="303"/>
      <c r="C281" s="303"/>
      <c r="D281" s="303"/>
      <c r="E281" s="303"/>
      <c r="F281" s="303"/>
      <c r="G281" s="303"/>
      <c r="H281" s="303"/>
      <c r="I281" s="303"/>
      <c r="J281" s="303"/>
      <c r="K281" s="303"/>
      <c r="L281" s="303"/>
      <c r="M281" s="303"/>
      <c r="N281" s="303"/>
      <c r="O281" s="303"/>
      <c r="P281" s="303"/>
      <c r="Q281" s="303"/>
      <c r="R281" s="303"/>
      <c r="S281" s="383"/>
    </row>
    <row r="282" spans="1:19" ht="12.75" customHeight="1" x14ac:dyDescent="0.2">
      <c r="A282" s="198" t="str">
        <f>"         "&amp;Labels!B317</f>
        <v xml:space="preserve">         Channels 1</v>
      </c>
      <c r="B282" s="384">
        <f>Inputs!F113</f>
        <v>0.3</v>
      </c>
      <c r="C282" s="384">
        <f>Inputs!G113</f>
        <v>0.3</v>
      </c>
      <c r="D282" s="384">
        <f>Inputs!H113</f>
        <v>0.3</v>
      </c>
      <c r="E282" s="384">
        <f>Inputs!I113</f>
        <v>0.3</v>
      </c>
      <c r="F282" s="384">
        <f>Inputs!J113</f>
        <v>0.3</v>
      </c>
      <c r="G282" s="384">
        <f>Inputs!K113</f>
        <v>0.3</v>
      </c>
      <c r="H282" s="384">
        <f>Inputs!L113</f>
        <v>0.3</v>
      </c>
      <c r="I282" s="384">
        <f>Inputs!M113</f>
        <v>0.3</v>
      </c>
      <c r="J282" s="384">
        <f>Inputs!N113</f>
        <v>0.3</v>
      </c>
      <c r="K282" s="384">
        <f>Inputs!O113</f>
        <v>0.3</v>
      </c>
      <c r="L282" s="384">
        <f>Inputs!P113</f>
        <v>0.3</v>
      </c>
      <c r="M282" s="384">
        <f>Inputs!Q113</f>
        <v>0.3</v>
      </c>
      <c r="N282" s="384">
        <f>Inputs!R113</f>
        <v>0.3</v>
      </c>
      <c r="O282" s="384">
        <f>Inputs!S113</f>
        <v>0.3</v>
      </c>
      <c r="P282" s="384">
        <f>Inputs!T113</f>
        <v>0.3</v>
      </c>
      <c r="Q282" s="384">
        <f>Inputs!U113</f>
        <v>0.3</v>
      </c>
      <c r="R282" s="384">
        <f>Inputs!V113</f>
        <v>0.3</v>
      </c>
      <c r="S282" s="385">
        <f>Inputs!W113</f>
        <v>0.3</v>
      </c>
    </row>
    <row r="283" spans="1:19" ht="12.75" customHeight="1" x14ac:dyDescent="0.2">
      <c r="A283" s="198" t="str">
        <f>"         "&amp;Labels!B318</f>
        <v xml:space="preserve">         Channels 2</v>
      </c>
      <c r="B283" s="384">
        <f>Inputs!F114</f>
        <v>0.3</v>
      </c>
      <c r="C283" s="384">
        <f>Inputs!G114</f>
        <v>0.3</v>
      </c>
      <c r="D283" s="384">
        <f>Inputs!H114</f>
        <v>0.3</v>
      </c>
      <c r="E283" s="384">
        <f>Inputs!I114</f>
        <v>0.3</v>
      </c>
      <c r="F283" s="384">
        <f>Inputs!J114</f>
        <v>0.3</v>
      </c>
      <c r="G283" s="384">
        <f>Inputs!K114</f>
        <v>0.3</v>
      </c>
      <c r="H283" s="384">
        <f>Inputs!L114</f>
        <v>0.3</v>
      </c>
      <c r="I283" s="384">
        <f>Inputs!M114</f>
        <v>0.3</v>
      </c>
      <c r="J283" s="384">
        <f>Inputs!N114</f>
        <v>0.3</v>
      </c>
      <c r="K283" s="384">
        <f>Inputs!O114</f>
        <v>0.3</v>
      </c>
      <c r="L283" s="384">
        <f>Inputs!P114</f>
        <v>0.3</v>
      </c>
      <c r="M283" s="384">
        <f>Inputs!Q114</f>
        <v>0.3</v>
      </c>
      <c r="N283" s="384">
        <f>Inputs!R114</f>
        <v>0.3</v>
      </c>
      <c r="O283" s="384">
        <f>Inputs!S114</f>
        <v>0.3</v>
      </c>
      <c r="P283" s="384">
        <f>Inputs!T114</f>
        <v>0.3</v>
      </c>
      <c r="Q283" s="384">
        <f>Inputs!U114</f>
        <v>0.3</v>
      </c>
      <c r="R283" s="384">
        <f>Inputs!V114</f>
        <v>0.3</v>
      </c>
      <c r="S283" s="385">
        <f>Inputs!W114</f>
        <v>0.3</v>
      </c>
    </row>
    <row r="284" spans="1:19" ht="12.75" customHeight="1" x14ac:dyDescent="0.2">
      <c r="A284" s="198" t="str">
        <f>"         "&amp;Labels!C316</f>
        <v xml:space="preserve">         Total</v>
      </c>
      <c r="B284" s="303">
        <f t="shared" ref="B284:S284" si="110">AVERAGE(B282:B283)</f>
        <v>0.3</v>
      </c>
      <c r="C284" s="303">
        <f t="shared" si="110"/>
        <v>0.3</v>
      </c>
      <c r="D284" s="303">
        <f t="shared" si="110"/>
        <v>0.3</v>
      </c>
      <c r="E284" s="303">
        <f t="shared" si="110"/>
        <v>0.3</v>
      </c>
      <c r="F284" s="303">
        <f t="shared" si="110"/>
        <v>0.3</v>
      </c>
      <c r="G284" s="303">
        <f t="shared" si="110"/>
        <v>0.3</v>
      </c>
      <c r="H284" s="303">
        <f t="shared" si="110"/>
        <v>0.3</v>
      </c>
      <c r="I284" s="303">
        <f t="shared" si="110"/>
        <v>0.3</v>
      </c>
      <c r="J284" s="303">
        <f t="shared" si="110"/>
        <v>0.3</v>
      </c>
      <c r="K284" s="303">
        <f t="shared" si="110"/>
        <v>0.3</v>
      </c>
      <c r="L284" s="303">
        <f t="shared" si="110"/>
        <v>0.3</v>
      </c>
      <c r="M284" s="303">
        <f t="shared" si="110"/>
        <v>0.3</v>
      </c>
      <c r="N284" s="303">
        <f t="shared" si="110"/>
        <v>0.3</v>
      </c>
      <c r="O284" s="303">
        <f t="shared" si="110"/>
        <v>0.3</v>
      </c>
      <c r="P284" s="303">
        <f t="shared" si="110"/>
        <v>0.3</v>
      </c>
      <c r="Q284" s="303">
        <f t="shared" si="110"/>
        <v>0.3</v>
      </c>
      <c r="R284" s="303">
        <f t="shared" si="110"/>
        <v>0.3</v>
      </c>
      <c r="S284" s="383">
        <f t="shared" si="110"/>
        <v>0.3</v>
      </c>
    </row>
    <row r="285" spans="1:19" ht="12.75" customHeight="1" x14ac:dyDescent="0.2">
      <c r="A285" s="198" t="str">
        <f>"      "&amp;Labels!B386</f>
        <v xml:space="preserve">      Prof Level 2</v>
      </c>
      <c r="B285" s="303"/>
      <c r="C285" s="303"/>
      <c r="D285" s="303"/>
      <c r="E285" s="303"/>
      <c r="F285" s="303"/>
      <c r="G285" s="303"/>
      <c r="H285" s="303"/>
      <c r="I285" s="303"/>
      <c r="J285" s="303"/>
      <c r="K285" s="303"/>
      <c r="L285" s="303"/>
      <c r="M285" s="303"/>
      <c r="N285" s="303"/>
      <c r="O285" s="303"/>
      <c r="P285" s="303"/>
      <c r="Q285" s="303"/>
      <c r="R285" s="303"/>
      <c r="S285" s="383"/>
    </row>
    <row r="286" spans="1:19" ht="12.75" customHeight="1" x14ac:dyDescent="0.2">
      <c r="A286" s="198" t="str">
        <f>"         "&amp;Labels!B317</f>
        <v xml:space="preserve">         Channels 1</v>
      </c>
      <c r="B286" s="384">
        <f>Inputs!F115</f>
        <v>0.3</v>
      </c>
      <c r="C286" s="384">
        <f>Inputs!G115</f>
        <v>0.3</v>
      </c>
      <c r="D286" s="384">
        <f>Inputs!H115</f>
        <v>0.3</v>
      </c>
      <c r="E286" s="384">
        <f>Inputs!I115</f>
        <v>0.3</v>
      </c>
      <c r="F286" s="384">
        <f>Inputs!J115</f>
        <v>0.3</v>
      </c>
      <c r="G286" s="384">
        <f>Inputs!K115</f>
        <v>0.3</v>
      </c>
      <c r="H286" s="384">
        <f>Inputs!L115</f>
        <v>0.3</v>
      </c>
      <c r="I286" s="384">
        <f>Inputs!M115</f>
        <v>0.3</v>
      </c>
      <c r="J286" s="384">
        <f>Inputs!N115</f>
        <v>0.3</v>
      </c>
      <c r="K286" s="384">
        <f>Inputs!O115</f>
        <v>0.3</v>
      </c>
      <c r="L286" s="384">
        <f>Inputs!P115</f>
        <v>0.3</v>
      </c>
      <c r="M286" s="384">
        <f>Inputs!Q115</f>
        <v>0.3</v>
      </c>
      <c r="N286" s="384">
        <f>Inputs!R115</f>
        <v>0.3</v>
      </c>
      <c r="O286" s="384">
        <f>Inputs!S115</f>
        <v>0.3</v>
      </c>
      <c r="P286" s="384">
        <f>Inputs!T115</f>
        <v>0.3</v>
      </c>
      <c r="Q286" s="384">
        <f>Inputs!U115</f>
        <v>0.3</v>
      </c>
      <c r="R286" s="384">
        <f>Inputs!V115</f>
        <v>0.3</v>
      </c>
      <c r="S286" s="385">
        <f>Inputs!W115</f>
        <v>0.3</v>
      </c>
    </row>
    <row r="287" spans="1:19" ht="12.75" customHeight="1" x14ac:dyDescent="0.2">
      <c r="A287" s="198" t="str">
        <f>"         "&amp;Labels!B318</f>
        <v xml:space="preserve">         Channels 2</v>
      </c>
      <c r="B287" s="384">
        <f>Inputs!F116</f>
        <v>0.3</v>
      </c>
      <c r="C287" s="384">
        <f>Inputs!G116</f>
        <v>0.3</v>
      </c>
      <c r="D287" s="384">
        <f>Inputs!H116</f>
        <v>0.3</v>
      </c>
      <c r="E287" s="384">
        <f>Inputs!I116</f>
        <v>0.3</v>
      </c>
      <c r="F287" s="384">
        <f>Inputs!J116</f>
        <v>0.3</v>
      </c>
      <c r="G287" s="384">
        <f>Inputs!K116</f>
        <v>0.3</v>
      </c>
      <c r="H287" s="384">
        <f>Inputs!L116</f>
        <v>0.3</v>
      </c>
      <c r="I287" s="384">
        <f>Inputs!M116</f>
        <v>0.3</v>
      </c>
      <c r="J287" s="384">
        <f>Inputs!N116</f>
        <v>0.3</v>
      </c>
      <c r="K287" s="384">
        <f>Inputs!O116</f>
        <v>0.3</v>
      </c>
      <c r="L287" s="384">
        <f>Inputs!P116</f>
        <v>0.3</v>
      </c>
      <c r="M287" s="384">
        <f>Inputs!Q116</f>
        <v>0.3</v>
      </c>
      <c r="N287" s="384">
        <f>Inputs!R116</f>
        <v>0.3</v>
      </c>
      <c r="O287" s="384">
        <f>Inputs!S116</f>
        <v>0.3</v>
      </c>
      <c r="P287" s="384">
        <f>Inputs!T116</f>
        <v>0.3</v>
      </c>
      <c r="Q287" s="384">
        <f>Inputs!U116</f>
        <v>0.3</v>
      </c>
      <c r="R287" s="384">
        <f>Inputs!V116</f>
        <v>0.3</v>
      </c>
      <c r="S287" s="385">
        <f>Inputs!W116</f>
        <v>0.3</v>
      </c>
    </row>
    <row r="288" spans="1:19" ht="12.75" customHeight="1" x14ac:dyDescent="0.2">
      <c r="A288" s="198" t="str">
        <f>"         "&amp;Labels!C316</f>
        <v xml:space="preserve">         Total</v>
      </c>
      <c r="B288" s="303">
        <f t="shared" ref="B288:S288" si="111">AVERAGE(B286:B287)</f>
        <v>0.3</v>
      </c>
      <c r="C288" s="303">
        <f t="shared" si="111"/>
        <v>0.3</v>
      </c>
      <c r="D288" s="303">
        <f t="shared" si="111"/>
        <v>0.3</v>
      </c>
      <c r="E288" s="303">
        <f t="shared" si="111"/>
        <v>0.3</v>
      </c>
      <c r="F288" s="303">
        <f t="shared" si="111"/>
        <v>0.3</v>
      </c>
      <c r="G288" s="303">
        <f t="shared" si="111"/>
        <v>0.3</v>
      </c>
      <c r="H288" s="303">
        <f t="shared" si="111"/>
        <v>0.3</v>
      </c>
      <c r="I288" s="303">
        <f t="shared" si="111"/>
        <v>0.3</v>
      </c>
      <c r="J288" s="303">
        <f t="shared" si="111"/>
        <v>0.3</v>
      </c>
      <c r="K288" s="303">
        <f t="shared" si="111"/>
        <v>0.3</v>
      </c>
      <c r="L288" s="303">
        <f t="shared" si="111"/>
        <v>0.3</v>
      </c>
      <c r="M288" s="303">
        <f t="shared" si="111"/>
        <v>0.3</v>
      </c>
      <c r="N288" s="303">
        <f t="shared" si="111"/>
        <v>0.3</v>
      </c>
      <c r="O288" s="303">
        <f t="shared" si="111"/>
        <v>0.3</v>
      </c>
      <c r="P288" s="303">
        <f t="shared" si="111"/>
        <v>0.3</v>
      </c>
      <c r="Q288" s="303">
        <f t="shared" si="111"/>
        <v>0.3</v>
      </c>
      <c r="R288" s="303">
        <f t="shared" si="111"/>
        <v>0.3</v>
      </c>
      <c r="S288" s="383">
        <f t="shared" si="111"/>
        <v>0.3</v>
      </c>
    </row>
    <row r="289" spans="1:19" ht="12.75" customHeight="1" x14ac:dyDescent="0.2">
      <c r="A289" s="188" t="str">
        <f>"      "&amp;Labels!C384</f>
        <v xml:space="preserve">      Total</v>
      </c>
      <c r="B289" s="275">
        <f t="shared" ref="B289:S289" si="112">AVERAGE(B284,B288)</f>
        <v>0.3</v>
      </c>
      <c r="C289" s="275">
        <f t="shared" si="112"/>
        <v>0.3</v>
      </c>
      <c r="D289" s="275">
        <f t="shared" si="112"/>
        <v>0.3</v>
      </c>
      <c r="E289" s="275">
        <f t="shared" si="112"/>
        <v>0.3</v>
      </c>
      <c r="F289" s="275">
        <f t="shared" si="112"/>
        <v>0.3</v>
      </c>
      <c r="G289" s="275">
        <f t="shared" si="112"/>
        <v>0.3</v>
      </c>
      <c r="H289" s="275">
        <f t="shared" si="112"/>
        <v>0.3</v>
      </c>
      <c r="I289" s="275">
        <f t="shared" si="112"/>
        <v>0.3</v>
      </c>
      <c r="J289" s="275">
        <f t="shared" si="112"/>
        <v>0.3</v>
      </c>
      <c r="K289" s="275">
        <f t="shared" si="112"/>
        <v>0.3</v>
      </c>
      <c r="L289" s="275">
        <f t="shared" si="112"/>
        <v>0.3</v>
      </c>
      <c r="M289" s="275">
        <f t="shared" si="112"/>
        <v>0.3</v>
      </c>
      <c r="N289" s="275">
        <f t="shared" si="112"/>
        <v>0.3</v>
      </c>
      <c r="O289" s="275">
        <f t="shared" si="112"/>
        <v>0.3</v>
      </c>
      <c r="P289" s="275">
        <f t="shared" si="112"/>
        <v>0.3</v>
      </c>
      <c r="Q289" s="275">
        <f t="shared" si="112"/>
        <v>0.3</v>
      </c>
      <c r="R289" s="275">
        <f t="shared" si="112"/>
        <v>0.3</v>
      </c>
      <c r="S289" s="276">
        <f t="shared" si="112"/>
        <v>0.3</v>
      </c>
    </row>
    <row r="290" spans="1:19" ht="12.75" customHeight="1" x14ac:dyDescent="0.2">
      <c r="A290" s="198" t="str">
        <f>"         "&amp;Labels!B317</f>
        <v xml:space="preserve">         Channels 1</v>
      </c>
      <c r="B290" s="384">
        <f t="shared" ref="B290:S290" si="113">AVERAGE(B282,B286)</f>
        <v>0.3</v>
      </c>
      <c r="C290" s="384">
        <f t="shared" si="113"/>
        <v>0.3</v>
      </c>
      <c r="D290" s="384">
        <f t="shared" si="113"/>
        <v>0.3</v>
      </c>
      <c r="E290" s="384">
        <f t="shared" si="113"/>
        <v>0.3</v>
      </c>
      <c r="F290" s="384">
        <f t="shared" si="113"/>
        <v>0.3</v>
      </c>
      <c r="G290" s="384">
        <f t="shared" si="113"/>
        <v>0.3</v>
      </c>
      <c r="H290" s="384">
        <f t="shared" si="113"/>
        <v>0.3</v>
      </c>
      <c r="I290" s="384">
        <f t="shared" si="113"/>
        <v>0.3</v>
      </c>
      <c r="J290" s="384">
        <f t="shared" si="113"/>
        <v>0.3</v>
      </c>
      <c r="K290" s="384">
        <f t="shared" si="113"/>
        <v>0.3</v>
      </c>
      <c r="L290" s="384">
        <f t="shared" si="113"/>
        <v>0.3</v>
      </c>
      <c r="M290" s="384">
        <f t="shared" si="113"/>
        <v>0.3</v>
      </c>
      <c r="N290" s="384">
        <f t="shared" si="113"/>
        <v>0.3</v>
      </c>
      <c r="O290" s="384">
        <f t="shared" si="113"/>
        <v>0.3</v>
      </c>
      <c r="P290" s="384">
        <f t="shared" si="113"/>
        <v>0.3</v>
      </c>
      <c r="Q290" s="384">
        <f t="shared" si="113"/>
        <v>0.3</v>
      </c>
      <c r="R290" s="384">
        <f t="shared" si="113"/>
        <v>0.3</v>
      </c>
      <c r="S290" s="385">
        <f t="shared" si="113"/>
        <v>0.3</v>
      </c>
    </row>
    <row r="291" spans="1:19" ht="12.75" customHeight="1" x14ac:dyDescent="0.2">
      <c r="A291" s="198" t="str">
        <f>"         "&amp;Labels!B318</f>
        <v xml:space="preserve">         Channels 2</v>
      </c>
      <c r="B291" s="384">
        <f t="shared" ref="B291:S291" si="114">AVERAGE(B283,B287)</f>
        <v>0.3</v>
      </c>
      <c r="C291" s="384">
        <f t="shared" si="114"/>
        <v>0.3</v>
      </c>
      <c r="D291" s="384">
        <f t="shared" si="114"/>
        <v>0.3</v>
      </c>
      <c r="E291" s="384">
        <f t="shared" si="114"/>
        <v>0.3</v>
      </c>
      <c r="F291" s="384">
        <f t="shared" si="114"/>
        <v>0.3</v>
      </c>
      <c r="G291" s="384">
        <f t="shared" si="114"/>
        <v>0.3</v>
      </c>
      <c r="H291" s="384">
        <f t="shared" si="114"/>
        <v>0.3</v>
      </c>
      <c r="I291" s="384">
        <f t="shared" si="114"/>
        <v>0.3</v>
      </c>
      <c r="J291" s="384">
        <f t="shared" si="114"/>
        <v>0.3</v>
      </c>
      <c r="K291" s="384">
        <f t="shared" si="114"/>
        <v>0.3</v>
      </c>
      <c r="L291" s="384">
        <f t="shared" si="114"/>
        <v>0.3</v>
      </c>
      <c r="M291" s="384">
        <f t="shared" si="114"/>
        <v>0.3</v>
      </c>
      <c r="N291" s="384">
        <f t="shared" si="114"/>
        <v>0.3</v>
      </c>
      <c r="O291" s="384">
        <f t="shared" si="114"/>
        <v>0.3</v>
      </c>
      <c r="P291" s="384">
        <f t="shared" si="114"/>
        <v>0.3</v>
      </c>
      <c r="Q291" s="384">
        <f t="shared" si="114"/>
        <v>0.3</v>
      </c>
      <c r="R291" s="384">
        <f t="shared" si="114"/>
        <v>0.3</v>
      </c>
      <c r="S291" s="385">
        <f t="shared" si="114"/>
        <v>0.3</v>
      </c>
    </row>
    <row r="292" spans="1:19" ht="12.75" customHeight="1" x14ac:dyDescent="0.2">
      <c r="A292" s="198" t="str">
        <f>"         "&amp;Labels!C316</f>
        <v xml:space="preserve">         Total</v>
      </c>
      <c r="B292" s="303">
        <f t="shared" ref="B292:S292" si="115">AVERAGE(B284,B288)</f>
        <v>0.3</v>
      </c>
      <c r="C292" s="303">
        <f t="shared" si="115"/>
        <v>0.3</v>
      </c>
      <c r="D292" s="303">
        <f t="shared" si="115"/>
        <v>0.3</v>
      </c>
      <c r="E292" s="303">
        <f t="shared" si="115"/>
        <v>0.3</v>
      </c>
      <c r="F292" s="303">
        <f t="shared" si="115"/>
        <v>0.3</v>
      </c>
      <c r="G292" s="303">
        <f t="shared" si="115"/>
        <v>0.3</v>
      </c>
      <c r="H292" s="303">
        <f t="shared" si="115"/>
        <v>0.3</v>
      </c>
      <c r="I292" s="303">
        <f t="shared" si="115"/>
        <v>0.3</v>
      </c>
      <c r="J292" s="303">
        <f t="shared" si="115"/>
        <v>0.3</v>
      </c>
      <c r="K292" s="303">
        <f t="shared" si="115"/>
        <v>0.3</v>
      </c>
      <c r="L292" s="303">
        <f t="shared" si="115"/>
        <v>0.3</v>
      </c>
      <c r="M292" s="303">
        <f t="shared" si="115"/>
        <v>0.3</v>
      </c>
      <c r="N292" s="303">
        <f t="shared" si="115"/>
        <v>0.3</v>
      </c>
      <c r="O292" s="303">
        <f t="shared" si="115"/>
        <v>0.3</v>
      </c>
      <c r="P292" s="303">
        <f t="shared" si="115"/>
        <v>0.3</v>
      </c>
      <c r="Q292" s="303">
        <f t="shared" si="115"/>
        <v>0.3</v>
      </c>
      <c r="R292" s="303">
        <f t="shared" si="115"/>
        <v>0.3</v>
      </c>
      <c r="S292" s="383">
        <f t="shared" si="115"/>
        <v>0.3</v>
      </c>
    </row>
    <row r="293" spans="1:19" ht="12.75" customHeight="1" x14ac:dyDescent="0.2">
      <c r="A293" s="188" t="str">
        <f>"   "&amp;Labels!B382</f>
        <v xml:space="preserve">   Practice 2</v>
      </c>
      <c r="B293" s="275"/>
      <c r="C293" s="275"/>
      <c r="D293" s="275"/>
      <c r="E293" s="275"/>
      <c r="F293" s="275"/>
      <c r="G293" s="275"/>
      <c r="H293" s="275"/>
      <c r="I293" s="275"/>
      <c r="J293" s="275"/>
      <c r="K293" s="275"/>
      <c r="L293" s="275"/>
      <c r="M293" s="275"/>
      <c r="N293" s="275"/>
      <c r="O293" s="275"/>
      <c r="P293" s="275"/>
      <c r="Q293" s="275"/>
      <c r="R293" s="275"/>
      <c r="S293" s="276"/>
    </row>
    <row r="294" spans="1:19" ht="12.75" customHeight="1" x14ac:dyDescent="0.2">
      <c r="A294" s="198" t="str">
        <f>"      "&amp;Labels!B385</f>
        <v xml:space="preserve">      Prof Level 1</v>
      </c>
      <c r="B294" s="303"/>
      <c r="C294" s="303"/>
      <c r="D294" s="303"/>
      <c r="E294" s="303"/>
      <c r="F294" s="303"/>
      <c r="G294" s="303"/>
      <c r="H294" s="303"/>
      <c r="I294" s="303"/>
      <c r="J294" s="303"/>
      <c r="K294" s="303"/>
      <c r="L294" s="303"/>
      <c r="M294" s="303"/>
      <c r="N294" s="303"/>
      <c r="O294" s="303"/>
      <c r="P294" s="303"/>
      <c r="Q294" s="303"/>
      <c r="R294" s="303"/>
      <c r="S294" s="383"/>
    </row>
    <row r="295" spans="1:19" ht="12.75" customHeight="1" x14ac:dyDescent="0.2">
      <c r="A295" s="198" t="str">
        <f>"         "&amp;Labels!B317</f>
        <v xml:space="preserve">         Channels 1</v>
      </c>
      <c r="B295" s="384">
        <f>Inputs!F117</f>
        <v>0.3</v>
      </c>
      <c r="C295" s="384">
        <f>Inputs!G117</f>
        <v>0.3</v>
      </c>
      <c r="D295" s="384">
        <f>Inputs!H117</f>
        <v>0.3</v>
      </c>
      <c r="E295" s="384">
        <f>Inputs!I117</f>
        <v>0.3</v>
      </c>
      <c r="F295" s="384">
        <f>Inputs!J117</f>
        <v>0.3</v>
      </c>
      <c r="G295" s="384">
        <f>Inputs!K117</f>
        <v>0.3</v>
      </c>
      <c r="H295" s="384">
        <f>Inputs!L117</f>
        <v>0.3</v>
      </c>
      <c r="I295" s="384">
        <f>Inputs!M117</f>
        <v>0.3</v>
      </c>
      <c r="J295" s="384">
        <f>Inputs!N117</f>
        <v>0.3</v>
      </c>
      <c r="K295" s="384">
        <f>Inputs!O117</f>
        <v>0.3</v>
      </c>
      <c r="L295" s="384">
        <f>Inputs!P117</f>
        <v>0.3</v>
      </c>
      <c r="M295" s="384">
        <f>Inputs!Q117</f>
        <v>0.3</v>
      </c>
      <c r="N295" s="384">
        <f>Inputs!R117</f>
        <v>0.3</v>
      </c>
      <c r="O295" s="384">
        <f>Inputs!S117</f>
        <v>0.3</v>
      </c>
      <c r="P295" s="384">
        <f>Inputs!T117</f>
        <v>0.3</v>
      </c>
      <c r="Q295" s="384">
        <f>Inputs!U117</f>
        <v>0.3</v>
      </c>
      <c r="R295" s="384">
        <f>Inputs!V117</f>
        <v>0.3</v>
      </c>
      <c r="S295" s="385">
        <f>Inputs!W117</f>
        <v>0.3</v>
      </c>
    </row>
    <row r="296" spans="1:19" ht="12.75" customHeight="1" x14ac:dyDescent="0.2">
      <c r="A296" s="198" t="str">
        <f>"         "&amp;Labels!B318</f>
        <v xml:space="preserve">         Channels 2</v>
      </c>
      <c r="B296" s="384">
        <f>Inputs!F118</f>
        <v>0.3</v>
      </c>
      <c r="C296" s="384">
        <f>Inputs!G118</f>
        <v>0.3</v>
      </c>
      <c r="D296" s="384">
        <f>Inputs!H118</f>
        <v>0.3</v>
      </c>
      <c r="E296" s="384">
        <f>Inputs!I118</f>
        <v>0.3</v>
      </c>
      <c r="F296" s="384">
        <f>Inputs!J118</f>
        <v>0.3</v>
      </c>
      <c r="G296" s="384">
        <f>Inputs!K118</f>
        <v>0.3</v>
      </c>
      <c r="H296" s="384">
        <f>Inputs!L118</f>
        <v>0.3</v>
      </c>
      <c r="I296" s="384">
        <f>Inputs!M118</f>
        <v>0.3</v>
      </c>
      <c r="J296" s="384">
        <f>Inputs!N118</f>
        <v>0.3</v>
      </c>
      <c r="K296" s="384">
        <f>Inputs!O118</f>
        <v>0.3</v>
      </c>
      <c r="L296" s="384">
        <f>Inputs!P118</f>
        <v>0.3</v>
      </c>
      <c r="M296" s="384">
        <f>Inputs!Q118</f>
        <v>0.3</v>
      </c>
      <c r="N296" s="384">
        <f>Inputs!R118</f>
        <v>0.3</v>
      </c>
      <c r="O296" s="384">
        <f>Inputs!S118</f>
        <v>0.3</v>
      </c>
      <c r="P296" s="384">
        <f>Inputs!T118</f>
        <v>0.3</v>
      </c>
      <c r="Q296" s="384">
        <f>Inputs!U118</f>
        <v>0.3</v>
      </c>
      <c r="R296" s="384">
        <f>Inputs!V118</f>
        <v>0.3</v>
      </c>
      <c r="S296" s="385">
        <f>Inputs!W118</f>
        <v>0.3</v>
      </c>
    </row>
    <row r="297" spans="1:19" ht="12.75" customHeight="1" x14ac:dyDescent="0.2">
      <c r="A297" s="198" t="str">
        <f>"         "&amp;Labels!C316</f>
        <v xml:space="preserve">         Total</v>
      </c>
      <c r="B297" s="303">
        <f t="shared" ref="B297:S297" si="116">AVERAGE(B295:B296)</f>
        <v>0.3</v>
      </c>
      <c r="C297" s="303">
        <f t="shared" si="116"/>
        <v>0.3</v>
      </c>
      <c r="D297" s="303">
        <f t="shared" si="116"/>
        <v>0.3</v>
      </c>
      <c r="E297" s="303">
        <f t="shared" si="116"/>
        <v>0.3</v>
      </c>
      <c r="F297" s="303">
        <f t="shared" si="116"/>
        <v>0.3</v>
      </c>
      <c r="G297" s="303">
        <f t="shared" si="116"/>
        <v>0.3</v>
      </c>
      <c r="H297" s="303">
        <f t="shared" si="116"/>
        <v>0.3</v>
      </c>
      <c r="I297" s="303">
        <f t="shared" si="116"/>
        <v>0.3</v>
      </c>
      <c r="J297" s="303">
        <f t="shared" si="116"/>
        <v>0.3</v>
      </c>
      <c r="K297" s="303">
        <f t="shared" si="116"/>
        <v>0.3</v>
      </c>
      <c r="L297" s="303">
        <f t="shared" si="116"/>
        <v>0.3</v>
      </c>
      <c r="M297" s="303">
        <f t="shared" si="116"/>
        <v>0.3</v>
      </c>
      <c r="N297" s="303">
        <f t="shared" si="116"/>
        <v>0.3</v>
      </c>
      <c r="O297" s="303">
        <f t="shared" si="116"/>
        <v>0.3</v>
      </c>
      <c r="P297" s="303">
        <f t="shared" si="116"/>
        <v>0.3</v>
      </c>
      <c r="Q297" s="303">
        <f t="shared" si="116"/>
        <v>0.3</v>
      </c>
      <c r="R297" s="303">
        <f t="shared" si="116"/>
        <v>0.3</v>
      </c>
      <c r="S297" s="383">
        <f t="shared" si="116"/>
        <v>0.3</v>
      </c>
    </row>
    <row r="298" spans="1:19" ht="12.75" customHeight="1" x14ac:dyDescent="0.2">
      <c r="A298" s="198" t="str">
        <f>"      "&amp;Labels!B386</f>
        <v xml:space="preserve">      Prof Level 2</v>
      </c>
      <c r="B298" s="303"/>
      <c r="C298" s="303"/>
      <c r="D298" s="303"/>
      <c r="E298" s="303"/>
      <c r="F298" s="303"/>
      <c r="G298" s="303"/>
      <c r="H298" s="303"/>
      <c r="I298" s="303"/>
      <c r="J298" s="303"/>
      <c r="K298" s="303"/>
      <c r="L298" s="303"/>
      <c r="M298" s="303"/>
      <c r="N298" s="303"/>
      <c r="O298" s="303"/>
      <c r="P298" s="303"/>
      <c r="Q298" s="303"/>
      <c r="R298" s="303"/>
      <c r="S298" s="383"/>
    </row>
    <row r="299" spans="1:19" ht="12.75" customHeight="1" x14ac:dyDescent="0.2">
      <c r="A299" s="198" t="str">
        <f>"         "&amp;Labels!B317</f>
        <v xml:space="preserve">         Channels 1</v>
      </c>
      <c r="B299" s="384">
        <f>Inputs!F119</f>
        <v>0.3</v>
      </c>
      <c r="C299" s="384">
        <f>Inputs!G119</f>
        <v>0.3</v>
      </c>
      <c r="D299" s="384">
        <f>Inputs!H119</f>
        <v>0.3</v>
      </c>
      <c r="E299" s="384">
        <f>Inputs!I119</f>
        <v>0.3</v>
      </c>
      <c r="F299" s="384">
        <f>Inputs!J119</f>
        <v>0.3</v>
      </c>
      <c r="G299" s="384">
        <f>Inputs!K119</f>
        <v>0.3</v>
      </c>
      <c r="H299" s="384">
        <f>Inputs!L119</f>
        <v>0.3</v>
      </c>
      <c r="I299" s="384">
        <f>Inputs!M119</f>
        <v>0.3</v>
      </c>
      <c r="J299" s="384">
        <f>Inputs!N119</f>
        <v>0.3</v>
      </c>
      <c r="K299" s="384">
        <f>Inputs!O119</f>
        <v>0.3</v>
      </c>
      <c r="L299" s="384">
        <f>Inputs!P119</f>
        <v>0.3</v>
      </c>
      <c r="M299" s="384">
        <f>Inputs!Q119</f>
        <v>0.3</v>
      </c>
      <c r="N299" s="384">
        <f>Inputs!R119</f>
        <v>0.3</v>
      </c>
      <c r="O299" s="384">
        <f>Inputs!S119</f>
        <v>0.3</v>
      </c>
      <c r="P299" s="384">
        <f>Inputs!T119</f>
        <v>0.3</v>
      </c>
      <c r="Q299" s="384">
        <f>Inputs!U119</f>
        <v>0.3</v>
      </c>
      <c r="R299" s="384">
        <f>Inputs!V119</f>
        <v>0.3</v>
      </c>
      <c r="S299" s="385">
        <f>Inputs!W119</f>
        <v>0.3</v>
      </c>
    </row>
    <row r="300" spans="1:19" ht="12.75" customHeight="1" x14ac:dyDescent="0.2">
      <c r="A300" s="198" t="str">
        <f>"         "&amp;Labels!B318</f>
        <v xml:space="preserve">         Channels 2</v>
      </c>
      <c r="B300" s="384">
        <f>Inputs!F120</f>
        <v>0.3</v>
      </c>
      <c r="C300" s="384">
        <f>Inputs!G120</f>
        <v>0.3</v>
      </c>
      <c r="D300" s="384">
        <f>Inputs!H120</f>
        <v>0.3</v>
      </c>
      <c r="E300" s="384">
        <f>Inputs!I120</f>
        <v>0.3</v>
      </c>
      <c r="F300" s="384">
        <f>Inputs!J120</f>
        <v>0.3</v>
      </c>
      <c r="G300" s="384">
        <f>Inputs!K120</f>
        <v>0.3</v>
      </c>
      <c r="H300" s="384">
        <f>Inputs!L120</f>
        <v>0.3</v>
      </c>
      <c r="I300" s="384">
        <f>Inputs!M120</f>
        <v>0.3</v>
      </c>
      <c r="J300" s="384">
        <f>Inputs!N120</f>
        <v>0.3</v>
      </c>
      <c r="K300" s="384">
        <f>Inputs!O120</f>
        <v>0.3</v>
      </c>
      <c r="L300" s="384">
        <f>Inputs!P120</f>
        <v>0.3</v>
      </c>
      <c r="M300" s="384">
        <f>Inputs!Q120</f>
        <v>0.3</v>
      </c>
      <c r="N300" s="384">
        <f>Inputs!R120</f>
        <v>0.3</v>
      </c>
      <c r="O300" s="384">
        <f>Inputs!S120</f>
        <v>0.3</v>
      </c>
      <c r="P300" s="384">
        <f>Inputs!T120</f>
        <v>0.3</v>
      </c>
      <c r="Q300" s="384">
        <f>Inputs!U120</f>
        <v>0.3</v>
      </c>
      <c r="R300" s="384">
        <f>Inputs!V120</f>
        <v>0.3</v>
      </c>
      <c r="S300" s="385">
        <f>Inputs!W120</f>
        <v>0.3</v>
      </c>
    </row>
    <row r="301" spans="1:19" ht="12.75" customHeight="1" x14ac:dyDescent="0.2">
      <c r="A301" s="198" t="str">
        <f>"         "&amp;Labels!C316</f>
        <v xml:space="preserve">         Total</v>
      </c>
      <c r="B301" s="303">
        <f t="shared" ref="B301:S301" si="117">AVERAGE(B299:B300)</f>
        <v>0.3</v>
      </c>
      <c r="C301" s="303">
        <f t="shared" si="117"/>
        <v>0.3</v>
      </c>
      <c r="D301" s="303">
        <f t="shared" si="117"/>
        <v>0.3</v>
      </c>
      <c r="E301" s="303">
        <f t="shared" si="117"/>
        <v>0.3</v>
      </c>
      <c r="F301" s="303">
        <f t="shared" si="117"/>
        <v>0.3</v>
      </c>
      <c r="G301" s="303">
        <f t="shared" si="117"/>
        <v>0.3</v>
      </c>
      <c r="H301" s="303">
        <f t="shared" si="117"/>
        <v>0.3</v>
      </c>
      <c r="I301" s="303">
        <f t="shared" si="117"/>
        <v>0.3</v>
      </c>
      <c r="J301" s="303">
        <f t="shared" si="117"/>
        <v>0.3</v>
      </c>
      <c r="K301" s="303">
        <f t="shared" si="117"/>
        <v>0.3</v>
      </c>
      <c r="L301" s="303">
        <f t="shared" si="117"/>
        <v>0.3</v>
      </c>
      <c r="M301" s="303">
        <f t="shared" si="117"/>
        <v>0.3</v>
      </c>
      <c r="N301" s="303">
        <f t="shared" si="117"/>
        <v>0.3</v>
      </c>
      <c r="O301" s="303">
        <f t="shared" si="117"/>
        <v>0.3</v>
      </c>
      <c r="P301" s="303">
        <f t="shared" si="117"/>
        <v>0.3</v>
      </c>
      <c r="Q301" s="303">
        <f t="shared" si="117"/>
        <v>0.3</v>
      </c>
      <c r="R301" s="303">
        <f t="shared" si="117"/>
        <v>0.3</v>
      </c>
      <c r="S301" s="383">
        <f t="shared" si="117"/>
        <v>0.3</v>
      </c>
    </row>
    <row r="302" spans="1:19" ht="12.75" customHeight="1" x14ac:dyDescent="0.2">
      <c r="A302" s="188" t="str">
        <f>"      "&amp;Labels!C384</f>
        <v xml:space="preserve">      Total</v>
      </c>
      <c r="B302" s="275">
        <f t="shared" ref="B302:S302" si="118">AVERAGE(B297,B301)</f>
        <v>0.3</v>
      </c>
      <c r="C302" s="275">
        <f t="shared" si="118"/>
        <v>0.3</v>
      </c>
      <c r="D302" s="275">
        <f t="shared" si="118"/>
        <v>0.3</v>
      </c>
      <c r="E302" s="275">
        <f t="shared" si="118"/>
        <v>0.3</v>
      </c>
      <c r="F302" s="275">
        <f t="shared" si="118"/>
        <v>0.3</v>
      </c>
      <c r="G302" s="275">
        <f t="shared" si="118"/>
        <v>0.3</v>
      </c>
      <c r="H302" s="275">
        <f t="shared" si="118"/>
        <v>0.3</v>
      </c>
      <c r="I302" s="275">
        <f t="shared" si="118"/>
        <v>0.3</v>
      </c>
      <c r="J302" s="275">
        <f t="shared" si="118"/>
        <v>0.3</v>
      </c>
      <c r="K302" s="275">
        <f t="shared" si="118"/>
        <v>0.3</v>
      </c>
      <c r="L302" s="275">
        <f t="shared" si="118"/>
        <v>0.3</v>
      </c>
      <c r="M302" s="275">
        <f t="shared" si="118"/>
        <v>0.3</v>
      </c>
      <c r="N302" s="275">
        <f t="shared" si="118"/>
        <v>0.3</v>
      </c>
      <c r="O302" s="275">
        <f t="shared" si="118"/>
        <v>0.3</v>
      </c>
      <c r="P302" s="275">
        <f t="shared" si="118"/>
        <v>0.3</v>
      </c>
      <c r="Q302" s="275">
        <f t="shared" si="118"/>
        <v>0.3</v>
      </c>
      <c r="R302" s="275">
        <f t="shared" si="118"/>
        <v>0.3</v>
      </c>
      <c r="S302" s="276">
        <f t="shared" si="118"/>
        <v>0.3</v>
      </c>
    </row>
    <row r="303" spans="1:19" ht="12.75" customHeight="1" x14ac:dyDescent="0.2">
      <c r="A303" s="198" t="str">
        <f>"         "&amp;Labels!B317</f>
        <v xml:space="preserve">         Channels 1</v>
      </c>
      <c r="B303" s="384">
        <f t="shared" ref="B303:S303" si="119">AVERAGE(B295,B299)</f>
        <v>0.3</v>
      </c>
      <c r="C303" s="384">
        <f t="shared" si="119"/>
        <v>0.3</v>
      </c>
      <c r="D303" s="384">
        <f t="shared" si="119"/>
        <v>0.3</v>
      </c>
      <c r="E303" s="384">
        <f t="shared" si="119"/>
        <v>0.3</v>
      </c>
      <c r="F303" s="384">
        <f t="shared" si="119"/>
        <v>0.3</v>
      </c>
      <c r="G303" s="384">
        <f t="shared" si="119"/>
        <v>0.3</v>
      </c>
      <c r="H303" s="384">
        <f t="shared" si="119"/>
        <v>0.3</v>
      </c>
      <c r="I303" s="384">
        <f t="shared" si="119"/>
        <v>0.3</v>
      </c>
      <c r="J303" s="384">
        <f t="shared" si="119"/>
        <v>0.3</v>
      </c>
      <c r="K303" s="384">
        <f t="shared" si="119"/>
        <v>0.3</v>
      </c>
      <c r="L303" s="384">
        <f t="shared" si="119"/>
        <v>0.3</v>
      </c>
      <c r="M303" s="384">
        <f t="shared" si="119"/>
        <v>0.3</v>
      </c>
      <c r="N303" s="384">
        <f t="shared" si="119"/>
        <v>0.3</v>
      </c>
      <c r="O303" s="384">
        <f t="shared" si="119"/>
        <v>0.3</v>
      </c>
      <c r="P303" s="384">
        <f t="shared" si="119"/>
        <v>0.3</v>
      </c>
      <c r="Q303" s="384">
        <f t="shared" si="119"/>
        <v>0.3</v>
      </c>
      <c r="R303" s="384">
        <f t="shared" si="119"/>
        <v>0.3</v>
      </c>
      <c r="S303" s="385">
        <f t="shared" si="119"/>
        <v>0.3</v>
      </c>
    </row>
    <row r="304" spans="1:19" ht="12.75" customHeight="1" x14ac:dyDescent="0.2">
      <c r="A304" s="198" t="str">
        <f>"         "&amp;Labels!B318</f>
        <v xml:space="preserve">         Channels 2</v>
      </c>
      <c r="B304" s="384">
        <f t="shared" ref="B304:S304" si="120">AVERAGE(B296,B300)</f>
        <v>0.3</v>
      </c>
      <c r="C304" s="384">
        <f t="shared" si="120"/>
        <v>0.3</v>
      </c>
      <c r="D304" s="384">
        <f t="shared" si="120"/>
        <v>0.3</v>
      </c>
      <c r="E304" s="384">
        <f t="shared" si="120"/>
        <v>0.3</v>
      </c>
      <c r="F304" s="384">
        <f t="shared" si="120"/>
        <v>0.3</v>
      </c>
      <c r="G304" s="384">
        <f t="shared" si="120"/>
        <v>0.3</v>
      </c>
      <c r="H304" s="384">
        <f t="shared" si="120"/>
        <v>0.3</v>
      </c>
      <c r="I304" s="384">
        <f t="shared" si="120"/>
        <v>0.3</v>
      </c>
      <c r="J304" s="384">
        <f t="shared" si="120"/>
        <v>0.3</v>
      </c>
      <c r="K304" s="384">
        <f t="shared" si="120"/>
        <v>0.3</v>
      </c>
      <c r="L304" s="384">
        <f t="shared" si="120"/>
        <v>0.3</v>
      </c>
      <c r="M304" s="384">
        <f t="shared" si="120"/>
        <v>0.3</v>
      </c>
      <c r="N304" s="384">
        <f t="shared" si="120"/>
        <v>0.3</v>
      </c>
      <c r="O304" s="384">
        <f t="shared" si="120"/>
        <v>0.3</v>
      </c>
      <c r="P304" s="384">
        <f t="shared" si="120"/>
        <v>0.3</v>
      </c>
      <c r="Q304" s="384">
        <f t="shared" si="120"/>
        <v>0.3</v>
      </c>
      <c r="R304" s="384">
        <f t="shared" si="120"/>
        <v>0.3</v>
      </c>
      <c r="S304" s="385">
        <f t="shared" si="120"/>
        <v>0.3</v>
      </c>
    </row>
    <row r="305" spans="1:19" ht="12.75" customHeight="1" x14ac:dyDescent="0.2">
      <c r="A305" s="198" t="str">
        <f>"         "&amp;Labels!C316</f>
        <v xml:space="preserve">         Total</v>
      </c>
      <c r="B305" s="303">
        <f t="shared" ref="B305:S305" si="121">AVERAGE(B297,B301)</f>
        <v>0.3</v>
      </c>
      <c r="C305" s="303">
        <f t="shared" si="121"/>
        <v>0.3</v>
      </c>
      <c r="D305" s="303">
        <f t="shared" si="121"/>
        <v>0.3</v>
      </c>
      <c r="E305" s="303">
        <f t="shared" si="121"/>
        <v>0.3</v>
      </c>
      <c r="F305" s="303">
        <f t="shared" si="121"/>
        <v>0.3</v>
      </c>
      <c r="G305" s="303">
        <f t="shared" si="121"/>
        <v>0.3</v>
      </c>
      <c r="H305" s="303">
        <f t="shared" si="121"/>
        <v>0.3</v>
      </c>
      <c r="I305" s="303">
        <f t="shared" si="121"/>
        <v>0.3</v>
      </c>
      <c r="J305" s="303">
        <f t="shared" si="121"/>
        <v>0.3</v>
      </c>
      <c r="K305" s="303">
        <f t="shared" si="121"/>
        <v>0.3</v>
      </c>
      <c r="L305" s="303">
        <f t="shared" si="121"/>
        <v>0.3</v>
      </c>
      <c r="M305" s="303">
        <f t="shared" si="121"/>
        <v>0.3</v>
      </c>
      <c r="N305" s="303">
        <f t="shared" si="121"/>
        <v>0.3</v>
      </c>
      <c r="O305" s="303">
        <f t="shared" si="121"/>
        <v>0.3</v>
      </c>
      <c r="P305" s="303">
        <f t="shared" si="121"/>
        <v>0.3</v>
      </c>
      <c r="Q305" s="303">
        <f t="shared" si="121"/>
        <v>0.3</v>
      </c>
      <c r="R305" s="303">
        <f t="shared" si="121"/>
        <v>0.3</v>
      </c>
      <c r="S305" s="383">
        <f t="shared" si="121"/>
        <v>0.3</v>
      </c>
    </row>
    <row r="306" spans="1:19" ht="12.75" customHeight="1" x14ac:dyDescent="0.2">
      <c r="A306" s="191" t="str">
        <f>"   "&amp;Labels!C380</f>
        <v xml:space="preserve">   Total</v>
      </c>
      <c r="B306" s="300">
        <f t="shared" ref="B306:S306" si="122">AVERAGE(B289,B302)</f>
        <v>0.3</v>
      </c>
      <c r="C306" s="300">
        <f t="shared" si="122"/>
        <v>0.3</v>
      </c>
      <c r="D306" s="300">
        <f t="shared" si="122"/>
        <v>0.3</v>
      </c>
      <c r="E306" s="300">
        <f t="shared" si="122"/>
        <v>0.3</v>
      </c>
      <c r="F306" s="300">
        <f t="shared" si="122"/>
        <v>0.3</v>
      </c>
      <c r="G306" s="300">
        <f t="shared" si="122"/>
        <v>0.3</v>
      </c>
      <c r="H306" s="300">
        <f t="shared" si="122"/>
        <v>0.3</v>
      </c>
      <c r="I306" s="300">
        <f t="shared" si="122"/>
        <v>0.3</v>
      </c>
      <c r="J306" s="300">
        <f t="shared" si="122"/>
        <v>0.3</v>
      </c>
      <c r="K306" s="300">
        <f t="shared" si="122"/>
        <v>0.3</v>
      </c>
      <c r="L306" s="300">
        <f t="shared" si="122"/>
        <v>0.3</v>
      </c>
      <c r="M306" s="300">
        <f t="shared" si="122"/>
        <v>0.3</v>
      </c>
      <c r="N306" s="300">
        <f t="shared" si="122"/>
        <v>0.3</v>
      </c>
      <c r="O306" s="300">
        <f t="shared" si="122"/>
        <v>0.3</v>
      </c>
      <c r="P306" s="300">
        <f t="shared" si="122"/>
        <v>0.3</v>
      </c>
      <c r="Q306" s="300">
        <f t="shared" si="122"/>
        <v>0.3</v>
      </c>
      <c r="R306" s="300">
        <f t="shared" si="122"/>
        <v>0.3</v>
      </c>
      <c r="S306" s="386">
        <f t="shared" si="122"/>
        <v>0.3</v>
      </c>
    </row>
    <row r="307" spans="1:19" ht="12.75" customHeight="1" x14ac:dyDescent="0.2">
      <c r="A307" s="198" t="str">
        <f>"      "&amp;Labels!B385</f>
        <v xml:space="preserve">      Prof Level 1</v>
      </c>
      <c r="B307" s="303"/>
      <c r="C307" s="303"/>
      <c r="D307" s="303"/>
      <c r="E307" s="303"/>
      <c r="F307" s="303"/>
      <c r="G307" s="303"/>
      <c r="H307" s="303"/>
      <c r="I307" s="303"/>
      <c r="J307" s="303"/>
      <c r="K307" s="303"/>
      <c r="L307" s="303"/>
      <c r="M307" s="303"/>
      <c r="N307" s="303"/>
      <c r="O307" s="303"/>
      <c r="P307" s="303"/>
      <c r="Q307" s="303"/>
      <c r="R307" s="303"/>
      <c r="S307" s="383"/>
    </row>
    <row r="308" spans="1:19" ht="12.75" customHeight="1" x14ac:dyDescent="0.2">
      <c r="A308" s="198" t="str">
        <f>"         "&amp;Labels!B317</f>
        <v xml:space="preserve">         Channels 1</v>
      </c>
      <c r="B308" s="384">
        <f t="shared" ref="B308:S308" si="123">AVERAGE(B282,B295)</f>
        <v>0.3</v>
      </c>
      <c r="C308" s="384">
        <f t="shared" si="123"/>
        <v>0.3</v>
      </c>
      <c r="D308" s="384">
        <f t="shared" si="123"/>
        <v>0.3</v>
      </c>
      <c r="E308" s="384">
        <f t="shared" si="123"/>
        <v>0.3</v>
      </c>
      <c r="F308" s="384">
        <f t="shared" si="123"/>
        <v>0.3</v>
      </c>
      <c r="G308" s="384">
        <f t="shared" si="123"/>
        <v>0.3</v>
      </c>
      <c r="H308" s="384">
        <f t="shared" si="123"/>
        <v>0.3</v>
      </c>
      <c r="I308" s="384">
        <f t="shared" si="123"/>
        <v>0.3</v>
      </c>
      <c r="J308" s="384">
        <f t="shared" si="123"/>
        <v>0.3</v>
      </c>
      <c r="K308" s="384">
        <f t="shared" si="123"/>
        <v>0.3</v>
      </c>
      <c r="L308" s="384">
        <f t="shared" si="123"/>
        <v>0.3</v>
      </c>
      <c r="M308" s="384">
        <f t="shared" si="123"/>
        <v>0.3</v>
      </c>
      <c r="N308" s="384">
        <f t="shared" si="123"/>
        <v>0.3</v>
      </c>
      <c r="O308" s="384">
        <f t="shared" si="123"/>
        <v>0.3</v>
      </c>
      <c r="P308" s="384">
        <f t="shared" si="123"/>
        <v>0.3</v>
      </c>
      <c r="Q308" s="384">
        <f t="shared" si="123"/>
        <v>0.3</v>
      </c>
      <c r="R308" s="384">
        <f t="shared" si="123"/>
        <v>0.3</v>
      </c>
      <c r="S308" s="385">
        <f t="shared" si="123"/>
        <v>0.3</v>
      </c>
    </row>
    <row r="309" spans="1:19" ht="12.75" customHeight="1" x14ac:dyDescent="0.2">
      <c r="A309" s="198" t="str">
        <f>"         "&amp;Labels!B318</f>
        <v xml:space="preserve">         Channels 2</v>
      </c>
      <c r="B309" s="384">
        <f t="shared" ref="B309:S309" si="124">AVERAGE(B283,B296)</f>
        <v>0.3</v>
      </c>
      <c r="C309" s="384">
        <f t="shared" si="124"/>
        <v>0.3</v>
      </c>
      <c r="D309" s="384">
        <f t="shared" si="124"/>
        <v>0.3</v>
      </c>
      <c r="E309" s="384">
        <f t="shared" si="124"/>
        <v>0.3</v>
      </c>
      <c r="F309" s="384">
        <f t="shared" si="124"/>
        <v>0.3</v>
      </c>
      <c r="G309" s="384">
        <f t="shared" si="124"/>
        <v>0.3</v>
      </c>
      <c r="H309" s="384">
        <f t="shared" si="124"/>
        <v>0.3</v>
      </c>
      <c r="I309" s="384">
        <f t="shared" si="124"/>
        <v>0.3</v>
      </c>
      <c r="J309" s="384">
        <f t="shared" si="124"/>
        <v>0.3</v>
      </c>
      <c r="K309" s="384">
        <f t="shared" si="124"/>
        <v>0.3</v>
      </c>
      <c r="L309" s="384">
        <f t="shared" si="124"/>
        <v>0.3</v>
      </c>
      <c r="M309" s="384">
        <f t="shared" si="124"/>
        <v>0.3</v>
      </c>
      <c r="N309" s="384">
        <f t="shared" si="124"/>
        <v>0.3</v>
      </c>
      <c r="O309" s="384">
        <f t="shared" si="124"/>
        <v>0.3</v>
      </c>
      <c r="P309" s="384">
        <f t="shared" si="124"/>
        <v>0.3</v>
      </c>
      <c r="Q309" s="384">
        <f t="shared" si="124"/>
        <v>0.3</v>
      </c>
      <c r="R309" s="384">
        <f t="shared" si="124"/>
        <v>0.3</v>
      </c>
      <c r="S309" s="385">
        <f t="shared" si="124"/>
        <v>0.3</v>
      </c>
    </row>
    <row r="310" spans="1:19" ht="12.75" customHeight="1" x14ac:dyDescent="0.2">
      <c r="A310" s="198" t="str">
        <f>"         "&amp;Labels!C316</f>
        <v xml:space="preserve">         Total</v>
      </c>
      <c r="B310" s="303">
        <f t="shared" ref="B310:S310" si="125">AVERAGE(B284,B297)</f>
        <v>0.3</v>
      </c>
      <c r="C310" s="303">
        <f t="shared" si="125"/>
        <v>0.3</v>
      </c>
      <c r="D310" s="303">
        <f t="shared" si="125"/>
        <v>0.3</v>
      </c>
      <c r="E310" s="303">
        <f t="shared" si="125"/>
        <v>0.3</v>
      </c>
      <c r="F310" s="303">
        <f t="shared" si="125"/>
        <v>0.3</v>
      </c>
      <c r="G310" s="303">
        <f t="shared" si="125"/>
        <v>0.3</v>
      </c>
      <c r="H310" s="303">
        <f t="shared" si="125"/>
        <v>0.3</v>
      </c>
      <c r="I310" s="303">
        <f t="shared" si="125"/>
        <v>0.3</v>
      </c>
      <c r="J310" s="303">
        <f t="shared" si="125"/>
        <v>0.3</v>
      </c>
      <c r="K310" s="303">
        <f t="shared" si="125"/>
        <v>0.3</v>
      </c>
      <c r="L310" s="303">
        <f t="shared" si="125"/>
        <v>0.3</v>
      </c>
      <c r="M310" s="303">
        <f t="shared" si="125"/>
        <v>0.3</v>
      </c>
      <c r="N310" s="303">
        <f t="shared" si="125"/>
        <v>0.3</v>
      </c>
      <c r="O310" s="303">
        <f t="shared" si="125"/>
        <v>0.3</v>
      </c>
      <c r="P310" s="303">
        <f t="shared" si="125"/>
        <v>0.3</v>
      </c>
      <c r="Q310" s="303">
        <f t="shared" si="125"/>
        <v>0.3</v>
      </c>
      <c r="R310" s="303">
        <f t="shared" si="125"/>
        <v>0.3</v>
      </c>
      <c r="S310" s="383">
        <f t="shared" si="125"/>
        <v>0.3</v>
      </c>
    </row>
    <row r="311" spans="1:19" ht="12.75" customHeight="1" x14ac:dyDescent="0.2">
      <c r="A311" s="198" t="str">
        <f>"      "&amp;Labels!B386</f>
        <v xml:space="preserve">      Prof Level 2</v>
      </c>
      <c r="B311" s="303"/>
      <c r="C311" s="303"/>
      <c r="D311" s="303"/>
      <c r="E311" s="303"/>
      <c r="F311" s="303"/>
      <c r="G311" s="303"/>
      <c r="H311" s="303"/>
      <c r="I311" s="303"/>
      <c r="J311" s="303"/>
      <c r="K311" s="303"/>
      <c r="L311" s="303"/>
      <c r="M311" s="303"/>
      <c r="N311" s="303"/>
      <c r="O311" s="303"/>
      <c r="P311" s="303"/>
      <c r="Q311" s="303"/>
      <c r="R311" s="303"/>
      <c r="S311" s="383"/>
    </row>
    <row r="312" spans="1:19" ht="12.75" customHeight="1" x14ac:dyDescent="0.2">
      <c r="A312" s="198" t="str">
        <f>"         "&amp;Labels!B317</f>
        <v xml:space="preserve">         Channels 1</v>
      </c>
      <c r="B312" s="384">
        <f t="shared" ref="B312:S312" si="126">AVERAGE(B286,B299)</f>
        <v>0.3</v>
      </c>
      <c r="C312" s="384">
        <f t="shared" si="126"/>
        <v>0.3</v>
      </c>
      <c r="D312" s="384">
        <f t="shared" si="126"/>
        <v>0.3</v>
      </c>
      <c r="E312" s="384">
        <f t="shared" si="126"/>
        <v>0.3</v>
      </c>
      <c r="F312" s="384">
        <f t="shared" si="126"/>
        <v>0.3</v>
      </c>
      <c r="G312" s="384">
        <f t="shared" si="126"/>
        <v>0.3</v>
      </c>
      <c r="H312" s="384">
        <f t="shared" si="126"/>
        <v>0.3</v>
      </c>
      <c r="I312" s="384">
        <f t="shared" si="126"/>
        <v>0.3</v>
      </c>
      <c r="J312" s="384">
        <f t="shared" si="126"/>
        <v>0.3</v>
      </c>
      <c r="K312" s="384">
        <f t="shared" si="126"/>
        <v>0.3</v>
      </c>
      <c r="L312" s="384">
        <f t="shared" si="126"/>
        <v>0.3</v>
      </c>
      <c r="M312" s="384">
        <f t="shared" si="126"/>
        <v>0.3</v>
      </c>
      <c r="N312" s="384">
        <f t="shared" si="126"/>
        <v>0.3</v>
      </c>
      <c r="O312" s="384">
        <f t="shared" si="126"/>
        <v>0.3</v>
      </c>
      <c r="P312" s="384">
        <f t="shared" si="126"/>
        <v>0.3</v>
      </c>
      <c r="Q312" s="384">
        <f t="shared" si="126"/>
        <v>0.3</v>
      </c>
      <c r="R312" s="384">
        <f t="shared" si="126"/>
        <v>0.3</v>
      </c>
      <c r="S312" s="385">
        <f t="shared" si="126"/>
        <v>0.3</v>
      </c>
    </row>
    <row r="313" spans="1:19" ht="12.75" customHeight="1" x14ac:dyDescent="0.2">
      <c r="A313" s="198" t="str">
        <f>"         "&amp;Labels!B318</f>
        <v xml:space="preserve">         Channels 2</v>
      </c>
      <c r="B313" s="384">
        <f t="shared" ref="B313:S313" si="127">AVERAGE(B287,B300)</f>
        <v>0.3</v>
      </c>
      <c r="C313" s="384">
        <f t="shared" si="127"/>
        <v>0.3</v>
      </c>
      <c r="D313" s="384">
        <f t="shared" si="127"/>
        <v>0.3</v>
      </c>
      <c r="E313" s="384">
        <f t="shared" si="127"/>
        <v>0.3</v>
      </c>
      <c r="F313" s="384">
        <f t="shared" si="127"/>
        <v>0.3</v>
      </c>
      <c r="G313" s="384">
        <f t="shared" si="127"/>
        <v>0.3</v>
      </c>
      <c r="H313" s="384">
        <f t="shared" si="127"/>
        <v>0.3</v>
      </c>
      <c r="I313" s="384">
        <f t="shared" si="127"/>
        <v>0.3</v>
      </c>
      <c r="J313" s="384">
        <f t="shared" si="127"/>
        <v>0.3</v>
      </c>
      <c r="K313" s="384">
        <f t="shared" si="127"/>
        <v>0.3</v>
      </c>
      <c r="L313" s="384">
        <f t="shared" si="127"/>
        <v>0.3</v>
      </c>
      <c r="M313" s="384">
        <f t="shared" si="127"/>
        <v>0.3</v>
      </c>
      <c r="N313" s="384">
        <f t="shared" si="127"/>
        <v>0.3</v>
      </c>
      <c r="O313" s="384">
        <f t="shared" si="127"/>
        <v>0.3</v>
      </c>
      <c r="P313" s="384">
        <f t="shared" si="127"/>
        <v>0.3</v>
      </c>
      <c r="Q313" s="384">
        <f t="shared" si="127"/>
        <v>0.3</v>
      </c>
      <c r="R313" s="384">
        <f t="shared" si="127"/>
        <v>0.3</v>
      </c>
      <c r="S313" s="385">
        <f t="shared" si="127"/>
        <v>0.3</v>
      </c>
    </row>
    <row r="314" spans="1:19" ht="12.75" customHeight="1" x14ac:dyDescent="0.2">
      <c r="A314" s="198" t="str">
        <f>"         "&amp;Labels!C316</f>
        <v xml:space="preserve">         Total</v>
      </c>
      <c r="B314" s="303">
        <f t="shared" ref="B314:S314" si="128">AVERAGE(B288,B301)</f>
        <v>0.3</v>
      </c>
      <c r="C314" s="303">
        <f t="shared" si="128"/>
        <v>0.3</v>
      </c>
      <c r="D314" s="303">
        <f t="shared" si="128"/>
        <v>0.3</v>
      </c>
      <c r="E314" s="303">
        <f t="shared" si="128"/>
        <v>0.3</v>
      </c>
      <c r="F314" s="303">
        <f t="shared" si="128"/>
        <v>0.3</v>
      </c>
      <c r="G314" s="303">
        <f t="shared" si="128"/>
        <v>0.3</v>
      </c>
      <c r="H314" s="303">
        <f t="shared" si="128"/>
        <v>0.3</v>
      </c>
      <c r="I314" s="303">
        <f t="shared" si="128"/>
        <v>0.3</v>
      </c>
      <c r="J314" s="303">
        <f t="shared" si="128"/>
        <v>0.3</v>
      </c>
      <c r="K314" s="303">
        <f t="shared" si="128"/>
        <v>0.3</v>
      </c>
      <c r="L314" s="303">
        <f t="shared" si="128"/>
        <v>0.3</v>
      </c>
      <c r="M314" s="303">
        <f t="shared" si="128"/>
        <v>0.3</v>
      </c>
      <c r="N314" s="303">
        <f t="shared" si="128"/>
        <v>0.3</v>
      </c>
      <c r="O314" s="303">
        <f t="shared" si="128"/>
        <v>0.3</v>
      </c>
      <c r="P314" s="303">
        <f t="shared" si="128"/>
        <v>0.3</v>
      </c>
      <c r="Q314" s="303">
        <f t="shared" si="128"/>
        <v>0.3</v>
      </c>
      <c r="R314" s="303">
        <f t="shared" si="128"/>
        <v>0.3</v>
      </c>
      <c r="S314" s="383">
        <f t="shared" si="128"/>
        <v>0.3</v>
      </c>
    </row>
    <row r="315" spans="1:19" ht="12.75" customHeight="1" x14ac:dyDescent="0.2">
      <c r="A315" s="188" t="str">
        <f>"      "&amp;Labels!C384</f>
        <v xml:space="preserve">      Total</v>
      </c>
      <c r="B315" s="275">
        <f t="shared" ref="B315:S315" si="129">AVERAGE(B289,B302)</f>
        <v>0.3</v>
      </c>
      <c r="C315" s="275">
        <f t="shared" si="129"/>
        <v>0.3</v>
      </c>
      <c r="D315" s="275">
        <f t="shared" si="129"/>
        <v>0.3</v>
      </c>
      <c r="E315" s="275">
        <f t="shared" si="129"/>
        <v>0.3</v>
      </c>
      <c r="F315" s="275">
        <f t="shared" si="129"/>
        <v>0.3</v>
      </c>
      <c r="G315" s="275">
        <f t="shared" si="129"/>
        <v>0.3</v>
      </c>
      <c r="H315" s="275">
        <f t="shared" si="129"/>
        <v>0.3</v>
      </c>
      <c r="I315" s="275">
        <f t="shared" si="129"/>
        <v>0.3</v>
      </c>
      <c r="J315" s="275">
        <f t="shared" si="129"/>
        <v>0.3</v>
      </c>
      <c r="K315" s="275">
        <f t="shared" si="129"/>
        <v>0.3</v>
      </c>
      <c r="L315" s="275">
        <f t="shared" si="129"/>
        <v>0.3</v>
      </c>
      <c r="M315" s="275">
        <f t="shared" si="129"/>
        <v>0.3</v>
      </c>
      <c r="N315" s="275">
        <f t="shared" si="129"/>
        <v>0.3</v>
      </c>
      <c r="O315" s="275">
        <f t="shared" si="129"/>
        <v>0.3</v>
      </c>
      <c r="P315" s="275">
        <f t="shared" si="129"/>
        <v>0.3</v>
      </c>
      <c r="Q315" s="275">
        <f t="shared" si="129"/>
        <v>0.3</v>
      </c>
      <c r="R315" s="275">
        <f t="shared" si="129"/>
        <v>0.3</v>
      </c>
      <c r="S315" s="276">
        <f t="shared" si="129"/>
        <v>0.3</v>
      </c>
    </row>
    <row r="316" spans="1:19" ht="12.75" customHeight="1" x14ac:dyDescent="0.2">
      <c r="A316" s="198" t="str">
        <f>"         "&amp;Labels!B317</f>
        <v xml:space="preserve">         Channels 1</v>
      </c>
      <c r="B316" s="384">
        <f t="shared" ref="B316:S316" si="130">AVERAGE(B290,B303)</f>
        <v>0.3</v>
      </c>
      <c r="C316" s="384">
        <f t="shared" si="130"/>
        <v>0.3</v>
      </c>
      <c r="D316" s="384">
        <f t="shared" si="130"/>
        <v>0.3</v>
      </c>
      <c r="E316" s="384">
        <f t="shared" si="130"/>
        <v>0.3</v>
      </c>
      <c r="F316" s="384">
        <f t="shared" si="130"/>
        <v>0.3</v>
      </c>
      <c r="G316" s="384">
        <f t="shared" si="130"/>
        <v>0.3</v>
      </c>
      <c r="H316" s="384">
        <f t="shared" si="130"/>
        <v>0.3</v>
      </c>
      <c r="I316" s="384">
        <f t="shared" si="130"/>
        <v>0.3</v>
      </c>
      <c r="J316" s="384">
        <f t="shared" si="130"/>
        <v>0.3</v>
      </c>
      <c r="K316" s="384">
        <f t="shared" si="130"/>
        <v>0.3</v>
      </c>
      <c r="L316" s="384">
        <f t="shared" si="130"/>
        <v>0.3</v>
      </c>
      <c r="M316" s="384">
        <f t="shared" si="130"/>
        <v>0.3</v>
      </c>
      <c r="N316" s="384">
        <f t="shared" si="130"/>
        <v>0.3</v>
      </c>
      <c r="O316" s="384">
        <f t="shared" si="130"/>
        <v>0.3</v>
      </c>
      <c r="P316" s="384">
        <f t="shared" si="130"/>
        <v>0.3</v>
      </c>
      <c r="Q316" s="384">
        <f t="shared" si="130"/>
        <v>0.3</v>
      </c>
      <c r="R316" s="384">
        <f t="shared" si="130"/>
        <v>0.3</v>
      </c>
      <c r="S316" s="385">
        <f t="shared" si="130"/>
        <v>0.3</v>
      </c>
    </row>
    <row r="317" spans="1:19" ht="12.75" customHeight="1" x14ac:dyDescent="0.2">
      <c r="A317" s="198" t="str">
        <f>"         "&amp;Labels!B318</f>
        <v xml:space="preserve">         Channels 2</v>
      </c>
      <c r="B317" s="384">
        <f t="shared" ref="B317:S317" si="131">AVERAGE(B291,B304)</f>
        <v>0.3</v>
      </c>
      <c r="C317" s="384">
        <f t="shared" si="131"/>
        <v>0.3</v>
      </c>
      <c r="D317" s="384">
        <f t="shared" si="131"/>
        <v>0.3</v>
      </c>
      <c r="E317" s="384">
        <f t="shared" si="131"/>
        <v>0.3</v>
      </c>
      <c r="F317" s="384">
        <f t="shared" si="131"/>
        <v>0.3</v>
      </c>
      <c r="G317" s="384">
        <f t="shared" si="131"/>
        <v>0.3</v>
      </c>
      <c r="H317" s="384">
        <f t="shared" si="131"/>
        <v>0.3</v>
      </c>
      <c r="I317" s="384">
        <f t="shared" si="131"/>
        <v>0.3</v>
      </c>
      <c r="J317" s="384">
        <f t="shared" si="131"/>
        <v>0.3</v>
      </c>
      <c r="K317" s="384">
        <f t="shared" si="131"/>
        <v>0.3</v>
      </c>
      <c r="L317" s="384">
        <f t="shared" si="131"/>
        <v>0.3</v>
      </c>
      <c r="M317" s="384">
        <f t="shared" si="131"/>
        <v>0.3</v>
      </c>
      <c r="N317" s="384">
        <f t="shared" si="131"/>
        <v>0.3</v>
      </c>
      <c r="O317" s="384">
        <f t="shared" si="131"/>
        <v>0.3</v>
      </c>
      <c r="P317" s="384">
        <f t="shared" si="131"/>
        <v>0.3</v>
      </c>
      <c r="Q317" s="384">
        <f t="shared" si="131"/>
        <v>0.3</v>
      </c>
      <c r="R317" s="384">
        <f t="shared" si="131"/>
        <v>0.3</v>
      </c>
      <c r="S317" s="385">
        <f t="shared" si="131"/>
        <v>0.3</v>
      </c>
    </row>
    <row r="318" spans="1:19" ht="12.75" customHeight="1" x14ac:dyDescent="0.2">
      <c r="A318" s="198" t="str">
        <f>"         "&amp;Labels!C316</f>
        <v xml:space="preserve">         Total</v>
      </c>
      <c r="B318" s="303">
        <f t="shared" ref="B318:S318" si="132">AVERAGE(B289,B302)</f>
        <v>0.3</v>
      </c>
      <c r="C318" s="303">
        <f t="shared" si="132"/>
        <v>0.3</v>
      </c>
      <c r="D318" s="303">
        <f t="shared" si="132"/>
        <v>0.3</v>
      </c>
      <c r="E318" s="303">
        <f t="shared" si="132"/>
        <v>0.3</v>
      </c>
      <c r="F318" s="303">
        <f t="shared" si="132"/>
        <v>0.3</v>
      </c>
      <c r="G318" s="303">
        <f t="shared" si="132"/>
        <v>0.3</v>
      </c>
      <c r="H318" s="303">
        <f t="shared" si="132"/>
        <v>0.3</v>
      </c>
      <c r="I318" s="303">
        <f t="shared" si="132"/>
        <v>0.3</v>
      </c>
      <c r="J318" s="303">
        <f t="shared" si="132"/>
        <v>0.3</v>
      </c>
      <c r="K318" s="303">
        <f t="shared" si="132"/>
        <v>0.3</v>
      </c>
      <c r="L318" s="303">
        <f t="shared" si="132"/>
        <v>0.3</v>
      </c>
      <c r="M318" s="303">
        <f t="shared" si="132"/>
        <v>0.3</v>
      </c>
      <c r="N318" s="303">
        <f t="shared" si="132"/>
        <v>0.3</v>
      </c>
      <c r="O318" s="303">
        <f t="shared" si="132"/>
        <v>0.3</v>
      </c>
      <c r="P318" s="303">
        <f t="shared" si="132"/>
        <v>0.3</v>
      </c>
      <c r="Q318" s="303">
        <f t="shared" si="132"/>
        <v>0.3</v>
      </c>
      <c r="R318" s="303">
        <f t="shared" si="132"/>
        <v>0.3</v>
      </c>
      <c r="S318" s="383">
        <f t="shared" si="132"/>
        <v>0.3</v>
      </c>
    </row>
    <row r="319" spans="1:19" ht="12.75" customHeight="1" x14ac:dyDescent="0.2">
      <c r="A319" s="97" t="str">
        <f>Labels!C388</f>
        <v>Total</v>
      </c>
      <c r="B319" s="387">
        <f t="shared" ref="B319:S319" si="133">AVERAGE(B266,B306)</f>
        <v>0.3</v>
      </c>
      <c r="C319" s="387">
        <f t="shared" si="133"/>
        <v>0.3</v>
      </c>
      <c r="D319" s="387">
        <f t="shared" si="133"/>
        <v>0.3</v>
      </c>
      <c r="E319" s="387">
        <f t="shared" si="133"/>
        <v>0.3</v>
      </c>
      <c r="F319" s="387">
        <f t="shared" si="133"/>
        <v>0.3</v>
      </c>
      <c r="G319" s="387">
        <f t="shared" si="133"/>
        <v>0.3</v>
      </c>
      <c r="H319" s="387">
        <f t="shared" si="133"/>
        <v>0.3</v>
      </c>
      <c r="I319" s="387">
        <f t="shared" si="133"/>
        <v>0.3</v>
      </c>
      <c r="J319" s="387">
        <f t="shared" si="133"/>
        <v>0.3</v>
      </c>
      <c r="K319" s="387">
        <f t="shared" si="133"/>
        <v>0.3</v>
      </c>
      <c r="L319" s="387">
        <f t="shared" si="133"/>
        <v>0.3</v>
      </c>
      <c r="M319" s="387">
        <f t="shared" si="133"/>
        <v>0.3</v>
      </c>
      <c r="N319" s="387">
        <f t="shared" si="133"/>
        <v>0.3</v>
      </c>
      <c r="O319" s="387">
        <f t="shared" si="133"/>
        <v>0.3</v>
      </c>
      <c r="P319" s="387">
        <f t="shared" si="133"/>
        <v>0.3</v>
      </c>
      <c r="Q319" s="387">
        <f t="shared" si="133"/>
        <v>0.3</v>
      </c>
      <c r="R319" s="387">
        <f t="shared" si="133"/>
        <v>0.3</v>
      </c>
      <c r="S319" s="388">
        <f t="shared" si="133"/>
        <v>0.3</v>
      </c>
    </row>
    <row r="320" spans="1:19" ht="12.75" customHeight="1" x14ac:dyDescent="0.2">
      <c r="A320" s="188" t="str">
        <f>"   "&amp;Labels!B381</f>
        <v xml:space="preserve">   Practice 1</v>
      </c>
      <c r="B320" s="275"/>
      <c r="C320" s="275"/>
      <c r="D320" s="275"/>
      <c r="E320" s="275"/>
      <c r="F320" s="275"/>
      <c r="G320" s="275"/>
      <c r="H320" s="275"/>
      <c r="I320" s="275"/>
      <c r="J320" s="275"/>
      <c r="K320" s="275"/>
      <c r="L320" s="275"/>
      <c r="M320" s="275"/>
      <c r="N320" s="275"/>
      <c r="O320" s="275"/>
      <c r="P320" s="275"/>
      <c r="Q320" s="275"/>
      <c r="R320" s="275"/>
      <c r="S320" s="276"/>
    </row>
    <row r="321" spans="1:19" ht="12.75" customHeight="1" x14ac:dyDescent="0.2">
      <c r="A321" s="198" t="str">
        <f>"      "&amp;Labels!B385</f>
        <v xml:space="preserve">      Prof Level 1</v>
      </c>
      <c r="B321" s="303"/>
      <c r="C321" s="303"/>
      <c r="D321" s="303"/>
      <c r="E321" s="303"/>
      <c r="F321" s="303"/>
      <c r="G321" s="303"/>
      <c r="H321" s="303"/>
      <c r="I321" s="303"/>
      <c r="J321" s="303"/>
      <c r="K321" s="303"/>
      <c r="L321" s="303"/>
      <c r="M321" s="303"/>
      <c r="N321" s="303"/>
      <c r="O321" s="303"/>
      <c r="P321" s="303"/>
      <c r="Q321" s="303"/>
      <c r="R321" s="303"/>
      <c r="S321" s="383"/>
    </row>
    <row r="322" spans="1:19" ht="12.75" customHeight="1" x14ac:dyDescent="0.2">
      <c r="A322" s="198" t="str">
        <f>"         "&amp;Labels!B317</f>
        <v xml:space="preserve">         Channels 1</v>
      </c>
      <c r="B322" s="384">
        <f t="shared" ref="B322:S322" si="134">AVERAGE(B242,B282)</f>
        <v>0.3</v>
      </c>
      <c r="C322" s="384">
        <f t="shared" si="134"/>
        <v>0.3</v>
      </c>
      <c r="D322" s="384">
        <f t="shared" si="134"/>
        <v>0.3</v>
      </c>
      <c r="E322" s="384">
        <f t="shared" si="134"/>
        <v>0.3</v>
      </c>
      <c r="F322" s="384">
        <f t="shared" si="134"/>
        <v>0.3</v>
      </c>
      <c r="G322" s="384">
        <f t="shared" si="134"/>
        <v>0.3</v>
      </c>
      <c r="H322" s="384">
        <f t="shared" si="134"/>
        <v>0.3</v>
      </c>
      <c r="I322" s="384">
        <f t="shared" si="134"/>
        <v>0.3</v>
      </c>
      <c r="J322" s="384">
        <f t="shared" si="134"/>
        <v>0.3</v>
      </c>
      <c r="K322" s="384">
        <f t="shared" si="134"/>
        <v>0.3</v>
      </c>
      <c r="L322" s="384">
        <f t="shared" si="134"/>
        <v>0.3</v>
      </c>
      <c r="M322" s="384">
        <f t="shared" si="134"/>
        <v>0.3</v>
      </c>
      <c r="N322" s="384">
        <f t="shared" si="134"/>
        <v>0.3</v>
      </c>
      <c r="O322" s="384">
        <f t="shared" si="134"/>
        <v>0.3</v>
      </c>
      <c r="P322" s="384">
        <f t="shared" si="134"/>
        <v>0.3</v>
      </c>
      <c r="Q322" s="384">
        <f t="shared" si="134"/>
        <v>0.3</v>
      </c>
      <c r="R322" s="384">
        <f t="shared" si="134"/>
        <v>0.3</v>
      </c>
      <c r="S322" s="385">
        <f t="shared" si="134"/>
        <v>0.3</v>
      </c>
    </row>
    <row r="323" spans="1:19" ht="12.75" customHeight="1" x14ac:dyDescent="0.2">
      <c r="A323" s="198" t="str">
        <f>"         "&amp;Labels!B318</f>
        <v xml:space="preserve">         Channels 2</v>
      </c>
      <c r="B323" s="384">
        <f t="shared" ref="B323:S323" si="135">AVERAGE(B243,B283)</f>
        <v>0.3</v>
      </c>
      <c r="C323" s="384">
        <f t="shared" si="135"/>
        <v>0.3</v>
      </c>
      <c r="D323" s="384">
        <f t="shared" si="135"/>
        <v>0.3</v>
      </c>
      <c r="E323" s="384">
        <f t="shared" si="135"/>
        <v>0.3</v>
      </c>
      <c r="F323" s="384">
        <f t="shared" si="135"/>
        <v>0.3</v>
      </c>
      <c r="G323" s="384">
        <f t="shared" si="135"/>
        <v>0.3</v>
      </c>
      <c r="H323" s="384">
        <f t="shared" si="135"/>
        <v>0.3</v>
      </c>
      <c r="I323" s="384">
        <f t="shared" si="135"/>
        <v>0.3</v>
      </c>
      <c r="J323" s="384">
        <f t="shared" si="135"/>
        <v>0.3</v>
      </c>
      <c r="K323" s="384">
        <f t="shared" si="135"/>
        <v>0.3</v>
      </c>
      <c r="L323" s="384">
        <f t="shared" si="135"/>
        <v>0.3</v>
      </c>
      <c r="M323" s="384">
        <f t="shared" si="135"/>
        <v>0.3</v>
      </c>
      <c r="N323" s="384">
        <f t="shared" si="135"/>
        <v>0.3</v>
      </c>
      <c r="O323" s="384">
        <f t="shared" si="135"/>
        <v>0.3</v>
      </c>
      <c r="P323" s="384">
        <f t="shared" si="135"/>
        <v>0.3</v>
      </c>
      <c r="Q323" s="384">
        <f t="shared" si="135"/>
        <v>0.3</v>
      </c>
      <c r="R323" s="384">
        <f t="shared" si="135"/>
        <v>0.3</v>
      </c>
      <c r="S323" s="385">
        <f t="shared" si="135"/>
        <v>0.3</v>
      </c>
    </row>
    <row r="324" spans="1:19" ht="12.75" customHeight="1" x14ac:dyDescent="0.2">
      <c r="A324" s="198" t="str">
        <f>"         "&amp;Labels!C316</f>
        <v xml:space="preserve">         Total</v>
      </c>
      <c r="B324" s="303">
        <f t="shared" ref="B324:S324" si="136">AVERAGE(B244,B284)</f>
        <v>0.3</v>
      </c>
      <c r="C324" s="303">
        <f t="shared" si="136"/>
        <v>0.3</v>
      </c>
      <c r="D324" s="303">
        <f t="shared" si="136"/>
        <v>0.3</v>
      </c>
      <c r="E324" s="303">
        <f t="shared" si="136"/>
        <v>0.3</v>
      </c>
      <c r="F324" s="303">
        <f t="shared" si="136"/>
        <v>0.3</v>
      </c>
      <c r="G324" s="303">
        <f t="shared" si="136"/>
        <v>0.3</v>
      </c>
      <c r="H324" s="303">
        <f t="shared" si="136"/>
        <v>0.3</v>
      </c>
      <c r="I324" s="303">
        <f t="shared" si="136"/>
        <v>0.3</v>
      </c>
      <c r="J324" s="303">
        <f t="shared" si="136"/>
        <v>0.3</v>
      </c>
      <c r="K324" s="303">
        <f t="shared" si="136"/>
        <v>0.3</v>
      </c>
      <c r="L324" s="303">
        <f t="shared" si="136"/>
        <v>0.3</v>
      </c>
      <c r="M324" s="303">
        <f t="shared" si="136"/>
        <v>0.3</v>
      </c>
      <c r="N324" s="303">
        <f t="shared" si="136"/>
        <v>0.3</v>
      </c>
      <c r="O324" s="303">
        <f t="shared" si="136"/>
        <v>0.3</v>
      </c>
      <c r="P324" s="303">
        <f t="shared" si="136"/>
        <v>0.3</v>
      </c>
      <c r="Q324" s="303">
        <f t="shared" si="136"/>
        <v>0.3</v>
      </c>
      <c r="R324" s="303">
        <f t="shared" si="136"/>
        <v>0.3</v>
      </c>
      <c r="S324" s="383">
        <f t="shared" si="136"/>
        <v>0.3</v>
      </c>
    </row>
    <row r="325" spans="1:19" ht="12.75" customHeight="1" x14ac:dyDescent="0.2">
      <c r="A325" s="198" t="str">
        <f>"      "&amp;Labels!B386</f>
        <v xml:space="preserve">      Prof Level 2</v>
      </c>
      <c r="B325" s="303"/>
      <c r="C325" s="303"/>
      <c r="D325" s="303"/>
      <c r="E325" s="303"/>
      <c r="F325" s="303"/>
      <c r="G325" s="303"/>
      <c r="H325" s="303"/>
      <c r="I325" s="303"/>
      <c r="J325" s="303"/>
      <c r="K325" s="303"/>
      <c r="L325" s="303"/>
      <c r="M325" s="303"/>
      <c r="N325" s="303"/>
      <c r="O325" s="303"/>
      <c r="P325" s="303"/>
      <c r="Q325" s="303"/>
      <c r="R325" s="303"/>
      <c r="S325" s="383"/>
    </row>
    <row r="326" spans="1:19" ht="12.75" customHeight="1" x14ac:dyDescent="0.2">
      <c r="A326" s="198" t="str">
        <f>"         "&amp;Labels!B317</f>
        <v xml:space="preserve">         Channels 1</v>
      </c>
      <c r="B326" s="384">
        <f t="shared" ref="B326:S326" si="137">AVERAGE(B246,B286)</f>
        <v>0.3</v>
      </c>
      <c r="C326" s="384">
        <f t="shared" si="137"/>
        <v>0.3</v>
      </c>
      <c r="D326" s="384">
        <f t="shared" si="137"/>
        <v>0.3</v>
      </c>
      <c r="E326" s="384">
        <f t="shared" si="137"/>
        <v>0.3</v>
      </c>
      <c r="F326" s="384">
        <f t="shared" si="137"/>
        <v>0.3</v>
      </c>
      <c r="G326" s="384">
        <f t="shared" si="137"/>
        <v>0.3</v>
      </c>
      <c r="H326" s="384">
        <f t="shared" si="137"/>
        <v>0.3</v>
      </c>
      <c r="I326" s="384">
        <f t="shared" si="137"/>
        <v>0.3</v>
      </c>
      <c r="J326" s="384">
        <f t="shared" si="137"/>
        <v>0.3</v>
      </c>
      <c r="K326" s="384">
        <f t="shared" si="137"/>
        <v>0.3</v>
      </c>
      <c r="L326" s="384">
        <f t="shared" si="137"/>
        <v>0.3</v>
      </c>
      <c r="M326" s="384">
        <f t="shared" si="137"/>
        <v>0.3</v>
      </c>
      <c r="N326" s="384">
        <f t="shared" si="137"/>
        <v>0.3</v>
      </c>
      <c r="O326" s="384">
        <f t="shared" si="137"/>
        <v>0.3</v>
      </c>
      <c r="P326" s="384">
        <f t="shared" si="137"/>
        <v>0.3</v>
      </c>
      <c r="Q326" s="384">
        <f t="shared" si="137"/>
        <v>0.3</v>
      </c>
      <c r="R326" s="384">
        <f t="shared" si="137"/>
        <v>0.3</v>
      </c>
      <c r="S326" s="385">
        <f t="shared" si="137"/>
        <v>0.3</v>
      </c>
    </row>
    <row r="327" spans="1:19" ht="12.75" customHeight="1" x14ac:dyDescent="0.2">
      <c r="A327" s="198" t="str">
        <f>"         "&amp;Labels!B318</f>
        <v xml:space="preserve">         Channels 2</v>
      </c>
      <c r="B327" s="384">
        <f t="shared" ref="B327:S327" si="138">AVERAGE(B247,B287)</f>
        <v>0.3</v>
      </c>
      <c r="C327" s="384">
        <f t="shared" si="138"/>
        <v>0.3</v>
      </c>
      <c r="D327" s="384">
        <f t="shared" si="138"/>
        <v>0.3</v>
      </c>
      <c r="E327" s="384">
        <f t="shared" si="138"/>
        <v>0.3</v>
      </c>
      <c r="F327" s="384">
        <f t="shared" si="138"/>
        <v>0.3</v>
      </c>
      <c r="G327" s="384">
        <f t="shared" si="138"/>
        <v>0.3</v>
      </c>
      <c r="H327" s="384">
        <f t="shared" si="138"/>
        <v>0.3</v>
      </c>
      <c r="I327" s="384">
        <f t="shared" si="138"/>
        <v>0.3</v>
      </c>
      <c r="J327" s="384">
        <f t="shared" si="138"/>
        <v>0.3</v>
      </c>
      <c r="K327" s="384">
        <f t="shared" si="138"/>
        <v>0.3</v>
      </c>
      <c r="L327" s="384">
        <f t="shared" si="138"/>
        <v>0.3</v>
      </c>
      <c r="M327" s="384">
        <f t="shared" si="138"/>
        <v>0.3</v>
      </c>
      <c r="N327" s="384">
        <f t="shared" si="138"/>
        <v>0.3</v>
      </c>
      <c r="O327" s="384">
        <f t="shared" si="138"/>
        <v>0.3</v>
      </c>
      <c r="P327" s="384">
        <f t="shared" si="138"/>
        <v>0.3</v>
      </c>
      <c r="Q327" s="384">
        <f t="shared" si="138"/>
        <v>0.3</v>
      </c>
      <c r="R327" s="384">
        <f t="shared" si="138"/>
        <v>0.3</v>
      </c>
      <c r="S327" s="385">
        <f t="shared" si="138"/>
        <v>0.3</v>
      </c>
    </row>
    <row r="328" spans="1:19" ht="12.75" customHeight="1" x14ac:dyDescent="0.2">
      <c r="A328" s="198" t="str">
        <f>"         "&amp;Labels!C316</f>
        <v xml:space="preserve">         Total</v>
      </c>
      <c r="B328" s="303">
        <f t="shared" ref="B328:S328" si="139">AVERAGE(B248,B288)</f>
        <v>0.3</v>
      </c>
      <c r="C328" s="303">
        <f t="shared" si="139"/>
        <v>0.3</v>
      </c>
      <c r="D328" s="303">
        <f t="shared" si="139"/>
        <v>0.3</v>
      </c>
      <c r="E328" s="303">
        <f t="shared" si="139"/>
        <v>0.3</v>
      </c>
      <c r="F328" s="303">
        <f t="shared" si="139"/>
        <v>0.3</v>
      </c>
      <c r="G328" s="303">
        <f t="shared" si="139"/>
        <v>0.3</v>
      </c>
      <c r="H328" s="303">
        <f t="shared" si="139"/>
        <v>0.3</v>
      </c>
      <c r="I328" s="303">
        <f t="shared" si="139"/>
        <v>0.3</v>
      </c>
      <c r="J328" s="303">
        <f t="shared" si="139"/>
        <v>0.3</v>
      </c>
      <c r="K328" s="303">
        <f t="shared" si="139"/>
        <v>0.3</v>
      </c>
      <c r="L328" s="303">
        <f t="shared" si="139"/>
        <v>0.3</v>
      </c>
      <c r="M328" s="303">
        <f t="shared" si="139"/>
        <v>0.3</v>
      </c>
      <c r="N328" s="303">
        <f t="shared" si="139"/>
        <v>0.3</v>
      </c>
      <c r="O328" s="303">
        <f t="shared" si="139"/>
        <v>0.3</v>
      </c>
      <c r="P328" s="303">
        <f t="shared" si="139"/>
        <v>0.3</v>
      </c>
      <c r="Q328" s="303">
        <f t="shared" si="139"/>
        <v>0.3</v>
      </c>
      <c r="R328" s="303">
        <f t="shared" si="139"/>
        <v>0.3</v>
      </c>
      <c r="S328" s="383">
        <f t="shared" si="139"/>
        <v>0.3</v>
      </c>
    </row>
    <row r="329" spans="1:19" ht="12.75" customHeight="1" x14ac:dyDescent="0.2">
      <c r="A329" s="188" t="str">
        <f>"      "&amp;Labels!C384</f>
        <v xml:space="preserve">      Total</v>
      </c>
      <c r="B329" s="275">
        <f t="shared" ref="B329:S329" si="140">AVERAGE(B249,B289)</f>
        <v>0.3</v>
      </c>
      <c r="C329" s="275">
        <f t="shared" si="140"/>
        <v>0.3</v>
      </c>
      <c r="D329" s="275">
        <f t="shared" si="140"/>
        <v>0.3</v>
      </c>
      <c r="E329" s="275">
        <f t="shared" si="140"/>
        <v>0.3</v>
      </c>
      <c r="F329" s="275">
        <f t="shared" si="140"/>
        <v>0.3</v>
      </c>
      <c r="G329" s="275">
        <f t="shared" si="140"/>
        <v>0.3</v>
      </c>
      <c r="H329" s="275">
        <f t="shared" si="140"/>
        <v>0.3</v>
      </c>
      <c r="I329" s="275">
        <f t="shared" si="140"/>
        <v>0.3</v>
      </c>
      <c r="J329" s="275">
        <f t="shared" si="140"/>
        <v>0.3</v>
      </c>
      <c r="K329" s="275">
        <f t="shared" si="140"/>
        <v>0.3</v>
      </c>
      <c r="L329" s="275">
        <f t="shared" si="140"/>
        <v>0.3</v>
      </c>
      <c r="M329" s="275">
        <f t="shared" si="140"/>
        <v>0.3</v>
      </c>
      <c r="N329" s="275">
        <f t="shared" si="140"/>
        <v>0.3</v>
      </c>
      <c r="O329" s="275">
        <f t="shared" si="140"/>
        <v>0.3</v>
      </c>
      <c r="P329" s="275">
        <f t="shared" si="140"/>
        <v>0.3</v>
      </c>
      <c r="Q329" s="275">
        <f t="shared" si="140"/>
        <v>0.3</v>
      </c>
      <c r="R329" s="275">
        <f t="shared" si="140"/>
        <v>0.3</v>
      </c>
      <c r="S329" s="276">
        <f t="shared" si="140"/>
        <v>0.3</v>
      </c>
    </row>
    <row r="330" spans="1:19" ht="12.75" customHeight="1" x14ac:dyDescent="0.2">
      <c r="A330" s="198" t="str">
        <f>"         "&amp;Labels!B317</f>
        <v xml:space="preserve">         Channels 1</v>
      </c>
      <c r="B330" s="384">
        <f t="shared" ref="B330:S330" si="141">AVERAGE(B250,B290)</f>
        <v>0.3</v>
      </c>
      <c r="C330" s="384">
        <f t="shared" si="141"/>
        <v>0.3</v>
      </c>
      <c r="D330" s="384">
        <f t="shared" si="141"/>
        <v>0.3</v>
      </c>
      <c r="E330" s="384">
        <f t="shared" si="141"/>
        <v>0.3</v>
      </c>
      <c r="F330" s="384">
        <f t="shared" si="141"/>
        <v>0.3</v>
      </c>
      <c r="G330" s="384">
        <f t="shared" si="141"/>
        <v>0.3</v>
      </c>
      <c r="H330" s="384">
        <f t="shared" si="141"/>
        <v>0.3</v>
      </c>
      <c r="I330" s="384">
        <f t="shared" si="141"/>
        <v>0.3</v>
      </c>
      <c r="J330" s="384">
        <f t="shared" si="141"/>
        <v>0.3</v>
      </c>
      <c r="K330" s="384">
        <f t="shared" si="141"/>
        <v>0.3</v>
      </c>
      <c r="L330" s="384">
        <f t="shared" si="141"/>
        <v>0.3</v>
      </c>
      <c r="M330" s="384">
        <f t="shared" si="141"/>
        <v>0.3</v>
      </c>
      <c r="N330" s="384">
        <f t="shared" si="141"/>
        <v>0.3</v>
      </c>
      <c r="O330" s="384">
        <f t="shared" si="141"/>
        <v>0.3</v>
      </c>
      <c r="P330" s="384">
        <f t="shared" si="141"/>
        <v>0.3</v>
      </c>
      <c r="Q330" s="384">
        <f t="shared" si="141"/>
        <v>0.3</v>
      </c>
      <c r="R330" s="384">
        <f t="shared" si="141"/>
        <v>0.3</v>
      </c>
      <c r="S330" s="385">
        <f t="shared" si="141"/>
        <v>0.3</v>
      </c>
    </row>
    <row r="331" spans="1:19" ht="12.75" customHeight="1" x14ac:dyDescent="0.2">
      <c r="A331" s="198" t="str">
        <f>"         "&amp;Labels!B318</f>
        <v xml:space="preserve">         Channels 2</v>
      </c>
      <c r="B331" s="384">
        <f t="shared" ref="B331:S331" si="142">AVERAGE(B251,B291)</f>
        <v>0.3</v>
      </c>
      <c r="C331" s="384">
        <f t="shared" si="142"/>
        <v>0.3</v>
      </c>
      <c r="D331" s="384">
        <f t="shared" si="142"/>
        <v>0.3</v>
      </c>
      <c r="E331" s="384">
        <f t="shared" si="142"/>
        <v>0.3</v>
      </c>
      <c r="F331" s="384">
        <f t="shared" si="142"/>
        <v>0.3</v>
      </c>
      <c r="G331" s="384">
        <f t="shared" si="142"/>
        <v>0.3</v>
      </c>
      <c r="H331" s="384">
        <f t="shared" si="142"/>
        <v>0.3</v>
      </c>
      <c r="I331" s="384">
        <f t="shared" si="142"/>
        <v>0.3</v>
      </c>
      <c r="J331" s="384">
        <f t="shared" si="142"/>
        <v>0.3</v>
      </c>
      <c r="K331" s="384">
        <f t="shared" si="142"/>
        <v>0.3</v>
      </c>
      <c r="L331" s="384">
        <f t="shared" si="142"/>
        <v>0.3</v>
      </c>
      <c r="M331" s="384">
        <f t="shared" si="142"/>
        <v>0.3</v>
      </c>
      <c r="N331" s="384">
        <f t="shared" si="142"/>
        <v>0.3</v>
      </c>
      <c r="O331" s="384">
        <f t="shared" si="142"/>
        <v>0.3</v>
      </c>
      <c r="P331" s="384">
        <f t="shared" si="142"/>
        <v>0.3</v>
      </c>
      <c r="Q331" s="384">
        <f t="shared" si="142"/>
        <v>0.3</v>
      </c>
      <c r="R331" s="384">
        <f t="shared" si="142"/>
        <v>0.3</v>
      </c>
      <c r="S331" s="385">
        <f t="shared" si="142"/>
        <v>0.3</v>
      </c>
    </row>
    <row r="332" spans="1:19" ht="12.75" customHeight="1" x14ac:dyDescent="0.2">
      <c r="A332" s="198" t="str">
        <f>"         "&amp;Labels!C316</f>
        <v xml:space="preserve">         Total</v>
      </c>
      <c r="B332" s="303">
        <f t="shared" ref="B332:S332" si="143">AVERAGE(B249,B289)</f>
        <v>0.3</v>
      </c>
      <c r="C332" s="303">
        <f t="shared" si="143"/>
        <v>0.3</v>
      </c>
      <c r="D332" s="303">
        <f t="shared" si="143"/>
        <v>0.3</v>
      </c>
      <c r="E332" s="303">
        <f t="shared" si="143"/>
        <v>0.3</v>
      </c>
      <c r="F332" s="303">
        <f t="shared" si="143"/>
        <v>0.3</v>
      </c>
      <c r="G332" s="303">
        <f t="shared" si="143"/>
        <v>0.3</v>
      </c>
      <c r="H332" s="303">
        <f t="shared" si="143"/>
        <v>0.3</v>
      </c>
      <c r="I332" s="303">
        <f t="shared" si="143"/>
        <v>0.3</v>
      </c>
      <c r="J332" s="303">
        <f t="shared" si="143"/>
        <v>0.3</v>
      </c>
      <c r="K332" s="303">
        <f t="shared" si="143"/>
        <v>0.3</v>
      </c>
      <c r="L332" s="303">
        <f t="shared" si="143"/>
        <v>0.3</v>
      </c>
      <c r="M332" s="303">
        <f t="shared" si="143"/>
        <v>0.3</v>
      </c>
      <c r="N332" s="303">
        <f t="shared" si="143"/>
        <v>0.3</v>
      </c>
      <c r="O332" s="303">
        <f t="shared" si="143"/>
        <v>0.3</v>
      </c>
      <c r="P332" s="303">
        <f t="shared" si="143"/>
        <v>0.3</v>
      </c>
      <c r="Q332" s="303">
        <f t="shared" si="143"/>
        <v>0.3</v>
      </c>
      <c r="R332" s="303">
        <f t="shared" si="143"/>
        <v>0.3</v>
      </c>
      <c r="S332" s="383">
        <f t="shared" si="143"/>
        <v>0.3</v>
      </c>
    </row>
    <row r="333" spans="1:19" ht="12.75" customHeight="1" x14ac:dyDescent="0.2">
      <c r="A333" s="188" t="str">
        <f>"   "&amp;Labels!B382</f>
        <v xml:space="preserve">   Practice 2</v>
      </c>
      <c r="B333" s="275"/>
      <c r="C333" s="275"/>
      <c r="D333" s="275"/>
      <c r="E333" s="275"/>
      <c r="F333" s="275"/>
      <c r="G333" s="275"/>
      <c r="H333" s="275"/>
      <c r="I333" s="275"/>
      <c r="J333" s="275"/>
      <c r="K333" s="275"/>
      <c r="L333" s="275"/>
      <c r="M333" s="275"/>
      <c r="N333" s="275"/>
      <c r="O333" s="275"/>
      <c r="P333" s="275"/>
      <c r="Q333" s="275"/>
      <c r="R333" s="275"/>
      <c r="S333" s="276"/>
    </row>
    <row r="334" spans="1:19" ht="12.75" customHeight="1" x14ac:dyDescent="0.2">
      <c r="A334" s="198" t="str">
        <f>"      "&amp;Labels!B385</f>
        <v xml:space="preserve">      Prof Level 1</v>
      </c>
      <c r="B334" s="303"/>
      <c r="C334" s="303"/>
      <c r="D334" s="303"/>
      <c r="E334" s="303"/>
      <c r="F334" s="303"/>
      <c r="G334" s="303"/>
      <c r="H334" s="303"/>
      <c r="I334" s="303"/>
      <c r="J334" s="303"/>
      <c r="K334" s="303"/>
      <c r="L334" s="303"/>
      <c r="M334" s="303"/>
      <c r="N334" s="303"/>
      <c r="O334" s="303"/>
      <c r="P334" s="303"/>
      <c r="Q334" s="303"/>
      <c r="R334" s="303"/>
      <c r="S334" s="383"/>
    </row>
    <row r="335" spans="1:19" ht="12.75" customHeight="1" x14ac:dyDescent="0.2">
      <c r="A335" s="198" t="str">
        <f>"         "&amp;Labels!B317</f>
        <v xml:space="preserve">         Channels 1</v>
      </c>
      <c r="B335" s="384">
        <f t="shared" ref="B335:S335" si="144">AVERAGE(B255,B295)</f>
        <v>0.3</v>
      </c>
      <c r="C335" s="384">
        <f t="shared" si="144"/>
        <v>0.3</v>
      </c>
      <c r="D335" s="384">
        <f t="shared" si="144"/>
        <v>0.3</v>
      </c>
      <c r="E335" s="384">
        <f t="shared" si="144"/>
        <v>0.3</v>
      </c>
      <c r="F335" s="384">
        <f t="shared" si="144"/>
        <v>0.3</v>
      </c>
      <c r="G335" s="384">
        <f t="shared" si="144"/>
        <v>0.3</v>
      </c>
      <c r="H335" s="384">
        <f t="shared" si="144"/>
        <v>0.3</v>
      </c>
      <c r="I335" s="384">
        <f t="shared" si="144"/>
        <v>0.3</v>
      </c>
      <c r="J335" s="384">
        <f t="shared" si="144"/>
        <v>0.3</v>
      </c>
      <c r="K335" s="384">
        <f t="shared" si="144"/>
        <v>0.3</v>
      </c>
      <c r="L335" s="384">
        <f t="shared" si="144"/>
        <v>0.3</v>
      </c>
      <c r="M335" s="384">
        <f t="shared" si="144"/>
        <v>0.3</v>
      </c>
      <c r="N335" s="384">
        <f t="shared" si="144"/>
        <v>0.3</v>
      </c>
      <c r="O335" s="384">
        <f t="shared" si="144"/>
        <v>0.3</v>
      </c>
      <c r="P335" s="384">
        <f t="shared" si="144"/>
        <v>0.3</v>
      </c>
      <c r="Q335" s="384">
        <f t="shared" si="144"/>
        <v>0.3</v>
      </c>
      <c r="R335" s="384">
        <f t="shared" si="144"/>
        <v>0.3</v>
      </c>
      <c r="S335" s="385">
        <f t="shared" si="144"/>
        <v>0.3</v>
      </c>
    </row>
    <row r="336" spans="1:19" ht="12.75" customHeight="1" x14ac:dyDescent="0.2">
      <c r="A336" s="198" t="str">
        <f>"         "&amp;Labels!B318</f>
        <v xml:space="preserve">         Channels 2</v>
      </c>
      <c r="B336" s="384">
        <f t="shared" ref="B336:S336" si="145">AVERAGE(B256,B296)</f>
        <v>0.3</v>
      </c>
      <c r="C336" s="384">
        <f t="shared" si="145"/>
        <v>0.3</v>
      </c>
      <c r="D336" s="384">
        <f t="shared" si="145"/>
        <v>0.3</v>
      </c>
      <c r="E336" s="384">
        <f t="shared" si="145"/>
        <v>0.3</v>
      </c>
      <c r="F336" s="384">
        <f t="shared" si="145"/>
        <v>0.3</v>
      </c>
      <c r="G336" s="384">
        <f t="shared" si="145"/>
        <v>0.3</v>
      </c>
      <c r="H336" s="384">
        <f t="shared" si="145"/>
        <v>0.3</v>
      </c>
      <c r="I336" s="384">
        <f t="shared" si="145"/>
        <v>0.3</v>
      </c>
      <c r="J336" s="384">
        <f t="shared" si="145"/>
        <v>0.3</v>
      </c>
      <c r="K336" s="384">
        <f t="shared" si="145"/>
        <v>0.3</v>
      </c>
      <c r="L336" s="384">
        <f t="shared" si="145"/>
        <v>0.3</v>
      </c>
      <c r="M336" s="384">
        <f t="shared" si="145"/>
        <v>0.3</v>
      </c>
      <c r="N336" s="384">
        <f t="shared" si="145"/>
        <v>0.3</v>
      </c>
      <c r="O336" s="384">
        <f t="shared" si="145"/>
        <v>0.3</v>
      </c>
      <c r="P336" s="384">
        <f t="shared" si="145"/>
        <v>0.3</v>
      </c>
      <c r="Q336" s="384">
        <f t="shared" si="145"/>
        <v>0.3</v>
      </c>
      <c r="R336" s="384">
        <f t="shared" si="145"/>
        <v>0.3</v>
      </c>
      <c r="S336" s="385">
        <f t="shared" si="145"/>
        <v>0.3</v>
      </c>
    </row>
    <row r="337" spans="1:19" ht="12.75" customHeight="1" x14ac:dyDescent="0.2">
      <c r="A337" s="198" t="str">
        <f>"         "&amp;Labels!C316</f>
        <v xml:space="preserve">         Total</v>
      </c>
      <c r="B337" s="303">
        <f t="shared" ref="B337:S337" si="146">AVERAGE(B257,B297)</f>
        <v>0.3</v>
      </c>
      <c r="C337" s="303">
        <f t="shared" si="146"/>
        <v>0.3</v>
      </c>
      <c r="D337" s="303">
        <f t="shared" si="146"/>
        <v>0.3</v>
      </c>
      <c r="E337" s="303">
        <f t="shared" si="146"/>
        <v>0.3</v>
      </c>
      <c r="F337" s="303">
        <f t="shared" si="146"/>
        <v>0.3</v>
      </c>
      <c r="G337" s="303">
        <f t="shared" si="146"/>
        <v>0.3</v>
      </c>
      <c r="H337" s="303">
        <f t="shared" si="146"/>
        <v>0.3</v>
      </c>
      <c r="I337" s="303">
        <f t="shared" si="146"/>
        <v>0.3</v>
      </c>
      <c r="J337" s="303">
        <f t="shared" si="146"/>
        <v>0.3</v>
      </c>
      <c r="K337" s="303">
        <f t="shared" si="146"/>
        <v>0.3</v>
      </c>
      <c r="L337" s="303">
        <f t="shared" si="146"/>
        <v>0.3</v>
      </c>
      <c r="M337" s="303">
        <f t="shared" si="146"/>
        <v>0.3</v>
      </c>
      <c r="N337" s="303">
        <f t="shared" si="146"/>
        <v>0.3</v>
      </c>
      <c r="O337" s="303">
        <f t="shared" si="146"/>
        <v>0.3</v>
      </c>
      <c r="P337" s="303">
        <f t="shared" si="146"/>
        <v>0.3</v>
      </c>
      <c r="Q337" s="303">
        <f t="shared" si="146"/>
        <v>0.3</v>
      </c>
      <c r="R337" s="303">
        <f t="shared" si="146"/>
        <v>0.3</v>
      </c>
      <c r="S337" s="383">
        <f t="shared" si="146"/>
        <v>0.3</v>
      </c>
    </row>
    <row r="338" spans="1:19" ht="12.75" customHeight="1" x14ac:dyDescent="0.2">
      <c r="A338" s="198" t="str">
        <f>"      "&amp;Labels!B386</f>
        <v xml:space="preserve">      Prof Level 2</v>
      </c>
      <c r="B338" s="303"/>
      <c r="C338" s="303"/>
      <c r="D338" s="303"/>
      <c r="E338" s="303"/>
      <c r="F338" s="303"/>
      <c r="G338" s="303"/>
      <c r="H338" s="303"/>
      <c r="I338" s="303"/>
      <c r="J338" s="303"/>
      <c r="K338" s="303"/>
      <c r="L338" s="303"/>
      <c r="M338" s="303"/>
      <c r="N338" s="303"/>
      <c r="O338" s="303"/>
      <c r="P338" s="303"/>
      <c r="Q338" s="303"/>
      <c r="R338" s="303"/>
      <c r="S338" s="383"/>
    </row>
    <row r="339" spans="1:19" ht="12.75" customHeight="1" x14ac:dyDescent="0.2">
      <c r="A339" s="198" t="str">
        <f>"         "&amp;Labels!B317</f>
        <v xml:space="preserve">         Channels 1</v>
      </c>
      <c r="B339" s="384">
        <f t="shared" ref="B339:S339" si="147">AVERAGE(B259,B299)</f>
        <v>0.3</v>
      </c>
      <c r="C339" s="384">
        <f t="shared" si="147"/>
        <v>0.3</v>
      </c>
      <c r="D339" s="384">
        <f t="shared" si="147"/>
        <v>0.3</v>
      </c>
      <c r="E339" s="384">
        <f t="shared" si="147"/>
        <v>0.3</v>
      </c>
      <c r="F339" s="384">
        <f t="shared" si="147"/>
        <v>0.3</v>
      </c>
      <c r="G339" s="384">
        <f t="shared" si="147"/>
        <v>0.3</v>
      </c>
      <c r="H339" s="384">
        <f t="shared" si="147"/>
        <v>0.3</v>
      </c>
      <c r="I339" s="384">
        <f t="shared" si="147"/>
        <v>0.3</v>
      </c>
      <c r="J339" s="384">
        <f t="shared" si="147"/>
        <v>0.3</v>
      </c>
      <c r="K339" s="384">
        <f t="shared" si="147"/>
        <v>0.3</v>
      </c>
      <c r="L339" s="384">
        <f t="shared" si="147"/>
        <v>0.3</v>
      </c>
      <c r="M339" s="384">
        <f t="shared" si="147"/>
        <v>0.3</v>
      </c>
      <c r="N339" s="384">
        <f t="shared" si="147"/>
        <v>0.3</v>
      </c>
      <c r="O339" s="384">
        <f t="shared" si="147"/>
        <v>0.3</v>
      </c>
      <c r="P339" s="384">
        <f t="shared" si="147"/>
        <v>0.3</v>
      </c>
      <c r="Q339" s="384">
        <f t="shared" si="147"/>
        <v>0.3</v>
      </c>
      <c r="R339" s="384">
        <f t="shared" si="147"/>
        <v>0.3</v>
      </c>
      <c r="S339" s="385">
        <f t="shared" si="147"/>
        <v>0.3</v>
      </c>
    </row>
    <row r="340" spans="1:19" ht="12.75" customHeight="1" x14ac:dyDescent="0.2">
      <c r="A340" s="198" t="str">
        <f>"         "&amp;Labels!B318</f>
        <v xml:space="preserve">         Channels 2</v>
      </c>
      <c r="B340" s="384">
        <f t="shared" ref="B340:S340" si="148">AVERAGE(B260,B300)</f>
        <v>0.3</v>
      </c>
      <c r="C340" s="384">
        <f t="shared" si="148"/>
        <v>0.3</v>
      </c>
      <c r="D340" s="384">
        <f t="shared" si="148"/>
        <v>0.3</v>
      </c>
      <c r="E340" s="384">
        <f t="shared" si="148"/>
        <v>0.3</v>
      </c>
      <c r="F340" s="384">
        <f t="shared" si="148"/>
        <v>0.3</v>
      </c>
      <c r="G340" s="384">
        <f t="shared" si="148"/>
        <v>0.3</v>
      </c>
      <c r="H340" s="384">
        <f t="shared" si="148"/>
        <v>0.3</v>
      </c>
      <c r="I340" s="384">
        <f t="shared" si="148"/>
        <v>0.3</v>
      </c>
      <c r="J340" s="384">
        <f t="shared" si="148"/>
        <v>0.3</v>
      </c>
      <c r="K340" s="384">
        <f t="shared" si="148"/>
        <v>0.3</v>
      </c>
      <c r="L340" s="384">
        <f t="shared" si="148"/>
        <v>0.3</v>
      </c>
      <c r="M340" s="384">
        <f t="shared" si="148"/>
        <v>0.3</v>
      </c>
      <c r="N340" s="384">
        <f t="shared" si="148"/>
        <v>0.3</v>
      </c>
      <c r="O340" s="384">
        <f t="shared" si="148"/>
        <v>0.3</v>
      </c>
      <c r="P340" s="384">
        <f t="shared" si="148"/>
        <v>0.3</v>
      </c>
      <c r="Q340" s="384">
        <f t="shared" si="148"/>
        <v>0.3</v>
      </c>
      <c r="R340" s="384">
        <f t="shared" si="148"/>
        <v>0.3</v>
      </c>
      <c r="S340" s="385">
        <f t="shared" si="148"/>
        <v>0.3</v>
      </c>
    </row>
    <row r="341" spans="1:19" ht="12.75" customHeight="1" x14ac:dyDescent="0.2">
      <c r="A341" s="198" t="str">
        <f>"         "&amp;Labels!C316</f>
        <v xml:space="preserve">         Total</v>
      </c>
      <c r="B341" s="303">
        <f t="shared" ref="B341:S341" si="149">AVERAGE(B261,B301)</f>
        <v>0.3</v>
      </c>
      <c r="C341" s="303">
        <f t="shared" si="149"/>
        <v>0.3</v>
      </c>
      <c r="D341" s="303">
        <f t="shared" si="149"/>
        <v>0.3</v>
      </c>
      <c r="E341" s="303">
        <f t="shared" si="149"/>
        <v>0.3</v>
      </c>
      <c r="F341" s="303">
        <f t="shared" si="149"/>
        <v>0.3</v>
      </c>
      <c r="G341" s="303">
        <f t="shared" si="149"/>
        <v>0.3</v>
      </c>
      <c r="H341" s="303">
        <f t="shared" si="149"/>
        <v>0.3</v>
      </c>
      <c r="I341" s="303">
        <f t="shared" si="149"/>
        <v>0.3</v>
      </c>
      <c r="J341" s="303">
        <f t="shared" si="149"/>
        <v>0.3</v>
      </c>
      <c r="K341" s="303">
        <f t="shared" si="149"/>
        <v>0.3</v>
      </c>
      <c r="L341" s="303">
        <f t="shared" si="149"/>
        <v>0.3</v>
      </c>
      <c r="M341" s="303">
        <f t="shared" si="149"/>
        <v>0.3</v>
      </c>
      <c r="N341" s="303">
        <f t="shared" si="149"/>
        <v>0.3</v>
      </c>
      <c r="O341" s="303">
        <f t="shared" si="149"/>
        <v>0.3</v>
      </c>
      <c r="P341" s="303">
        <f t="shared" si="149"/>
        <v>0.3</v>
      </c>
      <c r="Q341" s="303">
        <f t="shared" si="149"/>
        <v>0.3</v>
      </c>
      <c r="R341" s="303">
        <f t="shared" si="149"/>
        <v>0.3</v>
      </c>
      <c r="S341" s="383">
        <f t="shared" si="149"/>
        <v>0.3</v>
      </c>
    </row>
    <row r="342" spans="1:19" ht="12.75" customHeight="1" x14ac:dyDescent="0.2">
      <c r="A342" s="188" t="str">
        <f>"      "&amp;Labels!C384</f>
        <v xml:space="preserve">      Total</v>
      </c>
      <c r="B342" s="275">
        <f t="shared" ref="B342:S342" si="150">AVERAGE(B262,B302)</f>
        <v>0.3</v>
      </c>
      <c r="C342" s="275">
        <f t="shared" si="150"/>
        <v>0.3</v>
      </c>
      <c r="D342" s="275">
        <f t="shared" si="150"/>
        <v>0.3</v>
      </c>
      <c r="E342" s="275">
        <f t="shared" si="150"/>
        <v>0.3</v>
      </c>
      <c r="F342" s="275">
        <f t="shared" si="150"/>
        <v>0.3</v>
      </c>
      <c r="G342" s="275">
        <f t="shared" si="150"/>
        <v>0.3</v>
      </c>
      <c r="H342" s="275">
        <f t="shared" si="150"/>
        <v>0.3</v>
      </c>
      <c r="I342" s="275">
        <f t="shared" si="150"/>
        <v>0.3</v>
      </c>
      <c r="J342" s="275">
        <f t="shared" si="150"/>
        <v>0.3</v>
      </c>
      <c r="K342" s="275">
        <f t="shared" si="150"/>
        <v>0.3</v>
      </c>
      <c r="L342" s="275">
        <f t="shared" si="150"/>
        <v>0.3</v>
      </c>
      <c r="M342" s="275">
        <f t="shared" si="150"/>
        <v>0.3</v>
      </c>
      <c r="N342" s="275">
        <f t="shared" si="150"/>
        <v>0.3</v>
      </c>
      <c r="O342" s="275">
        <f t="shared" si="150"/>
        <v>0.3</v>
      </c>
      <c r="P342" s="275">
        <f t="shared" si="150"/>
        <v>0.3</v>
      </c>
      <c r="Q342" s="275">
        <f t="shared" si="150"/>
        <v>0.3</v>
      </c>
      <c r="R342" s="275">
        <f t="shared" si="150"/>
        <v>0.3</v>
      </c>
      <c r="S342" s="276">
        <f t="shared" si="150"/>
        <v>0.3</v>
      </c>
    </row>
    <row r="343" spans="1:19" ht="12.75" customHeight="1" x14ac:dyDescent="0.2">
      <c r="A343" s="198" t="str">
        <f>"         "&amp;Labels!B317</f>
        <v xml:space="preserve">         Channels 1</v>
      </c>
      <c r="B343" s="384">
        <f t="shared" ref="B343:S343" si="151">AVERAGE(B263,B303)</f>
        <v>0.3</v>
      </c>
      <c r="C343" s="384">
        <f t="shared" si="151"/>
        <v>0.3</v>
      </c>
      <c r="D343" s="384">
        <f t="shared" si="151"/>
        <v>0.3</v>
      </c>
      <c r="E343" s="384">
        <f t="shared" si="151"/>
        <v>0.3</v>
      </c>
      <c r="F343" s="384">
        <f t="shared" si="151"/>
        <v>0.3</v>
      </c>
      <c r="G343" s="384">
        <f t="shared" si="151"/>
        <v>0.3</v>
      </c>
      <c r="H343" s="384">
        <f t="shared" si="151"/>
        <v>0.3</v>
      </c>
      <c r="I343" s="384">
        <f t="shared" si="151"/>
        <v>0.3</v>
      </c>
      <c r="J343" s="384">
        <f t="shared" si="151"/>
        <v>0.3</v>
      </c>
      <c r="K343" s="384">
        <f t="shared" si="151"/>
        <v>0.3</v>
      </c>
      <c r="L343" s="384">
        <f t="shared" si="151"/>
        <v>0.3</v>
      </c>
      <c r="M343" s="384">
        <f t="shared" si="151"/>
        <v>0.3</v>
      </c>
      <c r="N343" s="384">
        <f t="shared" si="151"/>
        <v>0.3</v>
      </c>
      <c r="O343" s="384">
        <f t="shared" si="151"/>
        <v>0.3</v>
      </c>
      <c r="P343" s="384">
        <f t="shared" si="151"/>
        <v>0.3</v>
      </c>
      <c r="Q343" s="384">
        <f t="shared" si="151"/>
        <v>0.3</v>
      </c>
      <c r="R343" s="384">
        <f t="shared" si="151"/>
        <v>0.3</v>
      </c>
      <c r="S343" s="385">
        <f t="shared" si="151"/>
        <v>0.3</v>
      </c>
    </row>
    <row r="344" spans="1:19" ht="12.75" customHeight="1" x14ac:dyDescent="0.2">
      <c r="A344" s="198" t="str">
        <f>"         "&amp;Labels!B318</f>
        <v xml:space="preserve">         Channels 2</v>
      </c>
      <c r="B344" s="384">
        <f t="shared" ref="B344:S344" si="152">AVERAGE(B264,B304)</f>
        <v>0.3</v>
      </c>
      <c r="C344" s="384">
        <f t="shared" si="152"/>
        <v>0.3</v>
      </c>
      <c r="D344" s="384">
        <f t="shared" si="152"/>
        <v>0.3</v>
      </c>
      <c r="E344" s="384">
        <f t="shared" si="152"/>
        <v>0.3</v>
      </c>
      <c r="F344" s="384">
        <f t="shared" si="152"/>
        <v>0.3</v>
      </c>
      <c r="G344" s="384">
        <f t="shared" si="152"/>
        <v>0.3</v>
      </c>
      <c r="H344" s="384">
        <f t="shared" si="152"/>
        <v>0.3</v>
      </c>
      <c r="I344" s="384">
        <f t="shared" si="152"/>
        <v>0.3</v>
      </c>
      <c r="J344" s="384">
        <f t="shared" si="152"/>
        <v>0.3</v>
      </c>
      <c r="K344" s="384">
        <f t="shared" si="152"/>
        <v>0.3</v>
      </c>
      <c r="L344" s="384">
        <f t="shared" si="152"/>
        <v>0.3</v>
      </c>
      <c r="M344" s="384">
        <f t="shared" si="152"/>
        <v>0.3</v>
      </c>
      <c r="N344" s="384">
        <f t="shared" si="152"/>
        <v>0.3</v>
      </c>
      <c r="O344" s="384">
        <f t="shared" si="152"/>
        <v>0.3</v>
      </c>
      <c r="P344" s="384">
        <f t="shared" si="152"/>
        <v>0.3</v>
      </c>
      <c r="Q344" s="384">
        <f t="shared" si="152"/>
        <v>0.3</v>
      </c>
      <c r="R344" s="384">
        <f t="shared" si="152"/>
        <v>0.3</v>
      </c>
      <c r="S344" s="385">
        <f t="shared" si="152"/>
        <v>0.3</v>
      </c>
    </row>
    <row r="345" spans="1:19" ht="12.75" customHeight="1" x14ac:dyDescent="0.2">
      <c r="A345" s="198" t="str">
        <f>"         "&amp;Labels!C316</f>
        <v xml:space="preserve">         Total</v>
      </c>
      <c r="B345" s="303">
        <f t="shared" ref="B345:S345" si="153">AVERAGE(B262,B302)</f>
        <v>0.3</v>
      </c>
      <c r="C345" s="303">
        <f t="shared" si="153"/>
        <v>0.3</v>
      </c>
      <c r="D345" s="303">
        <f t="shared" si="153"/>
        <v>0.3</v>
      </c>
      <c r="E345" s="303">
        <f t="shared" si="153"/>
        <v>0.3</v>
      </c>
      <c r="F345" s="303">
        <f t="shared" si="153"/>
        <v>0.3</v>
      </c>
      <c r="G345" s="303">
        <f t="shared" si="153"/>
        <v>0.3</v>
      </c>
      <c r="H345" s="303">
        <f t="shared" si="153"/>
        <v>0.3</v>
      </c>
      <c r="I345" s="303">
        <f t="shared" si="153"/>
        <v>0.3</v>
      </c>
      <c r="J345" s="303">
        <f t="shared" si="153"/>
        <v>0.3</v>
      </c>
      <c r="K345" s="303">
        <f t="shared" si="153"/>
        <v>0.3</v>
      </c>
      <c r="L345" s="303">
        <f t="shared" si="153"/>
        <v>0.3</v>
      </c>
      <c r="M345" s="303">
        <f t="shared" si="153"/>
        <v>0.3</v>
      </c>
      <c r="N345" s="303">
        <f t="shared" si="153"/>
        <v>0.3</v>
      </c>
      <c r="O345" s="303">
        <f t="shared" si="153"/>
        <v>0.3</v>
      </c>
      <c r="P345" s="303">
        <f t="shared" si="153"/>
        <v>0.3</v>
      </c>
      <c r="Q345" s="303">
        <f t="shared" si="153"/>
        <v>0.3</v>
      </c>
      <c r="R345" s="303">
        <f t="shared" si="153"/>
        <v>0.3</v>
      </c>
      <c r="S345" s="383">
        <f t="shared" si="153"/>
        <v>0.3</v>
      </c>
    </row>
    <row r="346" spans="1:19" ht="12.75" customHeight="1" x14ac:dyDescent="0.2">
      <c r="A346" s="191" t="str">
        <f>"   "&amp;Labels!C380</f>
        <v xml:space="preserve">   Total</v>
      </c>
      <c r="B346" s="300">
        <f t="shared" ref="B346:S346" si="154">AVERAGE(B266,B306)</f>
        <v>0.3</v>
      </c>
      <c r="C346" s="300">
        <f t="shared" si="154"/>
        <v>0.3</v>
      </c>
      <c r="D346" s="300">
        <f t="shared" si="154"/>
        <v>0.3</v>
      </c>
      <c r="E346" s="300">
        <f t="shared" si="154"/>
        <v>0.3</v>
      </c>
      <c r="F346" s="300">
        <f t="shared" si="154"/>
        <v>0.3</v>
      </c>
      <c r="G346" s="300">
        <f t="shared" si="154"/>
        <v>0.3</v>
      </c>
      <c r="H346" s="300">
        <f t="shared" si="154"/>
        <v>0.3</v>
      </c>
      <c r="I346" s="300">
        <f t="shared" si="154"/>
        <v>0.3</v>
      </c>
      <c r="J346" s="300">
        <f t="shared" si="154"/>
        <v>0.3</v>
      </c>
      <c r="K346" s="300">
        <f t="shared" si="154"/>
        <v>0.3</v>
      </c>
      <c r="L346" s="300">
        <f t="shared" si="154"/>
        <v>0.3</v>
      </c>
      <c r="M346" s="300">
        <f t="shared" si="154"/>
        <v>0.3</v>
      </c>
      <c r="N346" s="300">
        <f t="shared" si="154"/>
        <v>0.3</v>
      </c>
      <c r="O346" s="300">
        <f t="shared" si="154"/>
        <v>0.3</v>
      </c>
      <c r="P346" s="300">
        <f t="shared" si="154"/>
        <v>0.3</v>
      </c>
      <c r="Q346" s="300">
        <f t="shared" si="154"/>
        <v>0.3</v>
      </c>
      <c r="R346" s="300">
        <f t="shared" si="154"/>
        <v>0.3</v>
      </c>
      <c r="S346" s="386">
        <f t="shared" si="154"/>
        <v>0.3</v>
      </c>
    </row>
    <row r="347" spans="1:19" ht="12.75" customHeight="1" x14ac:dyDescent="0.2">
      <c r="A347" s="198" t="str">
        <f>"      "&amp;Labels!B385</f>
        <v xml:space="preserve">      Prof Level 1</v>
      </c>
      <c r="B347" s="303"/>
      <c r="C347" s="303"/>
      <c r="D347" s="303"/>
      <c r="E347" s="303"/>
      <c r="F347" s="303"/>
      <c r="G347" s="303"/>
      <c r="H347" s="303"/>
      <c r="I347" s="303"/>
      <c r="J347" s="303"/>
      <c r="K347" s="303"/>
      <c r="L347" s="303"/>
      <c r="M347" s="303"/>
      <c r="N347" s="303"/>
      <c r="O347" s="303"/>
      <c r="P347" s="303"/>
      <c r="Q347" s="303"/>
      <c r="R347" s="303"/>
      <c r="S347" s="383"/>
    </row>
    <row r="348" spans="1:19" ht="12.75" customHeight="1" x14ac:dyDescent="0.2">
      <c r="A348" s="198" t="str">
        <f>"         "&amp;Labels!B317</f>
        <v xml:space="preserve">         Channels 1</v>
      </c>
      <c r="B348" s="384">
        <f t="shared" ref="B348:S348" si="155">AVERAGE(B268,B308)</f>
        <v>0.3</v>
      </c>
      <c r="C348" s="384">
        <f t="shared" si="155"/>
        <v>0.3</v>
      </c>
      <c r="D348" s="384">
        <f t="shared" si="155"/>
        <v>0.3</v>
      </c>
      <c r="E348" s="384">
        <f t="shared" si="155"/>
        <v>0.3</v>
      </c>
      <c r="F348" s="384">
        <f t="shared" si="155"/>
        <v>0.3</v>
      </c>
      <c r="G348" s="384">
        <f t="shared" si="155"/>
        <v>0.3</v>
      </c>
      <c r="H348" s="384">
        <f t="shared" si="155"/>
        <v>0.3</v>
      </c>
      <c r="I348" s="384">
        <f t="shared" si="155"/>
        <v>0.3</v>
      </c>
      <c r="J348" s="384">
        <f t="shared" si="155"/>
        <v>0.3</v>
      </c>
      <c r="K348" s="384">
        <f t="shared" si="155"/>
        <v>0.3</v>
      </c>
      <c r="L348" s="384">
        <f t="shared" si="155"/>
        <v>0.3</v>
      </c>
      <c r="M348" s="384">
        <f t="shared" si="155"/>
        <v>0.3</v>
      </c>
      <c r="N348" s="384">
        <f t="shared" si="155"/>
        <v>0.3</v>
      </c>
      <c r="O348" s="384">
        <f t="shared" si="155"/>
        <v>0.3</v>
      </c>
      <c r="P348" s="384">
        <f t="shared" si="155"/>
        <v>0.3</v>
      </c>
      <c r="Q348" s="384">
        <f t="shared" si="155"/>
        <v>0.3</v>
      </c>
      <c r="R348" s="384">
        <f t="shared" si="155"/>
        <v>0.3</v>
      </c>
      <c r="S348" s="385">
        <f t="shared" si="155"/>
        <v>0.3</v>
      </c>
    </row>
    <row r="349" spans="1:19" ht="12.75" customHeight="1" x14ac:dyDescent="0.2">
      <c r="A349" s="198" t="str">
        <f>"         "&amp;Labels!B318</f>
        <v xml:space="preserve">         Channels 2</v>
      </c>
      <c r="B349" s="384">
        <f t="shared" ref="B349:S349" si="156">AVERAGE(B269,B309)</f>
        <v>0.3</v>
      </c>
      <c r="C349" s="384">
        <f t="shared" si="156"/>
        <v>0.3</v>
      </c>
      <c r="D349" s="384">
        <f t="shared" si="156"/>
        <v>0.3</v>
      </c>
      <c r="E349" s="384">
        <f t="shared" si="156"/>
        <v>0.3</v>
      </c>
      <c r="F349" s="384">
        <f t="shared" si="156"/>
        <v>0.3</v>
      </c>
      <c r="G349" s="384">
        <f t="shared" si="156"/>
        <v>0.3</v>
      </c>
      <c r="H349" s="384">
        <f t="shared" si="156"/>
        <v>0.3</v>
      </c>
      <c r="I349" s="384">
        <f t="shared" si="156"/>
        <v>0.3</v>
      </c>
      <c r="J349" s="384">
        <f t="shared" si="156"/>
        <v>0.3</v>
      </c>
      <c r="K349" s="384">
        <f t="shared" si="156"/>
        <v>0.3</v>
      </c>
      <c r="L349" s="384">
        <f t="shared" si="156"/>
        <v>0.3</v>
      </c>
      <c r="M349" s="384">
        <f t="shared" si="156"/>
        <v>0.3</v>
      </c>
      <c r="N349" s="384">
        <f t="shared" si="156"/>
        <v>0.3</v>
      </c>
      <c r="O349" s="384">
        <f t="shared" si="156"/>
        <v>0.3</v>
      </c>
      <c r="P349" s="384">
        <f t="shared" si="156"/>
        <v>0.3</v>
      </c>
      <c r="Q349" s="384">
        <f t="shared" si="156"/>
        <v>0.3</v>
      </c>
      <c r="R349" s="384">
        <f t="shared" si="156"/>
        <v>0.3</v>
      </c>
      <c r="S349" s="385">
        <f t="shared" si="156"/>
        <v>0.3</v>
      </c>
    </row>
    <row r="350" spans="1:19" ht="12.75" customHeight="1" x14ac:dyDescent="0.2">
      <c r="A350" s="198" t="str">
        <f>"         "&amp;Labels!C316</f>
        <v xml:space="preserve">         Total</v>
      </c>
      <c r="B350" s="303">
        <f t="shared" ref="B350:S350" si="157">AVERAGE(B270,B310)</f>
        <v>0.3</v>
      </c>
      <c r="C350" s="303">
        <f t="shared" si="157"/>
        <v>0.3</v>
      </c>
      <c r="D350" s="303">
        <f t="shared" si="157"/>
        <v>0.3</v>
      </c>
      <c r="E350" s="303">
        <f t="shared" si="157"/>
        <v>0.3</v>
      </c>
      <c r="F350" s="303">
        <f t="shared" si="157"/>
        <v>0.3</v>
      </c>
      <c r="G350" s="303">
        <f t="shared" si="157"/>
        <v>0.3</v>
      </c>
      <c r="H350" s="303">
        <f t="shared" si="157"/>
        <v>0.3</v>
      </c>
      <c r="I350" s="303">
        <f t="shared" si="157"/>
        <v>0.3</v>
      </c>
      <c r="J350" s="303">
        <f t="shared" si="157"/>
        <v>0.3</v>
      </c>
      <c r="K350" s="303">
        <f t="shared" si="157"/>
        <v>0.3</v>
      </c>
      <c r="L350" s="303">
        <f t="shared" si="157"/>
        <v>0.3</v>
      </c>
      <c r="M350" s="303">
        <f t="shared" si="157"/>
        <v>0.3</v>
      </c>
      <c r="N350" s="303">
        <f t="shared" si="157"/>
        <v>0.3</v>
      </c>
      <c r="O350" s="303">
        <f t="shared" si="157"/>
        <v>0.3</v>
      </c>
      <c r="P350" s="303">
        <f t="shared" si="157"/>
        <v>0.3</v>
      </c>
      <c r="Q350" s="303">
        <f t="shared" si="157"/>
        <v>0.3</v>
      </c>
      <c r="R350" s="303">
        <f t="shared" si="157"/>
        <v>0.3</v>
      </c>
      <c r="S350" s="383">
        <f t="shared" si="157"/>
        <v>0.3</v>
      </c>
    </row>
    <row r="351" spans="1:19" ht="12.75" customHeight="1" x14ac:dyDescent="0.2">
      <c r="A351" s="198" t="str">
        <f>"      "&amp;Labels!B386</f>
        <v xml:space="preserve">      Prof Level 2</v>
      </c>
      <c r="B351" s="303"/>
      <c r="C351" s="303"/>
      <c r="D351" s="303"/>
      <c r="E351" s="303"/>
      <c r="F351" s="303"/>
      <c r="G351" s="303"/>
      <c r="H351" s="303"/>
      <c r="I351" s="303"/>
      <c r="J351" s="303"/>
      <c r="K351" s="303"/>
      <c r="L351" s="303"/>
      <c r="M351" s="303"/>
      <c r="N351" s="303"/>
      <c r="O351" s="303"/>
      <c r="P351" s="303"/>
      <c r="Q351" s="303"/>
      <c r="R351" s="303"/>
      <c r="S351" s="383"/>
    </row>
    <row r="352" spans="1:19" ht="12.75" customHeight="1" x14ac:dyDescent="0.2">
      <c r="A352" s="198" t="str">
        <f>"         "&amp;Labels!B317</f>
        <v xml:space="preserve">         Channels 1</v>
      </c>
      <c r="B352" s="384">
        <f t="shared" ref="B352:S352" si="158">AVERAGE(B272,B312)</f>
        <v>0.3</v>
      </c>
      <c r="C352" s="384">
        <f t="shared" si="158"/>
        <v>0.3</v>
      </c>
      <c r="D352" s="384">
        <f t="shared" si="158"/>
        <v>0.3</v>
      </c>
      <c r="E352" s="384">
        <f t="shared" si="158"/>
        <v>0.3</v>
      </c>
      <c r="F352" s="384">
        <f t="shared" si="158"/>
        <v>0.3</v>
      </c>
      <c r="G352" s="384">
        <f t="shared" si="158"/>
        <v>0.3</v>
      </c>
      <c r="H352" s="384">
        <f t="shared" si="158"/>
        <v>0.3</v>
      </c>
      <c r="I352" s="384">
        <f t="shared" si="158"/>
        <v>0.3</v>
      </c>
      <c r="J352" s="384">
        <f t="shared" si="158"/>
        <v>0.3</v>
      </c>
      <c r="K352" s="384">
        <f t="shared" si="158"/>
        <v>0.3</v>
      </c>
      <c r="L352" s="384">
        <f t="shared" si="158"/>
        <v>0.3</v>
      </c>
      <c r="M352" s="384">
        <f t="shared" si="158"/>
        <v>0.3</v>
      </c>
      <c r="N352" s="384">
        <f t="shared" si="158"/>
        <v>0.3</v>
      </c>
      <c r="O352" s="384">
        <f t="shared" si="158"/>
        <v>0.3</v>
      </c>
      <c r="P352" s="384">
        <f t="shared" si="158"/>
        <v>0.3</v>
      </c>
      <c r="Q352" s="384">
        <f t="shared" si="158"/>
        <v>0.3</v>
      </c>
      <c r="R352" s="384">
        <f t="shared" si="158"/>
        <v>0.3</v>
      </c>
      <c r="S352" s="385">
        <f t="shared" si="158"/>
        <v>0.3</v>
      </c>
    </row>
    <row r="353" spans="1:19" ht="12.75" customHeight="1" x14ac:dyDescent="0.2">
      <c r="A353" s="198" t="str">
        <f>"         "&amp;Labels!B318</f>
        <v xml:space="preserve">         Channels 2</v>
      </c>
      <c r="B353" s="384">
        <f t="shared" ref="B353:S353" si="159">AVERAGE(B273,B313)</f>
        <v>0.3</v>
      </c>
      <c r="C353" s="384">
        <f t="shared" si="159"/>
        <v>0.3</v>
      </c>
      <c r="D353" s="384">
        <f t="shared" si="159"/>
        <v>0.3</v>
      </c>
      <c r="E353" s="384">
        <f t="shared" si="159"/>
        <v>0.3</v>
      </c>
      <c r="F353" s="384">
        <f t="shared" si="159"/>
        <v>0.3</v>
      </c>
      <c r="G353" s="384">
        <f t="shared" si="159"/>
        <v>0.3</v>
      </c>
      <c r="H353" s="384">
        <f t="shared" si="159"/>
        <v>0.3</v>
      </c>
      <c r="I353" s="384">
        <f t="shared" si="159"/>
        <v>0.3</v>
      </c>
      <c r="J353" s="384">
        <f t="shared" si="159"/>
        <v>0.3</v>
      </c>
      <c r="K353" s="384">
        <f t="shared" si="159"/>
        <v>0.3</v>
      </c>
      <c r="L353" s="384">
        <f t="shared" si="159"/>
        <v>0.3</v>
      </c>
      <c r="M353" s="384">
        <f t="shared" si="159"/>
        <v>0.3</v>
      </c>
      <c r="N353" s="384">
        <f t="shared" si="159"/>
        <v>0.3</v>
      </c>
      <c r="O353" s="384">
        <f t="shared" si="159"/>
        <v>0.3</v>
      </c>
      <c r="P353" s="384">
        <f t="shared" si="159"/>
        <v>0.3</v>
      </c>
      <c r="Q353" s="384">
        <f t="shared" si="159"/>
        <v>0.3</v>
      </c>
      <c r="R353" s="384">
        <f t="shared" si="159"/>
        <v>0.3</v>
      </c>
      <c r="S353" s="385">
        <f t="shared" si="159"/>
        <v>0.3</v>
      </c>
    </row>
    <row r="354" spans="1:19" ht="12.75" customHeight="1" x14ac:dyDescent="0.2">
      <c r="A354" s="198" t="str">
        <f>"         "&amp;Labels!C316</f>
        <v xml:space="preserve">         Total</v>
      </c>
      <c r="B354" s="303">
        <f t="shared" ref="B354:S354" si="160">AVERAGE(B274,B314)</f>
        <v>0.3</v>
      </c>
      <c r="C354" s="303">
        <f t="shared" si="160"/>
        <v>0.3</v>
      </c>
      <c r="D354" s="303">
        <f t="shared" si="160"/>
        <v>0.3</v>
      </c>
      <c r="E354" s="303">
        <f t="shared" si="160"/>
        <v>0.3</v>
      </c>
      <c r="F354" s="303">
        <f t="shared" si="160"/>
        <v>0.3</v>
      </c>
      <c r="G354" s="303">
        <f t="shared" si="160"/>
        <v>0.3</v>
      </c>
      <c r="H354" s="303">
        <f t="shared" si="160"/>
        <v>0.3</v>
      </c>
      <c r="I354" s="303">
        <f t="shared" si="160"/>
        <v>0.3</v>
      </c>
      <c r="J354" s="303">
        <f t="shared" si="160"/>
        <v>0.3</v>
      </c>
      <c r="K354" s="303">
        <f t="shared" si="160"/>
        <v>0.3</v>
      </c>
      <c r="L354" s="303">
        <f t="shared" si="160"/>
        <v>0.3</v>
      </c>
      <c r="M354" s="303">
        <f t="shared" si="160"/>
        <v>0.3</v>
      </c>
      <c r="N354" s="303">
        <f t="shared" si="160"/>
        <v>0.3</v>
      </c>
      <c r="O354" s="303">
        <f t="shared" si="160"/>
        <v>0.3</v>
      </c>
      <c r="P354" s="303">
        <f t="shared" si="160"/>
        <v>0.3</v>
      </c>
      <c r="Q354" s="303">
        <f t="shared" si="160"/>
        <v>0.3</v>
      </c>
      <c r="R354" s="303">
        <f t="shared" si="160"/>
        <v>0.3</v>
      </c>
      <c r="S354" s="383">
        <f t="shared" si="160"/>
        <v>0.3</v>
      </c>
    </row>
    <row r="355" spans="1:19" ht="12.75" customHeight="1" x14ac:dyDescent="0.2">
      <c r="A355" s="188" t="str">
        <f>"      "&amp;Labels!C384</f>
        <v xml:space="preserve">      Total</v>
      </c>
      <c r="B355" s="275">
        <f t="shared" ref="B355:S355" si="161">AVERAGE(B266,B306)</f>
        <v>0.3</v>
      </c>
      <c r="C355" s="275">
        <f t="shared" si="161"/>
        <v>0.3</v>
      </c>
      <c r="D355" s="275">
        <f t="shared" si="161"/>
        <v>0.3</v>
      </c>
      <c r="E355" s="275">
        <f t="shared" si="161"/>
        <v>0.3</v>
      </c>
      <c r="F355" s="275">
        <f t="shared" si="161"/>
        <v>0.3</v>
      </c>
      <c r="G355" s="275">
        <f t="shared" si="161"/>
        <v>0.3</v>
      </c>
      <c r="H355" s="275">
        <f t="shared" si="161"/>
        <v>0.3</v>
      </c>
      <c r="I355" s="275">
        <f t="shared" si="161"/>
        <v>0.3</v>
      </c>
      <c r="J355" s="275">
        <f t="shared" si="161"/>
        <v>0.3</v>
      </c>
      <c r="K355" s="275">
        <f t="shared" si="161"/>
        <v>0.3</v>
      </c>
      <c r="L355" s="275">
        <f t="shared" si="161"/>
        <v>0.3</v>
      </c>
      <c r="M355" s="275">
        <f t="shared" si="161"/>
        <v>0.3</v>
      </c>
      <c r="N355" s="275">
        <f t="shared" si="161"/>
        <v>0.3</v>
      </c>
      <c r="O355" s="275">
        <f t="shared" si="161"/>
        <v>0.3</v>
      </c>
      <c r="P355" s="275">
        <f t="shared" si="161"/>
        <v>0.3</v>
      </c>
      <c r="Q355" s="275">
        <f t="shared" si="161"/>
        <v>0.3</v>
      </c>
      <c r="R355" s="275">
        <f t="shared" si="161"/>
        <v>0.3</v>
      </c>
      <c r="S355" s="276">
        <f t="shared" si="161"/>
        <v>0.3</v>
      </c>
    </row>
    <row r="356" spans="1:19" ht="12.75" customHeight="1" x14ac:dyDescent="0.2">
      <c r="A356" s="198" t="str">
        <f>"         "&amp;Labels!B317</f>
        <v xml:space="preserve">         Channels 1</v>
      </c>
      <c r="B356" s="384">
        <f t="shared" ref="B356:S356" si="162">AVERAGE(B276,B316)</f>
        <v>0.3</v>
      </c>
      <c r="C356" s="384">
        <f t="shared" si="162"/>
        <v>0.3</v>
      </c>
      <c r="D356" s="384">
        <f t="shared" si="162"/>
        <v>0.3</v>
      </c>
      <c r="E356" s="384">
        <f t="shared" si="162"/>
        <v>0.3</v>
      </c>
      <c r="F356" s="384">
        <f t="shared" si="162"/>
        <v>0.3</v>
      </c>
      <c r="G356" s="384">
        <f t="shared" si="162"/>
        <v>0.3</v>
      </c>
      <c r="H356" s="384">
        <f t="shared" si="162"/>
        <v>0.3</v>
      </c>
      <c r="I356" s="384">
        <f t="shared" si="162"/>
        <v>0.3</v>
      </c>
      <c r="J356" s="384">
        <f t="shared" si="162"/>
        <v>0.3</v>
      </c>
      <c r="K356" s="384">
        <f t="shared" si="162"/>
        <v>0.3</v>
      </c>
      <c r="L356" s="384">
        <f t="shared" si="162"/>
        <v>0.3</v>
      </c>
      <c r="M356" s="384">
        <f t="shared" si="162"/>
        <v>0.3</v>
      </c>
      <c r="N356" s="384">
        <f t="shared" si="162"/>
        <v>0.3</v>
      </c>
      <c r="O356" s="384">
        <f t="shared" si="162"/>
        <v>0.3</v>
      </c>
      <c r="P356" s="384">
        <f t="shared" si="162"/>
        <v>0.3</v>
      </c>
      <c r="Q356" s="384">
        <f t="shared" si="162"/>
        <v>0.3</v>
      </c>
      <c r="R356" s="384">
        <f t="shared" si="162"/>
        <v>0.3</v>
      </c>
      <c r="S356" s="385">
        <f t="shared" si="162"/>
        <v>0.3</v>
      </c>
    </row>
    <row r="357" spans="1:19" ht="12.75" customHeight="1" x14ac:dyDescent="0.2">
      <c r="A357" s="198" t="str">
        <f>"         "&amp;Labels!B318</f>
        <v xml:space="preserve">         Channels 2</v>
      </c>
      <c r="B357" s="384">
        <f t="shared" ref="B357:S357" si="163">AVERAGE(B277,B317)</f>
        <v>0.3</v>
      </c>
      <c r="C357" s="384">
        <f t="shared" si="163"/>
        <v>0.3</v>
      </c>
      <c r="D357" s="384">
        <f t="shared" si="163"/>
        <v>0.3</v>
      </c>
      <c r="E357" s="384">
        <f t="shared" si="163"/>
        <v>0.3</v>
      </c>
      <c r="F357" s="384">
        <f t="shared" si="163"/>
        <v>0.3</v>
      </c>
      <c r="G357" s="384">
        <f t="shared" si="163"/>
        <v>0.3</v>
      </c>
      <c r="H357" s="384">
        <f t="shared" si="163"/>
        <v>0.3</v>
      </c>
      <c r="I357" s="384">
        <f t="shared" si="163"/>
        <v>0.3</v>
      </c>
      <c r="J357" s="384">
        <f t="shared" si="163"/>
        <v>0.3</v>
      </c>
      <c r="K357" s="384">
        <f t="shared" si="163"/>
        <v>0.3</v>
      </c>
      <c r="L357" s="384">
        <f t="shared" si="163"/>
        <v>0.3</v>
      </c>
      <c r="M357" s="384">
        <f t="shared" si="163"/>
        <v>0.3</v>
      </c>
      <c r="N357" s="384">
        <f t="shared" si="163"/>
        <v>0.3</v>
      </c>
      <c r="O357" s="384">
        <f t="shared" si="163"/>
        <v>0.3</v>
      </c>
      <c r="P357" s="384">
        <f t="shared" si="163"/>
        <v>0.3</v>
      </c>
      <c r="Q357" s="384">
        <f t="shared" si="163"/>
        <v>0.3</v>
      </c>
      <c r="R357" s="384">
        <f t="shared" si="163"/>
        <v>0.3</v>
      </c>
      <c r="S357" s="385">
        <f t="shared" si="163"/>
        <v>0.3</v>
      </c>
    </row>
    <row r="358" spans="1:19" ht="12.75" customHeight="1" x14ac:dyDescent="0.2">
      <c r="A358" s="230" t="str">
        <f>"         "&amp;Labels!C316</f>
        <v xml:space="preserve">         Total</v>
      </c>
      <c r="B358" s="389">
        <f t="shared" ref="B358:S358" si="164">AVERAGE(B266,B306)</f>
        <v>0.3</v>
      </c>
      <c r="C358" s="389">
        <f t="shared" si="164"/>
        <v>0.3</v>
      </c>
      <c r="D358" s="389">
        <f t="shared" si="164"/>
        <v>0.3</v>
      </c>
      <c r="E358" s="389">
        <f t="shared" si="164"/>
        <v>0.3</v>
      </c>
      <c r="F358" s="389">
        <f t="shared" si="164"/>
        <v>0.3</v>
      </c>
      <c r="G358" s="389">
        <f t="shared" si="164"/>
        <v>0.3</v>
      </c>
      <c r="H358" s="389">
        <f t="shared" si="164"/>
        <v>0.3</v>
      </c>
      <c r="I358" s="389">
        <f t="shared" si="164"/>
        <v>0.3</v>
      </c>
      <c r="J358" s="389">
        <f t="shared" si="164"/>
        <v>0.3</v>
      </c>
      <c r="K358" s="389">
        <f t="shared" si="164"/>
        <v>0.3</v>
      </c>
      <c r="L358" s="389">
        <f t="shared" si="164"/>
        <v>0.3</v>
      </c>
      <c r="M358" s="389">
        <f t="shared" si="164"/>
        <v>0.3</v>
      </c>
      <c r="N358" s="389">
        <f t="shared" si="164"/>
        <v>0.3</v>
      </c>
      <c r="O358" s="389">
        <f t="shared" si="164"/>
        <v>0.3</v>
      </c>
      <c r="P358" s="389">
        <f t="shared" si="164"/>
        <v>0.3</v>
      </c>
      <c r="Q358" s="389">
        <f t="shared" si="164"/>
        <v>0.3</v>
      </c>
      <c r="R358" s="389">
        <f t="shared" si="164"/>
        <v>0.3</v>
      </c>
      <c r="S358" s="390">
        <f t="shared" si="164"/>
        <v>0.3</v>
      </c>
    </row>
    <row r="359" spans="1:19" ht="12.75" customHeight="1" x14ac:dyDescent="0.2">
      <c r="A359" s="1" t="str">
        <f>Labels!B143</f>
        <v>Backlog Filled Hrs%</v>
      </c>
    </row>
    <row r="360" spans="1:19" ht="12.75" customHeight="1" x14ac:dyDescent="0.2">
      <c r="B360" s="9" t="str">
        <f>'(FnCalls 1)'!F41</f>
        <v>MMM 2010</v>
      </c>
      <c r="C360" s="10" t="str">
        <f>'(FnCalls 1)'!F42</f>
        <v>MMM 2010</v>
      </c>
      <c r="D360" s="10" t="str">
        <f>'(FnCalls 1)'!F43</f>
        <v>MMM 2010</v>
      </c>
      <c r="E360" s="10" t="str">
        <f>'(FnCalls 1)'!F44</f>
        <v>MMM 2010</v>
      </c>
      <c r="F360" s="10" t="str">
        <f>'(FnCalls 1)'!F45</f>
        <v>MMM 2010</v>
      </c>
      <c r="G360" s="10" t="str">
        <f>'(FnCalls 1)'!F46</f>
        <v>MMM 2010</v>
      </c>
      <c r="H360" s="10" t="str">
        <f>'(FnCalls 1)'!F47</f>
        <v>MMM 2010</v>
      </c>
      <c r="I360" s="10" t="str">
        <f>'(FnCalls 1)'!F48</f>
        <v>MMM 2010</v>
      </c>
      <c r="J360" s="10" t="str">
        <f>'(FnCalls 1)'!F49</f>
        <v>MMM 2010</v>
      </c>
      <c r="K360" s="10" t="str">
        <f>'(FnCalls 1)'!F50</f>
        <v>MMM 2010</v>
      </c>
      <c r="L360" s="10" t="str">
        <f>'(FnCalls 1)'!F51</f>
        <v>MMM 2010</v>
      </c>
      <c r="M360" s="10" t="str">
        <f>'(FnCalls 1)'!F52</f>
        <v>MMM 2010</v>
      </c>
      <c r="N360" s="10" t="str">
        <f>'(FnCalls 1)'!F53</f>
        <v>MMM 2011</v>
      </c>
      <c r="O360" s="10" t="str">
        <f>'(FnCalls 1)'!F54</f>
        <v>MMM 2011</v>
      </c>
      <c r="P360" s="10" t="str">
        <f>'(FnCalls 1)'!F55</f>
        <v>MMM 2011</v>
      </c>
      <c r="Q360" s="10" t="str">
        <f>'(FnCalls 1)'!F56</f>
        <v>MMM 2011</v>
      </c>
      <c r="R360" s="10" t="str">
        <f>'(FnCalls 1)'!F57</f>
        <v>MMM 2011</v>
      </c>
      <c r="S360" s="11" t="str">
        <f>'(FnCalls 1)'!F58</f>
        <v>MMM 2011</v>
      </c>
    </row>
    <row r="361" spans="1:19" ht="12.75" customHeight="1" x14ac:dyDescent="0.2">
      <c r="A361" s="182" t="str">
        <f>Labels!B381</f>
        <v>Practice 1</v>
      </c>
      <c r="B361" s="370"/>
      <c r="C361" s="370"/>
      <c r="D361" s="370"/>
      <c r="E361" s="370"/>
      <c r="F361" s="370"/>
      <c r="G361" s="370"/>
      <c r="H361" s="370"/>
      <c r="I361" s="370"/>
      <c r="J361" s="370"/>
      <c r="K361" s="370"/>
      <c r="L361" s="370"/>
      <c r="M361" s="370"/>
      <c r="N361" s="370"/>
      <c r="O361" s="370"/>
      <c r="P361" s="370"/>
      <c r="Q361" s="370"/>
      <c r="R361" s="370"/>
      <c r="S361" s="371"/>
    </row>
    <row r="362" spans="1:19" ht="12.75" customHeight="1" x14ac:dyDescent="0.2">
      <c r="A362" s="188" t="str">
        <f>"   "&amp;Labels!B385</f>
        <v xml:space="preserve">   Prof Level 1</v>
      </c>
      <c r="B362" s="275"/>
      <c r="C362" s="275"/>
      <c r="D362" s="275"/>
      <c r="E362" s="275"/>
      <c r="F362" s="275"/>
      <c r="G362" s="275"/>
      <c r="H362" s="275"/>
      <c r="I362" s="275"/>
      <c r="J362" s="275"/>
      <c r="K362" s="275"/>
      <c r="L362" s="275"/>
      <c r="M362" s="275"/>
      <c r="N362" s="275"/>
      <c r="O362" s="275"/>
      <c r="P362" s="275"/>
      <c r="Q362" s="275"/>
      <c r="R362" s="275"/>
      <c r="S362" s="276"/>
    </row>
    <row r="363" spans="1:19" ht="12.75" customHeight="1" x14ac:dyDescent="0.2">
      <c r="A363" s="198" t="str">
        <f>"      "&amp;Labels!B317</f>
        <v xml:space="preserve">      Channels 1</v>
      </c>
      <c r="B363" s="303">
        <f>Inputs!F122</f>
        <v>0.5</v>
      </c>
      <c r="C363" s="303">
        <f>Inputs!G122</f>
        <v>0.5</v>
      </c>
      <c r="D363" s="303">
        <f>Inputs!H122</f>
        <v>0.5</v>
      </c>
      <c r="E363" s="303">
        <f>Inputs!I122</f>
        <v>0.5</v>
      </c>
      <c r="F363" s="303">
        <f>Inputs!J122</f>
        <v>0.5</v>
      </c>
      <c r="G363" s="303">
        <f>Inputs!K122</f>
        <v>0.5</v>
      </c>
      <c r="H363" s="303">
        <f>Inputs!L122</f>
        <v>0.5</v>
      </c>
      <c r="I363" s="303">
        <f>Inputs!M122</f>
        <v>0.5</v>
      </c>
      <c r="J363" s="303">
        <f>Inputs!N122</f>
        <v>0.5</v>
      </c>
      <c r="K363" s="303">
        <f>Inputs!O122</f>
        <v>0.5</v>
      </c>
      <c r="L363" s="303">
        <f>Inputs!P122</f>
        <v>0.5</v>
      </c>
      <c r="M363" s="303">
        <f>Inputs!Q122</f>
        <v>0.5</v>
      </c>
      <c r="N363" s="303">
        <f>Inputs!R122</f>
        <v>0.5</v>
      </c>
      <c r="O363" s="303">
        <f>Inputs!S122</f>
        <v>0.5</v>
      </c>
      <c r="P363" s="303">
        <f>Inputs!T122</f>
        <v>0.5</v>
      </c>
      <c r="Q363" s="303">
        <f>Inputs!U122</f>
        <v>0.5</v>
      </c>
      <c r="R363" s="303">
        <f>Inputs!V122</f>
        <v>0.5</v>
      </c>
      <c r="S363" s="383">
        <f>Inputs!W122</f>
        <v>0.5</v>
      </c>
    </row>
    <row r="364" spans="1:19" ht="12.75" customHeight="1" x14ac:dyDescent="0.2">
      <c r="A364" s="198" t="str">
        <f>"      "&amp;Labels!B318</f>
        <v xml:space="preserve">      Channels 2</v>
      </c>
      <c r="B364" s="303">
        <f>Inputs!F123</f>
        <v>0.5</v>
      </c>
      <c r="C364" s="303">
        <f>Inputs!G123</f>
        <v>0.5</v>
      </c>
      <c r="D364" s="303">
        <f>Inputs!H123</f>
        <v>0.5</v>
      </c>
      <c r="E364" s="303">
        <f>Inputs!I123</f>
        <v>0.5</v>
      </c>
      <c r="F364" s="303">
        <f>Inputs!J123</f>
        <v>0.5</v>
      </c>
      <c r="G364" s="303">
        <f>Inputs!K123</f>
        <v>0.5</v>
      </c>
      <c r="H364" s="303">
        <f>Inputs!L123</f>
        <v>0.5</v>
      </c>
      <c r="I364" s="303">
        <f>Inputs!M123</f>
        <v>0.5</v>
      </c>
      <c r="J364" s="303">
        <f>Inputs!N123</f>
        <v>0.5</v>
      </c>
      <c r="K364" s="303">
        <f>Inputs!O123</f>
        <v>0.5</v>
      </c>
      <c r="L364" s="303">
        <f>Inputs!P123</f>
        <v>0.5</v>
      </c>
      <c r="M364" s="303">
        <f>Inputs!Q123</f>
        <v>0.5</v>
      </c>
      <c r="N364" s="303">
        <f>Inputs!R123</f>
        <v>0.5</v>
      </c>
      <c r="O364" s="303">
        <f>Inputs!S123</f>
        <v>0.5</v>
      </c>
      <c r="P364" s="303">
        <f>Inputs!T123</f>
        <v>0.5</v>
      </c>
      <c r="Q364" s="303">
        <f>Inputs!U123</f>
        <v>0.5</v>
      </c>
      <c r="R364" s="303">
        <f>Inputs!V123</f>
        <v>0.5</v>
      </c>
      <c r="S364" s="383">
        <f>Inputs!W123</f>
        <v>0.5</v>
      </c>
    </row>
    <row r="365" spans="1:19" ht="12.75" customHeight="1" x14ac:dyDescent="0.2">
      <c r="A365" s="188" t="str">
        <f>"      "&amp;Labels!C316</f>
        <v xml:space="preserve">      Total</v>
      </c>
      <c r="B365" s="275">
        <f t="shared" ref="B365:S365" si="165">AVERAGE(B363:B364)</f>
        <v>0.5</v>
      </c>
      <c r="C365" s="275">
        <f t="shared" si="165"/>
        <v>0.5</v>
      </c>
      <c r="D365" s="275">
        <f t="shared" si="165"/>
        <v>0.5</v>
      </c>
      <c r="E365" s="275">
        <f t="shared" si="165"/>
        <v>0.5</v>
      </c>
      <c r="F365" s="275">
        <f t="shared" si="165"/>
        <v>0.5</v>
      </c>
      <c r="G365" s="275">
        <f t="shared" si="165"/>
        <v>0.5</v>
      </c>
      <c r="H365" s="275">
        <f t="shared" si="165"/>
        <v>0.5</v>
      </c>
      <c r="I365" s="275">
        <f t="shared" si="165"/>
        <v>0.5</v>
      </c>
      <c r="J365" s="275">
        <f t="shared" si="165"/>
        <v>0.5</v>
      </c>
      <c r="K365" s="275">
        <f t="shared" si="165"/>
        <v>0.5</v>
      </c>
      <c r="L365" s="275">
        <f t="shared" si="165"/>
        <v>0.5</v>
      </c>
      <c r="M365" s="275">
        <f t="shared" si="165"/>
        <v>0.5</v>
      </c>
      <c r="N365" s="275">
        <f t="shared" si="165"/>
        <v>0.5</v>
      </c>
      <c r="O365" s="275">
        <f t="shared" si="165"/>
        <v>0.5</v>
      </c>
      <c r="P365" s="275">
        <f t="shared" si="165"/>
        <v>0.5</v>
      </c>
      <c r="Q365" s="275">
        <f t="shared" si="165"/>
        <v>0.5</v>
      </c>
      <c r="R365" s="275">
        <f t="shared" si="165"/>
        <v>0.5</v>
      </c>
      <c r="S365" s="276">
        <f t="shared" si="165"/>
        <v>0.5</v>
      </c>
    </row>
    <row r="366" spans="1:19" ht="12.75" customHeight="1" x14ac:dyDescent="0.2">
      <c r="A366" s="188" t="str">
        <f>"   "&amp;Labels!B386</f>
        <v xml:space="preserve">   Prof Level 2</v>
      </c>
      <c r="B366" s="275"/>
      <c r="C366" s="275"/>
      <c r="D366" s="275"/>
      <c r="E366" s="275"/>
      <c r="F366" s="275"/>
      <c r="G366" s="275"/>
      <c r="H366" s="275"/>
      <c r="I366" s="275"/>
      <c r="J366" s="275"/>
      <c r="K366" s="275"/>
      <c r="L366" s="275"/>
      <c r="M366" s="275"/>
      <c r="N366" s="275"/>
      <c r="O366" s="275"/>
      <c r="P366" s="275"/>
      <c r="Q366" s="275"/>
      <c r="R366" s="275"/>
      <c r="S366" s="276"/>
    </row>
    <row r="367" spans="1:19" ht="12.75" customHeight="1" x14ac:dyDescent="0.2">
      <c r="A367" s="198" t="str">
        <f>"      "&amp;Labels!B317</f>
        <v xml:space="preserve">      Channels 1</v>
      </c>
      <c r="B367" s="303">
        <f>Inputs!F124</f>
        <v>0.5</v>
      </c>
      <c r="C367" s="303">
        <f>Inputs!G124</f>
        <v>0.5</v>
      </c>
      <c r="D367" s="303">
        <f>Inputs!H124</f>
        <v>0.5</v>
      </c>
      <c r="E367" s="303">
        <f>Inputs!I124</f>
        <v>0.5</v>
      </c>
      <c r="F367" s="303">
        <f>Inputs!J124</f>
        <v>0.5</v>
      </c>
      <c r="G367" s="303">
        <f>Inputs!K124</f>
        <v>0.5</v>
      </c>
      <c r="H367" s="303">
        <f>Inputs!L124</f>
        <v>0.5</v>
      </c>
      <c r="I367" s="303">
        <f>Inputs!M124</f>
        <v>0.5</v>
      </c>
      <c r="J367" s="303">
        <f>Inputs!N124</f>
        <v>0.5</v>
      </c>
      <c r="K367" s="303">
        <f>Inputs!O124</f>
        <v>0.5</v>
      </c>
      <c r="L367" s="303">
        <f>Inputs!P124</f>
        <v>0.5</v>
      </c>
      <c r="M367" s="303">
        <f>Inputs!Q124</f>
        <v>0.5</v>
      </c>
      <c r="N367" s="303">
        <f>Inputs!R124</f>
        <v>0.5</v>
      </c>
      <c r="O367" s="303">
        <f>Inputs!S124</f>
        <v>0.5</v>
      </c>
      <c r="P367" s="303">
        <f>Inputs!T124</f>
        <v>0.5</v>
      </c>
      <c r="Q367" s="303">
        <f>Inputs!U124</f>
        <v>0.5</v>
      </c>
      <c r="R367" s="303">
        <f>Inputs!V124</f>
        <v>0.5</v>
      </c>
      <c r="S367" s="383">
        <f>Inputs!W124</f>
        <v>0.5</v>
      </c>
    </row>
    <row r="368" spans="1:19" ht="12.75" customHeight="1" x14ac:dyDescent="0.2">
      <c r="A368" s="198" t="str">
        <f>"      "&amp;Labels!B318</f>
        <v xml:space="preserve">      Channels 2</v>
      </c>
      <c r="B368" s="303">
        <f>Inputs!F125</f>
        <v>0.5</v>
      </c>
      <c r="C368" s="303">
        <f>Inputs!G125</f>
        <v>0.5</v>
      </c>
      <c r="D368" s="303">
        <f>Inputs!H125</f>
        <v>0.5</v>
      </c>
      <c r="E368" s="303">
        <f>Inputs!I125</f>
        <v>0.5</v>
      </c>
      <c r="F368" s="303">
        <f>Inputs!J125</f>
        <v>0.5</v>
      </c>
      <c r="G368" s="303">
        <f>Inputs!K125</f>
        <v>0.5</v>
      </c>
      <c r="H368" s="303">
        <f>Inputs!L125</f>
        <v>0.5</v>
      </c>
      <c r="I368" s="303">
        <f>Inputs!M125</f>
        <v>0.5</v>
      </c>
      <c r="J368" s="303">
        <f>Inputs!N125</f>
        <v>0.5</v>
      </c>
      <c r="K368" s="303">
        <f>Inputs!O125</f>
        <v>0.5</v>
      </c>
      <c r="L368" s="303">
        <f>Inputs!P125</f>
        <v>0.5</v>
      </c>
      <c r="M368" s="303">
        <f>Inputs!Q125</f>
        <v>0.5</v>
      </c>
      <c r="N368" s="303">
        <f>Inputs!R125</f>
        <v>0.5</v>
      </c>
      <c r="O368" s="303">
        <f>Inputs!S125</f>
        <v>0.5</v>
      </c>
      <c r="P368" s="303">
        <f>Inputs!T125</f>
        <v>0.5</v>
      </c>
      <c r="Q368" s="303">
        <f>Inputs!U125</f>
        <v>0.5</v>
      </c>
      <c r="R368" s="303">
        <f>Inputs!V125</f>
        <v>0.5</v>
      </c>
      <c r="S368" s="383">
        <f>Inputs!W125</f>
        <v>0.5</v>
      </c>
    </row>
    <row r="369" spans="1:19" ht="12.75" customHeight="1" x14ac:dyDescent="0.2">
      <c r="A369" s="188" t="str">
        <f>"      "&amp;Labels!C316</f>
        <v xml:space="preserve">      Total</v>
      </c>
      <c r="B369" s="275">
        <f t="shared" ref="B369:S369" si="166">AVERAGE(B367:B368)</f>
        <v>0.5</v>
      </c>
      <c r="C369" s="275">
        <f t="shared" si="166"/>
        <v>0.5</v>
      </c>
      <c r="D369" s="275">
        <f t="shared" si="166"/>
        <v>0.5</v>
      </c>
      <c r="E369" s="275">
        <f t="shared" si="166"/>
        <v>0.5</v>
      </c>
      <c r="F369" s="275">
        <f t="shared" si="166"/>
        <v>0.5</v>
      </c>
      <c r="G369" s="275">
        <f t="shared" si="166"/>
        <v>0.5</v>
      </c>
      <c r="H369" s="275">
        <f t="shared" si="166"/>
        <v>0.5</v>
      </c>
      <c r="I369" s="275">
        <f t="shared" si="166"/>
        <v>0.5</v>
      </c>
      <c r="J369" s="275">
        <f t="shared" si="166"/>
        <v>0.5</v>
      </c>
      <c r="K369" s="275">
        <f t="shared" si="166"/>
        <v>0.5</v>
      </c>
      <c r="L369" s="275">
        <f t="shared" si="166"/>
        <v>0.5</v>
      </c>
      <c r="M369" s="275">
        <f t="shared" si="166"/>
        <v>0.5</v>
      </c>
      <c r="N369" s="275">
        <f t="shared" si="166"/>
        <v>0.5</v>
      </c>
      <c r="O369" s="275">
        <f t="shared" si="166"/>
        <v>0.5</v>
      </c>
      <c r="P369" s="275">
        <f t="shared" si="166"/>
        <v>0.5</v>
      </c>
      <c r="Q369" s="275">
        <f t="shared" si="166"/>
        <v>0.5</v>
      </c>
      <c r="R369" s="275">
        <f t="shared" si="166"/>
        <v>0.5</v>
      </c>
      <c r="S369" s="276">
        <f t="shared" si="166"/>
        <v>0.5</v>
      </c>
    </row>
    <row r="370" spans="1:19" ht="12.75" customHeight="1" x14ac:dyDescent="0.2">
      <c r="A370" s="191" t="str">
        <f>"   "&amp;Labels!C384</f>
        <v xml:space="preserve">   Total</v>
      </c>
      <c r="B370" s="300">
        <f t="shared" ref="B370:S370" si="167">AVERAGE(B365,B369)</f>
        <v>0.5</v>
      </c>
      <c r="C370" s="300">
        <f t="shared" si="167"/>
        <v>0.5</v>
      </c>
      <c r="D370" s="300">
        <f t="shared" si="167"/>
        <v>0.5</v>
      </c>
      <c r="E370" s="300">
        <f t="shared" si="167"/>
        <v>0.5</v>
      </c>
      <c r="F370" s="300">
        <f t="shared" si="167"/>
        <v>0.5</v>
      </c>
      <c r="G370" s="300">
        <f t="shared" si="167"/>
        <v>0.5</v>
      </c>
      <c r="H370" s="300">
        <f t="shared" si="167"/>
        <v>0.5</v>
      </c>
      <c r="I370" s="300">
        <f t="shared" si="167"/>
        <v>0.5</v>
      </c>
      <c r="J370" s="300">
        <f t="shared" si="167"/>
        <v>0.5</v>
      </c>
      <c r="K370" s="300">
        <f t="shared" si="167"/>
        <v>0.5</v>
      </c>
      <c r="L370" s="300">
        <f t="shared" si="167"/>
        <v>0.5</v>
      </c>
      <c r="M370" s="300">
        <f t="shared" si="167"/>
        <v>0.5</v>
      </c>
      <c r="N370" s="300">
        <f t="shared" si="167"/>
        <v>0.5</v>
      </c>
      <c r="O370" s="300">
        <f t="shared" si="167"/>
        <v>0.5</v>
      </c>
      <c r="P370" s="300">
        <f t="shared" si="167"/>
        <v>0.5</v>
      </c>
      <c r="Q370" s="300">
        <f t="shared" si="167"/>
        <v>0.5</v>
      </c>
      <c r="R370" s="300">
        <f t="shared" si="167"/>
        <v>0.5</v>
      </c>
      <c r="S370" s="386">
        <f t="shared" si="167"/>
        <v>0.5</v>
      </c>
    </row>
    <row r="371" spans="1:19" ht="12.75" customHeight="1" x14ac:dyDescent="0.2">
      <c r="A371" s="198" t="str">
        <f>"      "&amp;Labels!B317</f>
        <v xml:space="preserve">      Channels 1</v>
      </c>
      <c r="B371" s="303">
        <f t="shared" ref="B371:S371" si="168">AVERAGE(B363,B367)</f>
        <v>0.5</v>
      </c>
      <c r="C371" s="303">
        <f t="shared" si="168"/>
        <v>0.5</v>
      </c>
      <c r="D371" s="303">
        <f t="shared" si="168"/>
        <v>0.5</v>
      </c>
      <c r="E371" s="303">
        <f t="shared" si="168"/>
        <v>0.5</v>
      </c>
      <c r="F371" s="303">
        <f t="shared" si="168"/>
        <v>0.5</v>
      </c>
      <c r="G371" s="303">
        <f t="shared" si="168"/>
        <v>0.5</v>
      </c>
      <c r="H371" s="303">
        <f t="shared" si="168"/>
        <v>0.5</v>
      </c>
      <c r="I371" s="303">
        <f t="shared" si="168"/>
        <v>0.5</v>
      </c>
      <c r="J371" s="303">
        <f t="shared" si="168"/>
        <v>0.5</v>
      </c>
      <c r="K371" s="303">
        <f t="shared" si="168"/>
        <v>0.5</v>
      </c>
      <c r="L371" s="303">
        <f t="shared" si="168"/>
        <v>0.5</v>
      </c>
      <c r="M371" s="303">
        <f t="shared" si="168"/>
        <v>0.5</v>
      </c>
      <c r="N371" s="303">
        <f t="shared" si="168"/>
        <v>0.5</v>
      </c>
      <c r="O371" s="303">
        <f t="shared" si="168"/>
        <v>0.5</v>
      </c>
      <c r="P371" s="303">
        <f t="shared" si="168"/>
        <v>0.5</v>
      </c>
      <c r="Q371" s="303">
        <f t="shared" si="168"/>
        <v>0.5</v>
      </c>
      <c r="R371" s="303">
        <f t="shared" si="168"/>
        <v>0.5</v>
      </c>
      <c r="S371" s="383">
        <f t="shared" si="168"/>
        <v>0.5</v>
      </c>
    </row>
    <row r="372" spans="1:19" ht="12.75" customHeight="1" x14ac:dyDescent="0.2">
      <c r="A372" s="198" t="str">
        <f>"      "&amp;Labels!B318</f>
        <v xml:space="preserve">      Channels 2</v>
      </c>
      <c r="B372" s="303">
        <f t="shared" ref="B372:S372" si="169">AVERAGE(B364,B368)</f>
        <v>0.5</v>
      </c>
      <c r="C372" s="303">
        <f t="shared" si="169"/>
        <v>0.5</v>
      </c>
      <c r="D372" s="303">
        <f t="shared" si="169"/>
        <v>0.5</v>
      </c>
      <c r="E372" s="303">
        <f t="shared" si="169"/>
        <v>0.5</v>
      </c>
      <c r="F372" s="303">
        <f t="shared" si="169"/>
        <v>0.5</v>
      </c>
      <c r="G372" s="303">
        <f t="shared" si="169"/>
        <v>0.5</v>
      </c>
      <c r="H372" s="303">
        <f t="shared" si="169"/>
        <v>0.5</v>
      </c>
      <c r="I372" s="303">
        <f t="shared" si="169"/>
        <v>0.5</v>
      </c>
      <c r="J372" s="303">
        <f t="shared" si="169"/>
        <v>0.5</v>
      </c>
      <c r="K372" s="303">
        <f t="shared" si="169"/>
        <v>0.5</v>
      </c>
      <c r="L372" s="303">
        <f t="shared" si="169"/>
        <v>0.5</v>
      </c>
      <c r="M372" s="303">
        <f t="shared" si="169"/>
        <v>0.5</v>
      </c>
      <c r="N372" s="303">
        <f t="shared" si="169"/>
        <v>0.5</v>
      </c>
      <c r="O372" s="303">
        <f t="shared" si="169"/>
        <v>0.5</v>
      </c>
      <c r="P372" s="303">
        <f t="shared" si="169"/>
        <v>0.5</v>
      </c>
      <c r="Q372" s="303">
        <f t="shared" si="169"/>
        <v>0.5</v>
      </c>
      <c r="R372" s="303">
        <f t="shared" si="169"/>
        <v>0.5</v>
      </c>
      <c r="S372" s="383">
        <f t="shared" si="169"/>
        <v>0.5</v>
      </c>
    </row>
    <row r="373" spans="1:19" ht="12.75" customHeight="1" x14ac:dyDescent="0.2">
      <c r="A373" s="188" t="str">
        <f>"      "&amp;Labels!C316</f>
        <v xml:space="preserve">      Total</v>
      </c>
      <c r="B373" s="275">
        <f t="shared" ref="B373:S373" si="170">AVERAGE(B365,B369)</f>
        <v>0.5</v>
      </c>
      <c r="C373" s="275">
        <f t="shared" si="170"/>
        <v>0.5</v>
      </c>
      <c r="D373" s="275">
        <f t="shared" si="170"/>
        <v>0.5</v>
      </c>
      <c r="E373" s="275">
        <f t="shared" si="170"/>
        <v>0.5</v>
      </c>
      <c r="F373" s="275">
        <f t="shared" si="170"/>
        <v>0.5</v>
      </c>
      <c r="G373" s="275">
        <f t="shared" si="170"/>
        <v>0.5</v>
      </c>
      <c r="H373" s="275">
        <f t="shared" si="170"/>
        <v>0.5</v>
      </c>
      <c r="I373" s="275">
        <f t="shared" si="170"/>
        <v>0.5</v>
      </c>
      <c r="J373" s="275">
        <f t="shared" si="170"/>
        <v>0.5</v>
      </c>
      <c r="K373" s="275">
        <f t="shared" si="170"/>
        <v>0.5</v>
      </c>
      <c r="L373" s="275">
        <f t="shared" si="170"/>
        <v>0.5</v>
      </c>
      <c r="M373" s="275">
        <f t="shared" si="170"/>
        <v>0.5</v>
      </c>
      <c r="N373" s="275">
        <f t="shared" si="170"/>
        <v>0.5</v>
      </c>
      <c r="O373" s="275">
        <f t="shared" si="170"/>
        <v>0.5</v>
      </c>
      <c r="P373" s="275">
        <f t="shared" si="170"/>
        <v>0.5</v>
      </c>
      <c r="Q373" s="275">
        <f t="shared" si="170"/>
        <v>0.5</v>
      </c>
      <c r="R373" s="275">
        <f t="shared" si="170"/>
        <v>0.5</v>
      </c>
      <c r="S373" s="276">
        <f t="shared" si="170"/>
        <v>0.5</v>
      </c>
    </row>
    <row r="374" spans="1:19" ht="12.75" customHeight="1" x14ac:dyDescent="0.2">
      <c r="A374" s="191" t="str">
        <f>Labels!B382</f>
        <v>Practice 2</v>
      </c>
      <c r="B374" s="300"/>
      <c r="C374" s="300"/>
      <c r="D374" s="300"/>
      <c r="E374" s="300"/>
      <c r="F374" s="300"/>
      <c r="G374" s="300"/>
      <c r="H374" s="300"/>
      <c r="I374" s="300"/>
      <c r="J374" s="300"/>
      <c r="K374" s="300"/>
      <c r="L374" s="300"/>
      <c r="M374" s="300"/>
      <c r="N374" s="300"/>
      <c r="O374" s="300"/>
      <c r="P374" s="300"/>
      <c r="Q374" s="300"/>
      <c r="R374" s="300"/>
      <c r="S374" s="386"/>
    </row>
    <row r="375" spans="1:19" ht="12.75" customHeight="1" x14ac:dyDescent="0.2">
      <c r="A375" s="188" t="str">
        <f>"   "&amp;Labels!B385</f>
        <v xml:space="preserve">   Prof Level 1</v>
      </c>
      <c r="B375" s="275"/>
      <c r="C375" s="275"/>
      <c r="D375" s="275"/>
      <c r="E375" s="275"/>
      <c r="F375" s="275"/>
      <c r="G375" s="275"/>
      <c r="H375" s="275"/>
      <c r="I375" s="275"/>
      <c r="J375" s="275"/>
      <c r="K375" s="275"/>
      <c r="L375" s="275"/>
      <c r="M375" s="275"/>
      <c r="N375" s="275"/>
      <c r="O375" s="275"/>
      <c r="P375" s="275"/>
      <c r="Q375" s="275"/>
      <c r="R375" s="275"/>
      <c r="S375" s="276"/>
    </row>
    <row r="376" spans="1:19" ht="12.75" customHeight="1" x14ac:dyDescent="0.2">
      <c r="A376" s="198" t="str">
        <f>"      "&amp;Labels!B317</f>
        <v xml:space="preserve">      Channels 1</v>
      </c>
      <c r="B376" s="303">
        <f>Inputs!F126</f>
        <v>0.5</v>
      </c>
      <c r="C376" s="303">
        <f>Inputs!G126</f>
        <v>0.5</v>
      </c>
      <c r="D376" s="303">
        <f>Inputs!H126</f>
        <v>0.5</v>
      </c>
      <c r="E376" s="303">
        <f>Inputs!I126</f>
        <v>0.5</v>
      </c>
      <c r="F376" s="303">
        <f>Inputs!J126</f>
        <v>0.5</v>
      </c>
      <c r="G376" s="303">
        <f>Inputs!K126</f>
        <v>0.5</v>
      </c>
      <c r="H376" s="303">
        <f>Inputs!L126</f>
        <v>0.5</v>
      </c>
      <c r="I376" s="303">
        <f>Inputs!M126</f>
        <v>0.5</v>
      </c>
      <c r="J376" s="303">
        <f>Inputs!N126</f>
        <v>0.5</v>
      </c>
      <c r="K376" s="303">
        <f>Inputs!O126</f>
        <v>0.5</v>
      </c>
      <c r="L376" s="303">
        <f>Inputs!P126</f>
        <v>0.5</v>
      </c>
      <c r="M376" s="303">
        <f>Inputs!Q126</f>
        <v>0.5</v>
      </c>
      <c r="N376" s="303">
        <f>Inputs!R126</f>
        <v>0.5</v>
      </c>
      <c r="O376" s="303">
        <f>Inputs!S126</f>
        <v>0.5</v>
      </c>
      <c r="P376" s="303">
        <f>Inputs!T126</f>
        <v>0.5</v>
      </c>
      <c r="Q376" s="303">
        <f>Inputs!U126</f>
        <v>0.5</v>
      </c>
      <c r="R376" s="303">
        <f>Inputs!V126</f>
        <v>0.5</v>
      </c>
      <c r="S376" s="383">
        <f>Inputs!W126</f>
        <v>0.5</v>
      </c>
    </row>
    <row r="377" spans="1:19" ht="12.75" customHeight="1" x14ac:dyDescent="0.2">
      <c r="A377" s="198" t="str">
        <f>"      "&amp;Labels!B318</f>
        <v xml:space="preserve">      Channels 2</v>
      </c>
      <c r="B377" s="303">
        <f>Inputs!F127</f>
        <v>0.5</v>
      </c>
      <c r="C377" s="303">
        <f>Inputs!G127</f>
        <v>0.5</v>
      </c>
      <c r="D377" s="303">
        <f>Inputs!H127</f>
        <v>0.5</v>
      </c>
      <c r="E377" s="303">
        <f>Inputs!I127</f>
        <v>0.5</v>
      </c>
      <c r="F377" s="303">
        <f>Inputs!J127</f>
        <v>0.5</v>
      </c>
      <c r="G377" s="303">
        <f>Inputs!K127</f>
        <v>0.5</v>
      </c>
      <c r="H377" s="303">
        <f>Inputs!L127</f>
        <v>0.5</v>
      </c>
      <c r="I377" s="303">
        <f>Inputs!M127</f>
        <v>0.5</v>
      </c>
      <c r="J377" s="303">
        <f>Inputs!N127</f>
        <v>0.5</v>
      </c>
      <c r="K377" s="303">
        <f>Inputs!O127</f>
        <v>0.5</v>
      </c>
      <c r="L377" s="303">
        <f>Inputs!P127</f>
        <v>0.5</v>
      </c>
      <c r="M377" s="303">
        <f>Inputs!Q127</f>
        <v>0.5</v>
      </c>
      <c r="N377" s="303">
        <f>Inputs!R127</f>
        <v>0.5</v>
      </c>
      <c r="O377" s="303">
        <f>Inputs!S127</f>
        <v>0.5</v>
      </c>
      <c r="P377" s="303">
        <f>Inputs!T127</f>
        <v>0.5</v>
      </c>
      <c r="Q377" s="303">
        <f>Inputs!U127</f>
        <v>0.5</v>
      </c>
      <c r="R377" s="303">
        <f>Inputs!V127</f>
        <v>0.5</v>
      </c>
      <c r="S377" s="383">
        <f>Inputs!W127</f>
        <v>0.5</v>
      </c>
    </row>
    <row r="378" spans="1:19" ht="12.75" customHeight="1" x14ac:dyDescent="0.2">
      <c r="A378" s="188" t="str">
        <f>"      "&amp;Labels!C316</f>
        <v xml:space="preserve">      Total</v>
      </c>
      <c r="B378" s="275">
        <f t="shared" ref="B378:S378" si="171">AVERAGE(B376:B377)</f>
        <v>0.5</v>
      </c>
      <c r="C378" s="275">
        <f t="shared" si="171"/>
        <v>0.5</v>
      </c>
      <c r="D378" s="275">
        <f t="shared" si="171"/>
        <v>0.5</v>
      </c>
      <c r="E378" s="275">
        <f t="shared" si="171"/>
        <v>0.5</v>
      </c>
      <c r="F378" s="275">
        <f t="shared" si="171"/>
        <v>0.5</v>
      </c>
      <c r="G378" s="275">
        <f t="shared" si="171"/>
        <v>0.5</v>
      </c>
      <c r="H378" s="275">
        <f t="shared" si="171"/>
        <v>0.5</v>
      </c>
      <c r="I378" s="275">
        <f t="shared" si="171"/>
        <v>0.5</v>
      </c>
      <c r="J378" s="275">
        <f t="shared" si="171"/>
        <v>0.5</v>
      </c>
      <c r="K378" s="275">
        <f t="shared" si="171"/>
        <v>0.5</v>
      </c>
      <c r="L378" s="275">
        <f t="shared" si="171"/>
        <v>0.5</v>
      </c>
      <c r="M378" s="275">
        <f t="shared" si="171"/>
        <v>0.5</v>
      </c>
      <c r="N378" s="275">
        <f t="shared" si="171"/>
        <v>0.5</v>
      </c>
      <c r="O378" s="275">
        <f t="shared" si="171"/>
        <v>0.5</v>
      </c>
      <c r="P378" s="275">
        <f t="shared" si="171"/>
        <v>0.5</v>
      </c>
      <c r="Q378" s="275">
        <f t="shared" si="171"/>
        <v>0.5</v>
      </c>
      <c r="R378" s="275">
        <f t="shared" si="171"/>
        <v>0.5</v>
      </c>
      <c r="S378" s="276">
        <f t="shared" si="171"/>
        <v>0.5</v>
      </c>
    </row>
    <row r="379" spans="1:19" ht="12.75" customHeight="1" x14ac:dyDescent="0.2">
      <c r="A379" s="188" t="str">
        <f>"   "&amp;Labels!B386</f>
        <v xml:space="preserve">   Prof Level 2</v>
      </c>
      <c r="B379" s="275"/>
      <c r="C379" s="275"/>
      <c r="D379" s="275"/>
      <c r="E379" s="275"/>
      <c r="F379" s="275"/>
      <c r="G379" s="275"/>
      <c r="H379" s="275"/>
      <c r="I379" s="275"/>
      <c r="J379" s="275"/>
      <c r="K379" s="275"/>
      <c r="L379" s="275"/>
      <c r="M379" s="275"/>
      <c r="N379" s="275"/>
      <c r="O379" s="275"/>
      <c r="P379" s="275"/>
      <c r="Q379" s="275"/>
      <c r="R379" s="275"/>
      <c r="S379" s="276"/>
    </row>
    <row r="380" spans="1:19" ht="12.75" customHeight="1" x14ac:dyDescent="0.2">
      <c r="A380" s="198" t="str">
        <f>"      "&amp;Labels!B317</f>
        <v xml:space="preserve">      Channels 1</v>
      </c>
      <c r="B380" s="303">
        <f>Inputs!F128</f>
        <v>0.5</v>
      </c>
      <c r="C380" s="303">
        <f>Inputs!G128</f>
        <v>0.5</v>
      </c>
      <c r="D380" s="303">
        <f>Inputs!H128</f>
        <v>0.5</v>
      </c>
      <c r="E380" s="303">
        <f>Inputs!I128</f>
        <v>0.5</v>
      </c>
      <c r="F380" s="303">
        <f>Inputs!J128</f>
        <v>0.5</v>
      </c>
      <c r="G380" s="303">
        <f>Inputs!K128</f>
        <v>0.5</v>
      </c>
      <c r="H380" s="303">
        <f>Inputs!L128</f>
        <v>0.5</v>
      </c>
      <c r="I380" s="303">
        <f>Inputs!M128</f>
        <v>0.5</v>
      </c>
      <c r="J380" s="303">
        <f>Inputs!N128</f>
        <v>0.5</v>
      </c>
      <c r="K380" s="303">
        <f>Inputs!O128</f>
        <v>0.5</v>
      </c>
      <c r="L380" s="303">
        <f>Inputs!P128</f>
        <v>0.5</v>
      </c>
      <c r="M380" s="303">
        <f>Inputs!Q128</f>
        <v>0.5</v>
      </c>
      <c r="N380" s="303">
        <f>Inputs!R128</f>
        <v>0.5</v>
      </c>
      <c r="O380" s="303">
        <f>Inputs!S128</f>
        <v>0.5</v>
      </c>
      <c r="P380" s="303">
        <f>Inputs!T128</f>
        <v>0.5</v>
      </c>
      <c r="Q380" s="303">
        <f>Inputs!U128</f>
        <v>0.5</v>
      </c>
      <c r="R380" s="303">
        <f>Inputs!V128</f>
        <v>0.5</v>
      </c>
      <c r="S380" s="383">
        <f>Inputs!W128</f>
        <v>0.5</v>
      </c>
    </row>
    <row r="381" spans="1:19" ht="12.75" customHeight="1" x14ac:dyDescent="0.2">
      <c r="A381" s="198" t="str">
        <f>"      "&amp;Labels!B318</f>
        <v xml:space="preserve">      Channels 2</v>
      </c>
      <c r="B381" s="303">
        <f>Inputs!F129</f>
        <v>0.5</v>
      </c>
      <c r="C381" s="303">
        <f>Inputs!G129</f>
        <v>0.5</v>
      </c>
      <c r="D381" s="303">
        <f>Inputs!H129</f>
        <v>0.5</v>
      </c>
      <c r="E381" s="303">
        <f>Inputs!I129</f>
        <v>0.5</v>
      </c>
      <c r="F381" s="303">
        <f>Inputs!J129</f>
        <v>0.5</v>
      </c>
      <c r="G381" s="303">
        <f>Inputs!K129</f>
        <v>0.5</v>
      </c>
      <c r="H381" s="303">
        <f>Inputs!L129</f>
        <v>0.5</v>
      </c>
      <c r="I381" s="303">
        <f>Inputs!M129</f>
        <v>0.5</v>
      </c>
      <c r="J381" s="303">
        <f>Inputs!N129</f>
        <v>0.5</v>
      </c>
      <c r="K381" s="303">
        <f>Inputs!O129</f>
        <v>0.5</v>
      </c>
      <c r="L381" s="303">
        <f>Inputs!P129</f>
        <v>0.5</v>
      </c>
      <c r="M381" s="303">
        <f>Inputs!Q129</f>
        <v>0.5</v>
      </c>
      <c r="N381" s="303">
        <f>Inputs!R129</f>
        <v>0.5</v>
      </c>
      <c r="O381" s="303">
        <f>Inputs!S129</f>
        <v>0.5</v>
      </c>
      <c r="P381" s="303">
        <f>Inputs!T129</f>
        <v>0.5</v>
      </c>
      <c r="Q381" s="303">
        <f>Inputs!U129</f>
        <v>0.5</v>
      </c>
      <c r="R381" s="303">
        <f>Inputs!V129</f>
        <v>0.5</v>
      </c>
      <c r="S381" s="383">
        <f>Inputs!W129</f>
        <v>0.5</v>
      </c>
    </row>
    <row r="382" spans="1:19" ht="12.75" customHeight="1" x14ac:dyDescent="0.2">
      <c r="A382" s="188" t="str">
        <f>"      "&amp;Labels!C316</f>
        <v xml:space="preserve">      Total</v>
      </c>
      <c r="B382" s="275">
        <f t="shared" ref="B382:S382" si="172">AVERAGE(B380:B381)</f>
        <v>0.5</v>
      </c>
      <c r="C382" s="275">
        <f t="shared" si="172"/>
        <v>0.5</v>
      </c>
      <c r="D382" s="275">
        <f t="shared" si="172"/>
        <v>0.5</v>
      </c>
      <c r="E382" s="275">
        <f t="shared" si="172"/>
        <v>0.5</v>
      </c>
      <c r="F382" s="275">
        <f t="shared" si="172"/>
        <v>0.5</v>
      </c>
      <c r="G382" s="275">
        <f t="shared" si="172"/>
        <v>0.5</v>
      </c>
      <c r="H382" s="275">
        <f t="shared" si="172"/>
        <v>0.5</v>
      </c>
      <c r="I382" s="275">
        <f t="shared" si="172"/>
        <v>0.5</v>
      </c>
      <c r="J382" s="275">
        <f t="shared" si="172"/>
        <v>0.5</v>
      </c>
      <c r="K382" s="275">
        <f t="shared" si="172"/>
        <v>0.5</v>
      </c>
      <c r="L382" s="275">
        <f t="shared" si="172"/>
        <v>0.5</v>
      </c>
      <c r="M382" s="275">
        <f t="shared" si="172"/>
        <v>0.5</v>
      </c>
      <c r="N382" s="275">
        <f t="shared" si="172"/>
        <v>0.5</v>
      </c>
      <c r="O382" s="275">
        <f t="shared" si="172"/>
        <v>0.5</v>
      </c>
      <c r="P382" s="275">
        <f t="shared" si="172"/>
        <v>0.5</v>
      </c>
      <c r="Q382" s="275">
        <f t="shared" si="172"/>
        <v>0.5</v>
      </c>
      <c r="R382" s="275">
        <f t="shared" si="172"/>
        <v>0.5</v>
      </c>
      <c r="S382" s="276">
        <f t="shared" si="172"/>
        <v>0.5</v>
      </c>
    </row>
    <row r="383" spans="1:19" ht="12.75" customHeight="1" x14ac:dyDescent="0.2">
      <c r="A383" s="191" t="str">
        <f>"   "&amp;Labels!C384</f>
        <v xml:space="preserve">   Total</v>
      </c>
      <c r="B383" s="300">
        <f t="shared" ref="B383:S383" si="173">AVERAGE(B378,B382)</f>
        <v>0.5</v>
      </c>
      <c r="C383" s="300">
        <f t="shared" si="173"/>
        <v>0.5</v>
      </c>
      <c r="D383" s="300">
        <f t="shared" si="173"/>
        <v>0.5</v>
      </c>
      <c r="E383" s="300">
        <f t="shared" si="173"/>
        <v>0.5</v>
      </c>
      <c r="F383" s="300">
        <f t="shared" si="173"/>
        <v>0.5</v>
      </c>
      <c r="G383" s="300">
        <f t="shared" si="173"/>
        <v>0.5</v>
      </c>
      <c r="H383" s="300">
        <f t="shared" si="173"/>
        <v>0.5</v>
      </c>
      <c r="I383" s="300">
        <f t="shared" si="173"/>
        <v>0.5</v>
      </c>
      <c r="J383" s="300">
        <f t="shared" si="173"/>
        <v>0.5</v>
      </c>
      <c r="K383" s="300">
        <f t="shared" si="173"/>
        <v>0.5</v>
      </c>
      <c r="L383" s="300">
        <f t="shared" si="173"/>
        <v>0.5</v>
      </c>
      <c r="M383" s="300">
        <f t="shared" si="173"/>
        <v>0.5</v>
      </c>
      <c r="N383" s="300">
        <f t="shared" si="173"/>
        <v>0.5</v>
      </c>
      <c r="O383" s="300">
        <f t="shared" si="173"/>
        <v>0.5</v>
      </c>
      <c r="P383" s="300">
        <f t="shared" si="173"/>
        <v>0.5</v>
      </c>
      <c r="Q383" s="300">
        <f t="shared" si="173"/>
        <v>0.5</v>
      </c>
      <c r="R383" s="300">
        <f t="shared" si="173"/>
        <v>0.5</v>
      </c>
      <c r="S383" s="386">
        <f t="shared" si="173"/>
        <v>0.5</v>
      </c>
    </row>
    <row r="384" spans="1:19" ht="12.75" customHeight="1" x14ac:dyDescent="0.2">
      <c r="A384" s="198" t="str">
        <f>"      "&amp;Labels!B317</f>
        <v xml:space="preserve">      Channels 1</v>
      </c>
      <c r="B384" s="303">
        <f t="shared" ref="B384:S384" si="174">AVERAGE(B376,B380)</f>
        <v>0.5</v>
      </c>
      <c r="C384" s="303">
        <f t="shared" si="174"/>
        <v>0.5</v>
      </c>
      <c r="D384" s="303">
        <f t="shared" si="174"/>
        <v>0.5</v>
      </c>
      <c r="E384" s="303">
        <f t="shared" si="174"/>
        <v>0.5</v>
      </c>
      <c r="F384" s="303">
        <f t="shared" si="174"/>
        <v>0.5</v>
      </c>
      <c r="G384" s="303">
        <f t="shared" si="174"/>
        <v>0.5</v>
      </c>
      <c r="H384" s="303">
        <f t="shared" si="174"/>
        <v>0.5</v>
      </c>
      <c r="I384" s="303">
        <f t="shared" si="174"/>
        <v>0.5</v>
      </c>
      <c r="J384" s="303">
        <f t="shared" si="174"/>
        <v>0.5</v>
      </c>
      <c r="K384" s="303">
        <f t="shared" si="174"/>
        <v>0.5</v>
      </c>
      <c r="L384" s="303">
        <f t="shared" si="174"/>
        <v>0.5</v>
      </c>
      <c r="M384" s="303">
        <f t="shared" si="174"/>
        <v>0.5</v>
      </c>
      <c r="N384" s="303">
        <f t="shared" si="174"/>
        <v>0.5</v>
      </c>
      <c r="O384" s="303">
        <f t="shared" si="174"/>
        <v>0.5</v>
      </c>
      <c r="P384" s="303">
        <f t="shared" si="174"/>
        <v>0.5</v>
      </c>
      <c r="Q384" s="303">
        <f t="shared" si="174"/>
        <v>0.5</v>
      </c>
      <c r="R384" s="303">
        <f t="shared" si="174"/>
        <v>0.5</v>
      </c>
      <c r="S384" s="383">
        <f t="shared" si="174"/>
        <v>0.5</v>
      </c>
    </row>
    <row r="385" spans="1:19" ht="12.75" customHeight="1" x14ac:dyDescent="0.2">
      <c r="A385" s="198" t="str">
        <f>"      "&amp;Labels!B318</f>
        <v xml:space="preserve">      Channels 2</v>
      </c>
      <c r="B385" s="303">
        <f t="shared" ref="B385:S385" si="175">AVERAGE(B377,B381)</f>
        <v>0.5</v>
      </c>
      <c r="C385" s="303">
        <f t="shared" si="175"/>
        <v>0.5</v>
      </c>
      <c r="D385" s="303">
        <f t="shared" si="175"/>
        <v>0.5</v>
      </c>
      <c r="E385" s="303">
        <f t="shared" si="175"/>
        <v>0.5</v>
      </c>
      <c r="F385" s="303">
        <f t="shared" si="175"/>
        <v>0.5</v>
      </c>
      <c r="G385" s="303">
        <f t="shared" si="175"/>
        <v>0.5</v>
      </c>
      <c r="H385" s="303">
        <f t="shared" si="175"/>
        <v>0.5</v>
      </c>
      <c r="I385" s="303">
        <f t="shared" si="175"/>
        <v>0.5</v>
      </c>
      <c r="J385" s="303">
        <f t="shared" si="175"/>
        <v>0.5</v>
      </c>
      <c r="K385" s="303">
        <f t="shared" si="175"/>
        <v>0.5</v>
      </c>
      <c r="L385" s="303">
        <f t="shared" si="175"/>
        <v>0.5</v>
      </c>
      <c r="M385" s="303">
        <f t="shared" si="175"/>
        <v>0.5</v>
      </c>
      <c r="N385" s="303">
        <f t="shared" si="175"/>
        <v>0.5</v>
      </c>
      <c r="O385" s="303">
        <f t="shared" si="175"/>
        <v>0.5</v>
      </c>
      <c r="P385" s="303">
        <f t="shared" si="175"/>
        <v>0.5</v>
      </c>
      <c r="Q385" s="303">
        <f t="shared" si="175"/>
        <v>0.5</v>
      </c>
      <c r="R385" s="303">
        <f t="shared" si="175"/>
        <v>0.5</v>
      </c>
      <c r="S385" s="383">
        <f t="shared" si="175"/>
        <v>0.5</v>
      </c>
    </row>
    <row r="386" spans="1:19" ht="12.75" customHeight="1" x14ac:dyDescent="0.2">
      <c r="A386" s="188" t="str">
        <f>"      "&amp;Labels!C316</f>
        <v xml:space="preserve">      Total</v>
      </c>
      <c r="B386" s="275">
        <f t="shared" ref="B386:S386" si="176">AVERAGE(B378,B382)</f>
        <v>0.5</v>
      </c>
      <c r="C386" s="275">
        <f t="shared" si="176"/>
        <v>0.5</v>
      </c>
      <c r="D386" s="275">
        <f t="shared" si="176"/>
        <v>0.5</v>
      </c>
      <c r="E386" s="275">
        <f t="shared" si="176"/>
        <v>0.5</v>
      </c>
      <c r="F386" s="275">
        <f t="shared" si="176"/>
        <v>0.5</v>
      </c>
      <c r="G386" s="275">
        <f t="shared" si="176"/>
        <v>0.5</v>
      </c>
      <c r="H386" s="275">
        <f t="shared" si="176"/>
        <v>0.5</v>
      </c>
      <c r="I386" s="275">
        <f t="shared" si="176"/>
        <v>0.5</v>
      </c>
      <c r="J386" s="275">
        <f t="shared" si="176"/>
        <v>0.5</v>
      </c>
      <c r="K386" s="275">
        <f t="shared" si="176"/>
        <v>0.5</v>
      </c>
      <c r="L386" s="275">
        <f t="shared" si="176"/>
        <v>0.5</v>
      </c>
      <c r="M386" s="275">
        <f t="shared" si="176"/>
        <v>0.5</v>
      </c>
      <c r="N386" s="275">
        <f t="shared" si="176"/>
        <v>0.5</v>
      </c>
      <c r="O386" s="275">
        <f t="shared" si="176"/>
        <v>0.5</v>
      </c>
      <c r="P386" s="275">
        <f t="shared" si="176"/>
        <v>0.5</v>
      </c>
      <c r="Q386" s="275">
        <f t="shared" si="176"/>
        <v>0.5</v>
      </c>
      <c r="R386" s="275">
        <f t="shared" si="176"/>
        <v>0.5</v>
      </c>
      <c r="S386" s="276">
        <f t="shared" si="176"/>
        <v>0.5</v>
      </c>
    </row>
    <row r="387" spans="1:19" ht="12.75" customHeight="1" x14ac:dyDescent="0.2">
      <c r="A387" s="97" t="str">
        <f>Labels!C380</f>
        <v>Total</v>
      </c>
      <c r="B387" s="387">
        <f t="shared" ref="B387:S387" si="177">AVERAGE(B370,B383)</f>
        <v>0.5</v>
      </c>
      <c r="C387" s="387">
        <f t="shared" si="177"/>
        <v>0.5</v>
      </c>
      <c r="D387" s="387">
        <f t="shared" si="177"/>
        <v>0.5</v>
      </c>
      <c r="E387" s="387">
        <f t="shared" si="177"/>
        <v>0.5</v>
      </c>
      <c r="F387" s="387">
        <f t="shared" si="177"/>
        <v>0.5</v>
      </c>
      <c r="G387" s="387">
        <f t="shared" si="177"/>
        <v>0.5</v>
      </c>
      <c r="H387" s="387">
        <f t="shared" si="177"/>
        <v>0.5</v>
      </c>
      <c r="I387" s="387">
        <f t="shared" si="177"/>
        <v>0.5</v>
      </c>
      <c r="J387" s="387">
        <f t="shared" si="177"/>
        <v>0.5</v>
      </c>
      <c r="K387" s="387">
        <f t="shared" si="177"/>
        <v>0.5</v>
      </c>
      <c r="L387" s="387">
        <f t="shared" si="177"/>
        <v>0.5</v>
      </c>
      <c r="M387" s="387">
        <f t="shared" si="177"/>
        <v>0.5</v>
      </c>
      <c r="N387" s="387">
        <f t="shared" si="177"/>
        <v>0.5</v>
      </c>
      <c r="O387" s="387">
        <f t="shared" si="177"/>
        <v>0.5</v>
      </c>
      <c r="P387" s="387">
        <f t="shared" si="177"/>
        <v>0.5</v>
      </c>
      <c r="Q387" s="387">
        <f t="shared" si="177"/>
        <v>0.5</v>
      </c>
      <c r="R387" s="387">
        <f t="shared" si="177"/>
        <v>0.5</v>
      </c>
      <c r="S387" s="388">
        <f t="shared" si="177"/>
        <v>0.5</v>
      </c>
    </row>
    <row r="388" spans="1:19" ht="12.75" customHeight="1" x14ac:dyDescent="0.2">
      <c r="A388" s="188" t="str">
        <f>"   "&amp;Labels!B385</f>
        <v xml:space="preserve">   Prof Level 1</v>
      </c>
      <c r="B388" s="275"/>
      <c r="C388" s="275"/>
      <c r="D388" s="275"/>
      <c r="E388" s="275"/>
      <c r="F388" s="275"/>
      <c r="G388" s="275"/>
      <c r="H388" s="275"/>
      <c r="I388" s="275"/>
      <c r="J388" s="275"/>
      <c r="K388" s="275"/>
      <c r="L388" s="275"/>
      <c r="M388" s="275"/>
      <c r="N388" s="275"/>
      <c r="O388" s="275"/>
      <c r="P388" s="275"/>
      <c r="Q388" s="275"/>
      <c r="R388" s="275"/>
      <c r="S388" s="276"/>
    </row>
    <row r="389" spans="1:19" ht="12.75" customHeight="1" x14ac:dyDescent="0.2">
      <c r="A389" s="198" t="str">
        <f>"      "&amp;Labels!B317</f>
        <v xml:space="preserve">      Channels 1</v>
      </c>
      <c r="B389" s="303">
        <f t="shared" ref="B389:S389" si="178">AVERAGE(B363,B376)</f>
        <v>0.5</v>
      </c>
      <c r="C389" s="303">
        <f t="shared" si="178"/>
        <v>0.5</v>
      </c>
      <c r="D389" s="303">
        <f t="shared" si="178"/>
        <v>0.5</v>
      </c>
      <c r="E389" s="303">
        <f t="shared" si="178"/>
        <v>0.5</v>
      </c>
      <c r="F389" s="303">
        <f t="shared" si="178"/>
        <v>0.5</v>
      </c>
      <c r="G389" s="303">
        <f t="shared" si="178"/>
        <v>0.5</v>
      </c>
      <c r="H389" s="303">
        <f t="shared" si="178"/>
        <v>0.5</v>
      </c>
      <c r="I389" s="303">
        <f t="shared" si="178"/>
        <v>0.5</v>
      </c>
      <c r="J389" s="303">
        <f t="shared" si="178"/>
        <v>0.5</v>
      </c>
      <c r="K389" s="303">
        <f t="shared" si="178"/>
        <v>0.5</v>
      </c>
      <c r="L389" s="303">
        <f t="shared" si="178"/>
        <v>0.5</v>
      </c>
      <c r="M389" s="303">
        <f t="shared" si="178"/>
        <v>0.5</v>
      </c>
      <c r="N389" s="303">
        <f t="shared" si="178"/>
        <v>0.5</v>
      </c>
      <c r="O389" s="303">
        <f t="shared" si="178"/>
        <v>0.5</v>
      </c>
      <c r="P389" s="303">
        <f t="shared" si="178"/>
        <v>0.5</v>
      </c>
      <c r="Q389" s="303">
        <f t="shared" si="178"/>
        <v>0.5</v>
      </c>
      <c r="R389" s="303">
        <f t="shared" si="178"/>
        <v>0.5</v>
      </c>
      <c r="S389" s="383">
        <f t="shared" si="178"/>
        <v>0.5</v>
      </c>
    </row>
    <row r="390" spans="1:19" ht="12.75" customHeight="1" x14ac:dyDescent="0.2">
      <c r="A390" s="198" t="str">
        <f>"      "&amp;Labels!B318</f>
        <v xml:space="preserve">      Channels 2</v>
      </c>
      <c r="B390" s="303">
        <f t="shared" ref="B390:S390" si="179">AVERAGE(B364,B377)</f>
        <v>0.5</v>
      </c>
      <c r="C390" s="303">
        <f t="shared" si="179"/>
        <v>0.5</v>
      </c>
      <c r="D390" s="303">
        <f t="shared" si="179"/>
        <v>0.5</v>
      </c>
      <c r="E390" s="303">
        <f t="shared" si="179"/>
        <v>0.5</v>
      </c>
      <c r="F390" s="303">
        <f t="shared" si="179"/>
        <v>0.5</v>
      </c>
      <c r="G390" s="303">
        <f t="shared" si="179"/>
        <v>0.5</v>
      </c>
      <c r="H390" s="303">
        <f t="shared" si="179"/>
        <v>0.5</v>
      </c>
      <c r="I390" s="303">
        <f t="shared" si="179"/>
        <v>0.5</v>
      </c>
      <c r="J390" s="303">
        <f t="shared" si="179"/>
        <v>0.5</v>
      </c>
      <c r="K390" s="303">
        <f t="shared" si="179"/>
        <v>0.5</v>
      </c>
      <c r="L390" s="303">
        <f t="shared" si="179"/>
        <v>0.5</v>
      </c>
      <c r="M390" s="303">
        <f t="shared" si="179"/>
        <v>0.5</v>
      </c>
      <c r="N390" s="303">
        <f t="shared" si="179"/>
        <v>0.5</v>
      </c>
      <c r="O390" s="303">
        <f t="shared" si="179"/>
        <v>0.5</v>
      </c>
      <c r="P390" s="303">
        <f t="shared" si="179"/>
        <v>0.5</v>
      </c>
      <c r="Q390" s="303">
        <f t="shared" si="179"/>
        <v>0.5</v>
      </c>
      <c r="R390" s="303">
        <f t="shared" si="179"/>
        <v>0.5</v>
      </c>
      <c r="S390" s="383">
        <f t="shared" si="179"/>
        <v>0.5</v>
      </c>
    </row>
    <row r="391" spans="1:19" ht="12.75" customHeight="1" x14ac:dyDescent="0.2">
      <c r="A391" s="188" t="str">
        <f>"      "&amp;Labels!C316</f>
        <v xml:space="preserve">      Total</v>
      </c>
      <c r="B391" s="275">
        <f t="shared" ref="B391:S391" si="180">AVERAGE(B365,B378)</f>
        <v>0.5</v>
      </c>
      <c r="C391" s="275">
        <f t="shared" si="180"/>
        <v>0.5</v>
      </c>
      <c r="D391" s="275">
        <f t="shared" si="180"/>
        <v>0.5</v>
      </c>
      <c r="E391" s="275">
        <f t="shared" si="180"/>
        <v>0.5</v>
      </c>
      <c r="F391" s="275">
        <f t="shared" si="180"/>
        <v>0.5</v>
      </c>
      <c r="G391" s="275">
        <f t="shared" si="180"/>
        <v>0.5</v>
      </c>
      <c r="H391" s="275">
        <f t="shared" si="180"/>
        <v>0.5</v>
      </c>
      <c r="I391" s="275">
        <f t="shared" si="180"/>
        <v>0.5</v>
      </c>
      <c r="J391" s="275">
        <f t="shared" si="180"/>
        <v>0.5</v>
      </c>
      <c r="K391" s="275">
        <f t="shared" si="180"/>
        <v>0.5</v>
      </c>
      <c r="L391" s="275">
        <f t="shared" si="180"/>
        <v>0.5</v>
      </c>
      <c r="M391" s="275">
        <f t="shared" si="180"/>
        <v>0.5</v>
      </c>
      <c r="N391" s="275">
        <f t="shared" si="180"/>
        <v>0.5</v>
      </c>
      <c r="O391" s="275">
        <f t="shared" si="180"/>
        <v>0.5</v>
      </c>
      <c r="P391" s="275">
        <f t="shared" si="180"/>
        <v>0.5</v>
      </c>
      <c r="Q391" s="275">
        <f t="shared" si="180"/>
        <v>0.5</v>
      </c>
      <c r="R391" s="275">
        <f t="shared" si="180"/>
        <v>0.5</v>
      </c>
      <c r="S391" s="276">
        <f t="shared" si="180"/>
        <v>0.5</v>
      </c>
    </row>
    <row r="392" spans="1:19" ht="12.75" customHeight="1" x14ac:dyDescent="0.2">
      <c r="A392" s="188" t="str">
        <f>"   "&amp;Labels!B386</f>
        <v xml:space="preserve">   Prof Level 2</v>
      </c>
      <c r="B392" s="275"/>
      <c r="C392" s="275"/>
      <c r="D392" s="275"/>
      <c r="E392" s="275"/>
      <c r="F392" s="275"/>
      <c r="G392" s="275"/>
      <c r="H392" s="275"/>
      <c r="I392" s="275"/>
      <c r="J392" s="275"/>
      <c r="K392" s="275"/>
      <c r="L392" s="275"/>
      <c r="M392" s="275"/>
      <c r="N392" s="275"/>
      <c r="O392" s="275"/>
      <c r="P392" s="275"/>
      <c r="Q392" s="275"/>
      <c r="R392" s="275"/>
      <c r="S392" s="276"/>
    </row>
    <row r="393" spans="1:19" ht="12.75" customHeight="1" x14ac:dyDescent="0.2">
      <c r="A393" s="198" t="str">
        <f>"      "&amp;Labels!B317</f>
        <v xml:space="preserve">      Channels 1</v>
      </c>
      <c r="B393" s="303">
        <f t="shared" ref="B393:S393" si="181">AVERAGE(B367,B380)</f>
        <v>0.5</v>
      </c>
      <c r="C393" s="303">
        <f t="shared" si="181"/>
        <v>0.5</v>
      </c>
      <c r="D393" s="303">
        <f t="shared" si="181"/>
        <v>0.5</v>
      </c>
      <c r="E393" s="303">
        <f t="shared" si="181"/>
        <v>0.5</v>
      </c>
      <c r="F393" s="303">
        <f t="shared" si="181"/>
        <v>0.5</v>
      </c>
      <c r="G393" s="303">
        <f t="shared" si="181"/>
        <v>0.5</v>
      </c>
      <c r="H393" s="303">
        <f t="shared" si="181"/>
        <v>0.5</v>
      </c>
      <c r="I393" s="303">
        <f t="shared" si="181"/>
        <v>0.5</v>
      </c>
      <c r="J393" s="303">
        <f t="shared" si="181"/>
        <v>0.5</v>
      </c>
      <c r="K393" s="303">
        <f t="shared" si="181"/>
        <v>0.5</v>
      </c>
      <c r="L393" s="303">
        <f t="shared" si="181"/>
        <v>0.5</v>
      </c>
      <c r="M393" s="303">
        <f t="shared" si="181"/>
        <v>0.5</v>
      </c>
      <c r="N393" s="303">
        <f t="shared" si="181"/>
        <v>0.5</v>
      </c>
      <c r="O393" s="303">
        <f t="shared" si="181"/>
        <v>0.5</v>
      </c>
      <c r="P393" s="303">
        <f t="shared" si="181"/>
        <v>0.5</v>
      </c>
      <c r="Q393" s="303">
        <f t="shared" si="181"/>
        <v>0.5</v>
      </c>
      <c r="R393" s="303">
        <f t="shared" si="181"/>
        <v>0.5</v>
      </c>
      <c r="S393" s="383">
        <f t="shared" si="181"/>
        <v>0.5</v>
      </c>
    </row>
    <row r="394" spans="1:19" ht="12.75" customHeight="1" x14ac:dyDescent="0.2">
      <c r="A394" s="198" t="str">
        <f>"      "&amp;Labels!B318</f>
        <v xml:space="preserve">      Channels 2</v>
      </c>
      <c r="B394" s="303">
        <f t="shared" ref="B394:S394" si="182">AVERAGE(B368,B381)</f>
        <v>0.5</v>
      </c>
      <c r="C394" s="303">
        <f t="shared" si="182"/>
        <v>0.5</v>
      </c>
      <c r="D394" s="303">
        <f t="shared" si="182"/>
        <v>0.5</v>
      </c>
      <c r="E394" s="303">
        <f t="shared" si="182"/>
        <v>0.5</v>
      </c>
      <c r="F394" s="303">
        <f t="shared" si="182"/>
        <v>0.5</v>
      </c>
      <c r="G394" s="303">
        <f t="shared" si="182"/>
        <v>0.5</v>
      </c>
      <c r="H394" s="303">
        <f t="shared" si="182"/>
        <v>0.5</v>
      </c>
      <c r="I394" s="303">
        <f t="shared" si="182"/>
        <v>0.5</v>
      </c>
      <c r="J394" s="303">
        <f t="shared" si="182"/>
        <v>0.5</v>
      </c>
      <c r="K394" s="303">
        <f t="shared" si="182"/>
        <v>0.5</v>
      </c>
      <c r="L394" s="303">
        <f t="shared" si="182"/>
        <v>0.5</v>
      </c>
      <c r="M394" s="303">
        <f t="shared" si="182"/>
        <v>0.5</v>
      </c>
      <c r="N394" s="303">
        <f t="shared" si="182"/>
        <v>0.5</v>
      </c>
      <c r="O394" s="303">
        <f t="shared" si="182"/>
        <v>0.5</v>
      </c>
      <c r="P394" s="303">
        <f t="shared" si="182"/>
        <v>0.5</v>
      </c>
      <c r="Q394" s="303">
        <f t="shared" si="182"/>
        <v>0.5</v>
      </c>
      <c r="R394" s="303">
        <f t="shared" si="182"/>
        <v>0.5</v>
      </c>
      <c r="S394" s="383">
        <f t="shared" si="182"/>
        <v>0.5</v>
      </c>
    </row>
    <row r="395" spans="1:19" ht="12.75" customHeight="1" x14ac:dyDescent="0.2">
      <c r="A395" s="188" t="str">
        <f>"      "&amp;Labels!C316</f>
        <v xml:space="preserve">      Total</v>
      </c>
      <c r="B395" s="275">
        <f t="shared" ref="B395:S395" si="183">AVERAGE(B369,B382)</f>
        <v>0.5</v>
      </c>
      <c r="C395" s="275">
        <f t="shared" si="183"/>
        <v>0.5</v>
      </c>
      <c r="D395" s="275">
        <f t="shared" si="183"/>
        <v>0.5</v>
      </c>
      <c r="E395" s="275">
        <f t="shared" si="183"/>
        <v>0.5</v>
      </c>
      <c r="F395" s="275">
        <f t="shared" si="183"/>
        <v>0.5</v>
      </c>
      <c r="G395" s="275">
        <f t="shared" si="183"/>
        <v>0.5</v>
      </c>
      <c r="H395" s="275">
        <f t="shared" si="183"/>
        <v>0.5</v>
      </c>
      <c r="I395" s="275">
        <f t="shared" si="183"/>
        <v>0.5</v>
      </c>
      <c r="J395" s="275">
        <f t="shared" si="183"/>
        <v>0.5</v>
      </c>
      <c r="K395" s="275">
        <f t="shared" si="183"/>
        <v>0.5</v>
      </c>
      <c r="L395" s="275">
        <f t="shared" si="183"/>
        <v>0.5</v>
      </c>
      <c r="M395" s="275">
        <f t="shared" si="183"/>
        <v>0.5</v>
      </c>
      <c r="N395" s="275">
        <f t="shared" si="183"/>
        <v>0.5</v>
      </c>
      <c r="O395" s="275">
        <f t="shared" si="183"/>
        <v>0.5</v>
      </c>
      <c r="P395" s="275">
        <f t="shared" si="183"/>
        <v>0.5</v>
      </c>
      <c r="Q395" s="275">
        <f t="shared" si="183"/>
        <v>0.5</v>
      </c>
      <c r="R395" s="275">
        <f t="shared" si="183"/>
        <v>0.5</v>
      </c>
      <c r="S395" s="276">
        <f t="shared" si="183"/>
        <v>0.5</v>
      </c>
    </row>
    <row r="396" spans="1:19" ht="12.75" customHeight="1" x14ac:dyDescent="0.2">
      <c r="A396" s="191" t="str">
        <f>"   "&amp;Labels!C384</f>
        <v xml:space="preserve">   Total</v>
      </c>
      <c r="B396" s="300">
        <f t="shared" ref="B396:S396" si="184">AVERAGE(B370,B383)</f>
        <v>0.5</v>
      </c>
      <c r="C396" s="300">
        <f t="shared" si="184"/>
        <v>0.5</v>
      </c>
      <c r="D396" s="300">
        <f t="shared" si="184"/>
        <v>0.5</v>
      </c>
      <c r="E396" s="300">
        <f t="shared" si="184"/>
        <v>0.5</v>
      </c>
      <c r="F396" s="300">
        <f t="shared" si="184"/>
        <v>0.5</v>
      </c>
      <c r="G396" s="300">
        <f t="shared" si="184"/>
        <v>0.5</v>
      </c>
      <c r="H396" s="300">
        <f t="shared" si="184"/>
        <v>0.5</v>
      </c>
      <c r="I396" s="300">
        <f t="shared" si="184"/>
        <v>0.5</v>
      </c>
      <c r="J396" s="300">
        <f t="shared" si="184"/>
        <v>0.5</v>
      </c>
      <c r="K396" s="300">
        <f t="shared" si="184"/>
        <v>0.5</v>
      </c>
      <c r="L396" s="300">
        <f t="shared" si="184"/>
        <v>0.5</v>
      </c>
      <c r="M396" s="300">
        <f t="shared" si="184"/>
        <v>0.5</v>
      </c>
      <c r="N396" s="300">
        <f t="shared" si="184"/>
        <v>0.5</v>
      </c>
      <c r="O396" s="300">
        <f t="shared" si="184"/>
        <v>0.5</v>
      </c>
      <c r="P396" s="300">
        <f t="shared" si="184"/>
        <v>0.5</v>
      </c>
      <c r="Q396" s="300">
        <f t="shared" si="184"/>
        <v>0.5</v>
      </c>
      <c r="R396" s="300">
        <f t="shared" si="184"/>
        <v>0.5</v>
      </c>
      <c r="S396" s="386">
        <f t="shared" si="184"/>
        <v>0.5</v>
      </c>
    </row>
    <row r="397" spans="1:19" ht="12.75" customHeight="1" x14ac:dyDescent="0.2">
      <c r="A397" s="198" t="str">
        <f>"      "&amp;Labels!B317</f>
        <v xml:space="preserve">      Channels 1</v>
      </c>
      <c r="B397" s="303">
        <f t="shared" ref="B397:S397" si="185">AVERAGE(B371,B384)</f>
        <v>0.5</v>
      </c>
      <c r="C397" s="303">
        <f t="shared" si="185"/>
        <v>0.5</v>
      </c>
      <c r="D397" s="303">
        <f t="shared" si="185"/>
        <v>0.5</v>
      </c>
      <c r="E397" s="303">
        <f t="shared" si="185"/>
        <v>0.5</v>
      </c>
      <c r="F397" s="303">
        <f t="shared" si="185"/>
        <v>0.5</v>
      </c>
      <c r="G397" s="303">
        <f t="shared" si="185"/>
        <v>0.5</v>
      </c>
      <c r="H397" s="303">
        <f t="shared" si="185"/>
        <v>0.5</v>
      </c>
      <c r="I397" s="303">
        <f t="shared" si="185"/>
        <v>0.5</v>
      </c>
      <c r="J397" s="303">
        <f t="shared" si="185"/>
        <v>0.5</v>
      </c>
      <c r="K397" s="303">
        <f t="shared" si="185"/>
        <v>0.5</v>
      </c>
      <c r="L397" s="303">
        <f t="shared" si="185"/>
        <v>0.5</v>
      </c>
      <c r="M397" s="303">
        <f t="shared" si="185"/>
        <v>0.5</v>
      </c>
      <c r="N397" s="303">
        <f t="shared" si="185"/>
        <v>0.5</v>
      </c>
      <c r="O397" s="303">
        <f t="shared" si="185"/>
        <v>0.5</v>
      </c>
      <c r="P397" s="303">
        <f t="shared" si="185"/>
        <v>0.5</v>
      </c>
      <c r="Q397" s="303">
        <f t="shared" si="185"/>
        <v>0.5</v>
      </c>
      <c r="R397" s="303">
        <f t="shared" si="185"/>
        <v>0.5</v>
      </c>
      <c r="S397" s="383">
        <f t="shared" si="185"/>
        <v>0.5</v>
      </c>
    </row>
    <row r="398" spans="1:19" ht="12.75" customHeight="1" x14ac:dyDescent="0.2">
      <c r="A398" s="198" t="str">
        <f>"      "&amp;Labels!B318</f>
        <v xml:space="preserve">      Channels 2</v>
      </c>
      <c r="B398" s="303">
        <f t="shared" ref="B398:S398" si="186">AVERAGE(B372,B385)</f>
        <v>0.5</v>
      </c>
      <c r="C398" s="303">
        <f t="shared" si="186"/>
        <v>0.5</v>
      </c>
      <c r="D398" s="303">
        <f t="shared" si="186"/>
        <v>0.5</v>
      </c>
      <c r="E398" s="303">
        <f t="shared" si="186"/>
        <v>0.5</v>
      </c>
      <c r="F398" s="303">
        <f t="shared" si="186"/>
        <v>0.5</v>
      </c>
      <c r="G398" s="303">
        <f t="shared" si="186"/>
        <v>0.5</v>
      </c>
      <c r="H398" s="303">
        <f t="shared" si="186"/>
        <v>0.5</v>
      </c>
      <c r="I398" s="303">
        <f t="shared" si="186"/>
        <v>0.5</v>
      </c>
      <c r="J398" s="303">
        <f t="shared" si="186"/>
        <v>0.5</v>
      </c>
      <c r="K398" s="303">
        <f t="shared" si="186"/>
        <v>0.5</v>
      </c>
      <c r="L398" s="303">
        <f t="shared" si="186"/>
        <v>0.5</v>
      </c>
      <c r="M398" s="303">
        <f t="shared" si="186"/>
        <v>0.5</v>
      </c>
      <c r="N398" s="303">
        <f t="shared" si="186"/>
        <v>0.5</v>
      </c>
      <c r="O398" s="303">
        <f t="shared" si="186"/>
        <v>0.5</v>
      </c>
      <c r="P398" s="303">
        <f t="shared" si="186"/>
        <v>0.5</v>
      </c>
      <c r="Q398" s="303">
        <f t="shared" si="186"/>
        <v>0.5</v>
      </c>
      <c r="R398" s="303">
        <f t="shared" si="186"/>
        <v>0.5</v>
      </c>
      <c r="S398" s="383">
        <f t="shared" si="186"/>
        <v>0.5</v>
      </c>
    </row>
    <row r="399" spans="1:19" ht="12.75" customHeight="1" x14ac:dyDescent="0.2">
      <c r="A399" s="220" t="str">
        <f>"      "&amp;Labels!C316</f>
        <v xml:space="preserve">      Total</v>
      </c>
      <c r="B399" s="277">
        <f t="shared" ref="B399:S399" si="187">AVERAGE(B370,B383)</f>
        <v>0.5</v>
      </c>
      <c r="C399" s="277">
        <f t="shared" si="187"/>
        <v>0.5</v>
      </c>
      <c r="D399" s="277">
        <f t="shared" si="187"/>
        <v>0.5</v>
      </c>
      <c r="E399" s="277">
        <f t="shared" si="187"/>
        <v>0.5</v>
      </c>
      <c r="F399" s="277">
        <f t="shared" si="187"/>
        <v>0.5</v>
      </c>
      <c r="G399" s="277">
        <f t="shared" si="187"/>
        <v>0.5</v>
      </c>
      <c r="H399" s="277">
        <f t="shared" si="187"/>
        <v>0.5</v>
      </c>
      <c r="I399" s="277">
        <f t="shared" si="187"/>
        <v>0.5</v>
      </c>
      <c r="J399" s="277">
        <f t="shared" si="187"/>
        <v>0.5</v>
      </c>
      <c r="K399" s="277">
        <f t="shared" si="187"/>
        <v>0.5</v>
      </c>
      <c r="L399" s="277">
        <f t="shared" si="187"/>
        <v>0.5</v>
      </c>
      <c r="M399" s="277">
        <f t="shared" si="187"/>
        <v>0.5</v>
      </c>
      <c r="N399" s="277">
        <f t="shared" si="187"/>
        <v>0.5</v>
      </c>
      <c r="O399" s="277">
        <f t="shared" si="187"/>
        <v>0.5</v>
      </c>
      <c r="P399" s="277">
        <f t="shared" si="187"/>
        <v>0.5</v>
      </c>
      <c r="Q399" s="277">
        <f t="shared" si="187"/>
        <v>0.5</v>
      </c>
      <c r="R399" s="277">
        <f t="shared" si="187"/>
        <v>0.5</v>
      </c>
      <c r="S399" s="278">
        <f t="shared" si="187"/>
        <v>0.5</v>
      </c>
    </row>
    <row r="400" spans="1:19" ht="12.75" customHeight="1" x14ac:dyDescent="0.2">
      <c r="A400" s="1" t="str">
        <f>Labels!B163</f>
        <v>Billing Rates (Nominal )</v>
      </c>
    </row>
    <row r="401" spans="1:19" ht="12.75" customHeight="1" x14ac:dyDescent="0.2">
      <c r="B401" s="9" t="str">
        <f>'(FnCalls 1)'!F41</f>
        <v>MMM 2010</v>
      </c>
      <c r="C401" s="10" t="str">
        <f>'(FnCalls 1)'!F42</f>
        <v>MMM 2010</v>
      </c>
      <c r="D401" s="10" t="str">
        <f>'(FnCalls 1)'!F43</f>
        <v>MMM 2010</v>
      </c>
      <c r="E401" s="10" t="str">
        <f>'(FnCalls 1)'!F44</f>
        <v>MMM 2010</v>
      </c>
      <c r="F401" s="10" t="str">
        <f>'(FnCalls 1)'!F45</f>
        <v>MMM 2010</v>
      </c>
      <c r="G401" s="10" t="str">
        <f>'(FnCalls 1)'!F46</f>
        <v>MMM 2010</v>
      </c>
      <c r="H401" s="10" t="str">
        <f>'(FnCalls 1)'!F47</f>
        <v>MMM 2010</v>
      </c>
      <c r="I401" s="10" t="str">
        <f>'(FnCalls 1)'!F48</f>
        <v>MMM 2010</v>
      </c>
      <c r="J401" s="10" t="str">
        <f>'(FnCalls 1)'!F49</f>
        <v>MMM 2010</v>
      </c>
      <c r="K401" s="10" t="str">
        <f>'(FnCalls 1)'!F50</f>
        <v>MMM 2010</v>
      </c>
      <c r="L401" s="10" t="str">
        <f>'(FnCalls 1)'!F51</f>
        <v>MMM 2010</v>
      </c>
      <c r="M401" s="10" t="str">
        <f>'(FnCalls 1)'!F52</f>
        <v>MMM 2010</v>
      </c>
      <c r="N401" s="10" t="str">
        <f>'(FnCalls 1)'!F53</f>
        <v>MMM 2011</v>
      </c>
      <c r="O401" s="10" t="str">
        <f>'(FnCalls 1)'!F54</f>
        <v>MMM 2011</v>
      </c>
      <c r="P401" s="10" t="str">
        <f>'(FnCalls 1)'!F55</f>
        <v>MMM 2011</v>
      </c>
      <c r="Q401" s="10" t="str">
        <f>'(FnCalls 1)'!F56</f>
        <v>MMM 2011</v>
      </c>
      <c r="R401" s="10" t="str">
        <f>'(FnCalls 1)'!F57</f>
        <v>MMM 2011</v>
      </c>
      <c r="S401" s="11" t="str">
        <f>'(FnCalls 1)'!F58</f>
        <v>MMM 2011</v>
      </c>
    </row>
    <row r="402" spans="1:19" ht="12.75" customHeight="1" x14ac:dyDescent="0.2">
      <c r="A402" s="182" t="str">
        <f>Labels!B381</f>
        <v>Practice 1</v>
      </c>
      <c r="B402" s="183"/>
      <c r="C402" s="183"/>
      <c r="D402" s="183"/>
      <c r="E402" s="183"/>
      <c r="F402" s="183"/>
      <c r="G402" s="183"/>
      <c r="H402" s="183"/>
      <c r="I402" s="183"/>
      <c r="J402" s="183"/>
      <c r="K402" s="183"/>
      <c r="L402" s="183"/>
      <c r="M402" s="183"/>
      <c r="N402" s="183"/>
      <c r="O402" s="183"/>
      <c r="P402" s="183"/>
      <c r="Q402" s="183"/>
      <c r="R402" s="183"/>
      <c r="S402" s="266"/>
    </row>
    <row r="403" spans="1:19" ht="12.75" customHeight="1" x14ac:dyDescent="0.2">
      <c r="A403" s="188" t="str">
        <f>"   "&amp;Labels!B385</f>
        <v xml:space="preserve">   Prof Level 1</v>
      </c>
      <c r="B403" s="196">
        <f>Inputs!F138</f>
        <v>200</v>
      </c>
      <c r="C403" s="196">
        <f>Inputs!G138</f>
        <v>200</v>
      </c>
      <c r="D403" s="196">
        <f>Inputs!H138</f>
        <v>200</v>
      </c>
      <c r="E403" s="196">
        <f>Inputs!I138</f>
        <v>200</v>
      </c>
      <c r="F403" s="196">
        <f>Inputs!J138</f>
        <v>200</v>
      </c>
      <c r="G403" s="196">
        <f>Inputs!K138</f>
        <v>200</v>
      </c>
      <c r="H403" s="196">
        <f>Inputs!L138</f>
        <v>200</v>
      </c>
      <c r="I403" s="196">
        <f>Inputs!M138</f>
        <v>200</v>
      </c>
      <c r="J403" s="196">
        <f>Inputs!N138</f>
        <v>200</v>
      </c>
      <c r="K403" s="196">
        <f>Inputs!O138</f>
        <v>200</v>
      </c>
      <c r="L403" s="196">
        <f>Inputs!P138</f>
        <v>200</v>
      </c>
      <c r="M403" s="196">
        <f>Inputs!Q138</f>
        <v>200</v>
      </c>
      <c r="N403" s="196">
        <f>Inputs!R138</f>
        <v>200</v>
      </c>
      <c r="O403" s="196">
        <f>Inputs!S138</f>
        <v>200</v>
      </c>
      <c r="P403" s="196">
        <f>Inputs!T138</f>
        <v>200</v>
      </c>
      <c r="Q403" s="196">
        <f>Inputs!U138</f>
        <v>200</v>
      </c>
      <c r="R403" s="196">
        <f>Inputs!V138</f>
        <v>200</v>
      </c>
      <c r="S403" s="267">
        <f>Inputs!W138</f>
        <v>200</v>
      </c>
    </row>
    <row r="404" spans="1:19" ht="12.75" customHeight="1" x14ac:dyDescent="0.2">
      <c r="A404" s="188" t="str">
        <f>"   "&amp;Labels!B386</f>
        <v xml:space="preserve">   Prof Level 2</v>
      </c>
      <c r="B404" s="196">
        <f>Inputs!F139</f>
        <v>200</v>
      </c>
      <c r="C404" s="196">
        <f>Inputs!G139</f>
        <v>200</v>
      </c>
      <c r="D404" s="196">
        <f>Inputs!H139</f>
        <v>200</v>
      </c>
      <c r="E404" s="196">
        <f>Inputs!I139</f>
        <v>200</v>
      </c>
      <c r="F404" s="196">
        <f>Inputs!J139</f>
        <v>200</v>
      </c>
      <c r="G404" s="196">
        <f>Inputs!K139</f>
        <v>200</v>
      </c>
      <c r="H404" s="196">
        <f>Inputs!L139</f>
        <v>200</v>
      </c>
      <c r="I404" s="196">
        <f>Inputs!M139</f>
        <v>200</v>
      </c>
      <c r="J404" s="196">
        <f>Inputs!N139</f>
        <v>200</v>
      </c>
      <c r="K404" s="196">
        <f>Inputs!O139</f>
        <v>200</v>
      </c>
      <c r="L404" s="196">
        <f>Inputs!P139</f>
        <v>200</v>
      </c>
      <c r="M404" s="196">
        <f>Inputs!Q139</f>
        <v>200</v>
      </c>
      <c r="N404" s="196">
        <f>Inputs!R139</f>
        <v>200</v>
      </c>
      <c r="O404" s="196">
        <f>Inputs!S139</f>
        <v>200</v>
      </c>
      <c r="P404" s="196">
        <f>Inputs!T139</f>
        <v>200</v>
      </c>
      <c r="Q404" s="196">
        <f>Inputs!U139</f>
        <v>200</v>
      </c>
      <c r="R404" s="196">
        <f>Inputs!V139</f>
        <v>200</v>
      </c>
      <c r="S404" s="267">
        <f>Inputs!W139</f>
        <v>200</v>
      </c>
    </row>
    <row r="405" spans="1:19" ht="12.75" customHeight="1" x14ac:dyDescent="0.2">
      <c r="A405" s="191" t="str">
        <f>Labels!B382</f>
        <v>Practice 2</v>
      </c>
      <c r="B405" s="192"/>
      <c r="C405" s="192"/>
      <c r="D405" s="192"/>
      <c r="E405" s="192"/>
      <c r="F405" s="192"/>
      <c r="G405" s="192"/>
      <c r="H405" s="192"/>
      <c r="I405" s="192"/>
      <c r="J405" s="192"/>
      <c r="K405" s="192"/>
      <c r="L405" s="192"/>
      <c r="M405" s="192"/>
      <c r="N405" s="192"/>
      <c r="O405" s="192"/>
      <c r="P405" s="192"/>
      <c r="Q405" s="192"/>
      <c r="R405" s="192"/>
      <c r="S405" s="280"/>
    </row>
    <row r="406" spans="1:19" ht="12.75" customHeight="1" x14ac:dyDescent="0.2">
      <c r="A406" s="188" t="str">
        <f>"   "&amp;Labels!B385</f>
        <v xml:space="preserve">   Prof Level 1</v>
      </c>
      <c r="B406" s="196">
        <f>Inputs!F140</f>
        <v>200</v>
      </c>
      <c r="C406" s="196">
        <f>Inputs!G140</f>
        <v>200</v>
      </c>
      <c r="D406" s="196">
        <f>Inputs!H140</f>
        <v>200</v>
      </c>
      <c r="E406" s="196">
        <f>Inputs!I140</f>
        <v>200</v>
      </c>
      <c r="F406" s="196">
        <f>Inputs!J140</f>
        <v>200</v>
      </c>
      <c r="G406" s="196">
        <f>Inputs!K140</f>
        <v>200</v>
      </c>
      <c r="H406" s="196">
        <f>Inputs!L140</f>
        <v>200</v>
      </c>
      <c r="I406" s="196">
        <f>Inputs!M140</f>
        <v>200</v>
      </c>
      <c r="J406" s="196">
        <f>Inputs!N140</f>
        <v>200</v>
      </c>
      <c r="K406" s="196">
        <f>Inputs!O140</f>
        <v>200</v>
      </c>
      <c r="L406" s="196">
        <f>Inputs!P140</f>
        <v>200</v>
      </c>
      <c r="M406" s="196">
        <f>Inputs!Q140</f>
        <v>200</v>
      </c>
      <c r="N406" s="196">
        <f>Inputs!R140</f>
        <v>200</v>
      </c>
      <c r="O406" s="196">
        <f>Inputs!S140</f>
        <v>200</v>
      </c>
      <c r="P406" s="196">
        <f>Inputs!T140</f>
        <v>200</v>
      </c>
      <c r="Q406" s="196">
        <f>Inputs!U140</f>
        <v>200</v>
      </c>
      <c r="R406" s="196">
        <f>Inputs!V140</f>
        <v>200</v>
      </c>
      <c r="S406" s="267">
        <f>Inputs!W140</f>
        <v>200</v>
      </c>
    </row>
    <row r="407" spans="1:19" ht="12.75" customHeight="1" x14ac:dyDescent="0.2">
      <c r="A407" s="220" t="str">
        <f>"   "&amp;Labels!B386</f>
        <v xml:space="preserve">   Prof Level 2</v>
      </c>
      <c r="B407" s="228">
        <f>Inputs!F141</f>
        <v>200</v>
      </c>
      <c r="C407" s="228">
        <f>Inputs!G141</f>
        <v>200</v>
      </c>
      <c r="D407" s="228">
        <f>Inputs!H141</f>
        <v>200</v>
      </c>
      <c r="E407" s="228">
        <f>Inputs!I141</f>
        <v>200</v>
      </c>
      <c r="F407" s="228">
        <f>Inputs!J141</f>
        <v>200</v>
      </c>
      <c r="G407" s="228">
        <f>Inputs!K141</f>
        <v>200</v>
      </c>
      <c r="H407" s="228">
        <f>Inputs!L141</f>
        <v>200</v>
      </c>
      <c r="I407" s="228">
        <f>Inputs!M141</f>
        <v>200</v>
      </c>
      <c r="J407" s="228">
        <f>Inputs!N141</f>
        <v>200</v>
      </c>
      <c r="K407" s="228">
        <f>Inputs!O141</f>
        <v>200</v>
      </c>
      <c r="L407" s="228">
        <f>Inputs!P141</f>
        <v>200</v>
      </c>
      <c r="M407" s="228">
        <f>Inputs!Q141</f>
        <v>200</v>
      </c>
      <c r="N407" s="228">
        <f>Inputs!R141</f>
        <v>200</v>
      </c>
      <c r="O407" s="228">
        <f>Inputs!S141</f>
        <v>200</v>
      </c>
      <c r="P407" s="228">
        <f>Inputs!T141</f>
        <v>200</v>
      </c>
      <c r="Q407" s="228">
        <f>Inputs!U141</f>
        <v>200</v>
      </c>
      <c r="R407" s="228">
        <f>Inputs!V141</f>
        <v>200</v>
      </c>
      <c r="S407" s="281">
        <f>Inputs!W141</f>
        <v>200</v>
      </c>
    </row>
    <row r="408" spans="1:19" ht="12.75" customHeight="1" x14ac:dyDescent="0.2">
      <c r="A408" s="1" t="str">
        <f>Labels!B103</f>
        <v>Ident Engage Practice Area</v>
      </c>
    </row>
    <row r="409" spans="1:19" ht="12.75" customHeight="1" x14ac:dyDescent="0.2">
      <c r="B409" s="9" t="str">
        <f>Labels!B381</f>
        <v>Practice 1</v>
      </c>
      <c r="C409" s="11" t="str">
        <f>Labels!B382</f>
        <v>Practice 2</v>
      </c>
    </row>
    <row r="410" spans="1:19" ht="12.75" customHeight="1" x14ac:dyDescent="0.2">
      <c r="A410" s="182" t="str">
        <f>Labels!B345</f>
        <v>Engage 1</v>
      </c>
      <c r="B410" s="333">
        <f>IF(Labels!B381=INDEX(Inputs!F13:F14,1),1,0)</f>
        <v>1</v>
      </c>
      <c r="C410" s="366">
        <f>IF(Labels!B382=INDEX(Inputs!F13:F14,1),1,0)</f>
        <v>0</v>
      </c>
    </row>
    <row r="411" spans="1:19" ht="12.75" customHeight="1" x14ac:dyDescent="0.2">
      <c r="A411" s="185" t="str">
        <f>Labels!B346</f>
        <v>Engage 2</v>
      </c>
      <c r="B411" s="336">
        <f>IF(Labels!B381=INDEX(Inputs!F13:F14,2),1,0)</f>
        <v>1</v>
      </c>
      <c r="C411" s="367">
        <f>IF(Labels!B382=INDEX(Inputs!F13:F14,2),1,0)</f>
        <v>0</v>
      </c>
    </row>
    <row r="412" spans="1:19" ht="12.75" customHeight="1" x14ac:dyDescent="0.2">
      <c r="A412" s="1" t="str">
        <f>Labels!B80</f>
        <v>Staff Hrs Billed</v>
      </c>
    </row>
    <row r="413" spans="1:19" ht="12.75" customHeight="1" x14ac:dyDescent="0.2">
      <c r="B413" s="9" t="str">
        <f>Labels!B335</f>
        <v>Period 1</v>
      </c>
      <c r="C413" s="10" t="str">
        <f>Labels!B336</f>
        <v>Period 2</v>
      </c>
      <c r="D413" s="10" t="str">
        <f>Labels!B337</f>
        <v>Period 3</v>
      </c>
      <c r="E413" s="10" t="str">
        <f>Labels!B338</f>
        <v>Period 4</v>
      </c>
      <c r="F413" s="181" t="str">
        <f>Labels!C334</f>
        <v>Total</v>
      </c>
    </row>
    <row r="414" spans="1:19" ht="12.75" customHeight="1" x14ac:dyDescent="0.2">
      <c r="A414" s="182" t="str">
        <f>Labels!B345</f>
        <v>Engage 1</v>
      </c>
      <c r="B414" s="223"/>
      <c r="C414" s="223"/>
      <c r="D414" s="223"/>
      <c r="E414" s="223"/>
      <c r="F414" s="224"/>
    </row>
    <row r="415" spans="1:19" ht="12.75" customHeight="1" x14ac:dyDescent="0.2">
      <c r="A415" s="188" t="str">
        <f>"   "&amp;Labels!B385</f>
        <v xml:space="preserve">   Prof Level 1</v>
      </c>
      <c r="B415" s="166">
        <f>IF(Inputs!F46,ROUND(B429,0),B429)</f>
        <v>275</v>
      </c>
      <c r="C415" s="166">
        <f>IF(Inputs!F46,ROUND(C429,0),C429)</f>
        <v>275</v>
      </c>
      <c r="D415" s="166">
        <f>IF(Inputs!F46,ROUND(D429,0),D429)</f>
        <v>0</v>
      </c>
      <c r="E415" s="166">
        <f>IF(Inputs!F46,ROUND(E429,0),E429)</f>
        <v>0</v>
      </c>
      <c r="F415" s="225">
        <f>SUM(B415:E415)</f>
        <v>550</v>
      </c>
    </row>
    <row r="416" spans="1:19" ht="12.75" customHeight="1" x14ac:dyDescent="0.2">
      <c r="A416" s="188" t="str">
        <f>"   "&amp;Labels!B386</f>
        <v xml:space="preserve">   Prof Level 2</v>
      </c>
      <c r="B416" s="166">
        <f>IF(Inputs!F46,ROUND(B430,0),B430)</f>
        <v>275</v>
      </c>
      <c r="C416" s="166">
        <f>IF(Inputs!F46,ROUND(C430,0),C430)</f>
        <v>275</v>
      </c>
      <c r="D416" s="166">
        <f>IF(Inputs!F46,ROUND(D430,0),D430)</f>
        <v>0</v>
      </c>
      <c r="E416" s="166">
        <f>IF(Inputs!F46,ROUND(E430,0),E430)</f>
        <v>0</v>
      </c>
      <c r="F416" s="225">
        <f>SUM(B416:E416)</f>
        <v>550</v>
      </c>
    </row>
    <row r="417" spans="1:6" ht="12.75" customHeight="1" x14ac:dyDescent="0.2">
      <c r="A417" s="191" t="str">
        <f>"   "&amp;Labels!C384</f>
        <v xml:space="preserve">   Total</v>
      </c>
      <c r="B417" s="216">
        <f>SUM(B415:B416)</f>
        <v>550</v>
      </c>
      <c r="C417" s="216">
        <f>SUM(C415:C416)</f>
        <v>550</v>
      </c>
      <c r="D417" s="216">
        <f>SUM(D415:D416)</f>
        <v>0</v>
      </c>
      <c r="E417" s="216">
        <f>SUM(E415:E416)</f>
        <v>0</v>
      </c>
      <c r="F417" s="217">
        <f>SUM(F415:F416)</f>
        <v>1100</v>
      </c>
    </row>
    <row r="418" spans="1:6" ht="12.75" customHeight="1" x14ac:dyDescent="0.2">
      <c r="A418" s="191" t="str">
        <f>Labels!B346</f>
        <v>Engage 2</v>
      </c>
      <c r="B418" s="216"/>
      <c r="C418" s="216"/>
      <c r="D418" s="216"/>
      <c r="E418" s="216"/>
      <c r="F418" s="217"/>
    </row>
    <row r="419" spans="1:6" ht="12.75" customHeight="1" x14ac:dyDescent="0.2">
      <c r="A419" s="188" t="str">
        <f>"   "&amp;Labels!B385</f>
        <v xml:space="preserve">   Prof Level 1</v>
      </c>
      <c r="B419" s="166">
        <f>IF(Inputs!F46,ROUND(B433,0),B433)</f>
        <v>200</v>
      </c>
      <c r="C419" s="166">
        <f>IF(Inputs!F46,ROUND(C433,0),C433)</f>
        <v>200</v>
      </c>
      <c r="D419" s="166">
        <f>IF(Inputs!F46,ROUND(D433,0),D433)</f>
        <v>200</v>
      </c>
      <c r="E419" s="166">
        <f>IF(Inputs!F46,ROUND(E433,0),E433)</f>
        <v>0</v>
      </c>
      <c r="F419" s="225">
        <f>SUM(B419:E419)</f>
        <v>600</v>
      </c>
    </row>
    <row r="420" spans="1:6" ht="12.75" customHeight="1" x14ac:dyDescent="0.2">
      <c r="A420" s="188" t="str">
        <f>"   "&amp;Labels!B386</f>
        <v xml:space="preserve">   Prof Level 2</v>
      </c>
      <c r="B420" s="166">
        <f>IF(Inputs!F46,ROUND(B434,0),B434)</f>
        <v>200</v>
      </c>
      <c r="C420" s="166">
        <f>IF(Inputs!F46,ROUND(C434,0),C434)</f>
        <v>200</v>
      </c>
      <c r="D420" s="166">
        <f>IF(Inputs!F46,ROUND(D434,0),D434)</f>
        <v>200</v>
      </c>
      <c r="E420" s="166">
        <f>IF(Inputs!F46,ROUND(E434,0),E434)</f>
        <v>0</v>
      </c>
      <c r="F420" s="225">
        <f>SUM(B420:E420)</f>
        <v>600</v>
      </c>
    </row>
    <row r="421" spans="1:6" ht="12.75" customHeight="1" x14ac:dyDescent="0.2">
      <c r="A421" s="191" t="str">
        <f>"   "&amp;Labels!C384</f>
        <v xml:space="preserve">   Total</v>
      </c>
      <c r="B421" s="216">
        <f>SUM(B419:B420)</f>
        <v>400</v>
      </c>
      <c r="C421" s="216">
        <f>SUM(C419:C420)</f>
        <v>400</v>
      </c>
      <c r="D421" s="216">
        <f>SUM(D419:D420)</f>
        <v>400</v>
      </c>
      <c r="E421" s="216">
        <f>SUM(E419:E420)</f>
        <v>0</v>
      </c>
      <c r="F421" s="217">
        <f>SUM(F419:F420)</f>
        <v>1200</v>
      </c>
    </row>
    <row r="422" spans="1:6" ht="12.75" customHeight="1" x14ac:dyDescent="0.2">
      <c r="A422" s="97" t="str">
        <f>Labels!C344</f>
        <v>Total</v>
      </c>
      <c r="B422" s="374">
        <f>SUM(B417,B421)</f>
        <v>950</v>
      </c>
      <c r="C422" s="374">
        <f>SUM(C417,C421)</f>
        <v>950</v>
      </c>
      <c r="D422" s="374">
        <f>SUM(D417,D421)</f>
        <v>400</v>
      </c>
      <c r="E422" s="374">
        <f>SUM(E417,E421)</f>
        <v>0</v>
      </c>
      <c r="F422" s="375">
        <f>SUM(B422:E422)</f>
        <v>2300</v>
      </c>
    </row>
    <row r="423" spans="1:6" ht="12.75" customHeight="1" x14ac:dyDescent="0.2">
      <c r="A423" s="188" t="str">
        <f>"   "&amp;Labels!B385</f>
        <v xml:space="preserve">   Prof Level 1</v>
      </c>
      <c r="B423" s="166">
        <f t="shared" ref="B423:E425" si="188">SUM(B415,B419)</f>
        <v>475</v>
      </c>
      <c r="C423" s="166">
        <f t="shared" si="188"/>
        <v>475</v>
      </c>
      <c r="D423" s="166">
        <f t="shared" si="188"/>
        <v>200</v>
      </c>
      <c r="E423" s="166">
        <f t="shared" si="188"/>
        <v>0</v>
      </c>
      <c r="F423" s="225">
        <f>SUM(B423:E423)</f>
        <v>1150</v>
      </c>
    </row>
    <row r="424" spans="1:6" ht="12.75" customHeight="1" x14ac:dyDescent="0.2">
      <c r="A424" s="188" t="str">
        <f>"   "&amp;Labels!B386</f>
        <v xml:space="preserve">   Prof Level 2</v>
      </c>
      <c r="B424" s="166">
        <f t="shared" si="188"/>
        <v>475</v>
      </c>
      <c r="C424" s="166">
        <f t="shared" si="188"/>
        <v>475</v>
      </c>
      <c r="D424" s="166">
        <f t="shared" si="188"/>
        <v>200</v>
      </c>
      <c r="E424" s="166">
        <f t="shared" si="188"/>
        <v>0</v>
      </c>
      <c r="F424" s="225">
        <f>SUM(B424:E424)</f>
        <v>1150</v>
      </c>
    </row>
    <row r="425" spans="1:6" ht="12.75" customHeight="1" x14ac:dyDescent="0.2">
      <c r="A425" s="185" t="str">
        <f>"   "&amp;Labels!C384</f>
        <v xml:space="preserve">   Total</v>
      </c>
      <c r="B425" s="297">
        <f t="shared" si="188"/>
        <v>950</v>
      </c>
      <c r="C425" s="297">
        <f t="shared" si="188"/>
        <v>950</v>
      </c>
      <c r="D425" s="297">
        <f t="shared" si="188"/>
        <v>400</v>
      </c>
      <c r="E425" s="297">
        <f t="shared" si="188"/>
        <v>0</v>
      </c>
      <c r="F425" s="298">
        <f>SUM(F417,F421)</f>
        <v>2300</v>
      </c>
    </row>
    <row r="426" spans="1:6" ht="12.75" customHeight="1" x14ac:dyDescent="0.2">
      <c r="A426" s="1" t="str">
        <f>Labels!B81</f>
        <v>Staff Hrs Billed</v>
      </c>
    </row>
    <row r="427" spans="1:6" ht="12.75" customHeight="1" x14ac:dyDescent="0.2">
      <c r="B427" s="9" t="str">
        <f>Labels!B335</f>
        <v>Period 1</v>
      </c>
      <c r="C427" s="10" t="str">
        <f>Labels!B336</f>
        <v>Period 2</v>
      </c>
      <c r="D427" s="10" t="str">
        <f>Labels!B337</f>
        <v>Period 3</v>
      </c>
      <c r="E427" s="10" t="str">
        <f>Labels!B338</f>
        <v>Period 4</v>
      </c>
      <c r="F427" s="181" t="str">
        <f>Labels!C334</f>
        <v>Total</v>
      </c>
    </row>
    <row r="428" spans="1:6" ht="12.75" customHeight="1" x14ac:dyDescent="0.2">
      <c r="A428" s="182" t="str">
        <f>Labels!B345</f>
        <v>Engage 1</v>
      </c>
      <c r="B428" s="223"/>
      <c r="C428" s="223"/>
      <c r="D428" s="223"/>
      <c r="E428" s="223"/>
      <c r="F428" s="224"/>
    </row>
    <row r="429" spans="1:6" ht="12.75" customHeight="1" x14ac:dyDescent="0.2">
      <c r="A429" s="188" t="str">
        <f>"   "&amp;Labels!B385</f>
        <v xml:space="preserve">   Prof Level 1</v>
      </c>
      <c r="B429" s="166">
        <f t="shared" ref="B429:E430" si="189">B29*B49</f>
        <v>275</v>
      </c>
      <c r="C429" s="166">
        <f t="shared" si="189"/>
        <v>275</v>
      </c>
      <c r="D429" s="166">
        <f t="shared" si="189"/>
        <v>0</v>
      </c>
      <c r="E429" s="166">
        <f t="shared" si="189"/>
        <v>0</v>
      </c>
      <c r="F429" s="225">
        <f>SUM(B429:E429)</f>
        <v>550</v>
      </c>
    </row>
    <row r="430" spans="1:6" ht="12.75" customHeight="1" x14ac:dyDescent="0.2">
      <c r="A430" s="188" t="str">
        <f>"   "&amp;Labels!B386</f>
        <v xml:space="preserve">   Prof Level 2</v>
      </c>
      <c r="B430" s="166">
        <f t="shared" si="189"/>
        <v>275</v>
      </c>
      <c r="C430" s="166">
        <f t="shared" si="189"/>
        <v>275</v>
      </c>
      <c r="D430" s="166">
        <f t="shared" si="189"/>
        <v>0</v>
      </c>
      <c r="E430" s="166">
        <f t="shared" si="189"/>
        <v>0</v>
      </c>
      <c r="F430" s="225">
        <f>SUM(B430:E430)</f>
        <v>550</v>
      </c>
    </row>
    <row r="431" spans="1:6" ht="12.75" customHeight="1" x14ac:dyDescent="0.2">
      <c r="A431" s="191" t="str">
        <f>"   "&amp;Labels!C384</f>
        <v xml:space="preserve">   Total</v>
      </c>
      <c r="B431" s="216">
        <f>SUM(B429:B430)</f>
        <v>550</v>
      </c>
      <c r="C431" s="216">
        <f>SUM(C429:C430)</f>
        <v>550</v>
      </c>
      <c r="D431" s="216">
        <f>SUM(D429:D430)</f>
        <v>0</v>
      </c>
      <c r="E431" s="216">
        <f>SUM(E429:E430)</f>
        <v>0</v>
      </c>
      <c r="F431" s="217">
        <f>SUM(F429:F430)</f>
        <v>1100</v>
      </c>
    </row>
    <row r="432" spans="1:6" ht="12.75" customHeight="1" x14ac:dyDescent="0.2">
      <c r="A432" s="191" t="str">
        <f>Labels!B346</f>
        <v>Engage 2</v>
      </c>
      <c r="B432" s="216"/>
      <c r="C432" s="216"/>
      <c r="D432" s="216"/>
      <c r="E432" s="216"/>
      <c r="F432" s="217"/>
    </row>
    <row r="433" spans="1:19" ht="12.75" customHeight="1" x14ac:dyDescent="0.2">
      <c r="A433" s="188" t="str">
        <f>"   "&amp;Labels!B385</f>
        <v xml:space="preserve">   Prof Level 1</v>
      </c>
      <c r="B433" s="166">
        <f t="shared" ref="B433:E434" si="190">B33*B53</f>
        <v>200</v>
      </c>
      <c r="C433" s="166">
        <f t="shared" si="190"/>
        <v>200</v>
      </c>
      <c r="D433" s="166">
        <f t="shared" si="190"/>
        <v>200</v>
      </c>
      <c r="E433" s="166">
        <f t="shared" si="190"/>
        <v>0</v>
      </c>
      <c r="F433" s="225">
        <f>SUM(B433:E433)</f>
        <v>600</v>
      </c>
    </row>
    <row r="434" spans="1:19" ht="12.75" customHeight="1" x14ac:dyDescent="0.2">
      <c r="A434" s="188" t="str">
        <f>"   "&amp;Labels!B386</f>
        <v xml:space="preserve">   Prof Level 2</v>
      </c>
      <c r="B434" s="166">
        <f t="shared" si="190"/>
        <v>200</v>
      </c>
      <c r="C434" s="166">
        <f t="shared" si="190"/>
        <v>200</v>
      </c>
      <c r="D434" s="166">
        <f t="shared" si="190"/>
        <v>200</v>
      </c>
      <c r="E434" s="166">
        <f t="shared" si="190"/>
        <v>0</v>
      </c>
      <c r="F434" s="225">
        <f>SUM(B434:E434)</f>
        <v>600</v>
      </c>
    </row>
    <row r="435" spans="1:19" ht="12.75" customHeight="1" x14ac:dyDescent="0.2">
      <c r="A435" s="191" t="str">
        <f>"   "&amp;Labels!C384</f>
        <v xml:space="preserve">   Total</v>
      </c>
      <c r="B435" s="216">
        <f>SUM(B433:B434)</f>
        <v>400</v>
      </c>
      <c r="C435" s="216">
        <f>SUM(C433:C434)</f>
        <v>400</v>
      </c>
      <c r="D435" s="216">
        <f>SUM(D433:D434)</f>
        <v>400</v>
      </c>
      <c r="E435" s="216">
        <f>SUM(E433:E434)</f>
        <v>0</v>
      </c>
      <c r="F435" s="217">
        <f>SUM(F433:F434)</f>
        <v>1200</v>
      </c>
    </row>
    <row r="436" spans="1:19" ht="12.75" customHeight="1" x14ac:dyDescent="0.2">
      <c r="A436" s="97" t="str">
        <f>Labels!C344</f>
        <v>Total</v>
      </c>
      <c r="B436" s="374">
        <f>SUM(B431,B435)</f>
        <v>950</v>
      </c>
      <c r="C436" s="374">
        <f>SUM(C431,C435)</f>
        <v>950</v>
      </c>
      <c r="D436" s="374">
        <f>SUM(D431,D435)</f>
        <v>400</v>
      </c>
      <c r="E436" s="374">
        <f>SUM(E431,E435)</f>
        <v>0</v>
      </c>
      <c r="F436" s="375">
        <f>SUM(B436:E436)</f>
        <v>2300</v>
      </c>
    </row>
    <row r="437" spans="1:19" ht="12.75" customHeight="1" x14ac:dyDescent="0.2">
      <c r="A437" s="188" t="str">
        <f>"   "&amp;Labels!B385</f>
        <v xml:space="preserve">   Prof Level 1</v>
      </c>
      <c r="B437" s="166">
        <f t="shared" ref="B437:E439" si="191">SUM(B429,B433)</f>
        <v>475</v>
      </c>
      <c r="C437" s="166">
        <f t="shared" si="191"/>
        <v>475</v>
      </c>
      <c r="D437" s="166">
        <f t="shared" si="191"/>
        <v>200</v>
      </c>
      <c r="E437" s="166">
        <f t="shared" si="191"/>
        <v>0</v>
      </c>
      <c r="F437" s="225">
        <f>SUM(B437:E437)</f>
        <v>1150</v>
      </c>
    </row>
    <row r="438" spans="1:19" ht="12.75" customHeight="1" x14ac:dyDescent="0.2">
      <c r="A438" s="188" t="str">
        <f>"   "&amp;Labels!B386</f>
        <v xml:space="preserve">   Prof Level 2</v>
      </c>
      <c r="B438" s="166">
        <f t="shared" si="191"/>
        <v>475</v>
      </c>
      <c r="C438" s="166">
        <f t="shared" si="191"/>
        <v>475</v>
      </c>
      <c r="D438" s="166">
        <f t="shared" si="191"/>
        <v>200</v>
      </c>
      <c r="E438" s="166">
        <f t="shared" si="191"/>
        <v>0</v>
      </c>
      <c r="F438" s="225">
        <f>SUM(B438:E438)</f>
        <v>1150</v>
      </c>
    </row>
    <row r="439" spans="1:19" ht="12.75" customHeight="1" x14ac:dyDescent="0.2">
      <c r="A439" s="185" t="str">
        <f>"   "&amp;Labels!C384</f>
        <v xml:space="preserve">   Total</v>
      </c>
      <c r="B439" s="297">
        <f t="shared" si="191"/>
        <v>950</v>
      </c>
      <c r="C439" s="297">
        <f t="shared" si="191"/>
        <v>950</v>
      </c>
      <c r="D439" s="297">
        <f t="shared" si="191"/>
        <v>400</v>
      </c>
      <c r="E439" s="297">
        <f t="shared" si="191"/>
        <v>0</v>
      </c>
      <c r="F439" s="298">
        <f>SUM(F431,F435)</f>
        <v>2300</v>
      </c>
    </row>
    <row r="440" spans="1:19" ht="12.75" customHeight="1" x14ac:dyDescent="0.2">
      <c r="A440" s="1" t="str">
        <f>Labels!B145</f>
        <v>Orders Filled (Hrs)</v>
      </c>
    </row>
    <row r="441" spans="1:19" ht="12.75" customHeight="1" x14ac:dyDescent="0.2">
      <c r="B441" s="9" t="str">
        <f>'(FnCalls 1)'!F41</f>
        <v>MMM 2010</v>
      </c>
      <c r="C441" s="10" t="str">
        <f>'(FnCalls 1)'!F42</f>
        <v>MMM 2010</v>
      </c>
      <c r="D441" s="10" t="str">
        <f>'(FnCalls 1)'!F43</f>
        <v>MMM 2010</v>
      </c>
      <c r="E441" s="10" t="str">
        <f>'(FnCalls 1)'!F44</f>
        <v>MMM 2010</v>
      </c>
      <c r="F441" s="10" t="str">
        <f>'(FnCalls 1)'!F45</f>
        <v>MMM 2010</v>
      </c>
      <c r="G441" s="10" t="str">
        <f>'(FnCalls 1)'!F46</f>
        <v>MMM 2010</v>
      </c>
      <c r="H441" s="10" t="str">
        <f>'(FnCalls 1)'!F47</f>
        <v>MMM 2010</v>
      </c>
      <c r="I441" s="10" t="str">
        <f>'(FnCalls 1)'!F48</f>
        <v>MMM 2010</v>
      </c>
      <c r="J441" s="10" t="str">
        <f>'(FnCalls 1)'!F49</f>
        <v>MMM 2010</v>
      </c>
      <c r="K441" s="10" t="str">
        <f>'(FnCalls 1)'!F50</f>
        <v>MMM 2010</v>
      </c>
      <c r="L441" s="10" t="str">
        <f>'(FnCalls 1)'!F51</f>
        <v>MMM 2010</v>
      </c>
      <c r="M441" s="10" t="str">
        <f>'(FnCalls 1)'!F52</f>
        <v>MMM 2010</v>
      </c>
      <c r="N441" s="10" t="str">
        <f>'(FnCalls 1)'!F53</f>
        <v>MMM 2011</v>
      </c>
      <c r="O441" s="10" t="str">
        <f>'(FnCalls 1)'!F54</f>
        <v>MMM 2011</v>
      </c>
      <c r="P441" s="10" t="str">
        <f>'(FnCalls 1)'!F55</f>
        <v>MMM 2011</v>
      </c>
      <c r="Q441" s="10" t="str">
        <f>'(FnCalls 1)'!F56</f>
        <v>MMM 2011</v>
      </c>
      <c r="R441" s="10" t="str">
        <f>'(FnCalls 1)'!F57</f>
        <v>MMM 2011</v>
      </c>
      <c r="S441" s="11" t="str">
        <f>'(FnCalls 1)'!F58</f>
        <v>MMM 2011</v>
      </c>
    </row>
    <row r="442" spans="1:19" ht="12.75" customHeight="1" x14ac:dyDescent="0.2">
      <c r="A442" s="182" t="str">
        <f>Labels!B381</f>
        <v>Practice 1</v>
      </c>
      <c r="B442" s="254"/>
      <c r="C442" s="254"/>
      <c r="D442" s="254"/>
      <c r="E442" s="254"/>
      <c r="F442" s="254"/>
      <c r="G442" s="254"/>
      <c r="H442" s="254"/>
      <c r="I442" s="254"/>
      <c r="J442" s="254"/>
      <c r="K442" s="254"/>
      <c r="L442" s="254"/>
      <c r="M442" s="254"/>
      <c r="N442" s="254"/>
      <c r="O442" s="254"/>
      <c r="P442" s="254"/>
      <c r="Q442" s="254"/>
      <c r="R442" s="254"/>
      <c r="S442" s="150"/>
    </row>
    <row r="443" spans="1:19" ht="12.75" customHeight="1" x14ac:dyDescent="0.2">
      <c r="A443" s="188" t="str">
        <f>"   "&amp;Labels!B385</f>
        <v xml:space="preserve">   Prof Level 1</v>
      </c>
      <c r="B443" s="256"/>
      <c r="C443" s="256"/>
      <c r="D443" s="256"/>
      <c r="E443" s="256"/>
      <c r="F443" s="256"/>
      <c r="G443" s="256"/>
      <c r="H443" s="256"/>
      <c r="I443" s="256"/>
      <c r="J443" s="256"/>
      <c r="K443" s="256"/>
      <c r="L443" s="256"/>
      <c r="M443" s="256"/>
      <c r="N443" s="256"/>
      <c r="O443" s="256"/>
      <c r="P443" s="256"/>
      <c r="Q443" s="256"/>
      <c r="R443" s="256"/>
      <c r="S443" s="290"/>
    </row>
    <row r="444" spans="1:19" ht="12.75" customHeight="1" x14ac:dyDescent="0.2">
      <c r="A444" s="198" t="str">
        <f>"      "&amp;Labels!B317</f>
        <v xml:space="preserve">      Channels 1</v>
      </c>
      <c r="B444" s="258">
        <f>(Engage!B339+(Engage!B546+Inputs!F76)*B526)*B363</f>
        <v>0</v>
      </c>
      <c r="C444" s="258">
        <f>(Engage!C339+(Engage!C546+Inputs!G76)*C526)*C363</f>
        <v>0</v>
      </c>
      <c r="D444" s="258">
        <f>(Engage!D339+(Engage!D546+Inputs!H76)*D526)*D363</f>
        <v>0</v>
      </c>
      <c r="E444" s="258">
        <f>(Engage!E339+(Engage!E546+Inputs!I76)*E526)*E363</f>
        <v>0</v>
      </c>
      <c r="F444" s="258">
        <f>(Engage!F339+(Engage!F546+Inputs!J76)*F526)*F363</f>
        <v>0</v>
      </c>
      <c r="G444" s="258">
        <f>(Engage!G339+(Engage!G546+Inputs!K76)*G526)*G363</f>
        <v>0</v>
      </c>
      <c r="H444" s="258">
        <f>(Engage!H339+(Engage!H546+Inputs!L76)*H526)*H363</f>
        <v>0</v>
      </c>
      <c r="I444" s="258">
        <f>(Engage!I339+(Engage!I546+Inputs!M76)*I526)*I363</f>
        <v>0</v>
      </c>
      <c r="J444" s="258">
        <f>(Engage!J339+(Engage!J546+Inputs!N76)*J526)*J363</f>
        <v>0</v>
      </c>
      <c r="K444" s="258">
        <f>(Engage!K339+(Engage!K546+Inputs!O76)*K526)*K363</f>
        <v>0</v>
      </c>
      <c r="L444" s="258">
        <f>(Engage!L339+(Engage!L546+Inputs!P76)*L526)*L363</f>
        <v>0</v>
      </c>
      <c r="M444" s="258">
        <f>(Engage!M339+(Engage!M546+Inputs!Q76)*M526)*M363</f>
        <v>0</v>
      </c>
      <c r="N444" s="258">
        <f>(Engage!N339+(Engage!N546+Inputs!R76)*N526)*N363</f>
        <v>0</v>
      </c>
      <c r="O444" s="258">
        <f>(Engage!O339+(Engage!O546+Inputs!S76)*O526)*O363</f>
        <v>0</v>
      </c>
      <c r="P444" s="258">
        <f>(Engage!P339+(Engage!P546+Inputs!T76)*P526)*P363</f>
        <v>0</v>
      </c>
      <c r="Q444" s="258">
        <f>(Engage!Q339+(Engage!Q546+Inputs!U76)*Q526)*Q363</f>
        <v>0</v>
      </c>
      <c r="R444" s="258">
        <f>(Engage!R339+(Engage!R546+Inputs!V76)*R526)*R363</f>
        <v>0</v>
      </c>
      <c r="S444" s="291">
        <f>(Engage!S339+(Engage!S546+Inputs!W76)*S526)*S363</f>
        <v>0</v>
      </c>
    </row>
    <row r="445" spans="1:19" ht="12.75" customHeight="1" x14ac:dyDescent="0.2">
      <c r="A445" s="198" t="str">
        <f>"      "&amp;Labels!B318</f>
        <v xml:space="preserve">      Channels 2</v>
      </c>
      <c r="B445" s="258">
        <f>(Engage!B340+(Engage!B547+Inputs!F77)*B527)*B364</f>
        <v>0</v>
      </c>
      <c r="C445" s="258">
        <f>(Engage!C340+(Engage!C547+Inputs!G77)*C527)*C364</f>
        <v>0</v>
      </c>
      <c r="D445" s="258">
        <f>(Engage!D340+(Engage!D547+Inputs!H77)*D527)*D364</f>
        <v>0</v>
      </c>
      <c r="E445" s="258">
        <f>(Engage!E340+(Engage!E547+Inputs!I77)*E527)*E364</f>
        <v>0</v>
      </c>
      <c r="F445" s="258">
        <f>(Engage!F340+(Engage!F547+Inputs!J77)*F527)*F364</f>
        <v>0</v>
      </c>
      <c r="G445" s="258">
        <f>(Engage!G340+(Engage!G547+Inputs!K77)*G527)*G364</f>
        <v>0</v>
      </c>
      <c r="H445" s="258">
        <f>(Engage!H340+(Engage!H547+Inputs!L77)*H527)*H364</f>
        <v>0</v>
      </c>
      <c r="I445" s="258">
        <f>(Engage!I340+(Engage!I547+Inputs!M77)*I527)*I364</f>
        <v>0</v>
      </c>
      <c r="J445" s="258">
        <f>(Engage!J340+(Engage!J547+Inputs!N77)*J527)*J364</f>
        <v>0</v>
      </c>
      <c r="K445" s="258">
        <f>(Engage!K340+(Engage!K547+Inputs!O77)*K527)*K364</f>
        <v>0</v>
      </c>
      <c r="L445" s="258">
        <f>(Engage!L340+(Engage!L547+Inputs!P77)*L527)*L364</f>
        <v>0</v>
      </c>
      <c r="M445" s="258">
        <f>(Engage!M340+(Engage!M547+Inputs!Q77)*M527)*M364</f>
        <v>0</v>
      </c>
      <c r="N445" s="258">
        <f>(Engage!N340+(Engage!N547+Inputs!R77)*N527)*N364</f>
        <v>0</v>
      </c>
      <c r="O445" s="258">
        <f>(Engage!O340+(Engage!O547+Inputs!S77)*O527)*O364</f>
        <v>0</v>
      </c>
      <c r="P445" s="258">
        <f>(Engage!P340+(Engage!P547+Inputs!T77)*P527)*P364</f>
        <v>0</v>
      </c>
      <c r="Q445" s="258">
        <f>(Engage!Q340+(Engage!Q547+Inputs!U77)*Q527)*Q364</f>
        <v>0</v>
      </c>
      <c r="R445" s="258">
        <f>(Engage!R340+(Engage!R547+Inputs!V77)*R527)*R364</f>
        <v>0</v>
      </c>
      <c r="S445" s="291">
        <f>(Engage!S340+(Engage!S547+Inputs!W77)*S527)*S364</f>
        <v>0</v>
      </c>
    </row>
    <row r="446" spans="1:19" ht="12.75" customHeight="1" x14ac:dyDescent="0.2">
      <c r="A446" s="188" t="str">
        <f>"      "&amp;Labels!C316</f>
        <v xml:space="preserve">      Total</v>
      </c>
      <c r="B446" s="256">
        <f t="shared" ref="B446:S446" si="192">SUM(B444:B445)</f>
        <v>0</v>
      </c>
      <c r="C446" s="256">
        <f t="shared" si="192"/>
        <v>0</v>
      </c>
      <c r="D446" s="256">
        <f t="shared" si="192"/>
        <v>0</v>
      </c>
      <c r="E446" s="256">
        <f t="shared" si="192"/>
        <v>0</v>
      </c>
      <c r="F446" s="256">
        <f t="shared" si="192"/>
        <v>0</v>
      </c>
      <c r="G446" s="256">
        <f t="shared" si="192"/>
        <v>0</v>
      </c>
      <c r="H446" s="256">
        <f t="shared" si="192"/>
        <v>0</v>
      </c>
      <c r="I446" s="256">
        <f t="shared" si="192"/>
        <v>0</v>
      </c>
      <c r="J446" s="256">
        <f t="shared" si="192"/>
        <v>0</v>
      </c>
      <c r="K446" s="256">
        <f t="shared" si="192"/>
        <v>0</v>
      </c>
      <c r="L446" s="256">
        <f t="shared" si="192"/>
        <v>0</v>
      </c>
      <c r="M446" s="256">
        <f t="shared" si="192"/>
        <v>0</v>
      </c>
      <c r="N446" s="256">
        <f t="shared" si="192"/>
        <v>0</v>
      </c>
      <c r="O446" s="256">
        <f t="shared" si="192"/>
        <v>0</v>
      </c>
      <c r="P446" s="256">
        <f t="shared" si="192"/>
        <v>0</v>
      </c>
      <c r="Q446" s="256">
        <f t="shared" si="192"/>
        <v>0</v>
      </c>
      <c r="R446" s="256">
        <f t="shared" si="192"/>
        <v>0</v>
      </c>
      <c r="S446" s="290">
        <f t="shared" si="192"/>
        <v>0</v>
      </c>
    </row>
    <row r="447" spans="1:19" ht="12.75" customHeight="1" x14ac:dyDescent="0.2">
      <c r="A447" s="188" t="str">
        <f>"   "&amp;Labels!B386</f>
        <v xml:space="preserve">   Prof Level 2</v>
      </c>
      <c r="B447" s="256"/>
      <c r="C447" s="256"/>
      <c r="D447" s="256"/>
      <c r="E447" s="256"/>
      <c r="F447" s="256"/>
      <c r="G447" s="256"/>
      <c r="H447" s="256"/>
      <c r="I447" s="256"/>
      <c r="J447" s="256"/>
      <c r="K447" s="256"/>
      <c r="L447" s="256"/>
      <c r="M447" s="256"/>
      <c r="N447" s="256"/>
      <c r="O447" s="256"/>
      <c r="P447" s="256"/>
      <c r="Q447" s="256"/>
      <c r="R447" s="256"/>
      <c r="S447" s="290"/>
    </row>
    <row r="448" spans="1:19" ht="12.75" customHeight="1" x14ac:dyDescent="0.2">
      <c r="A448" s="198" t="str">
        <f>"      "&amp;Labels!B317</f>
        <v xml:space="preserve">      Channels 1</v>
      </c>
      <c r="B448" s="258">
        <f>(Engage!B343+(Engage!B550+Inputs!F78)*B530)*B367</f>
        <v>0</v>
      </c>
      <c r="C448" s="258">
        <f>(Engage!C343+(Engage!C550+Inputs!G78)*C530)*C367</f>
        <v>0</v>
      </c>
      <c r="D448" s="258">
        <f>(Engage!D343+(Engage!D550+Inputs!H78)*D530)*D367</f>
        <v>0</v>
      </c>
      <c r="E448" s="258">
        <f>(Engage!E343+(Engage!E550+Inputs!I78)*E530)*E367</f>
        <v>0</v>
      </c>
      <c r="F448" s="258">
        <f>(Engage!F343+(Engage!F550+Inputs!J78)*F530)*F367</f>
        <v>0</v>
      </c>
      <c r="G448" s="258">
        <f>(Engage!G343+(Engage!G550+Inputs!K78)*G530)*G367</f>
        <v>0</v>
      </c>
      <c r="H448" s="258">
        <f>(Engage!H343+(Engage!H550+Inputs!L78)*H530)*H367</f>
        <v>0</v>
      </c>
      <c r="I448" s="258">
        <f>(Engage!I343+(Engage!I550+Inputs!M78)*I530)*I367</f>
        <v>0</v>
      </c>
      <c r="J448" s="258">
        <f>(Engage!J343+(Engage!J550+Inputs!N78)*J530)*J367</f>
        <v>0</v>
      </c>
      <c r="K448" s="258">
        <f>(Engage!K343+(Engage!K550+Inputs!O78)*K530)*K367</f>
        <v>0</v>
      </c>
      <c r="L448" s="258">
        <f>(Engage!L343+(Engage!L550+Inputs!P78)*L530)*L367</f>
        <v>0</v>
      </c>
      <c r="M448" s="258">
        <f>(Engage!M343+(Engage!M550+Inputs!Q78)*M530)*M367</f>
        <v>0</v>
      </c>
      <c r="N448" s="258">
        <f>(Engage!N343+(Engage!N550+Inputs!R78)*N530)*N367</f>
        <v>0</v>
      </c>
      <c r="O448" s="258">
        <f>(Engage!O343+(Engage!O550+Inputs!S78)*O530)*O367</f>
        <v>0</v>
      </c>
      <c r="P448" s="258">
        <f>(Engage!P343+(Engage!P550+Inputs!T78)*P530)*P367</f>
        <v>0</v>
      </c>
      <c r="Q448" s="258">
        <f>(Engage!Q343+(Engage!Q550+Inputs!U78)*Q530)*Q367</f>
        <v>0</v>
      </c>
      <c r="R448" s="258">
        <f>(Engage!R343+(Engage!R550+Inputs!V78)*R530)*R367</f>
        <v>0</v>
      </c>
      <c r="S448" s="291">
        <f>(Engage!S343+(Engage!S550+Inputs!W78)*S530)*S367</f>
        <v>0</v>
      </c>
    </row>
    <row r="449" spans="1:19" ht="12.75" customHeight="1" x14ac:dyDescent="0.2">
      <c r="A449" s="198" t="str">
        <f>"      "&amp;Labels!B318</f>
        <v xml:space="preserve">      Channels 2</v>
      </c>
      <c r="B449" s="258">
        <f>(Engage!B344+(Engage!B551+Inputs!F79)*B531)*B368</f>
        <v>0</v>
      </c>
      <c r="C449" s="258">
        <f>(Engage!C344+(Engage!C551+Inputs!G79)*C531)*C368</f>
        <v>0</v>
      </c>
      <c r="D449" s="258">
        <f>(Engage!D344+(Engage!D551+Inputs!H79)*D531)*D368</f>
        <v>0</v>
      </c>
      <c r="E449" s="258">
        <f>(Engage!E344+(Engage!E551+Inputs!I79)*E531)*E368</f>
        <v>0</v>
      </c>
      <c r="F449" s="258">
        <f>(Engage!F344+(Engage!F551+Inputs!J79)*F531)*F368</f>
        <v>0</v>
      </c>
      <c r="G449" s="258">
        <f>(Engage!G344+(Engage!G551+Inputs!K79)*G531)*G368</f>
        <v>0</v>
      </c>
      <c r="H449" s="258">
        <f>(Engage!H344+(Engage!H551+Inputs!L79)*H531)*H368</f>
        <v>0</v>
      </c>
      <c r="I449" s="258">
        <f>(Engage!I344+(Engage!I551+Inputs!M79)*I531)*I368</f>
        <v>0</v>
      </c>
      <c r="J449" s="258">
        <f>(Engage!J344+(Engage!J551+Inputs!N79)*J531)*J368</f>
        <v>0</v>
      </c>
      <c r="K449" s="258">
        <f>(Engage!K344+(Engage!K551+Inputs!O79)*K531)*K368</f>
        <v>0</v>
      </c>
      <c r="L449" s="258">
        <f>(Engage!L344+(Engage!L551+Inputs!P79)*L531)*L368</f>
        <v>0</v>
      </c>
      <c r="M449" s="258">
        <f>(Engage!M344+(Engage!M551+Inputs!Q79)*M531)*M368</f>
        <v>0</v>
      </c>
      <c r="N449" s="258">
        <f>(Engage!N344+(Engage!N551+Inputs!R79)*N531)*N368</f>
        <v>0</v>
      </c>
      <c r="O449" s="258">
        <f>(Engage!O344+(Engage!O551+Inputs!S79)*O531)*O368</f>
        <v>0</v>
      </c>
      <c r="P449" s="258">
        <f>(Engage!P344+(Engage!P551+Inputs!T79)*P531)*P368</f>
        <v>0</v>
      </c>
      <c r="Q449" s="258">
        <f>(Engage!Q344+(Engage!Q551+Inputs!U79)*Q531)*Q368</f>
        <v>0</v>
      </c>
      <c r="R449" s="258">
        <f>(Engage!R344+(Engage!R551+Inputs!V79)*R531)*R368</f>
        <v>0</v>
      </c>
      <c r="S449" s="291">
        <f>(Engage!S344+(Engage!S551+Inputs!W79)*S531)*S368</f>
        <v>0</v>
      </c>
    </row>
    <row r="450" spans="1:19" ht="12.75" customHeight="1" x14ac:dyDescent="0.2">
      <c r="A450" s="188" t="str">
        <f>"      "&amp;Labels!C316</f>
        <v xml:space="preserve">      Total</v>
      </c>
      <c r="B450" s="256">
        <f t="shared" ref="B450:S450" si="193">SUM(B448:B449)</f>
        <v>0</v>
      </c>
      <c r="C450" s="256">
        <f t="shared" si="193"/>
        <v>0</v>
      </c>
      <c r="D450" s="256">
        <f t="shared" si="193"/>
        <v>0</v>
      </c>
      <c r="E450" s="256">
        <f t="shared" si="193"/>
        <v>0</v>
      </c>
      <c r="F450" s="256">
        <f t="shared" si="193"/>
        <v>0</v>
      </c>
      <c r="G450" s="256">
        <f t="shared" si="193"/>
        <v>0</v>
      </c>
      <c r="H450" s="256">
        <f t="shared" si="193"/>
        <v>0</v>
      </c>
      <c r="I450" s="256">
        <f t="shared" si="193"/>
        <v>0</v>
      </c>
      <c r="J450" s="256">
        <f t="shared" si="193"/>
        <v>0</v>
      </c>
      <c r="K450" s="256">
        <f t="shared" si="193"/>
        <v>0</v>
      </c>
      <c r="L450" s="256">
        <f t="shared" si="193"/>
        <v>0</v>
      </c>
      <c r="M450" s="256">
        <f t="shared" si="193"/>
        <v>0</v>
      </c>
      <c r="N450" s="256">
        <f t="shared" si="193"/>
        <v>0</v>
      </c>
      <c r="O450" s="256">
        <f t="shared" si="193"/>
        <v>0</v>
      </c>
      <c r="P450" s="256">
        <f t="shared" si="193"/>
        <v>0</v>
      </c>
      <c r="Q450" s="256">
        <f t="shared" si="193"/>
        <v>0</v>
      </c>
      <c r="R450" s="256">
        <f t="shared" si="193"/>
        <v>0</v>
      </c>
      <c r="S450" s="290">
        <f t="shared" si="193"/>
        <v>0</v>
      </c>
    </row>
    <row r="451" spans="1:19" ht="12.75" customHeight="1" x14ac:dyDescent="0.2">
      <c r="A451" s="191" t="str">
        <f>"   "&amp;Labels!C384</f>
        <v xml:space="preserve">   Total</v>
      </c>
      <c r="B451" s="260">
        <f t="shared" ref="B451:S451" si="194">SUM(B446,B450)</f>
        <v>0</v>
      </c>
      <c r="C451" s="260">
        <f t="shared" si="194"/>
        <v>0</v>
      </c>
      <c r="D451" s="260">
        <f t="shared" si="194"/>
        <v>0</v>
      </c>
      <c r="E451" s="260">
        <f t="shared" si="194"/>
        <v>0</v>
      </c>
      <c r="F451" s="260">
        <f t="shared" si="194"/>
        <v>0</v>
      </c>
      <c r="G451" s="260">
        <f t="shared" si="194"/>
        <v>0</v>
      </c>
      <c r="H451" s="260">
        <f t="shared" si="194"/>
        <v>0</v>
      </c>
      <c r="I451" s="260">
        <f t="shared" si="194"/>
        <v>0</v>
      </c>
      <c r="J451" s="260">
        <f t="shared" si="194"/>
        <v>0</v>
      </c>
      <c r="K451" s="260">
        <f t="shared" si="194"/>
        <v>0</v>
      </c>
      <c r="L451" s="260">
        <f t="shared" si="194"/>
        <v>0</v>
      </c>
      <c r="M451" s="260">
        <f t="shared" si="194"/>
        <v>0</v>
      </c>
      <c r="N451" s="260">
        <f t="shared" si="194"/>
        <v>0</v>
      </c>
      <c r="O451" s="260">
        <f t="shared" si="194"/>
        <v>0</v>
      </c>
      <c r="P451" s="260">
        <f t="shared" si="194"/>
        <v>0</v>
      </c>
      <c r="Q451" s="260">
        <f t="shared" si="194"/>
        <v>0</v>
      </c>
      <c r="R451" s="260">
        <f t="shared" si="194"/>
        <v>0</v>
      </c>
      <c r="S451" s="289">
        <f t="shared" si="194"/>
        <v>0</v>
      </c>
    </row>
    <row r="452" spans="1:19" ht="12.75" customHeight="1" x14ac:dyDescent="0.2">
      <c r="A452" s="198" t="str">
        <f>"      "&amp;Labels!B317</f>
        <v xml:space="preserve">      Channels 1</v>
      </c>
      <c r="B452" s="258">
        <f t="shared" ref="B452:S452" si="195">SUM(B444,B448)</f>
        <v>0</v>
      </c>
      <c r="C452" s="258">
        <f t="shared" si="195"/>
        <v>0</v>
      </c>
      <c r="D452" s="258">
        <f t="shared" si="195"/>
        <v>0</v>
      </c>
      <c r="E452" s="258">
        <f t="shared" si="195"/>
        <v>0</v>
      </c>
      <c r="F452" s="258">
        <f t="shared" si="195"/>
        <v>0</v>
      </c>
      <c r="G452" s="258">
        <f t="shared" si="195"/>
        <v>0</v>
      </c>
      <c r="H452" s="258">
        <f t="shared" si="195"/>
        <v>0</v>
      </c>
      <c r="I452" s="258">
        <f t="shared" si="195"/>
        <v>0</v>
      </c>
      <c r="J452" s="258">
        <f t="shared" si="195"/>
        <v>0</v>
      </c>
      <c r="K452" s="258">
        <f t="shared" si="195"/>
        <v>0</v>
      </c>
      <c r="L452" s="258">
        <f t="shared" si="195"/>
        <v>0</v>
      </c>
      <c r="M452" s="258">
        <f t="shared" si="195"/>
        <v>0</v>
      </c>
      <c r="N452" s="258">
        <f t="shared" si="195"/>
        <v>0</v>
      </c>
      <c r="O452" s="258">
        <f t="shared" si="195"/>
        <v>0</v>
      </c>
      <c r="P452" s="258">
        <f t="shared" si="195"/>
        <v>0</v>
      </c>
      <c r="Q452" s="258">
        <f t="shared" si="195"/>
        <v>0</v>
      </c>
      <c r="R452" s="258">
        <f t="shared" si="195"/>
        <v>0</v>
      </c>
      <c r="S452" s="291">
        <f t="shared" si="195"/>
        <v>0</v>
      </c>
    </row>
    <row r="453" spans="1:19" ht="12.75" customHeight="1" x14ac:dyDescent="0.2">
      <c r="A453" s="198" t="str">
        <f>"      "&amp;Labels!B318</f>
        <v xml:space="preserve">      Channels 2</v>
      </c>
      <c r="B453" s="258">
        <f t="shared" ref="B453:S453" si="196">SUM(B445,B449)</f>
        <v>0</v>
      </c>
      <c r="C453" s="258">
        <f t="shared" si="196"/>
        <v>0</v>
      </c>
      <c r="D453" s="258">
        <f t="shared" si="196"/>
        <v>0</v>
      </c>
      <c r="E453" s="258">
        <f t="shared" si="196"/>
        <v>0</v>
      </c>
      <c r="F453" s="258">
        <f t="shared" si="196"/>
        <v>0</v>
      </c>
      <c r="G453" s="258">
        <f t="shared" si="196"/>
        <v>0</v>
      </c>
      <c r="H453" s="258">
        <f t="shared" si="196"/>
        <v>0</v>
      </c>
      <c r="I453" s="258">
        <f t="shared" si="196"/>
        <v>0</v>
      </c>
      <c r="J453" s="258">
        <f t="shared" si="196"/>
        <v>0</v>
      </c>
      <c r="K453" s="258">
        <f t="shared" si="196"/>
        <v>0</v>
      </c>
      <c r="L453" s="258">
        <f t="shared" si="196"/>
        <v>0</v>
      </c>
      <c r="M453" s="258">
        <f t="shared" si="196"/>
        <v>0</v>
      </c>
      <c r="N453" s="258">
        <f t="shared" si="196"/>
        <v>0</v>
      </c>
      <c r="O453" s="258">
        <f t="shared" si="196"/>
        <v>0</v>
      </c>
      <c r="P453" s="258">
        <f t="shared" si="196"/>
        <v>0</v>
      </c>
      <c r="Q453" s="258">
        <f t="shared" si="196"/>
        <v>0</v>
      </c>
      <c r="R453" s="258">
        <f t="shared" si="196"/>
        <v>0</v>
      </c>
      <c r="S453" s="291">
        <f t="shared" si="196"/>
        <v>0</v>
      </c>
    </row>
    <row r="454" spans="1:19" ht="12.75" customHeight="1" x14ac:dyDescent="0.2">
      <c r="A454" s="188" t="str">
        <f>"      "&amp;Labels!C316</f>
        <v xml:space="preserve">      Total</v>
      </c>
      <c r="B454" s="256">
        <f t="shared" ref="B454:S454" si="197">SUM(B446,B450)</f>
        <v>0</v>
      </c>
      <c r="C454" s="256">
        <f t="shared" si="197"/>
        <v>0</v>
      </c>
      <c r="D454" s="256">
        <f t="shared" si="197"/>
        <v>0</v>
      </c>
      <c r="E454" s="256">
        <f t="shared" si="197"/>
        <v>0</v>
      </c>
      <c r="F454" s="256">
        <f t="shared" si="197"/>
        <v>0</v>
      </c>
      <c r="G454" s="256">
        <f t="shared" si="197"/>
        <v>0</v>
      </c>
      <c r="H454" s="256">
        <f t="shared" si="197"/>
        <v>0</v>
      </c>
      <c r="I454" s="256">
        <f t="shared" si="197"/>
        <v>0</v>
      </c>
      <c r="J454" s="256">
        <f t="shared" si="197"/>
        <v>0</v>
      </c>
      <c r="K454" s="256">
        <f t="shared" si="197"/>
        <v>0</v>
      </c>
      <c r="L454" s="256">
        <f t="shared" si="197"/>
        <v>0</v>
      </c>
      <c r="M454" s="256">
        <f t="shared" si="197"/>
        <v>0</v>
      </c>
      <c r="N454" s="256">
        <f t="shared" si="197"/>
        <v>0</v>
      </c>
      <c r="O454" s="256">
        <f t="shared" si="197"/>
        <v>0</v>
      </c>
      <c r="P454" s="256">
        <f t="shared" si="197"/>
        <v>0</v>
      </c>
      <c r="Q454" s="256">
        <f t="shared" si="197"/>
        <v>0</v>
      </c>
      <c r="R454" s="256">
        <f t="shared" si="197"/>
        <v>0</v>
      </c>
      <c r="S454" s="290">
        <f t="shared" si="197"/>
        <v>0</v>
      </c>
    </row>
    <row r="455" spans="1:19" ht="12.75" customHeight="1" x14ac:dyDescent="0.2">
      <c r="A455" s="191" t="str">
        <f>Labels!B382</f>
        <v>Practice 2</v>
      </c>
      <c r="B455" s="260"/>
      <c r="C455" s="260"/>
      <c r="D455" s="260"/>
      <c r="E455" s="260"/>
      <c r="F455" s="260"/>
      <c r="G455" s="260"/>
      <c r="H455" s="260"/>
      <c r="I455" s="260"/>
      <c r="J455" s="260"/>
      <c r="K455" s="260"/>
      <c r="L455" s="260"/>
      <c r="M455" s="260"/>
      <c r="N455" s="260"/>
      <c r="O455" s="260"/>
      <c r="P455" s="260"/>
      <c r="Q455" s="260"/>
      <c r="R455" s="260"/>
      <c r="S455" s="289"/>
    </row>
    <row r="456" spans="1:19" ht="12.75" customHeight="1" x14ac:dyDescent="0.2">
      <c r="A456" s="188" t="str">
        <f>"   "&amp;Labels!B385</f>
        <v xml:space="preserve">   Prof Level 1</v>
      </c>
      <c r="B456" s="256"/>
      <c r="C456" s="256"/>
      <c r="D456" s="256"/>
      <c r="E456" s="256"/>
      <c r="F456" s="256"/>
      <c r="G456" s="256"/>
      <c r="H456" s="256"/>
      <c r="I456" s="256"/>
      <c r="J456" s="256"/>
      <c r="K456" s="256"/>
      <c r="L456" s="256"/>
      <c r="M456" s="256"/>
      <c r="N456" s="256"/>
      <c r="O456" s="256"/>
      <c r="P456" s="256"/>
      <c r="Q456" s="256"/>
      <c r="R456" s="256"/>
      <c r="S456" s="290"/>
    </row>
    <row r="457" spans="1:19" ht="12.75" customHeight="1" x14ac:dyDescent="0.2">
      <c r="A457" s="198" t="str">
        <f>"      "&amp;Labels!B317</f>
        <v xml:space="preserve">      Channels 1</v>
      </c>
      <c r="B457" s="258">
        <f>(Engage!B352+(Engage!B559+Inputs!F80)*B539)*B376</f>
        <v>0</v>
      </c>
      <c r="C457" s="258">
        <f>(Engage!C352+(Engage!C559+Inputs!G80)*C539)*C376</f>
        <v>0</v>
      </c>
      <c r="D457" s="258">
        <f>(Engage!D352+(Engage!D559+Inputs!H80)*D539)*D376</f>
        <v>0</v>
      </c>
      <c r="E457" s="258">
        <f>(Engage!E352+(Engage!E559+Inputs!I80)*E539)*E376</f>
        <v>0</v>
      </c>
      <c r="F457" s="258">
        <f>(Engage!F352+(Engage!F559+Inputs!J80)*F539)*F376</f>
        <v>0</v>
      </c>
      <c r="G457" s="258">
        <f>(Engage!G352+(Engage!G559+Inputs!K80)*G539)*G376</f>
        <v>0</v>
      </c>
      <c r="H457" s="258">
        <f>(Engage!H352+(Engage!H559+Inputs!L80)*H539)*H376</f>
        <v>0</v>
      </c>
      <c r="I457" s="258">
        <f>(Engage!I352+(Engage!I559+Inputs!M80)*I539)*I376</f>
        <v>0</v>
      </c>
      <c r="J457" s="258">
        <f>(Engage!J352+(Engage!J559+Inputs!N80)*J539)*J376</f>
        <v>0</v>
      </c>
      <c r="K457" s="258">
        <f>(Engage!K352+(Engage!K559+Inputs!O80)*K539)*K376</f>
        <v>0</v>
      </c>
      <c r="L457" s="258">
        <f>(Engage!L352+(Engage!L559+Inputs!P80)*L539)*L376</f>
        <v>0</v>
      </c>
      <c r="M457" s="258">
        <f>(Engage!M352+(Engage!M559+Inputs!Q80)*M539)*M376</f>
        <v>0</v>
      </c>
      <c r="N457" s="258">
        <f>(Engage!N352+(Engage!N559+Inputs!R80)*N539)*N376</f>
        <v>0</v>
      </c>
      <c r="O457" s="258">
        <f>(Engage!O352+(Engage!O559+Inputs!S80)*O539)*O376</f>
        <v>0</v>
      </c>
      <c r="P457" s="258">
        <f>(Engage!P352+(Engage!P559+Inputs!T80)*P539)*P376</f>
        <v>0</v>
      </c>
      <c r="Q457" s="258">
        <f>(Engage!Q352+(Engage!Q559+Inputs!U80)*Q539)*Q376</f>
        <v>0</v>
      </c>
      <c r="R457" s="258">
        <f>(Engage!R352+(Engage!R559+Inputs!V80)*R539)*R376</f>
        <v>0</v>
      </c>
      <c r="S457" s="291">
        <f>(Engage!S352+(Engage!S559+Inputs!W80)*S539)*S376</f>
        <v>0</v>
      </c>
    </row>
    <row r="458" spans="1:19" ht="12.75" customHeight="1" x14ac:dyDescent="0.2">
      <c r="A458" s="198" t="str">
        <f>"      "&amp;Labels!B318</f>
        <v xml:space="preserve">      Channels 2</v>
      </c>
      <c r="B458" s="258">
        <f>(Engage!B353+(Engage!B560+Inputs!F81)*B540)*B377</f>
        <v>0</v>
      </c>
      <c r="C458" s="258">
        <f>(Engage!C353+(Engage!C560+Inputs!G81)*C540)*C377</f>
        <v>0</v>
      </c>
      <c r="D458" s="258">
        <f>(Engage!D353+(Engage!D560+Inputs!H81)*D540)*D377</f>
        <v>0</v>
      </c>
      <c r="E458" s="258">
        <f>(Engage!E353+(Engage!E560+Inputs!I81)*E540)*E377</f>
        <v>0</v>
      </c>
      <c r="F458" s="258">
        <f>(Engage!F353+(Engage!F560+Inputs!J81)*F540)*F377</f>
        <v>0</v>
      </c>
      <c r="G458" s="258">
        <f>(Engage!G353+(Engage!G560+Inputs!K81)*G540)*G377</f>
        <v>0</v>
      </c>
      <c r="H458" s="258">
        <f>(Engage!H353+(Engage!H560+Inputs!L81)*H540)*H377</f>
        <v>0</v>
      </c>
      <c r="I458" s="258">
        <f>(Engage!I353+(Engage!I560+Inputs!M81)*I540)*I377</f>
        <v>0</v>
      </c>
      <c r="J458" s="258">
        <f>(Engage!J353+(Engage!J560+Inputs!N81)*J540)*J377</f>
        <v>0</v>
      </c>
      <c r="K458" s="258">
        <f>(Engage!K353+(Engage!K560+Inputs!O81)*K540)*K377</f>
        <v>0</v>
      </c>
      <c r="L458" s="258">
        <f>(Engage!L353+(Engage!L560+Inputs!P81)*L540)*L377</f>
        <v>0</v>
      </c>
      <c r="M458" s="258">
        <f>(Engage!M353+(Engage!M560+Inputs!Q81)*M540)*M377</f>
        <v>0</v>
      </c>
      <c r="N458" s="258">
        <f>(Engage!N353+(Engage!N560+Inputs!R81)*N540)*N377</f>
        <v>0</v>
      </c>
      <c r="O458" s="258">
        <f>(Engage!O353+(Engage!O560+Inputs!S81)*O540)*O377</f>
        <v>0</v>
      </c>
      <c r="P458" s="258">
        <f>(Engage!P353+(Engage!P560+Inputs!T81)*P540)*P377</f>
        <v>0</v>
      </c>
      <c r="Q458" s="258">
        <f>(Engage!Q353+(Engage!Q560+Inputs!U81)*Q540)*Q377</f>
        <v>0</v>
      </c>
      <c r="R458" s="258">
        <f>(Engage!R353+(Engage!R560+Inputs!V81)*R540)*R377</f>
        <v>0</v>
      </c>
      <c r="S458" s="291">
        <f>(Engage!S353+(Engage!S560+Inputs!W81)*S540)*S377</f>
        <v>0</v>
      </c>
    </row>
    <row r="459" spans="1:19" ht="12.75" customHeight="1" x14ac:dyDescent="0.2">
      <c r="A459" s="188" t="str">
        <f>"      "&amp;Labels!C316</f>
        <v xml:space="preserve">      Total</v>
      </c>
      <c r="B459" s="256">
        <f t="shared" ref="B459:S459" si="198">SUM(B457:B458)</f>
        <v>0</v>
      </c>
      <c r="C459" s="256">
        <f t="shared" si="198"/>
        <v>0</v>
      </c>
      <c r="D459" s="256">
        <f t="shared" si="198"/>
        <v>0</v>
      </c>
      <c r="E459" s="256">
        <f t="shared" si="198"/>
        <v>0</v>
      </c>
      <c r="F459" s="256">
        <f t="shared" si="198"/>
        <v>0</v>
      </c>
      <c r="G459" s="256">
        <f t="shared" si="198"/>
        <v>0</v>
      </c>
      <c r="H459" s="256">
        <f t="shared" si="198"/>
        <v>0</v>
      </c>
      <c r="I459" s="256">
        <f t="shared" si="198"/>
        <v>0</v>
      </c>
      <c r="J459" s="256">
        <f t="shared" si="198"/>
        <v>0</v>
      </c>
      <c r="K459" s="256">
        <f t="shared" si="198"/>
        <v>0</v>
      </c>
      <c r="L459" s="256">
        <f t="shared" si="198"/>
        <v>0</v>
      </c>
      <c r="M459" s="256">
        <f t="shared" si="198"/>
        <v>0</v>
      </c>
      <c r="N459" s="256">
        <f t="shared" si="198"/>
        <v>0</v>
      </c>
      <c r="O459" s="256">
        <f t="shared" si="198"/>
        <v>0</v>
      </c>
      <c r="P459" s="256">
        <f t="shared" si="198"/>
        <v>0</v>
      </c>
      <c r="Q459" s="256">
        <f t="shared" si="198"/>
        <v>0</v>
      </c>
      <c r="R459" s="256">
        <f t="shared" si="198"/>
        <v>0</v>
      </c>
      <c r="S459" s="290">
        <f t="shared" si="198"/>
        <v>0</v>
      </c>
    </row>
    <row r="460" spans="1:19" ht="12.75" customHeight="1" x14ac:dyDescent="0.2">
      <c r="A460" s="188" t="str">
        <f>"   "&amp;Labels!B386</f>
        <v xml:space="preserve">   Prof Level 2</v>
      </c>
      <c r="B460" s="256"/>
      <c r="C460" s="256"/>
      <c r="D460" s="256"/>
      <c r="E460" s="256"/>
      <c r="F460" s="256"/>
      <c r="G460" s="256"/>
      <c r="H460" s="256"/>
      <c r="I460" s="256"/>
      <c r="J460" s="256"/>
      <c r="K460" s="256"/>
      <c r="L460" s="256"/>
      <c r="M460" s="256"/>
      <c r="N460" s="256"/>
      <c r="O460" s="256"/>
      <c r="P460" s="256"/>
      <c r="Q460" s="256"/>
      <c r="R460" s="256"/>
      <c r="S460" s="290"/>
    </row>
    <row r="461" spans="1:19" ht="12.75" customHeight="1" x14ac:dyDescent="0.2">
      <c r="A461" s="198" t="str">
        <f>"      "&amp;Labels!B317</f>
        <v xml:space="preserve">      Channels 1</v>
      </c>
      <c r="B461" s="258">
        <f>(Engage!B356+(Engage!B563+Inputs!F82)*B543)*B380</f>
        <v>0</v>
      </c>
      <c r="C461" s="258">
        <f>(Engage!C356+(Engage!C563+Inputs!G82)*C543)*C380</f>
        <v>0</v>
      </c>
      <c r="D461" s="258">
        <f>(Engage!D356+(Engage!D563+Inputs!H82)*D543)*D380</f>
        <v>0</v>
      </c>
      <c r="E461" s="258">
        <f>(Engage!E356+(Engage!E563+Inputs!I82)*E543)*E380</f>
        <v>0</v>
      </c>
      <c r="F461" s="258">
        <f>(Engage!F356+(Engage!F563+Inputs!J82)*F543)*F380</f>
        <v>0</v>
      </c>
      <c r="G461" s="258">
        <f>(Engage!G356+(Engage!G563+Inputs!K82)*G543)*G380</f>
        <v>0</v>
      </c>
      <c r="H461" s="258">
        <f>(Engage!H356+(Engage!H563+Inputs!L82)*H543)*H380</f>
        <v>0</v>
      </c>
      <c r="I461" s="258">
        <f>(Engage!I356+(Engage!I563+Inputs!M82)*I543)*I380</f>
        <v>0</v>
      </c>
      <c r="J461" s="258">
        <f>(Engage!J356+(Engage!J563+Inputs!N82)*J543)*J380</f>
        <v>0</v>
      </c>
      <c r="K461" s="258">
        <f>(Engage!K356+(Engage!K563+Inputs!O82)*K543)*K380</f>
        <v>0</v>
      </c>
      <c r="L461" s="258">
        <f>(Engage!L356+(Engage!L563+Inputs!P82)*L543)*L380</f>
        <v>0</v>
      </c>
      <c r="M461" s="258">
        <f>(Engage!M356+(Engage!M563+Inputs!Q82)*M543)*M380</f>
        <v>0</v>
      </c>
      <c r="N461" s="258">
        <f>(Engage!N356+(Engage!N563+Inputs!R82)*N543)*N380</f>
        <v>0</v>
      </c>
      <c r="O461" s="258">
        <f>(Engage!O356+(Engage!O563+Inputs!S82)*O543)*O380</f>
        <v>0</v>
      </c>
      <c r="P461" s="258">
        <f>(Engage!P356+(Engage!P563+Inputs!T82)*P543)*P380</f>
        <v>0</v>
      </c>
      <c r="Q461" s="258">
        <f>(Engage!Q356+(Engage!Q563+Inputs!U82)*Q543)*Q380</f>
        <v>0</v>
      </c>
      <c r="R461" s="258">
        <f>(Engage!R356+(Engage!R563+Inputs!V82)*R543)*R380</f>
        <v>0</v>
      </c>
      <c r="S461" s="291">
        <f>(Engage!S356+(Engage!S563+Inputs!W82)*S543)*S380</f>
        <v>0</v>
      </c>
    </row>
    <row r="462" spans="1:19" ht="12.75" customHeight="1" x14ac:dyDescent="0.2">
      <c r="A462" s="198" t="str">
        <f>"      "&amp;Labels!B318</f>
        <v xml:space="preserve">      Channels 2</v>
      </c>
      <c r="B462" s="258">
        <f>(Engage!B357+(Engage!B564+Inputs!F83)*B544)*B381</f>
        <v>0</v>
      </c>
      <c r="C462" s="258">
        <f>(Engage!C357+(Engage!C564+Inputs!G83)*C544)*C381</f>
        <v>0</v>
      </c>
      <c r="D462" s="258">
        <f>(Engage!D357+(Engage!D564+Inputs!H83)*D544)*D381</f>
        <v>0</v>
      </c>
      <c r="E462" s="258">
        <f>(Engage!E357+(Engage!E564+Inputs!I83)*E544)*E381</f>
        <v>0</v>
      </c>
      <c r="F462" s="258">
        <f>(Engage!F357+(Engage!F564+Inputs!J83)*F544)*F381</f>
        <v>0</v>
      </c>
      <c r="G462" s="258">
        <f>(Engage!G357+(Engage!G564+Inputs!K83)*G544)*G381</f>
        <v>0</v>
      </c>
      <c r="H462" s="258">
        <f>(Engage!H357+(Engage!H564+Inputs!L83)*H544)*H381</f>
        <v>0</v>
      </c>
      <c r="I462" s="258">
        <f>(Engage!I357+(Engage!I564+Inputs!M83)*I544)*I381</f>
        <v>0</v>
      </c>
      <c r="J462" s="258">
        <f>(Engage!J357+(Engage!J564+Inputs!N83)*J544)*J381</f>
        <v>0</v>
      </c>
      <c r="K462" s="258">
        <f>(Engage!K357+(Engage!K564+Inputs!O83)*K544)*K381</f>
        <v>0</v>
      </c>
      <c r="L462" s="258">
        <f>(Engage!L357+(Engage!L564+Inputs!P83)*L544)*L381</f>
        <v>0</v>
      </c>
      <c r="M462" s="258">
        <f>(Engage!M357+(Engage!M564+Inputs!Q83)*M544)*M381</f>
        <v>0</v>
      </c>
      <c r="N462" s="258">
        <f>(Engage!N357+(Engage!N564+Inputs!R83)*N544)*N381</f>
        <v>0</v>
      </c>
      <c r="O462" s="258">
        <f>(Engage!O357+(Engage!O564+Inputs!S83)*O544)*O381</f>
        <v>0</v>
      </c>
      <c r="P462" s="258">
        <f>(Engage!P357+(Engage!P564+Inputs!T83)*P544)*P381</f>
        <v>0</v>
      </c>
      <c r="Q462" s="258">
        <f>(Engage!Q357+(Engage!Q564+Inputs!U83)*Q544)*Q381</f>
        <v>0</v>
      </c>
      <c r="R462" s="258">
        <f>(Engage!R357+(Engage!R564+Inputs!V83)*R544)*R381</f>
        <v>0</v>
      </c>
      <c r="S462" s="291">
        <f>(Engage!S357+(Engage!S564+Inputs!W83)*S544)*S381</f>
        <v>0</v>
      </c>
    </row>
    <row r="463" spans="1:19" ht="12.75" customHeight="1" x14ac:dyDescent="0.2">
      <c r="A463" s="188" t="str">
        <f>"      "&amp;Labels!C316</f>
        <v xml:space="preserve">      Total</v>
      </c>
      <c r="B463" s="256">
        <f t="shared" ref="B463:S463" si="199">SUM(B461:B462)</f>
        <v>0</v>
      </c>
      <c r="C463" s="256">
        <f t="shared" si="199"/>
        <v>0</v>
      </c>
      <c r="D463" s="256">
        <f t="shared" si="199"/>
        <v>0</v>
      </c>
      <c r="E463" s="256">
        <f t="shared" si="199"/>
        <v>0</v>
      </c>
      <c r="F463" s="256">
        <f t="shared" si="199"/>
        <v>0</v>
      </c>
      <c r="G463" s="256">
        <f t="shared" si="199"/>
        <v>0</v>
      </c>
      <c r="H463" s="256">
        <f t="shared" si="199"/>
        <v>0</v>
      </c>
      <c r="I463" s="256">
        <f t="shared" si="199"/>
        <v>0</v>
      </c>
      <c r="J463" s="256">
        <f t="shared" si="199"/>
        <v>0</v>
      </c>
      <c r="K463" s="256">
        <f t="shared" si="199"/>
        <v>0</v>
      </c>
      <c r="L463" s="256">
        <f t="shared" si="199"/>
        <v>0</v>
      </c>
      <c r="M463" s="256">
        <f t="shared" si="199"/>
        <v>0</v>
      </c>
      <c r="N463" s="256">
        <f t="shared" si="199"/>
        <v>0</v>
      </c>
      <c r="O463" s="256">
        <f t="shared" si="199"/>
        <v>0</v>
      </c>
      <c r="P463" s="256">
        <f t="shared" si="199"/>
        <v>0</v>
      </c>
      <c r="Q463" s="256">
        <f t="shared" si="199"/>
        <v>0</v>
      </c>
      <c r="R463" s="256">
        <f t="shared" si="199"/>
        <v>0</v>
      </c>
      <c r="S463" s="290">
        <f t="shared" si="199"/>
        <v>0</v>
      </c>
    </row>
    <row r="464" spans="1:19" ht="12.75" customHeight="1" x14ac:dyDescent="0.2">
      <c r="A464" s="191" t="str">
        <f>"   "&amp;Labels!C384</f>
        <v xml:space="preserve">   Total</v>
      </c>
      <c r="B464" s="260">
        <f t="shared" ref="B464:S464" si="200">SUM(B459,B463)</f>
        <v>0</v>
      </c>
      <c r="C464" s="260">
        <f t="shared" si="200"/>
        <v>0</v>
      </c>
      <c r="D464" s="260">
        <f t="shared" si="200"/>
        <v>0</v>
      </c>
      <c r="E464" s="260">
        <f t="shared" si="200"/>
        <v>0</v>
      </c>
      <c r="F464" s="260">
        <f t="shared" si="200"/>
        <v>0</v>
      </c>
      <c r="G464" s="260">
        <f t="shared" si="200"/>
        <v>0</v>
      </c>
      <c r="H464" s="260">
        <f t="shared" si="200"/>
        <v>0</v>
      </c>
      <c r="I464" s="260">
        <f t="shared" si="200"/>
        <v>0</v>
      </c>
      <c r="J464" s="260">
        <f t="shared" si="200"/>
        <v>0</v>
      </c>
      <c r="K464" s="260">
        <f t="shared" si="200"/>
        <v>0</v>
      </c>
      <c r="L464" s="260">
        <f t="shared" si="200"/>
        <v>0</v>
      </c>
      <c r="M464" s="260">
        <f t="shared" si="200"/>
        <v>0</v>
      </c>
      <c r="N464" s="260">
        <f t="shared" si="200"/>
        <v>0</v>
      </c>
      <c r="O464" s="260">
        <f t="shared" si="200"/>
        <v>0</v>
      </c>
      <c r="P464" s="260">
        <f t="shared" si="200"/>
        <v>0</v>
      </c>
      <c r="Q464" s="260">
        <f t="shared" si="200"/>
        <v>0</v>
      </c>
      <c r="R464" s="260">
        <f t="shared" si="200"/>
        <v>0</v>
      </c>
      <c r="S464" s="289">
        <f t="shared" si="200"/>
        <v>0</v>
      </c>
    </row>
    <row r="465" spans="1:19" ht="12.75" customHeight="1" x14ac:dyDescent="0.2">
      <c r="A465" s="198" t="str">
        <f>"      "&amp;Labels!B317</f>
        <v xml:space="preserve">      Channels 1</v>
      </c>
      <c r="B465" s="258">
        <f t="shared" ref="B465:S465" si="201">SUM(B457,B461)</f>
        <v>0</v>
      </c>
      <c r="C465" s="258">
        <f t="shared" si="201"/>
        <v>0</v>
      </c>
      <c r="D465" s="258">
        <f t="shared" si="201"/>
        <v>0</v>
      </c>
      <c r="E465" s="258">
        <f t="shared" si="201"/>
        <v>0</v>
      </c>
      <c r="F465" s="258">
        <f t="shared" si="201"/>
        <v>0</v>
      </c>
      <c r="G465" s="258">
        <f t="shared" si="201"/>
        <v>0</v>
      </c>
      <c r="H465" s="258">
        <f t="shared" si="201"/>
        <v>0</v>
      </c>
      <c r="I465" s="258">
        <f t="shared" si="201"/>
        <v>0</v>
      </c>
      <c r="J465" s="258">
        <f t="shared" si="201"/>
        <v>0</v>
      </c>
      <c r="K465" s="258">
        <f t="shared" si="201"/>
        <v>0</v>
      </c>
      <c r="L465" s="258">
        <f t="shared" si="201"/>
        <v>0</v>
      </c>
      <c r="M465" s="258">
        <f t="shared" si="201"/>
        <v>0</v>
      </c>
      <c r="N465" s="258">
        <f t="shared" si="201"/>
        <v>0</v>
      </c>
      <c r="O465" s="258">
        <f t="shared" si="201"/>
        <v>0</v>
      </c>
      <c r="P465" s="258">
        <f t="shared" si="201"/>
        <v>0</v>
      </c>
      <c r="Q465" s="258">
        <f t="shared" si="201"/>
        <v>0</v>
      </c>
      <c r="R465" s="258">
        <f t="shared" si="201"/>
        <v>0</v>
      </c>
      <c r="S465" s="291">
        <f t="shared" si="201"/>
        <v>0</v>
      </c>
    </row>
    <row r="466" spans="1:19" ht="12.75" customHeight="1" x14ac:dyDescent="0.2">
      <c r="A466" s="198" t="str">
        <f>"      "&amp;Labels!B318</f>
        <v xml:space="preserve">      Channels 2</v>
      </c>
      <c r="B466" s="258">
        <f t="shared" ref="B466:S466" si="202">SUM(B458,B462)</f>
        <v>0</v>
      </c>
      <c r="C466" s="258">
        <f t="shared" si="202"/>
        <v>0</v>
      </c>
      <c r="D466" s="258">
        <f t="shared" si="202"/>
        <v>0</v>
      </c>
      <c r="E466" s="258">
        <f t="shared" si="202"/>
        <v>0</v>
      </c>
      <c r="F466" s="258">
        <f t="shared" si="202"/>
        <v>0</v>
      </c>
      <c r="G466" s="258">
        <f t="shared" si="202"/>
        <v>0</v>
      </c>
      <c r="H466" s="258">
        <f t="shared" si="202"/>
        <v>0</v>
      </c>
      <c r="I466" s="258">
        <f t="shared" si="202"/>
        <v>0</v>
      </c>
      <c r="J466" s="258">
        <f t="shared" si="202"/>
        <v>0</v>
      </c>
      <c r="K466" s="258">
        <f t="shared" si="202"/>
        <v>0</v>
      </c>
      <c r="L466" s="258">
        <f t="shared" si="202"/>
        <v>0</v>
      </c>
      <c r="M466" s="258">
        <f t="shared" si="202"/>
        <v>0</v>
      </c>
      <c r="N466" s="258">
        <f t="shared" si="202"/>
        <v>0</v>
      </c>
      <c r="O466" s="258">
        <f t="shared" si="202"/>
        <v>0</v>
      </c>
      <c r="P466" s="258">
        <f t="shared" si="202"/>
        <v>0</v>
      </c>
      <c r="Q466" s="258">
        <f t="shared" si="202"/>
        <v>0</v>
      </c>
      <c r="R466" s="258">
        <f t="shared" si="202"/>
        <v>0</v>
      </c>
      <c r="S466" s="291">
        <f t="shared" si="202"/>
        <v>0</v>
      </c>
    </row>
    <row r="467" spans="1:19" ht="12.75" customHeight="1" x14ac:dyDescent="0.2">
      <c r="A467" s="188" t="str">
        <f>"      "&amp;Labels!C316</f>
        <v xml:space="preserve">      Total</v>
      </c>
      <c r="B467" s="256">
        <f t="shared" ref="B467:S467" si="203">SUM(B459,B463)</f>
        <v>0</v>
      </c>
      <c r="C467" s="256">
        <f t="shared" si="203"/>
        <v>0</v>
      </c>
      <c r="D467" s="256">
        <f t="shared" si="203"/>
        <v>0</v>
      </c>
      <c r="E467" s="256">
        <f t="shared" si="203"/>
        <v>0</v>
      </c>
      <c r="F467" s="256">
        <f t="shared" si="203"/>
        <v>0</v>
      </c>
      <c r="G467" s="256">
        <f t="shared" si="203"/>
        <v>0</v>
      </c>
      <c r="H467" s="256">
        <f t="shared" si="203"/>
        <v>0</v>
      </c>
      <c r="I467" s="256">
        <f t="shared" si="203"/>
        <v>0</v>
      </c>
      <c r="J467" s="256">
        <f t="shared" si="203"/>
        <v>0</v>
      </c>
      <c r="K467" s="256">
        <f t="shared" si="203"/>
        <v>0</v>
      </c>
      <c r="L467" s="256">
        <f t="shared" si="203"/>
        <v>0</v>
      </c>
      <c r="M467" s="256">
        <f t="shared" si="203"/>
        <v>0</v>
      </c>
      <c r="N467" s="256">
        <f t="shared" si="203"/>
        <v>0</v>
      </c>
      <c r="O467" s="256">
        <f t="shared" si="203"/>
        <v>0</v>
      </c>
      <c r="P467" s="256">
        <f t="shared" si="203"/>
        <v>0</v>
      </c>
      <c r="Q467" s="256">
        <f t="shared" si="203"/>
        <v>0</v>
      </c>
      <c r="R467" s="256">
        <f t="shared" si="203"/>
        <v>0</v>
      </c>
      <c r="S467" s="290">
        <f t="shared" si="203"/>
        <v>0</v>
      </c>
    </row>
    <row r="468" spans="1:19" ht="12.75" customHeight="1" x14ac:dyDescent="0.2">
      <c r="A468" s="97" t="str">
        <f>Labels!C380</f>
        <v>Total</v>
      </c>
      <c r="B468" s="360">
        <f t="shared" ref="B468:S468" si="204">SUM(B451,B464)</f>
        <v>0</v>
      </c>
      <c r="C468" s="360">
        <f t="shared" si="204"/>
        <v>0</v>
      </c>
      <c r="D468" s="360">
        <f t="shared" si="204"/>
        <v>0</v>
      </c>
      <c r="E468" s="360">
        <f t="shared" si="204"/>
        <v>0</v>
      </c>
      <c r="F468" s="360">
        <f t="shared" si="204"/>
        <v>0</v>
      </c>
      <c r="G468" s="360">
        <f t="shared" si="204"/>
        <v>0</v>
      </c>
      <c r="H468" s="360">
        <f t="shared" si="204"/>
        <v>0</v>
      </c>
      <c r="I468" s="360">
        <f t="shared" si="204"/>
        <v>0</v>
      </c>
      <c r="J468" s="360">
        <f t="shared" si="204"/>
        <v>0</v>
      </c>
      <c r="K468" s="360">
        <f t="shared" si="204"/>
        <v>0</v>
      </c>
      <c r="L468" s="360">
        <f t="shared" si="204"/>
        <v>0</v>
      </c>
      <c r="M468" s="360">
        <f t="shared" si="204"/>
        <v>0</v>
      </c>
      <c r="N468" s="360">
        <f t="shared" si="204"/>
        <v>0</v>
      </c>
      <c r="O468" s="360">
        <f t="shared" si="204"/>
        <v>0</v>
      </c>
      <c r="P468" s="360">
        <f t="shared" si="204"/>
        <v>0</v>
      </c>
      <c r="Q468" s="360">
        <f t="shared" si="204"/>
        <v>0</v>
      </c>
      <c r="R468" s="360">
        <f t="shared" si="204"/>
        <v>0</v>
      </c>
      <c r="S468" s="361">
        <f t="shared" si="204"/>
        <v>0</v>
      </c>
    </row>
    <row r="469" spans="1:19" ht="12.75" customHeight="1" x14ac:dyDescent="0.2">
      <c r="A469" s="188" t="str">
        <f>"   "&amp;Labels!B385</f>
        <v xml:space="preserve">   Prof Level 1</v>
      </c>
      <c r="B469" s="256"/>
      <c r="C469" s="256"/>
      <c r="D469" s="256"/>
      <c r="E469" s="256"/>
      <c r="F469" s="256"/>
      <c r="G469" s="256"/>
      <c r="H469" s="256"/>
      <c r="I469" s="256"/>
      <c r="J469" s="256"/>
      <c r="K469" s="256"/>
      <c r="L469" s="256"/>
      <c r="M469" s="256"/>
      <c r="N469" s="256"/>
      <c r="O469" s="256"/>
      <c r="P469" s="256"/>
      <c r="Q469" s="256"/>
      <c r="R469" s="256"/>
      <c r="S469" s="290"/>
    </row>
    <row r="470" spans="1:19" ht="12.75" customHeight="1" x14ac:dyDescent="0.2">
      <c r="A470" s="198" t="str">
        <f>"      "&amp;Labels!B317</f>
        <v xml:space="preserve">      Channels 1</v>
      </c>
      <c r="B470" s="258">
        <f t="shared" ref="B470:S470" si="205">SUM(B444,B457)</f>
        <v>0</v>
      </c>
      <c r="C470" s="258">
        <f t="shared" si="205"/>
        <v>0</v>
      </c>
      <c r="D470" s="258">
        <f t="shared" si="205"/>
        <v>0</v>
      </c>
      <c r="E470" s="258">
        <f t="shared" si="205"/>
        <v>0</v>
      </c>
      <c r="F470" s="258">
        <f t="shared" si="205"/>
        <v>0</v>
      </c>
      <c r="G470" s="258">
        <f t="shared" si="205"/>
        <v>0</v>
      </c>
      <c r="H470" s="258">
        <f t="shared" si="205"/>
        <v>0</v>
      </c>
      <c r="I470" s="258">
        <f t="shared" si="205"/>
        <v>0</v>
      </c>
      <c r="J470" s="258">
        <f t="shared" si="205"/>
        <v>0</v>
      </c>
      <c r="K470" s="258">
        <f t="shared" si="205"/>
        <v>0</v>
      </c>
      <c r="L470" s="258">
        <f t="shared" si="205"/>
        <v>0</v>
      </c>
      <c r="M470" s="258">
        <f t="shared" si="205"/>
        <v>0</v>
      </c>
      <c r="N470" s="258">
        <f t="shared" si="205"/>
        <v>0</v>
      </c>
      <c r="O470" s="258">
        <f t="shared" si="205"/>
        <v>0</v>
      </c>
      <c r="P470" s="258">
        <f t="shared" si="205"/>
        <v>0</v>
      </c>
      <c r="Q470" s="258">
        <f t="shared" si="205"/>
        <v>0</v>
      </c>
      <c r="R470" s="258">
        <f t="shared" si="205"/>
        <v>0</v>
      </c>
      <c r="S470" s="291">
        <f t="shared" si="205"/>
        <v>0</v>
      </c>
    </row>
    <row r="471" spans="1:19" ht="12.75" customHeight="1" x14ac:dyDescent="0.2">
      <c r="A471" s="198" t="str">
        <f>"      "&amp;Labels!B318</f>
        <v xml:space="preserve">      Channels 2</v>
      </c>
      <c r="B471" s="258">
        <f t="shared" ref="B471:S471" si="206">SUM(B445,B458)</f>
        <v>0</v>
      </c>
      <c r="C471" s="258">
        <f t="shared" si="206"/>
        <v>0</v>
      </c>
      <c r="D471" s="258">
        <f t="shared" si="206"/>
        <v>0</v>
      </c>
      <c r="E471" s="258">
        <f t="shared" si="206"/>
        <v>0</v>
      </c>
      <c r="F471" s="258">
        <f t="shared" si="206"/>
        <v>0</v>
      </c>
      <c r="G471" s="258">
        <f t="shared" si="206"/>
        <v>0</v>
      </c>
      <c r="H471" s="258">
        <f t="shared" si="206"/>
        <v>0</v>
      </c>
      <c r="I471" s="258">
        <f t="shared" si="206"/>
        <v>0</v>
      </c>
      <c r="J471" s="258">
        <f t="shared" si="206"/>
        <v>0</v>
      </c>
      <c r="K471" s="258">
        <f t="shared" si="206"/>
        <v>0</v>
      </c>
      <c r="L471" s="258">
        <f t="shared" si="206"/>
        <v>0</v>
      </c>
      <c r="M471" s="258">
        <f t="shared" si="206"/>
        <v>0</v>
      </c>
      <c r="N471" s="258">
        <f t="shared" si="206"/>
        <v>0</v>
      </c>
      <c r="O471" s="258">
        <f t="shared" si="206"/>
        <v>0</v>
      </c>
      <c r="P471" s="258">
        <f t="shared" si="206"/>
        <v>0</v>
      </c>
      <c r="Q471" s="258">
        <f t="shared" si="206"/>
        <v>0</v>
      </c>
      <c r="R471" s="258">
        <f t="shared" si="206"/>
        <v>0</v>
      </c>
      <c r="S471" s="291">
        <f t="shared" si="206"/>
        <v>0</v>
      </c>
    </row>
    <row r="472" spans="1:19" ht="12.75" customHeight="1" x14ac:dyDescent="0.2">
      <c r="A472" s="188" t="str">
        <f>"      "&amp;Labels!C316</f>
        <v xml:space="preserve">      Total</v>
      </c>
      <c r="B472" s="256">
        <f t="shared" ref="B472:S472" si="207">SUM(B446,B459)</f>
        <v>0</v>
      </c>
      <c r="C472" s="256">
        <f t="shared" si="207"/>
        <v>0</v>
      </c>
      <c r="D472" s="256">
        <f t="shared" si="207"/>
        <v>0</v>
      </c>
      <c r="E472" s="256">
        <f t="shared" si="207"/>
        <v>0</v>
      </c>
      <c r="F472" s="256">
        <f t="shared" si="207"/>
        <v>0</v>
      </c>
      <c r="G472" s="256">
        <f t="shared" si="207"/>
        <v>0</v>
      </c>
      <c r="H472" s="256">
        <f t="shared" si="207"/>
        <v>0</v>
      </c>
      <c r="I472" s="256">
        <f t="shared" si="207"/>
        <v>0</v>
      </c>
      <c r="J472" s="256">
        <f t="shared" si="207"/>
        <v>0</v>
      </c>
      <c r="K472" s="256">
        <f t="shared" si="207"/>
        <v>0</v>
      </c>
      <c r="L472" s="256">
        <f t="shared" si="207"/>
        <v>0</v>
      </c>
      <c r="M472" s="256">
        <f t="shared" si="207"/>
        <v>0</v>
      </c>
      <c r="N472" s="256">
        <f t="shared" si="207"/>
        <v>0</v>
      </c>
      <c r="O472" s="256">
        <f t="shared" si="207"/>
        <v>0</v>
      </c>
      <c r="P472" s="256">
        <f t="shared" si="207"/>
        <v>0</v>
      </c>
      <c r="Q472" s="256">
        <f t="shared" si="207"/>
        <v>0</v>
      </c>
      <c r="R472" s="256">
        <f t="shared" si="207"/>
        <v>0</v>
      </c>
      <c r="S472" s="290">
        <f t="shared" si="207"/>
        <v>0</v>
      </c>
    </row>
    <row r="473" spans="1:19" ht="12.75" customHeight="1" x14ac:dyDescent="0.2">
      <c r="A473" s="188" t="str">
        <f>"   "&amp;Labels!B386</f>
        <v xml:space="preserve">   Prof Level 2</v>
      </c>
      <c r="B473" s="256"/>
      <c r="C473" s="256"/>
      <c r="D473" s="256"/>
      <c r="E473" s="256"/>
      <c r="F473" s="256"/>
      <c r="G473" s="256"/>
      <c r="H473" s="256"/>
      <c r="I473" s="256"/>
      <c r="J473" s="256"/>
      <c r="K473" s="256"/>
      <c r="L473" s="256"/>
      <c r="M473" s="256"/>
      <c r="N473" s="256"/>
      <c r="O473" s="256"/>
      <c r="P473" s="256"/>
      <c r="Q473" s="256"/>
      <c r="R473" s="256"/>
      <c r="S473" s="290"/>
    </row>
    <row r="474" spans="1:19" ht="12.75" customHeight="1" x14ac:dyDescent="0.2">
      <c r="A474" s="198" t="str">
        <f>"      "&amp;Labels!B317</f>
        <v xml:space="preserve">      Channels 1</v>
      </c>
      <c r="B474" s="258">
        <f t="shared" ref="B474:S474" si="208">SUM(B448,B461)</f>
        <v>0</v>
      </c>
      <c r="C474" s="258">
        <f t="shared" si="208"/>
        <v>0</v>
      </c>
      <c r="D474" s="258">
        <f t="shared" si="208"/>
        <v>0</v>
      </c>
      <c r="E474" s="258">
        <f t="shared" si="208"/>
        <v>0</v>
      </c>
      <c r="F474" s="258">
        <f t="shared" si="208"/>
        <v>0</v>
      </c>
      <c r="G474" s="258">
        <f t="shared" si="208"/>
        <v>0</v>
      </c>
      <c r="H474" s="258">
        <f t="shared" si="208"/>
        <v>0</v>
      </c>
      <c r="I474" s="258">
        <f t="shared" si="208"/>
        <v>0</v>
      </c>
      <c r="J474" s="258">
        <f t="shared" si="208"/>
        <v>0</v>
      </c>
      <c r="K474" s="258">
        <f t="shared" si="208"/>
        <v>0</v>
      </c>
      <c r="L474" s="258">
        <f t="shared" si="208"/>
        <v>0</v>
      </c>
      <c r="M474" s="258">
        <f t="shared" si="208"/>
        <v>0</v>
      </c>
      <c r="N474" s="258">
        <f t="shared" si="208"/>
        <v>0</v>
      </c>
      <c r="O474" s="258">
        <f t="shared" si="208"/>
        <v>0</v>
      </c>
      <c r="P474" s="258">
        <f t="shared" si="208"/>
        <v>0</v>
      </c>
      <c r="Q474" s="258">
        <f t="shared" si="208"/>
        <v>0</v>
      </c>
      <c r="R474" s="258">
        <f t="shared" si="208"/>
        <v>0</v>
      </c>
      <c r="S474" s="291">
        <f t="shared" si="208"/>
        <v>0</v>
      </c>
    </row>
    <row r="475" spans="1:19" ht="12.75" customHeight="1" x14ac:dyDescent="0.2">
      <c r="A475" s="198" t="str">
        <f>"      "&amp;Labels!B318</f>
        <v xml:space="preserve">      Channels 2</v>
      </c>
      <c r="B475" s="258">
        <f t="shared" ref="B475:S475" si="209">SUM(B449,B462)</f>
        <v>0</v>
      </c>
      <c r="C475" s="258">
        <f t="shared" si="209"/>
        <v>0</v>
      </c>
      <c r="D475" s="258">
        <f t="shared" si="209"/>
        <v>0</v>
      </c>
      <c r="E475" s="258">
        <f t="shared" si="209"/>
        <v>0</v>
      </c>
      <c r="F475" s="258">
        <f t="shared" si="209"/>
        <v>0</v>
      </c>
      <c r="G475" s="258">
        <f t="shared" si="209"/>
        <v>0</v>
      </c>
      <c r="H475" s="258">
        <f t="shared" si="209"/>
        <v>0</v>
      </c>
      <c r="I475" s="258">
        <f t="shared" si="209"/>
        <v>0</v>
      </c>
      <c r="J475" s="258">
        <f t="shared" si="209"/>
        <v>0</v>
      </c>
      <c r="K475" s="258">
        <f t="shared" si="209"/>
        <v>0</v>
      </c>
      <c r="L475" s="258">
        <f t="shared" si="209"/>
        <v>0</v>
      </c>
      <c r="M475" s="258">
        <f t="shared" si="209"/>
        <v>0</v>
      </c>
      <c r="N475" s="258">
        <f t="shared" si="209"/>
        <v>0</v>
      </c>
      <c r="O475" s="258">
        <f t="shared" si="209"/>
        <v>0</v>
      </c>
      <c r="P475" s="258">
        <f t="shared" si="209"/>
        <v>0</v>
      </c>
      <c r="Q475" s="258">
        <f t="shared" si="209"/>
        <v>0</v>
      </c>
      <c r="R475" s="258">
        <f t="shared" si="209"/>
        <v>0</v>
      </c>
      <c r="S475" s="291">
        <f t="shared" si="209"/>
        <v>0</v>
      </c>
    </row>
    <row r="476" spans="1:19" ht="12.75" customHeight="1" x14ac:dyDescent="0.2">
      <c r="A476" s="188" t="str">
        <f>"      "&amp;Labels!C316</f>
        <v xml:space="preserve">      Total</v>
      </c>
      <c r="B476" s="256">
        <f t="shared" ref="B476:S476" si="210">SUM(B450,B463)</f>
        <v>0</v>
      </c>
      <c r="C476" s="256">
        <f t="shared" si="210"/>
        <v>0</v>
      </c>
      <c r="D476" s="256">
        <f t="shared" si="210"/>
        <v>0</v>
      </c>
      <c r="E476" s="256">
        <f t="shared" si="210"/>
        <v>0</v>
      </c>
      <c r="F476" s="256">
        <f t="shared" si="210"/>
        <v>0</v>
      </c>
      <c r="G476" s="256">
        <f t="shared" si="210"/>
        <v>0</v>
      </c>
      <c r="H476" s="256">
        <f t="shared" si="210"/>
        <v>0</v>
      </c>
      <c r="I476" s="256">
        <f t="shared" si="210"/>
        <v>0</v>
      </c>
      <c r="J476" s="256">
        <f t="shared" si="210"/>
        <v>0</v>
      </c>
      <c r="K476" s="256">
        <f t="shared" si="210"/>
        <v>0</v>
      </c>
      <c r="L476" s="256">
        <f t="shared" si="210"/>
        <v>0</v>
      </c>
      <c r="M476" s="256">
        <f t="shared" si="210"/>
        <v>0</v>
      </c>
      <c r="N476" s="256">
        <f t="shared" si="210"/>
        <v>0</v>
      </c>
      <c r="O476" s="256">
        <f t="shared" si="210"/>
        <v>0</v>
      </c>
      <c r="P476" s="256">
        <f t="shared" si="210"/>
        <v>0</v>
      </c>
      <c r="Q476" s="256">
        <f t="shared" si="210"/>
        <v>0</v>
      </c>
      <c r="R476" s="256">
        <f t="shared" si="210"/>
        <v>0</v>
      </c>
      <c r="S476" s="290">
        <f t="shared" si="210"/>
        <v>0</v>
      </c>
    </row>
    <row r="477" spans="1:19" ht="12.75" customHeight="1" x14ac:dyDescent="0.2">
      <c r="A477" s="191" t="str">
        <f>"   "&amp;Labels!C384</f>
        <v xml:space="preserve">   Total</v>
      </c>
      <c r="B477" s="260">
        <f t="shared" ref="B477:S477" si="211">SUM(B451,B464)</f>
        <v>0</v>
      </c>
      <c r="C477" s="260">
        <f t="shared" si="211"/>
        <v>0</v>
      </c>
      <c r="D477" s="260">
        <f t="shared" si="211"/>
        <v>0</v>
      </c>
      <c r="E477" s="260">
        <f t="shared" si="211"/>
        <v>0</v>
      </c>
      <c r="F477" s="260">
        <f t="shared" si="211"/>
        <v>0</v>
      </c>
      <c r="G477" s="260">
        <f t="shared" si="211"/>
        <v>0</v>
      </c>
      <c r="H477" s="260">
        <f t="shared" si="211"/>
        <v>0</v>
      </c>
      <c r="I477" s="260">
        <f t="shared" si="211"/>
        <v>0</v>
      </c>
      <c r="J477" s="260">
        <f t="shared" si="211"/>
        <v>0</v>
      </c>
      <c r="K477" s="260">
        <f t="shared" si="211"/>
        <v>0</v>
      </c>
      <c r="L477" s="260">
        <f t="shared" si="211"/>
        <v>0</v>
      </c>
      <c r="M477" s="260">
        <f t="shared" si="211"/>
        <v>0</v>
      </c>
      <c r="N477" s="260">
        <f t="shared" si="211"/>
        <v>0</v>
      </c>
      <c r="O477" s="260">
        <f t="shared" si="211"/>
        <v>0</v>
      </c>
      <c r="P477" s="260">
        <f t="shared" si="211"/>
        <v>0</v>
      </c>
      <c r="Q477" s="260">
        <f t="shared" si="211"/>
        <v>0</v>
      </c>
      <c r="R477" s="260">
        <f t="shared" si="211"/>
        <v>0</v>
      </c>
      <c r="S477" s="289">
        <f t="shared" si="211"/>
        <v>0</v>
      </c>
    </row>
    <row r="478" spans="1:19" ht="12.75" customHeight="1" x14ac:dyDescent="0.2">
      <c r="A478" s="198" t="str">
        <f>"      "&amp;Labels!B317</f>
        <v xml:space="preserve">      Channels 1</v>
      </c>
      <c r="B478" s="258">
        <f t="shared" ref="B478:S478" si="212">SUM(B452,B465)</f>
        <v>0</v>
      </c>
      <c r="C478" s="258">
        <f t="shared" si="212"/>
        <v>0</v>
      </c>
      <c r="D478" s="258">
        <f t="shared" si="212"/>
        <v>0</v>
      </c>
      <c r="E478" s="258">
        <f t="shared" si="212"/>
        <v>0</v>
      </c>
      <c r="F478" s="258">
        <f t="shared" si="212"/>
        <v>0</v>
      </c>
      <c r="G478" s="258">
        <f t="shared" si="212"/>
        <v>0</v>
      </c>
      <c r="H478" s="258">
        <f t="shared" si="212"/>
        <v>0</v>
      </c>
      <c r="I478" s="258">
        <f t="shared" si="212"/>
        <v>0</v>
      </c>
      <c r="J478" s="258">
        <f t="shared" si="212"/>
        <v>0</v>
      </c>
      <c r="K478" s="258">
        <f t="shared" si="212"/>
        <v>0</v>
      </c>
      <c r="L478" s="258">
        <f t="shared" si="212"/>
        <v>0</v>
      </c>
      <c r="M478" s="258">
        <f t="shared" si="212"/>
        <v>0</v>
      </c>
      <c r="N478" s="258">
        <f t="shared" si="212"/>
        <v>0</v>
      </c>
      <c r="O478" s="258">
        <f t="shared" si="212"/>
        <v>0</v>
      </c>
      <c r="P478" s="258">
        <f t="shared" si="212"/>
        <v>0</v>
      </c>
      <c r="Q478" s="258">
        <f t="shared" si="212"/>
        <v>0</v>
      </c>
      <c r="R478" s="258">
        <f t="shared" si="212"/>
        <v>0</v>
      </c>
      <c r="S478" s="291">
        <f t="shared" si="212"/>
        <v>0</v>
      </c>
    </row>
    <row r="479" spans="1:19" ht="12.75" customHeight="1" x14ac:dyDescent="0.2">
      <c r="A479" s="198" t="str">
        <f>"      "&amp;Labels!B318</f>
        <v xml:space="preserve">      Channels 2</v>
      </c>
      <c r="B479" s="258">
        <f t="shared" ref="B479:S479" si="213">SUM(B453,B466)</f>
        <v>0</v>
      </c>
      <c r="C479" s="258">
        <f t="shared" si="213"/>
        <v>0</v>
      </c>
      <c r="D479" s="258">
        <f t="shared" si="213"/>
        <v>0</v>
      </c>
      <c r="E479" s="258">
        <f t="shared" si="213"/>
        <v>0</v>
      </c>
      <c r="F479" s="258">
        <f t="shared" si="213"/>
        <v>0</v>
      </c>
      <c r="G479" s="258">
        <f t="shared" si="213"/>
        <v>0</v>
      </c>
      <c r="H479" s="258">
        <f t="shared" si="213"/>
        <v>0</v>
      </c>
      <c r="I479" s="258">
        <f t="shared" si="213"/>
        <v>0</v>
      </c>
      <c r="J479" s="258">
        <f t="shared" si="213"/>
        <v>0</v>
      </c>
      <c r="K479" s="258">
        <f t="shared" si="213"/>
        <v>0</v>
      </c>
      <c r="L479" s="258">
        <f t="shared" si="213"/>
        <v>0</v>
      </c>
      <c r="M479" s="258">
        <f t="shared" si="213"/>
        <v>0</v>
      </c>
      <c r="N479" s="258">
        <f t="shared" si="213"/>
        <v>0</v>
      </c>
      <c r="O479" s="258">
        <f t="shared" si="213"/>
        <v>0</v>
      </c>
      <c r="P479" s="258">
        <f t="shared" si="213"/>
        <v>0</v>
      </c>
      <c r="Q479" s="258">
        <f t="shared" si="213"/>
        <v>0</v>
      </c>
      <c r="R479" s="258">
        <f t="shared" si="213"/>
        <v>0</v>
      </c>
      <c r="S479" s="291">
        <f t="shared" si="213"/>
        <v>0</v>
      </c>
    </row>
    <row r="480" spans="1:19" ht="12.75" customHeight="1" x14ac:dyDescent="0.2">
      <c r="A480" s="220" t="str">
        <f>"      "&amp;Labels!C316</f>
        <v xml:space="preserve">      Total</v>
      </c>
      <c r="B480" s="362">
        <f t="shared" ref="B480:S480" si="214">SUM(B451,B464)</f>
        <v>0</v>
      </c>
      <c r="C480" s="362">
        <f t="shared" si="214"/>
        <v>0</v>
      </c>
      <c r="D480" s="362">
        <f t="shared" si="214"/>
        <v>0</v>
      </c>
      <c r="E480" s="362">
        <f t="shared" si="214"/>
        <v>0</v>
      </c>
      <c r="F480" s="362">
        <f t="shared" si="214"/>
        <v>0</v>
      </c>
      <c r="G480" s="362">
        <f t="shared" si="214"/>
        <v>0</v>
      </c>
      <c r="H480" s="362">
        <f t="shared" si="214"/>
        <v>0</v>
      </c>
      <c r="I480" s="362">
        <f t="shared" si="214"/>
        <v>0</v>
      </c>
      <c r="J480" s="362">
        <f t="shared" si="214"/>
        <v>0</v>
      </c>
      <c r="K480" s="362">
        <f t="shared" si="214"/>
        <v>0</v>
      </c>
      <c r="L480" s="362">
        <f t="shared" si="214"/>
        <v>0</v>
      </c>
      <c r="M480" s="362">
        <f t="shared" si="214"/>
        <v>0</v>
      </c>
      <c r="N480" s="362">
        <f t="shared" si="214"/>
        <v>0</v>
      </c>
      <c r="O480" s="362">
        <f t="shared" si="214"/>
        <v>0</v>
      </c>
      <c r="P480" s="362">
        <f t="shared" si="214"/>
        <v>0</v>
      </c>
      <c r="Q480" s="362">
        <f t="shared" si="214"/>
        <v>0</v>
      </c>
      <c r="R480" s="362">
        <f t="shared" si="214"/>
        <v>0</v>
      </c>
      <c r="S480" s="363">
        <f t="shared" si="214"/>
        <v>0</v>
      </c>
    </row>
    <row r="481" spans="1:19" ht="12.75" customHeight="1" x14ac:dyDescent="0.2">
      <c r="A481" s="1" t="str">
        <f>Labels!B235</f>
        <v>Sales Lead Conv Hrs%</v>
      </c>
    </row>
    <row r="482" spans="1:19" ht="12.75" customHeight="1" x14ac:dyDescent="0.2">
      <c r="B482" s="9" t="str">
        <f>'(FnCalls 1)'!F41</f>
        <v>MMM 2010</v>
      </c>
      <c r="C482" s="10" t="str">
        <f>'(FnCalls 1)'!F42</f>
        <v>MMM 2010</v>
      </c>
      <c r="D482" s="10" t="str">
        <f>'(FnCalls 1)'!F43</f>
        <v>MMM 2010</v>
      </c>
      <c r="E482" s="10" t="str">
        <f>'(FnCalls 1)'!F44</f>
        <v>MMM 2010</v>
      </c>
      <c r="F482" s="10" t="str">
        <f>'(FnCalls 1)'!F45</f>
        <v>MMM 2010</v>
      </c>
      <c r="G482" s="10" t="str">
        <f>'(FnCalls 1)'!F46</f>
        <v>MMM 2010</v>
      </c>
      <c r="H482" s="10" t="str">
        <f>'(FnCalls 1)'!F47</f>
        <v>MMM 2010</v>
      </c>
      <c r="I482" s="10" t="str">
        <f>'(FnCalls 1)'!F48</f>
        <v>MMM 2010</v>
      </c>
      <c r="J482" s="10" t="str">
        <f>'(FnCalls 1)'!F49</f>
        <v>MMM 2010</v>
      </c>
      <c r="K482" s="10" t="str">
        <f>'(FnCalls 1)'!F50</f>
        <v>MMM 2010</v>
      </c>
      <c r="L482" s="10" t="str">
        <f>'(FnCalls 1)'!F51</f>
        <v>MMM 2010</v>
      </c>
      <c r="M482" s="10" t="str">
        <f>'(FnCalls 1)'!F52</f>
        <v>MMM 2010</v>
      </c>
      <c r="N482" s="10" t="str">
        <f>'(FnCalls 1)'!F53</f>
        <v>MMM 2011</v>
      </c>
      <c r="O482" s="10" t="str">
        <f>'(FnCalls 1)'!F54</f>
        <v>MMM 2011</v>
      </c>
      <c r="P482" s="10" t="str">
        <f>'(FnCalls 1)'!F55</f>
        <v>MMM 2011</v>
      </c>
      <c r="Q482" s="10" t="str">
        <f>'(FnCalls 1)'!F56</f>
        <v>MMM 2011</v>
      </c>
      <c r="R482" s="10" t="str">
        <f>'(FnCalls 1)'!F57</f>
        <v>MMM 2011</v>
      </c>
      <c r="S482" s="11" t="str">
        <f>'(FnCalls 1)'!F58</f>
        <v>MMM 2011</v>
      </c>
    </row>
    <row r="483" spans="1:19" ht="12.75" customHeight="1" x14ac:dyDescent="0.2">
      <c r="A483" s="182" t="str">
        <f>Labels!B389</f>
        <v>Lead Qual 1</v>
      </c>
      <c r="B483" s="207"/>
      <c r="C483" s="207"/>
      <c r="D483" s="207"/>
      <c r="E483" s="207"/>
      <c r="F483" s="207"/>
      <c r="G483" s="207"/>
      <c r="H483" s="207"/>
      <c r="I483" s="207"/>
      <c r="J483" s="207"/>
      <c r="K483" s="207"/>
      <c r="L483" s="207"/>
      <c r="M483" s="207"/>
      <c r="N483" s="207"/>
      <c r="O483" s="207"/>
      <c r="P483" s="207"/>
      <c r="Q483" s="207"/>
      <c r="R483" s="207"/>
      <c r="S483" s="391"/>
    </row>
    <row r="484" spans="1:19" ht="12.75" customHeight="1" x14ac:dyDescent="0.2">
      <c r="A484" s="188" t="str">
        <f>"   "&amp;Labels!B381</f>
        <v xml:space="preserve">   Practice 1</v>
      </c>
      <c r="B484" s="218"/>
      <c r="C484" s="218"/>
      <c r="D484" s="218"/>
      <c r="E484" s="218"/>
      <c r="F484" s="218"/>
      <c r="G484" s="218"/>
      <c r="H484" s="218"/>
      <c r="I484" s="218"/>
      <c r="J484" s="218"/>
      <c r="K484" s="218"/>
      <c r="L484" s="218"/>
      <c r="M484" s="218"/>
      <c r="N484" s="218"/>
      <c r="O484" s="218"/>
      <c r="P484" s="218"/>
      <c r="Q484" s="218"/>
      <c r="R484" s="218"/>
      <c r="S484" s="392"/>
    </row>
    <row r="485" spans="1:19" ht="12.75" customHeight="1" x14ac:dyDescent="0.2">
      <c r="A485" s="198" t="str">
        <f>"      "&amp;Labels!B385</f>
        <v xml:space="preserve">      Prof Level 1</v>
      </c>
      <c r="B485" s="233"/>
      <c r="C485" s="233"/>
      <c r="D485" s="233"/>
      <c r="E485" s="233"/>
      <c r="F485" s="233"/>
      <c r="G485" s="233"/>
      <c r="H485" s="233"/>
      <c r="I485" s="233"/>
      <c r="J485" s="233"/>
      <c r="K485" s="233"/>
      <c r="L485" s="233"/>
      <c r="M485" s="233"/>
      <c r="N485" s="233"/>
      <c r="O485" s="233"/>
      <c r="P485" s="233"/>
      <c r="Q485" s="233"/>
      <c r="R485" s="233"/>
      <c r="S485" s="393"/>
    </row>
    <row r="486" spans="1:19" ht="12.75" customHeight="1" x14ac:dyDescent="0.2">
      <c r="A486" s="198" t="str">
        <f>"         "&amp;Labels!B317</f>
        <v xml:space="preserve">         Channels 1</v>
      </c>
      <c r="B486" s="209">
        <f t="shared" ref="B486:S486" si="215">IF(B120&gt;0.9999999,B120,1-EXP(LN(1-B120)/12))</f>
        <v>5.6125687318306472E-2</v>
      </c>
      <c r="C486" s="209">
        <f t="shared" si="215"/>
        <v>5.6125687318306472E-2</v>
      </c>
      <c r="D486" s="209">
        <f t="shared" si="215"/>
        <v>5.6125687318306472E-2</v>
      </c>
      <c r="E486" s="209">
        <f t="shared" si="215"/>
        <v>5.6125687318306472E-2</v>
      </c>
      <c r="F486" s="209">
        <f t="shared" si="215"/>
        <v>5.6125687318306472E-2</v>
      </c>
      <c r="G486" s="209">
        <f t="shared" si="215"/>
        <v>5.6125687318306472E-2</v>
      </c>
      <c r="H486" s="209">
        <f t="shared" si="215"/>
        <v>5.6125687318306472E-2</v>
      </c>
      <c r="I486" s="209">
        <f t="shared" si="215"/>
        <v>5.6125687318306472E-2</v>
      </c>
      <c r="J486" s="209">
        <f t="shared" si="215"/>
        <v>5.6125687318306472E-2</v>
      </c>
      <c r="K486" s="209">
        <f t="shared" si="215"/>
        <v>5.6125687318306472E-2</v>
      </c>
      <c r="L486" s="209">
        <f t="shared" si="215"/>
        <v>5.6125687318306472E-2</v>
      </c>
      <c r="M486" s="209">
        <f t="shared" si="215"/>
        <v>5.6125687318306472E-2</v>
      </c>
      <c r="N486" s="209">
        <f t="shared" si="215"/>
        <v>5.6125687318306472E-2</v>
      </c>
      <c r="O486" s="209">
        <f t="shared" si="215"/>
        <v>5.6125687318306472E-2</v>
      </c>
      <c r="P486" s="209">
        <f t="shared" si="215"/>
        <v>5.6125687318306472E-2</v>
      </c>
      <c r="Q486" s="209">
        <f t="shared" si="215"/>
        <v>5.6125687318306472E-2</v>
      </c>
      <c r="R486" s="209">
        <f t="shared" si="215"/>
        <v>5.6125687318306472E-2</v>
      </c>
      <c r="S486" s="394">
        <f t="shared" si="215"/>
        <v>5.6125687318306472E-2</v>
      </c>
    </row>
    <row r="487" spans="1:19" ht="12.75" customHeight="1" x14ac:dyDescent="0.2">
      <c r="A487" s="198" t="str">
        <f>"         "&amp;Labels!B318</f>
        <v xml:space="preserve">         Channels 2</v>
      </c>
      <c r="B487" s="209">
        <f t="shared" ref="B487:S487" si="216">IF(B121&gt;0.9999999,B121,1-EXP(LN(1-B121)/12))</f>
        <v>5.6125687318306472E-2</v>
      </c>
      <c r="C487" s="209">
        <f t="shared" si="216"/>
        <v>5.6125687318306472E-2</v>
      </c>
      <c r="D487" s="209">
        <f t="shared" si="216"/>
        <v>5.6125687318306472E-2</v>
      </c>
      <c r="E487" s="209">
        <f t="shared" si="216"/>
        <v>5.6125687318306472E-2</v>
      </c>
      <c r="F487" s="209">
        <f t="shared" si="216"/>
        <v>5.6125687318306472E-2</v>
      </c>
      <c r="G487" s="209">
        <f t="shared" si="216"/>
        <v>5.6125687318306472E-2</v>
      </c>
      <c r="H487" s="209">
        <f t="shared" si="216"/>
        <v>5.6125687318306472E-2</v>
      </c>
      <c r="I487" s="209">
        <f t="shared" si="216"/>
        <v>5.6125687318306472E-2</v>
      </c>
      <c r="J487" s="209">
        <f t="shared" si="216"/>
        <v>5.6125687318306472E-2</v>
      </c>
      <c r="K487" s="209">
        <f t="shared" si="216"/>
        <v>5.6125687318306472E-2</v>
      </c>
      <c r="L487" s="209">
        <f t="shared" si="216"/>
        <v>5.6125687318306472E-2</v>
      </c>
      <c r="M487" s="209">
        <f t="shared" si="216"/>
        <v>5.6125687318306472E-2</v>
      </c>
      <c r="N487" s="209">
        <f t="shared" si="216"/>
        <v>5.6125687318306472E-2</v>
      </c>
      <c r="O487" s="209">
        <f t="shared" si="216"/>
        <v>5.6125687318306472E-2</v>
      </c>
      <c r="P487" s="209">
        <f t="shared" si="216"/>
        <v>5.6125687318306472E-2</v>
      </c>
      <c r="Q487" s="209">
        <f t="shared" si="216"/>
        <v>5.6125687318306472E-2</v>
      </c>
      <c r="R487" s="209">
        <f t="shared" si="216"/>
        <v>5.6125687318306472E-2</v>
      </c>
      <c r="S487" s="394">
        <f t="shared" si="216"/>
        <v>5.6125687318306472E-2</v>
      </c>
    </row>
    <row r="488" spans="1:19" ht="12.75" customHeight="1" x14ac:dyDescent="0.2">
      <c r="A488" s="198" t="str">
        <f>"         "&amp;Labels!C316</f>
        <v xml:space="preserve">         Total</v>
      </c>
      <c r="B488" s="233">
        <f t="shared" ref="B488:S488" si="217">AVERAGE(B486:B487)</f>
        <v>5.6125687318306472E-2</v>
      </c>
      <c r="C488" s="233">
        <f t="shared" si="217"/>
        <v>5.6125687318306472E-2</v>
      </c>
      <c r="D488" s="233">
        <f t="shared" si="217"/>
        <v>5.6125687318306472E-2</v>
      </c>
      <c r="E488" s="233">
        <f t="shared" si="217"/>
        <v>5.6125687318306472E-2</v>
      </c>
      <c r="F488" s="233">
        <f t="shared" si="217"/>
        <v>5.6125687318306472E-2</v>
      </c>
      <c r="G488" s="233">
        <f t="shared" si="217"/>
        <v>5.6125687318306472E-2</v>
      </c>
      <c r="H488" s="233">
        <f t="shared" si="217"/>
        <v>5.6125687318306472E-2</v>
      </c>
      <c r="I488" s="233">
        <f t="shared" si="217"/>
        <v>5.6125687318306472E-2</v>
      </c>
      <c r="J488" s="233">
        <f t="shared" si="217"/>
        <v>5.6125687318306472E-2</v>
      </c>
      <c r="K488" s="233">
        <f t="shared" si="217"/>
        <v>5.6125687318306472E-2</v>
      </c>
      <c r="L488" s="233">
        <f t="shared" si="217"/>
        <v>5.6125687318306472E-2</v>
      </c>
      <c r="M488" s="233">
        <f t="shared" si="217"/>
        <v>5.6125687318306472E-2</v>
      </c>
      <c r="N488" s="233">
        <f t="shared" si="217"/>
        <v>5.6125687318306472E-2</v>
      </c>
      <c r="O488" s="233">
        <f t="shared" si="217"/>
        <v>5.6125687318306472E-2</v>
      </c>
      <c r="P488" s="233">
        <f t="shared" si="217"/>
        <v>5.6125687318306472E-2</v>
      </c>
      <c r="Q488" s="233">
        <f t="shared" si="217"/>
        <v>5.6125687318306472E-2</v>
      </c>
      <c r="R488" s="233">
        <f t="shared" si="217"/>
        <v>5.6125687318306472E-2</v>
      </c>
      <c r="S488" s="393">
        <f t="shared" si="217"/>
        <v>5.6125687318306472E-2</v>
      </c>
    </row>
    <row r="489" spans="1:19" ht="12.75" customHeight="1" x14ac:dyDescent="0.2">
      <c r="A489" s="198" t="str">
        <f>"      "&amp;Labels!B386</f>
        <v xml:space="preserve">      Prof Level 2</v>
      </c>
      <c r="B489" s="233"/>
      <c r="C489" s="233"/>
      <c r="D489" s="233"/>
      <c r="E489" s="233"/>
      <c r="F489" s="233"/>
      <c r="G489" s="233"/>
      <c r="H489" s="233"/>
      <c r="I489" s="233"/>
      <c r="J489" s="233"/>
      <c r="K489" s="233"/>
      <c r="L489" s="233"/>
      <c r="M489" s="233"/>
      <c r="N489" s="233"/>
      <c r="O489" s="233"/>
      <c r="P489" s="233"/>
      <c r="Q489" s="233"/>
      <c r="R489" s="233"/>
      <c r="S489" s="393"/>
    </row>
    <row r="490" spans="1:19" ht="12.75" customHeight="1" x14ac:dyDescent="0.2">
      <c r="A490" s="198" t="str">
        <f>"         "&amp;Labels!B317</f>
        <v xml:space="preserve">         Channels 1</v>
      </c>
      <c r="B490" s="209">
        <f t="shared" ref="B490:S490" si="218">IF(B124&gt;0.9999999,B124,1-EXP(LN(1-B124)/12))</f>
        <v>5.6125687318306472E-2</v>
      </c>
      <c r="C490" s="209">
        <f t="shared" si="218"/>
        <v>5.6125687318306472E-2</v>
      </c>
      <c r="D490" s="209">
        <f t="shared" si="218"/>
        <v>5.6125687318306472E-2</v>
      </c>
      <c r="E490" s="209">
        <f t="shared" si="218"/>
        <v>5.6125687318306472E-2</v>
      </c>
      <c r="F490" s="209">
        <f t="shared" si="218"/>
        <v>5.6125687318306472E-2</v>
      </c>
      <c r="G490" s="209">
        <f t="shared" si="218"/>
        <v>5.6125687318306472E-2</v>
      </c>
      <c r="H490" s="209">
        <f t="shared" si="218"/>
        <v>5.6125687318306472E-2</v>
      </c>
      <c r="I490" s="209">
        <f t="shared" si="218"/>
        <v>5.6125687318306472E-2</v>
      </c>
      <c r="J490" s="209">
        <f t="shared" si="218"/>
        <v>5.6125687318306472E-2</v>
      </c>
      <c r="K490" s="209">
        <f t="shared" si="218"/>
        <v>5.6125687318306472E-2</v>
      </c>
      <c r="L490" s="209">
        <f t="shared" si="218"/>
        <v>5.6125687318306472E-2</v>
      </c>
      <c r="M490" s="209">
        <f t="shared" si="218"/>
        <v>5.6125687318306472E-2</v>
      </c>
      <c r="N490" s="209">
        <f t="shared" si="218"/>
        <v>5.6125687318306472E-2</v>
      </c>
      <c r="O490" s="209">
        <f t="shared" si="218"/>
        <v>5.6125687318306472E-2</v>
      </c>
      <c r="P490" s="209">
        <f t="shared" si="218"/>
        <v>5.6125687318306472E-2</v>
      </c>
      <c r="Q490" s="209">
        <f t="shared" si="218"/>
        <v>5.6125687318306472E-2</v>
      </c>
      <c r="R490" s="209">
        <f t="shared" si="218"/>
        <v>5.6125687318306472E-2</v>
      </c>
      <c r="S490" s="394">
        <f t="shared" si="218"/>
        <v>5.6125687318306472E-2</v>
      </c>
    </row>
    <row r="491" spans="1:19" ht="12.75" customHeight="1" x14ac:dyDescent="0.2">
      <c r="A491" s="198" t="str">
        <f>"         "&amp;Labels!B318</f>
        <v xml:space="preserve">         Channels 2</v>
      </c>
      <c r="B491" s="209">
        <f t="shared" ref="B491:S491" si="219">IF(B125&gt;0.9999999,B125,1-EXP(LN(1-B125)/12))</f>
        <v>5.6125687318306472E-2</v>
      </c>
      <c r="C491" s="209">
        <f t="shared" si="219"/>
        <v>5.6125687318306472E-2</v>
      </c>
      <c r="D491" s="209">
        <f t="shared" si="219"/>
        <v>5.6125687318306472E-2</v>
      </c>
      <c r="E491" s="209">
        <f t="shared" si="219"/>
        <v>5.6125687318306472E-2</v>
      </c>
      <c r="F491" s="209">
        <f t="shared" si="219"/>
        <v>5.6125687318306472E-2</v>
      </c>
      <c r="G491" s="209">
        <f t="shared" si="219"/>
        <v>5.6125687318306472E-2</v>
      </c>
      <c r="H491" s="209">
        <f t="shared" si="219"/>
        <v>5.6125687318306472E-2</v>
      </c>
      <c r="I491" s="209">
        <f t="shared" si="219"/>
        <v>5.6125687318306472E-2</v>
      </c>
      <c r="J491" s="209">
        <f t="shared" si="219"/>
        <v>5.6125687318306472E-2</v>
      </c>
      <c r="K491" s="209">
        <f t="shared" si="219"/>
        <v>5.6125687318306472E-2</v>
      </c>
      <c r="L491" s="209">
        <f t="shared" si="219"/>
        <v>5.6125687318306472E-2</v>
      </c>
      <c r="M491" s="209">
        <f t="shared" si="219"/>
        <v>5.6125687318306472E-2</v>
      </c>
      <c r="N491" s="209">
        <f t="shared" si="219"/>
        <v>5.6125687318306472E-2</v>
      </c>
      <c r="O491" s="209">
        <f t="shared" si="219"/>
        <v>5.6125687318306472E-2</v>
      </c>
      <c r="P491" s="209">
        <f t="shared" si="219"/>
        <v>5.6125687318306472E-2</v>
      </c>
      <c r="Q491" s="209">
        <f t="shared" si="219"/>
        <v>5.6125687318306472E-2</v>
      </c>
      <c r="R491" s="209">
        <f t="shared" si="219"/>
        <v>5.6125687318306472E-2</v>
      </c>
      <c r="S491" s="394">
        <f t="shared" si="219"/>
        <v>5.6125687318306472E-2</v>
      </c>
    </row>
    <row r="492" spans="1:19" ht="12.75" customHeight="1" x14ac:dyDescent="0.2">
      <c r="A492" s="198" t="str">
        <f>"         "&amp;Labels!C316</f>
        <v xml:space="preserve">         Total</v>
      </c>
      <c r="B492" s="233">
        <f t="shared" ref="B492:S492" si="220">AVERAGE(B490:B491)</f>
        <v>5.6125687318306472E-2</v>
      </c>
      <c r="C492" s="233">
        <f t="shared" si="220"/>
        <v>5.6125687318306472E-2</v>
      </c>
      <c r="D492" s="233">
        <f t="shared" si="220"/>
        <v>5.6125687318306472E-2</v>
      </c>
      <c r="E492" s="233">
        <f t="shared" si="220"/>
        <v>5.6125687318306472E-2</v>
      </c>
      <c r="F492" s="233">
        <f t="shared" si="220"/>
        <v>5.6125687318306472E-2</v>
      </c>
      <c r="G492" s="233">
        <f t="shared" si="220"/>
        <v>5.6125687318306472E-2</v>
      </c>
      <c r="H492" s="233">
        <f t="shared" si="220"/>
        <v>5.6125687318306472E-2</v>
      </c>
      <c r="I492" s="233">
        <f t="shared" si="220"/>
        <v>5.6125687318306472E-2</v>
      </c>
      <c r="J492" s="233">
        <f t="shared" si="220"/>
        <v>5.6125687318306472E-2</v>
      </c>
      <c r="K492" s="233">
        <f t="shared" si="220"/>
        <v>5.6125687318306472E-2</v>
      </c>
      <c r="L492" s="233">
        <f t="shared" si="220"/>
        <v>5.6125687318306472E-2</v>
      </c>
      <c r="M492" s="233">
        <f t="shared" si="220"/>
        <v>5.6125687318306472E-2</v>
      </c>
      <c r="N492" s="233">
        <f t="shared" si="220"/>
        <v>5.6125687318306472E-2</v>
      </c>
      <c r="O492" s="233">
        <f t="shared" si="220"/>
        <v>5.6125687318306472E-2</v>
      </c>
      <c r="P492" s="233">
        <f t="shared" si="220"/>
        <v>5.6125687318306472E-2</v>
      </c>
      <c r="Q492" s="233">
        <f t="shared" si="220"/>
        <v>5.6125687318306472E-2</v>
      </c>
      <c r="R492" s="233">
        <f t="shared" si="220"/>
        <v>5.6125687318306472E-2</v>
      </c>
      <c r="S492" s="393">
        <f t="shared" si="220"/>
        <v>5.6125687318306472E-2</v>
      </c>
    </row>
    <row r="493" spans="1:19" ht="12.75" customHeight="1" x14ac:dyDescent="0.2">
      <c r="A493" s="188" t="str">
        <f>"      "&amp;Labels!C384</f>
        <v xml:space="preserve">      Total</v>
      </c>
      <c r="B493" s="218">
        <f t="shared" ref="B493:S493" si="221">AVERAGE(B488,B492)</f>
        <v>5.6125687318306472E-2</v>
      </c>
      <c r="C493" s="218">
        <f t="shared" si="221"/>
        <v>5.6125687318306472E-2</v>
      </c>
      <c r="D493" s="218">
        <f t="shared" si="221"/>
        <v>5.6125687318306472E-2</v>
      </c>
      <c r="E493" s="218">
        <f t="shared" si="221"/>
        <v>5.6125687318306472E-2</v>
      </c>
      <c r="F493" s="218">
        <f t="shared" si="221"/>
        <v>5.6125687318306472E-2</v>
      </c>
      <c r="G493" s="218">
        <f t="shared" si="221"/>
        <v>5.6125687318306472E-2</v>
      </c>
      <c r="H493" s="218">
        <f t="shared" si="221"/>
        <v>5.6125687318306472E-2</v>
      </c>
      <c r="I493" s="218">
        <f t="shared" si="221"/>
        <v>5.6125687318306472E-2</v>
      </c>
      <c r="J493" s="218">
        <f t="shared" si="221"/>
        <v>5.6125687318306472E-2</v>
      </c>
      <c r="K493" s="218">
        <f t="shared" si="221"/>
        <v>5.6125687318306472E-2</v>
      </c>
      <c r="L493" s="218">
        <f t="shared" si="221"/>
        <v>5.6125687318306472E-2</v>
      </c>
      <c r="M493" s="218">
        <f t="shared" si="221"/>
        <v>5.6125687318306472E-2</v>
      </c>
      <c r="N493" s="218">
        <f t="shared" si="221"/>
        <v>5.6125687318306472E-2</v>
      </c>
      <c r="O493" s="218">
        <f t="shared" si="221"/>
        <v>5.6125687318306472E-2</v>
      </c>
      <c r="P493" s="218">
        <f t="shared" si="221"/>
        <v>5.6125687318306472E-2</v>
      </c>
      <c r="Q493" s="218">
        <f t="shared" si="221"/>
        <v>5.6125687318306472E-2</v>
      </c>
      <c r="R493" s="218">
        <f t="shared" si="221"/>
        <v>5.6125687318306472E-2</v>
      </c>
      <c r="S493" s="392">
        <f t="shared" si="221"/>
        <v>5.6125687318306472E-2</v>
      </c>
    </row>
    <row r="494" spans="1:19" ht="12.75" customHeight="1" x14ac:dyDescent="0.2">
      <c r="A494" s="198" t="str">
        <f>"         "&amp;Labels!B317</f>
        <v xml:space="preserve">         Channels 1</v>
      </c>
      <c r="B494" s="209">
        <f t="shared" ref="B494:S494" si="222">AVERAGE(B486,B490)</f>
        <v>5.6125687318306472E-2</v>
      </c>
      <c r="C494" s="209">
        <f t="shared" si="222"/>
        <v>5.6125687318306472E-2</v>
      </c>
      <c r="D494" s="209">
        <f t="shared" si="222"/>
        <v>5.6125687318306472E-2</v>
      </c>
      <c r="E494" s="209">
        <f t="shared" si="222"/>
        <v>5.6125687318306472E-2</v>
      </c>
      <c r="F494" s="209">
        <f t="shared" si="222"/>
        <v>5.6125687318306472E-2</v>
      </c>
      <c r="G494" s="209">
        <f t="shared" si="222"/>
        <v>5.6125687318306472E-2</v>
      </c>
      <c r="H494" s="209">
        <f t="shared" si="222"/>
        <v>5.6125687318306472E-2</v>
      </c>
      <c r="I494" s="209">
        <f t="shared" si="222"/>
        <v>5.6125687318306472E-2</v>
      </c>
      <c r="J494" s="209">
        <f t="shared" si="222"/>
        <v>5.6125687318306472E-2</v>
      </c>
      <c r="K494" s="209">
        <f t="shared" si="222"/>
        <v>5.6125687318306472E-2</v>
      </c>
      <c r="L494" s="209">
        <f t="shared" si="222"/>
        <v>5.6125687318306472E-2</v>
      </c>
      <c r="M494" s="209">
        <f t="shared" si="222"/>
        <v>5.6125687318306472E-2</v>
      </c>
      <c r="N494" s="209">
        <f t="shared" si="222"/>
        <v>5.6125687318306472E-2</v>
      </c>
      <c r="O494" s="209">
        <f t="shared" si="222"/>
        <v>5.6125687318306472E-2</v>
      </c>
      <c r="P494" s="209">
        <f t="shared" si="222"/>
        <v>5.6125687318306472E-2</v>
      </c>
      <c r="Q494" s="209">
        <f t="shared" si="222"/>
        <v>5.6125687318306472E-2</v>
      </c>
      <c r="R494" s="209">
        <f t="shared" si="222"/>
        <v>5.6125687318306472E-2</v>
      </c>
      <c r="S494" s="394">
        <f t="shared" si="222"/>
        <v>5.6125687318306472E-2</v>
      </c>
    </row>
    <row r="495" spans="1:19" ht="12.75" customHeight="1" x14ac:dyDescent="0.2">
      <c r="A495" s="198" t="str">
        <f>"         "&amp;Labels!B318</f>
        <v xml:space="preserve">         Channels 2</v>
      </c>
      <c r="B495" s="209">
        <f t="shared" ref="B495:S495" si="223">AVERAGE(B487,B491)</f>
        <v>5.6125687318306472E-2</v>
      </c>
      <c r="C495" s="209">
        <f t="shared" si="223"/>
        <v>5.6125687318306472E-2</v>
      </c>
      <c r="D495" s="209">
        <f t="shared" si="223"/>
        <v>5.6125687318306472E-2</v>
      </c>
      <c r="E495" s="209">
        <f t="shared" si="223"/>
        <v>5.6125687318306472E-2</v>
      </c>
      <c r="F495" s="209">
        <f t="shared" si="223"/>
        <v>5.6125687318306472E-2</v>
      </c>
      <c r="G495" s="209">
        <f t="shared" si="223"/>
        <v>5.6125687318306472E-2</v>
      </c>
      <c r="H495" s="209">
        <f t="shared" si="223"/>
        <v>5.6125687318306472E-2</v>
      </c>
      <c r="I495" s="209">
        <f t="shared" si="223"/>
        <v>5.6125687318306472E-2</v>
      </c>
      <c r="J495" s="209">
        <f t="shared" si="223"/>
        <v>5.6125687318306472E-2</v>
      </c>
      <c r="K495" s="209">
        <f t="shared" si="223"/>
        <v>5.6125687318306472E-2</v>
      </c>
      <c r="L495" s="209">
        <f t="shared" si="223"/>
        <v>5.6125687318306472E-2</v>
      </c>
      <c r="M495" s="209">
        <f t="shared" si="223"/>
        <v>5.6125687318306472E-2</v>
      </c>
      <c r="N495" s="209">
        <f t="shared" si="223"/>
        <v>5.6125687318306472E-2</v>
      </c>
      <c r="O495" s="209">
        <f t="shared" si="223"/>
        <v>5.6125687318306472E-2</v>
      </c>
      <c r="P495" s="209">
        <f t="shared" si="223"/>
        <v>5.6125687318306472E-2</v>
      </c>
      <c r="Q495" s="209">
        <f t="shared" si="223"/>
        <v>5.6125687318306472E-2</v>
      </c>
      <c r="R495" s="209">
        <f t="shared" si="223"/>
        <v>5.6125687318306472E-2</v>
      </c>
      <c r="S495" s="394">
        <f t="shared" si="223"/>
        <v>5.6125687318306472E-2</v>
      </c>
    </row>
    <row r="496" spans="1:19" ht="12.75" customHeight="1" x14ac:dyDescent="0.2">
      <c r="A496" s="198" t="str">
        <f>"         "&amp;Labels!C316</f>
        <v xml:space="preserve">         Total</v>
      </c>
      <c r="B496" s="233">
        <f t="shared" ref="B496:S496" si="224">AVERAGE(B488,B492)</f>
        <v>5.6125687318306472E-2</v>
      </c>
      <c r="C496" s="233">
        <f t="shared" si="224"/>
        <v>5.6125687318306472E-2</v>
      </c>
      <c r="D496" s="233">
        <f t="shared" si="224"/>
        <v>5.6125687318306472E-2</v>
      </c>
      <c r="E496" s="233">
        <f t="shared" si="224"/>
        <v>5.6125687318306472E-2</v>
      </c>
      <c r="F496" s="233">
        <f t="shared" si="224"/>
        <v>5.6125687318306472E-2</v>
      </c>
      <c r="G496" s="233">
        <f t="shared" si="224"/>
        <v>5.6125687318306472E-2</v>
      </c>
      <c r="H496" s="233">
        <f t="shared" si="224"/>
        <v>5.6125687318306472E-2</v>
      </c>
      <c r="I496" s="233">
        <f t="shared" si="224"/>
        <v>5.6125687318306472E-2</v>
      </c>
      <c r="J496" s="233">
        <f t="shared" si="224"/>
        <v>5.6125687318306472E-2</v>
      </c>
      <c r="K496" s="233">
        <f t="shared" si="224"/>
        <v>5.6125687318306472E-2</v>
      </c>
      <c r="L496" s="233">
        <f t="shared" si="224"/>
        <v>5.6125687318306472E-2</v>
      </c>
      <c r="M496" s="233">
        <f t="shared" si="224"/>
        <v>5.6125687318306472E-2</v>
      </c>
      <c r="N496" s="233">
        <f t="shared" si="224"/>
        <v>5.6125687318306472E-2</v>
      </c>
      <c r="O496" s="233">
        <f t="shared" si="224"/>
        <v>5.6125687318306472E-2</v>
      </c>
      <c r="P496" s="233">
        <f t="shared" si="224"/>
        <v>5.6125687318306472E-2</v>
      </c>
      <c r="Q496" s="233">
        <f t="shared" si="224"/>
        <v>5.6125687318306472E-2</v>
      </c>
      <c r="R496" s="233">
        <f t="shared" si="224"/>
        <v>5.6125687318306472E-2</v>
      </c>
      <c r="S496" s="393">
        <f t="shared" si="224"/>
        <v>5.6125687318306472E-2</v>
      </c>
    </row>
    <row r="497" spans="1:19" ht="12.75" customHeight="1" x14ac:dyDescent="0.2">
      <c r="A497" s="188" t="str">
        <f>"   "&amp;Labels!B382</f>
        <v xml:space="preserve">   Practice 2</v>
      </c>
      <c r="B497" s="218"/>
      <c r="C497" s="218"/>
      <c r="D497" s="218"/>
      <c r="E497" s="218"/>
      <c r="F497" s="218"/>
      <c r="G497" s="218"/>
      <c r="H497" s="218"/>
      <c r="I497" s="218"/>
      <c r="J497" s="218"/>
      <c r="K497" s="218"/>
      <c r="L497" s="218"/>
      <c r="M497" s="218"/>
      <c r="N497" s="218"/>
      <c r="O497" s="218"/>
      <c r="P497" s="218"/>
      <c r="Q497" s="218"/>
      <c r="R497" s="218"/>
      <c r="S497" s="392"/>
    </row>
    <row r="498" spans="1:19" ht="12.75" customHeight="1" x14ac:dyDescent="0.2">
      <c r="A498" s="198" t="str">
        <f>"      "&amp;Labels!B385</f>
        <v xml:space="preserve">      Prof Level 1</v>
      </c>
      <c r="B498" s="233"/>
      <c r="C498" s="233"/>
      <c r="D498" s="233"/>
      <c r="E498" s="233"/>
      <c r="F498" s="233"/>
      <c r="G498" s="233"/>
      <c r="H498" s="233"/>
      <c r="I498" s="233"/>
      <c r="J498" s="233"/>
      <c r="K498" s="233"/>
      <c r="L498" s="233"/>
      <c r="M498" s="233"/>
      <c r="N498" s="233"/>
      <c r="O498" s="233"/>
      <c r="P498" s="233"/>
      <c r="Q498" s="233"/>
      <c r="R498" s="233"/>
      <c r="S498" s="393"/>
    </row>
    <row r="499" spans="1:19" ht="12.75" customHeight="1" x14ac:dyDescent="0.2">
      <c r="A499" s="198" t="str">
        <f>"         "&amp;Labels!B317</f>
        <v xml:space="preserve">         Channels 1</v>
      </c>
      <c r="B499" s="209">
        <f t="shared" ref="B499:S499" si="225">IF(B133&gt;0.9999999,B133,1-EXP(LN(1-B133)/12))</f>
        <v>5.6125687318306472E-2</v>
      </c>
      <c r="C499" s="209">
        <f t="shared" si="225"/>
        <v>5.6125687318306472E-2</v>
      </c>
      <c r="D499" s="209">
        <f t="shared" si="225"/>
        <v>5.6125687318306472E-2</v>
      </c>
      <c r="E499" s="209">
        <f t="shared" si="225"/>
        <v>5.6125687318306472E-2</v>
      </c>
      <c r="F499" s="209">
        <f t="shared" si="225"/>
        <v>5.6125687318306472E-2</v>
      </c>
      <c r="G499" s="209">
        <f t="shared" si="225"/>
        <v>5.6125687318306472E-2</v>
      </c>
      <c r="H499" s="209">
        <f t="shared" si="225"/>
        <v>5.6125687318306472E-2</v>
      </c>
      <c r="I499" s="209">
        <f t="shared" si="225"/>
        <v>5.6125687318306472E-2</v>
      </c>
      <c r="J499" s="209">
        <f t="shared" si="225"/>
        <v>5.6125687318306472E-2</v>
      </c>
      <c r="K499" s="209">
        <f t="shared" si="225"/>
        <v>5.6125687318306472E-2</v>
      </c>
      <c r="L499" s="209">
        <f t="shared" si="225"/>
        <v>5.6125687318306472E-2</v>
      </c>
      <c r="M499" s="209">
        <f t="shared" si="225"/>
        <v>5.6125687318306472E-2</v>
      </c>
      <c r="N499" s="209">
        <f t="shared" si="225"/>
        <v>5.6125687318306472E-2</v>
      </c>
      <c r="O499" s="209">
        <f t="shared" si="225"/>
        <v>5.6125687318306472E-2</v>
      </c>
      <c r="P499" s="209">
        <f t="shared" si="225"/>
        <v>5.6125687318306472E-2</v>
      </c>
      <c r="Q499" s="209">
        <f t="shared" si="225"/>
        <v>5.6125687318306472E-2</v>
      </c>
      <c r="R499" s="209">
        <f t="shared" si="225"/>
        <v>5.6125687318306472E-2</v>
      </c>
      <c r="S499" s="394">
        <f t="shared" si="225"/>
        <v>5.6125687318306472E-2</v>
      </c>
    </row>
    <row r="500" spans="1:19" ht="12.75" customHeight="1" x14ac:dyDescent="0.2">
      <c r="A500" s="198" t="str">
        <f>"         "&amp;Labels!B318</f>
        <v xml:space="preserve">         Channels 2</v>
      </c>
      <c r="B500" s="209">
        <f t="shared" ref="B500:S500" si="226">IF(B134&gt;0.9999999,B134,1-EXP(LN(1-B134)/12))</f>
        <v>5.6125687318306472E-2</v>
      </c>
      <c r="C500" s="209">
        <f t="shared" si="226"/>
        <v>5.6125687318306472E-2</v>
      </c>
      <c r="D500" s="209">
        <f t="shared" si="226"/>
        <v>5.6125687318306472E-2</v>
      </c>
      <c r="E500" s="209">
        <f t="shared" si="226"/>
        <v>5.6125687318306472E-2</v>
      </c>
      <c r="F500" s="209">
        <f t="shared" si="226"/>
        <v>5.6125687318306472E-2</v>
      </c>
      <c r="G500" s="209">
        <f t="shared" si="226"/>
        <v>5.6125687318306472E-2</v>
      </c>
      <c r="H500" s="209">
        <f t="shared" si="226"/>
        <v>5.6125687318306472E-2</v>
      </c>
      <c r="I500" s="209">
        <f t="shared" si="226"/>
        <v>5.6125687318306472E-2</v>
      </c>
      <c r="J500" s="209">
        <f t="shared" si="226"/>
        <v>5.6125687318306472E-2</v>
      </c>
      <c r="K500" s="209">
        <f t="shared" si="226"/>
        <v>5.6125687318306472E-2</v>
      </c>
      <c r="L500" s="209">
        <f t="shared" si="226"/>
        <v>5.6125687318306472E-2</v>
      </c>
      <c r="M500" s="209">
        <f t="shared" si="226"/>
        <v>5.6125687318306472E-2</v>
      </c>
      <c r="N500" s="209">
        <f t="shared" si="226"/>
        <v>5.6125687318306472E-2</v>
      </c>
      <c r="O500" s="209">
        <f t="shared" si="226"/>
        <v>5.6125687318306472E-2</v>
      </c>
      <c r="P500" s="209">
        <f t="shared" si="226"/>
        <v>5.6125687318306472E-2</v>
      </c>
      <c r="Q500" s="209">
        <f t="shared" si="226"/>
        <v>5.6125687318306472E-2</v>
      </c>
      <c r="R500" s="209">
        <f t="shared" si="226"/>
        <v>5.6125687318306472E-2</v>
      </c>
      <c r="S500" s="394">
        <f t="shared" si="226"/>
        <v>5.6125687318306472E-2</v>
      </c>
    </row>
    <row r="501" spans="1:19" ht="12.75" customHeight="1" x14ac:dyDescent="0.2">
      <c r="A501" s="198" t="str">
        <f>"         "&amp;Labels!C316</f>
        <v xml:space="preserve">         Total</v>
      </c>
      <c r="B501" s="233">
        <f t="shared" ref="B501:S501" si="227">AVERAGE(B499:B500)</f>
        <v>5.6125687318306472E-2</v>
      </c>
      <c r="C501" s="233">
        <f t="shared" si="227"/>
        <v>5.6125687318306472E-2</v>
      </c>
      <c r="D501" s="233">
        <f t="shared" si="227"/>
        <v>5.6125687318306472E-2</v>
      </c>
      <c r="E501" s="233">
        <f t="shared" si="227"/>
        <v>5.6125687318306472E-2</v>
      </c>
      <c r="F501" s="233">
        <f t="shared" si="227"/>
        <v>5.6125687318306472E-2</v>
      </c>
      <c r="G501" s="233">
        <f t="shared" si="227"/>
        <v>5.6125687318306472E-2</v>
      </c>
      <c r="H501" s="233">
        <f t="shared" si="227"/>
        <v>5.6125687318306472E-2</v>
      </c>
      <c r="I501" s="233">
        <f t="shared" si="227"/>
        <v>5.6125687318306472E-2</v>
      </c>
      <c r="J501" s="233">
        <f t="shared" si="227"/>
        <v>5.6125687318306472E-2</v>
      </c>
      <c r="K501" s="233">
        <f t="shared" si="227"/>
        <v>5.6125687318306472E-2</v>
      </c>
      <c r="L501" s="233">
        <f t="shared" si="227"/>
        <v>5.6125687318306472E-2</v>
      </c>
      <c r="M501" s="233">
        <f t="shared" si="227"/>
        <v>5.6125687318306472E-2</v>
      </c>
      <c r="N501" s="233">
        <f t="shared" si="227"/>
        <v>5.6125687318306472E-2</v>
      </c>
      <c r="O501" s="233">
        <f t="shared" si="227"/>
        <v>5.6125687318306472E-2</v>
      </c>
      <c r="P501" s="233">
        <f t="shared" si="227"/>
        <v>5.6125687318306472E-2</v>
      </c>
      <c r="Q501" s="233">
        <f t="shared" si="227"/>
        <v>5.6125687318306472E-2</v>
      </c>
      <c r="R501" s="233">
        <f t="shared" si="227"/>
        <v>5.6125687318306472E-2</v>
      </c>
      <c r="S501" s="393">
        <f t="shared" si="227"/>
        <v>5.6125687318306472E-2</v>
      </c>
    </row>
    <row r="502" spans="1:19" ht="12.75" customHeight="1" x14ac:dyDescent="0.2">
      <c r="A502" s="198" t="str">
        <f>"      "&amp;Labels!B386</f>
        <v xml:space="preserve">      Prof Level 2</v>
      </c>
      <c r="B502" s="233"/>
      <c r="C502" s="233"/>
      <c r="D502" s="233"/>
      <c r="E502" s="233"/>
      <c r="F502" s="233"/>
      <c r="G502" s="233"/>
      <c r="H502" s="233"/>
      <c r="I502" s="233"/>
      <c r="J502" s="233"/>
      <c r="K502" s="233"/>
      <c r="L502" s="233"/>
      <c r="M502" s="233"/>
      <c r="N502" s="233"/>
      <c r="O502" s="233"/>
      <c r="P502" s="233"/>
      <c r="Q502" s="233"/>
      <c r="R502" s="233"/>
      <c r="S502" s="393"/>
    </row>
    <row r="503" spans="1:19" ht="12.75" customHeight="1" x14ac:dyDescent="0.2">
      <c r="A503" s="198" t="str">
        <f>"         "&amp;Labels!B317</f>
        <v xml:space="preserve">         Channels 1</v>
      </c>
      <c r="B503" s="209">
        <f t="shared" ref="B503:S503" si="228">IF(B137&gt;0.9999999,B137,1-EXP(LN(1-B137)/12))</f>
        <v>5.6125687318306472E-2</v>
      </c>
      <c r="C503" s="209">
        <f t="shared" si="228"/>
        <v>5.6125687318306472E-2</v>
      </c>
      <c r="D503" s="209">
        <f t="shared" si="228"/>
        <v>5.6125687318306472E-2</v>
      </c>
      <c r="E503" s="209">
        <f t="shared" si="228"/>
        <v>5.6125687318306472E-2</v>
      </c>
      <c r="F503" s="209">
        <f t="shared" si="228"/>
        <v>5.6125687318306472E-2</v>
      </c>
      <c r="G503" s="209">
        <f t="shared" si="228"/>
        <v>5.6125687318306472E-2</v>
      </c>
      <c r="H503" s="209">
        <f t="shared" si="228"/>
        <v>5.6125687318306472E-2</v>
      </c>
      <c r="I503" s="209">
        <f t="shared" si="228"/>
        <v>5.6125687318306472E-2</v>
      </c>
      <c r="J503" s="209">
        <f t="shared" si="228"/>
        <v>5.6125687318306472E-2</v>
      </c>
      <c r="K503" s="209">
        <f t="shared" si="228"/>
        <v>5.6125687318306472E-2</v>
      </c>
      <c r="L503" s="209">
        <f t="shared" si="228"/>
        <v>5.6125687318306472E-2</v>
      </c>
      <c r="M503" s="209">
        <f t="shared" si="228"/>
        <v>5.6125687318306472E-2</v>
      </c>
      <c r="N503" s="209">
        <f t="shared" si="228"/>
        <v>5.6125687318306472E-2</v>
      </c>
      <c r="O503" s="209">
        <f t="shared" si="228"/>
        <v>5.6125687318306472E-2</v>
      </c>
      <c r="P503" s="209">
        <f t="shared" si="228"/>
        <v>5.6125687318306472E-2</v>
      </c>
      <c r="Q503" s="209">
        <f t="shared" si="228"/>
        <v>5.6125687318306472E-2</v>
      </c>
      <c r="R503" s="209">
        <f t="shared" si="228"/>
        <v>5.6125687318306472E-2</v>
      </c>
      <c r="S503" s="394">
        <f t="shared" si="228"/>
        <v>5.6125687318306472E-2</v>
      </c>
    </row>
    <row r="504" spans="1:19" ht="12.75" customHeight="1" x14ac:dyDescent="0.2">
      <c r="A504" s="198" t="str">
        <f>"         "&amp;Labels!B318</f>
        <v xml:space="preserve">         Channels 2</v>
      </c>
      <c r="B504" s="209">
        <f t="shared" ref="B504:S504" si="229">IF(B138&gt;0.9999999,B138,1-EXP(LN(1-B138)/12))</f>
        <v>5.6125687318306472E-2</v>
      </c>
      <c r="C504" s="209">
        <f t="shared" si="229"/>
        <v>5.6125687318306472E-2</v>
      </c>
      <c r="D504" s="209">
        <f t="shared" si="229"/>
        <v>5.6125687318306472E-2</v>
      </c>
      <c r="E504" s="209">
        <f t="shared" si="229"/>
        <v>5.6125687318306472E-2</v>
      </c>
      <c r="F504" s="209">
        <f t="shared" si="229"/>
        <v>5.6125687318306472E-2</v>
      </c>
      <c r="G504" s="209">
        <f t="shared" si="229"/>
        <v>5.6125687318306472E-2</v>
      </c>
      <c r="H504" s="209">
        <f t="shared" si="229"/>
        <v>5.6125687318306472E-2</v>
      </c>
      <c r="I504" s="209">
        <f t="shared" si="229"/>
        <v>5.6125687318306472E-2</v>
      </c>
      <c r="J504" s="209">
        <f t="shared" si="229"/>
        <v>5.6125687318306472E-2</v>
      </c>
      <c r="K504" s="209">
        <f t="shared" si="229"/>
        <v>5.6125687318306472E-2</v>
      </c>
      <c r="L504" s="209">
        <f t="shared" si="229"/>
        <v>5.6125687318306472E-2</v>
      </c>
      <c r="M504" s="209">
        <f t="shared" si="229"/>
        <v>5.6125687318306472E-2</v>
      </c>
      <c r="N504" s="209">
        <f t="shared" si="229"/>
        <v>5.6125687318306472E-2</v>
      </c>
      <c r="O504" s="209">
        <f t="shared" si="229"/>
        <v>5.6125687318306472E-2</v>
      </c>
      <c r="P504" s="209">
        <f t="shared" si="229"/>
        <v>5.6125687318306472E-2</v>
      </c>
      <c r="Q504" s="209">
        <f t="shared" si="229"/>
        <v>5.6125687318306472E-2</v>
      </c>
      <c r="R504" s="209">
        <f t="shared" si="229"/>
        <v>5.6125687318306472E-2</v>
      </c>
      <c r="S504" s="394">
        <f t="shared" si="229"/>
        <v>5.6125687318306472E-2</v>
      </c>
    </row>
    <row r="505" spans="1:19" ht="12.75" customHeight="1" x14ac:dyDescent="0.2">
      <c r="A505" s="198" t="str">
        <f>"         "&amp;Labels!C316</f>
        <v xml:space="preserve">         Total</v>
      </c>
      <c r="B505" s="233">
        <f t="shared" ref="B505:S505" si="230">AVERAGE(B503:B504)</f>
        <v>5.6125687318306472E-2</v>
      </c>
      <c r="C505" s="233">
        <f t="shared" si="230"/>
        <v>5.6125687318306472E-2</v>
      </c>
      <c r="D505" s="233">
        <f t="shared" si="230"/>
        <v>5.6125687318306472E-2</v>
      </c>
      <c r="E505" s="233">
        <f t="shared" si="230"/>
        <v>5.6125687318306472E-2</v>
      </c>
      <c r="F505" s="233">
        <f t="shared" si="230"/>
        <v>5.6125687318306472E-2</v>
      </c>
      <c r="G505" s="233">
        <f t="shared" si="230"/>
        <v>5.6125687318306472E-2</v>
      </c>
      <c r="H505" s="233">
        <f t="shared" si="230"/>
        <v>5.6125687318306472E-2</v>
      </c>
      <c r="I505" s="233">
        <f t="shared" si="230"/>
        <v>5.6125687318306472E-2</v>
      </c>
      <c r="J505" s="233">
        <f t="shared" si="230"/>
        <v>5.6125687318306472E-2</v>
      </c>
      <c r="K505" s="233">
        <f t="shared" si="230"/>
        <v>5.6125687318306472E-2</v>
      </c>
      <c r="L505" s="233">
        <f t="shared" si="230"/>
        <v>5.6125687318306472E-2</v>
      </c>
      <c r="M505" s="233">
        <f t="shared" si="230"/>
        <v>5.6125687318306472E-2</v>
      </c>
      <c r="N505" s="233">
        <f t="shared" si="230"/>
        <v>5.6125687318306472E-2</v>
      </c>
      <c r="O505" s="233">
        <f t="shared" si="230"/>
        <v>5.6125687318306472E-2</v>
      </c>
      <c r="P505" s="233">
        <f t="shared" si="230"/>
        <v>5.6125687318306472E-2</v>
      </c>
      <c r="Q505" s="233">
        <f t="shared" si="230"/>
        <v>5.6125687318306472E-2</v>
      </c>
      <c r="R505" s="233">
        <f t="shared" si="230"/>
        <v>5.6125687318306472E-2</v>
      </c>
      <c r="S505" s="393">
        <f t="shared" si="230"/>
        <v>5.6125687318306472E-2</v>
      </c>
    </row>
    <row r="506" spans="1:19" ht="12.75" customHeight="1" x14ac:dyDescent="0.2">
      <c r="A506" s="188" t="str">
        <f>"      "&amp;Labels!C384</f>
        <v xml:space="preserve">      Total</v>
      </c>
      <c r="B506" s="218">
        <f t="shared" ref="B506:S506" si="231">AVERAGE(B501,B505)</f>
        <v>5.6125687318306472E-2</v>
      </c>
      <c r="C506" s="218">
        <f t="shared" si="231"/>
        <v>5.6125687318306472E-2</v>
      </c>
      <c r="D506" s="218">
        <f t="shared" si="231"/>
        <v>5.6125687318306472E-2</v>
      </c>
      <c r="E506" s="218">
        <f t="shared" si="231"/>
        <v>5.6125687318306472E-2</v>
      </c>
      <c r="F506" s="218">
        <f t="shared" si="231"/>
        <v>5.6125687318306472E-2</v>
      </c>
      <c r="G506" s="218">
        <f t="shared" si="231"/>
        <v>5.6125687318306472E-2</v>
      </c>
      <c r="H506" s="218">
        <f t="shared" si="231"/>
        <v>5.6125687318306472E-2</v>
      </c>
      <c r="I506" s="218">
        <f t="shared" si="231"/>
        <v>5.6125687318306472E-2</v>
      </c>
      <c r="J506" s="218">
        <f t="shared" si="231"/>
        <v>5.6125687318306472E-2</v>
      </c>
      <c r="K506" s="218">
        <f t="shared" si="231"/>
        <v>5.6125687318306472E-2</v>
      </c>
      <c r="L506" s="218">
        <f t="shared" si="231"/>
        <v>5.6125687318306472E-2</v>
      </c>
      <c r="M506" s="218">
        <f t="shared" si="231"/>
        <v>5.6125687318306472E-2</v>
      </c>
      <c r="N506" s="218">
        <f t="shared" si="231"/>
        <v>5.6125687318306472E-2</v>
      </c>
      <c r="O506" s="218">
        <f t="shared" si="231"/>
        <v>5.6125687318306472E-2</v>
      </c>
      <c r="P506" s="218">
        <f t="shared" si="231"/>
        <v>5.6125687318306472E-2</v>
      </c>
      <c r="Q506" s="218">
        <f t="shared" si="231"/>
        <v>5.6125687318306472E-2</v>
      </c>
      <c r="R506" s="218">
        <f t="shared" si="231"/>
        <v>5.6125687318306472E-2</v>
      </c>
      <c r="S506" s="392">
        <f t="shared" si="231"/>
        <v>5.6125687318306472E-2</v>
      </c>
    </row>
    <row r="507" spans="1:19" ht="12.75" customHeight="1" x14ac:dyDescent="0.2">
      <c r="A507" s="198" t="str">
        <f>"         "&amp;Labels!B317</f>
        <v xml:space="preserve">         Channels 1</v>
      </c>
      <c r="B507" s="209">
        <f t="shared" ref="B507:S507" si="232">AVERAGE(B499,B503)</f>
        <v>5.6125687318306472E-2</v>
      </c>
      <c r="C507" s="209">
        <f t="shared" si="232"/>
        <v>5.6125687318306472E-2</v>
      </c>
      <c r="D507" s="209">
        <f t="shared" si="232"/>
        <v>5.6125687318306472E-2</v>
      </c>
      <c r="E507" s="209">
        <f t="shared" si="232"/>
        <v>5.6125687318306472E-2</v>
      </c>
      <c r="F507" s="209">
        <f t="shared" si="232"/>
        <v>5.6125687318306472E-2</v>
      </c>
      <c r="G507" s="209">
        <f t="shared" si="232"/>
        <v>5.6125687318306472E-2</v>
      </c>
      <c r="H507" s="209">
        <f t="shared" si="232"/>
        <v>5.6125687318306472E-2</v>
      </c>
      <c r="I507" s="209">
        <f t="shared" si="232"/>
        <v>5.6125687318306472E-2</v>
      </c>
      <c r="J507" s="209">
        <f t="shared" si="232"/>
        <v>5.6125687318306472E-2</v>
      </c>
      <c r="K507" s="209">
        <f t="shared" si="232"/>
        <v>5.6125687318306472E-2</v>
      </c>
      <c r="L507" s="209">
        <f t="shared" si="232"/>
        <v>5.6125687318306472E-2</v>
      </c>
      <c r="M507" s="209">
        <f t="shared" si="232"/>
        <v>5.6125687318306472E-2</v>
      </c>
      <c r="N507" s="209">
        <f t="shared" si="232"/>
        <v>5.6125687318306472E-2</v>
      </c>
      <c r="O507" s="209">
        <f t="shared" si="232"/>
        <v>5.6125687318306472E-2</v>
      </c>
      <c r="P507" s="209">
        <f t="shared" si="232"/>
        <v>5.6125687318306472E-2</v>
      </c>
      <c r="Q507" s="209">
        <f t="shared" si="232"/>
        <v>5.6125687318306472E-2</v>
      </c>
      <c r="R507" s="209">
        <f t="shared" si="232"/>
        <v>5.6125687318306472E-2</v>
      </c>
      <c r="S507" s="394">
        <f t="shared" si="232"/>
        <v>5.6125687318306472E-2</v>
      </c>
    </row>
    <row r="508" spans="1:19" ht="12.75" customHeight="1" x14ac:dyDescent="0.2">
      <c r="A508" s="198" t="str">
        <f>"         "&amp;Labels!B318</f>
        <v xml:space="preserve">         Channels 2</v>
      </c>
      <c r="B508" s="209">
        <f t="shared" ref="B508:S508" si="233">AVERAGE(B500,B504)</f>
        <v>5.6125687318306472E-2</v>
      </c>
      <c r="C508" s="209">
        <f t="shared" si="233"/>
        <v>5.6125687318306472E-2</v>
      </c>
      <c r="D508" s="209">
        <f t="shared" si="233"/>
        <v>5.6125687318306472E-2</v>
      </c>
      <c r="E508" s="209">
        <f t="shared" si="233"/>
        <v>5.6125687318306472E-2</v>
      </c>
      <c r="F508" s="209">
        <f t="shared" si="233"/>
        <v>5.6125687318306472E-2</v>
      </c>
      <c r="G508" s="209">
        <f t="shared" si="233"/>
        <v>5.6125687318306472E-2</v>
      </c>
      <c r="H508" s="209">
        <f t="shared" si="233"/>
        <v>5.6125687318306472E-2</v>
      </c>
      <c r="I508" s="209">
        <f t="shared" si="233"/>
        <v>5.6125687318306472E-2</v>
      </c>
      <c r="J508" s="209">
        <f t="shared" si="233"/>
        <v>5.6125687318306472E-2</v>
      </c>
      <c r="K508" s="209">
        <f t="shared" si="233"/>
        <v>5.6125687318306472E-2</v>
      </c>
      <c r="L508" s="209">
        <f t="shared" si="233"/>
        <v>5.6125687318306472E-2</v>
      </c>
      <c r="M508" s="209">
        <f t="shared" si="233"/>
        <v>5.6125687318306472E-2</v>
      </c>
      <c r="N508" s="209">
        <f t="shared" si="233"/>
        <v>5.6125687318306472E-2</v>
      </c>
      <c r="O508" s="209">
        <f t="shared" si="233"/>
        <v>5.6125687318306472E-2</v>
      </c>
      <c r="P508" s="209">
        <f t="shared" si="233"/>
        <v>5.6125687318306472E-2</v>
      </c>
      <c r="Q508" s="209">
        <f t="shared" si="233"/>
        <v>5.6125687318306472E-2</v>
      </c>
      <c r="R508" s="209">
        <f t="shared" si="233"/>
        <v>5.6125687318306472E-2</v>
      </c>
      <c r="S508" s="394">
        <f t="shared" si="233"/>
        <v>5.6125687318306472E-2</v>
      </c>
    </row>
    <row r="509" spans="1:19" ht="12.75" customHeight="1" x14ac:dyDescent="0.2">
      <c r="A509" s="198" t="str">
        <f>"         "&amp;Labels!C316</f>
        <v xml:space="preserve">         Total</v>
      </c>
      <c r="B509" s="233">
        <f t="shared" ref="B509:S509" si="234">AVERAGE(B501,B505)</f>
        <v>5.6125687318306472E-2</v>
      </c>
      <c r="C509" s="233">
        <f t="shared" si="234"/>
        <v>5.6125687318306472E-2</v>
      </c>
      <c r="D509" s="233">
        <f t="shared" si="234"/>
        <v>5.6125687318306472E-2</v>
      </c>
      <c r="E509" s="233">
        <f t="shared" si="234"/>
        <v>5.6125687318306472E-2</v>
      </c>
      <c r="F509" s="233">
        <f t="shared" si="234"/>
        <v>5.6125687318306472E-2</v>
      </c>
      <c r="G509" s="233">
        <f t="shared" si="234"/>
        <v>5.6125687318306472E-2</v>
      </c>
      <c r="H509" s="233">
        <f t="shared" si="234"/>
        <v>5.6125687318306472E-2</v>
      </c>
      <c r="I509" s="233">
        <f t="shared" si="234"/>
        <v>5.6125687318306472E-2</v>
      </c>
      <c r="J509" s="233">
        <f t="shared" si="234"/>
        <v>5.6125687318306472E-2</v>
      </c>
      <c r="K509" s="233">
        <f t="shared" si="234"/>
        <v>5.6125687318306472E-2</v>
      </c>
      <c r="L509" s="233">
        <f t="shared" si="234"/>
        <v>5.6125687318306472E-2</v>
      </c>
      <c r="M509" s="233">
        <f t="shared" si="234"/>
        <v>5.6125687318306472E-2</v>
      </c>
      <c r="N509" s="233">
        <f t="shared" si="234"/>
        <v>5.6125687318306472E-2</v>
      </c>
      <c r="O509" s="233">
        <f t="shared" si="234"/>
        <v>5.6125687318306472E-2</v>
      </c>
      <c r="P509" s="233">
        <f t="shared" si="234"/>
        <v>5.6125687318306472E-2</v>
      </c>
      <c r="Q509" s="233">
        <f t="shared" si="234"/>
        <v>5.6125687318306472E-2</v>
      </c>
      <c r="R509" s="233">
        <f t="shared" si="234"/>
        <v>5.6125687318306472E-2</v>
      </c>
      <c r="S509" s="393">
        <f t="shared" si="234"/>
        <v>5.6125687318306472E-2</v>
      </c>
    </row>
    <row r="510" spans="1:19" ht="12.75" customHeight="1" x14ac:dyDescent="0.2">
      <c r="A510" s="191" t="str">
        <f>"   "&amp;Labels!C380</f>
        <v xml:space="preserve">   Total</v>
      </c>
      <c r="B510" s="211">
        <f t="shared" ref="B510:S510" si="235">AVERAGE(B493,B506)</f>
        <v>5.6125687318306472E-2</v>
      </c>
      <c r="C510" s="211">
        <f t="shared" si="235"/>
        <v>5.6125687318306472E-2</v>
      </c>
      <c r="D510" s="211">
        <f t="shared" si="235"/>
        <v>5.6125687318306472E-2</v>
      </c>
      <c r="E510" s="211">
        <f t="shared" si="235"/>
        <v>5.6125687318306472E-2</v>
      </c>
      <c r="F510" s="211">
        <f t="shared" si="235"/>
        <v>5.6125687318306472E-2</v>
      </c>
      <c r="G510" s="211">
        <f t="shared" si="235"/>
        <v>5.6125687318306472E-2</v>
      </c>
      <c r="H510" s="211">
        <f t="shared" si="235"/>
        <v>5.6125687318306472E-2</v>
      </c>
      <c r="I510" s="211">
        <f t="shared" si="235"/>
        <v>5.6125687318306472E-2</v>
      </c>
      <c r="J510" s="211">
        <f t="shared" si="235"/>
        <v>5.6125687318306472E-2</v>
      </c>
      <c r="K510" s="211">
        <f t="shared" si="235"/>
        <v>5.6125687318306472E-2</v>
      </c>
      <c r="L510" s="211">
        <f t="shared" si="235"/>
        <v>5.6125687318306472E-2</v>
      </c>
      <c r="M510" s="211">
        <f t="shared" si="235"/>
        <v>5.6125687318306472E-2</v>
      </c>
      <c r="N510" s="211">
        <f t="shared" si="235"/>
        <v>5.6125687318306472E-2</v>
      </c>
      <c r="O510" s="211">
        <f t="shared" si="235"/>
        <v>5.6125687318306472E-2</v>
      </c>
      <c r="P510" s="211">
        <f t="shared" si="235"/>
        <v>5.6125687318306472E-2</v>
      </c>
      <c r="Q510" s="211">
        <f t="shared" si="235"/>
        <v>5.6125687318306472E-2</v>
      </c>
      <c r="R510" s="211">
        <f t="shared" si="235"/>
        <v>5.6125687318306472E-2</v>
      </c>
      <c r="S510" s="395">
        <f t="shared" si="235"/>
        <v>5.6125687318306472E-2</v>
      </c>
    </row>
    <row r="511" spans="1:19" ht="12.75" customHeight="1" x14ac:dyDescent="0.2">
      <c r="A511" s="198" t="str">
        <f>"      "&amp;Labels!B385</f>
        <v xml:space="preserve">      Prof Level 1</v>
      </c>
      <c r="B511" s="233"/>
      <c r="C511" s="233"/>
      <c r="D511" s="233"/>
      <c r="E511" s="233"/>
      <c r="F511" s="233"/>
      <c r="G511" s="233"/>
      <c r="H511" s="233"/>
      <c r="I511" s="233"/>
      <c r="J511" s="233"/>
      <c r="K511" s="233"/>
      <c r="L511" s="233"/>
      <c r="M511" s="233"/>
      <c r="N511" s="233"/>
      <c r="O511" s="233"/>
      <c r="P511" s="233"/>
      <c r="Q511" s="233"/>
      <c r="R511" s="233"/>
      <c r="S511" s="393"/>
    </row>
    <row r="512" spans="1:19" ht="12.75" customHeight="1" x14ac:dyDescent="0.2">
      <c r="A512" s="198" t="str">
        <f>"         "&amp;Labels!B317</f>
        <v xml:space="preserve">         Channels 1</v>
      </c>
      <c r="B512" s="209">
        <f t="shared" ref="B512:S512" si="236">AVERAGE(B486,B499)</f>
        <v>5.6125687318306472E-2</v>
      </c>
      <c r="C512" s="209">
        <f t="shared" si="236"/>
        <v>5.6125687318306472E-2</v>
      </c>
      <c r="D512" s="209">
        <f t="shared" si="236"/>
        <v>5.6125687318306472E-2</v>
      </c>
      <c r="E512" s="209">
        <f t="shared" si="236"/>
        <v>5.6125687318306472E-2</v>
      </c>
      <c r="F512" s="209">
        <f t="shared" si="236"/>
        <v>5.6125687318306472E-2</v>
      </c>
      <c r="G512" s="209">
        <f t="shared" si="236"/>
        <v>5.6125687318306472E-2</v>
      </c>
      <c r="H512" s="209">
        <f t="shared" si="236"/>
        <v>5.6125687318306472E-2</v>
      </c>
      <c r="I512" s="209">
        <f t="shared" si="236"/>
        <v>5.6125687318306472E-2</v>
      </c>
      <c r="J512" s="209">
        <f t="shared" si="236"/>
        <v>5.6125687318306472E-2</v>
      </c>
      <c r="K512" s="209">
        <f t="shared" si="236"/>
        <v>5.6125687318306472E-2</v>
      </c>
      <c r="L512" s="209">
        <f t="shared" si="236"/>
        <v>5.6125687318306472E-2</v>
      </c>
      <c r="M512" s="209">
        <f t="shared" si="236"/>
        <v>5.6125687318306472E-2</v>
      </c>
      <c r="N512" s="209">
        <f t="shared" si="236"/>
        <v>5.6125687318306472E-2</v>
      </c>
      <c r="O512" s="209">
        <f t="shared" si="236"/>
        <v>5.6125687318306472E-2</v>
      </c>
      <c r="P512" s="209">
        <f t="shared" si="236"/>
        <v>5.6125687318306472E-2</v>
      </c>
      <c r="Q512" s="209">
        <f t="shared" si="236"/>
        <v>5.6125687318306472E-2</v>
      </c>
      <c r="R512" s="209">
        <f t="shared" si="236"/>
        <v>5.6125687318306472E-2</v>
      </c>
      <c r="S512" s="394">
        <f t="shared" si="236"/>
        <v>5.6125687318306472E-2</v>
      </c>
    </row>
    <row r="513" spans="1:19" ht="12.75" customHeight="1" x14ac:dyDescent="0.2">
      <c r="A513" s="198" t="str">
        <f>"         "&amp;Labels!B318</f>
        <v xml:space="preserve">         Channels 2</v>
      </c>
      <c r="B513" s="209">
        <f t="shared" ref="B513:S513" si="237">AVERAGE(B487,B500)</f>
        <v>5.6125687318306472E-2</v>
      </c>
      <c r="C513" s="209">
        <f t="shared" si="237"/>
        <v>5.6125687318306472E-2</v>
      </c>
      <c r="D513" s="209">
        <f t="shared" si="237"/>
        <v>5.6125687318306472E-2</v>
      </c>
      <c r="E513" s="209">
        <f t="shared" si="237"/>
        <v>5.6125687318306472E-2</v>
      </c>
      <c r="F513" s="209">
        <f t="shared" si="237"/>
        <v>5.6125687318306472E-2</v>
      </c>
      <c r="G513" s="209">
        <f t="shared" si="237"/>
        <v>5.6125687318306472E-2</v>
      </c>
      <c r="H513" s="209">
        <f t="shared" si="237"/>
        <v>5.6125687318306472E-2</v>
      </c>
      <c r="I513" s="209">
        <f t="shared" si="237"/>
        <v>5.6125687318306472E-2</v>
      </c>
      <c r="J513" s="209">
        <f t="shared" si="237"/>
        <v>5.6125687318306472E-2</v>
      </c>
      <c r="K513" s="209">
        <f t="shared" si="237"/>
        <v>5.6125687318306472E-2</v>
      </c>
      <c r="L513" s="209">
        <f t="shared" si="237"/>
        <v>5.6125687318306472E-2</v>
      </c>
      <c r="M513" s="209">
        <f t="shared" si="237"/>
        <v>5.6125687318306472E-2</v>
      </c>
      <c r="N513" s="209">
        <f t="shared" si="237"/>
        <v>5.6125687318306472E-2</v>
      </c>
      <c r="O513" s="209">
        <f t="shared" si="237"/>
        <v>5.6125687318306472E-2</v>
      </c>
      <c r="P513" s="209">
        <f t="shared" si="237"/>
        <v>5.6125687318306472E-2</v>
      </c>
      <c r="Q513" s="209">
        <f t="shared" si="237"/>
        <v>5.6125687318306472E-2</v>
      </c>
      <c r="R513" s="209">
        <f t="shared" si="237"/>
        <v>5.6125687318306472E-2</v>
      </c>
      <c r="S513" s="394">
        <f t="shared" si="237"/>
        <v>5.6125687318306472E-2</v>
      </c>
    </row>
    <row r="514" spans="1:19" ht="12.75" customHeight="1" x14ac:dyDescent="0.2">
      <c r="A514" s="198" t="str">
        <f>"         "&amp;Labels!C316</f>
        <v xml:space="preserve">         Total</v>
      </c>
      <c r="B514" s="233">
        <f t="shared" ref="B514:S514" si="238">AVERAGE(B488,B501)</f>
        <v>5.6125687318306472E-2</v>
      </c>
      <c r="C514" s="233">
        <f t="shared" si="238"/>
        <v>5.6125687318306472E-2</v>
      </c>
      <c r="D514" s="233">
        <f t="shared" si="238"/>
        <v>5.6125687318306472E-2</v>
      </c>
      <c r="E514" s="233">
        <f t="shared" si="238"/>
        <v>5.6125687318306472E-2</v>
      </c>
      <c r="F514" s="233">
        <f t="shared" si="238"/>
        <v>5.6125687318306472E-2</v>
      </c>
      <c r="G514" s="233">
        <f t="shared" si="238"/>
        <v>5.6125687318306472E-2</v>
      </c>
      <c r="H514" s="233">
        <f t="shared" si="238"/>
        <v>5.6125687318306472E-2</v>
      </c>
      <c r="I514" s="233">
        <f t="shared" si="238"/>
        <v>5.6125687318306472E-2</v>
      </c>
      <c r="J514" s="233">
        <f t="shared" si="238"/>
        <v>5.6125687318306472E-2</v>
      </c>
      <c r="K514" s="233">
        <f t="shared" si="238"/>
        <v>5.6125687318306472E-2</v>
      </c>
      <c r="L514" s="233">
        <f t="shared" si="238"/>
        <v>5.6125687318306472E-2</v>
      </c>
      <c r="M514" s="233">
        <f t="shared" si="238"/>
        <v>5.6125687318306472E-2</v>
      </c>
      <c r="N514" s="233">
        <f t="shared" si="238"/>
        <v>5.6125687318306472E-2</v>
      </c>
      <c r="O514" s="233">
        <f t="shared" si="238"/>
        <v>5.6125687318306472E-2</v>
      </c>
      <c r="P514" s="233">
        <f t="shared" si="238"/>
        <v>5.6125687318306472E-2</v>
      </c>
      <c r="Q514" s="233">
        <f t="shared" si="238"/>
        <v>5.6125687318306472E-2</v>
      </c>
      <c r="R514" s="233">
        <f t="shared" si="238"/>
        <v>5.6125687318306472E-2</v>
      </c>
      <c r="S514" s="393">
        <f t="shared" si="238"/>
        <v>5.6125687318306472E-2</v>
      </c>
    </row>
    <row r="515" spans="1:19" ht="12.75" customHeight="1" x14ac:dyDescent="0.2">
      <c r="A515" s="198" t="str">
        <f>"      "&amp;Labels!B386</f>
        <v xml:space="preserve">      Prof Level 2</v>
      </c>
      <c r="B515" s="233"/>
      <c r="C515" s="233"/>
      <c r="D515" s="233"/>
      <c r="E515" s="233"/>
      <c r="F515" s="233"/>
      <c r="G515" s="233"/>
      <c r="H515" s="233"/>
      <c r="I515" s="233"/>
      <c r="J515" s="233"/>
      <c r="K515" s="233"/>
      <c r="L515" s="233"/>
      <c r="M515" s="233"/>
      <c r="N515" s="233"/>
      <c r="O515" s="233"/>
      <c r="P515" s="233"/>
      <c r="Q515" s="233"/>
      <c r="R515" s="233"/>
      <c r="S515" s="393"/>
    </row>
    <row r="516" spans="1:19" ht="12.75" customHeight="1" x14ac:dyDescent="0.2">
      <c r="A516" s="198" t="str">
        <f>"         "&amp;Labels!B317</f>
        <v xml:space="preserve">         Channels 1</v>
      </c>
      <c r="B516" s="209">
        <f t="shared" ref="B516:S516" si="239">AVERAGE(B490,B503)</f>
        <v>5.6125687318306472E-2</v>
      </c>
      <c r="C516" s="209">
        <f t="shared" si="239"/>
        <v>5.6125687318306472E-2</v>
      </c>
      <c r="D516" s="209">
        <f t="shared" si="239"/>
        <v>5.6125687318306472E-2</v>
      </c>
      <c r="E516" s="209">
        <f t="shared" si="239"/>
        <v>5.6125687318306472E-2</v>
      </c>
      <c r="F516" s="209">
        <f t="shared" si="239"/>
        <v>5.6125687318306472E-2</v>
      </c>
      <c r="G516" s="209">
        <f t="shared" si="239"/>
        <v>5.6125687318306472E-2</v>
      </c>
      <c r="H516" s="209">
        <f t="shared" si="239"/>
        <v>5.6125687318306472E-2</v>
      </c>
      <c r="I516" s="209">
        <f t="shared" si="239"/>
        <v>5.6125687318306472E-2</v>
      </c>
      <c r="J516" s="209">
        <f t="shared" si="239"/>
        <v>5.6125687318306472E-2</v>
      </c>
      <c r="K516" s="209">
        <f t="shared" si="239"/>
        <v>5.6125687318306472E-2</v>
      </c>
      <c r="L516" s="209">
        <f t="shared" si="239"/>
        <v>5.6125687318306472E-2</v>
      </c>
      <c r="M516" s="209">
        <f t="shared" si="239"/>
        <v>5.6125687318306472E-2</v>
      </c>
      <c r="N516" s="209">
        <f t="shared" si="239"/>
        <v>5.6125687318306472E-2</v>
      </c>
      <c r="O516" s="209">
        <f t="shared" si="239"/>
        <v>5.6125687318306472E-2</v>
      </c>
      <c r="P516" s="209">
        <f t="shared" si="239"/>
        <v>5.6125687318306472E-2</v>
      </c>
      <c r="Q516" s="209">
        <f t="shared" si="239"/>
        <v>5.6125687318306472E-2</v>
      </c>
      <c r="R516" s="209">
        <f t="shared" si="239"/>
        <v>5.6125687318306472E-2</v>
      </c>
      <c r="S516" s="394">
        <f t="shared" si="239"/>
        <v>5.6125687318306472E-2</v>
      </c>
    </row>
    <row r="517" spans="1:19" ht="12.75" customHeight="1" x14ac:dyDescent="0.2">
      <c r="A517" s="198" t="str">
        <f>"         "&amp;Labels!B318</f>
        <v xml:space="preserve">         Channels 2</v>
      </c>
      <c r="B517" s="209">
        <f t="shared" ref="B517:S517" si="240">AVERAGE(B491,B504)</f>
        <v>5.6125687318306472E-2</v>
      </c>
      <c r="C517" s="209">
        <f t="shared" si="240"/>
        <v>5.6125687318306472E-2</v>
      </c>
      <c r="D517" s="209">
        <f t="shared" si="240"/>
        <v>5.6125687318306472E-2</v>
      </c>
      <c r="E517" s="209">
        <f t="shared" si="240"/>
        <v>5.6125687318306472E-2</v>
      </c>
      <c r="F517" s="209">
        <f t="shared" si="240"/>
        <v>5.6125687318306472E-2</v>
      </c>
      <c r="G517" s="209">
        <f t="shared" si="240"/>
        <v>5.6125687318306472E-2</v>
      </c>
      <c r="H517" s="209">
        <f t="shared" si="240"/>
        <v>5.6125687318306472E-2</v>
      </c>
      <c r="I517" s="209">
        <f t="shared" si="240"/>
        <v>5.6125687318306472E-2</v>
      </c>
      <c r="J517" s="209">
        <f t="shared" si="240"/>
        <v>5.6125687318306472E-2</v>
      </c>
      <c r="K517" s="209">
        <f t="shared" si="240"/>
        <v>5.6125687318306472E-2</v>
      </c>
      <c r="L517" s="209">
        <f t="shared" si="240"/>
        <v>5.6125687318306472E-2</v>
      </c>
      <c r="M517" s="209">
        <f t="shared" si="240"/>
        <v>5.6125687318306472E-2</v>
      </c>
      <c r="N517" s="209">
        <f t="shared" si="240"/>
        <v>5.6125687318306472E-2</v>
      </c>
      <c r="O517" s="209">
        <f t="shared" si="240"/>
        <v>5.6125687318306472E-2</v>
      </c>
      <c r="P517" s="209">
        <f t="shared" si="240"/>
        <v>5.6125687318306472E-2</v>
      </c>
      <c r="Q517" s="209">
        <f t="shared" si="240"/>
        <v>5.6125687318306472E-2</v>
      </c>
      <c r="R517" s="209">
        <f t="shared" si="240"/>
        <v>5.6125687318306472E-2</v>
      </c>
      <c r="S517" s="394">
        <f t="shared" si="240"/>
        <v>5.6125687318306472E-2</v>
      </c>
    </row>
    <row r="518" spans="1:19" ht="12.75" customHeight="1" x14ac:dyDescent="0.2">
      <c r="A518" s="198" t="str">
        <f>"         "&amp;Labels!C316</f>
        <v xml:space="preserve">         Total</v>
      </c>
      <c r="B518" s="233">
        <f t="shared" ref="B518:S518" si="241">AVERAGE(B492,B505)</f>
        <v>5.6125687318306472E-2</v>
      </c>
      <c r="C518" s="233">
        <f t="shared" si="241"/>
        <v>5.6125687318306472E-2</v>
      </c>
      <c r="D518" s="233">
        <f t="shared" si="241"/>
        <v>5.6125687318306472E-2</v>
      </c>
      <c r="E518" s="233">
        <f t="shared" si="241"/>
        <v>5.6125687318306472E-2</v>
      </c>
      <c r="F518" s="233">
        <f t="shared" si="241"/>
        <v>5.6125687318306472E-2</v>
      </c>
      <c r="G518" s="233">
        <f t="shared" si="241"/>
        <v>5.6125687318306472E-2</v>
      </c>
      <c r="H518" s="233">
        <f t="shared" si="241"/>
        <v>5.6125687318306472E-2</v>
      </c>
      <c r="I518" s="233">
        <f t="shared" si="241"/>
        <v>5.6125687318306472E-2</v>
      </c>
      <c r="J518" s="233">
        <f t="shared" si="241"/>
        <v>5.6125687318306472E-2</v>
      </c>
      <c r="K518" s="233">
        <f t="shared" si="241"/>
        <v>5.6125687318306472E-2</v>
      </c>
      <c r="L518" s="233">
        <f t="shared" si="241"/>
        <v>5.6125687318306472E-2</v>
      </c>
      <c r="M518" s="233">
        <f t="shared" si="241"/>
        <v>5.6125687318306472E-2</v>
      </c>
      <c r="N518" s="233">
        <f t="shared" si="241"/>
        <v>5.6125687318306472E-2</v>
      </c>
      <c r="O518" s="233">
        <f t="shared" si="241"/>
        <v>5.6125687318306472E-2</v>
      </c>
      <c r="P518" s="233">
        <f t="shared" si="241"/>
        <v>5.6125687318306472E-2</v>
      </c>
      <c r="Q518" s="233">
        <f t="shared" si="241"/>
        <v>5.6125687318306472E-2</v>
      </c>
      <c r="R518" s="233">
        <f t="shared" si="241"/>
        <v>5.6125687318306472E-2</v>
      </c>
      <c r="S518" s="393">
        <f t="shared" si="241"/>
        <v>5.6125687318306472E-2</v>
      </c>
    </row>
    <row r="519" spans="1:19" ht="12.75" customHeight="1" x14ac:dyDescent="0.2">
      <c r="A519" s="188" t="str">
        <f>"      "&amp;Labels!C384</f>
        <v xml:space="preserve">      Total</v>
      </c>
      <c r="B519" s="218">
        <f t="shared" ref="B519:S519" si="242">AVERAGE(B493,B506)</f>
        <v>5.6125687318306472E-2</v>
      </c>
      <c r="C519" s="218">
        <f t="shared" si="242"/>
        <v>5.6125687318306472E-2</v>
      </c>
      <c r="D519" s="218">
        <f t="shared" si="242"/>
        <v>5.6125687318306472E-2</v>
      </c>
      <c r="E519" s="218">
        <f t="shared" si="242"/>
        <v>5.6125687318306472E-2</v>
      </c>
      <c r="F519" s="218">
        <f t="shared" si="242"/>
        <v>5.6125687318306472E-2</v>
      </c>
      <c r="G519" s="218">
        <f t="shared" si="242"/>
        <v>5.6125687318306472E-2</v>
      </c>
      <c r="H519" s="218">
        <f t="shared" si="242"/>
        <v>5.6125687318306472E-2</v>
      </c>
      <c r="I519" s="218">
        <f t="shared" si="242"/>
        <v>5.6125687318306472E-2</v>
      </c>
      <c r="J519" s="218">
        <f t="shared" si="242"/>
        <v>5.6125687318306472E-2</v>
      </c>
      <c r="K519" s="218">
        <f t="shared" si="242"/>
        <v>5.6125687318306472E-2</v>
      </c>
      <c r="L519" s="218">
        <f t="shared" si="242"/>
        <v>5.6125687318306472E-2</v>
      </c>
      <c r="M519" s="218">
        <f t="shared" si="242"/>
        <v>5.6125687318306472E-2</v>
      </c>
      <c r="N519" s="218">
        <f t="shared" si="242"/>
        <v>5.6125687318306472E-2</v>
      </c>
      <c r="O519" s="218">
        <f t="shared" si="242"/>
        <v>5.6125687318306472E-2</v>
      </c>
      <c r="P519" s="218">
        <f t="shared" si="242"/>
        <v>5.6125687318306472E-2</v>
      </c>
      <c r="Q519" s="218">
        <f t="shared" si="242"/>
        <v>5.6125687318306472E-2</v>
      </c>
      <c r="R519" s="218">
        <f t="shared" si="242"/>
        <v>5.6125687318306472E-2</v>
      </c>
      <c r="S519" s="392">
        <f t="shared" si="242"/>
        <v>5.6125687318306472E-2</v>
      </c>
    </row>
    <row r="520" spans="1:19" ht="12.75" customHeight="1" x14ac:dyDescent="0.2">
      <c r="A520" s="198" t="str">
        <f>"         "&amp;Labels!B317</f>
        <v xml:space="preserve">         Channels 1</v>
      </c>
      <c r="B520" s="209">
        <f t="shared" ref="B520:S520" si="243">AVERAGE(B494,B507)</f>
        <v>5.6125687318306472E-2</v>
      </c>
      <c r="C520" s="209">
        <f t="shared" si="243"/>
        <v>5.6125687318306472E-2</v>
      </c>
      <c r="D520" s="209">
        <f t="shared" si="243"/>
        <v>5.6125687318306472E-2</v>
      </c>
      <c r="E520" s="209">
        <f t="shared" si="243"/>
        <v>5.6125687318306472E-2</v>
      </c>
      <c r="F520" s="209">
        <f t="shared" si="243"/>
        <v>5.6125687318306472E-2</v>
      </c>
      <c r="G520" s="209">
        <f t="shared" si="243"/>
        <v>5.6125687318306472E-2</v>
      </c>
      <c r="H520" s="209">
        <f t="shared" si="243"/>
        <v>5.6125687318306472E-2</v>
      </c>
      <c r="I520" s="209">
        <f t="shared" si="243"/>
        <v>5.6125687318306472E-2</v>
      </c>
      <c r="J520" s="209">
        <f t="shared" si="243"/>
        <v>5.6125687318306472E-2</v>
      </c>
      <c r="K520" s="209">
        <f t="shared" si="243"/>
        <v>5.6125687318306472E-2</v>
      </c>
      <c r="L520" s="209">
        <f t="shared" si="243"/>
        <v>5.6125687318306472E-2</v>
      </c>
      <c r="M520" s="209">
        <f t="shared" si="243"/>
        <v>5.6125687318306472E-2</v>
      </c>
      <c r="N520" s="209">
        <f t="shared" si="243"/>
        <v>5.6125687318306472E-2</v>
      </c>
      <c r="O520" s="209">
        <f t="shared" si="243"/>
        <v>5.6125687318306472E-2</v>
      </c>
      <c r="P520" s="209">
        <f t="shared" si="243"/>
        <v>5.6125687318306472E-2</v>
      </c>
      <c r="Q520" s="209">
        <f t="shared" si="243"/>
        <v>5.6125687318306472E-2</v>
      </c>
      <c r="R520" s="209">
        <f t="shared" si="243"/>
        <v>5.6125687318306472E-2</v>
      </c>
      <c r="S520" s="394">
        <f t="shared" si="243"/>
        <v>5.6125687318306472E-2</v>
      </c>
    </row>
    <row r="521" spans="1:19" ht="12.75" customHeight="1" x14ac:dyDescent="0.2">
      <c r="A521" s="198" t="str">
        <f>"         "&amp;Labels!B318</f>
        <v xml:space="preserve">         Channels 2</v>
      </c>
      <c r="B521" s="209">
        <f t="shared" ref="B521:S521" si="244">AVERAGE(B495,B508)</f>
        <v>5.6125687318306472E-2</v>
      </c>
      <c r="C521" s="209">
        <f t="shared" si="244"/>
        <v>5.6125687318306472E-2</v>
      </c>
      <c r="D521" s="209">
        <f t="shared" si="244"/>
        <v>5.6125687318306472E-2</v>
      </c>
      <c r="E521" s="209">
        <f t="shared" si="244"/>
        <v>5.6125687318306472E-2</v>
      </c>
      <c r="F521" s="209">
        <f t="shared" si="244"/>
        <v>5.6125687318306472E-2</v>
      </c>
      <c r="G521" s="209">
        <f t="shared" si="244"/>
        <v>5.6125687318306472E-2</v>
      </c>
      <c r="H521" s="209">
        <f t="shared" si="244"/>
        <v>5.6125687318306472E-2</v>
      </c>
      <c r="I521" s="209">
        <f t="shared" si="244"/>
        <v>5.6125687318306472E-2</v>
      </c>
      <c r="J521" s="209">
        <f t="shared" si="244"/>
        <v>5.6125687318306472E-2</v>
      </c>
      <c r="K521" s="209">
        <f t="shared" si="244"/>
        <v>5.6125687318306472E-2</v>
      </c>
      <c r="L521" s="209">
        <f t="shared" si="244"/>
        <v>5.6125687318306472E-2</v>
      </c>
      <c r="M521" s="209">
        <f t="shared" si="244"/>
        <v>5.6125687318306472E-2</v>
      </c>
      <c r="N521" s="209">
        <f t="shared" si="244"/>
        <v>5.6125687318306472E-2</v>
      </c>
      <c r="O521" s="209">
        <f t="shared" si="244"/>
        <v>5.6125687318306472E-2</v>
      </c>
      <c r="P521" s="209">
        <f t="shared" si="244"/>
        <v>5.6125687318306472E-2</v>
      </c>
      <c r="Q521" s="209">
        <f t="shared" si="244"/>
        <v>5.6125687318306472E-2</v>
      </c>
      <c r="R521" s="209">
        <f t="shared" si="244"/>
        <v>5.6125687318306472E-2</v>
      </c>
      <c r="S521" s="394">
        <f t="shared" si="244"/>
        <v>5.6125687318306472E-2</v>
      </c>
    </row>
    <row r="522" spans="1:19" ht="12.75" customHeight="1" x14ac:dyDescent="0.2">
      <c r="A522" s="198" t="str">
        <f>"         "&amp;Labels!C316</f>
        <v xml:space="preserve">         Total</v>
      </c>
      <c r="B522" s="233">
        <f t="shared" ref="B522:S522" si="245">AVERAGE(B493,B506)</f>
        <v>5.6125687318306472E-2</v>
      </c>
      <c r="C522" s="233">
        <f t="shared" si="245"/>
        <v>5.6125687318306472E-2</v>
      </c>
      <c r="D522" s="233">
        <f t="shared" si="245"/>
        <v>5.6125687318306472E-2</v>
      </c>
      <c r="E522" s="233">
        <f t="shared" si="245"/>
        <v>5.6125687318306472E-2</v>
      </c>
      <c r="F522" s="233">
        <f t="shared" si="245"/>
        <v>5.6125687318306472E-2</v>
      </c>
      <c r="G522" s="233">
        <f t="shared" si="245"/>
        <v>5.6125687318306472E-2</v>
      </c>
      <c r="H522" s="233">
        <f t="shared" si="245"/>
        <v>5.6125687318306472E-2</v>
      </c>
      <c r="I522" s="233">
        <f t="shared" si="245"/>
        <v>5.6125687318306472E-2</v>
      </c>
      <c r="J522" s="233">
        <f t="shared" si="245"/>
        <v>5.6125687318306472E-2</v>
      </c>
      <c r="K522" s="233">
        <f t="shared" si="245"/>
        <v>5.6125687318306472E-2</v>
      </c>
      <c r="L522" s="233">
        <f t="shared" si="245"/>
        <v>5.6125687318306472E-2</v>
      </c>
      <c r="M522" s="233">
        <f t="shared" si="245"/>
        <v>5.6125687318306472E-2</v>
      </c>
      <c r="N522" s="233">
        <f t="shared" si="245"/>
        <v>5.6125687318306472E-2</v>
      </c>
      <c r="O522" s="233">
        <f t="shared" si="245"/>
        <v>5.6125687318306472E-2</v>
      </c>
      <c r="P522" s="233">
        <f t="shared" si="245"/>
        <v>5.6125687318306472E-2</v>
      </c>
      <c r="Q522" s="233">
        <f t="shared" si="245"/>
        <v>5.6125687318306472E-2</v>
      </c>
      <c r="R522" s="233">
        <f t="shared" si="245"/>
        <v>5.6125687318306472E-2</v>
      </c>
      <c r="S522" s="393">
        <f t="shared" si="245"/>
        <v>5.6125687318306472E-2</v>
      </c>
    </row>
    <row r="523" spans="1:19" ht="12.75" customHeight="1" x14ac:dyDescent="0.2">
      <c r="A523" s="191" t="str">
        <f>Labels!B390</f>
        <v>Lead Qual 2</v>
      </c>
      <c r="B523" s="211"/>
      <c r="C523" s="211"/>
      <c r="D523" s="211"/>
      <c r="E523" s="211"/>
      <c r="F523" s="211"/>
      <c r="G523" s="211"/>
      <c r="H523" s="211"/>
      <c r="I523" s="211"/>
      <c r="J523" s="211"/>
      <c r="K523" s="211"/>
      <c r="L523" s="211"/>
      <c r="M523" s="211"/>
      <c r="N523" s="211"/>
      <c r="O523" s="211"/>
      <c r="P523" s="211"/>
      <c r="Q523" s="211"/>
      <c r="R523" s="211"/>
      <c r="S523" s="395"/>
    </row>
    <row r="524" spans="1:19" ht="12.75" customHeight="1" x14ac:dyDescent="0.2">
      <c r="A524" s="188" t="str">
        <f>"   "&amp;Labels!B381</f>
        <v xml:space="preserve">   Practice 1</v>
      </c>
      <c r="B524" s="218"/>
      <c r="C524" s="218"/>
      <c r="D524" s="218"/>
      <c r="E524" s="218"/>
      <c r="F524" s="218"/>
      <c r="G524" s="218"/>
      <c r="H524" s="218"/>
      <c r="I524" s="218"/>
      <c r="J524" s="218"/>
      <c r="K524" s="218"/>
      <c r="L524" s="218"/>
      <c r="M524" s="218"/>
      <c r="N524" s="218"/>
      <c r="O524" s="218"/>
      <c r="P524" s="218"/>
      <c r="Q524" s="218"/>
      <c r="R524" s="218"/>
      <c r="S524" s="392"/>
    </row>
    <row r="525" spans="1:19" ht="12.75" customHeight="1" x14ac:dyDescent="0.2">
      <c r="A525" s="198" t="str">
        <f>"      "&amp;Labels!B385</f>
        <v xml:space="preserve">      Prof Level 1</v>
      </c>
      <c r="B525" s="233"/>
      <c r="C525" s="233"/>
      <c r="D525" s="233"/>
      <c r="E525" s="233"/>
      <c r="F525" s="233"/>
      <c r="G525" s="233"/>
      <c r="H525" s="233"/>
      <c r="I525" s="233"/>
      <c r="J525" s="233"/>
      <c r="K525" s="233"/>
      <c r="L525" s="233"/>
      <c r="M525" s="233"/>
      <c r="N525" s="233"/>
      <c r="O525" s="233"/>
      <c r="P525" s="233"/>
      <c r="Q525" s="233"/>
      <c r="R525" s="233"/>
      <c r="S525" s="393"/>
    </row>
    <row r="526" spans="1:19" ht="12.75" customHeight="1" x14ac:dyDescent="0.2">
      <c r="A526" s="198" t="str">
        <f>"         "&amp;Labels!B317</f>
        <v xml:space="preserve">         Channels 1</v>
      </c>
      <c r="B526" s="209">
        <f t="shared" ref="B526:S526" si="246">IF(B160&gt;0.9999999,B160,1-EXP(LN(1-B160)/12))</f>
        <v>5.6125687318306472E-2</v>
      </c>
      <c r="C526" s="209">
        <f t="shared" si="246"/>
        <v>5.6125687318306472E-2</v>
      </c>
      <c r="D526" s="209">
        <f t="shared" si="246"/>
        <v>5.6125687318306472E-2</v>
      </c>
      <c r="E526" s="209">
        <f t="shared" si="246"/>
        <v>5.6125687318306472E-2</v>
      </c>
      <c r="F526" s="209">
        <f t="shared" si="246"/>
        <v>5.6125687318306472E-2</v>
      </c>
      <c r="G526" s="209">
        <f t="shared" si="246"/>
        <v>5.6125687318306472E-2</v>
      </c>
      <c r="H526" s="209">
        <f t="shared" si="246"/>
        <v>5.6125687318306472E-2</v>
      </c>
      <c r="I526" s="209">
        <f t="shared" si="246"/>
        <v>5.6125687318306472E-2</v>
      </c>
      <c r="J526" s="209">
        <f t="shared" si="246"/>
        <v>5.6125687318306472E-2</v>
      </c>
      <c r="K526" s="209">
        <f t="shared" si="246"/>
        <v>5.6125687318306472E-2</v>
      </c>
      <c r="L526" s="209">
        <f t="shared" si="246"/>
        <v>5.6125687318306472E-2</v>
      </c>
      <c r="M526" s="209">
        <f t="shared" si="246"/>
        <v>5.6125687318306472E-2</v>
      </c>
      <c r="N526" s="209">
        <f t="shared" si="246"/>
        <v>5.6125687318306472E-2</v>
      </c>
      <c r="O526" s="209">
        <f t="shared" si="246"/>
        <v>5.6125687318306472E-2</v>
      </c>
      <c r="P526" s="209">
        <f t="shared" si="246"/>
        <v>5.6125687318306472E-2</v>
      </c>
      <c r="Q526" s="209">
        <f t="shared" si="246"/>
        <v>5.6125687318306472E-2</v>
      </c>
      <c r="R526" s="209">
        <f t="shared" si="246"/>
        <v>5.6125687318306472E-2</v>
      </c>
      <c r="S526" s="394">
        <f t="shared" si="246"/>
        <v>5.6125687318306472E-2</v>
      </c>
    </row>
    <row r="527" spans="1:19" ht="12.75" customHeight="1" x14ac:dyDescent="0.2">
      <c r="A527" s="198" t="str">
        <f>"         "&amp;Labels!B318</f>
        <v xml:space="preserve">         Channels 2</v>
      </c>
      <c r="B527" s="209">
        <f t="shared" ref="B527:S527" si="247">IF(B161&gt;0.9999999,B161,1-EXP(LN(1-B161)/12))</f>
        <v>5.6125687318306472E-2</v>
      </c>
      <c r="C527" s="209">
        <f t="shared" si="247"/>
        <v>5.6125687318306472E-2</v>
      </c>
      <c r="D527" s="209">
        <f t="shared" si="247"/>
        <v>5.6125687318306472E-2</v>
      </c>
      <c r="E527" s="209">
        <f t="shared" si="247"/>
        <v>5.6125687318306472E-2</v>
      </c>
      <c r="F527" s="209">
        <f t="shared" si="247"/>
        <v>5.6125687318306472E-2</v>
      </c>
      <c r="G527" s="209">
        <f t="shared" si="247"/>
        <v>5.6125687318306472E-2</v>
      </c>
      <c r="H527" s="209">
        <f t="shared" si="247"/>
        <v>5.6125687318306472E-2</v>
      </c>
      <c r="I527" s="209">
        <f t="shared" si="247"/>
        <v>5.6125687318306472E-2</v>
      </c>
      <c r="J527" s="209">
        <f t="shared" si="247"/>
        <v>5.6125687318306472E-2</v>
      </c>
      <c r="K527" s="209">
        <f t="shared" si="247"/>
        <v>5.6125687318306472E-2</v>
      </c>
      <c r="L527" s="209">
        <f t="shared" si="247"/>
        <v>5.6125687318306472E-2</v>
      </c>
      <c r="M527" s="209">
        <f t="shared" si="247"/>
        <v>5.6125687318306472E-2</v>
      </c>
      <c r="N527" s="209">
        <f t="shared" si="247"/>
        <v>5.6125687318306472E-2</v>
      </c>
      <c r="O527" s="209">
        <f t="shared" si="247"/>
        <v>5.6125687318306472E-2</v>
      </c>
      <c r="P527" s="209">
        <f t="shared" si="247"/>
        <v>5.6125687318306472E-2</v>
      </c>
      <c r="Q527" s="209">
        <f t="shared" si="247"/>
        <v>5.6125687318306472E-2</v>
      </c>
      <c r="R527" s="209">
        <f t="shared" si="247"/>
        <v>5.6125687318306472E-2</v>
      </c>
      <c r="S527" s="394">
        <f t="shared" si="247"/>
        <v>5.6125687318306472E-2</v>
      </c>
    </row>
    <row r="528" spans="1:19" ht="12.75" customHeight="1" x14ac:dyDescent="0.2">
      <c r="A528" s="198" t="str">
        <f>"         "&amp;Labels!C316</f>
        <v xml:space="preserve">         Total</v>
      </c>
      <c r="B528" s="233">
        <f t="shared" ref="B528:S528" si="248">AVERAGE(B526:B527)</f>
        <v>5.6125687318306472E-2</v>
      </c>
      <c r="C528" s="233">
        <f t="shared" si="248"/>
        <v>5.6125687318306472E-2</v>
      </c>
      <c r="D528" s="233">
        <f t="shared" si="248"/>
        <v>5.6125687318306472E-2</v>
      </c>
      <c r="E528" s="233">
        <f t="shared" si="248"/>
        <v>5.6125687318306472E-2</v>
      </c>
      <c r="F528" s="233">
        <f t="shared" si="248"/>
        <v>5.6125687318306472E-2</v>
      </c>
      <c r="G528" s="233">
        <f t="shared" si="248"/>
        <v>5.6125687318306472E-2</v>
      </c>
      <c r="H528" s="233">
        <f t="shared" si="248"/>
        <v>5.6125687318306472E-2</v>
      </c>
      <c r="I528" s="233">
        <f t="shared" si="248"/>
        <v>5.6125687318306472E-2</v>
      </c>
      <c r="J528" s="233">
        <f t="shared" si="248"/>
        <v>5.6125687318306472E-2</v>
      </c>
      <c r="K528" s="233">
        <f t="shared" si="248"/>
        <v>5.6125687318306472E-2</v>
      </c>
      <c r="L528" s="233">
        <f t="shared" si="248"/>
        <v>5.6125687318306472E-2</v>
      </c>
      <c r="M528" s="233">
        <f t="shared" si="248"/>
        <v>5.6125687318306472E-2</v>
      </c>
      <c r="N528" s="233">
        <f t="shared" si="248"/>
        <v>5.6125687318306472E-2</v>
      </c>
      <c r="O528" s="233">
        <f t="shared" si="248"/>
        <v>5.6125687318306472E-2</v>
      </c>
      <c r="P528" s="233">
        <f t="shared" si="248"/>
        <v>5.6125687318306472E-2</v>
      </c>
      <c r="Q528" s="233">
        <f t="shared" si="248"/>
        <v>5.6125687318306472E-2</v>
      </c>
      <c r="R528" s="233">
        <f t="shared" si="248"/>
        <v>5.6125687318306472E-2</v>
      </c>
      <c r="S528" s="393">
        <f t="shared" si="248"/>
        <v>5.6125687318306472E-2</v>
      </c>
    </row>
    <row r="529" spans="1:19" ht="12.75" customHeight="1" x14ac:dyDescent="0.2">
      <c r="A529" s="198" t="str">
        <f>"      "&amp;Labels!B386</f>
        <v xml:space="preserve">      Prof Level 2</v>
      </c>
      <c r="B529" s="233"/>
      <c r="C529" s="233"/>
      <c r="D529" s="233"/>
      <c r="E529" s="233"/>
      <c r="F529" s="233"/>
      <c r="G529" s="233"/>
      <c r="H529" s="233"/>
      <c r="I529" s="233"/>
      <c r="J529" s="233"/>
      <c r="K529" s="233"/>
      <c r="L529" s="233"/>
      <c r="M529" s="233"/>
      <c r="N529" s="233"/>
      <c r="O529" s="233"/>
      <c r="P529" s="233"/>
      <c r="Q529" s="233"/>
      <c r="R529" s="233"/>
      <c r="S529" s="393"/>
    </row>
    <row r="530" spans="1:19" ht="12.75" customHeight="1" x14ac:dyDescent="0.2">
      <c r="A530" s="198" t="str">
        <f>"         "&amp;Labels!B317</f>
        <v xml:space="preserve">         Channels 1</v>
      </c>
      <c r="B530" s="209">
        <f t="shared" ref="B530:S530" si="249">IF(B164&gt;0.9999999,B164,1-EXP(LN(1-B164)/12))</f>
        <v>5.6125687318306472E-2</v>
      </c>
      <c r="C530" s="209">
        <f t="shared" si="249"/>
        <v>5.6125687318306472E-2</v>
      </c>
      <c r="D530" s="209">
        <f t="shared" si="249"/>
        <v>5.6125687318306472E-2</v>
      </c>
      <c r="E530" s="209">
        <f t="shared" si="249"/>
        <v>5.6125687318306472E-2</v>
      </c>
      <c r="F530" s="209">
        <f t="shared" si="249"/>
        <v>5.6125687318306472E-2</v>
      </c>
      <c r="G530" s="209">
        <f t="shared" si="249"/>
        <v>5.6125687318306472E-2</v>
      </c>
      <c r="H530" s="209">
        <f t="shared" si="249"/>
        <v>5.6125687318306472E-2</v>
      </c>
      <c r="I530" s="209">
        <f t="shared" si="249"/>
        <v>5.6125687318306472E-2</v>
      </c>
      <c r="J530" s="209">
        <f t="shared" si="249"/>
        <v>5.6125687318306472E-2</v>
      </c>
      <c r="K530" s="209">
        <f t="shared" si="249"/>
        <v>5.6125687318306472E-2</v>
      </c>
      <c r="L530" s="209">
        <f t="shared" si="249"/>
        <v>5.6125687318306472E-2</v>
      </c>
      <c r="M530" s="209">
        <f t="shared" si="249"/>
        <v>5.6125687318306472E-2</v>
      </c>
      <c r="N530" s="209">
        <f t="shared" si="249"/>
        <v>5.6125687318306472E-2</v>
      </c>
      <c r="O530" s="209">
        <f t="shared" si="249"/>
        <v>5.6125687318306472E-2</v>
      </c>
      <c r="P530" s="209">
        <f t="shared" si="249"/>
        <v>5.6125687318306472E-2</v>
      </c>
      <c r="Q530" s="209">
        <f t="shared" si="249"/>
        <v>5.6125687318306472E-2</v>
      </c>
      <c r="R530" s="209">
        <f t="shared" si="249"/>
        <v>5.6125687318306472E-2</v>
      </c>
      <c r="S530" s="394">
        <f t="shared" si="249"/>
        <v>5.6125687318306472E-2</v>
      </c>
    </row>
    <row r="531" spans="1:19" ht="12.75" customHeight="1" x14ac:dyDescent="0.2">
      <c r="A531" s="198" t="str">
        <f>"         "&amp;Labels!B318</f>
        <v xml:space="preserve">         Channels 2</v>
      </c>
      <c r="B531" s="209">
        <f t="shared" ref="B531:S531" si="250">IF(B165&gt;0.9999999,B165,1-EXP(LN(1-B165)/12))</f>
        <v>5.6125687318306472E-2</v>
      </c>
      <c r="C531" s="209">
        <f t="shared" si="250"/>
        <v>5.6125687318306472E-2</v>
      </c>
      <c r="D531" s="209">
        <f t="shared" si="250"/>
        <v>5.6125687318306472E-2</v>
      </c>
      <c r="E531" s="209">
        <f t="shared" si="250"/>
        <v>5.6125687318306472E-2</v>
      </c>
      <c r="F531" s="209">
        <f t="shared" si="250"/>
        <v>5.6125687318306472E-2</v>
      </c>
      <c r="G531" s="209">
        <f t="shared" si="250"/>
        <v>5.6125687318306472E-2</v>
      </c>
      <c r="H531" s="209">
        <f t="shared" si="250"/>
        <v>5.6125687318306472E-2</v>
      </c>
      <c r="I531" s="209">
        <f t="shared" si="250"/>
        <v>5.6125687318306472E-2</v>
      </c>
      <c r="J531" s="209">
        <f t="shared" si="250"/>
        <v>5.6125687318306472E-2</v>
      </c>
      <c r="K531" s="209">
        <f t="shared" si="250"/>
        <v>5.6125687318306472E-2</v>
      </c>
      <c r="L531" s="209">
        <f t="shared" si="250"/>
        <v>5.6125687318306472E-2</v>
      </c>
      <c r="M531" s="209">
        <f t="shared" si="250"/>
        <v>5.6125687318306472E-2</v>
      </c>
      <c r="N531" s="209">
        <f t="shared" si="250"/>
        <v>5.6125687318306472E-2</v>
      </c>
      <c r="O531" s="209">
        <f t="shared" si="250"/>
        <v>5.6125687318306472E-2</v>
      </c>
      <c r="P531" s="209">
        <f t="shared" si="250"/>
        <v>5.6125687318306472E-2</v>
      </c>
      <c r="Q531" s="209">
        <f t="shared" si="250"/>
        <v>5.6125687318306472E-2</v>
      </c>
      <c r="R531" s="209">
        <f t="shared" si="250"/>
        <v>5.6125687318306472E-2</v>
      </c>
      <c r="S531" s="394">
        <f t="shared" si="250"/>
        <v>5.6125687318306472E-2</v>
      </c>
    </row>
    <row r="532" spans="1:19" ht="12.75" customHeight="1" x14ac:dyDescent="0.2">
      <c r="A532" s="198" t="str">
        <f>"         "&amp;Labels!C316</f>
        <v xml:space="preserve">         Total</v>
      </c>
      <c r="B532" s="233">
        <f t="shared" ref="B532:S532" si="251">AVERAGE(B530:B531)</f>
        <v>5.6125687318306472E-2</v>
      </c>
      <c r="C532" s="233">
        <f t="shared" si="251"/>
        <v>5.6125687318306472E-2</v>
      </c>
      <c r="D532" s="233">
        <f t="shared" si="251"/>
        <v>5.6125687318306472E-2</v>
      </c>
      <c r="E532" s="233">
        <f t="shared" si="251"/>
        <v>5.6125687318306472E-2</v>
      </c>
      <c r="F532" s="233">
        <f t="shared" si="251"/>
        <v>5.6125687318306472E-2</v>
      </c>
      <c r="G532" s="233">
        <f t="shared" si="251"/>
        <v>5.6125687318306472E-2</v>
      </c>
      <c r="H532" s="233">
        <f t="shared" si="251"/>
        <v>5.6125687318306472E-2</v>
      </c>
      <c r="I532" s="233">
        <f t="shared" si="251"/>
        <v>5.6125687318306472E-2</v>
      </c>
      <c r="J532" s="233">
        <f t="shared" si="251"/>
        <v>5.6125687318306472E-2</v>
      </c>
      <c r="K532" s="233">
        <f t="shared" si="251"/>
        <v>5.6125687318306472E-2</v>
      </c>
      <c r="L532" s="233">
        <f t="shared" si="251"/>
        <v>5.6125687318306472E-2</v>
      </c>
      <c r="M532" s="233">
        <f t="shared" si="251"/>
        <v>5.6125687318306472E-2</v>
      </c>
      <c r="N532" s="233">
        <f t="shared" si="251"/>
        <v>5.6125687318306472E-2</v>
      </c>
      <c r="O532" s="233">
        <f t="shared" si="251"/>
        <v>5.6125687318306472E-2</v>
      </c>
      <c r="P532" s="233">
        <f t="shared" si="251"/>
        <v>5.6125687318306472E-2</v>
      </c>
      <c r="Q532" s="233">
        <f t="shared" si="251"/>
        <v>5.6125687318306472E-2</v>
      </c>
      <c r="R532" s="233">
        <f t="shared" si="251"/>
        <v>5.6125687318306472E-2</v>
      </c>
      <c r="S532" s="393">
        <f t="shared" si="251"/>
        <v>5.6125687318306472E-2</v>
      </c>
    </row>
    <row r="533" spans="1:19" ht="12.75" customHeight="1" x14ac:dyDescent="0.2">
      <c r="A533" s="188" t="str">
        <f>"      "&amp;Labels!C384</f>
        <v xml:space="preserve">      Total</v>
      </c>
      <c r="B533" s="218">
        <f t="shared" ref="B533:S533" si="252">AVERAGE(B528,B532)</f>
        <v>5.6125687318306472E-2</v>
      </c>
      <c r="C533" s="218">
        <f t="shared" si="252"/>
        <v>5.6125687318306472E-2</v>
      </c>
      <c r="D533" s="218">
        <f t="shared" si="252"/>
        <v>5.6125687318306472E-2</v>
      </c>
      <c r="E533" s="218">
        <f t="shared" si="252"/>
        <v>5.6125687318306472E-2</v>
      </c>
      <c r="F533" s="218">
        <f t="shared" si="252"/>
        <v>5.6125687318306472E-2</v>
      </c>
      <c r="G533" s="218">
        <f t="shared" si="252"/>
        <v>5.6125687318306472E-2</v>
      </c>
      <c r="H533" s="218">
        <f t="shared" si="252"/>
        <v>5.6125687318306472E-2</v>
      </c>
      <c r="I533" s="218">
        <f t="shared" si="252"/>
        <v>5.6125687318306472E-2</v>
      </c>
      <c r="J533" s="218">
        <f t="shared" si="252"/>
        <v>5.6125687318306472E-2</v>
      </c>
      <c r="K533" s="218">
        <f t="shared" si="252"/>
        <v>5.6125687318306472E-2</v>
      </c>
      <c r="L533" s="218">
        <f t="shared" si="252"/>
        <v>5.6125687318306472E-2</v>
      </c>
      <c r="M533" s="218">
        <f t="shared" si="252"/>
        <v>5.6125687318306472E-2</v>
      </c>
      <c r="N533" s="218">
        <f t="shared" si="252"/>
        <v>5.6125687318306472E-2</v>
      </c>
      <c r="O533" s="218">
        <f t="shared" si="252"/>
        <v>5.6125687318306472E-2</v>
      </c>
      <c r="P533" s="218">
        <f t="shared" si="252"/>
        <v>5.6125687318306472E-2</v>
      </c>
      <c r="Q533" s="218">
        <f t="shared" si="252"/>
        <v>5.6125687318306472E-2</v>
      </c>
      <c r="R533" s="218">
        <f t="shared" si="252"/>
        <v>5.6125687318306472E-2</v>
      </c>
      <c r="S533" s="392">
        <f t="shared" si="252"/>
        <v>5.6125687318306472E-2</v>
      </c>
    </row>
    <row r="534" spans="1:19" ht="12.75" customHeight="1" x14ac:dyDescent="0.2">
      <c r="A534" s="198" t="str">
        <f>"         "&amp;Labels!B317</f>
        <v xml:space="preserve">         Channels 1</v>
      </c>
      <c r="B534" s="209">
        <f t="shared" ref="B534:S534" si="253">AVERAGE(B526,B530)</f>
        <v>5.6125687318306472E-2</v>
      </c>
      <c r="C534" s="209">
        <f t="shared" si="253"/>
        <v>5.6125687318306472E-2</v>
      </c>
      <c r="D534" s="209">
        <f t="shared" si="253"/>
        <v>5.6125687318306472E-2</v>
      </c>
      <c r="E534" s="209">
        <f t="shared" si="253"/>
        <v>5.6125687318306472E-2</v>
      </c>
      <c r="F534" s="209">
        <f t="shared" si="253"/>
        <v>5.6125687318306472E-2</v>
      </c>
      <c r="G534" s="209">
        <f t="shared" si="253"/>
        <v>5.6125687318306472E-2</v>
      </c>
      <c r="H534" s="209">
        <f t="shared" si="253"/>
        <v>5.6125687318306472E-2</v>
      </c>
      <c r="I534" s="209">
        <f t="shared" si="253"/>
        <v>5.6125687318306472E-2</v>
      </c>
      <c r="J534" s="209">
        <f t="shared" si="253"/>
        <v>5.6125687318306472E-2</v>
      </c>
      <c r="K534" s="209">
        <f t="shared" si="253"/>
        <v>5.6125687318306472E-2</v>
      </c>
      <c r="L534" s="209">
        <f t="shared" si="253"/>
        <v>5.6125687318306472E-2</v>
      </c>
      <c r="M534" s="209">
        <f t="shared" si="253"/>
        <v>5.6125687318306472E-2</v>
      </c>
      <c r="N534" s="209">
        <f t="shared" si="253"/>
        <v>5.6125687318306472E-2</v>
      </c>
      <c r="O534" s="209">
        <f t="shared" si="253"/>
        <v>5.6125687318306472E-2</v>
      </c>
      <c r="P534" s="209">
        <f t="shared" si="253"/>
        <v>5.6125687318306472E-2</v>
      </c>
      <c r="Q534" s="209">
        <f t="shared" si="253"/>
        <v>5.6125687318306472E-2</v>
      </c>
      <c r="R534" s="209">
        <f t="shared" si="253"/>
        <v>5.6125687318306472E-2</v>
      </c>
      <c r="S534" s="394">
        <f t="shared" si="253"/>
        <v>5.6125687318306472E-2</v>
      </c>
    </row>
    <row r="535" spans="1:19" ht="12.75" customHeight="1" x14ac:dyDescent="0.2">
      <c r="A535" s="198" t="str">
        <f>"         "&amp;Labels!B318</f>
        <v xml:space="preserve">         Channels 2</v>
      </c>
      <c r="B535" s="209">
        <f t="shared" ref="B535:S535" si="254">AVERAGE(B527,B531)</f>
        <v>5.6125687318306472E-2</v>
      </c>
      <c r="C535" s="209">
        <f t="shared" si="254"/>
        <v>5.6125687318306472E-2</v>
      </c>
      <c r="D535" s="209">
        <f t="shared" si="254"/>
        <v>5.6125687318306472E-2</v>
      </c>
      <c r="E535" s="209">
        <f t="shared" si="254"/>
        <v>5.6125687318306472E-2</v>
      </c>
      <c r="F535" s="209">
        <f t="shared" si="254"/>
        <v>5.6125687318306472E-2</v>
      </c>
      <c r="G535" s="209">
        <f t="shared" si="254"/>
        <v>5.6125687318306472E-2</v>
      </c>
      <c r="H535" s="209">
        <f t="shared" si="254"/>
        <v>5.6125687318306472E-2</v>
      </c>
      <c r="I535" s="209">
        <f t="shared" si="254"/>
        <v>5.6125687318306472E-2</v>
      </c>
      <c r="J535" s="209">
        <f t="shared" si="254"/>
        <v>5.6125687318306472E-2</v>
      </c>
      <c r="K535" s="209">
        <f t="shared" si="254"/>
        <v>5.6125687318306472E-2</v>
      </c>
      <c r="L535" s="209">
        <f t="shared" si="254"/>
        <v>5.6125687318306472E-2</v>
      </c>
      <c r="M535" s="209">
        <f t="shared" si="254"/>
        <v>5.6125687318306472E-2</v>
      </c>
      <c r="N535" s="209">
        <f t="shared" si="254"/>
        <v>5.6125687318306472E-2</v>
      </c>
      <c r="O535" s="209">
        <f t="shared" si="254"/>
        <v>5.6125687318306472E-2</v>
      </c>
      <c r="P535" s="209">
        <f t="shared" si="254"/>
        <v>5.6125687318306472E-2</v>
      </c>
      <c r="Q535" s="209">
        <f t="shared" si="254"/>
        <v>5.6125687318306472E-2</v>
      </c>
      <c r="R535" s="209">
        <f t="shared" si="254"/>
        <v>5.6125687318306472E-2</v>
      </c>
      <c r="S535" s="394">
        <f t="shared" si="254"/>
        <v>5.6125687318306472E-2</v>
      </c>
    </row>
    <row r="536" spans="1:19" ht="12.75" customHeight="1" x14ac:dyDescent="0.2">
      <c r="A536" s="198" t="str">
        <f>"         "&amp;Labels!C316</f>
        <v xml:space="preserve">         Total</v>
      </c>
      <c r="B536" s="233">
        <f t="shared" ref="B536:S536" si="255">AVERAGE(B528,B532)</f>
        <v>5.6125687318306472E-2</v>
      </c>
      <c r="C536" s="233">
        <f t="shared" si="255"/>
        <v>5.6125687318306472E-2</v>
      </c>
      <c r="D536" s="233">
        <f t="shared" si="255"/>
        <v>5.6125687318306472E-2</v>
      </c>
      <c r="E536" s="233">
        <f t="shared" si="255"/>
        <v>5.6125687318306472E-2</v>
      </c>
      <c r="F536" s="233">
        <f t="shared" si="255"/>
        <v>5.6125687318306472E-2</v>
      </c>
      <c r="G536" s="233">
        <f t="shared" si="255"/>
        <v>5.6125687318306472E-2</v>
      </c>
      <c r="H536" s="233">
        <f t="shared" si="255"/>
        <v>5.6125687318306472E-2</v>
      </c>
      <c r="I536" s="233">
        <f t="shared" si="255"/>
        <v>5.6125687318306472E-2</v>
      </c>
      <c r="J536" s="233">
        <f t="shared" si="255"/>
        <v>5.6125687318306472E-2</v>
      </c>
      <c r="K536" s="233">
        <f t="shared" si="255"/>
        <v>5.6125687318306472E-2</v>
      </c>
      <c r="L536" s="233">
        <f t="shared" si="255"/>
        <v>5.6125687318306472E-2</v>
      </c>
      <c r="M536" s="233">
        <f t="shared" si="255"/>
        <v>5.6125687318306472E-2</v>
      </c>
      <c r="N536" s="233">
        <f t="shared" si="255"/>
        <v>5.6125687318306472E-2</v>
      </c>
      <c r="O536" s="233">
        <f t="shared" si="255"/>
        <v>5.6125687318306472E-2</v>
      </c>
      <c r="P536" s="233">
        <f t="shared" si="255"/>
        <v>5.6125687318306472E-2</v>
      </c>
      <c r="Q536" s="233">
        <f t="shared" si="255"/>
        <v>5.6125687318306472E-2</v>
      </c>
      <c r="R536" s="233">
        <f t="shared" si="255"/>
        <v>5.6125687318306472E-2</v>
      </c>
      <c r="S536" s="393">
        <f t="shared" si="255"/>
        <v>5.6125687318306472E-2</v>
      </c>
    </row>
    <row r="537" spans="1:19" ht="12.75" customHeight="1" x14ac:dyDescent="0.2">
      <c r="A537" s="188" t="str">
        <f>"   "&amp;Labels!B382</f>
        <v xml:space="preserve">   Practice 2</v>
      </c>
      <c r="B537" s="218"/>
      <c r="C537" s="218"/>
      <c r="D537" s="218"/>
      <c r="E537" s="218"/>
      <c r="F537" s="218"/>
      <c r="G537" s="218"/>
      <c r="H537" s="218"/>
      <c r="I537" s="218"/>
      <c r="J537" s="218"/>
      <c r="K537" s="218"/>
      <c r="L537" s="218"/>
      <c r="M537" s="218"/>
      <c r="N537" s="218"/>
      <c r="O537" s="218"/>
      <c r="P537" s="218"/>
      <c r="Q537" s="218"/>
      <c r="R537" s="218"/>
      <c r="S537" s="392"/>
    </row>
    <row r="538" spans="1:19" ht="12.75" customHeight="1" x14ac:dyDescent="0.2">
      <c r="A538" s="198" t="str">
        <f>"      "&amp;Labels!B385</f>
        <v xml:space="preserve">      Prof Level 1</v>
      </c>
      <c r="B538" s="233"/>
      <c r="C538" s="233"/>
      <c r="D538" s="233"/>
      <c r="E538" s="233"/>
      <c r="F538" s="233"/>
      <c r="G538" s="233"/>
      <c r="H538" s="233"/>
      <c r="I538" s="233"/>
      <c r="J538" s="233"/>
      <c r="K538" s="233"/>
      <c r="L538" s="233"/>
      <c r="M538" s="233"/>
      <c r="N538" s="233"/>
      <c r="O538" s="233"/>
      <c r="P538" s="233"/>
      <c r="Q538" s="233"/>
      <c r="R538" s="233"/>
      <c r="S538" s="393"/>
    </row>
    <row r="539" spans="1:19" ht="12.75" customHeight="1" x14ac:dyDescent="0.2">
      <c r="A539" s="198" t="str">
        <f>"         "&amp;Labels!B317</f>
        <v xml:space="preserve">         Channels 1</v>
      </c>
      <c r="B539" s="209">
        <f t="shared" ref="B539:S539" si="256">IF(B173&gt;0.9999999,B173,1-EXP(LN(1-B173)/12))</f>
        <v>5.6125687318306472E-2</v>
      </c>
      <c r="C539" s="209">
        <f t="shared" si="256"/>
        <v>5.6125687318306472E-2</v>
      </c>
      <c r="D539" s="209">
        <f t="shared" si="256"/>
        <v>5.6125687318306472E-2</v>
      </c>
      <c r="E539" s="209">
        <f t="shared" si="256"/>
        <v>5.6125687318306472E-2</v>
      </c>
      <c r="F539" s="209">
        <f t="shared" si="256"/>
        <v>5.6125687318306472E-2</v>
      </c>
      <c r="G539" s="209">
        <f t="shared" si="256"/>
        <v>5.6125687318306472E-2</v>
      </c>
      <c r="H539" s="209">
        <f t="shared" si="256"/>
        <v>5.6125687318306472E-2</v>
      </c>
      <c r="I539" s="209">
        <f t="shared" si="256"/>
        <v>5.6125687318306472E-2</v>
      </c>
      <c r="J539" s="209">
        <f t="shared" si="256"/>
        <v>5.6125687318306472E-2</v>
      </c>
      <c r="K539" s="209">
        <f t="shared" si="256"/>
        <v>5.6125687318306472E-2</v>
      </c>
      <c r="L539" s="209">
        <f t="shared" si="256"/>
        <v>5.6125687318306472E-2</v>
      </c>
      <c r="M539" s="209">
        <f t="shared" si="256"/>
        <v>5.6125687318306472E-2</v>
      </c>
      <c r="N539" s="209">
        <f t="shared" si="256"/>
        <v>5.6125687318306472E-2</v>
      </c>
      <c r="O539" s="209">
        <f t="shared" si="256"/>
        <v>5.6125687318306472E-2</v>
      </c>
      <c r="P539" s="209">
        <f t="shared" si="256"/>
        <v>5.6125687318306472E-2</v>
      </c>
      <c r="Q539" s="209">
        <f t="shared" si="256"/>
        <v>5.6125687318306472E-2</v>
      </c>
      <c r="R539" s="209">
        <f t="shared" si="256"/>
        <v>5.6125687318306472E-2</v>
      </c>
      <c r="S539" s="394">
        <f t="shared" si="256"/>
        <v>5.6125687318306472E-2</v>
      </c>
    </row>
    <row r="540" spans="1:19" ht="12.75" customHeight="1" x14ac:dyDescent="0.2">
      <c r="A540" s="198" t="str">
        <f>"         "&amp;Labels!B318</f>
        <v xml:space="preserve">         Channels 2</v>
      </c>
      <c r="B540" s="209">
        <f t="shared" ref="B540:S540" si="257">IF(B174&gt;0.9999999,B174,1-EXP(LN(1-B174)/12))</f>
        <v>5.6125687318306472E-2</v>
      </c>
      <c r="C540" s="209">
        <f t="shared" si="257"/>
        <v>5.6125687318306472E-2</v>
      </c>
      <c r="D540" s="209">
        <f t="shared" si="257"/>
        <v>5.6125687318306472E-2</v>
      </c>
      <c r="E540" s="209">
        <f t="shared" si="257"/>
        <v>5.6125687318306472E-2</v>
      </c>
      <c r="F540" s="209">
        <f t="shared" si="257"/>
        <v>5.6125687318306472E-2</v>
      </c>
      <c r="G540" s="209">
        <f t="shared" si="257"/>
        <v>5.6125687318306472E-2</v>
      </c>
      <c r="H540" s="209">
        <f t="shared" si="257"/>
        <v>5.6125687318306472E-2</v>
      </c>
      <c r="I540" s="209">
        <f t="shared" si="257"/>
        <v>5.6125687318306472E-2</v>
      </c>
      <c r="J540" s="209">
        <f t="shared" si="257"/>
        <v>5.6125687318306472E-2</v>
      </c>
      <c r="K540" s="209">
        <f t="shared" si="257"/>
        <v>5.6125687318306472E-2</v>
      </c>
      <c r="L540" s="209">
        <f t="shared" si="257"/>
        <v>5.6125687318306472E-2</v>
      </c>
      <c r="M540" s="209">
        <f t="shared" si="257"/>
        <v>5.6125687318306472E-2</v>
      </c>
      <c r="N540" s="209">
        <f t="shared" si="257"/>
        <v>5.6125687318306472E-2</v>
      </c>
      <c r="O540" s="209">
        <f t="shared" si="257"/>
        <v>5.6125687318306472E-2</v>
      </c>
      <c r="P540" s="209">
        <f t="shared" si="257"/>
        <v>5.6125687318306472E-2</v>
      </c>
      <c r="Q540" s="209">
        <f t="shared" si="257"/>
        <v>5.6125687318306472E-2</v>
      </c>
      <c r="R540" s="209">
        <f t="shared" si="257"/>
        <v>5.6125687318306472E-2</v>
      </c>
      <c r="S540" s="394">
        <f t="shared" si="257"/>
        <v>5.6125687318306472E-2</v>
      </c>
    </row>
    <row r="541" spans="1:19" ht="12.75" customHeight="1" x14ac:dyDescent="0.2">
      <c r="A541" s="198" t="str">
        <f>"         "&amp;Labels!C316</f>
        <v xml:space="preserve">         Total</v>
      </c>
      <c r="B541" s="233">
        <f t="shared" ref="B541:S541" si="258">AVERAGE(B539:B540)</f>
        <v>5.6125687318306472E-2</v>
      </c>
      <c r="C541" s="233">
        <f t="shared" si="258"/>
        <v>5.6125687318306472E-2</v>
      </c>
      <c r="D541" s="233">
        <f t="shared" si="258"/>
        <v>5.6125687318306472E-2</v>
      </c>
      <c r="E541" s="233">
        <f t="shared" si="258"/>
        <v>5.6125687318306472E-2</v>
      </c>
      <c r="F541" s="233">
        <f t="shared" si="258"/>
        <v>5.6125687318306472E-2</v>
      </c>
      <c r="G541" s="233">
        <f t="shared" si="258"/>
        <v>5.6125687318306472E-2</v>
      </c>
      <c r="H541" s="233">
        <f t="shared" si="258"/>
        <v>5.6125687318306472E-2</v>
      </c>
      <c r="I541" s="233">
        <f t="shared" si="258"/>
        <v>5.6125687318306472E-2</v>
      </c>
      <c r="J541" s="233">
        <f t="shared" si="258"/>
        <v>5.6125687318306472E-2</v>
      </c>
      <c r="K541" s="233">
        <f t="shared" si="258"/>
        <v>5.6125687318306472E-2</v>
      </c>
      <c r="L541" s="233">
        <f t="shared" si="258"/>
        <v>5.6125687318306472E-2</v>
      </c>
      <c r="M541" s="233">
        <f t="shared" si="258"/>
        <v>5.6125687318306472E-2</v>
      </c>
      <c r="N541" s="233">
        <f t="shared" si="258"/>
        <v>5.6125687318306472E-2</v>
      </c>
      <c r="O541" s="233">
        <f t="shared" si="258"/>
        <v>5.6125687318306472E-2</v>
      </c>
      <c r="P541" s="233">
        <f t="shared" si="258"/>
        <v>5.6125687318306472E-2</v>
      </c>
      <c r="Q541" s="233">
        <f t="shared" si="258"/>
        <v>5.6125687318306472E-2</v>
      </c>
      <c r="R541" s="233">
        <f t="shared" si="258"/>
        <v>5.6125687318306472E-2</v>
      </c>
      <c r="S541" s="393">
        <f t="shared" si="258"/>
        <v>5.6125687318306472E-2</v>
      </c>
    </row>
    <row r="542" spans="1:19" ht="12.75" customHeight="1" x14ac:dyDescent="0.2">
      <c r="A542" s="198" t="str">
        <f>"      "&amp;Labels!B386</f>
        <v xml:space="preserve">      Prof Level 2</v>
      </c>
      <c r="B542" s="233"/>
      <c r="C542" s="233"/>
      <c r="D542" s="233"/>
      <c r="E542" s="233"/>
      <c r="F542" s="233"/>
      <c r="G542" s="233"/>
      <c r="H542" s="233"/>
      <c r="I542" s="233"/>
      <c r="J542" s="233"/>
      <c r="K542" s="233"/>
      <c r="L542" s="233"/>
      <c r="M542" s="233"/>
      <c r="N542" s="233"/>
      <c r="O542" s="233"/>
      <c r="P542" s="233"/>
      <c r="Q542" s="233"/>
      <c r="R542" s="233"/>
      <c r="S542" s="393"/>
    </row>
    <row r="543" spans="1:19" ht="12.75" customHeight="1" x14ac:dyDescent="0.2">
      <c r="A543" s="198" t="str">
        <f>"         "&amp;Labels!B317</f>
        <v xml:space="preserve">         Channels 1</v>
      </c>
      <c r="B543" s="209">
        <f t="shared" ref="B543:S543" si="259">IF(B177&gt;0.9999999,B177,1-EXP(LN(1-B177)/12))</f>
        <v>5.6125687318306472E-2</v>
      </c>
      <c r="C543" s="209">
        <f t="shared" si="259"/>
        <v>5.6125687318306472E-2</v>
      </c>
      <c r="D543" s="209">
        <f t="shared" si="259"/>
        <v>5.6125687318306472E-2</v>
      </c>
      <c r="E543" s="209">
        <f t="shared" si="259"/>
        <v>5.6125687318306472E-2</v>
      </c>
      <c r="F543" s="209">
        <f t="shared" si="259"/>
        <v>5.6125687318306472E-2</v>
      </c>
      <c r="G543" s="209">
        <f t="shared" si="259"/>
        <v>5.6125687318306472E-2</v>
      </c>
      <c r="H543" s="209">
        <f t="shared" si="259"/>
        <v>5.6125687318306472E-2</v>
      </c>
      <c r="I543" s="209">
        <f t="shared" si="259"/>
        <v>5.6125687318306472E-2</v>
      </c>
      <c r="J543" s="209">
        <f t="shared" si="259"/>
        <v>5.6125687318306472E-2</v>
      </c>
      <c r="K543" s="209">
        <f t="shared" si="259"/>
        <v>5.6125687318306472E-2</v>
      </c>
      <c r="L543" s="209">
        <f t="shared" si="259"/>
        <v>5.6125687318306472E-2</v>
      </c>
      <c r="M543" s="209">
        <f t="shared" si="259"/>
        <v>5.6125687318306472E-2</v>
      </c>
      <c r="N543" s="209">
        <f t="shared" si="259"/>
        <v>5.6125687318306472E-2</v>
      </c>
      <c r="O543" s="209">
        <f t="shared" si="259"/>
        <v>5.6125687318306472E-2</v>
      </c>
      <c r="P543" s="209">
        <f t="shared" si="259"/>
        <v>5.6125687318306472E-2</v>
      </c>
      <c r="Q543" s="209">
        <f t="shared" si="259"/>
        <v>5.6125687318306472E-2</v>
      </c>
      <c r="R543" s="209">
        <f t="shared" si="259"/>
        <v>5.6125687318306472E-2</v>
      </c>
      <c r="S543" s="394">
        <f t="shared" si="259"/>
        <v>5.6125687318306472E-2</v>
      </c>
    </row>
    <row r="544" spans="1:19" ht="12.75" customHeight="1" x14ac:dyDescent="0.2">
      <c r="A544" s="198" t="str">
        <f>"         "&amp;Labels!B318</f>
        <v xml:space="preserve">         Channels 2</v>
      </c>
      <c r="B544" s="209">
        <f t="shared" ref="B544:S544" si="260">IF(B178&gt;0.9999999,B178,1-EXP(LN(1-B178)/12))</f>
        <v>5.6125687318306472E-2</v>
      </c>
      <c r="C544" s="209">
        <f t="shared" si="260"/>
        <v>5.6125687318306472E-2</v>
      </c>
      <c r="D544" s="209">
        <f t="shared" si="260"/>
        <v>5.6125687318306472E-2</v>
      </c>
      <c r="E544" s="209">
        <f t="shared" si="260"/>
        <v>5.6125687318306472E-2</v>
      </c>
      <c r="F544" s="209">
        <f t="shared" si="260"/>
        <v>5.6125687318306472E-2</v>
      </c>
      <c r="G544" s="209">
        <f t="shared" si="260"/>
        <v>5.6125687318306472E-2</v>
      </c>
      <c r="H544" s="209">
        <f t="shared" si="260"/>
        <v>5.6125687318306472E-2</v>
      </c>
      <c r="I544" s="209">
        <f t="shared" si="260"/>
        <v>5.6125687318306472E-2</v>
      </c>
      <c r="J544" s="209">
        <f t="shared" si="260"/>
        <v>5.6125687318306472E-2</v>
      </c>
      <c r="K544" s="209">
        <f t="shared" si="260"/>
        <v>5.6125687318306472E-2</v>
      </c>
      <c r="L544" s="209">
        <f t="shared" si="260"/>
        <v>5.6125687318306472E-2</v>
      </c>
      <c r="M544" s="209">
        <f t="shared" si="260"/>
        <v>5.6125687318306472E-2</v>
      </c>
      <c r="N544" s="209">
        <f t="shared" si="260"/>
        <v>5.6125687318306472E-2</v>
      </c>
      <c r="O544" s="209">
        <f t="shared" si="260"/>
        <v>5.6125687318306472E-2</v>
      </c>
      <c r="P544" s="209">
        <f t="shared" si="260"/>
        <v>5.6125687318306472E-2</v>
      </c>
      <c r="Q544" s="209">
        <f t="shared" si="260"/>
        <v>5.6125687318306472E-2</v>
      </c>
      <c r="R544" s="209">
        <f t="shared" si="260"/>
        <v>5.6125687318306472E-2</v>
      </c>
      <c r="S544" s="394">
        <f t="shared" si="260"/>
        <v>5.6125687318306472E-2</v>
      </c>
    </row>
    <row r="545" spans="1:19" ht="12.75" customHeight="1" x14ac:dyDescent="0.2">
      <c r="A545" s="198" t="str">
        <f>"         "&amp;Labels!C316</f>
        <v xml:space="preserve">         Total</v>
      </c>
      <c r="B545" s="233">
        <f t="shared" ref="B545:S545" si="261">AVERAGE(B543:B544)</f>
        <v>5.6125687318306472E-2</v>
      </c>
      <c r="C545" s="233">
        <f t="shared" si="261"/>
        <v>5.6125687318306472E-2</v>
      </c>
      <c r="D545" s="233">
        <f t="shared" si="261"/>
        <v>5.6125687318306472E-2</v>
      </c>
      <c r="E545" s="233">
        <f t="shared" si="261"/>
        <v>5.6125687318306472E-2</v>
      </c>
      <c r="F545" s="233">
        <f t="shared" si="261"/>
        <v>5.6125687318306472E-2</v>
      </c>
      <c r="G545" s="233">
        <f t="shared" si="261"/>
        <v>5.6125687318306472E-2</v>
      </c>
      <c r="H545" s="233">
        <f t="shared" si="261"/>
        <v>5.6125687318306472E-2</v>
      </c>
      <c r="I545" s="233">
        <f t="shared" si="261"/>
        <v>5.6125687318306472E-2</v>
      </c>
      <c r="J545" s="233">
        <f t="shared" si="261"/>
        <v>5.6125687318306472E-2</v>
      </c>
      <c r="K545" s="233">
        <f t="shared" si="261"/>
        <v>5.6125687318306472E-2</v>
      </c>
      <c r="L545" s="233">
        <f t="shared" si="261"/>
        <v>5.6125687318306472E-2</v>
      </c>
      <c r="M545" s="233">
        <f t="shared" si="261"/>
        <v>5.6125687318306472E-2</v>
      </c>
      <c r="N545" s="233">
        <f t="shared" si="261"/>
        <v>5.6125687318306472E-2</v>
      </c>
      <c r="O545" s="233">
        <f t="shared" si="261"/>
        <v>5.6125687318306472E-2</v>
      </c>
      <c r="P545" s="233">
        <f t="shared" si="261"/>
        <v>5.6125687318306472E-2</v>
      </c>
      <c r="Q545" s="233">
        <f t="shared" si="261"/>
        <v>5.6125687318306472E-2</v>
      </c>
      <c r="R545" s="233">
        <f t="shared" si="261"/>
        <v>5.6125687318306472E-2</v>
      </c>
      <c r="S545" s="393">
        <f t="shared" si="261"/>
        <v>5.6125687318306472E-2</v>
      </c>
    </row>
    <row r="546" spans="1:19" ht="12.75" customHeight="1" x14ac:dyDescent="0.2">
      <c r="A546" s="188" t="str">
        <f>"      "&amp;Labels!C384</f>
        <v xml:space="preserve">      Total</v>
      </c>
      <c r="B546" s="218">
        <f t="shared" ref="B546:S546" si="262">AVERAGE(B541,B545)</f>
        <v>5.6125687318306472E-2</v>
      </c>
      <c r="C546" s="218">
        <f t="shared" si="262"/>
        <v>5.6125687318306472E-2</v>
      </c>
      <c r="D546" s="218">
        <f t="shared" si="262"/>
        <v>5.6125687318306472E-2</v>
      </c>
      <c r="E546" s="218">
        <f t="shared" si="262"/>
        <v>5.6125687318306472E-2</v>
      </c>
      <c r="F546" s="218">
        <f t="shared" si="262"/>
        <v>5.6125687318306472E-2</v>
      </c>
      <c r="G546" s="218">
        <f t="shared" si="262"/>
        <v>5.6125687318306472E-2</v>
      </c>
      <c r="H546" s="218">
        <f t="shared" si="262"/>
        <v>5.6125687318306472E-2</v>
      </c>
      <c r="I546" s="218">
        <f t="shared" si="262"/>
        <v>5.6125687318306472E-2</v>
      </c>
      <c r="J546" s="218">
        <f t="shared" si="262"/>
        <v>5.6125687318306472E-2</v>
      </c>
      <c r="K546" s="218">
        <f t="shared" si="262"/>
        <v>5.6125687318306472E-2</v>
      </c>
      <c r="L546" s="218">
        <f t="shared" si="262"/>
        <v>5.6125687318306472E-2</v>
      </c>
      <c r="M546" s="218">
        <f t="shared" si="262"/>
        <v>5.6125687318306472E-2</v>
      </c>
      <c r="N546" s="218">
        <f t="shared" si="262"/>
        <v>5.6125687318306472E-2</v>
      </c>
      <c r="O546" s="218">
        <f t="shared" si="262"/>
        <v>5.6125687318306472E-2</v>
      </c>
      <c r="P546" s="218">
        <f t="shared" si="262"/>
        <v>5.6125687318306472E-2</v>
      </c>
      <c r="Q546" s="218">
        <f t="shared" si="262"/>
        <v>5.6125687318306472E-2</v>
      </c>
      <c r="R546" s="218">
        <f t="shared" si="262"/>
        <v>5.6125687318306472E-2</v>
      </c>
      <c r="S546" s="392">
        <f t="shared" si="262"/>
        <v>5.6125687318306472E-2</v>
      </c>
    </row>
    <row r="547" spans="1:19" ht="12.75" customHeight="1" x14ac:dyDescent="0.2">
      <c r="A547" s="198" t="str">
        <f>"         "&amp;Labels!B317</f>
        <v xml:space="preserve">         Channels 1</v>
      </c>
      <c r="B547" s="209">
        <f t="shared" ref="B547:S547" si="263">AVERAGE(B539,B543)</f>
        <v>5.6125687318306472E-2</v>
      </c>
      <c r="C547" s="209">
        <f t="shared" si="263"/>
        <v>5.6125687318306472E-2</v>
      </c>
      <c r="D547" s="209">
        <f t="shared" si="263"/>
        <v>5.6125687318306472E-2</v>
      </c>
      <c r="E547" s="209">
        <f t="shared" si="263"/>
        <v>5.6125687318306472E-2</v>
      </c>
      <c r="F547" s="209">
        <f t="shared" si="263"/>
        <v>5.6125687318306472E-2</v>
      </c>
      <c r="G547" s="209">
        <f t="shared" si="263"/>
        <v>5.6125687318306472E-2</v>
      </c>
      <c r="H547" s="209">
        <f t="shared" si="263"/>
        <v>5.6125687318306472E-2</v>
      </c>
      <c r="I547" s="209">
        <f t="shared" si="263"/>
        <v>5.6125687318306472E-2</v>
      </c>
      <c r="J547" s="209">
        <f t="shared" si="263"/>
        <v>5.6125687318306472E-2</v>
      </c>
      <c r="K547" s="209">
        <f t="shared" si="263"/>
        <v>5.6125687318306472E-2</v>
      </c>
      <c r="L547" s="209">
        <f t="shared" si="263"/>
        <v>5.6125687318306472E-2</v>
      </c>
      <c r="M547" s="209">
        <f t="shared" si="263"/>
        <v>5.6125687318306472E-2</v>
      </c>
      <c r="N547" s="209">
        <f t="shared" si="263"/>
        <v>5.6125687318306472E-2</v>
      </c>
      <c r="O547" s="209">
        <f t="shared" si="263"/>
        <v>5.6125687318306472E-2</v>
      </c>
      <c r="P547" s="209">
        <f t="shared" si="263"/>
        <v>5.6125687318306472E-2</v>
      </c>
      <c r="Q547" s="209">
        <f t="shared" si="263"/>
        <v>5.6125687318306472E-2</v>
      </c>
      <c r="R547" s="209">
        <f t="shared" si="263"/>
        <v>5.6125687318306472E-2</v>
      </c>
      <c r="S547" s="394">
        <f t="shared" si="263"/>
        <v>5.6125687318306472E-2</v>
      </c>
    </row>
    <row r="548" spans="1:19" ht="12.75" customHeight="1" x14ac:dyDescent="0.2">
      <c r="A548" s="198" t="str">
        <f>"         "&amp;Labels!B318</f>
        <v xml:space="preserve">         Channels 2</v>
      </c>
      <c r="B548" s="209">
        <f t="shared" ref="B548:S548" si="264">AVERAGE(B540,B544)</f>
        <v>5.6125687318306472E-2</v>
      </c>
      <c r="C548" s="209">
        <f t="shared" si="264"/>
        <v>5.6125687318306472E-2</v>
      </c>
      <c r="D548" s="209">
        <f t="shared" si="264"/>
        <v>5.6125687318306472E-2</v>
      </c>
      <c r="E548" s="209">
        <f t="shared" si="264"/>
        <v>5.6125687318306472E-2</v>
      </c>
      <c r="F548" s="209">
        <f t="shared" si="264"/>
        <v>5.6125687318306472E-2</v>
      </c>
      <c r="G548" s="209">
        <f t="shared" si="264"/>
        <v>5.6125687318306472E-2</v>
      </c>
      <c r="H548" s="209">
        <f t="shared" si="264"/>
        <v>5.6125687318306472E-2</v>
      </c>
      <c r="I548" s="209">
        <f t="shared" si="264"/>
        <v>5.6125687318306472E-2</v>
      </c>
      <c r="J548" s="209">
        <f t="shared" si="264"/>
        <v>5.6125687318306472E-2</v>
      </c>
      <c r="K548" s="209">
        <f t="shared" si="264"/>
        <v>5.6125687318306472E-2</v>
      </c>
      <c r="L548" s="209">
        <f t="shared" si="264"/>
        <v>5.6125687318306472E-2</v>
      </c>
      <c r="M548" s="209">
        <f t="shared" si="264"/>
        <v>5.6125687318306472E-2</v>
      </c>
      <c r="N548" s="209">
        <f t="shared" si="264"/>
        <v>5.6125687318306472E-2</v>
      </c>
      <c r="O548" s="209">
        <f t="shared" si="264"/>
        <v>5.6125687318306472E-2</v>
      </c>
      <c r="P548" s="209">
        <f t="shared" si="264"/>
        <v>5.6125687318306472E-2</v>
      </c>
      <c r="Q548" s="209">
        <f t="shared" si="264"/>
        <v>5.6125687318306472E-2</v>
      </c>
      <c r="R548" s="209">
        <f t="shared" si="264"/>
        <v>5.6125687318306472E-2</v>
      </c>
      <c r="S548" s="394">
        <f t="shared" si="264"/>
        <v>5.6125687318306472E-2</v>
      </c>
    </row>
    <row r="549" spans="1:19" ht="12.75" customHeight="1" x14ac:dyDescent="0.2">
      <c r="A549" s="198" t="str">
        <f>"         "&amp;Labels!C316</f>
        <v xml:space="preserve">         Total</v>
      </c>
      <c r="B549" s="233">
        <f t="shared" ref="B549:S549" si="265">AVERAGE(B541,B545)</f>
        <v>5.6125687318306472E-2</v>
      </c>
      <c r="C549" s="233">
        <f t="shared" si="265"/>
        <v>5.6125687318306472E-2</v>
      </c>
      <c r="D549" s="233">
        <f t="shared" si="265"/>
        <v>5.6125687318306472E-2</v>
      </c>
      <c r="E549" s="233">
        <f t="shared" si="265"/>
        <v>5.6125687318306472E-2</v>
      </c>
      <c r="F549" s="233">
        <f t="shared" si="265"/>
        <v>5.6125687318306472E-2</v>
      </c>
      <c r="G549" s="233">
        <f t="shared" si="265"/>
        <v>5.6125687318306472E-2</v>
      </c>
      <c r="H549" s="233">
        <f t="shared" si="265"/>
        <v>5.6125687318306472E-2</v>
      </c>
      <c r="I549" s="233">
        <f t="shared" si="265"/>
        <v>5.6125687318306472E-2</v>
      </c>
      <c r="J549" s="233">
        <f t="shared" si="265"/>
        <v>5.6125687318306472E-2</v>
      </c>
      <c r="K549" s="233">
        <f t="shared" si="265"/>
        <v>5.6125687318306472E-2</v>
      </c>
      <c r="L549" s="233">
        <f t="shared" si="265"/>
        <v>5.6125687318306472E-2</v>
      </c>
      <c r="M549" s="233">
        <f t="shared" si="265"/>
        <v>5.6125687318306472E-2</v>
      </c>
      <c r="N549" s="233">
        <f t="shared" si="265"/>
        <v>5.6125687318306472E-2</v>
      </c>
      <c r="O549" s="233">
        <f t="shared" si="265"/>
        <v>5.6125687318306472E-2</v>
      </c>
      <c r="P549" s="233">
        <f t="shared" si="265"/>
        <v>5.6125687318306472E-2</v>
      </c>
      <c r="Q549" s="233">
        <f t="shared" si="265"/>
        <v>5.6125687318306472E-2</v>
      </c>
      <c r="R549" s="233">
        <f t="shared" si="265"/>
        <v>5.6125687318306472E-2</v>
      </c>
      <c r="S549" s="393">
        <f t="shared" si="265"/>
        <v>5.6125687318306472E-2</v>
      </c>
    </row>
    <row r="550" spans="1:19" ht="12.75" customHeight="1" x14ac:dyDescent="0.2">
      <c r="A550" s="191" t="str">
        <f>"   "&amp;Labels!C380</f>
        <v xml:space="preserve">   Total</v>
      </c>
      <c r="B550" s="211">
        <f t="shared" ref="B550:S550" si="266">AVERAGE(B533,B546)</f>
        <v>5.6125687318306472E-2</v>
      </c>
      <c r="C550" s="211">
        <f t="shared" si="266"/>
        <v>5.6125687318306472E-2</v>
      </c>
      <c r="D550" s="211">
        <f t="shared" si="266"/>
        <v>5.6125687318306472E-2</v>
      </c>
      <c r="E550" s="211">
        <f t="shared" si="266"/>
        <v>5.6125687318306472E-2</v>
      </c>
      <c r="F550" s="211">
        <f t="shared" si="266"/>
        <v>5.6125687318306472E-2</v>
      </c>
      <c r="G550" s="211">
        <f t="shared" si="266"/>
        <v>5.6125687318306472E-2</v>
      </c>
      <c r="H550" s="211">
        <f t="shared" si="266"/>
        <v>5.6125687318306472E-2</v>
      </c>
      <c r="I550" s="211">
        <f t="shared" si="266"/>
        <v>5.6125687318306472E-2</v>
      </c>
      <c r="J550" s="211">
        <f t="shared" si="266"/>
        <v>5.6125687318306472E-2</v>
      </c>
      <c r="K550" s="211">
        <f t="shared" si="266"/>
        <v>5.6125687318306472E-2</v>
      </c>
      <c r="L550" s="211">
        <f t="shared" si="266"/>
        <v>5.6125687318306472E-2</v>
      </c>
      <c r="M550" s="211">
        <f t="shared" si="266"/>
        <v>5.6125687318306472E-2</v>
      </c>
      <c r="N550" s="211">
        <f t="shared" si="266"/>
        <v>5.6125687318306472E-2</v>
      </c>
      <c r="O550" s="211">
        <f t="shared" si="266"/>
        <v>5.6125687318306472E-2</v>
      </c>
      <c r="P550" s="211">
        <f t="shared" si="266"/>
        <v>5.6125687318306472E-2</v>
      </c>
      <c r="Q550" s="211">
        <f t="shared" si="266"/>
        <v>5.6125687318306472E-2</v>
      </c>
      <c r="R550" s="211">
        <f t="shared" si="266"/>
        <v>5.6125687318306472E-2</v>
      </c>
      <c r="S550" s="395">
        <f t="shared" si="266"/>
        <v>5.6125687318306472E-2</v>
      </c>
    </row>
    <row r="551" spans="1:19" ht="12.75" customHeight="1" x14ac:dyDescent="0.2">
      <c r="A551" s="198" t="str">
        <f>"      "&amp;Labels!B385</f>
        <v xml:space="preserve">      Prof Level 1</v>
      </c>
      <c r="B551" s="233"/>
      <c r="C551" s="233"/>
      <c r="D551" s="233"/>
      <c r="E551" s="233"/>
      <c r="F551" s="233"/>
      <c r="G551" s="233"/>
      <c r="H551" s="233"/>
      <c r="I551" s="233"/>
      <c r="J551" s="233"/>
      <c r="K551" s="233"/>
      <c r="L551" s="233"/>
      <c r="M551" s="233"/>
      <c r="N551" s="233"/>
      <c r="O551" s="233"/>
      <c r="P551" s="233"/>
      <c r="Q551" s="233"/>
      <c r="R551" s="233"/>
      <c r="S551" s="393"/>
    </row>
    <row r="552" spans="1:19" ht="12.75" customHeight="1" x14ac:dyDescent="0.2">
      <c r="A552" s="198" t="str">
        <f>"         "&amp;Labels!B317</f>
        <v xml:space="preserve">         Channels 1</v>
      </c>
      <c r="B552" s="209">
        <f t="shared" ref="B552:S552" si="267">AVERAGE(B526,B539)</f>
        <v>5.6125687318306472E-2</v>
      </c>
      <c r="C552" s="209">
        <f t="shared" si="267"/>
        <v>5.6125687318306472E-2</v>
      </c>
      <c r="D552" s="209">
        <f t="shared" si="267"/>
        <v>5.6125687318306472E-2</v>
      </c>
      <c r="E552" s="209">
        <f t="shared" si="267"/>
        <v>5.6125687318306472E-2</v>
      </c>
      <c r="F552" s="209">
        <f t="shared" si="267"/>
        <v>5.6125687318306472E-2</v>
      </c>
      <c r="G552" s="209">
        <f t="shared" si="267"/>
        <v>5.6125687318306472E-2</v>
      </c>
      <c r="H552" s="209">
        <f t="shared" si="267"/>
        <v>5.6125687318306472E-2</v>
      </c>
      <c r="I552" s="209">
        <f t="shared" si="267"/>
        <v>5.6125687318306472E-2</v>
      </c>
      <c r="J552" s="209">
        <f t="shared" si="267"/>
        <v>5.6125687318306472E-2</v>
      </c>
      <c r="K552" s="209">
        <f t="shared" si="267"/>
        <v>5.6125687318306472E-2</v>
      </c>
      <c r="L552" s="209">
        <f t="shared" si="267"/>
        <v>5.6125687318306472E-2</v>
      </c>
      <c r="M552" s="209">
        <f t="shared" si="267"/>
        <v>5.6125687318306472E-2</v>
      </c>
      <c r="N552" s="209">
        <f t="shared" si="267"/>
        <v>5.6125687318306472E-2</v>
      </c>
      <c r="O552" s="209">
        <f t="shared" si="267"/>
        <v>5.6125687318306472E-2</v>
      </c>
      <c r="P552" s="209">
        <f t="shared" si="267"/>
        <v>5.6125687318306472E-2</v>
      </c>
      <c r="Q552" s="209">
        <f t="shared" si="267"/>
        <v>5.6125687318306472E-2</v>
      </c>
      <c r="R552" s="209">
        <f t="shared" si="267"/>
        <v>5.6125687318306472E-2</v>
      </c>
      <c r="S552" s="394">
        <f t="shared" si="267"/>
        <v>5.6125687318306472E-2</v>
      </c>
    </row>
    <row r="553" spans="1:19" ht="12.75" customHeight="1" x14ac:dyDescent="0.2">
      <c r="A553" s="198" t="str">
        <f>"         "&amp;Labels!B318</f>
        <v xml:space="preserve">         Channels 2</v>
      </c>
      <c r="B553" s="209">
        <f t="shared" ref="B553:S553" si="268">AVERAGE(B527,B540)</f>
        <v>5.6125687318306472E-2</v>
      </c>
      <c r="C553" s="209">
        <f t="shared" si="268"/>
        <v>5.6125687318306472E-2</v>
      </c>
      <c r="D553" s="209">
        <f t="shared" si="268"/>
        <v>5.6125687318306472E-2</v>
      </c>
      <c r="E553" s="209">
        <f t="shared" si="268"/>
        <v>5.6125687318306472E-2</v>
      </c>
      <c r="F553" s="209">
        <f t="shared" si="268"/>
        <v>5.6125687318306472E-2</v>
      </c>
      <c r="G553" s="209">
        <f t="shared" si="268"/>
        <v>5.6125687318306472E-2</v>
      </c>
      <c r="H553" s="209">
        <f t="shared" si="268"/>
        <v>5.6125687318306472E-2</v>
      </c>
      <c r="I553" s="209">
        <f t="shared" si="268"/>
        <v>5.6125687318306472E-2</v>
      </c>
      <c r="J553" s="209">
        <f t="shared" si="268"/>
        <v>5.6125687318306472E-2</v>
      </c>
      <c r="K553" s="209">
        <f t="shared" si="268"/>
        <v>5.6125687318306472E-2</v>
      </c>
      <c r="L553" s="209">
        <f t="shared" si="268"/>
        <v>5.6125687318306472E-2</v>
      </c>
      <c r="M553" s="209">
        <f t="shared" si="268"/>
        <v>5.6125687318306472E-2</v>
      </c>
      <c r="N553" s="209">
        <f t="shared" si="268"/>
        <v>5.6125687318306472E-2</v>
      </c>
      <c r="O553" s="209">
        <f t="shared" si="268"/>
        <v>5.6125687318306472E-2</v>
      </c>
      <c r="P553" s="209">
        <f t="shared" si="268"/>
        <v>5.6125687318306472E-2</v>
      </c>
      <c r="Q553" s="209">
        <f t="shared" si="268"/>
        <v>5.6125687318306472E-2</v>
      </c>
      <c r="R553" s="209">
        <f t="shared" si="268"/>
        <v>5.6125687318306472E-2</v>
      </c>
      <c r="S553" s="394">
        <f t="shared" si="268"/>
        <v>5.6125687318306472E-2</v>
      </c>
    </row>
    <row r="554" spans="1:19" ht="12.75" customHeight="1" x14ac:dyDescent="0.2">
      <c r="A554" s="198" t="str">
        <f>"         "&amp;Labels!C316</f>
        <v xml:space="preserve">         Total</v>
      </c>
      <c r="B554" s="233">
        <f t="shared" ref="B554:S554" si="269">AVERAGE(B528,B541)</f>
        <v>5.6125687318306472E-2</v>
      </c>
      <c r="C554" s="233">
        <f t="shared" si="269"/>
        <v>5.6125687318306472E-2</v>
      </c>
      <c r="D554" s="233">
        <f t="shared" si="269"/>
        <v>5.6125687318306472E-2</v>
      </c>
      <c r="E554" s="233">
        <f t="shared" si="269"/>
        <v>5.6125687318306472E-2</v>
      </c>
      <c r="F554" s="233">
        <f t="shared" si="269"/>
        <v>5.6125687318306472E-2</v>
      </c>
      <c r="G554" s="233">
        <f t="shared" si="269"/>
        <v>5.6125687318306472E-2</v>
      </c>
      <c r="H554" s="233">
        <f t="shared" si="269"/>
        <v>5.6125687318306472E-2</v>
      </c>
      <c r="I554" s="233">
        <f t="shared" si="269"/>
        <v>5.6125687318306472E-2</v>
      </c>
      <c r="J554" s="233">
        <f t="shared" si="269"/>
        <v>5.6125687318306472E-2</v>
      </c>
      <c r="K554" s="233">
        <f t="shared" si="269"/>
        <v>5.6125687318306472E-2</v>
      </c>
      <c r="L554" s="233">
        <f t="shared" si="269"/>
        <v>5.6125687318306472E-2</v>
      </c>
      <c r="M554" s="233">
        <f t="shared" si="269"/>
        <v>5.6125687318306472E-2</v>
      </c>
      <c r="N554" s="233">
        <f t="shared" si="269"/>
        <v>5.6125687318306472E-2</v>
      </c>
      <c r="O554" s="233">
        <f t="shared" si="269"/>
        <v>5.6125687318306472E-2</v>
      </c>
      <c r="P554" s="233">
        <f t="shared" si="269"/>
        <v>5.6125687318306472E-2</v>
      </c>
      <c r="Q554" s="233">
        <f t="shared" si="269"/>
        <v>5.6125687318306472E-2</v>
      </c>
      <c r="R554" s="233">
        <f t="shared" si="269"/>
        <v>5.6125687318306472E-2</v>
      </c>
      <c r="S554" s="393">
        <f t="shared" si="269"/>
        <v>5.6125687318306472E-2</v>
      </c>
    </row>
    <row r="555" spans="1:19" ht="12.75" customHeight="1" x14ac:dyDescent="0.2">
      <c r="A555" s="198" t="str">
        <f>"      "&amp;Labels!B386</f>
        <v xml:space="preserve">      Prof Level 2</v>
      </c>
      <c r="B555" s="233"/>
      <c r="C555" s="233"/>
      <c r="D555" s="233"/>
      <c r="E555" s="233"/>
      <c r="F555" s="233"/>
      <c r="G555" s="233"/>
      <c r="H555" s="233"/>
      <c r="I555" s="233"/>
      <c r="J555" s="233"/>
      <c r="K555" s="233"/>
      <c r="L555" s="233"/>
      <c r="M555" s="233"/>
      <c r="N555" s="233"/>
      <c r="O555" s="233"/>
      <c r="P555" s="233"/>
      <c r="Q555" s="233"/>
      <c r="R555" s="233"/>
      <c r="S555" s="393"/>
    </row>
    <row r="556" spans="1:19" ht="12.75" customHeight="1" x14ac:dyDescent="0.2">
      <c r="A556" s="198" t="str">
        <f>"         "&amp;Labels!B317</f>
        <v xml:space="preserve">         Channels 1</v>
      </c>
      <c r="B556" s="209">
        <f t="shared" ref="B556:S556" si="270">AVERAGE(B530,B543)</f>
        <v>5.6125687318306472E-2</v>
      </c>
      <c r="C556" s="209">
        <f t="shared" si="270"/>
        <v>5.6125687318306472E-2</v>
      </c>
      <c r="D556" s="209">
        <f t="shared" si="270"/>
        <v>5.6125687318306472E-2</v>
      </c>
      <c r="E556" s="209">
        <f t="shared" si="270"/>
        <v>5.6125687318306472E-2</v>
      </c>
      <c r="F556" s="209">
        <f t="shared" si="270"/>
        <v>5.6125687318306472E-2</v>
      </c>
      <c r="G556" s="209">
        <f t="shared" si="270"/>
        <v>5.6125687318306472E-2</v>
      </c>
      <c r="H556" s="209">
        <f t="shared" si="270"/>
        <v>5.6125687318306472E-2</v>
      </c>
      <c r="I556" s="209">
        <f t="shared" si="270"/>
        <v>5.6125687318306472E-2</v>
      </c>
      <c r="J556" s="209">
        <f t="shared" si="270"/>
        <v>5.6125687318306472E-2</v>
      </c>
      <c r="K556" s="209">
        <f t="shared" si="270"/>
        <v>5.6125687318306472E-2</v>
      </c>
      <c r="L556" s="209">
        <f t="shared" si="270"/>
        <v>5.6125687318306472E-2</v>
      </c>
      <c r="M556" s="209">
        <f t="shared" si="270"/>
        <v>5.6125687318306472E-2</v>
      </c>
      <c r="N556" s="209">
        <f t="shared" si="270"/>
        <v>5.6125687318306472E-2</v>
      </c>
      <c r="O556" s="209">
        <f t="shared" si="270"/>
        <v>5.6125687318306472E-2</v>
      </c>
      <c r="P556" s="209">
        <f t="shared" si="270"/>
        <v>5.6125687318306472E-2</v>
      </c>
      <c r="Q556" s="209">
        <f t="shared" si="270"/>
        <v>5.6125687318306472E-2</v>
      </c>
      <c r="R556" s="209">
        <f t="shared" si="270"/>
        <v>5.6125687318306472E-2</v>
      </c>
      <c r="S556" s="394">
        <f t="shared" si="270"/>
        <v>5.6125687318306472E-2</v>
      </c>
    </row>
    <row r="557" spans="1:19" ht="12.75" customHeight="1" x14ac:dyDescent="0.2">
      <c r="A557" s="198" t="str">
        <f>"         "&amp;Labels!B318</f>
        <v xml:space="preserve">         Channels 2</v>
      </c>
      <c r="B557" s="209">
        <f t="shared" ref="B557:S557" si="271">AVERAGE(B531,B544)</f>
        <v>5.6125687318306472E-2</v>
      </c>
      <c r="C557" s="209">
        <f t="shared" si="271"/>
        <v>5.6125687318306472E-2</v>
      </c>
      <c r="D557" s="209">
        <f t="shared" si="271"/>
        <v>5.6125687318306472E-2</v>
      </c>
      <c r="E557" s="209">
        <f t="shared" si="271"/>
        <v>5.6125687318306472E-2</v>
      </c>
      <c r="F557" s="209">
        <f t="shared" si="271"/>
        <v>5.6125687318306472E-2</v>
      </c>
      <c r="G557" s="209">
        <f t="shared" si="271"/>
        <v>5.6125687318306472E-2</v>
      </c>
      <c r="H557" s="209">
        <f t="shared" si="271"/>
        <v>5.6125687318306472E-2</v>
      </c>
      <c r="I557" s="209">
        <f t="shared" si="271"/>
        <v>5.6125687318306472E-2</v>
      </c>
      <c r="J557" s="209">
        <f t="shared" si="271"/>
        <v>5.6125687318306472E-2</v>
      </c>
      <c r="K557" s="209">
        <f t="shared" si="271"/>
        <v>5.6125687318306472E-2</v>
      </c>
      <c r="L557" s="209">
        <f t="shared" si="271"/>
        <v>5.6125687318306472E-2</v>
      </c>
      <c r="M557" s="209">
        <f t="shared" si="271"/>
        <v>5.6125687318306472E-2</v>
      </c>
      <c r="N557" s="209">
        <f t="shared" si="271"/>
        <v>5.6125687318306472E-2</v>
      </c>
      <c r="O557" s="209">
        <f t="shared" si="271"/>
        <v>5.6125687318306472E-2</v>
      </c>
      <c r="P557" s="209">
        <f t="shared" si="271"/>
        <v>5.6125687318306472E-2</v>
      </c>
      <c r="Q557" s="209">
        <f t="shared" si="271"/>
        <v>5.6125687318306472E-2</v>
      </c>
      <c r="R557" s="209">
        <f t="shared" si="271"/>
        <v>5.6125687318306472E-2</v>
      </c>
      <c r="S557" s="394">
        <f t="shared" si="271"/>
        <v>5.6125687318306472E-2</v>
      </c>
    </row>
    <row r="558" spans="1:19" ht="12.75" customHeight="1" x14ac:dyDescent="0.2">
      <c r="A558" s="198" t="str">
        <f>"         "&amp;Labels!C316</f>
        <v xml:space="preserve">         Total</v>
      </c>
      <c r="B558" s="233">
        <f t="shared" ref="B558:S558" si="272">AVERAGE(B532,B545)</f>
        <v>5.6125687318306472E-2</v>
      </c>
      <c r="C558" s="233">
        <f t="shared" si="272"/>
        <v>5.6125687318306472E-2</v>
      </c>
      <c r="D558" s="233">
        <f t="shared" si="272"/>
        <v>5.6125687318306472E-2</v>
      </c>
      <c r="E558" s="233">
        <f t="shared" si="272"/>
        <v>5.6125687318306472E-2</v>
      </c>
      <c r="F558" s="233">
        <f t="shared" si="272"/>
        <v>5.6125687318306472E-2</v>
      </c>
      <c r="G558" s="233">
        <f t="shared" si="272"/>
        <v>5.6125687318306472E-2</v>
      </c>
      <c r="H558" s="233">
        <f t="shared" si="272"/>
        <v>5.6125687318306472E-2</v>
      </c>
      <c r="I558" s="233">
        <f t="shared" si="272"/>
        <v>5.6125687318306472E-2</v>
      </c>
      <c r="J558" s="233">
        <f t="shared" si="272"/>
        <v>5.6125687318306472E-2</v>
      </c>
      <c r="K558" s="233">
        <f t="shared" si="272"/>
        <v>5.6125687318306472E-2</v>
      </c>
      <c r="L558" s="233">
        <f t="shared" si="272"/>
        <v>5.6125687318306472E-2</v>
      </c>
      <c r="M558" s="233">
        <f t="shared" si="272"/>
        <v>5.6125687318306472E-2</v>
      </c>
      <c r="N558" s="233">
        <f t="shared" si="272"/>
        <v>5.6125687318306472E-2</v>
      </c>
      <c r="O558" s="233">
        <f t="shared" si="272"/>
        <v>5.6125687318306472E-2</v>
      </c>
      <c r="P558" s="233">
        <f t="shared" si="272"/>
        <v>5.6125687318306472E-2</v>
      </c>
      <c r="Q558" s="233">
        <f t="shared" si="272"/>
        <v>5.6125687318306472E-2</v>
      </c>
      <c r="R558" s="233">
        <f t="shared" si="272"/>
        <v>5.6125687318306472E-2</v>
      </c>
      <c r="S558" s="393">
        <f t="shared" si="272"/>
        <v>5.6125687318306472E-2</v>
      </c>
    </row>
    <row r="559" spans="1:19" ht="12.75" customHeight="1" x14ac:dyDescent="0.2">
      <c r="A559" s="188" t="str">
        <f>"      "&amp;Labels!C384</f>
        <v xml:space="preserve">      Total</v>
      </c>
      <c r="B559" s="218">
        <f t="shared" ref="B559:S559" si="273">AVERAGE(B533,B546)</f>
        <v>5.6125687318306472E-2</v>
      </c>
      <c r="C559" s="218">
        <f t="shared" si="273"/>
        <v>5.6125687318306472E-2</v>
      </c>
      <c r="D559" s="218">
        <f t="shared" si="273"/>
        <v>5.6125687318306472E-2</v>
      </c>
      <c r="E559" s="218">
        <f t="shared" si="273"/>
        <v>5.6125687318306472E-2</v>
      </c>
      <c r="F559" s="218">
        <f t="shared" si="273"/>
        <v>5.6125687318306472E-2</v>
      </c>
      <c r="G559" s="218">
        <f t="shared" si="273"/>
        <v>5.6125687318306472E-2</v>
      </c>
      <c r="H559" s="218">
        <f t="shared" si="273"/>
        <v>5.6125687318306472E-2</v>
      </c>
      <c r="I559" s="218">
        <f t="shared" si="273"/>
        <v>5.6125687318306472E-2</v>
      </c>
      <c r="J559" s="218">
        <f t="shared" si="273"/>
        <v>5.6125687318306472E-2</v>
      </c>
      <c r="K559" s="218">
        <f t="shared" si="273"/>
        <v>5.6125687318306472E-2</v>
      </c>
      <c r="L559" s="218">
        <f t="shared" si="273"/>
        <v>5.6125687318306472E-2</v>
      </c>
      <c r="M559" s="218">
        <f t="shared" si="273"/>
        <v>5.6125687318306472E-2</v>
      </c>
      <c r="N559" s="218">
        <f t="shared" si="273"/>
        <v>5.6125687318306472E-2</v>
      </c>
      <c r="O559" s="218">
        <f t="shared" si="273"/>
        <v>5.6125687318306472E-2</v>
      </c>
      <c r="P559" s="218">
        <f t="shared" si="273"/>
        <v>5.6125687318306472E-2</v>
      </c>
      <c r="Q559" s="218">
        <f t="shared" si="273"/>
        <v>5.6125687318306472E-2</v>
      </c>
      <c r="R559" s="218">
        <f t="shared" si="273"/>
        <v>5.6125687318306472E-2</v>
      </c>
      <c r="S559" s="392">
        <f t="shared" si="273"/>
        <v>5.6125687318306472E-2</v>
      </c>
    </row>
    <row r="560" spans="1:19" ht="12.75" customHeight="1" x14ac:dyDescent="0.2">
      <c r="A560" s="198" t="str">
        <f>"         "&amp;Labels!B317</f>
        <v xml:space="preserve">         Channels 1</v>
      </c>
      <c r="B560" s="209">
        <f t="shared" ref="B560:S560" si="274">AVERAGE(B534,B547)</f>
        <v>5.6125687318306472E-2</v>
      </c>
      <c r="C560" s="209">
        <f t="shared" si="274"/>
        <v>5.6125687318306472E-2</v>
      </c>
      <c r="D560" s="209">
        <f t="shared" si="274"/>
        <v>5.6125687318306472E-2</v>
      </c>
      <c r="E560" s="209">
        <f t="shared" si="274"/>
        <v>5.6125687318306472E-2</v>
      </c>
      <c r="F560" s="209">
        <f t="shared" si="274"/>
        <v>5.6125687318306472E-2</v>
      </c>
      <c r="G560" s="209">
        <f t="shared" si="274"/>
        <v>5.6125687318306472E-2</v>
      </c>
      <c r="H560" s="209">
        <f t="shared" si="274"/>
        <v>5.6125687318306472E-2</v>
      </c>
      <c r="I560" s="209">
        <f t="shared" si="274"/>
        <v>5.6125687318306472E-2</v>
      </c>
      <c r="J560" s="209">
        <f t="shared" si="274"/>
        <v>5.6125687318306472E-2</v>
      </c>
      <c r="K560" s="209">
        <f t="shared" si="274"/>
        <v>5.6125687318306472E-2</v>
      </c>
      <c r="L560" s="209">
        <f t="shared" si="274"/>
        <v>5.6125687318306472E-2</v>
      </c>
      <c r="M560" s="209">
        <f t="shared" si="274"/>
        <v>5.6125687318306472E-2</v>
      </c>
      <c r="N560" s="209">
        <f t="shared" si="274"/>
        <v>5.6125687318306472E-2</v>
      </c>
      <c r="O560" s="209">
        <f t="shared" si="274"/>
        <v>5.6125687318306472E-2</v>
      </c>
      <c r="P560" s="209">
        <f t="shared" si="274"/>
        <v>5.6125687318306472E-2</v>
      </c>
      <c r="Q560" s="209">
        <f t="shared" si="274"/>
        <v>5.6125687318306472E-2</v>
      </c>
      <c r="R560" s="209">
        <f t="shared" si="274"/>
        <v>5.6125687318306472E-2</v>
      </c>
      <c r="S560" s="394">
        <f t="shared" si="274"/>
        <v>5.6125687318306472E-2</v>
      </c>
    </row>
    <row r="561" spans="1:19" ht="12.75" customHeight="1" x14ac:dyDescent="0.2">
      <c r="A561" s="198" t="str">
        <f>"         "&amp;Labels!B318</f>
        <v xml:space="preserve">         Channels 2</v>
      </c>
      <c r="B561" s="209">
        <f t="shared" ref="B561:S561" si="275">AVERAGE(B535,B548)</f>
        <v>5.6125687318306472E-2</v>
      </c>
      <c r="C561" s="209">
        <f t="shared" si="275"/>
        <v>5.6125687318306472E-2</v>
      </c>
      <c r="D561" s="209">
        <f t="shared" si="275"/>
        <v>5.6125687318306472E-2</v>
      </c>
      <c r="E561" s="209">
        <f t="shared" si="275"/>
        <v>5.6125687318306472E-2</v>
      </c>
      <c r="F561" s="209">
        <f t="shared" si="275"/>
        <v>5.6125687318306472E-2</v>
      </c>
      <c r="G561" s="209">
        <f t="shared" si="275"/>
        <v>5.6125687318306472E-2</v>
      </c>
      <c r="H561" s="209">
        <f t="shared" si="275"/>
        <v>5.6125687318306472E-2</v>
      </c>
      <c r="I561" s="209">
        <f t="shared" si="275"/>
        <v>5.6125687318306472E-2</v>
      </c>
      <c r="J561" s="209">
        <f t="shared" si="275"/>
        <v>5.6125687318306472E-2</v>
      </c>
      <c r="K561" s="209">
        <f t="shared" si="275"/>
        <v>5.6125687318306472E-2</v>
      </c>
      <c r="L561" s="209">
        <f t="shared" si="275"/>
        <v>5.6125687318306472E-2</v>
      </c>
      <c r="M561" s="209">
        <f t="shared" si="275"/>
        <v>5.6125687318306472E-2</v>
      </c>
      <c r="N561" s="209">
        <f t="shared" si="275"/>
        <v>5.6125687318306472E-2</v>
      </c>
      <c r="O561" s="209">
        <f t="shared" si="275"/>
        <v>5.6125687318306472E-2</v>
      </c>
      <c r="P561" s="209">
        <f t="shared" si="275"/>
        <v>5.6125687318306472E-2</v>
      </c>
      <c r="Q561" s="209">
        <f t="shared" si="275"/>
        <v>5.6125687318306472E-2</v>
      </c>
      <c r="R561" s="209">
        <f t="shared" si="275"/>
        <v>5.6125687318306472E-2</v>
      </c>
      <c r="S561" s="394">
        <f t="shared" si="275"/>
        <v>5.6125687318306472E-2</v>
      </c>
    </row>
    <row r="562" spans="1:19" ht="12.75" customHeight="1" x14ac:dyDescent="0.2">
      <c r="A562" s="198" t="str">
        <f>"         "&amp;Labels!C316</f>
        <v xml:space="preserve">         Total</v>
      </c>
      <c r="B562" s="233">
        <f t="shared" ref="B562:S562" si="276">AVERAGE(B533,B546)</f>
        <v>5.6125687318306472E-2</v>
      </c>
      <c r="C562" s="233">
        <f t="shared" si="276"/>
        <v>5.6125687318306472E-2</v>
      </c>
      <c r="D562" s="233">
        <f t="shared" si="276"/>
        <v>5.6125687318306472E-2</v>
      </c>
      <c r="E562" s="233">
        <f t="shared" si="276"/>
        <v>5.6125687318306472E-2</v>
      </c>
      <c r="F562" s="233">
        <f t="shared" si="276"/>
        <v>5.6125687318306472E-2</v>
      </c>
      <c r="G562" s="233">
        <f t="shared" si="276"/>
        <v>5.6125687318306472E-2</v>
      </c>
      <c r="H562" s="233">
        <f t="shared" si="276"/>
        <v>5.6125687318306472E-2</v>
      </c>
      <c r="I562" s="233">
        <f t="shared" si="276"/>
        <v>5.6125687318306472E-2</v>
      </c>
      <c r="J562" s="233">
        <f t="shared" si="276"/>
        <v>5.6125687318306472E-2</v>
      </c>
      <c r="K562" s="233">
        <f t="shared" si="276"/>
        <v>5.6125687318306472E-2</v>
      </c>
      <c r="L562" s="233">
        <f t="shared" si="276"/>
        <v>5.6125687318306472E-2</v>
      </c>
      <c r="M562" s="233">
        <f t="shared" si="276"/>
        <v>5.6125687318306472E-2</v>
      </c>
      <c r="N562" s="233">
        <f t="shared" si="276"/>
        <v>5.6125687318306472E-2</v>
      </c>
      <c r="O562" s="233">
        <f t="shared" si="276"/>
        <v>5.6125687318306472E-2</v>
      </c>
      <c r="P562" s="233">
        <f t="shared" si="276"/>
        <v>5.6125687318306472E-2</v>
      </c>
      <c r="Q562" s="233">
        <f t="shared" si="276"/>
        <v>5.6125687318306472E-2</v>
      </c>
      <c r="R562" s="233">
        <f t="shared" si="276"/>
        <v>5.6125687318306472E-2</v>
      </c>
      <c r="S562" s="393">
        <f t="shared" si="276"/>
        <v>5.6125687318306472E-2</v>
      </c>
    </row>
    <row r="563" spans="1:19" ht="12.75" customHeight="1" x14ac:dyDescent="0.2">
      <c r="A563" s="97" t="str">
        <f>Labels!C388</f>
        <v>Total</v>
      </c>
      <c r="B563" s="379">
        <f t="shared" ref="B563:S563" si="277">AVERAGE(B510,B550)</f>
        <v>5.6125687318306472E-2</v>
      </c>
      <c r="C563" s="379">
        <f t="shared" si="277"/>
        <v>5.6125687318306472E-2</v>
      </c>
      <c r="D563" s="379">
        <f t="shared" si="277"/>
        <v>5.6125687318306472E-2</v>
      </c>
      <c r="E563" s="379">
        <f t="shared" si="277"/>
        <v>5.6125687318306472E-2</v>
      </c>
      <c r="F563" s="379">
        <f t="shared" si="277"/>
        <v>5.6125687318306472E-2</v>
      </c>
      <c r="G563" s="379">
        <f t="shared" si="277"/>
        <v>5.6125687318306472E-2</v>
      </c>
      <c r="H563" s="379">
        <f t="shared" si="277"/>
        <v>5.6125687318306472E-2</v>
      </c>
      <c r="I563" s="379">
        <f t="shared" si="277"/>
        <v>5.6125687318306472E-2</v>
      </c>
      <c r="J563" s="379">
        <f t="shared" si="277"/>
        <v>5.6125687318306472E-2</v>
      </c>
      <c r="K563" s="379">
        <f t="shared" si="277"/>
        <v>5.6125687318306472E-2</v>
      </c>
      <c r="L563" s="379">
        <f t="shared" si="277"/>
        <v>5.6125687318306472E-2</v>
      </c>
      <c r="M563" s="379">
        <f t="shared" si="277"/>
        <v>5.6125687318306472E-2</v>
      </c>
      <c r="N563" s="379">
        <f t="shared" si="277"/>
        <v>5.6125687318306472E-2</v>
      </c>
      <c r="O563" s="379">
        <f t="shared" si="277"/>
        <v>5.6125687318306472E-2</v>
      </c>
      <c r="P563" s="379">
        <f t="shared" si="277"/>
        <v>5.6125687318306472E-2</v>
      </c>
      <c r="Q563" s="379">
        <f t="shared" si="277"/>
        <v>5.6125687318306472E-2</v>
      </c>
      <c r="R563" s="379">
        <f t="shared" si="277"/>
        <v>5.6125687318306472E-2</v>
      </c>
      <c r="S563" s="396">
        <f t="shared" si="277"/>
        <v>5.6125687318306472E-2</v>
      </c>
    </row>
    <row r="564" spans="1:19" ht="12.75" customHeight="1" x14ac:dyDescent="0.2">
      <c r="A564" s="188" t="str">
        <f>"   "&amp;Labels!B381</f>
        <v xml:space="preserve">   Practice 1</v>
      </c>
      <c r="B564" s="218"/>
      <c r="C564" s="218"/>
      <c r="D564" s="218"/>
      <c r="E564" s="218"/>
      <c r="F564" s="218"/>
      <c r="G564" s="218"/>
      <c r="H564" s="218"/>
      <c r="I564" s="218"/>
      <c r="J564" s="218"/>
      <c r="K564" s="218"/>
      <c r="L564" s="218"/>
      <c r="M564" s="218"/>
      <c r="N564" s="218"/>
      <c r="O564" s="218"/>
      <c r="P564" s="218"/>
      <c r="Q564" s="218"/>
      <c r="R564" s="218"/>
      <c r="S564" s="392"/>
    </row>
    <row r="565" spans="1:19" ht="12.75" customHeight="1" x14ac:dyDescent="0.2">
      <c r="A565" s="198" t="str">
        <f>"      "&amp;Labels!B385</f>
        <v xml:space="preserve">      Prof Level 1</v>
      </c>
      <c r="B565" s="233"/>
      <c r="C565" s="233"/>
      <c r="D565" s="233"/>
      <c r="E565" s="233"/>
      <c r="F565" s="233"/>
      <c r="G565" s="233"/>
      <c r="H565" s="233"/>
      <c r="I565" s="233"/>
      <c r="J565" s="233"/>
      <c r="K565" s="233"/>
      <c r="L565" s="233"/>
      <c r="M565" s="233"/>
      <c r="N565" s="233"/>
      <c r="O565" s="233"/>
      <c r="P565" s="233"/>
      <c r="Q565" s="233"/>
      <c r="R565" s="233"/>
      <c r="S565" s="393"/>
    </row>
    <row r="566" spans="1:19" ht="12.75" customHeight="1" x14ac:dyDescent="0.2">
      <c r="A566" s="198" t="str">
        <f>"         "&amp;Labels!B317</f>
        <v xml:space="preserve">         Channels 1</v>
      </c>
      <c r="B566" s="209">
        <f t="shared" ref="B566:S566" si="278">AVERAGE(B486,B526)</f>
        <v>5.6125687318306472E-2</v>
      </c>
      <c r="C566" s="209">
        <f t="shared" si="278"/>
        <v>5.6125687318306472E-2</v>
      </c>
      <c r="D566" s="209">
        <f t="shared" si="278"/>
        <v>5.6125687318306472E-2</v>
      </c>
      <c r="E566" s="209">
        <f t="shared" si="278"/>
        <v>5.6125687318306472E-2</v>
      </c>
      <c r="F566" s="209">
        <f t="shared" si="278"/>
        <v>5.6125687318306472E-2</v>
      </c>
      <c r="G566" s="209">
        <f t="shared" si="278"/>
        <v>5.6125687318306472E-2</v>
      </c>
      <c r="H566" s="209">
        <f t="shared" si="278"/>
        <v>5.6125687318306472E-2</v>
      </c>
      <c r="I566" s="209">
        <f t="shared" si="278"/>
        <v>5.6125687318306472E-2</v>
      </c>
      <c r="J566" s="209">
        <f t="shared" si="278"/>
        <v>5.6125687318306472E-2</v>
      </c>
      <c r="K566" s="209">
        <f t="shared" si="278"/>
        <v>5.6125687318306472E-2</v>
      </c>
      <c r="L566" s="209">
        <f t="shared" si="278"/>
        <v>5.6125687318306472E-2</v>
      </c>
      <c r="M566" s="209">
        <f t="shared" si="278"/>
        <v>5.6125687318306472E-2</v>
      </c>
      <c r="N566" s="209">
        <f t="shared" si="278"/>
        <v>5.6125687318306472E-2</v>
      </c>
      <c r="O566" s="209">
        <f t="shared" si="278"/>
        <v>5.6125687318306472E-2</v>
      </c>
      <c r="P566" s="209">
        <f t="shared" si="278"/>
        <v>5.6125687318306472E-2</v>
      </c>
      <c r="Q566" s="209">
        <f t="shared" si="278"/>
        <v>5.6125687318306472E-2</v>
      </c>
      <c r="R566" s="209">
        <f t="shared" si="278"/>
        <v>5.6125687318306472E-2</v>
      </c>
      <c r="S566" s="394">
        <f t="shared" si="278"/>
        <v>5.6125687318306472E-2</v>
      </c>
    </row>
    <row r="567" spans="1:19" ht="12.75" customHeight="1" x14ac:dyDescent="0.2">
      <c r="A567" s="198" t="str">
        <f>"         "&amp;Labels!B318</f>
        <v xml:space="preserve">         Channels 2</v>
      </c>
      <c r="B567" s="209">
        <f t="shared" ref="B567:S567" si="279">AVERAGE(B487,B527)</f>
        <v>5.6125687318306472E-2</v>
      </c>
      <c r="C567" s="209">
        <f t="shared" si="279"/>
        <v>5.6125687318306472E-2</v>
      </c>
      <c r="D567" s="209">
        <f t="shared" si="279"/>
        <v>5.6125687318306472E-2</v>
      </c>
      <c r="E567" s="209">
        <f t="shared" si="279"/>
        <v>5.6125687318306472E-2</v>
      </c>
      <c r="F567" s="209">
        <f t="shared" si="279"/>
        <v>5.6125687318306472E-2</v>
      </c>
      <c r="G567" s="209">
        <f t="shared" si="279"/>
        <v>5.6125687318306472E-2</v>
      </c>
      <c r="H567" s="209">
        <f t="shared" si="279"/>
        <v>5.6125687318306472E-2</v>
      </c>
      <c r="I567" s="209">
        <f t="shared" si="279"/>
        <v>5.6125687318306472E-2</v>
      </c>
      <c r="J567" s="209">
        <f t="shared" si="279"/>
        <v>5.6125687318306472E-2</v>
      </c>
      <c r="K567" s="209">
        <f t="shared" si="279"/>
        <v>5.6125687318306472E-2</v>
      </c>
      <c r="L567" s="209">
        <f t="shared" si="279"/>
        <v>5.6125687318306472E-2</v>
      </c>
      <c r="M567" s="209">
        <f t="shared" si="279"/>
        <v>5.6125687318306472E-2</v>
      </c>
      <c r="N567" s="209">
        <f t="shared" si="279"/>
        <v>5.6125687318306472E-2</v>
      </c>
      <c r="O567" s="209">
        <f t="shared" si="279"/>
        <v>5.6125687318306472E-2</v>
      </c>
      <c r="P567" s="209">
        <f t="shared" si="279"/>
        <v>5.6125687318306472E-2</v>
      </c>
      <c r="Q567" s="209">
        <f t="shared" si="279"/>
        <v>5.6125687318306472E-2</v>
      </c>
      <c r="R567" s="209">
        <f t="shared" si="279"/>
        <v>5.6125687318306472E-2</v>
      </c>
      <c r="S567" s="394">
        <f t="shared" si="279"/>
        <v>5.6125687318306472E-2</v>
      </c>
    </row>
    <row r="568" spans="1:19" ht="12.75" customHeight="1" x14ac:dyDescent="0.2">
      <c r="A568" s="198" t="str">
        <f>"         "&amp;Labels!C316</f>
        <v xml:space="preserve">         Total</v>
      </c>
      <c r="B568" s="233">
        <f t="shared" ref="B568:S568" si="280">AVERAGE(B488,B528)</f>
        <v>5.6125687318306472E-2</v>
      </c>
      <c r="C568" s="233">
        <f t="shared" si="280"/>
        <v>5.6125687318306472E-2</v>
      </c>
      <c r="D568" s="233">
        <f t="shared" si="280"/>
        <v>5.6125687318306472E-2</v>
      </c>
      <c r="E568" s="233">
        <f t="shared" si="280"/>
        <v>5.6125687318306472E-2</v>
      </c>
      <c r="F568" s="233">
        <f t="shared" si="280"/>
        <v>5.6125687318306472E-2</v>
      </c>
      <c r="G568" s="233">
        <f t="shared" si="280"/>
        <v>5.6125687318306472E-2</v>
      </c>
      <c r="H568" s="233">
        <f t="shared" si="280"/>
        <v>5.6125687318306472E-2</v>
      </c>
      <c r="I568" s="233">
        <f t="shared" si="280"/>
        <v>5.6125687318306472E-2</v>
      </c>
      <c r="J568" s="233">
        <f t="shared" si="280"/>
        <v>5.6125687318306472E-2</v>
      </c>
      <c r="K568" s="233">
        <f t="shared" si="280"/>
        <v>5.6125687318306472E-2</v>
      </c>
      <c r="L568" s="233">
        <f t="shared" si="280"/>
        <v>5.6125687318306472E-2</v>
      </c>
      <c r="M568" s="233">
        <f t="shared" si="280"/>
        <v>5.6125687318306472E-2</v>
      </c>
      <c r="N568" s="233">
        <f t="shared" si="280"/>
        <v>5.6125687318306472E-2</v>
      </c>
      <c r="O568" s="233">
        <f t="shared" si="280"/>
        <v>5.6125687318306472E-2</v>
      </c>
      <c r="P568" s="233">
        <f t="shared" si="280"/>
        <v>5.6125687318306472E-2</v>
      </c>
      <c r="Q568" s="233">
        <f t="shared" si="280"/>
        <v>5.6125687318306472E-2</v>
      </c>
      <c r="R568" s="233">
        <f t="shared" si="280"/>
        <v>5.6125687318306472E-2</v>
      </c>
      <c r="S568" s="393">
        <f t="shared" si="280"/>
        <v>5.6125687318306472E-2</v>
      </c>
    </row>
    <row r="569" spans="1:19" ht="12.75" customHeight="1" x14ac:dyDescent="0.2">
      <c r="A569" s="198" t="str">
        <f>"      "&amp;Labels!B386</f>
        <v xml:space="preserve">      Prof Level 2</v>
      </c>
      <c r="B569" s="233"/>
      <c r="C569" s="233"/>
      <c r="D569" s="233"/>
      <c r="E569" s="233"/>
      <c r="F569" s="233"/>
      <c r="G569" s="233"/>
      <c r="H569" s="233"/>
      <c r="I569" s="233"/>
      <c r="J569" s="233"/>
      <c r="K569" s="233"/>
      <c r="L569" s="233"/>
      <c r="M569" s="233"/>
      <c r="N569" s="233"/>
      <c r="O569" s="233"/>
      <c r="P569" s="233"/>
      <c r="Q569" s="233"/>
      <c r="R569" s="233"/>
      <c r="S569" s="393"/>
    </row>
    <row r="570" spans="1:19" ht="12.75" customHeight="1" x14ac:dyDescent="0.2">
      <c r="A570" s="198" t="str">
        <f>"         "&amp;Labels!B317</f>
        <v xml:space="preserve">         Channels 1</v>
      </c>
      <c r="B570" s="209">
        <f t="shared" ref="B570:S570" si="281">AVERAGE(B490,B530)</f>
        <v>5.6125687318306472E-2</v>
      </c>
      <c r="C570" s="209">
        <f t="shared" si="281"/>
        <v>5.6125687318306472E-2</v>
      </c>
      <c r="D570" s="209">
        <f t="shared" si="281"/>
        <v>5.6125687318306472E-2</v>
      </c>
      <c r="E570" s="209">
        <f t="shared" si="281"/>
        <v>5.6125687318306472E-2</v>
      </c>
      <c r="F570" s="209">
        <f t="shared" si="281"/>
        <v>5.6125687318306472E-2</v>
      </c>
      <c r="G570" s="209">
        <f t="shared" si="281"/>
        <v>5.6125687318306472E-2</v>
      </c>
      <c r="H570" s="209">
        <f t="shared" si="281"/>
        <v>5.6125687318306472E-2</v>
      </c>
      <c r="I570" s="209">
        <f t="shared" si="281"/>
        <v>5.6125687318306472E-2</v>
      </c>
      <c r="J570" s="209">
        <f t="shared" si="281"/>
        <v>5.6125687318306472E-2</v>
      </c>
      <c r="K570" s="209">
        <f t="shared" si="281"/>
        <v>5.6125687318306472E-2</v>
      </c>
      <c r="L570" s="209">
        <f t="shared" si="281"/>
        <v>5.6125687318306472E-2</v>
      </c>
      <c r="M570" s="209">
        <f t="shared" si="281"/>
        <v>5.6125687318306472E-2</v>
      </c>
      <c r="N570" s="209">
        <f t="shared" si="281"/>
        <v>5.6125687318306472E-2</v>
      </c>
      <c r="O570" s="209">
        <f t="shared" si="281"/>
        <v>5.6125687318306472E-2</v>
      </c>
      <c r="P570" s="209">
        <f t="shared" si="281"/>
        <v>5.6125687318306472E-2</v>
      </c>
      <c r="Q570" s="209">
        <f t="shared" si="281"/>
        <v>5.6125687318306472E-2</v>
      </c>
      <c r="R570" s="209">
        <f t="shared" si="281"/>
        <v>5.6125687318306472E-2</v>
      </c>
      <c r="S570" s="394">
        <f t="shared" si="281"/>
        <v>5.6125687318306472E-2</v>
      </c>
    </row>
    <row r="571" spans="1:19" ht="12.75" customHeight="1" x14ac:dyDescent="0.2">
      <c r="A571" s="198" t="str">
        <f>"         "&amp;Labels!B318</f>
        <v xml:space="preserve">         Channels 2</v>
      </c>
      <c r="B571" s="209">
        <f t="shared" ref="B571:S571" si="282">AVERAGE(B491,B531)</f>
        <v>5.6125687318306472E-2</v>
      </c>
      <c r="C571" s="209">
        <f t="shared" si="282"/>
        <v>5.6125687318306472E-2</v>
      </c>
      <c r="D571" s="209">
        <f t="shared" si="282"/>
        <v>5.6125687318306472E-2</v>
      </c>
      <c r="E571" s="209">
        <f t="shared" si="282"/>
        <v>5.6125687318306472E-2</v>
      </c>
      <c r="F571" s="209">
        <f t="shared" si="282"/>
        <v>5.6125687318306472E-2</v>
      </c>
      <c r="G571" s="209">
        <f t="shared" si="282"/>
        <v>5.6125687318306472E-2</v>
      </c>
      <c r="H571" s="209">
        <f t="shared" si="282"/>
        <v>5.6125687318306472E-2</v>
      </c>
      <c r="I571" s="209">
        <f t="shared" si="282"/>
        <v>5.6125687318306472E-2</v>
      </c>
      <c r="J571" s="209">
        <f t="shared" si="282"/>
        <v>5.6125687318306472E-2</v>
      </c>
      <c r="K571" s="209">
        <f t="shared" si="282"/>
        <v>5.6125687318306472E-2</v>
      </c>
      <c r="L571" s="209">
        <f t="shared" si="282"/>
        <v>5.6125687318306472E-2</v>
      </c>
      <c r="M571" s="209">
        <f t="shared" si="282"/>
        <v>5.6125687318306472E-2</v>
      </c>
      <c r="N571" s="209">
        <f t="shared" si="282"/>
        <v>5.6125687318306472E-2</v>
      </c>
      <c r="O571" s="209">
        <f t="shared" si="282"/>
        <v>5.6125687318306472E-2</v>
      </c>
      <c r="P571" s="209">
        <f t="shared" si="282"/>
        <v>5.6125687318306472E-2</v>
      </c>
      <c r="Q571" s="209">
        <f t="shared" si="282"/>
        <v>5.6125687318306472E-2</v>
      </c>
      <c r="R571" s="209">
        <f t="shared" si="282"/>
        <v>5.6125687318306472E-2</v>
      </c>
      <c r="S571" s="394">
        <f t="shared" si="282"/>
        <v>5.6125687318306472E-2</v>
      </c>
    </row>
    <row r="572" spans="1:19" ht="12.75" customHeight="1" x14ac:dyDescent="0.2">
      <c r="A572" s="198" t="str">
        <f>"         "&amp;Labels!C316</f>
        <v xml:space="preserve">         Total</v>
      </c>
      <c r="B572" s="233">
        <f t="shared" ref="B572:S572" si="283">AVERAGE(B492,B532)</f>
        <v>5.6125687318306472E-2</v>
      </c>
      <c r="C572" s="233">
        <f t="shared" si="283"/>
        <v>5.6125687318306472E-2</v>
      </c>
      <c r="D572" s="233">
        <f t="shared" si="283"/>
        <v>5.6125687318306472E-2</v>
      </c>
      <c r="E572" s="233">
        <f t="shared" si="283"/>
        <v>5.6125687318306472E-2</v>
      </c>
      <c r="F572" s="233">
        <f t="shared" si="283"/>
        <v>5.6125687318306472E-2</v>
      </c>
      <c r="G572" s="233">
        <f t="shared" si="283"/>
        <v>5.6125687318306472E-2</v>
      </c>
      <c r="H572" s="233">
        <f t="shared" si="283"/>
        <v>5.6125687318306472E-2</v>
      </c>
      <c r="I572" s="233">
        <f t="shared" si="283"/>
        <v>5.6125687318306472E-2</v>
      </c>
      <c r="J572" s="233">
        <f t="shared" si="283"/>
        <v>5.6125687318306472E-2</v>
      </c>
      <c r="K572" s="233">
        <f t="shared" si="283"/>
        <v>5.6125687318306472E-2</v>
      </c>
      <c r="L572" s="233">
        <f t="shared" si="283"/>
        <v>5.6125687318306472E-2</v>
      </c>
      <c r="M572" s="233">
        <f t="shared" si="283"/>
        <v>5.6125687318306472E-2</v>
      </c>
      <c r="N572" s="233">
        <f t="shared" si="283"/>
        <v>5.6125687318306472E-2</v>
      </c>
      <c r="O572" s="233">
        <f t="shared" si="283"/>
        <v>5.6125687318306472E-2</v>
      </c>
      <c r="P572" s="233">
        <f t="shared" si="283"/>
        <v>5.6125687318306472E-2</v>
      </c>
      <c r="Q572" s="233">
        <f t="shared" si="283"/>
        <v>5.6125687318306472E-2</v>
      </c>
      <c r="R572" s="233">
        <f t="shared" si="283"/>
        <v>5.6125687318306472E-2</v>
      </c>
      <c r="S572" s="393">
        <f t="shared" si="283"/>
        <v>5.6125687318306472E-2</v>
      </c>
    </row>
    <row r="573" spans="1:19" ht="12.75" customHeight="1" x14ac:dyDescent="0.2">
      <c r="A573" s="188" t="str">
        <f>"      "&amp;Labels!C384</f>
        <v xml:space="preserve">      Total</v>
      </c>
      <c r="B573" s="218">
        <f t="shared" ref="B573:S573" si="284">AVERAGE(B493,B533)</f>
        <v>5.6125687318306472E-2</v>
      </c>
      <c r="C573" s="218">
        <f t="shared" si="284"/>
        <v>5.6125687318306472E-2</v>
      </c>
      <c r="D573" s="218">
        <f t="shared" si="284"/>
        <v>5.6125687318306472E-2</v>
      </c>
      <c r="E573" s="218">
        <f t="shared" si="284"/>
        <v>5.6125687318306472E-2</v>
      </c>
      <c r="F573" s="218">
        <f t="shared" si="284"/>
        <v>5.6125687318306472E-2</v>
      </c>
      <c r="G573" s="218">
        <f t="shared" si="284"/>
        <v>5.6125687318306472E-2</v>
      </c>
      <c r="H573" s="218">
        <f t="shared" si="284"/>
        <v>5.6125687318306472E-2</v>
      </c>
      <c r="I573" s="218">
        <f t="shared" si="284"/>
        <v>5.6125687318306472E-2</v>
      </c>
      <c r="J573" s="218">
        <f t="shared" si="284"/>
        <v>5.6125687318306472E-2</v>
      </c>
      <c r="K573" s="218">
        <f t="shared" si="284"/>
        <v>5.6125687318306472E-2</v>
      </c>
      <c r="L573" s="218">
        <f t="shared" si="284"/>
        <v>5.6125687318306472E-2</v>
      </c>
      <c r="M573" s="218">
        <f t="shared" si="284"/>
        <v>5.6125687318306472E-2</v>
      </c>
      <c r="N573" s="218">
        <f t="shared" si="284"/>
        <v>5.6125687318306472E-2</v>
      </c>
      <c r="O573" s="218">
        <f t="shared" si="284"/>
        <v>5.6125687318306472E-2</v>
      </c>
      <c r="P573" s="218">
        <f t="shared" si="284"/>
        <v>5.6125687318306472E-2</v>
      </c>
      <c r="Q573" s="218">
        <f t="shared" si="284"/>
        <v>5.6125687318306472E-2</v>
      </c>
      <c r="R573" s="218">
        <f t="shared" si="284"/>
        <v>5.6125687318306472E-2</v>
      </c>
      <c r="S573" s="392">
        <f t="shared" si="284"/>
        <v>5.6125687318306472E-2</v>
      </c>
    </row>
    <row r="574" spans="1:19" ht="12.75" customHeight="1" x14ac:dyDescent="0.2">
      <c r="A574" s="198" t="str">
        <f>"         "&amp;Labels!B317</f>
        <v xml:space="preserve">         Channels 1</v>
      </c>
      <c r="B574" s="209">
        <f t="shared" ref="B574:S574" si="285">AVERAGE(B494,B534)</f>
        <v>5.6125687318306472E-2</v>
      </c>
      <c r="C574" s="209">
        <f t="shared" si="285"/>
        <v>5.6125687318306472E-2</v>
      </c>
      <c r="D574" s="209">
        <f t="shared" si="285"/>
        <v>5.6125687318306472E-2</v>
      </c>
      <c r="E574" s="209">
        <f t="shared" si="285"/>
        <v>5.6125687318306472E-2</v>
      </c>
      <c r="F574" s="209">
        <f t="shared" si="285"/>
        <v>5.6125687318306472E-2</v>
      </c>
      <c r="G574" s="209">
        <f t="shared" si="285"/>
        <v>5.6125687318306472E-2</v>
      </c>
      <c r="H574" s="209">
        <f t="shared" si="285"/>
        <v>5.6125687318306472E-2</v>
      </c>
      <c r="I574" s="209">
        <f t="shared" si="285"/>
        <v>5.6125687318306472E-2</v>
      </c>
      <c r="J574" s="209">
        <f t="shared" si="285"/>
        <v>5.6125687318306472E-2</v>
      </c>
      <c r="K574" s="209">
        <f t="shared" si="285"/>
        <v>5.6125687318306472E-2</v>
      </c>
      <c r="L574" s="209">
        <f t="shared" si="285"/>
        <v>5.6125687318306472E-2</v>
      </c>
      <c r="M574" s="209">
        <f t="shared" si="285"/>
        <v>5.6125687318306472E-2</v>
      </c>
      <c r="N574" s="209">
        <f t="shared" si="285"/>
        <v>5.6125687318306472E-2</v>
      </c>
      <c r="O574" s="209">
        <f t="shared" si="285"/>
        <v>5.6125687318306472E-2</v>
      </c>
      <c r="P574" s="209">
        <f t="shared" si="285"/>
        <v>5.6125687318306472E-2</v>
      </c>
      <c r="Q574" s="209">
        <f t="shared" si="285"/>
        <v>5.6125687318306472E-2</v>
      </c>
      <c r="R574" s="209">
        <f t="shared" si="285"/>
        <v>5.6125687318306472E-2</v>
      </c>
      <c r="S574" s="394">
        <f t="shared" si="285"/>
        <v>5.6125687318306472E-2</v>
      </c>
    </row>
    <row r="575" spans="1:19" ht="12.75" customHeight="1" x14ac:dyDescent="0.2">
      <c r="A575" s="198" t="str">
        <f>"         "&amp;Labels!B318</f>
        <v xml:space="preserve">         Channels 2</v>
      </c>
      <c r="B575" s="209">
        <f t="shared" ref="B575:S575" si="286">AVERAGE(B495,B535)</f>
        <v>5.6125687318306472E-2</v>
      </c>
      <c r="C575" s="209">
        <f t="shared" si="286"/>
        <v>5.6125687318306472E-2</v>
      </c>
      <c r="D575" s="209">
        <f t="shared" si="286"/>
        <v>5.6125687318306472E-2</v>
      </c>
      <c r="E575" s="209">
        <f t="shared" si="286"/>
        <v>5.6125687318306472E-2</v>
      </c>
      <c r="F575" s="209">
        <f t="shared" si="286"/>
        <v>5.6125687318306472E-2</v>
      </c>
      <c r="G575" s="209">
        <f t="shared" si="286"/>
        <v>5.6125687318306472E-2</v>
      </c>
      <c r="H575" s="209">
        <f t="shared" si="286"/>
        <v>5.6125687318306472E-2</v>
      </c>
      <c r="I575" s="209">
        <f t="shared" si="286"/>
        <v>5.6125687318306472E-2</v>
      </c>
      <c r="J575" s="209">
        <f t="shared" si="286"/>
        <v>5.6125687318306472E-2</v>
      </c>
      <c r="K575" s="209">
        <f t="shared" si="286"/>
        <v>5.6125687318306472E-2</v>
      </c>
      <c r="L575" s="209">
        <f t="shared" si="286"/>
        <v>5.6125687318306472E-2</v>
      </c>
      <c r="M575" s="209">
        <f t="shared" si="286"/>
        <v>5.6125687318306472E-2</v>
      </c>
      <c r="N575" s="209">
        <f t="shared" si="286"/>
        <v>5.6125687318306472E-2</v>
      </c>
      <c r="O575" s="209">
        <f t="shared" si="286"/>
        <v>5.6125687318306472E-2</v>
      </c>
      <c r="P575" s="209">
        <f t="shared" si="286"/>
        <v>5.6125687318306472E-2</v>
      </c>
      <c r="Q575" s="209">
        <f t="shared" si="286"/>
        <v>5.6125687318306472E-2</v>
      </c>
      <c r="R575" s="209">
        <f t="shared" si="286"/>
        <v>5.6125687318306472E-2</v>
      </c>
      <c r="S575" s="394">
        <f t="shared" si="286"/>
        <v>5.6125687318306472E-2</v>
      </c>
    </row>
    <row r="576" spans="1:19" ht="12.75" customHeight="1" x14ac:dyDescent="0.2">
      <c r="A576" s="198" t="str">
        <f>"         "&amp;Labels!C316</f>
        <v xml:space="preserve">         Total</v>
      </c>
      <c r="B576" s="233">
        <f t="shared" ref="B576:S576" si="287">AVERAGE(B493,B533)</f>
        <v>5.6125687318306472E-2</v>
      </c>
      <c r="C576" s="233">
        <f t="shared" si="287"/>
        <v>5.6125687318306472E-2</v>
      </c>
      <c r="D576" s="233">
        <f t="shared" si="287"/>
        <v>5.6125687318306472E-2</v>
      </c>
      <c r="E576" s="233">
        <f t="shared" si="287"/>
        <v>5.6125687318306472E-2</v>
      </c>
      <c r="F576" s="233">
        <f t="shared" si="287"/>
        <v>5.6125687318306472E-2</v>
      </c>
      <c r="G576" s="233">
        <f t="shared" si="287"/>
        <v>5.6125687318306472E-2</v>
      </c>
      <c r="H576" s="233">
        <f t="shared" si="287"/>
        <v>5.6125687318306472E-2</v>
      </c>
      <c r="I576" s="233">
        <f t="shared" si="287"/>
        <v>5.6125687318306472E-2</v>
      </c>
      <c r="J576" s="233">
        <f t="shared" si="287"/>
        <v>5.6125687318306472E-2</v>
      </c>
      <c r="K576" s="233">
        <f t="shared" si="287"/>
        <v>5.6125687318306472E-2</v>
      </c>
      <c r="L576" s="233">
        <f t="shared" si="287"/>
        <v>5.6125687318306472E-2</v>
      </c>
      <c r="M576" s="233">
        <f t="shared" si="287"/>
        <v>5.6125687318306472E-2</v>
      </c>
      <c r="N576" s="233">
        <f t="shared" si="287"/>
        <v>5.6125687318306472E-2</v>
      </c>
      <c r="O576" s="233">
        <f t="shared" si="287"/>
        <v>5.6125687318306472E-2</v>
      </c>
      <c r="P576" s="233">
        <f t="shared" si="287"/>
        <v>5.6125687318306472E-2</v>
      </c>
      <c r="Q576" s="233">
        <f t="shared" si="287"/>
        <v>5.6125687318306472E-2</v>
      </c>
      <c r="R576" s="233">
        <f t="shared" si="287"/>
        <v>5.6125687318306472E-2</v>
      </c>
      <c r="S576" s="393">
        <f t="shared" si="287"/>
        <v>5.6125687318306472E-2</v>
      </c>
    </row>
    <row r="577" spans="1:19" ht="12.75" customHeight="1" x14ac:dyDescent="0.2">
      <c r="A577" s="188" t="str">
        <f>"   "&amp;Labels!B382</f>
        <v xml:space="preserve">   Practice 2</v>
      </c>
      <c r="B577" s="218"/>
      <c r="C577" s="218"/>
      <c r="D577" s="218"/>
      <c r="E577" s="218"/>
      <c r="F577" s="218"/>
      <c r="G577" s="218"/>
      <c r="H577" s="218"/>
      <c r="I577" s="218"/>
      <c r="J577" s="218"/>
      <c r="K577" s="218"/>
      <c r="L577" s="218"/>
      <c r="M577" s="218"/>
      <c r="N577" s="218"/>
      <c r="O577" s="218"/>
      <c r="P577" s="218"/>
      <c r="Q577" s="218"/>
      <c r="R577" s="218"/>
      <c r="S577" s="392"/>
    </row>
    <row r="578" spans="1:19" ht="12.75" customHeight="1" x14ac:dyDescent="0.2">
      <c r="A578" s="198" t="str">
        <f>"      "&amp;Labels!B385</f>
        <v xml:space="preserve">      Prof Level 1</v>
      </c>
      <c r="B578" s="233"/>
      <c r="C578" s="233"/>
      <c r="D578" s="233"/>
      <c r="E578" s="233"/>
      <c r="F578" s="233"/>
      <c r="G578" s="233"/>
      <c r="H578" s="233"/>
      <c r="I578" s="233"/>
      <c r="J578" s="233"/>
      <c r="K578" s="233"/>
      <c r="L578" s="233"/>
      <c r="M578" s="233"/>
      <c r="N578" s="233"/>
      <c r="O578" s="233"/>
      <c r="P578" s="233"/>
      <c r="Q578" s="233"/>
      <c r="R578" s="233"/>
      <c r="S578" s="393"/>
    </row>
    <row r="579" spans="1:19" ht="12.75" customHeight="1" x14ac:dyDescent="0.2">
      <c r="A579" s="198" t="str">
        <f>"         "&amp;Labels!B317</f>
        <v xml:space="preserve">         Channels 1</v>
      </c>
      <c r="B579" s="209">
        <f t="shared" ref="B579:S579" si="288">AVERAGE(B499,B539)</f>
        <v>5.6125687318306472E-2</v>
      </c>
      <c r="C579" s="209">
        <f t="shared" si="288"/>
        <v>5.6125687318306472E-2</v>
      </c>
      <c r="D579" s="209">
        <f t="shared" si="288"/>
        <v>5.6125687318306472E-2</v>
      </c>
      <c r="E579" s="209">
        <f t="shared" si="288"/>
        <v>5.6125687318306472E-2</v>
      </c>
      <c r="F579" s="209">
        <f t="shared" si="288"/>
        <v>5.6125687318306472E-2</v>
      </c>
      <c r="G579" s="209">
        <f t="shared" si="288"/>
        <v>5.6125687318306472E-2</v>
      </c>
      <c r="H579" s="209">
        <f t="shared" si="288"/>
        <v>5.6125687318306472E-2</v>
      </c>
      <c r="I579" s="209">
        <f t="shared" si="288"/>
        <v>5.6125687318306472E-2</v>
      </c>
      <c r="J579" s="209">
        <f t="shared" si="288"/>
        <v>5.6125687318306472E-2</v>
      </c>
      <c r="K579" s="209">
        <f t="shared" si="288"/>
        <v>5.6125687318306472E-2</v>
      </c>
      <c r="L579" s="209">
        <f t="shared" si="288"/>
        <v>5.6125687318306472E-2</v>
      </c>
      <c r="M579" s="209">
        <f t="shared" si="288"/>
        <v>5.6125687318306472E-2</v>
      </c>
      <c r="N579" s="209">
        <f t="shared" si="288"/>
        <v>5.6125687318306472E-2</v>
      </c>
      <c r="O579" s="209">
        <f t="shared" si="288"/>
        <v>5.6125687318306472E-2</v>
      </c>
      <c r="P579" s="209">
        <f t="shared" si="288"/>
        <v>5.6125687318306472E-2</v>
      </c>
      <c r="Q579" s="209">
        <f t="shared" si="288"/>
        <v>5.6125687318306472E-2</v>
      </c>
      <c r="R579" s="209">
        <f t="shared" si="288"/>
        <v>5.6125687318306472E-2</v>
      </c>
      <c r="S579" s="394">
        <f t="shared" si="288"/>
        <v>5.6125687318306472E-2</v>
      </c>
    </row>
    <row r="580" spans="1:19" ht="12.75" customHeight="1" x14ac:dyDescent="0.2">
      <c r="A580" s="198" t="str">
        <f>"         "&amp;Labels!B318</f>
        <v xml:space="preserve">         Channels 2</v>
      </c>
      <c r="B580" s="209">
        <f t="shared" ref="B580:S580" si="289">AVERAGE(B500,B540)</f>
        <v>5.6125687318306472E-2</v>
      </c>
      <c r="C580" s="209">
        <f t="shared" si="289"/>
        <v>5.6125687318306472E-2</v>
      </c>
      <c r="D580" s="209">
        <f t="shared" si="289"/>
        <v>5.6125687318306472E-2</v>
      </c>
      <c r="E580" s="209">
        <f t="shared" si="289"/>
        <v>5.6125687318306472E-2</v>
      </c>
      <c r="F580" s="209">
        <f t="shared" si="289"/>
        <v>5.6125687318306472E-2</v>
      </c>
      <c r="G580" s="209">
        <f t="shared" si="289"/>
        <v>5.6125687318306472E-2</v>
      </c>
      <c r="H580" s="209">
        <f t="shared" si="289"/>
        <v>5.6125687318306472E-2</v>
      </c>
      <c r="I580" s="209">
        <f t="shared" si="289"/>
        <v>5.6125687318306472E-2</v>
      </c>
      <c r="J580" s="209">
        <f t="shared" si="289"/>
        <v>5.6125687318306472E-2</v>
      </c>
      <c r="K580" s="209">
        <f t="shared" si="289"/>
        <v>5.6125687318306472E-2</v>
      </c>
      <c r="L580" s="209">
        <f t="shared" si="289"/>
        <v>5.6125687318306472E-2</v>
      </c>
      <c r="M580" s="209">
        <f t="shared" si="289"/>
        <v>5.6125687318306472E-2</v>
      </c>
      <c r="N580" s="209">
        <f t="shared" si="289"/>
        <v>5.6125687318306472E-2</v>
      </c>
      <c r="O580" s="209">
        <f t="shared" si="289"/>
        <v>5.6125687318306472E-2</v>
      </c>
      <c r="P580" s="209">
        <f t="shared" si="289"/>
        <v>5.6125687318306472E-2</v>
      </c>
      <c r="Q580" s="209">
        <f t="shared" si="289"/>
        <v>5.6125687318306472E-2</v>
      </c>
      <c r="R580" s="209">
        <f t="shared" si="289"/>
        <v>5.6125687318306472E-2</v>
      </c>
      <c r="S580" s="394">
        <f t="shared" si="289"/>
        <v>5.6125687318306472E-2</v>
      </c>
    </row>
    <row r="581" spans="1:19" ht="12.75" customHeight="1" x14ac:dyDescent="0.2">
      <c r="A581" s="198" t="str">
        <f>"         "&amp;Labels!C316</f>
        <v xml:space="preserve">         Total</v>
      </c>
      <c r="B581" s="233">
        <f t="shared" ref="B581:S581" si="290">AVERAGE(B501,B541)</f>
        <v>5.6125687318306472E-2</v>
      </c>
      <c r="C581" s="233">
        <f t="shared" si="290"/>
        <v>5.6125687318306472E-2</v>
      </c>
      <c r="D581" s="233">
        <f t="shared" si="290"/>
        <v>5.6125687318306472E-2</v>
      </c>
      <c r="E581" s="233">
        <f t="shared" si="290"/>
        <v>5.6125687318306472E-2</v>
      </c>
      <c r="F581" s="233">
        <f t="shared" si="290"/>
        <v>5.6125687318306472E-2</v>
      </c>
      <c r="G581" s="233">
        <f t="shared" si="290"/>
        <v>5.6125687318306472E-2</v>
      </c>
      <c r="H581" s="233">
        <f t="shared" si="290"/>
        <v>5.6125687318306472E-2</v>
      </c>
      <c r="I581" s="233">
        <f t="shared" si="290"/>
        <v>5.6125687318306472E-2</v>
      </c>
      <c r="J581" s="233">
        <f t="shared" si="290"/>
        <v>5.6125687318306472E-2</v>
      </c>
      <c r="K581" s="233">
        <f t="shared" si="290"/>
        <v>5.6125687318306472E-2</v>
      </c>
      <c r="L581" s="233">
        <f t="shared" si="290"/>
        <v>5.6125687318306472E-2</v>
      </c>
      <c r="M581" s="233">
        <f t="shared" si="290"/>
        <v>5.6125687318306472E-2</v>
      </c>
      <c r="N581" s="233">
        <f t="shared" si="290"/>
        <v>5.6125687318306472E-2</v>
      </c>
      <c r="O581" s="233">
        <f t="shared" si="290"/>
        <v>5.6125687318306472E-2</v>
      </c>
      <c r="P581" s="233">
        <f t="shared" si="290"/>
        <v>5.6125687318306472E-2</v>
      </c>
      <c r="Q581" s="233">
        <f t="shared" si="290"/>
        <v>5.6125687318306472E-2</v>
      </c>
      <c r="R581" s="233">
        <f t="shared" si="290"/>
        <v>5.6125687318306472E-2</v>
      </c>
      <c r="S581" s="393">
        <f t="shared" si="290"/>
        <v>5.6125687318306472E-2</v>
      </c>
    </row>
    <row r="582" spans="1:19" ht="12.75" customHeight="1" x14ac:dyDescent="0.2">
      <c r="A582" s="198" t="str">
        <f>"      "&amp;Labels!B386</f>
        <v xml:space="preserve">      Prof Level 2</v>
      </c>
      <c r="B582" s="233"/>
      <c r="C582" s="233"/>
      <c r="D582" s="233"/>
      <c r="E582" s="233"/>
      <c r="F582" s="233"/>
      <c r="G582" s="233"/>
      <c r="H582" s="233"/>
      <c r="I582" s="233"/>
      <c r="J582" s="233"/>
      <c r="K582" s="233"/>
      <c r="L582" s="233"/>
      <c r="M582" s="233"/>
      <c r="N582" s="233"/>
      <c r="O582" s="233"/>
      <c r="P582" s="233"/>
      <c r="Q582" s="233"/>
      <c r="R582" s="233"/>
      <c r="S582" s="393"/>
    </row>
    <row r="583" spans="1:19" ht="12.75" customHeight="1" x14ac:dyDescent="0.2">
      <c r="A583" s="198" t="str">
        <f>"         "&amp;Labels!B317</f>
        <v xml:space="preserve">         Channels 1</v>
      </c>
      <c r="B583" s="209">
        <f t="shared" ref="B583:S583" si="291">AVERAGE(B503,B543)</f>
        <v>5.6125687318306472E-2</v>
      </c>
      <c r="C583" s="209">
        <f t="shared" si="291"/>
        <v>5.6125687318306472E-2</v>
      </c>
      <c r="D583" s="209">
        <f t="shared" si="291"/>
        <v>5.6125687318306472E-2</v>
      </c>
      <c r="E583" s="209">
        <f t="shared" si="291"/>
        <v>5.6125687318306472E-2</v>
      </c>
      <c r="F583" s="209">
        <f t="shared" si="291"/>
        <v>5.6125687318306472E-2</v>
      </c>
      <c r="G583" s="209">
        <f t="shared" si="291"/>
        <v>5.6125687318306472E-2</v>
      </c>
      <c r="H583" s="209">
        <f t="shared" si="291"/>
        <v>5.6125687318306472E-2</v>
      </c>
      <c r="I583" s="209">
        <f t="shared" si="291"/>
        <v>5.6125687318306472E-2</v>
      </c>
      <c r="J583" s="209">
        <f t="shared" si="291"/>
        <v>5.6125687318306472E-2</v>
      </c>
      <c r="K583" s="209">
        <f t="shared" si="291"/>
        <v>5.6125687318306472E-2</v>
      </c>
      <c r="L583" s="209">
        <f t="shared" si="291"/>
        <v>5.6125687318306472E-2</v>
      </c>
      <c r="M583" s="209">
        <f t="shared" si="291"/>
        <v>5.6125687318306472E-2</v>
      </c>
      <c r="N583" s="209">
        <f t="shared" si="291"/>
        <v>5.6125687318306472E-2</v>
      </c>
      <c r="O583" s="209">
        <f t="shared" si="291"/>
        <v>5.6125687318306472E-2</v>
      </c>
      <c r="P583" s="209">
        <f t="shared" si="291"/>
        <v>5.6125687318306472E-2</v>
      </c>
      <c r="Q583" s="209">
        <f t="shared" si="291"/>
        <v>5.6125687318306472E-2</v>
      </c>
      <c r="R583" s="209">
        <f t="shared" si="291"/>
        <v>5.6125687318306472E-2</v>
      </c>
      <c r="S583" s="394">
        <f t="shared" si="291"/>
        <v>5.6125687318306472E-2</v>
      </c>
    </row>
    <row r="584" spans="1:19" ht="12.75" customHeight="1" x14ac:dyDescent="0.2">
      <c r="A584" s="198" t="str">
        <f>"         "&amp;Labels!B318</f>
        <v xml:space="preserve">         Channels 2</v>
      </c>
      <c r="B584" s="209">
        <f t="shared" ref="B584:S584" si="292">AVERAGE(B504,B544)</f>
        <v>5.6125687318306472E-2</v>
      </c>
      <c r="C584" s="209">
        <f t="shared" si="292"/>
        <v>5.6125687318306472E-2</v>
      </c>
      <c r="D584" s="209">
        <f t="shared" si="292"/>
        <v>5.6125687318306472E-2</v>
      </c>
      <c r="E584" s="209">
        <f t="shared" si="292"/>
        <v>5.6125687318306472E-2</v>
      </c>
      <c r="F584" s="209">
        <f t="shared" si="292"/>
        <v>5.6125687318306472E-2</v>
      </c>
      <c r="G584" s="209">
        <f t="shared" si="292"/>
        <v>5.6125687318306472E-2</v>
      </c>
      <c r="H584" s="209">
        <f t="shared" si="292"/>
        <v>5.6125687318306472E-2</v>
      </c>
      <c r="I584" s="209">
        <f t="shared" si="292"/>
        <v>5.6125687318306472E-2</v>
      </c>
      <c r="J584" s="209">
        <f t="shared" si="292"/>
        <v>5.6125687318306472E-2</v>
      </c>
      <c r="K584" s="209">
        <f t="shared" si="292"/>
        <v>5.6125687318306472E-2</v>
      </c>
      <c r="L584" s="209">
        <f t="shared" si="292"/>
        <v>5.6125687318306472E-2</v>
      </c>
      <c r="M584" s="209">
        <f t="shared" si="292"/>
        <v>5.6125687318306472E-2</v>
      </c>
      <c r="N584" s="209">
        <f t="shared" si="292"/>
        <v>5.6125687318306472E-2</v>
      </c>
      <c r="O584" s="209">
        <f t="shared" si="292"/>
        <v>5.6125687318306472E-2</v>
      </c>
      <c r="P584" s="209">
        <f t="shared" si="292"/>
        <v>5.6125687318306472E-2</v>
      </c>
      <c r="Q584" s="209">
        <f t="shared" si="292"/>
        <v>5.6125687318306472E-2</v>
      </c>
      <c r="R584" s="209">
        <f t="shared" si="292"/>
        <v>5.6125687318306472E-2</v>
      </c>
      <c r="S584" s="394">
        <f t="shared" si="292"/>
        <v>5.6125687318306472E-2</v>
      </c>
    </row>
    <row r="585" spans="1:19" ht="12.75" customHeight="1" x14ac:dyDescent="0.2">
      <c r="A585" s="198" t="str">
        <f>"         "&amp;Labels!C316</f>
        <v xml:space="preserve">         Total</v>
      </c>
      <c r="B585" s="233">
        <f t="shared" ref="B585:S585" si="293">AVERAGE(B505,B545)</f>
        <v>5.6125687318306472E-2</v>
      </c>
      <c r="C585" s="233">
        <f t="shared" si="293"/>
        <v>5.6125687318306472E-2</v>
      </c>
      <c r="D585" s="233">
        <f t="shared" si="293"/>
        <v>5.6125687318306472E-2</v>
      </c>
      <c r="E585" s="233">
        <f t="shared" si="293"/>
        <v>5.6125687318306472E-2</v>
      </c>
      <c r="F585" s="233">
        <f t="shared" si="293"/>
        <v>5.6125687318306472E-2</v>
      </c>
      <c r="G585" s="233">
        <f t="shared" si="293"/>
        <v>5.6125687318306472E-2</v>
      </c>
      <c r="H585" s="233">
        <f t="shared" si="293"/>
        <v>5.6125687318306472E-2</v>
      </c>
      <c r="I585" s="233">
        <f t="shared" si="293"/>
        <v>5.6125687318306472E-2</v>
      </c>
      <c r="J585" s="233">
        <f t="shared" si="293"/>
        <v>5.6125687318306472E-2</v>
      </c>
      <c r="K585" s="233">
        <f t="shared" si="293"/>
        <v>5.6125687318306472E-2</v>
      </c>
      <c r="L585" s="233">
        <f t="shared" si="293"/>
        <v>5.6125687318306472E-2</v>
      </c>
      <c r="M585" s="233">
        <f t="shared" si="293"/>
        <v>5.6125687318306472E-2</v>
      </c>
      <c r="N585" s="233">
        <f t="shared" si="293"/>
        <v>5.6125687318306472E-2</v>
      </c>
      <c r="O585" s="233">
        <f t="shared" si="293"/>
        <v>5.6125687318306472E-2</v>
      </c>
      <c r="P585" s="233">
        <f t="shared" si="293"/>
        <v>5.6125687318306472E-2</v>
      </c>
      <c r="Q585" s="233">
        <f t="shared" si="293"/>
        <v>5.6125687318306472E-2</v>
      </c>
      <c r="R585" s="233">
        <f t="shared" si="293"/>
        <v>5.6125687318306472E-2</v>
      </c>
      <c r="S585" s="393">
        <f t="shared" si="293"/>
        <v>5.6125687318306472E-2</v>
      </c>
    </row>
    <row r="586" spans="1:19" ht="12.75" customHeight="1" x14ac:dyDescent="0.2">
      <c r="A586" s="188" t="str">
        <f>"      "&amp;Labels!C384</f>
        <v xml:space="preserve">      Total</v>
      </c>
      <c r="B586" s="218">
        <f t="shared" ref="B586:S586" si="294">AVERAGE(B506,B546)</f>
        <v>5.6125687318306472E-2</v>
      </c>
      <c r="C586" s="218">
        <f t="shared" si="294"/>
        <v>5.6125687318306472E-2</v>
      </c>
      <c r="D586" s="218">
        <f t="shared" si="294"/>
        <v>5.6125687318306472E-2</v>
      </c>
      <c r="E586" s="218">
        <f t="shared" si="294"/>
        <v>5.6125687318306472E-2</v>
      </c>
      <c r="F586" s="218">
        <f t="shared" si="294"/>
        <v>5.6125687318306472E-2</v>
      </c>
      <c r="G586" s="218">
        <f t="shared" si="294"/>
        <v>5.6125687318306472E-2</v>
      </c>
      <c r="H586" s="218">
        <f t="shared" si="294"/>
        <v>5.6125687318306472E-2</v>
      </c>
      <c r="I586" s="218">
        <f t="shared" si="294"/>
        <v>5.6125687318306472E-2</v>
      </c>
      <c r="J586" s="218">
        <f t="shared" si="294"/>
        <v>5.6125687318306472E-2</v>
      </c>
      <c r="K586" s="218">
        <f t="shared" si="294"/>
        <v>5.6125687318306472E-2</v>
      </c>
      <c r="L586" s="218">
        <f t="shared" si="294"/>
        <v>5.6125687318306472E-2</v>
      </c>
      <c r="M586" s="218">
        <f t="shared" si="294"/>
        <v>5.6125687318306472E-2</v>
      </c>
      <c r="N586" s="218">
        <f t="shared" si="294"/>
        <v>5.6125687318306472E-2</v>
      </c>
      <c r="O586" s="218">
        <f t="shared" si="294"/>
        <v>5.6125687318306472E-2</v>
      </c>
      <c r="P586" s="218">
        <f t="shared" si="294"/>
        <v>5.6125687318306472E-2</v>
      </c>
      <c r="Q586" s="218">
        <f t="shared" si="294"/>
        <v>5.6125687318306472E-2</v>
      </c>
      <c r="R586" s="218">
        <f t="shared" si="294"/>
        <v>5.6125687318306472E-2</v>
      </c>
      <c r="S586" s="392">
        <f t="shared" si="294"/>
        <v>5.6125687318306472E-2</v>
      </c>
    </row>
    <row r="587" spans="1:19" ht="12.75" customHeight="1" x14ac:dyDescent="0.2">
      <c r="A587" s="198" t="str">
        <f>"         "&amp;Labels!B317</f>
        <v xml:space="preserve">         Channels 1</v>
      </c>
      <c r="B587" s="209">
        <f t="shared" ref="B587:S587" si="295">AVERAGE(B507,B547)</f>
        <v>5.6125687318306472E-2</v>
      </c>
      <c r="C587" s="209">
        <f t="shared" si="295"/>
        <v>5.6125687318306472E-2</v>
      </c>
      <c r="D587" s="209">
        <f t="shared" si="295"/>
        <v>5.6125687318306472E-2</v>
      </c>
      <c r="E587" s="209">
        <f t="shared" si="295"/>
        <v>5.6125687318306472E-2</v>
      </c>
      <c r="F587" s="209">
        <f t="shared" si="295"/>
        <v>5.6125687318306472E-2</v>
      </c>
      <c r="G587" s="209">
        <f t="shared" si="295"/>
        <v>5.6125687318306472E-2</v>
      </c>
      <c r="H587" s="209">
        <f t="shared" si="295"/>
        <v>5.6125687318306472E-2</v>
      </c>
      <c r="I587" s="209">
        <f t="shared" si="295"/>
        <v>5.6125687318306472E-2</v>
      </c>
      <c r="J587" s="209">
        <f t="shared" si="295"/>
        <v>5.6125687318306472E-2</v>
      </c>
      <c r="K587" s="209">
        <f t="shared" si="295"/>
        <v>5.6125687318306472E-2</v>
      </c>
      <c r="L587" s="209">
        <f t="shared" si="295"/>
        <v>5.6125687318306472E-2</v>
      </c>
      <c r="M587" s="209">
        <f t="shared" si="295"/>
        <v>5.6125687318306472E-2</v>
      </c>
      <c r="N587" s="209">
        <f t="shared" si="295"/>
        <v>5.6125687318306472E-2</v>
      </c>
      <c r="O587" s="209">
        <f t="shared" si="295"/>
        <v>5.6125687318306472E-2</v>
      </c>
      <c r="P587" s="209">
        <f t="shared" si="295"/>
        <v>5.6125687318306472E-2</v>
      </c>
      <c r="Q587" s="209">
        <f t="shared" si="295"/>
        <v>5.6125687318306472E-2</v>
      </c>
      <c r="R587" s="209">
        <f t="shared" si="295"/>
        <v>5.6125687318306472E-2</v>
      </c>
      <c r="S587" s="394">
        <f t="shared" si="295"/>
        <v>5.6125687318306472E-2</v>
      </c>
    </row>
    <row r="588" spans="1:19" ht="12.75" customHeight="1" x14ac:dyDescent="0.2">
      <c r="A588" s="198" t="str">
        <f>"         "&amp;Labels!B318</f>
        <v xml:space="preserve">         Channels 2</v>
      </c>
      <c r="B588" s="209">
        <f t="shared" ref="B588:S588" si="296">AVERAGE(B508,B548)</f>
        <v>5.6125687318306472E-2</v>
      </c>
      <c r="C588" s="209">
        <f t="shared" si="296"/>
        <v>5.6125687318306472E-2</v>
      </c>
      <c r="D588" s="209">
        <f t="shared" si="296"/>
        <v>5.6125687318306472E-2</v>
      </c>
      <c r="E588" s="209">
        <f t="shared" si="296"/>
        <v>5.6125687318306472E-2</v>
      </c>
      <c r="F588" s="209">
        <f t="shared" si="296"/>
        <v>5.6125687318306472E-2</v>
      </c>
      <c r="G588" s="209">
        <f t="shared" si="296"/>
        <v>5.6125687318306472E-2</v>
      </c>
      <c r="H588" s="209">
        <f t="shared" si="296"/>
        <v>5.6125687318306472E-2</v>
      </c>
      <c r="I588" s="209">
        <f t="shared" si="296"/>
        <v>5.6125687318306472E-2</v>
      </c>
      <c r="J588" s="209">
        <f t="shared" si="296"/>
        <v>5.6125687318306472E-2</v>
      </c>
      <c r="K588" s="209">
        <f t="shared" si="296"/>
        <v>5.6125687318306472E-2</v>
      </c>
      <c r="L588" s="209">
        <f t="shared" si="296"/>
        <v>5.6125687318306472E-2</v>
      </c>
      <c r="M588" s="209">
        <f t="shared" si="296"/>
        <v>5.6125687318306472E-2</v>
      </c>
      <c r="N588" s="209">
        <f t="shared" si="296"/>
        <v>5.6125687318306472E-2</v>
      </c>
      <c r="O588" s="209">
        <f t="shared" si="296"/>
        <v>5.6125687318306472E-2</v>
      </c>
      <c r="P588" s="209">
        <f t="shared" si="296"/>
        <v>5.6125687318306472E-2</v>
      </c>
      <c r="Q588" s="209">
        <f t="shared" si="296"/>
        <v>5.6125687318306472E-2</v>
      </c>
      <c r="R588" s="209">
        <f t="shared" si="296"/>
        <v>5.6125687318306472E-2</v>
      </c>
      <c r="S588" s="394">
        <f t="shared" si="296"/>
        <v>5.6125687318306472E-2</v>
      </c>
    </row>
    <row r="589" spans="1:19" ht="12.75" customHeight="1" x14ac:dyDescent="0.2">
      <c r="A589" s="198" t="str">
        <f>"         "&amp;Labels!C316</f>
        <v xml:space="preserve">         Total</v>
      </c>
      <c r="B589" s="233">
        <f t="shared" ref="B589:S589" si="297">AVERAGE(B506,B546)</f>
        <v>5.6125687318306472E-2</v>
      </c>
      <c r="C589" s="233">
        <f t="shared" si="297"/>
        <v>5.6125687318306472E-2</v>
      </c>
      <c r="D589" s="233">
        <f t="shared" si="297"/>
        <v>5.6125687318306472E-2</v>
      </c>
      <c r="E589" s="233">
        <f t="shared" si="297"/>
        <v>5.6125687318306472E-2</v>
      </c>
      <c r="F589" s="233">
        <f t="shared" si="297"/>
        <v>5.6125687318306472E-2</v>
      </c>
      <c r="G589" s="233">
        <f t="shared" si="297"/>
        <v>5.6125687318306472E-2</v>
      </c>
      <c r="H589" s="233">
        <f t="shared" si="297"/>
        <v>5.6125687318306472E-2</v>
      </c>
      <c r="I589" s="233">
        <f t="shared" si="297"/>
        <v>5.6125687318306472E-2</v>
      </c>
      <c r="J589" s="233">
        <f t="shared" si="297"/>
        <v>5.6125687318306472E-2</v>
      </c>
      <c r="K589" s="233">
        <f t="shared" si="297"/>
        <v>5.6125687318306472E-2</v>
      </c>
      <c r="L589" s="233">
        <f t="shared" si="297"/>
        <v>5.6125687318306472E-2</v>
      </c>
      <c r="M589" s="233">
        <f t="shared" si="297"/>
        <v>5.6125687318306472E-2</v>
      </c>
      <c r="N589" s="233">
        <f t="shared" si="297"/>
        <v>5.6125687318306472E-2</v>
      </c>
      <c r="O589" s="233">
        <f t="shared" si="297"/>
        <v>5.6125687318306472E-2</v>
      </c>
      <c r="P589" s="233">
        <f t="shared" si="297"/>
        <v>5.6125687318306472E-2</v>
      </c>
      <c r="Q589" s="233">
        <f t="shared" si="297"/>
        <v>5.6125687318306472E-2</v>
      </c>
      <c r="R589" s="233">
        <f t="shared" si="297"/>
        <v>5.6125687318306472E-2</v>
      </c>
      <c r="S589" s="393">
        <f t="shared" si="297"/>
        <v>5.6125687318306472E-2</v>
      </c>
    </row>
    <row r="590" spans="1:19" ht="12.75" customHeight="1" x14ac:dyDescent="0.2">
      <c r="A590" s="191" t="str">
        <f>"   "&amp;Labels!C380</f>
        <v xml:space="preserve">   Total</v>
      </c>
      <c r="B590" s="211">
        <f t="shared" ref="B590:S590" si="298">AVERAGE(B510,B550)</f>
        <v>5.6125687318306472E-2</v>
      </c>
      <c r="C590" s="211">
        <f t="shared" si="298"/>
        <v>5.6125687318306472E-2</v>
      </c>
      <c r="D590" s="211">
        <f t="shared" si="298"/>
        <v>5.6125687318306472E-2</v>
      </c>
      <c r="E590" s="211">
        <f t="shared" si="298"/>
        <v>5.6125687318306472E-2</v>
      </c>
      <c r="F590" s="211">
        <f t="shared" si="298"/>
        <v>5.6125687318306472E-2</v>
      </c>
      <c r="G590" s="211">
        <f t="shared" si="298"/>
        <v>5.6125687318306472E-2</v>
      </c>
      <c r="H590" s="211">
        <f t="shared" si="298"/>
        <v>5.6125687318306472E-2</v>
      </c>
      <c r="I590" s="211">
        <f t="shared" si="298"/>
        <v>5.6125687318306472E-2</v>
      </c>
      <c r="J590" s="211">
        <f t="shared" si="298"/>
        <v>5.6125687318306472E-2</v>
      </c>
      <c r="K590" s="211">
        <f t="shared" si="298"/>
        <v>5.6125687318306472E-2</v>
      </c>
      <c r="L590" s="211">
        <f t="shared" si="298"/>
        <v>5.6125687318306472E-2</v>
      </c>
      <c r="M590" s="211">
        <f t="shared" si="298"/>
        <v>5.6125687318306472E-2</v>
      </c>
      <c r="N590" s="211">
        <f t="shared" si="298"/>
        <v>5.6125687318306472E-2</v>
      </c>
      <c r="O590" s="211">
        <f t="shared" si="298"/>
        <v>5.6125687318306472E-2</v>
      </c>
      <c r="P590" s="211">
        <f t="shared" si="298"/>
        <v>5.6125687318306472E-2</v>
      </c>
      <c r="Q590" s="211">
        <f t="shared" si="298"/>
        <v>5.6125687318306472E-2</v>
      </c>
      <c r="R590" s="211">
        <f t="shared" si="298"/>
        <v>5.6125687318306472E-2</v>
      </c>
      <c r="S590" s="395">
        <f t="shared" si="298"/>
        <v>5.6125687318306472E-2</v>
      </c>
    </row>
    <row r="591" spans="1:19" ht="12.75" customHeight="1" x14ac:dyDescent="0.2">
      <c r="A591" s="198" t="str">
        <f>"      "&amp;Labels!B385</f>
        <v xml:space="preserve">      Prof Level 1</v>
      </c>
      <c r="B591" s="233"/>
      <c r="C591" s="233"/>
      <c r="D591" s="233"/>
      <c r="E591" s="233"/>
      <c r="F591" s="233"/>
      <c r="G591" s="233"/>
      <c r="H591" s="233"/>
      <c r="I591" s="233"/>
      <c r="J591" s="233"/>
      <c r="K591" s="233"/>
      <c r="L591" s="233"/>
      <c r="M591" s="233"/>
      <c r="N591" s="233"/>
      <c r="O591" s="233"/>
      <c r="P591" s="233"/>
      <c r="Q591" s="233"/>
      <c r="R591" s="233"/>
      <c r="S591" s="393"/>
    </row>
    <row r="592" spans="1:19" ht="12.75" customHeight="1" x14ac:dyDescent="0.2">
      <c r="A592" s="198" t="str">
        <f>"         "&amp;Labels!B317</f>
        <v xml:space="preserve">         Channels 1</v>
      </c>
      <c r="B592" s="209">
        <f t="shared" ref="B592:S592" si="299">AVERAGE(B512,B552)</f>
        <v>5.6125687318306472E-2</v>
      </c>
      <c r="C592" s="209">
        <f t="shared" si="299"/>
        <v>5.6125687318306472E-2</v>
      </c>
      <c r="D592" s="209">
        <f t="shared" si="299"/>
        <v>5.6125687318306472E-2</v>
      </c>
      <c r="E592" s="209">
        <f t="shared" si="299"/>
        <v>5.6125687318306472E-2</v>
      </c>
      <c r="F592" s="209">
        <f t="shared" si="299"/>
        <v>5.6125687318306472E-2</v>
      </c>
      <c r="G592" s="209">
        <f t="shared" si="299"/>
        <v>5.6125687318306472E-2</v>
      </c>
      <c r="H592" s="209">
        <f t="shared" si="299"/>
        <v>5.6125687318306472E-2</v>
      </c>
      <c r="I592" s="209">
        <f t="shared" si="299"/>
        <v>5.6125687318306472E-2</v>
      </c>
      <c r="J592" s="209">
        <f t="shared" si="299"/>
        <v>5.6125687318306472E-2</v>
      </c>
      <c r="K592" s="209">
        <f t="shared" si="299"/>
        <v>5.6125687318306472E-2</v>
      </c>
      <c r="L592" s="209">
        <f t="shared" si="299"/>
        <v>5.6125687318306472E-2</v>
      </c>
      <c r="M592" s="209">
        <f t="shared" si="299"/>
        <v>5.6125687318306472E-2</v>
      </c>
      <c r="N592" s="209">
        <f t="shared" si="299"/>
        <v>5.6125687318306472E-2</v>
      </c>
      <c r="O592" s="209">
        <f t="shared" si="299"/>
        <v>5.6125687318306472E-2</v>
      </c>
      <c r="P592" s="209">
        <f t="shared" si="299"/>
        <v>5.6125687318306472E-2</v>
      </c>
      <c r="Q592" s="209">
        <f t="shared" si="299"/>
        <v>5.6125687318306472E-2</v>
      </c>
      <c r="R592" s="209">
        <f t="shared" si="299"/>
        <v>5.6125687318306472E-2</v>
      </c>
      <c r="S592" s="394">
        <f t="shared" si="299"/>
        <v>5.6125687318306472E-2</v>
      </c>
    </row>
    <row r="593" spans="1:19" ht="12.75" customHeight="1" x14ac:dyDescent="0.2">
      <c r="A593" s="198" t="str">
        <f>"         "&amp;Labels!B318</f>
        <v xml:space="preserve">         Channels 2</v>
      </c>
      <c r="B593" s="209">
        <f t="shared" ref="B593:S593" si="300">AVERAGE(B513,B553)</f>
        <v>5.6125687318306472E-2</v>
      </c>
      <c r="C593" s="209">
        <f t="shared" si="300"/>
        <v>5.6125687318306472E-2</v>
      </c>
      <c r="D593" s="209">
        <f t="shared" si="300"/>
        <v>5.6125687318306472E-2</v>
      </c>
      <c r="E593" s="209">
        <f t="shared" si="300"/>
        <v>5.6125687318306472E-2</v>
      </c>
      <c r="F593" s="209">
        <f t="shared" si="300"/>
        <v>5.6125687318306472E-2</v>
      </c>
      <c r="G593" s="209">
        <f t="shared" si="300"/>
        <v>5.6125687318306472E-2</v>
      </c>
      <c r="H593" s="209">
        <f t="shared" si="300"/>
        <v>5.6125687318306472E-2</v>
      </c>
      <c r="I593" s="209">
        <f t="shared" si="300"/>
        <v>5.6125687318306472E-2</v>
      </c>
      <c r="J593" s="209">
        <f t="shared" si="300"/>
        <v>5.6125687318306472E-2</v>
      </c>
      <c r="K593" s="209">
        <f t="shared" si="300"/>
        <v>5.6125687318306472E-2</v>
      </c>
      <c r="L593" s="209">
        <f t="shared" si="300"/>
        <v>5.6125687318306472E-2</v>
      </c>
      <c r="M593" s="209">
        <f t="shared" si="300"/>
        <v>5.6125687318306472E-2</v>
      </c>
      <c r="N593" s="209">
        <f t="shared" si="300"/>
        <v>5.6125687318306472E-2</v>
      </c>
      <c r="O593" s="209">
        <f t="shared" si="300"/>
        <v>5.6125687318306472E-2</v>
      </c>
      <c r="P593" s="209">
        <f t="shared" si="300"/>
        <v>5.6125687318306472E-2</v>
      </c>
      <c r="Q593" s="209">
        <f t="shared" si="300"/>
        <v>5.6125687318306472E-2</v>
      </c>
      <c r="R593" s="209">
        <f t="shared" si="300"/>
        <v>5.6125687318306472E-2</v>
      </c>
      <c r="S593" s="394">
        <f t="shared" si="300"/>
        <v>5.6125687318306472E-2</v>
      </c>
    </row>
    <row r="594" spans="1:19" ht="12.75" customHeight="1" x14ac:dyDescent="0.2">
      <c r="A594" s="198" t="str">
        <f>"         "&amp;Labels!C316</f>
        <v xml:space="preserve">         Total</v>
      </c>
      <c r="B594" s="233">
        <f t="shared" ref="B594:S594" si="301">AVERAGE(B514,B554)</f>
        <v>5.6125687318306472E-2</v>
      </c>
      <c r="C594" s="233">
        <f t="shared" si="301"/>
        <v>5.6125687318306472E-2</v>
      </c>
      <c r="D594" s="233">
        <f t="shared" si="301"/>
        <v>5.6125687318306472E-2</v>
      </c>
      <c r="E594" s="233">
        <f t="shared" si="301"/>
        <v>5.6125687318306472E-2</v>
      </c>
      <c r="F594" s="233">
        <f t="shared" si="301"/>
        <v>5.6125687318306472E-2</v>
      </c>
      <c r="G594" s="233">
        <f t="shared" si="301"/>
        <v>5.6125687318306472E-2</v>
      </c>
      <c r="H594" s="233">
        <f t="shared" si="301"/>
        <v>5.6125687318306472E-2</v>
      </c>
      <c r="I594" s="233">
        <f t="shared" si="301"/>
        <v>5.6125687318306472E-2</v>
      </c>
      <c r="J594" s="233">
        <f t="shared" si="301"/>
        <v>5.6125687318306472E-2</v>
      </c>
      <c r="K594" s="233">
        <f t="shared" si="301"/>
        <v>5.6125687318306472E-2</v>
      </c>
      <c r="L594" s="233">
        <f t="shared" si="301"/>
        <v>5.6125687318306472E-2</v>
      </c>
      <c r="M594" s="233">
        <f t="shared" si="301"/>
        <v>5.6125687318306472E-2</v>
      </c>
      <c r="N594" s="233">
        <f t="shared" si="301"/>
        <v>5.6125687318306472E-2</v>
      </c>
      <c r="O594" s="233">
        <f t="shared" si="301"/>
        <v>5.6125687318306472E-2</v>
      </c>
      <c r="P594" s="233">
        <f t="shared" si="301"/>
        <v>5.6125687318306472E-2</v>
      </c>
      <c r="Q594" s="233">
        <f t="shared" si="301"/>
        <v>5.6125687318306472E-2</v>
      </c>
      <c r="R594" s="233">
        <f t="shared" si="301"/>
        <v>5.6125687318306472E-2</v>
      </c>
      <c r="S594" s="393">
        <f t="shared" si="301"/>
        <v>5.6125687318306472E-2</v>
      </c>
    </row>
    <row r="595" spans="1:19" ht="12.75" customHeight="1" x14ac:dyDescent="0.2">
      <c r="A595" s="198" t="str">
        <f>"      "&amp;Labels!B386</f>
        <v xml:space="preserve">      Prof Level 2</v>
      </c>
      <c r="B595" s="233"/>
      <c r="C595" s="233"/>
      <c r="D595" s="233"/>
      <c r="E595" s="233"/>
      <c r="F595" s="233"/>
      <c r="G595" s="233"/>
      <c r="H595" s="233"/>
      <c r="I595" s="233"/>
      <c r="J595" s="233"/>
      <c r="K595" s="233"/>
      <c r="L595" s="233"/>
      <c r="M595" s="233"/>
      <c r="N595" s="233"/>
      <c r="O595" s="233"/>
      <c r="P595" s="233"/>
      <c r="Q595" s="233"/>
      <c r="R595" s="233"/>
      <c r="S595" s="393"/>
    </row>
    <row r="596" spans="1:19" ht="12.75" customHeight="1" x14ac:dyDescent="0.2">
      <c r="A596" s="198" t="str">
        <f>"         "&amp;Labels!B317</f>
        <v xml:space="preserve">         Channels 1</v>
      </c>
      <c r="B596" s="209">
        <f t="shared" ref="B596:S596" si="302">AVERAGE(B516,B556)</f>
        <v>5.6125687318306472E-2</v>
      </c>
      <c r="C596" s="209">
        <f t="shared" si="302"/>
        <v>5.6125687318306472E-2</v>
      </c>
      <c r="D596" s="209">
        <f t="shared" si="302"/>
        <v>5.6125687318306472E-2</v>
      </c>
      <c r="E596" s="209">
        <f t="shared" si="302"/>
        <v>5.6125687318306472E-2</v>
      </c>
      <c r="F596" s="209">
        <f t="shared" si="302"/>
        <v>5.6125687318306472E-2</v>
      </c>
      <c r="G596" s="209">
        <f t="shared" si="302"/>
        <v>5.6125687318306472E-2</v>
      </c>
      <c r="H596" s="209">
        <f t="shared" si="302"/>
        <v>5.6125687318306472E-2</v>
      </c>
      <c r="I596" s="209">
        <f t="shared" si="302"/>
        <v>5.6125687318306472E-2</v>
      </c>
      <c r="J596" s="209">
        <f t="shared" si="302"/>
        <v>5.6125687318306472E-2</v>
      </c>
      <c r="K596" s="209">
        <f t="shared" si="302"/>
        <v>5.6125687318306472E-2</v>
      </c>
      <c r="L596" s="209">
        <f t="shared" si="302"/>
        <v>5.6125687318306472E-2</v>
      </c>
      <c r="M596" s="209">
        <f t="shared" si="302"/>
        <v>5.6125687318306472E-2</v>
      </c>
      <c r="N596" s="209">
        <f t="shared" si="302"/>
        <v>5.6125687318306472E-2</v>
      </c>
      <c r="O596" s="209">
        <f t="shared" si="302"/>
        <v>5.6125687318306472E-2</v>
      </c>
      <c r="P596" s="209">
        <f t="shared" si="302"/>
        <v>5.6125687318306472E-2</v>
      </c>
      <c r="Q596" s="209">
        <f t="shared" si="302"/>
        <v>5.6125687318306472E-2</v>
      </c>
      <c r="R596" s="209">
        <f t="shared" si="302"/>
        <v>5.6125687318306472E-2</v>
      </c>
      <c r="S596" s="394">
        <f t="shared" si="302"/>
        <v>5.6125687318306472E-2</v>
      </c>
    </row>
    <row r="597" spans="1:19" ht="12.75" customHeight="1" x14ac:dyDescent="0.2">
      <c r="A597" s="198" t="str">
        <f>"         "&amp;Labels!B318</f>
        <v xml:space="preserve">         Channels 2</v>
      </c>
      <c r="B597" s="209">
        <f t="shared" ref="B597:S597" si="303">AVERAGE(B517,B557)</f>
        <v>5.6125687318306472E-2</v>
      </c>
      <c r="C597" s="209">
        <f t="shared" si="303"/>
        <v>5.6125687318306472E-2</v>
      </c>
      <c r="D597" s="209">
        <f t="shared" si="303"/>
        <v>5.6125687318306472E-2</v>
      </c>
      <c r="E597" s="209">
        <f t="shared" si="303"/>
        <v>5.6125687318306472E-2</v>
      </c>
      <c r="F597" s="209">
        <f t="shared" si="303"/>
        <v>5.6125687318306472E-2</v>
      </c>
      <c r="G597" s="209">
        <f t="shared" si="303"/>
        <v>5.6125687318306472E-2</v>
      </c>
      <c r="H597" s="209">
        <f t="shared" si="303"/>
        <v>5.6125687318306472E-2</v>
      </c>
      <c r="I597" s="209">
        <f t="shared" si="303"/>
        <v>5.6125687318306472E-2</v>
      </c>
      <c r="J597" s="209">
        <f t="shared" si="303"/>
        <v>5.6125687318306472E-2</v>
      </c>
      <c r="K597" s="209">
        <f t="shared" si="303"/>
        <v>5.6125687318306472E-2</v>
      </c>
      <c r="L597" s="209">
        <f t="shared" si="303"/>
        <v>5.6125687318306472E-2</v>
      </c>
      <c r="M597" s="209">
        <f t="shared" si="303"/>
        <v>5.6125687318306472E-2</v>
      </c>
      <c r="N597" s="209">
        <f t="shared" si="303"/>
        <v>5.6125687318306472E-2</v>
      </c>
      <c r="O597" s="209">
        <f t="shared" si="303"/>
        <v>5.6125687318306472E-2</v>
      </c>
      <c r="P597" s="209">
        <f t="shared" si="303"/>
        <v>5.6125687318306472E-2</v>
      </c>
      <c r="Q597" s="209">
        <f t="shared" si="303"/>
        <v>5.6125687318306472E-2</v>
      </c>
      <c r="R597" s="209">
        <f t="shared" si="303"/>
        <v>5.6125687318306472E-2</v>
      </c>
      <c r="S597" s="394">
        <f t="shared" si="303"/>
        <v>5.6125687318306472E-2</v>
      </c>
    </row>
    <row r="598" spans="1:19" ht="12.75" customHeight="1" x14ac:dyDescent="0.2">
      <c r="A598" s="198" t="str">
        <f>"         "&amp;Labels!C316</f>
        <v xml:space="preserve">         Total</v>
      </c>
      <c r="B598" s="233">
        <f t="shared" ref="B598:S598" si="304">AVERAGE(B518,B558)</f>
        <v>5.6125687318306472E-2</v>
      </c>
      <c r="C598" s="233">
        <f t="shared" si="304"/>
        <v>5.6125687318306472E-2</v>
      </c>
      <c r="D598" s="233">
        <f t="shared" si="304"/>
        <v>5.6125687318306472E-2</v>
      </c>
      <c r="E598" s="233">
        <f t="shared" si="304"/>
        <v>5.6125687318306472E-2</v>
      </c>
      <c r="F598" s="233">
        <f t="shared" si="304"/>
        <v>5.6125687318306472E-2</v>
      </c>
      <c r="G598" s="233">
        <f t="shared" si="304"/>
        <v>5.6125687318306472E-2</v>
      </c>
      <c r="H598" s="233">
        <f t="shared" si="304"/>
        <v>5.6125687318306472E-2</v>
      </c>
      <c r="I598" s="233">
        <f t="shared" si="304"/>
        <v>5.6125687318306472E-2</v>
      </c>
      <c r="J598" s="233">
        <f t="shared" si="304"/>
        <v>5.6125687318306472E-2</v>
      </c>
      <c r="K598" s="233">
        <f t="shared" si="304"/>
        <v>5.6125687318306472E-2</v>
      </c>
      <c r="L598" s="233">
        <f t="shared" si="304"/>
        <v>5.6125687318306472E-2</v>
      </c>
      <c r="M598" s="233">
        <f t="shared" si="304"/>
        <v>5.6125687318306472E-2</v>
      </c>
      <c r="N598" s="233">
        <f t="shared" si="304"/>
        <v>5.6125687318306472E-2</v>
      </c>
      <c r="O598" s="233">
        <f t="shared" si="304"/>
        <v>5.6125687318306472E-2</v>
      </c>
      <c r="P598" s="233">
        <f t="shared" si="304"/>
        <v>5.6125687318306472E-2</v>
      </c>
      <c r="Q598" s="233">
        <f t="shared" si="304"/>
        <v>5.6125687318306472E-2</v>
      </c>
      <c r="R598" s="233">
        <f t="shared" si="304"/>
        <v>5.6125687318306472E-2</v>
      </c>
      <c r="S598" s="393">
        <f t="shared" si="304"/>
        <v>5.6125687318306472E-2</v>
      </c>
    </row>
    <row r="599" spans="1:19" ht="12.75" customHeight="1" x14ac:dyDescent="0.2">
      <c r="A599" s="188" t="str">
        <f>"      "&amp;Labels!C384</f>
        <v xml:space="preserve">      Total</v>
      </c>
      <c r="B599" s="218">
        <f t="shared" ref="B599:S599" si="305">AVERAGE(B510,B550)</f>
        <v>5.6125687318306472E-2</v>
      </c>
      <c r="C599" s="218">
        <f t="shared" si="305"/>
        <v>5.6125687318306472E-2</v>
      </c>
      <c r="D599" s="218">
        <f t="shared" si="305"/>
        <v>5.6125687318306472E-2</v>
      </c>
      <c r="E599" s="218">
        <f t="shared" si="305"/>
        <v>5.6125687318306472E-2</v>
      </c>
      <c r="F599" s="218">
        <f t="shared" si="305"/>
        <v>5.6125687318306472E-2</v>
      </c>
      <c r="G599" s="218">
        <f t="shared" si="305"/>
        <v>5.6125687318306472E-2</v>
      </c>
      <c r="H599" s="218">
        <f t="shared" si="305"/>
        <v>5.6125687318306472E-2</v>
      </c>
      <c r="I599" s="218">
        <f t="shared" si="305"/>
        <v>5.6125687318306472E-2</v>
      </c>
      <c r="J599" s="218">
        <f t="shared" si="305"/>
        <v>5.6125687318306472E-2</v>
      </c>
      <c r="K599" s="218">
        <f t="shared" si="305"/>
        <v>5.6125687318306472E-2</v>
      </c>
      <c r="L599" s="218">
        <f t="shared" si="305"/>
        <v>5.6125687318306472E-2</v>
      </c>
      <c r="M599" s="218">
        <f t="shared" si="305"/>
        <v>5.6125687318306472E-2</v>
      </c>
      <c r="N599" s="218">
        <f t="shared" si="305"/>
        <v>5.6125687318306472E-2</v>
      </c>
      <c r="O599" s="218">
        <f t="shared" si="305"/>
        <v>5.6125687318306472E-2</v>
      </c>
      <c r="P599" s="218">
        <f t="shared" si="305"/>
        <v>5.6125687318306472E-2</v>
      </c>
      <c r="Q599" s="218">
        <f t="shared" si="305"/>
        <v>5.6125687318306472E-2</v>
      </c>
      <c r="R599" s="218">
        <f t="shared" si="305"/>
        <v>5.6125687318306472E-2</v>
      </c>
      <c r="S599" s="392">
        <f t="shared" si="305"/>
        <v>5.6125687318306472E-2</v>
      </c>
    </row>
    <row r="600" spans="1:19" ht="12.75" customHeight="1" x14ac:dyDescent="0.2">
      <c r="A600" s="198" t="str">
        <f>"         "&amp;Labels!B317</f>
        <v xml:space="preserve">         Channels 1</v>
      </c>
      <c r="B600" s="209">
        <f t="shared" ref="B600:S600" si="306">AVERAGE(B520,B560)</f>
        <v>5.6125687318306472E-2</v>
      </c>
      <c r="C600" s="209">
        <f t="shared" si="306"/>
        <v>5.6125687318306472E-2</v>
      </c>
      <c r="D600" s="209">
        <f t="shared" si="306"/>
        <v>5.6125687318306472E-2</v>
      </c>
      <c r="E600" s="209">
        <f t="shared" si="306"/>
        <v>5.6125687318306472E-2</v>
      </c>
      <c r="F600" s="209">
        <f t="shared" si="306"/>
        <v>5.6125687318306472E-2</v>
      </c>
      <c r="G600" s="209">
        <f t="shared" si="306"/>
        <v>5.6125687318306472E-2</v>
      </c>
      <c r="H600" s="209">
        <f t="shared" si="306"/>
        <v>5.6125687318306472E-2</v>
      </c>
      <c r="I600" s="209">
        <f t="shared" si="306"/>
        <v>5.6125687318306472E-2</v>
      </c>
      <c r="J600" s="209">
        <f t="shared" si="306"/>
        <v>5.6125687318306472E-2</v>
      </c>
      <c r="K600" s="209">
        <f t="shared" si="306"/>
        <v>5.6125687318306472E-2</v>
      </c>
      <c r="L600" s="209">
        <f t="shared" si="306"/>
        <v>5.6125687318306472E-2</v>
      </c>
      <c r="M600" s="209">
        <f t="shared" si="306"/>
        <v>5.6125687318306472E-2</v>
      </c>
      <c r="N600" s="209">
        <f t="shared" si="306"/>
        <v>5.6125687318306472E-2</v>
      </c>
      <c r="O600" s="209">
        <f t="shared" si="306"/>
        <v>5.6125687318306472E-2</v>
      </c>
      <c r="P600" s="209">
        <f t="shared" si="306"/>
        <v>5.6125687318306472E-2</v>
      </c>
      <c r="Q600" s="209">
        <f t="shared" si="306"/>
        <v>5.6125687318306472E-2</v>
      </c>
      <c r="R600" s="209">
        <f t="shared" si="306"/>
        <v>5.6125687318306472E-2</v>
      </c>
      <c r="S600" s="394">
        <f t="shared" si="306"/>
        <v>5.6125687318306472E-2</v>
      </c>
    </row>
    <row r="601" spans="1:19" ht="12.75" customHeight="1" x14ac:dyDescent="0.2">
      <c r="A601" s="198" t="str">
        <f>"         "&amp;Labels!B318</f>
        <v xml:space="preserve">         Channels 2</v>
      </c>
      <c r="B601" s="209">
        <f t="shared" ref="B601:S601" si="307">AVERAGE(B521,B561)</f>
        <v>5.6125687318306472E-2</v>
      </c>
      <c r="C601" s="209">
        <f t="shared" si="307"/>
        <v>5.6125687318306472E-2</v>
      </c>
      <c r="D601" s="209">
        <f t="shared" si="307"/>
        <v>5.6125687318306472E-2</v>
      </c>
      <c r="E601" s="209">
        <f t="shared" si="307"/>
        <v>5.6125687318306472E-2</v>
      </c>
      <c r="F601" s="209">
        <f t="shared" si="307"/>
        <v>5.6125687318306472E-2</v>
      </c>
      <c r="G601" s="209">
        <f t="shared" si="307"/>
        <v>5.6125687318306472E-2</v>
      </c>
      <c r="H601" s="209">
        <f t="shared" si="307"/>
        <v>5.6125687318306472E-2</v>
      </c>
      <c r="I601" s="209">
        <f t="shared" si="307"/>
        <v>5.6125687318306472E-2</v>
      </c>
      <c r="J601" s="209">
        <f t="shared" si="307"/>
        <v>5.6125687318306472E-2</v>
      </c>
      <c r="K601" s="209">
        <f t="shared" si="307"/>
        <v>5.6125687318306472E-2</v>
      </c>
      <c r="L601" s="209">
        <f t="shared" si="307"/>
        <v>5.6125687318306472E-2</v>
      </c>
      <c r="M601" s="209">
        <f t="shared" si="307"/>
        <v>5.6125687318306472E-2</v>
      </c>
      <c r="N601" s="209">
        <f t="shared" si="307"/>
        <v>5.6125687318306472E-2</v>
      </c>
      <c r="O601" s="209">
        <f t="shared" si="307"/>
        <v>5.6125687318306472E-2</v>
      </c>
      <c r="P601" s="209">
        <f t="shared" si="307"/>
        <v>5.6125687318306472E-2</v>
      </c>
      <c r="Q601" s="209">
        <f t="shared" si="307"/>
        <v>5.6125687318306472E-2</v>
      </c>
      <c r="R601" s="209">
        <f t="shared" si="307"/>
        <v>5.6125687318306472E-2</v>
      </c>
      <c r="S601" s="394">
        <f t="shared" si="307"/>
        <v>5.6125687318306472E-2</v>
      </c>
    </row>
    <row r="602" spans="1:19" ht="12.75" customHeight="1" x14ac:dyDescent="0.2">
      <c r="A602" s="230" t="str">
        <f>"         "&amp;Labels!C316</f>
        <v xml:space="preserve">         Total</v>
      </c>
      <c r="B602" s="235">
        <f t="shared" ref="B602:S602" si="308">AVERAGE(B510,B550)</f>
        <v>5.6125687318306472E-2</v>
      </c>
      <c r="C602" s="235">
        <f t="shared" si="308"/>
        <v>5.6125687318306472E-2</v>
      </c>
      <c r="D602" s="235">
        <f t="shared" si="308"/>
        <v>5.6125687318306472E-2</v>
      </c>
      <c r="E602" s="235">
        <f t="shared" si="308"/>
        <v>5.6125687318306472E-2</v>
      </c>
      <c r="F602" s="235">
        <f t="shared" si="308"/>
        <v>5.6125687318306472E-2</v>
      </c>
      <c r="G602" s="235">
        <f t="shared" si="308"/>
        <v>5.6125687318306472E-2</v>
      </c>
      <c r="H602" s="235">
        <f t="shared" si="308"/>
        <v>5.6125687318306472E-2</v>
      </c>
      <c r="I602" s="235">
        <f t="shared" si="308"/>
        <v>5.6125687318306472E-2</v>
      </c>
      <c r="J602" s="235">
        <f t="shared" si="308"/>
        <v>5.6125687318306472E-2</v>
      </c>
      <c r="K602" s="235">
        <f t="shared" si="308"/>
        <v>5.6125687318306472E-2</v>
      </c>
      <c r="L602" s="235">
        <f t="shared" si="308"/>
        <v>5.6125687318306472E-2</v>
      </c>
      <c r="M602" s="235">
        <f t="shared" si="308"/>
        <v>5.6125687318306472E-2</v>
      </c>
      <c r="N602" s="235">
        <f t="shared" si="308"/>
        <v>5.6125687318306472E-2</v>
      </c>
      <c r="O602" s="235">
        <f t="shared" si="308"/>
        <v>5.6125687318306472E-2</v>
      </c>
      <c r="P602" s="235">
        <f t="shared" si="308"/>
        <v>5.6125687318306472E-2</v>
      </c>
      <c r="Q602" s="235">
        <f t="shared" si="308"/>
        <v>5.6125687318306472E-2</v>
      </c>
      <c r="R602" s="235">
        <f t="shared" si="308"/>
        <v>5.6125687318306472E-2</v>
      </c>
      <c r="S602" s="397">
        <f t="shared" si="308"/>
        <v>5.6125687318306472E-2</v>
      </c>
    </row>
    <row r="603" spans="1:19" ht="12.75" customHeight="1" x14ac:dyDescent="0.2">
      <c r="A603" s="1" t="str">
        <f>Labels!B237</f>
        <v>Sales Lead Expire Hrs%</v>
      </c>
    </row>
    <row r="604" spans="1:19" ht="12.75" customHeight="1" x14ac:dyDescent="0.2">
      <c r="B604" s="9" t="str">
        <f>'(FnCalls 1)'!F41</f>
        <v>MMM 2010</v>
      </c>
      <c r="C604" s="10" t="str">
        <f>'(FnCalls 1)'!F42</f>
        <v>MMM 2010</v>
      </c>
      <c r="D604" s="10" t="str">
        <f>'(FnCalls 1)'!F43</f>
        <v>MMM 2010</v>
      </c>
      <c r="E604" s="10" t="str">
        <f>'(FnCalls 1)'!F44</f>
        <v>MMM 2010</v>
      </c>
      <c r="F604" s="10" t="str">
        <f>'(FnCalls 1)'!F45</f>
        <v>MMM 2010</v>
      </c>
      <c r="G604" s="10" t="str">
        <f>'(FnCalls 1)'!F46</f>
        <v>MMM 2010</v>
      </c>
      <c r="H604" s="10" t="str">
        <f>'(FnCalls 1)'!F47</f>
        <v>MMM 2010</v>
      </c>
      <c r="I604" s="10" t="str">
        <f>'(FnCalls 1)'!F48</f>
        <v>MMM 2010</v>
      </c>
      <c r="J604" s="10" t="str">
        <f>'(FnCalls 1)'!F49</f>
        <v>MMM 2010</v>
      </c>
      <c r="K604" s="10" t="str">
        <f>'(FnCalls 1)'!F50</f>
        <v>MMM 2010</v>
      </c>
      <c r="L604" s="10" t="str">
        <f>'(FnCalls 1)'!F51</f>
        <v>MMM 2010</v>
      </c>
      <c r="M604" s="10" t="str">
        <f>'(FnCalls 1)'!F52</f>
        <v>MMM 2010</v>
      </c>
      <c r="N604" s="10" t="str">
        <f>'(FnCalls 1)'!F53</f>
        <v>MMM 2011</v>
      </c>
      <c r="O604" s="10" t="str">
        <f>'(FnCalls 1)'!F54</f>
        <v>MMM 2011</v>
      </c>
      <c r="P604" s="10" t="str">
        <f>'(FnCalls 1)'!F55</f>
        <v>MMM 2011</v>
      </c>
      <c r="Q604" s="10" t="str">
        <f>'(FnCalls 1)'!F56</f>
        <v>MMM 2011</v>
      </c>
      <c r="R604" s="10" t="str">
        <f>'(FnCalls 1)'!F57</f>
        <v>MMM 2011</v>
      </c>
      <c r="S604" s="11" t="str">
        <f>'(FnCalls 1)'!F58</f>
        <v>MMM 2011</v>
      </c>
    </row>
    <row r="605" spans="1:19" ht="12.75" customHeight="1" x14ac:dyDescent="0.2">
      <c r="A605" s="182" t="str">
        <f>Labels!B389</f>
        <v>Lead Qual 1</v>
      </c>
      <c r="B605" s="370"/>
      <c r="C605" s="370"/>
      <c r="D605" s="370"/>
      <c r="E605" s="370"/>
      <c r="F605" s="370"/>
      <c r="G605" s="370"/>
      <c r="H605" s="370"/>
      <c r="I605" s="370"/>
      <c r="J605" s="370"/>
      <c r="K605" s="370"/>
      <c r="L605" s="370"/>
      <c r="M605" s="370"/>
      <c r="N605" s="370"/>
      <c r="O605" s="370"/>
      <c r="P605" s="370"/>
      <c r="Q605" s="370"/>
      <c r="R605" s="370"/>
      <c r="S605" s="371"/>
    </row>
    <row r="606" spans="1:19" ht="12.75" customHeight="1" x14ac:dyDescent="0.2">
      <c r="A606" s="188" t="str">
        <f>"   "&amp;Labels!B381</f>
        <v xml:space="preserve">   Practice 1</v>
      </c>
      <c r="B606" s="275"/>
      <c r="C606" s="275"/>
      <c r="D606" s="275"/>
      <c r="E606" s="275"/>
      <c r="F606" s="275"/>
      <c r="G606" s="275"/>
      <c r="H606" s="275"/>
      <c r="I606" s="275"/>
      <c r="J606" s="275"/>
      <c r="K606" s="275"/>
      <c r="L606" s="275"/>
      <c r="M606" s="275"/>
      <c r="N606" s="275"/>
      <c r="O606" s="275"/>
      <c r="P606" s="275"/>
      <c r="Q606" s="275"/>
      <c r="R606" s="275"/>
      <c r="S606" s="276"/>
    </row>
    <row r="607" spans="1:19" ht="12.75" customHeight="1" x14ac:dyDescent="0.2">
      <c r="A607" s="198" t="str">
        <f>"      "&amp;Labels!B385</f>
        <v xml:space="preserve">      Prof Level 1</v>
      </c>
      <c r="B607" s="303"/>
      <c r="C607" s="303"/>
      <c r="D607" s="303"/>
      <c r="E607" s="303"/>
      <c r="F607" s="303"/>
      <c r="G607" s="303"/>
      <c r="H607" s="303"/>
      <c r="I607" s="303"/>
      <c r="J607" s="303"/>
      <c r="K607" s="303"/>
      <c r="L607" s="303"/>
      <c r="M607" s="303"/>
      <c r="N607" s="303"/>
      <c r="O607" s="303"/>
      <c r="P607" s="303"/>
      <c r="Q607" s="303"/>
      <c r="R607" s="303"/>
      <c r="S607" s="383"/>
    </row>
    <row r="608" spans="1:19" ht="12.75" customHeight="1" x14ac:dyDescent="0.2">
      <c r="A608" s="198" t="str">
        <f>"         "&amp;Labels!B317</f>
        <v xml:space="preserve">         Channels 1</v>
      </c>
      <c r="B608" s="384">
        <f t="shared" ref="B608:S608" si="309">1-(1-B242)^(1/12)</f>
        <v>2.9285530376777613E-2</v>
      </c>
      <c r="C608" s="384">
        <f t="shared" si="309"/>
        <v>2.9285530376777613E-2</v>
      </c>
      <c r="D608" s="384">
        <f t="shared" si="309"/>
        <v>2.9285530376777613E-2</v>
      </c>
      <c r="E608" s="384">
        <f t="shared" si="309"/>
        <v>2.9285530376777613E-2</v>
      </c>
      <c r="F608" s="384">
        <f t="shared" si="309"/>
        <v>2.9285530376777613E-2</v>
      </c>
      <c r="G608" s="384">
        <f t="shared" si="309"/>
        <v>2.9285530376777613E-2</v>
      </c>
      <c r="H608" s="384">
        <f t="shared" si="309"/>
        <v>2.9285530376777613E-2</v>
      </c>
      <c r="I608" s="384">
        <f t="shared" si="309"/>
        <v>2.9285530376777613E-2</v>
      </c>
      <c r="J608" s="384">
        <f t="shared" si="309"/>
        <v>2.9285530376777613E-2</v>
      </c>
      <c r="K608" s="384">
        <f t="shared" si="309"/>
        <v>2.9285530376777613E-2</v>
      </c>
      <c r="L608" s="384">
        <f t="shared" si="309"/>
        <v>2.9285530376777613E-2</v>
      </c>
      <c r="M608" s="384">
        <f t="shared" si="309"/>
        <v>2.9285530376777613E-2</v>
      </c>
      <c r="N608" s="384">
        <f t="shared" si="309"/>
        <v>2.9285530376777613E-2</v>
      </c>
      <c r="O608" s="384">
        <f t="shared" si="309"/>
        <v>2.9285530376777613E-2</v>
      </c>
      <c r="P608" s="384">
        <f t="shared" si="309"/>
        <v>2.9285530376777613E-2</v>
      </c>
      <c r="Q608" s="384">
        <f t="shared" si="309"/>
        <v>2.9285530376777613E-2</v>
      </c>
      <c r="R608" s="384">
        <f t="shared" si="309"/>
        <v>2.9285530376777613E-2</v>
      </c>
      <c r="S608" s="385">
        <f t="shared" si="309"/>
        <v>2.9285530376777613E-2</v>
      </c>
    </row>
    <row r="609" spans="1:19" ht="12.75" customHeight="1" x14ac:dyDescent="0.2">
      <c r="A609" s="198" t="str">
        <f>"         "&amp;Labels!B318</f>
        <v xml:space="preserve">         Channels 2</v>
      </c>
      <c r="B609" s="384">
        <f t="shared" ref="B609:S609" si="310">1-(1-B243)^(1/12)</f>
        <v>2.9285530376777613E-2</v>
      </c>
      <c r="C609" s="384">
        <f t="shared" si="310"/>
        <v>2.9285530376777613E-2</v>
      </c>
      <c r="D609" s="384">
        <f t="shared" si="310"/>
        <v>2.9285530376777613E-2</v>
      </c>
      <c r="E609" s="384">
        <f t="shared" si="310"/>
        <v>2.9285530376777613E-2</v>
      </c>
      <c r="F609" s="384">
        <f t="shared" si="310"/>
        <v>2.9285530376777613E-2</v>
      </c>
      <c r="G609" s="384">
        <f t="shared" si="310"/>
        <v>2.9285530376777613E-2</v>
      </c>
      <c r="H609" s="384">
        <f t="shared" si="310"/>
        <v>2.9285530376777613E-2</v>
      </c>
      <c r="I609" s="384">
        <f t="shared" si="310"/>
        <v>2.9285530376777613E-2</v>
      </c>
      <c r="J609" s="384">
        <f t="shared" si="310"/>
        <v>2.9285530376777613E-2</v>
      </c>
      <c r="K609" s="384">
        <f t="shared" si="310"/>
        <v>2.9285530376777613E-2</v>
      </c>
      <c r="L609" s="384">
        <f t="shared" si="310"/>
        <v>2.9285530376777613E-2</v>
      </c>
      <c r="M609" s="384">
        <f t="shared" si="310"/>
        <v>2.9285530376777613E-2</v>
      </c>
      <c r="N609" s="384">
        <f t="shared" si="310"/>
        <v>2.9285530376777613E-2</v>
      </c>
      <c r="O609" s="384">
        <f t="shared" si="310"/>
        <v>2.9285530376777613E-2</v>
      </c>
      <c r="P609" s="384">
        <f t="shared" si="310"/>
        <v>2.9285530376777613E-2</v>
      </c>
      <c r="Q609" s="384">
        <f t="shared" si="310"/>
        <v>2.9285530376777613E-2</v>
      </c>
      <c r="R609" s="384">
        <f t="shared" si="310"/>
        <v>2.9285530376777613E-2</v>
      </c>
      <c r="S609" s="385">
        <f t="shared" si="310"/>
        <v>2.9285530376777613E-2</v>
      </c>
    </row>
    <row r="610" spans="1:19" ht="12.75" customHeight="1" x14ac:dyDescent="0.2">
      <c r="A610" s="198" t="str">
        <f>"         "&amp;Labels!C316</f>
        <v xml:space="preserve">         Total</v>
      </c>
      <c r="B610" s="303">
        <f t="shared" ref="B610:S610" si="311">AVERAGE(B608:B609)</f>
        <v>2.9285530376777613E-2</v>
      </c>
      <c r="C610" s="303">
        <f t="shared" si="311"/>
        <v>2.9285530376777613E-2</v>
      </c>
      <c r="D610" s="303">
        <f t="shared" si="311"/>
        <v>2.9285530376777613E-2</v>
      </c>
      <c r="E610" s="303">
        <f t="shared" si="311"/>
        <v>2.9285530376777613E-2</v>
      </c>
      <c r="F610" s="303">
        <f t="shared" si="311"/>
        <v>2.9285530376777613E-2</v>
      </c>
      <c r="G610" s="303">
        <f t="shared" si="311"/>
        <v>2.9285530376777613E-2</v>
      </c>
      <c r="H610" s="303">
        <f t="shared" si="311"/>
        <v>2.9285530376777613E-2</v>
      </c>
      <c r="I610" s="303">
        <f t="shared" si="311"/>
        <v>2.9285530376777613E-2</v>
      </c>
      <c r="J610" s="303">
        <f t="shared" si="311"/>
        <v>2.9285530376777613E-2</v>
      </c>
      <c r="K610" s="303">
        <f t="shared" si="311"/>
        <v>2.9285530376777613E-2</v>
      </c>
      <c r="L610" s="303">
        <f t="shared" si="311"/>
        <v>2.9285530376777613E-2</v>
      </c>
      <c r="M610" s="303">
        <f t="shared" si="311"/>
        <v>2.9285530376777613E-2</v>
      </c>
      <c r="N610" s="303">
        <f t="shared" si="311"/>
        <v>2.9285530376777613E-2</v>
      </c>
      <c r="O610" s="303">
        <f t="shared" si="311"/>
        <v>2.9285530376777613E-2</v>
      </c>
      <c r="P610" s="303">
        <f t="shared" si="311"/>
        <v>2.9285530376777613E-2</v>
      </c>
      <c r="Q610" s="303">
        <f t="shared" si="311"/>
        <v>2.9285530376777613E-2</v>
      </c>
      <c r="R610" s="303">
        <f t="shared" si="311"/>
        <v>2.9285530376777613E-2</v>
      </c>
      <c r="S610" s="383">
        <f t="shared" si="311"/>
        <v>2.9285530376777613E-2</v>
      </c>
    </row>
    <row r="611" spans="1:19" ht="12.75" customHeight="1" x14ac:dyDescent="0.2">
      <c r="A611" s="198" t="str">
        <f>"      "&amp;Labels!B386</f>
        <v xml:space="preserve">      Prof Level 2</v>
      </c>
      <c r="B611" s="303"/>
      <c r="C611" s="303"/>
      <c r="D611" s="303"/>
      <c r="E611" s="303"/>
      <c r="F611" s="303"/>
      <c r="G611" s="303"/>
      <c r="H611" s="303"/>
      <c r="I611" s="303"/>
      <c r="J611" s="303"/>
      <c r="K611" s="303"/>
      <c r="L611" s="303"/>
      <c r="M611" s="303"/>
      <c r="N611" s="303"/>
      <c r="O611" s="303"/>
      <c r="P611" s="303"/>
      <c r="Q611" s="303"/>
      <c r="R611" s="303"/>
      <c r="S611" s="383"/>
    </row>
    <row r="612" spans="1:19" ht="12.75" customHeight="1" x14ac:dyDescent="0.2">
      <c r="A612" s="198" t="str">
        <f>"         "&amp;Labels!B317</f>
        <v xml:space="preserve">         Channels 1</v>
      </c>
      <c r="B612" s="384">
        <f t="shared" ref="B612:S612" si="312">1-(1-B246)^(1/12)</f>
        <v>2.9285530376777613E-2</v>
      </c>
      <c r="C612" s="384">
        <f t="shared" si="312"/>
        <v>2.9285530376777613E-2</v>
      </c>
      <c r="D612" s="384">
        <f t="shared" si="312"/>
        <v>2.9285530376777613E-2</v>
      </c>
      <c r="E612" s="384">
        <f t="shared" si="312"/>
        <v>2.9285530376777613E-2</v>
      </c>
      <c r="F612" s="384">
        <f t="shared" si="312"/>
        <v>2.9285530376777613E-2</v>
      </c>
      <c r="G612" s="384">
        <f t="shared" si="312"/>
        <v>2.9285530376777613E-2</v>
      </c>
      <c r="H612" s="384">
        <f t="shared" si="312"/>
        <v>2.9285530376777613E-2</v>
      </c>
      <c r="I612" s="384">
        <f t="shared" si="312"/>
        <v>2.9285530376777613E-2</v>
      </c>
      <c r="J612" s="384">
        <f t="shared" si="312"/>
        <v>2.9285530376777613E-2</v>
      </c>
      <c r="K612" s="384">
        <f t="shared" si="312"/>
        <v>2.9285530376777613E-2</v>
      </c>
      <c r="L612" s="384">
        <f t="shared" si="312"/>
        <v>2.9285530376777613E-2</v>
      </c>
      <c r="M612" s="384">
        <f t="shared" si="312"/>
        <v>2.9285530376777613E-2</v>
      </c>
      <c r="N612" s="384">
        <f t="shared" si="312"/>
        <v>2.9285530376777613E-2</v>
      </c>
      <c r="O612" s="384">
        <f t="shared" si="312"/>
        <v>2.9285530376777613E-2</v>
      </c>
      <c r="P612" s="384">
        <f t="shared" si="312"/>
        <v>2.9285530376777613E-2</v>
      </c>
      <c r="Q612" s="384">
        <f t="shared" si="312"/>
        <v>2.9285530376777613E-2</v>
      </c>
      <c r="R612" s="384">
        <f t="shared" si="312"/>
        <v>2.9285530376777613E-2</v>
      </c>
      <c r="S612" s="385">
        <f t="shared" si="312"/>
        <v>2.9285530376777613E-2</v>
      </c>
    </row>
    <row r="613" spans="1:19" ht="12.75" customHeight="1" x14ac:dyDescent="0.2">
      <c r="A613" s="198" t="str">
        <f>"         "&amp;Labels!B318</f>
        <v xml:space="preserve">         Channels 2</v>
      </c>
      <c r="B613" s="384">
        <f t="shared" ref="B613:S613" si="313">1-(1-B247)^(1/12)</f>
        <v>2.9285530376777613E-2</v>
      </c>
      <c r="C613" s="384">
        <f t="shared" si="313"/>
        <v>2.9285530376777613E-2</v>
      </c>
      <c r="D613" s="384">
        <f t="shared" si="313"/>
        <v>2.9285530376777613E-2</v>
      </c>
      <c r="E613" s="384">
        <f t="shared" si="313"/>
        <v>2.9285530376777613E-2</v>
      </c>
      <c r="F613" s="384">
        <f t="shared" si="313"/>
        <v>2.9285530376777613E-2</v>
      </c>
      <c r="G613" s="384">
        <f t="shared" si="313"/>
        <v>2.9285530376777613E-2</v>
      </c>
      <c r="H613" s="384">
        <f t="shared" si="313"/>
        <v>2.9285530376777613E-2</v>
      </c>
      <c r="I613" s="384">
        <f t="shared" si="313"/>
        <v>2.9285530376777613E-2</v>
      </c>
      <c r="J613" s="384">
        <f t="shared" si="313"/>
        <v>2.9285530376777613E-2</v>
      </c>
      <c r="K613" s="384">
        <f t="shared" si="313"/>
        <v>2.9285530376777613E-2</v>
      </c>
      <c r="L613" s="384">
        <f t="shared" si="313"/>
        <v>2.9285530376777613E-2</v>
      </c>
      <c r="M613" s="384">
        <f t="shared" si="313"/>
        <v>2.9285530376777613E-2</v>
      </c>
      <c r="N613" s="384">
        <f t="shared" si="313"/>
        <v>2.9285530376777613E-2</v>
      </c>
      <c r="O613" s="384">
        <f t="shared" si="313"/>
        <v>2.9285530376777613E-2</v>
      </c>
      <c r="P613" s="384">
        <f t="shared" si="313"/>
        <v>2.9285530376777613E-2</v>
      </c>
      <c r="Q613" s="384">
        <f t="shared" si="313"/>
        <v>2.9285530376777613E-2</v>
      </c>
      <c r="R613" s="384">
        <f t="shared" si="313"/>
        <v>2.9285530376777613E-2</v>
      </c>
      <c r="S613" s="385">
        <f t="shared" si="313"/>
        <v>2.9285530376777613E-2</v>
      </c>
    </row>
    <row r="614" spans="1:19" ht="12.75" customHeight="1" x14ac:dyDescent="0.2">
      <c r="A614" s="198" t="str">
        <f>"         "&amp;Labels!C316</f>
        <v xml:space="preserve">         Total</v>
      </c>
      <c r="B614" s="303">
        <f t="shared" ref="B614:S614" si="314">AVERAGE(B612:B613)</f>
        <v>2.9285530376777613E-2</v>
      </c>
      <c r="C614" s="303">
        <f t="shared" si="314"/>
        <v>2.9285530376777613E-2</v>
      </c>
      <c r="D614" s="303">
        <f t="shared" si="314"/>
        <v>2.9285530376777613E-2</v>
      </c>
      <c r="E614" s="303">
        <f t="shared" si="314"/>
        <v>2.9285530376777613E-2</v>
      </c>
      <c r="F614" s="303">
        <f t="shared" si="314"/>
        <v>2.9285530376777613E-2</v>
      </c>
      <c r="G614" s="303">
        <f t="shared" si="314"/>
        <v>2.9285530376777613E-2</v>
      </c>
      <c r="H614" s="303">
        <f t="shared" si="314"/>
        <v>2.9285530376777613E-2</v>
      </c>
      <c r="I614" s="303">
        <f t="shared" si="314"/>
        <v>2.9285530376777613E-2</v>
      </c>
      <c r="J614" s="303">
        <f t="shared" si="314"/>
        <v>2.9285530376777613E-2</v>
      </c>
      <c r="K614" s="303">
        <f t="shared" si="314"/>
        <v>2.9285530376777613E-2</v>
      </c>
      <c r="L614" s="303">
        <f t="shared" si="314"/>
        <v>2.9285530376777613E-2</v>
      </c>
      <c r="M614" s="303">
        <f t="shared" si="314"/>
        <v>2.9285530376777613E-2</v>
      </c>
      <c r="N614" s="303">
        <f t="shared" si="314"/>
        <v>2.9285530376777613E-2</v>
      </c>
      <c r="O614" s="303">
        <f t="shared" si="314"/>
        <v>2.9285530376777613E-2</v>
      </c>
      <c r="P614" s="303">
        <f t="shared" si="314"/>
        <v>2.9285530376777613E-2</v>
      </c>
      <c r="Q614" s="303">
        <f t="shared" si="314"/>
        <v>2.9285530376777613E-2</v>
      </c>
      <c r="R614" s="303">
        <f t="shared" si="314"/>
        <v>2.9285530376777613E-2</v>
      </c>
      <c r="S614" s="383">
        <f t="shared" si="314"/>
        <v>2.9285530376777613E-2</v>
      </c>
    </row>
    <row r="615" spans="1:19" ht="12.75" customHeight="1" x14ac:dyDescent="0.2">
      <c r="A615" s="188" t="str">
        <f>"      "&amp;Labels!C384</f>
        <v xml:space="preserve">      Total</v>
      </c>
      <c r="B615" s="275">
        <f t="shared" ref="B615:S615" si="315">AVERAGE(B610,B614)</f>
        <v>2.9285530376777613E-2</v>
      </c>
      <c r="C615" s="275">
        <f t="shared" si="315"/>
        <v>2.9285530376777613E-2</v>
      </c>
      <c r="D615" s="275">
        <f t="shared" si="315"/>
        <v>2.9285530376777613E-2</v>
      </c>
      <c r="E615" s="275">
        <f t="shared" si="315"/>
        <v>2.9285530376777613E-2</v>
      </c>
      <c r="F615" s="275">
        <f t="shared" si="315"/>
        <v>2.9285530376777613E-2</v>
      </c>
      <c r="G615" s="275">
        <f t="shared" si="315"/>
        <v>2.9285530376777613E-2</v>
      </c>
      <c r="H615" s="275">
        <f t="shared" si="315"/>
        <v>2.9285530376777613E-2</v>
      </c>
      <c r="I615" s="275">
        <f t="shared" si="315"/>
        <v>2.9285530376777613E-2</v>
      </c>
      <c r="J615" s="275">
        <f t="shared" si="315"/>
        <v>2.9285530376777613E-2</v>
      </c>
      <c r="K615" s="275">
        <f t="shared" si="315"/>
        <v>2.9285530376777613E-2</v>
      </c>
      <c r="L615" s="275">
        <f t="shared" si="315"/>
        <v>2.9285530376777613E-2</v>
      </c>
      <c r="M615" s="275">
        <f t="shared" si="315"/>
        <v>2.9285530376777613E-2</v>
      </c>
      <c r="N615" s="275">
        <f t="shared" si="315"/>
        <v>2.9285530376777613E-2</v>
      </c>
      <c r="O615" s="275">
        <f t="shared" si="315"/>
        <v>2.9285530376777613E-2</v>
      </c>
      <c r="P615" s="275">
        <f t="shared" si="315"/>
        <v>2.9285530376777613E-2</v>
      </c>
      <c r="Q615" s="275">
        <f t="shared" si="315"/>
        <v>2.9285530376777613E-2</v>
      </c>
      <c r="R615" s="275">
        <f t="shared" si="315"/>
        <v>2.9285530376777613E-2</v>
      </c>
      <c r="S615" s="276">
        <f t="shared" si="315"/>
        <v>2.9285530376777613E-2</v>
      </c>
    </row>
    <row r="616" spans="1:19" ht="12.75" customHeight="1" x14ac:dyDescent="0.2">
      <c r="A616" s="198" t="str">
        <f>"         "&amp;Labels!B317</f>
        <v xml:space="preserve">         Channels 1</v>
      </c>
      <c r="B616" s="384">
        <f t="shared" ref="B616:S616" si="316">AVERAGE(B608,B612)</f>
        <v>2.9285530376777613E-2</v>
      </c>
      <c r="C616" s="384">
        <f t="shared" si="316"/>
        <v>2.9285530376777613E-2</v>
      </c>
      <c r="D616" s="384">
        <f t="shared" si="316"/>
        <v>2.9285530376777613E-2</v>
      </c>
      <c r="E616" s="384">
        <f t="shared" si="316"/>
        <v>2.9285530376777613E-2</v>
      </c>
      <c r="F616" s="384">
        <f t="shared" si="316"/>
        <v>2.9285530376777613E-2</v>
      </c>
      <c r="G616" s="384">
        <f t="shared" si="316"/>
        <v>2.9285530376777613E-2</v>
      </c>
      <c r="H616" s="384">
        <f t="shared" si="316"/>
        <v>2.9285530376777613E-2</v>
      </c>
      <c r="I616" s="384">
        <f t="shared" si="316"/>
        <v>2.9285530376777613E-2</v>
      </c>
      <c r="J616" s="384">
        <f t="shared" si="316"/>
        <v>2.9285530376777613E-2</v>
      </c>
      <c r="K616" s="384">
        <f t="shared" si="316"/>
        <v>2.9285530376777613E-2</v>
      </c>
      <c r="L616" s="384">
        <f t="shared" si="316"/>
        <v>2.9285530376777613E-2</v>
      </c>
      <c r="M616" s="384">
        <f t="shared" si="316"/>
        <v>2.9285530376777613E-2</v>
      </c>
      <c r="N616" s="384">
        <f t="shared" si="316"/>
        <v>2.9285530376777613E-2</v>
      </c>
      <c r="O616" s="384">
        <f t="shared" si="316"/>
        <v>2.9285530376777613E-2</v>
      </c>
      <c r="P616" s="384">
        <f t="shared" si="316"/>
        <v>2.9285530376777613E-2</v>
      </c>
      <c r="Q616" s="384">
        <f t="shared" si="316"/>
        <v>2.9285530376777613E-2</v>
      </c>
      <c r="R616" s="384">
        <f t="shared" si="316"/>
        <v>2.9285530376777613E-2</v>
      </c>
      <c r="S616" s="385">
        <f t="shared" si="316"/>
        <v>2.9285530376777613E-2</v>
      </c>
    </row>
    <row r="617" spans="1:19" ht="12.75" customHeight="1" x14ac:dyDescent="0.2">
      <c r="A617" s="198" t="str">
        <f>"         "&amp;Labels!B318</f>
        <v xml:space="preserve">         Channels 2</v>
      </c>
      <c r="B617" s="384">
        <f t="shared" ref="B617:S617" si="317">AVERAGE(B609,B613)</f>
        <v>2.9285530376777613E-2</v>
      </c>
      <c r="C617" s="384">
        <f t="shared" si="317"/>
        <v>2.9285530376777613E-2</v>
      </c>
      <c r="D617" s="384">
        <f t="shared" si="317"/>
        <v>2.9285530376777613E-2</v>
      </c>
      <c r="E617" s="384">
        <f t="shared" si="317"/>
        <v>2.9285530376777613E-2</v>
      </c>
      <c r="F617" s="384">
        <f t="shared" si="317"/>
        <v>2.9285530376777613E-2</v>
      </c>
      <c r="G617" s="384">
        <f t="shared" si="317"/>
        <v>2.9285530376777613E-2</v>
      </c>
      <c r="H617" s="384">
        <f t="shared" si="317"/>
        <v>2.9285530376777613E-2</v>
      </c>
      <c r="I617" s="384">
        <f t="shared" si="317"/>
        <v>2.9285530376777613E-2</v>
      </c>
      <c r="J617" s="384">
        <f t="shared" si="317"/>
        <v>2.9285530376777613E-2</v>
      </c>
      <c r="K617" s="384">
        <f t="shared" si="317"/>
        <v>2.9285530376777613E-2</v>
      </c>
      <c r="L617" s="384">
        <f t="shared" si="317"/>
        <v>2.9285530376777613E-2</v>
      </c>
      <c r="M617" s="384">
        <f t="shared" si="317"/>
        <v>2.9285530376777613E-2</v>
      </c>
      <c r="N617" s="384">
        <f t="shared" si="317"/>
        <v>2.9285530376777613E-2</v>
      </c>
      <c r="O617" s="384">
        <f t="shared" si="317"/>
        <v>2.9285530376777613E-2</v>
      </c>
      <c r="P617" s="384">
        <f t="shared" si="317"/>
        <v>2.9285530376777613E-2</v>
      </c>
      <c r="Q617" s="384">
        <f t="shared" si="317"/>
        <v>2.9285530376777613E-2</v>
      </c>
      <c r="R617" s="384">
        <f t="shared" si="317"/>
        <v>2.9285530376777613E-2</v>
      </c>
      <c r="S617" s="385">
        <f t="shared" si="317"/>
        <v>2.9285530376777613E-2</v>
      </c>
    </row>
    <row r="618" spans="1:19" ht="12.75" customHeight="1" x14ac:dyDescent="0.2">
      <c r="A618" s="198" t="str">
        <f>"         "&amp;Labels!C316</f>
        <v xml:space="preserve">         Total</v>
      </c>
      <c r="B618" s="303">
        <f t="shared" ref="B618:S618" si="318">AVERAGE(B610,B614)</f>
        <v>2.9285530376777613E-2</v>
      </c>
      <c r="C618" s="303">
        <f t="shared" si="318"/>
        <v>2.9285530376777613E-2</v>
      </c>
      <c r="D618" s="303">
        <f t="shared" si="318"/>
        <v>2.9285530376777613E-2</v>
      </c>
      <c r="E618" s="303">
        <f t="shared" si="318"/>
        <v>2.9285530376777613E-2</v>
      </c>
      <c r="F618" s="303">
        <f t="shared" si="318"/>
        <v>2.9285530376777613E-2</v>
      </c>
      <c r="G618" s="303">
        <f t="shared" si="318"/>
        <v>2.9285530376777613E-2</v>
      </c>
      <c r="H618" s="303">
        <f t="shared" si="318"/>
        <v>2.9285530376777613E-2</v>
      </c>
      <c r="I618" s="303">
        <f t="shared" si="318"/>
        <v>2.9285530376777613E-2</v>
      </c>
      <c r="J618" s="303">
        <f t="shared" si="318"/>
        <v>2.9285530376777613E-2</v>
      </c>
      <c r="K618" s="303">
        <f t="shared" si="318"/>
        <v>2.9285530376777613E-2</v>
      </c>
      <c r="L618" s="303">
        <f t="shared" si="318"/>
        <v>2.9285530376777613E-2</v>
      </c>
      <c r="M618" s="303">
        <f t="shared" si="318"/>
        <v>2.9285530376777613E-2</v>
      </c>
      <c r="N618" s="303">
        <f t="shared" si="318"/>
        <v>2.9285530376777613E-2</v>
      </c>
      <c r="O618" s="303">
        <f t="shared" si="318"/>
        <v>2.9285530376777613E-2</v>
      </c>
      <c r="P618" s="303">
        <f t="shared" si="318"/>
        <v>2.9285530376777613E-2</v>
      </c>
      <c r="Q618" s="303">
        <f t="shared" si="318"/>
        <v>2.9285530376777613E-2</v>
      </c>
      <c r="R618" s="303">
        <f t="shared" si="318"/>
        <v>2.9285530376777613E-2</v>
      </c>
      <c r="S618" s="383">
        <f t="shared" si="318"/>
        <v>2.9285530376777613E-2</v>
      </c>
    </row>
    <row r="619" spans="1:19" ht="12.75" customHeight="1" x14ac:dyDescent="0.2">
      <c r="A619" s="188" t="str">
        <f>"   "&amp;Labels!B382</f>
        <v xml:space="preserve">   Practice 2</v>
      </c>
      <c r="B619" s="275"/>
      <c r="C619" s="275"/>
      <c r="D619" s="275"/>
      <c r="E619" s="275"/>
      <c r="F619" s="275"/>
      <c r="G619" s="275"/>
      <c r="H619" s="275"/>
      <c r="I619" s="275"/>
      <c r="J619" s="275"/>
      <c r="K619" s="275"/>
      <c r="L619" s="275"/>
      <c r="M619" s="275"/>
      <c r="N619" s="275"/>
      <c r="O619" s="275"/>
      <c r="P619" s="275"/>
      <c r="Q619" s="275"/>
      <c r="R619" s="275"/>
      <c r="S619" s="276"/>
    </row>
    <row r="620" spans="1:19" ht="12.75" customHeight="1" x14ac:dyDescent="0.2">
      <c r="A620" s="198" t="str">
        <f>"      "&amp;Labels!B385</f>
        <v xml:space="preserve">      Prof Level 1</v>
      </c>
      <c r="B620" s="303"/>
      <c r="C620" s="303"/>
      <c r="D620" s="303"/>
      <c r="E620" s="303"/>
      <c r="F620" s="303"/>
      <c r="G620" s="303"/>
      <c r="H620" s="303"/>
      <c r="I620" s="303"/>
      <c r="J620" s="303"/>
      <c r="K620" s="303"/>
      <c r="L620" s="303"/>
      <c r="M620" s="303"/>
      <c r="N620" s="303"/>
      <c r="O620" s="303"/>
      <c r="P620" s="303"/>
      <c r="Q620" s="303"/>
      <c r="R620" s="303"/>
      <c r="S620" s="383"/>
    </row>
    <row r="621" spans="1:19" ht="12.75" customHeight="1" x14ac:dyDescent="0.2">
      <c r="A621" s="198" t="str">
        <f>"         "&amp;Labels!B317</f>
        <v xml:space="preserve">         Channels 1</v>
      </c>
      <c r="B621" s="384">
        <f t="shared" ref="B621:S621" si="319">1-(1-B255)^(1/12)</f>
        <v>2.9285530376777613E-2</v>
      </c>
      <c r="C621" s="384">
        <f t="shared" si="319"/>
        <v>2.9285530376777613E-2</v>
      </c>
      <c r="D621" s="384">
        <f t="shared" si="319"/>
        <v>2.9285530376777613E-2</v>
      </c>
      <c r="E621" s="384">
        <f t="shared" si="319"/>
        <v>2.9285530376777613E-2</v>
      </c>
      <c r="F621" s="384">
        <f t="shared" si="319"/>
        <v>2.9285530376777613E-2</v>
      </c>
      <c r="G621" s="384">
        <f t="shared" si="319"/>
        <v>2.9285530376777613E-2</v>
      </c>
      <c r="H621" s="384">
        <f t="shared" si="319"/>
        <v>2.9285530376777613E-2</v>
      </c>
      <c r="I621" s="384">
        <f t="shared" si="319"/>
        <v>2.9285530376777613E-2</v>
      </c>
      <c r="J621" s="384">
        <f t="shared" si="319"/>
        <v>2.9285530376777613E-2</v>
      </c>
      <c r="K621" s="384">
        <f t="shared" si="319"/>
        <v>2.9285530376777613E-2</v>
      </c>
      <c r="L621" s="384">
        <f t="shared" si="319"/>
        <v>2.9285530376777613E-2</v>
      </c>
      <c r="M621" s="384">
        <f t="shared" si="319"/>
        <v>2.9285530376777613E-2</v>
      </c>
      <c r="N621" s="384">
        <f t="shared" si="319"/>
        <v>2.9285530376777613E-2</v>
      </c>
      <c r="O621" s="384">
        <f t="shared" si="319"/>
        <v>2.9285530376777613E-2</v>
      </c>
      <c r="P621" s="384">
        <f t="shared" si="319"/>
        <v>2.9285530376777613E-2</v>
      </c>
      <c r="Q621" s="384">
        <f t="shared" si="319"/>
        <v>2.9285530376777613E-2</v>
      </c>
      <c r="R621" s="384">
        <f t="shared" si="319"/>
        <v>2.9285530376777613E-2</v>
      </c>
      <c r="S621" s="385">
        <f t="shared" si="319"/>
        <v>2.9285530376777613E-2</v>
      </c>
    </row>
    <row r="622" spans="1:19" ht="12.75" customHeight="1" x14ac:dyDescent="0.2">
      <c r="A622" s="198" t="str">
        <f>"         "&amp;Labels!B318</f>
        <v xml:space="preserve">         Channels 2</v>
      </c>
      <c r="B622" s="384">
        <f t="shared" ref="B622:S622" si="320">1-(1-B256)^(1/12)</f>
        <v>2.9285530376777613E-2</v>
      </c>
      <c r="C622" s="384">
        <f t="shared" si="320"/>
        <v>2.9285530376777613E-2</v>
      </c>
      <c r="D622" s="384">
        <f t="shared" si="320"/>
        <v>2.9285530376777613E-2</v>
      </c>
      <c r="E622" s="384">
        <f t="shared" si="320"/>
        <v>2.9285530376777613E-2</v>
      </c>
      <c r="F622" s="384">
        <f t="shared" si="320"/>
        <v>2.9285530376777613E-2</v>
      </c>
      <c r="G622" s="384">
        <f t="shared" si="320"/>
        <v>2.9285530376777613E-2</v>
      </c>
      <c r="H622" s="384">
        <f t="shared" si="320"/>
        <v>2.9285530376777613E-2</v>
      </c>
      <c r="I622" s="384">
        <f t="shared" si="320"/>
        <v>2.9285530376777613E-2</v>
      </c>
      <c r="J622" s="384">
        <f t="shared" si="320"/>
        <v>2.9285530376777613E-2</v>
      </c>
      <c r="K622" s="384">
        <f t="shared" si="320"/>
        <v>2.9285530376777613E-2</v>
      </c>
      <c r="L622" s="384">
        <f t="shared" si="320"/>
        <v>2.9285530376777613E-2</v>
      </c>
      <c r="M622" s="384">
        <f t="shared" si="320"/>
        <v>2.9285530376777613E-2</v>
      </c>
      <c r="N622" s="384">
        <f t="shared" si="320"/>
        <v>2.9285530376777613E-2</v>
      </c>
      <c r="O622" s="384">
        <f t="shared" si="320"/>
        <v>2.9285530376777613E-2</v>
      </c>
      <c r="P622" s="384">
        <f t="shared" si="320"/>
        <v>2.9285530376777613E-2</v>
      </c>
      <c r="Q622" s="384">
        <f t="shared" si="320"/>
        <v>2.9285530376777613E-2</v>
      </c>
      <c r="R622" s="384">
        <f t="shared" si="320"/>
        <v>2.9285530376777613E-2</v>
      </c>
      <c r="S622" s="385">
        <f t="shared" si="320"/>
        <v>2.9285530376777613E-2</v>
      </c>
    </row>
    <row r="623" spans="1:19" ht="12.75" customHeight="1" x14ac:dyDescent="0.2">
      <c r="A623" s="198" t="str">
        <f>"         "&amp;Labels!C316</f>
        <v xml:space="preserve">         Total</v>
      </c>
      <c r="B623" s="303">
        <f t="shared" ref="B623:S623" si="321">AVERAGE(B621:B622)</f>
        <v>2.9285530376777613E-2</v>
      </c>
      <c r="C623" s="303">
        <f t="shared" si="321"/>
        <v>2.9285530376777613E-2</v>
      </c>
      <c r="D623" s="303">
        <f t="shared" si="321"/>
        <v>2.9285530376777613E-2</v>
      </c>
      <c r="E623" s="303">
        <f t="shared" si="321"/>
        <v>2.9285530376777613E-2</v>
      </c>
      <c r="F623" s="303">
        <f t="shared" si="321"/>
        <v>2.9285530376777613E-2</v>
      </c>
      <c r="G623" s="303">
        <f t="shared" si="321"/>
        <v>2.9285530376777613E-2</v>
      </c>
      <c r="H623" s="303">
        <f t="shared" si="321"/>
        <v>2.9285530376777613E-2</v>
      </c>
      <c r="I623" s="303">
        <f t="shared" si="321"/>
        <v>2.9285530376777613E-2</v>
      </c>
      <c r="J623" s="303">
        <f t="shared" si="321"/>
        <v>2.9285530376777613E-2</v>
      </c>
      <c r="K623" s="303">
        <f t="shared" si="321"/>
        <v>2.9285530376777613E-2</v>
      </c>
      <c r="L623" s="303">
        <f t="shared" si="321"/>
        <v>2.9285530376777613E-2</v>
      </c>
      <c r="M623" s="303">
        <f t="shared" si="321"/>
        <v>2.9285530376777613E-2</v>
      </c>
      <c r="N623" s="303">
        <f t="shared" si="321"/>
        <v>2.9285530376777613E-2</v>
      </c>
      <c r="O623" s="303">
        <f t="shared" si="321"/>
        <v>2.9285530376777613E-2</v>
      </c>
      <c r="P623" s="303">
        <f t="shared" si="321"/>
        <v>2.9285530376777613E-2</v>
      </c>
      <c r="Q623" s="303">
        <f t="shared" si="321"/>
        <v>2.9285530376777613E-2</v>
      </c>
      <c r="R623" s="303">
        <f t="shared" si="321"/>
        <v>2.9285530376777613E-2</v>
      </c>
      <c r="S623" s="383">
        <f t="shared" si="321"/>
        <v>2.9285530376777613E-2</v>
      </c>
    </row>
    <row r="624" spans="1:19" ht="12.75" customHeight="1" x14ac:dyDescent="0.2">
      <c r="A624" s="198" t="str">
        <f>"      "&amp;Labels!B386</f>
        <v xml:space="preserve">      Prof Level 2</v>
      </c>
      <c r="B624" s="303"/>
      <c r="C624" s="303"/>
      <c r="D624" s="303"/>
      <c r="E624" s="303"/>
      <c r="F624" s="303"/>
      <c r="G624" s="303"/>
      <c r="H624" s="303"/>
      <c r="I624" s="303"/>
      <c r="J624" s="303"/>
      <c r="K624" s="303"/>
      <c r="L624" s="303"/>
      <c r="M624" s="303"/>
      <c r="N624" s="303"/>
      <c r="O624" s="303"/>
      <c r="P624" s="303"/>
      <c r="Q624" s="303"/>
      <c r="R624" s="303"/>
      <c r="S624" s="383"/>
    </row>
    <row r="625" spans="1:19" ht="12.75" customHeight="1" x14ac:dyDescent="0.2">
      <c r="A625" s="198" t="str">
        <f>"         "&amp;Labels!B317</f>
        <v xml:space="preserve">         Channels 1</v>
      </c>
      <c r="B625" s="384">
        <f t="shared" ref="B625:S625" si="322">1-(1-B259)^(1/12)</f>
        <v>2.9285530376777613E-2</v>
      </c>
      <c r="C625" s="384">
        <f t="shared" si="322"/>
        <v>2.9285530376777613E-2</v>
      </c>
      <c r="D625" s="384">
        <f t="shared" si="322"/>
        <v>2.9285530376777613E-2</v>
      </c>
      <c r="E625" s="384">
        <f t="shared" si="322"/>
        <v>2.9285530376777613E-2</v>
      </c>
      <c r="F625" s="384">
        <f t="shared" si="322"/>
        <v>2.9285530376777613E-2</v>
      </c>
      <c r="G625" s="384">
        <f t="shared" si="322"/>
        <v>2.9285530376777613E-2</v>
      </c>
      <c r="H625" s="384">
        <f t="shared" si="322"/>
        <v>2.9285530376777613E-2</v>
      </c>
      <c r="I625" s="384">
        <f t="shared" si="322"/>
        <v>2.9285530376777613E-2</v>
      </c>
      <c r="J625" s="384">
        <f t="shared" si="322"/>
        <v>2.9285530376777613E-2</v>
      </c>
      <c r="K625" s="384">
        <f t="shared" si="322"/>
        <v>2.9285530376777613E-2</v>
      </c>
      <c r="L625" s="384">
        <f t="shared" si="322"/>
        <v>2.9285530376777613E-2</v>
      </c>
      <c r="M625" s="384">
        <f t="shared" si="322"/>
        <v>2.9285530376777613E-2</v>
      </c>
      <c r="N625" s="384">
        <f t="shared" si="322"/>
        <v>2.9285530376777613E-2</v>
      </c>
      <c r="O625" s="384">
        <f t="shared" si="322"/>
        <v>2.9285530376777613E-2</v>
      </c>
      <c r="P625" s="384">
        <f t="shared" si="322"/>
        <v>2.9285530376777613E-2</v>
      </c>
      <c r="Q625" s="384">
        <f t="shared" si="322"/>
        <v>2.9285530376777613E-2</v>
      </c>
      <c r="R625" s="384">
        <f t="shared" si="322"/>
        <v>2.9285530376777613E-2</v>
      </c>
      <c r="S625" s="385">
        <f t="shared" si="322"/>
        <v>2.9285530376777613E-2</v>
      </c>
    </row>
    <row r="626" spans="1:19" ht="12.75" customHeight="1" x14ac:dyDescent="0.2">
      <c r="A626" s="198" t="str">
        <f>"         "&amp;Labels!B318</f>
        <v xml:space="preserve">         Channels 2</v>
      </c>
      <c r="B626" s="384">
        <f t="shared" ref="B626:S626" si="323">1-(1-B260)^(1/12)</f>
        <v>2.9285530376777613E-2</v>
      </c>
      <c r="C626" s="384">
        <f t="shared" si="323"/>
        <v>2.9285530376777613E-2</v>
      </c>
      <c r="D626" s="384">
        <f t="shared" si="323"/>
        <v>2.9285530376777613E-2</v>
      </c>
      <c r="E626" s="384">
        <f t="shared" si="323"/>
        <v>2.9285530376777613E-2</v>
      </c>
      <c r="F626" s="384">
        <f t="shared" si="323"/>
        <v>2.9285530376777613E-2</v>
      </c>
      <c r="G626" s="384">
        <f t="shared" si="323"/>
        <v>2.9285530376777613E-2</v>
      </c>
      <c r="H626" s="384">
        <f t="shared" si="323"/>
        <v>2.9285530376777613E-2</v>
      </c>
      <c r="I626" s="384">
        <f t="shared" si="323"/>
        <v>2.9285530376777613E-2</v>
      </c>
      <c r="J626" s="384">
        <f t="shared" si="323"/>
        <v>2.9285530376777613E-2</v>
      </c>
      <c r="K626" s="384">
        <f t="shared" si="323"/>
        <v>2.9285530376777613E-2</v>
      </c>
      <c r="L626" s="384">
        <f t="shared" si="323"/>
        <v>2.9285530376777613E-2</v>
      </c>
      <c r="M626" s="384">
        <f t="shared" si="323"/>
        <v>2.9285530376777613E-2</v>
      </c>
      <c r="N626" s="384">
        <f t="shared" si="323"/>
        <v>2.9285530376777613E-2</v>
      </c>
      <c r="O626" s="384">
        <f t="shared" si="323"/>
        <v>2.9285530376777613E-2</v>
      </c>
      <c r="P626" s="384">
        <f t="shared" si="323"/>
        <v>2.9285530376777613E-2</v>
      </c>
      <c r="Q626" s="384">
        <f t="shared" si="323"/>
        <v>2.9285530376777613E-2</v>
      </c>
      <c r="R626" s="384">
        <f t="shared" si="323"/>
        <v>2.9285530376777613E-2</v>
      </c>
      <c r="S626" s="385">
        <f t="shared" si="323"/>
        <v>2.9285530376777613E-2</v>
      </c>
    </row>
    <row r="627" spans="1:19" ht="12.75" customHeight="1" x14ac:dyDescent="0.2">
      <c r="A627" s="198" t="str">
        <f>"         "&amp;Labels!C316</f>
        <v xml:space="preserve">         Total</v>
      </c>
      <c r="B627" s="303">
        <f t="shared" ref="B627:S627" si="324">AVERAGE(B625:B626)</f>
        <v>2.9285530376777613E-2</v>
      </c>
      <c r="C627" s="303">
        <f t="shared" si="324"/>
        <v>2.9285530376777613E-2</v>
      </c>
      <c r="D627" s="303">
        <f t="shared" si="324"/>
        <v>2.9285530376777613E-2</v>
      </c>
      <c r="E627" s="303">
        <f t="shared" si="324"/>
        <v>2.9285530376777613E-2</v>
      </c>
      <c r="F627" s="303">
        <f t="shared" si="324"/>
        <v>2.9285530376777613E-2</v>
      </c>
      <c r="G627" s="303">
        <f t="shared" si="324"/>
        <v>2.9285530376777613E-2</v>
      </c>
      <c r="H627" s="303">
        <f t="shared" si="324"/>
        <v>2.9285530376777613E-2</v>
      </c>
      <c r="I627" s="303">
        <f t="shared" si="324"/>
        <v>2.9285530376777613E-2</v>
      </c>
      <c r="J627" s="303">
        <f t="shared" si="324"/>
        <v>2.9285530376777613E-2</v>
      </c>
      <c r="K627" s="303">
        <f t="shared" si="324"/>
        <v>2.9285530376777613E-2</v>
      </c>
      <c r="L627" s="303">
        <f t="shared" si="324"/>
        <v>2.9285530376777613E-2</v>
      </c>
      <c r="M627" s="303">
        <f t="shared" si="324"/>
        <v>2.9285530376777613E-2</v>
      </c>
      <c r="N627" s="303">
        <f t="shared" si="324"/>
        <v>2.9285530376777613E-2</v>
      </c>
      <c r="O627" s="303">
        <f t="shared" si="324"/>
        <v>2.9285530376777613E-2</v>
      </c>
      <c r="P627" s="303">
        <f t="shared" si="324"/>
        <v>2.9285530376777613E-2</v>
      </c>
      <c r="Q627" s="303">
        <f t="shared" si="324"/>
        <v>2.9285530376777613E-2</v>
      </c>
      <c r="R627" s="303">
        <f t="shared" si="324"/>
        <v>2.9285530376777613E-2</v>
      </c>
      <c r="S627" s="383">
        <f t="shared" si="324"/>
        <v>2.9285530376777613E-2</v>
      </c>
    </row>
    <row r="628" spans="1:19" ht="12.75" customHeight="1" x14ac:dyDescent="0.2">
      <c r="A628" s="188" t="str">
        <f>"      "&amp;Labels!C384</f>
        <v xml:space="preserve">      Total</v>
      </c>
      <c r="B628" s="275">
        <f t="shared" ref="B628:S628" si="325">AVERAGE(B623,B627)</f>
        <v>2.9285530376777613E-2</v>
      </c>
      <c r="C628" s="275">
        <f t="shared" si="325"/>
        <v>2.9285530376777613E-2</v>
      </c>
      <c r="D628" s="275">
        <f t="shared" si="325"/>
        <v>2.9285530376777613E-2</v>
      </c>
      <c r="E628" s="275">
        <f t="shared" si="325"/>
        <v>2.9285530376777613E-2</v>
      </c>
      <c r="F628" s="275">
        <f t="shared" si="325"/>
        <v>2.9285530376777613E-2</v>
      </c>
      <c r="G628" s="275">
        <f t="shared" si="325"/>
        <v>2.9285530376777613E-2</v>
      </c>
      <c r="H628" s="275">
        <f t="shared" si="325"/>
        <v>2.9285530376777613E-2</v>
      </c>
      <c r="I628" s="275">
        <f t="shared" si="325"/>
        <v>2.9285530376777613E-2</v>
      </c>
      <c r="J628" s="275">
        <f t="shared" si="325"/>
        <v>2.9285530376777613E-2</v>
      </c>
      <c r="K628" s="275">
        <f t="shared" si="325"/>
        <v>2.9285530376777613E-2</v>
      </c>
      <c r="L628" s="275">
        <f t="shared" si="325"/>
        <v>2.9285530376777613E-2</v>
      </c>
      <c r="M628" s="275">
        <f t="shared" si="325"/>
        <v>2.9285530376777613E-2</v>
      </c>
      <c r="N628" s="275">
        <f t="shared" si="325"/>
        <v>2.9285530376777613E-2</v>
      </c>
      <c r="O628" s="275">
        <f t="shared" si="325"/>
        <v>2.9285530376777613E-2</v>
      </c>
      <c r="P628" s="275">
        <f t="shared" si="325"/>
        <v>2.9285530376777613E-2</v>
      </c>
      <c r="Q628" s="275">
        <f t="shared" si="325"/>
        <v>2.9285530376777613E-2</v>
      </c>
      <c r="R628" s="275">
        <f t="shared" si="325"/>
        <v>2.9285530376777613E-2</v>
      </c>
      <c r="S628" s="276">
        <f t="shared" si="325"/>
        <v>2.9285530376777613E-2</v>
      </c>
    </row>
    <row r="629" spans="1:19" ht="12.75" customHeight="1" x14ac:dyDescent="0.2">
      <c r="A629" s="198" t="str">
        <f>"         "&amp;Labels!B317</f>
        <v xml:space="preserve">         Channels 1</v>
      </c>
      <c r="B629" s="384">
        <f t="shared" ref="B629:S629" si="326">AVERAGE(B621,B625)</f>
        <v>2.9285530376777613E-2</v>
      </c>
      <c r="C629" s="384">
        <f t="shared" si="326"/>
        <v>2.9285530376777613E-2</v>
      </c>
      <c r="D629" s="384">
        <f t="shared" si="326"/>
        <v>2.9285530376777613E-2</v>
      </c>
      <c r="E629" s="384">
        <f t="shared" si="326"/>
        <v>2.9285530376777613E-2</v>
      </c>
      <c r="F629" s="384">
        <f t="shared" si="326"/>
        <v>2.9285530376777613E-2</v>
      </c>
      <c r="G629" s="384">
        <f t="shared" si="326"/>
        <v>2.9285530376777613E-2</v>
      </c>
      <c r="H629" s="384">
        <f t="shared" si="326"/>
        <v>2.9285530376777613E-2</v>
      </c>
      <c r="I629" s="384">
        <f t="shared" si="326"/>
        <v>2.9285530376777613E-2</v>
      </c>
      <c r="J629" s="384">
        <f t="shared" si="326"/>
        <v>2.9285530376777613E-2</v>
      </c>
      <c r="K629" s="384">
        <f t="shared" si="326"/>
        <v>2.9285530376777613E-2</v>
      </c>
      <c r="L629" s="384">
        <f t="shared" si="326"/>
        <v>2.9285530376777613E-2</v>
      </c>
      <c r="M629" s="384">
        <f t="shared" si="326"/>
        <v>2.9285530376777613E-2</v>
      </c>
      <c r="N629" s="384">
        <f t="shared" si="326"/>
        <v>2.9285530376777613E-2</v>
      </c>
      <c r="O629" s="384">
        <f t="shared" si="326"/>
        <v>2.9285530376777613E-2</v>
      </c>
      <c r="P629" s="384">
        <f t="shared" si="326"/>
        <v>2.9285530376777613E-2</v>
      </c>
      <c r="Q629" s="384">
        <f t="shared" si="326"/>
        <v>2.9285530376777613E-2</v>
      </c>
      <c r="R629" s="384">
        <f t="shared" si="326"/>
        <v>2.9285530376777613E-2</v>
      </c>
      <c r="S629" s="385">
        <f t="shared" si="326"/>
        <v>2.9285530376777613E-2</v>
      </c>
    </row>
    <row r="630" spans="1:19" ht="12.75" customHeight="1" x14ac:dyDescent="0.2">
      <c r="A630" s="198" t="str">
        <f>"         "&amp;Labels!B318</f>
        <v xml:space="preserve">         Channels 2</v>
      </c>
      <c r="B630" s="384">
        <f t="shared" ref="B630:S630" si="327">AVERAGE(B622,B626)</f>
        <v>2.9285530376777613E-2</v>
      </c>
      <c r="C630" s="384">
        <f t="shared" si="327"/>
        <v>2.9285530376777613E-2</v>
      </c>
      <c r="D630" s="384">
        <f t="shared" si="327"/>
        <v>2.9285530376777613E-2</v>
      </c>
      <c r="E630" s="384">
        <f t="shared" si="327"/>
        <v>2.9285530376777613E-2</v>
      </c>
      <c r="F630" s="384">
        <f t="shared" si="327"/>
        <v>2.9285530376777613E-2</v>
      </c>
      <c r="G630" s="384">
        <f t="shared" si="327"/>
        <v>2.9285530376777613E-2</v>
      </c>
      <c r="H630" s="384">
        <f t="shared" si="327"/>
        <v>2.9285530376777613E-2</v>
      </c>
      <c r="I630" s="384">
        <f t="shared" si="327"/>
        <v>2.9285530376777613E-2</v>
      </c>
      <c r="J630" s="384">
        <f t="shared" si="327"/>
        <v>2.9285530376777613E-2</v>
      </c>
      <c r="K630" s="384">
        <f t="shared" si="327"/>
        <v>2.9285530376777613E-2</v>
      </c>
      <c r="L630" s="384">
        <f t="shared" si="327"/>
        <v>2.9285530376777613E-2</v>
      </c>
      <c r="M630" s="384">
        <f t="shared" si="327"/>
        <v>2.9285530376777613E-2</v>
      </c>
      <c r="N630" s="384">
        <f t="shared" si="327"/>
        <v>2.9285530376777613E-2</v>
      </c>
      <c r="O630" s="384">
        <f t="shared" si="327"/>
        <v>2.9285530376777613E-2</v>
      </c>
      <c r="P630" s="384">
        <f t="shared" si="327"/>
        <v>2.9285530376777613E-2</v>
      </c>
      <c r="Q630" s="384">
        <f t="shared" si="327"/>
        <v>2.9285530376777613E-2</v>
      </c>
      <c r="R630" s="384">
        <f t="shared" si="327"/>
        <v>2.9285530376777613E-2</v>
      </c>
      <c r="S630" s="385">
        <f t="shared" si="327"/>
        <v>2.9285530376777613E-2</v>
      </c>
    </row>
    <row r="631" spans="1:19" ht="12.75" customHeight="1" x14ac:dyDescent="0.2">
      <c r="A631" s="198" t="str">
        <f>"         "&amp;Labels!C316</f>
        <v xml:space="preserve">         Total</v>
      </c>
      <c r="B631" s="303">
        <f t="shared" ref="B631:S631" si="328">AVERAGE(B623,B627)</f>
        <v>2.9285530376777613E-2</v>
      </c>
      <c r="C631" s="303">
        <f t="shared" si="328"/>
        <v>2.9285530376777613E-2</v>
      </c>
      <c r="D631" s="303">
        <f t="shared" si="328"/>
        <v>2.9285530376777613E-2</v>
      </c>
      <c r="E631" s="303">
        <f t="shared" si="328"/>
        <v>2.9285530376777613E-2</v>
      </c>
      <c r="F631" s="303">
        <f t="shared" si="328"/>
        <v>2.9285530376777613E-2</v>
      </c>
      <c r="G631" s="303">
        <f t="shared" si="328"/>
        <v>2.9285530376777613E-2</v>
      </c>
      <c r="H631" s="303">
        <f t="shared" si="328"/>
        <v>2.9285530376777613E-2</v>
      </c>
      <c r="I631" s="303">
        <f t="shared" si="328"/>
        <v>2.9285530376777613E-2</v>
      </c>
      <c r="J631" s="303">
        <f t="shared" si="328"/>
        <v>2.9285530376777613E-2</v>
      </c>
      <c r="K631" s="303">
        <f t="shared" si="328"/>
        <v>2.9285530376777613E-2</v>
      </c>
      <c r="L631" s="303">
        <f t="shared" si="328"/>
        <v>2.9285530376777613E-2</v>
      </c>
      <c r="M631" s="303">
        <f t="shared" si="328"/>
        <v>2.9285530376777613E-2</v>
      </c>
      <c r="N631" s="303">
        <f t="shared" si="328"/>
        <v>2.9285530376777613E-2</v>
      </c>
      <c r="O631" s="303">
        <f t="shared" si="328"/>
        <v>2.9285530376777613E-2</v>
      </c>
      <c r="P631" s="303">
        <f t="shared" si="328"/>
        <v>2.9285530376777613E-2</v>
      </c>
      <c r="Q631" s="303">
        <f t="shared" si="328"/>
        <v>2.9285530376777613E-2</v>
      </c>
      <c r="R631" s="303">
        <f t="shared" si="328"/>
        <v>2.9285530376777613E-2</v>
      </c>
      <c r="S631" s="383">
        <f t="shared" si="328"/>
        <v>2.9285530376777613E-2</v>
      </c>
    </row>
    <row r="632" spans="1:19" ht="12.75" customHeight="1" x14ac:dyDescent="0.2">
      <c r="A632" s="191" t="str">
        <f>"   "&amp;Labels!C380</f>
        <v xml:space="preserve">   Total</v>
      </c>
      <c r="B632" s="300">
        <f t="shared" ref="B632:S632" si="329">AVERAGE(B615,B628)</f>
        <v>2.9285530376777613E-2</v>
      </c>
      <c r="C632" s="300">
        <f t="shared" si="329"/>
        <v>2.9285530376777613E-2</v>
      </c>
      <c r="D632" s="300">
        <f t="shared" si="329"/>
        <v>2.9285530376777613E-2</v>
      </c>
      <c r="E632" s="300">
        <f t="shared" si="329"/>
        <v>2.9285530376777613E-2</v>
      </c>
      <c r="F632" s="300">
        <f t="shared" si="329"/>
        <v>2.9285530376777613E-2</v>
      </c>
      <c r="G632" s="300">
        <f t="shared" si="329"/>
        <v>2.9285530376777613E-2</v>
      </c>
      <c r="H632" s="300">
        <f t="shared" si="329"/>
        <v>2.9285530376777613E-2</v>
      </c>
      <c r="I632" s="300">
        <f t="shared" si="329"/>
        <v>2.9285530376777613E-2</v>
      </c>
      <c r="J632" s="300">
        <f t="shared" si="329"/>
        <v>2.9285530376777613E-2</v>
      </c>
      <c r="K632" s="300">
        <f t="shared" si="329"/>
        <v>2.9285530376777613E-2</v>
      </c>
      <c r="L632" s="300">
        <f t="shared" si="329"/>
        <v>2.9285530376777613E-2</v>
      </c>
      <c r="M632" s="300">
        <f t="shared" si="329"/>
        <v>2.9285530376777613E-2</v>
      </c>
      <c r="N632" s="300">
        <f t="shared" si="329"/>
        <v>2.9285530376777613E-2</v>
      </c>
      <c r="O632" s="300">
        <f t="shared" si="329"/>
        <v>2.9285530376777613E-2</v>
      </c>
      <c r="P632" s="300">
        <f t="shared" si="329"/>
        <v>2.9285530376777613E-2</v>
      </c>
      <c r="Q632" s="300">
        <f t="shared" si="329"/>
        <v>2.9285530376777613E-2</v>
      </c>
      <c r="R632" s="300">
        <f t="shared" si="329"/>
        <v>2.9285530376777613E-2</v>
      </c>
      <c r="S632" s="386">
        <f t="shared" si="329"/>
        <v>2.9285530376777613E-2</v>
      </c>
    </row>
    <row r="633" spans="1:19" ht="12.75" customHeight="1" x14ac:dyDescent="0.2">
      <c r="A633" s="198" t="str">
        <f>"      "&amp;Labels!B385</f>
        <v xml:space="preserve">      Prof Level 1</v>
      </c>
      <c r="B633" s="303"/>
      <c r="C633" s="303"/>
      <c r="D633" s="303"/>
      <c r="E633" s="303"/>
      <c r="F633" s="303"/>
      <c r="G633" s="303"/>
      <c r="H633" s="303"/>
      <c r="I633" s="303"/>
      <c r="J633" s="303"/>
      <c r="K633" s="303"/>
      <c r="L633" s="303"/>
      <c r="M633" s="303"/>
      <c r="N633" s="303"/>
      <c r="O633" s="303"/>
      <c r="P633" s="303"/>
      <c r="Q633" s="303"/>
      <c r="R633" s="303"/>
      <c r="S633" s="383"/>
    </row>
    <row r="634" spans="1:19" ht="12.75" customHeight="1" x14ac:dyDescent="0.2">
      <c r="A634" s="198" t="str">
        <f>"         "&amp;Labels!B317</f>
        <v xml:space="preserve">         Channels 1</v>
      </c>
      <c r="B634" s="384">
        <f t="shared" ref="B634:S634" si="330">AVERAGE(B608,B621)</f>
        <v>2.9285530376777613E-2</v>
      </c>
      <c r="C634" s="384">
        <f t="shared" si="330"/>
        <v>2.9285530376777613E-2</v>
      </c>
      <c r="D634" s="384">
        <f t="shared" si="330"/>
        <v>2.9285530376777613E-2</v>
      </c>
      <c r="E634" s="384">
        <f t="shared" si="330"/>
        <v>2.9285530376777613E-2</v>
      </c>
      <c r="F634" s="384">
        <f t="shared" si="330"/>
        <v>2.9285530376777613E-2</v>
      </c>
      <c r="G634" s="384">
        <f t="shared" si="330"/>
        <v>2.9285530376777613E-2</v>
      </c>
      <c r="H634" s="384">
        <f t="shared" si="330"/>
        <v>2.9285530376777613E-2</v>
      </c>
      <c r="I634" s="384">
        <f t="shared" si="330"/>
        <v>2.9285530376777613E-2</v>
      </c>
      <c r="J634" s="384">
        <f t="shared" si="330"/>
        <v>2.9285530376777613E-2</v>
      </c>
      <c r="K634" s="384">
        <f t="shared" si="330"/>
        <v>2.9285530376777613E-2</v>
      </c>
      <c r="L634" s="384">
        <f t="shared" si="330"/>
        <v>2.9285530376777613E-2</v>
      </c>
      <c r="M634" s="384">
        <f t="shared" si="330"/>
        <v>2.9285530376777613E-2</v>
      </c>
      <c r="N634" s="384">
        <f t="shared" si="330"/>
        <v>2.9285530376777613E-2</v>
      </c>
      <c r="O634" s="384">
        <f t="shared" si="330"/>
        <v>2.9285530376777613E-2</v>
      </c>
      <c r="P634" s="384">
        <f t="shared" si="330"/>
        <v>2.9285530376777613E-2</v>
      </c>
      <c r="Q634" s="384">
        <f t="shared" si="330"/>
        <v>2.9285530376777613E-2</v>
      </c>
      <c r="R634" s="384">
        <f t="shared" si="330"/>
        <v>2.9285530376777613E-2</v>
      </c>
      <c r="S634" s="385">
        <f t="shared" si="330"/>
        <v>2.9285530376777613E-2</v>
      </c>
    </row>
    <row r="635" spans="1:19" ht="12.75" customHeight="1" x14ac:dyDescent="0.2">
      <c r="A635" s="198" t="str">
        <f>"         "&amp;Labels!B318</f>
        <v xml:space="preserve">         Channels 2</v>
      </c>
      <c r="B635" s="384">
        <f t="shared" ref="B635:S635" si="331">AVERAGE(B609,B622)</f>
        <v>2.9285530376777613E-2</v>
      </c>
      <c r="C635" s="384">
        <f t="shared" si="331"/>
        <v>2.9285530376777613E-2</v>
      </c>
      <c r="D635" s="384">
        <f t="shared" si="331"/>
        <v>2.9285530376777613E-2</v>
      </c>
      <c r="E635" s="384">
        <f t="shared" si="331"/>
        <v>2.9285530376777613E-2</v>
      </c>
      <c r="F635" s="384">
        <f t="shared" si="331"/>
        <v>2.9285530376777613E-2</v>
      </c>
      <c r="G635" s="384">
        <f t="shared" si="331"/>
        <v>2.9285530376777613E-2</v>
      </c>
      <c r="H635" s="384">
        <f t="shared" si="331"/>
        <v>2.9285530376777613E-2</v>
      </c>
      <c r="I635" s="384">
        <f t="shared" si="331"/>
        <v>2.9285530376777613E-2</v>
      </c>
      <c r="J635" s="384">
        <f t="shared" si="331"/>
        <v>2.9285530376777613E-2</v>
      </c>
      <c r="K635" s="384">
        <f t="shared" si="331"/>
        <v>2.9285530376777613E-2</v>
      </c>
      <c r="L635" s="384">
        <f t="shared" si="331"/>
        <v>2.9285530376777613E-2</v>
      </c>
      <c r="M635" s="384">
        <f t="shared" si="331"/>
        <v>2.9285530376777613E-2</v>
      </c>
      <c r="N635" s="384">
        <f t="shared" si="331"/>
        <v>2.9285530376777613E-2</v>
      </c>
      <c r="O635" s="384">
        <f t="shared" si="331"/>
        <v>2.9285530376777613E-2</v>
      </c>
      <c r="P635" s="384">
        <f t="shared" si="331"/>
        <v>2.9285530376777613E-2</v>
      </c>
      <c r="Q635" s="384">
        <f t="shared" si="331"/>
        <v>2.9285530376777613E-2</v>
      </c>
      <c r="R635" s="384">
        <f t="shared" si="331"/>
        <v>2.9285530376777613E-2</v>
      </c>
      <c r="S635" s="385">
        <f t="shared" si="331"/>
        <v>2.9285530376777613E-2</v>
      </c>
    </row>
    <row r="636" spans="1:19" ht="12.75" customHeight="1" x14ac:dyDescent="0.2">
      <c r="A636" s="198" t="str">
        <f>"         "&amp;Labels!C316</f>
        <v xml:space="preserve">         Total</v>
      </c>
      <c r="B636" s="303">
        <f t="shared" ref="B636:S636" si="332">AVERAGE(B610,B623)</f>
        <v>2.9285530376777613E-2</v>
      </c>
      <c r="C636" s="303">
        <f t="shared" si="332"/>
        <v>2.9285530376777613E-2</v>
      </c>
      <c r="D636" s="303">
        <f t="shared" si="332"/>
        <v>2.9285530376777613E-2</v>
      </c>
      <c r="E636" s="303">
        <f t="shared" si="332"/>
        <v>2.9285530376777613E-2</v>
      </c>
      <c r="F636" s="303">
        <f t="shared" si="332"/>
        <v>2.9285530376777613E-2</v>
      </c>
      <c r="G636" s="303">
        <f t="shared" si="332"/>
        <v>2.9285530376777613E-2</v>
      </c>
      <c r="H636" s="303">
        <f t="shared" si="332"/>
        <v>2.9285530376777613E-2</v>
      </c>
      <c r="I636" s="303">
        <f t="shared" si="332"/>
        <v>2.9285530376777613E-2</v>
      </c>
      <c r="J636" s="303">
        <f t="shared" si="332"/>
        <v>2.9285530376777613E-2</v>
      </c>
      <c r="K636" s="303">
        <f t="shared" si="332"/>
        <v>2.9285530376777613E-2</v>
      </c>
      <c r="L636" s="303">
        <f t="shared" si="332"/>
        <v>2.9285530376777613E-2</v>
      </c>
      <c r="M636" s="303">
        <f t="shared" si="332"/>
        <v>2.9285530376777613E-2</v>
      </c>
      <c r="N636" s="303">
        <f t="shared" si="332"/>
        <v>2.9285530376777613E-2</v>
      </c>
      <c r="O636" s="303">
        <f t="shared" si="332"/>
        <v>2.9285530376777613E-2</v>
      </c>
      <c r="P636" s="303">
        <f t="shared" si="332"/>
        <v>2.9285530376777613E-2</v>
      </c>
      <c r="Q636" s="303">
        <f t="shared" si="332"/>
        <v>2.9285530376777613E-2</v>
      </c>
      <c r="R636" s="303">
        <f t="shared" si="332"/>
        <v>2.9285530376777613E-2</v>
      </c>
      <c r="S636" s="383">
        <f t="shared" si="332"/>
        <v>2.9285530376777613E-2</v>
      </c>
    </row>
    <row r="637" spans="1:19" ht="12.75" customHeight="1" x14ac:dyDescent="0.2">
      <c r="A637" s="198" t="str">
        <f>"      "&amp;Labels!B386</f>
        <v xml:space="preserve">      Prof Level 2</v>
      </c>
      <c r="B637" s="303"/>
      <c r="C637" s="303"/>
      <c r="D637" s="303"/>
      <c r="E637" s="303"/>
      <c r="F637" s="303"/>
      <c r="G637" s="303"/>
      <c r="H637" s="303"/>
      <c r="I637" s="303"/>
      <c r="J637" s="303"/>
      <c r="K637" s="303"/>
      <c r="L637" s="303"/>
      <c r="M637" s="303"/>
      <c r="N637" s="303"/>
      <c r="O637" s="303"/>
      <c r="P637" s="303"/>
      <c r="Q637" s="303"/>
      <c r="R637" s="303"/>
      <c r="S637" s="383"/>
    </row>
    <row r="638" spans="1:19" ht="12.75" customHeight="1" x14ac:dyDescent="0.2">
      <c r="A638" s="198" t="str">
        <f>"         "&amp;Labels!B317</f>
        <v xml:space="preserve">         Channels 1</v>
      </c>
      <c r="B638" s="384">
        <f t="shared" ref="B638:S638" si="333">AVERAGE(B612,B625)</f>
        <v>2.9285530376777613E-2</v>
      </c>
      <c r="C638" s="384">
        <f t="shared" si="333"/>
        <v>2.9285530376777613E-2</v>
      </c>
      <c r="D638" s="384">
        <f t="shared" si="333"/>
        <v>2.9285530376777613E-2</v>
      </c>
      <c r="E638" s="384">
        <f t="shared" si="333"/>
        <v>2.9285530376777613E-2</v>
      </c>
      <c r="F638" s="384">
        <f t="shared" si="333"/>
        <v>2.9285530376777613E-2</v>
      </c>
      <c r="G638" s="384">
        <f t="shared" si="333"/>
        <v>2.9285530376777613E-2</v>
      </c>
      <c r="H638" s="384">
        <f t="shared" si="333"/>
        <v>2.9285530376777613E-2</v>
      </c>
      <c r="I638" s="384">
        <f t="shared" si="333"/>
        <v>2.9285530376777613E-2</v>
      </c>
      <c r="J638" s="384">
        <f t="shared" si="333"/>
        <v>2.9285530376777613E-2</v>
      </c>
      <c r="K638" s="384">
        <f t="shared" si="333"/>
        <v>2.9285530376777613E-2</v>
      </c>
      <c r="L638" s="384">
        <f t="shared" si="333"/>
        <v>2.9285530376777613E-2</v>
      </c>
      <c r="M638" s="384">
        <f t="shared" si="333"/>
        <v>2.9285530376777613E-2</v>
      </c>
      <c r="N638" s="384">
        <f t="shared" si="333"/>
        <v>2.9285530376777613E-2</v>
      </c>
      <c r="O638" s="384">
        <f t="shared" si="333"/>
        <v>2.9285530376777613E-2</v>
      </c>
      <c r="P638" s="384">
        <f t="shared" si="333"/>
        <v>2.9285530376777613E-2</v>
      </c>
      <c r="Q638" s="384">
        <f t="shared" si="333"/>
        <v>2.9285530376777613E-2</v>
      </c>
      <c r="R638" s="384">
        <f t="shared" si="333"/>
        <v>2.9285530376777613E-2</v>
      </c>
      <c r="S638" s="385">
        <f t="shared" si="333"/>
        <v>2.9285530376777613E-2</v>
      </c>
    </row>
    <row r="639" spans="1:19" ht="12.75" customHeight="1" x14ac:dyDescent="0.2">
      <c r="A639" s="198" t="str">
        <f>"         "&amp;Labels!B318</f>
        <v xml:space="preserve">         Channels 2</v>
      </c>
      <c r="B639" s="384">
        <f t="shared" ref="B639:S639" si="334">AVERAGE(B613,B626)</f>
        <v>2.9285530376777613E-2</v>
      </c>
      <c r="C639" s="384">
        <f t="shared" si="334"/>
        <v>2.9285530376777613E-2</v>
      </c>
      <c r="D639" s="384">
        <f t="shared" si="334"/>
        <v>2.9285530376777613E-2</v>
      </c>
      <c r="E639" s="384">
        <f t="shared" si="334"/>
        <v>2.9285530376777613E-2</v>
      </c>
      <c r="F639" s="384">
        <f t="shared" si="334"/>
        <v>2.9285530376777613E-2</v>
      </c>
      <c r="G639" s="384">
        <f t="shared" si="334"/>
        <v>2.9285530376777613E-2</v>
      </c>
      <c r="H639" s="384">
        <f t="shared" si="334"/>
        <v>2.9285530376777613E-2</v>
      </c>
      <c r="I639" s="384">
        <f t="shared" si="334"/>
        <v>2.9285530376777613E-2</v>
      </c>
      <c r="J639" s="384">
        <f t="shared" si="334"/>
        <v>2.9285530376777613E-2</v>
      </c>
      <c r="K639" s="384">
        <f t="shared" si="334"/>
        <v>2.9285530376777613E-2</v>
      </c>
      <c r="L639" s="384">
        <f t="shared" si="334"/>
        <v>2.9285530376777613E-2</v>
      </c>
      <c r="M639" s="384">
        <f t="shared" si="334"/>
        <v>2.9285530376777613E-2</v>
      </c>
      <c r="N639" s="384">
        <f t="shared" si="334"/>
        <v>2.9285530376777613E-2</v>
      </c>
      <c r="O639" s="384">
        <f t="shared" si="334"/>
        <v>2.9285530376777613E-2</v>
      </c>
      <c r="P639" s="384">
        <f t="shared" si="334"/>
        <v>2.9285530376777613E-2</v>
      </c>
      <c r="Q639" s="384">
        <f t="shared" si="334"/>
        <v>2.9285530376777613E-2</v>
      </c>
      <c r="R639" s="384">
        <f t="shared" si="334"/>
        <v>2.9285530376777613E-2</v>
      </c>
      <c r="S639" s="385">
        <f t="shared" si="334"/>
        <v>2.9285530376777613E-2</v>
      </c>
    </row>
    <row r="640" spans="1:19" ht="12.75" customHeight="1" x14ac:dyDescent="0.2">
      <c r="A640" s="198" t="str">
        <f>"         "&amp;Labels!C316</f>
        <v xml:space="preserve">         Total</v>
      </c>
      <c r="B640" s="303">
        <f t="shared" ref="B640:S640" si="335">AVERAGE(B614,B627)</f>
        <v>2.9285530376777613E-2</v>
      </c>
      <c r="C640" s="303">
        <f t="shared" si="335"/>
        <v>2.9285530376777613E-2</v>
      </c>
      <c r="D640" s="303">
        <f t="shared" si="335"/>
        <v>2.9285530376777613E-2</v>
      </c>
      <c r="E640" s="303">
        <f t="shared" si="335"/>
        <v>2.9285530376777613E-2</v>
      </c>
      <c r="F640" s="303">
        <f t="shared" si="335"/>
        <v>2.9285530376777613E-2</v>
      </c>
      <c r="G640" s="303">
        <f t="shared" si="335"/>
        <v>2.9285530376777613E-2</v>
      </c>
      <c r="H640" s="303">
        <f t="shared" si="335"/>
        <v>2.9285530376777613E-2</v>
      </c>
      <c r="I640" s="303">
        <f t="shared" si="335"/>
        <v>2.9285530376777613E-2</v>
      </c>
      <c r="J640" s="303">
        <f t="shared" si="335"/>
        <v>2.9285530376777613E-2</v>
      </c>
      <c r="K640" s="303">
        <f t="shared" si="335"/>
        <v>2.9285530376777613E-2</v>
      </c>
      <c r="L640" s="303">
        <f t="shared" si="335"/>
        <v>2.9285530376777613E-2</v>
      </c>
      <c r="M640" s="303">
        <f t="shared" si="335"/>
        <v>2.9285530376777613E-2</v>
      </c>
      <c r="N640" s="303">
        <f t="shared" si="335"/>
        <v>2.9285530376777613E-2</v>
      </c>
      <c r="O640" s="303">
        <f t="shared" si="335"/>
        <v>2.9285530376777613E-2</v>
      </c>
      <c r="P640" s="303">
        <f t="shared" si="335"/>
        <v>2.9285530376777613E-2</v>
      </c>
      <c r="Q640" s="303">
        <f t="shared" si="335"/>
        <v>2.9285530376777613E-2</v>
      </c>
      <c r="R640" s="303">
        <f t="shared" si="335"/>
        <v>2.9285530376777613E-2</v>
      </c>
      <c r="S640" s="383">
        <f t="shared" si="335"/>
        <v>2.9285530376777613E-2</v>
      </c>
    </row>
    <row r="641" spans="1:19" ht="12.75" customHeight="1" x14ac:dyDescent="0.2">
      <c r="A641" s="188" t="str">
        <f>"      "&amp;Labels!C384</f>
        <v xml:space="preserve">      Total</v>
      </c>
      <c r="B641" s="275">
        <f t="shared" ref="B641:S641" si="336">AVERAGE(B615,B628)</f>
        <v>2.9285530376777613E-2</v>
      </c>
      <c r="C641" s="275">
        <f t="shared" si="336"/>
        <v>2.9285530376777613E-2</v>
      </c>
      <c r="D641" s="275">
        <f t="shared" si="336"/>
        <v>2.9285530376777613E-2</v>
      </c>
      <c r="E641" s="275">
        <f t="shared" si="336"/>
        <v>2.9285530376777613E-2</v>
      </c>
      <c r="F641" s="275">
        <f t="shared" si="336"/>
        <v>2.9285530376777613E-2</v>
      </c>
      <c r="G641" s="275">
        <f t="shared" si="336"/>
        <v>2.9285530376777613E-2</v>
      </c>
      <c r="H641" s="275">
        <f t="shared" si="336"/>
        <v>2.9285530376777613E-2</v>
      </c>
      <c r="I641" s="275">
        <f t="shared" si="336"/>
        <v>2.9285530376777613E-2</v>
      </c>
      <c r="J641" s="275">
        <f t="shared" si="336"/>
        <v>2.9285530376777613E-2</v>
      </c>
      <c r="K641" s="275">
        <f t="shared" si="336"/>
        <v>2.9285530376777613E-2</v>
      </c>
      <c r="L641" s="275">
        <f t="shared" si="336"/>
        <v>2.9285530376777613E-2</v>
      </c>
      <c r="M641" s="275">
        <f t="shared" si="336"/>
        <v>2.9285530376777613E-2</v>
      </c>
      <c r="N641" s="275">
        <f t="shared" si="336"/>
        <v>2.9285530376777613E-2</v>
      </c>
      <c r="O641" s="275">
        <f t="shared" si="336"/>
        <v>2.9285530376777613E-2</v>
      </c>
      <c r="P641" s="275">
        <f t="shared" si="336"/>
        <v>2.9285530376777613E-2</v>
      </c>
      <c r="Q641" s="275">
        <f t="shared" si="336"/>
        <v>2.9285530376777613E-2</v>
      </c>
      <c r="R641" s="275">
        <f t="shared" si="336"/>
        <v>2.9285530376777613E-2</v>
      </c>
      <c r="S641" s="276">
        <f t="shared" si="336"/>
        <v>2.9285530376777613E-2</v>
      </c>
    </row>
    <row r="642" spans="1:19" ht="12.75" customHeight="1" x14ac:dyDescent="0.2">
      <c r="A642" s="198" t="str">
        <f>"         "&amp;Labels!B317</f>
        <v xml:space="preserve">         Channels 1</v>
      </c>
      <c r="B642" s="384">
        <f t="shared" ref="B642:S642" si="337">AVERAGE(B616,B629)</f>
        <v>2.9285530376777613E-2</v>
      </c>
      <c r="C642" s="384">
        <f t="shared" si="337"/>
        <v>2.9285530376777613E-2</v>
      </c>
      <c r="D642" s="384">
        <f t="shared" si="337"/>
        <v>2.9285530376777613E-2</v>
      </c>
      <c r="E642" s="384">
        <f t="shared" si="337"/>
        <v>2.9285530376777613E-2</v>
      </c>
      <c r="F642" s="384">
        <f t="shared" si="337"/>
        <v>2.9285530376777613E-2</v>
      </c>
      <c r="G642" s="384">
        <f t="shared" si="337"/>
        <v>2.9285530376777613E-2</v>
      </c>
      <c r="H642" s="384">
        <f t="shared" si="337"/>
        <v>2.9285530376777613E-2</v>
      </c>
      <c r="I642" s="384">
        <f t="shared" si="337"/>
        <v>2.9285530376777613E-2</v>
      </c>
      <c r="J642" s="384">
        <f t="shared" si="337"/>
        <v>2.9285530376777613E-2</v>
      </c>
      <c r="K642" s="384">
        <f t="shared" si="337"/>
        <v>2.9285530376777613E-2</v>
      </c>
      <c r="L642" s="384">
        <f t="shared" si="337"/>
        <v>2.9285530376777613E-2</v>
      </c>
      <c r="M642" s="384">
        <f t="shared" si="337"/>
        <v>2.9285530376777613E-2</v>
      </c>
      <c r="N642" s="384">
        <f t="shared" si="337"/>
        <v>2.9285530376777613E-2</v>
      </c>
      <c r="O642" s="384">
        <f t="shared" si="337"/>
        <v>2.9285530376777613E-2</v>
      </c>
      <c r="P642" s="384">
        <f t="shared" si="337"/>
        <v>2.9285530376777613E-2</v>
      </c>
      <c r="Q642" s="384">
        <f t="shared" si="337"/>
        <v>2.9285530376777613E-2</v>
      </c>
      <c r="R642" s="384">
        <f t="shared" si="337"/>
        <v>2.9285530376777613E-2</v>
      </c>
      <c r="S642" s="385">
        <f t="shared" si="337"/>
        <v>2.9285530376777613E-2</v>
      </c>
    </row>
    <row r="643" spans="1:19" ht="12.75" customHeight="1" x14ac:dyDescent="0.2">
      <c r="A643" s="198" t="str">
        <f>"         "&amp;Labels!B318</f>
        <v xml:space="preserve">         Channels 2</v>
      </c>
      <c r="B643" s="384">
        <f t="shared" ref="B643:S643" si="338">AVERAGE(B617,B630)</f>
        <v>2.9285530376777613E-2</v>
      </c>
      <c r="C643" s="384">
        <f t="shared" si="338"/>
        <v>2.9285530376777613E-2</v>
      </c>
      <c r="D643" s="384">
        <f t="shared" si="338"/>
        <v>2.9285530376777613E-2</v>
      </c>
      <c r="E643" s="384">
        <f t="shared" si="338"/>
        <v>2.9285530376777613E-2</v>
      </c>
      <c r="F643" s="384">
        <f t="shared" si="338"/>
        <v>2.9285530376777613E-2</v>
      </c>
      <c r="G643" s="384">
        <f t="shared" si="338"/>
        <v>2.9285530376777613E-2</v>
      </c>
      <c r="H643" s="384">
        <f t="shared" si="338"/>
        <v>2.9285530376777613E-2</v>
      </c>
      <c r="I643" s="384">
        <f t="shared" si="338"/>
        <v>2.9285530376777613E-2</v>
      </c>
      <c r="J643" s="384">
        <f t="shared" si="338"/>
        <v>2.9285530376777613E-2</v>
      </c>
      <c r="K643" s="384">
        <f t="shared" si="338"/>
        <v>2.9285530376777613E-2</v>
      </c>
      <c r="L643" s="384">
        <f t="shared" si="338"/>
        <v>2.9285530376777613E-2</v>
      </c>
      <c r="M643" s="384">
        <f t="shared" si="338"/>
        <v>2.9285530376777613E-2</v>
      </c>
      <c r="N643" s="384">
        <f t="shared" si="338"/>
        <v>2.9285530376777613E-2</v>
      </c>
      <c r="O643" s="384">
        <f t="shared" si="338"/>
        <v>2.9285530376777613E-2</v>
      </c>
      <c r="P643" s="384">
        <f t="shared" si="338"/>
        <v>2.9285530376777613E-2</v>
      </c>
      <c r="Q643" s="384">
        <f t="shared" si="338"/>
        <v>2.9285530376777613E-2</v>
      </c>
      <c r="R643" s="384">
        <f t="shared" si="338"/>
        <v>2.9285530376777613E-2</v>
      </c>
      <c r="S643" s="385">
        <f t="shared" si="338"/>
        <v>2.9285530376777613E-2</v>
      </c>
    </row>
    <row r="644" spans="1:19" ht="12.75" customHeight="1" x14ac:dyDescent="0.2">
      <c r="A644" s="198" t="str">
        <f>"         "&amp;Labels!C316</f>
        <v xml:space="preserve">         Total</v>
      </c>
      <c r="B644" s="303">
        <f t="shared" ref="B644:S644" si="339">AVERAGE(B615,B628)</f>
        <v>2.9285530376777613E-2</v>
      </c>
      <c r="C644" s="303">
        <f t="shared" si="339"/>
        <v>2.9285530376777613E-2</v>
      </c>
      <c r="D644" s="303">
        <f t="shared" si="339"/>
        <v>2.9285530376777613E-2</v>
      </c>
      <c r="E644" s="303">
        <f t="shared" si="339"/>
        <v>2.9285530376777613E-2</v>
      </c>
      <c r="F644" s="303">
        <f t="shared" si="339"/>
        <v>2.9285530376777613E-2</v>
      </c>
      <c r="G644" s="303">
        <f t="shared" si="339"/>
        <v>2.9285530376777613E-2</v>
      </c>
      <c r="H644" s="303">
        <f t="shared" si="339"/>
        <v>2.9285530376777613E-2</v>
      </c>
      <c r="I644" s="303">
        <f t="shared" si="339"/>
        <v>2.9285530376777613E-2</v>
      </c>
      <c r="J644" s="303">
        <f t="shared" si="339"/>
        <v>2.9285530376777613E-2</v>
      </c>
      <c r="K644" s="303">
        <f t="shared" si="339"/>
        <v>2.9285530376777613E-2</v>
      </c>
      <c r="L644" s="303">
        <f t="shared" si="339"/>
        <v>2.9285530376777613E-2</v>
      </c>
      <c r="M644" s="303">
        <f t="shared" si="339"/>
        <v>2.9285530376777613E-2</v>
      </c>
      <c r="N644" s="303">
        <f t="shared" si="339"/>
        <v>2.9285530376777613E-2</v>
      </c>
      <c r="O644" s="303">
        <f t="shared" si="339"/>
        <v>2.9285530376777613E-2</v>
      </c>
      <c r="P644" s="303">
        <f t="shared" si="339"/>
        <v>2.9285530376777613E-2</v>
      </c>
      <c r="Q644" s="303">
        <f t="shared" si="339"/>
        <v>2.9285530376777613E-2</v>
      </c>
      <c r="R644" s="303">
        <f t="shared" si="339"/>
        <v>2.9285530376777613E-2</v>
      </c>
      <c r="S644" s="383">
        <f t="shared" si="339"/>
        <v>2.9285530376777613E-2</v>
      </c>
    </row>
    <row r="645" spans="1:19" ht="12.75" customHeight="1" x14ac:dyDescent="0.2">
      <c r="A645" s="191" t="str">
        <f>Labels!B390</f>
        <v>Lead Qual 2</v>
      </c>
      <c r="B645" s="300"/>
      <c r="C645" s="300"/>
      <c r="D645" s="300"/>
      <c r="E645" s="300"/>
      <c r="F645" s="300"/>
      <c r="G645" s="300"/>
      <c r="H645" s="300"/>
      <c r="I645" s="300"/>
      <c r="J645" s="300"/>
      <c r="K645" s="300"/>
      <c r="L645" s="300"/>
      <c r="M645" s="300"/>
      <c r="N645" s="300"/>
      <c r="O645" s="300"/>
      <c r="P645" s="300"/>
      <c r="Q645" s="300"/>
      <c r="R645" s="300"/>
      <c r="S645" s="386"/>
    </row>
    <row r="646" spans="1:19" ht="12.75" customHeight="1" x14ac:dyDescent="0.2">
      <c r="A646" s="188" t="str">
        <f>"   "&amp;Labels!B381</f>
        <v xml:space="preserve">   Practice 1</v>
      </c>
      <c r="B646" s="275"/>
      <c r="C646" s="275"/>
      <c r="D646" s="275"/>
      <c r="E646" s="275"/>
      <c r="F646" s="275"/>
      <c r="G646" s="275"/>
      <c r="H646" s="275"/>
      <c r="I646" s="275"/>
      <c r="J646" s="275"/>
      <c r="K646" s="275"/>
      <c r="L646" s="275"/>
      <c r="M646" s="275"/>
      <c r="N646" s="275"/>
      <c r="O646" s="275"/>
      <c r="P646" s="275"/>
      <c r="Q646" s="275"/>
      <c r="R646" s="275"/>
      <c r="S646" s="276"/>
    </row>
    <row r="647" spans="1:19" ht="12.75" customHeight="1" x14ac:dyDescent="0.2">
      <c r="A647" s="198" t="str">
        <f>"      "&amp;Labels!B385</f>
        <v xml:space="preserve">      Prof Level 1</v>
      </c>
      <c r="B647" s="303"/>
      <c r="C647" s="303"/>
      <c r="D647" s="303"/>
      <c r="E647" s="303"/>
      <c r="F647" s="303"/>
      <c r="G647" s="303"/>
      <c r="H647" s="303"/>
      <c r="I647" s="303"/>
      <c r="J647" s="303"/>
      <c r="K647" s="303"/>
      <c r="L647" s="303"/>
      <c r="M647" s="303"/>
      <c r="N647" s="303"/>
      <c r="O647" s="303"/>
      <c r="P647" s="303"/>
      <c r="Q647" s="303"/>
      <c r="R647" s="303"/>
      <c r="S647" s="383"/>
    </row>
    <row r="648" spans="1:19" ht="12.75" customHeight="1" x14ac:dyDescent="0.2">
      <c r="A648" s="198" t="str">
        <f>"         "&amp;Labels!B317</f>
        <v xml:space="preserve">         Channels 1</v>
      </c>
      <c r="B648" s="384">
        <f t="shared" ref="B648:S648" si="340">1-(1-B282)^(1/12)</f>
        <v>2.9285530376777613E-2</v>
      </c>
      <c r="C648" s="384">
        <f t="shared" si="340"/>
        <v>2.9285530376777613E-2</v>
      </c>
      <c r="D648" s="384">
        <f t="shared" si="340"/>
        <v>2.9285530376777613E-2</v>
      </c>
      <c r="E648" s="384">
        <f t="shared" si="340"/>
        <v>2.9285530376777613E-2</v>
      </c>
      <c r="F648" s="384">
        <f t="shared" si="340"/>
        <v>2.9285530376777613E-2</v>
      </c>
      <c r="G648" s="384">
        <f t="shared" si="340"/>
        <v>2.9285530376777613E-2</v>
      </c>
      <c r="H648" s="384">
        <f t="shared" si="340"/>
        <v>2.9285530376777613E-2</v>
      </c>
      <c r="I648" s="384">
        <f t="shared" si="340"/>
        <v>2.9285530376777613E-2</v>
      </c>
      <c r="J648" s="384">
        <f t="shared" si="340"/>
        <v>2.9285530376777613E-2</v>
      </c>
      <c r="K648" s="384">
        <f t="shared" si="340"/>
        <v>2.9285530376777613E-2</v>
      </c>
      <c r="L648" s="384">
        <f t="shared" si="340"/>
        <v>2.9285530376777613E-2</v>
      </c>
      <c r="M648" s="384">
        <f t="shared" si="340"/>
        <v>2.9285530376777613E-2</v>
      </c>
      <c r="N648" s="384">
        <f t="shared" si="340"/>
        <v>2.9285530376777613E-2</v>
      </c>
      <c r="O648" s="384">
        <f t="shared" si="340"/>
        <v>2.9285530376777613E-2</v>
      </c>
      <c r="P648" s="384">
        <f t="shared" si="340"/>
        <v>2.9285530376777613E-2</v>
      </c>
      <c r="Q648" s="384">
        <f t="shared" si="340"/>
        <v>2.9285530376777613E-2</v>
      </c>
      <c r="R648" s="384">
        <f t="shared" si="340"/>
        <v>2.9285530376777613E-2</v>
      </c>
      <c r="S648" s="385">
        <f t="shared" si="340"/>
        <v>2.9285530376777613E-2</v>
      </c>
    </row>
    <row r="649" spans="1:19" ht="12.75" customHeight="1" x14ac:dyDescent="0.2">
      <c r="A649" s="198" t="str">
        <f>"         "&amp;Labels!B318</f>
        <v xml:space="preserve">         Channels 2</v>
      </c>
      <c r="B649" s="384">
        <f t="shared" ref="B649:S649" si="341">1-(1-B283)^(1/12)</f>
        <v>2.9285530376777613E-2</v>
      </c>
      <c r="C649" s="384">
        <f t="shared" si="341"/>
        <v>2.9285530376777613E-2</v>
      </c>
      <c r="D649" s="384">
        <f t="shared" si="341"/>
        <v>2.9285530376777613E-2</v>
      </c>
      <c r="E649" s="384">
        <f t="shared" si="341"/>
        <v>2.9285530376777613E-2</v>
      </c>
      <c r="F649" s="384">
        <f t="shared" si="341"/>
        <v>2.9285530376777613E-2</v>
      </c>
      <c r="G649" s="384">
        <f t="shared" si="341"/>
        <v>2.9285530376777613E-2</v>
      </c>
      <c r="H649" s="384">
        <f t="shared" si="341"/>
        <v>2.9285530376777613E-2</v>
      </c>
      <c r="I649" s="384">
        <f t="shared" si="341"/>
        <v>2.9285530376777613E-2</v>
      </c>
      <c r="J649" s="384">
        <f t="shared" si="341"/>
        <v>2.9285530376777613E-2</v>
      </c>
      <c r="K649" s="384">
        <f t="shared" si="341"/>
        <v>2.9285530376777613E-2</v>
      </c>
      <c r="L649" s="384">
        <f t="shared" si="341"/>
        <v>2.9285530376777613E-2</v>
      </c>
      <c r="M649" s="384">
        <f t="shared" si="341"/>
        <v>2.9285530376777613E-2</v>
      </c>
      <c r="N649" s="384">
        <f t="shared" si="341"/>
        <v>2.9285530376777613E-2</v>
      </c>
      <c r="O649" s="384">
        <f t="shared" si="341"/>
        <v>2.9285530376777613E-2</v>
      </c>
      <c r="P649" s="384">
        <f t="shared" si="341"/>
        <v>2.9285530376777613E-2</v>
      </c>
      <c r="Q649" s="384">
        <f t="shared" si="341"/>
        <v>2.9285530376777613E-2</v>
      </c>
      <c r="R649" s="384">
        <f t="shared" si="341"/>
        <v>2.9285530376777613E-2</v>
      </c>
      <c r="S649" s="385">
        <f t="shared" si="341"/>
        <v>2.9285530376777613E-2</v>
      </c>
    </row>
    <row r="650" spans="1:19" ht="12.75" customHeight="1" x14ac:dyDescent="0.2">
      <c r="A650" s="198" t="str">
        <f>"         "&amp;Labels!C316</f>
        <v xml:space="preserve">         Total</v>
      </c>
      <c r="B650" s="303">
        <f t="shared" ref="B650:S650" si="342">AVERAGE(B648:B649)</f>
        <v>2.9285530376777613E-2</v>
      </c>
      <c r="C650" s="303">
        <f t="shared" si="342"/>
        <v>2.9285530376777613E-2</v>
      </c>
      <c r="D650" s="303">
        <f t="shared" si="342"/>
        <v>2.9285530376777613E-2</v>
      </c>
      <c r="E650" s="303">
        <f t="shared" si="342"/>
        <v>2.9285530376777613E-2</v>
      </c>
      <c r="F650" s="303">
        <f t="shared" si="342"/>
        <v>2.9285530376777613E-2</v>
      </c>
      <c r="G650" s="303">
        <f t="shared" si="342"/>
        <v>2.9285530376777613E-2</v>
      </c>
      <c r="H650" s="303">
        <f t="shared" si="342"/>
        <v>2.9285530376777613E-2</v>
      </c>
      <c r="I650" s="303">
        <f t="shared" si="342"/>
        <v>2.9285530376777613E-2</v>
      </c>
      <c r="J650" s="303">
        <f t="shared" si="342"/>
        <v>2.9285530376777613E-2</v>
      </c>
      <c r="K650" s="303">
        <f t="shared" si="342"/>
        <v>2.9285530376777613E-2</v>
      </c>
      <c r="L650" s="303">
        <f t="shared" si="342"/>
        <v>2.9285530376777613E-2</v>
      </c>
      <c r="M650" s="303">
        <f t="shared" si="342"/>
        <v>2.9285530376777613E-2</v>
      </c>
      <c r="N650" s="303">
        <f t="shared" si="342"/>
        <v>2.9285530376777613E-2</v>
      </c>
      <c r="O650" s="303">
        <f t="shared" si="342"/>
        <v>2.9285530376777613E-2</v>
      </c>
      <c r="P650" s="303">
        <f t="shared" si="342"/>
        <v>2.9285530376777613E-2</v>
      </c>
      <c r="Q650" s="303">
        <f t="shared" si="342"/>
        <v>2.9285530376777613E-2</v>
      </c>
      <c r="R650" s="303">
        <f t="shared" si="342"/>
        <v>2.9285530376777613E-2</v>
      </c>
      <c r="S650" s="383">
        <f t="shared" si="342"/>
        <v>2.9285530376777613E-2</v>
      </c>
    </row>
    <row r="651" spans="1:19" ht="12.75" customHeight="1" x14ac:dyDescent="0.2">
      <c r="A651" s="198" t="str">
        <f>"      "&amp;Labels!B386</f>
        <v xml:space="preserve">      Prof Level 2</v>
      </c>
      <c r="B651" s="303"/>
      <c r="C651" s="303"/>
      <c r="D651" s="303"/>
      <c r="E651" s="303"/>
      <c r="F651" s="303"/>
      <c r="G651" s="303"/>
      <c r="H651" s="303"/>
      <c r="I651" s="303"/>
      <c r="J651" s="303"/>
      <c r="K651" s="303"/>
      <c r="L651" s="303"/>
      <c r="M651" s="303"/>
      <c r="N651" s="303"/>
      <c r="O651" s="303"/>
      <c r="P651" s="303"/>
      <c r="Q651" s="303"/>
      <c r="R651" s="303"/>
      <c r="S651" s="383"/>
    </row>
    <row r="652" spans="1:19" ht="12.75" customHeight="1" x14ac:dyDescent="0.2">
      <c r="A652" s="198" t="str">
        <f>"         "&amp;Labels!B317</f>
        <v xml:space="preserve">         Channels 1</v>
      </c>
      <c r="B652" s="384">
        <f t="shared" ref="B652:S652" si="343">1-(1-B286)^(1/12)</f>
        <v>2.9285530376777613E-2</v>
      </c>
      <c r="C652" s="384">
        <f t="shared" si="343"/>
        <v>2.9285530376777613E-2</v>
      </c>
      <c r="D652" s="384">
        <f t="shared" si="343"/>
        <v>2.9285530376777613E-2</v>
      </c>
      <c r="E652" s="384">
        <f t="shared" si="343"/>
        <v>2.9285530376777613E-2</v>
      </c>
      <c r="F652" s="384">
        <f t="shared" si="343"/>
        <v>2.9285530376777613E-2</v>
      </c>
      <c r="G652" s="384">
        <f t="shared" si="343"/>
        <v>2.9285530376777613E-2</v>
      </c>
      <c r="H652" s="384">
        <f t="shared" si="343"/>
        <v>2.9285530376777613E-2</v>
      </c>
      <c r="I652" s="384">
        <f t="shared" si="343"/>
        <v>2.9285530376777613E-2</v>
      </c>
      <c r="J652" s="384">
        <f t="shared" si="343"/>
        <v>2.9285530376777613E-2</v>
      </c>
      <c r="K652" s="384">
        <f t="shared" si="343"/>
        <v>2.9285530376777613E-2</v>
      </c>
      <c r="L652" s="384">
        <f t="shared" si="343"/>
        <v>2.9285530376777613E-2</v>
      </c>
      <c r="M652" s="384">
        <f t="shared" si="343"/>
        <v>2.9285530376777613E-2</v>
      </c>
      <c r="N652" s="384">
        <f t="shared" si="343"/>
        <v>2.9285530376777613E-2</v>
      </c>
      <c r="O652" s="384">
        <f t="shared" si="343"/>
        <v>2.9285530376777613E-2</v>
      </c>
      <c r="P652" s="384">
        <f t="shared" si="343"/>
        <v>2.9285530376777613E-2</v>
      </c>
      <c r="Q652" s="384">
        <f t="shared" si="343"/>
        <v>2.9285530376777613E-2</v>
      </c>
      <c r="R652" s="384">
        <f t="shared" si="343"/>
        <v>2.9285530376777613E-2</v>
      </c>
      <c r="S652" s="385">
        <f t="shared" si="343"/>
        <v>2.9285530376777613E-2</v>
      </c>
    </row>
    <row r="653" spans="1:19" ht="12.75" customHeight="1" x14ac:dyDescent="0.2">
      <c r="A653" s="198" t="str">
        <f>"         "&amp;Labels!B318</f>
        <v xml:space="preserve">         Channels 2</v>
      </c>
      <c r="B653" s="384">
        <f t="shared" ref="B653:S653" si="344">1-(1-B287)^(1/12)</f>
        <v>2.9285530376777613E-2</v>
      </c>
      <c r="C653" s="384">
        <f t="shared" si="344"/>
        <v>2.9285530376777613E-2</v>
      </c>
      <c r="D653" s="384">
        <f t="shared" si="344"/>
        <v>2.9285530376777613E-2</v>
      </c>
      <c r="E653" s="384">
        <f t="shared" si="344"/>
        <v>2.9285530376777613E-2</v>
      </c>
      <c r="F653" s="384">
        <f t="shared" si="344"/>
        <v>2.9285530376777613E-2</v>
      </c>
      <c r="G653" s="384">
        <f t="shared" si="344"/>
        <v>2.9285530376777613E-2</v>
      </c>
      <c r="H653" s="384">
        <f t="shared" si="344"/>
        <v>2.9285530376777613E-2</v>
      </c>
      <c r="I653" s="384">
        <f t="shared" si="344"/>
        <v>2.9285530376777613E-2</v>
      </c>
      <c r="J653" s="384">
        <f t="shared" si="344"/>
        <v>2.9285530376777613E-2</v>
      </c>
      <c r="K653" s="384">
        <f t="shared" si="344"/>
        <v>2.9285530376777613E-2</v>
      </c>
      <c r="L653" s="384">
        <f t="shared" si="344"/>
        <v>2.9285530376777613E-2</v>
      </c>
      <c r="M653" s="384">
        <f t="shared" si="344"/>
        <v>2.9285530376777613E-2</v>
      </c>
      <c r="N653" s="384">
        <f t="shared" si="344"/>
        <v>2.9285530376777613E-2</v>
      </c>
      <c r="O653" s="384">
        <f t="shared" si="344"/>
        <v>2.9285530376777613E-2</v>
      </c>
      <c r="P653" s="384">
        <f t="shared" si="344"/>
        <v>2.9285530376777613E-2</v>
      </c>
      <c r="Q653" s="384">
        <f t="shared" si="344"/>
        <v>2.9285530376777613E-2</v>
      </c>
      <c r="R653" s="384">
        <f t="shared" si="344"/>
        <v>2.9285530376777613E-2</v>
      </c>
      <c r="S653" s="385">
        <f t="shared" si="344"/>
        <v>2.9285530376777613E-2</v>
      </c>
    </row>
    <row r="654" spans="1:19" ht="12.75" customHeight="1" x14ac:dyDescent="0.2">
      <c r="A654" s="198" t="str">
        <f>"         "&amp;Labels!C316</f>
        <v xml:space="preserve">         Total</v>
      </c>
      <c r="B654" s="303">
        <f t="shared" ref="B654:S654" si="345">AVERAGE(B652:B653)</f>
        <v>2.9285530376777613E-2</v>
      </c>
      <c r="C654" s="303">
        <f t="shared" si="345"/>
        <v>2.9285530376777613E-2</v>
      </c>
      <c r="D654" s="303">
        <f t="shared" si="345"/>
        <v>2.9285530376777613E-2</v>
      </c>
      <c r="E654" s="303">
        <f t="shared" si="345"/>
        <v>2.9285530376777613E-2</v>
      </c>
      <c r="F654" s="303">
        <f t="shared" si="345"/>
        <v>2.9285530376777613E-2</v>
      </c>
      <c r="G654" s="303">
        <f t="shared" si="345"/>
        <v>2.9285530376777613E-2</v>
      </c>
      <c r="H654" s="303">
        <f t="shared" si="345"/>
        <v>2.9285530376777613E-2</v>
      </c>
      <c r="I654" s="303">
        <f t="shared" si="345"/>
        <v>2.9285530376777613E-2</v>
      </c>
      <c r="J654" s="303">
        <f t="shared" si="345"/>
        <v>2.9285530376777613E-2</v>
      </c>
      <c r="K654" s="303">
        <f t="shared" si="345"/>
        <v>2.9285530376777613E-2</v>
      </c>
      <c r="L654" s="303">
        <f t="shared" si="345"/>
        <v>2.9285530376777613E-2</v>
      </c>
      <c r="M654" s="303">
        <f t="shared" si="345"/>
        <v>2.9285530376777613E-2</v>
      </c>
      <c r="N654" s="303">
        <f t="shared" si="345"/>
        <v>2.9285530376777613E-2</v>
      </c>
      <c r="O654" s="303">
        <f t="shared" si="345"/>
        <v>2.9285530376777613E-2</v>
      </c>
      <c r="P654" s="303">
        <f t="shared" si="345"/>
        <v>2.9285530376777613E-2</v>
      </c>
      <c r="Q654" s="303">
        <f t="shared" si="345"/>
        <v>2.9285530376777613E-2</v>
      </c>
      <c r="R654" s="303">
        <f t="shared" si="345"/>
        <v>2.9285530376777613E-2</v>
      </c>
      <c r="S654" s="383">
        <f t="shared" si="345"/>
        <v>2.9285530376777613E-2</v>
      </c>
    </row>
    <row r="655" spans="1:19" ht="12.75" customHeight="1" x14ac:dyDescent="0.2">
      <c r="A655" s="188" t="str">
        <f>"      "&amp;Labels!C384</f>
        <v xml:space="preserve">      Total</v>
      </c>
      <c r="B655" s="275">
        <f t="shared" ref="B655:S655" si="346">AVERAGE(B650,B654)</f>
        <v>2.9285530376777613E-2</v>
      </c>
      <c r="C655" s="275">
        <f t="shared" si="346"/>
        <v>2.9285530376777613E-2</v>
      </c>
      <c r="D655" s="275">
        <f t="shared" si="346"/>
        <v>2.9285530376777613E-2</v>
      </c>
      <c r="E655" s="275">
        <f t="shared" si="346"/>
        <v>2.9285530376777613E-2</v>
      </c>
      <c r="F655" s="275">
        <f t="shared" si="346"/>
        <v>2.9285530376777613E-2</v>
      </c>
      <c r="G655" s="275">
        <f t="shared" si="346"/>
        <v>2.9285530376777613E-2</v>
      </c>
      <c r="H655" s="275">
        <f t="shared" si="346"/>
        <v>2.9285530376777613E-2</v>
      </c>
      <c r="I655" s="275">
        <f t="shared" si="346"/>
        <v>2.9285530376777613E-2</v>
      </c>
      <c r="J655" s="275">
        <f t="shared" si="346"/>
        <v>2.9285530376777613E-2</v>
      </c>
      <c r="K655" s="275">
        <f t="shared" si="346"/>
        <v>2.9285530376777613E-2</v>
      </c>
      <c r="L655" s="275">
        <f t="shared" si="346"/>
        <v>2.9285530376777613E-2</v>
      </c>
      <c r="M655" s="275">
        <f t="shared" si="346"/>
        <v>2.9285530376777613E-2</v>
      </c>
      <c r="N655" s="275">
        <f t="shared" si="346"/>
        <v>2.9285530376777613E-2</v>
      </c>
      <c r="O655" s="275">
        <f t="shared" si="346"/>
        <v>2.9285530376777613E-2</v>
      </c>
      <c r="P655" s="275">
        <f t="shared" si="346"/>
        <v>2.9285530376777613E-2</v>
      </c>
      <c r="Q655" s="275">
        <f t="shared" si="346"/>
        <v>2.9285530376777613E-2</v>
      </c>
      <c r="R655" s="275">
        <f t="shared" si="346"/>
        <v>2.9285530376777613E-2</v>
      </c>
      <c r="S655" s="276">
        <f t="shared" si="346"/>
        <v>2.9285530376777613E-2</v>
      </c>
    </row>
    <row r="656" spans="1:19" ht="12.75" customHeight="1" x14ac:dyDescent="0.2">
      <c r="A656" s="198" t="str">
        <f>"         "&amp;Labels!B317</f>
        <v xml:space="preserve">         Channels 1</v>
      </c>
      <c r="B656" s="384">
        <f t="shared" ref="B656:S656" si="347">AVERAGE(B648,B652)</f>
        <v>2.9285530376777613E-2</v>
      </c>
      <c r="C656" s="384">
        <f t="shared" si="347"/>
        <v>2.9285530376777613E-2</v>
      </c>
      <c r="D656" s="384">
        <f t="shared" si="347"/>
        <v>2.9285530376777613E-2</v>
      </c>
      <c r="E656" s="384">
        <f t="shared" si="347"/>
        <v>2.9285530376777613E-2</v>
      </c>
      <c r="F656" s="384">
        <f t="shared" si="347"/>
        <v>2.9285530376777613E-2</v>
      </c>
      <c r="G656" s="384">
        <f t="shared" si="347"/>
        <v>2.9285530376777613E-2</v>
      </c>
      <c r="H656" s="384">
        <f t="shared" si="347"/>
        <v>2.9285530376777613E-2</v>
      </c>
      <c r="I656" s="384">
        <f t="shared" si="347"/>
        <v>2.9285530376777613E-2</v>
      </c>
      <c r="J656" s="384">
        <f t="shared" si="347"/>
        <v>2.9285530376777613E-2</v>
      </c>
      <c r="K656" s="384">
        <f t="shared" si="347"/>
        <v>2.9285530376777613E-2</v>
      </c>
      <c r="L656" s="384">
        <f t="shared" si="347"/>
        <v>2.9285530376777613E-2</v>
      </c>
      <c r="M656" s="384">
        <f t="shared" si="347"/>
        <v>2.9285530376777613E-2</v>
      </c>
      <c r="N656" s="384">
        <f t="shared" si="347"/>
        <v>2.9285530376777613E-2</v>
      </c>
      <c r="O656" s="384">
        <f t="shared" si="347"/>
        <v>2.9285530376777613E-2</v>
      </c>
      <c r="P656" s="384">
        <f t="shared" si="347"/>
        <v>2.9285530376777613E-2</v>
      </c>
      <c r="Q656" s="384">
        <f t="shared" si="347"/>
        <v>2.9285530376777613E-2</v>
      </c>
      <c r="R656" s="384">
        <f t="shared" si="347"/>
        <v>2.9285530376777613E-2</v>
      </c>
      <c r="S656" s="385">
        <f t="shared" si="347"/>
        <v>2.9285530376777613E-2</v>
      </c>
    </row>
    <row r="657" spans="1:19" ht="12.75" customHeight="1" x14ac:dyDescent="0.2">
      <c r="A657" s="198" t="str">
        <f>"         "&amp;Labels!B318</f>
        <v xml:space="preserve">         Channels 2</v>
      </c>
      <c r="B657" s="384">
        <f t="shared" ref="B657:S657" si="348">AVERAGE(B649,B653)</f>
        <v>2.9285530376777613E-2</v>
      </c>
      <c r="C657" s="384">
        <f t="shared" si="348"/>
        <v>2.9285530376777613E-2</v>
      </c>
      <c r="D657" s="384">
        <f t="shared" si="348"/>
        <v>2.9285530376777613E-2</v>
      </c>
      <c r="E657" s="384">
        <f t="shared" si="348"/>
        <v>2.9285530376777613E-2</v>
      </c>
      <c r="F657" s="384">
        <f t="shared" si="348"/>
        <v>2.9285530376777613E-2</v>
      </c>
      <c r="G657" s="384">
        <f t="shared" si="348"/>
        <v>2.9285530376777613E-2</v>
      </c>
      <c r="H657" s="384">
        <f t="shared" si="348"/>
        <v>2.9285530376777613E-2</v>
      </c>
      <c r="I657" s="384">
        <f t="shared" si="348"/>
        <v>2.9285530376777613E-2</v>
      </c>
      <c r="J657" s="384">
        <f t="shared" si="348"/>
        <v>2.9285530376777613E-2</v>
      </c>
      <c r="K657" s="384">
        <f t="shared" si="348"/>
        <v>2.9285530376777613E-2</v>
      </c>
      <c r="L657" s="384">
        <f t="shared" si="348"/>
        <v>2.9285530376777613E-2</v>
      </c>
      <c r="M657" s="384">
        <f t="shared" si="348"/>
        <v>2.9285530376777613E-2</v>
      </c>
      <c r="N657" s="384">
        <f t="shared" si="348"/>
        <v>2.9285530376777613E-2</v>
      </c>
      <c r="O657" s="384">
        <f t="shared" si="348"/>
        <v>2.9285530376777613E-2</v>
      </c>
      <c r="P657" s="384">
        <f t="shared" si="348"/>
        <v>2.9285530376777613E-2</v>
      </c>
      <c r="Q657" s="384">
        <f t="shared" si="348"/>
        <v>2.9285530376777613E-2</v>
      </c>
      <c r="R657" s="384">
        <f t="shared" si="348"/>
        <v>2.9285530376777613E-2</v>
      </c>
      <c r="S657" s="385">
        <f t="shared" si="348"/>
        <v>2.9285530376777613E-2</v>
      </c>
    </row>
    <row r="658" spans="1:19" ht="12.75" customHeight="1" x14ac:dyDescent="0.2">
      <c r="A658" s="198" t="str">
        <f>"         "&amp;Labels!C316</f>
        <v xml:space="preserve">         Total</v>
      </c>
      <c r="B658" s="303">
        <f t="shared" ref="B658:S658" si="349">AVERAGE(B650,B654)</f>
        <v>2.9285530376777613E-2</v>
      </c>
      <c r="C658" s="303">
        <f t="shared" si="349"/>
        <v>2.9285530376777613E-2</v>
      </c>
      <c r="D658" s="303">
        <f t="shared" si="349"/>
        <v>2.9285530376777613E-2</v>
      </c>
      <c r="E658" s="303">
        <f t="shared" si="349"/>
        <v>2.9285530376777613E-2</v>
      </c>
      <c r="F658" s="303">
        <f t="shared" si="349"/>
        <v>2.9285530376777613E-2</v>
      </c>
      <c r="G658" s="303">
        <f t="shared" si="349"/>
        <v>2.9285530376777613E-2</v>
      </c>
      <c r="H658" s="303">
        <f t="shared" si="349"/>
        <v>2.9285530376777613E-2</v>
      </c>
      <c r="I658" s="303">
        <f t="shared" si="349"/>
        <v>2.9285530376777613E-2</v>
      </c>
      <c r="J658" s="303">
        <f t="shared" si="349"/>
        <v>2.9285530376777613E-2</v>
      </c>
      <c r="K658" s="303">
        <f t="shared" si="349"/>
        <v>2.9285530376777613E-2</v>
      </c>
      <c r="L658" s="303">
        <f t="shared" si="349"/>
        <v>2.9285530376777613E-2</v>
      </c>
      <c r="M658" s="303">
        <f t="shared" si="349"/>
        <v>2.9285530376777613E-2</v>
      </c>
      <c r="N658" s="303">
        <f t="shared" si="349"/>
        <v>2.9285530376777613E-2</v>
      </c>
      <c r="O658" s="303">
        <f t="shared" si="349"/>
        <v>2.9285530376777613E-2</v>
      </c>
      <c r="P658" s="303">
        <f t="shared" si="349"/>
        <v>2.9285530376777613E-2</v>
      </c>
      <c r="Q658" s="303">
        <f t="shared" si="349"/>
        <v>2.9285530376777613E-2</v>
      </c>
      <c r="R658" s="303">
        <f t="shared" si="349"/>
        <v>2.9285530376777613E-2</v>
      </c>
      <c r="S658" s="383">
        <f t="shared" si="349"/>
        <v>2.9285530376777613E-2</v>
      </c>
    </row>
    <row r="659" spans="1:19" ht="12.75" customHeight="1" x14ac:dyDescent="0.2">
      <c r="A659" s="188" t="str">
        <f>"   "&amp;Labels!B382</f>
        <v xml:space="preserve">   Practice 2</v>
      </c>
      <c r="B659" s="275"/>
      <c r="C659" s="275"/>
      <c r="D659" s="275"/>
      <c r="E659" s="275"/>
      <c r="F659" s="275"/>
      <c r="G659" s="275"/>
      <c r="H659" s="275"/>
      <c r="I659" s="275"/>
      <c r="J659" s="275"/>
      <c r="K659" s="275"/>
      <c r="L659" s="275"/>
      <c r="M659" s="275"/>
      <c r="N659" s="275"/>
      <c r="O659" s="275"/>
      <c r="P659" s="275"/>
      <c r="Q659" s="275"/>
      <c r="R659" s="275"/>
      <c r="S659" s="276"/>
    </row>
    <row r="660" spans="1:19" ht="12.75" customHeight="1" x14ac:dyDescent="0.2">
      <c r="A660" s="198" t="str">
        <f>"      "&amp;Labels!B385</f>
        <v xml:space="preserve">      Prof Level 1</v>
      </c>
      <c r="B660" s="303"/>
      <c r="C660" s="303"/>
      <c r="D660" s="303"/>
      <c r="E660" s="303"/>
      <c r="F660" s="303"/>
      <c r="G660" s="303"/>
      <c r="H660" s="303"/>
      <c r="I660" s="303"/>
      <c r="J660" s="303"/>
      <c r="K660" s="303"/>
      <c r="L660" s="303"/>
      <c r="M660" s="303"/>
      <c r="N660" s="303"/>
      <c r="O660" s="303"/>
      <c r="P660" s="303"/>
      <c r="Q660" s="303"/>
      <c r="R660" s="303"/>
      <c r="S660" s="383"/>
    </row>
    <row r="661" spans="1:19" ht="12.75" customHeight="1" x14ac:dyDescent="0.2">
      <c r="A661" s="198" t="str">
        <f>"         "&amp;Labels!B317</f>
        <v xml:space="preserve">         Channels 1</v>
      </c>
      <c r="B661" s="384">
        <f t="shared" ref="B661:S661" si="350">1-(1-B295)^(1/12)</f>
        <v>2.9285530376777613E-2</v>
      </c>
      <c r="C661" s="384">
        <f t="shared" si="350"/>
        <v>2.9285530376777613E-2</v>
      </c>
      <c r="D661" s="384">
        <f t="shared" si="350"/>
        <v>2.9285530376777613E-2</v>
      </c>
      <c r="E661" s="384">
        <f t="shared" si="350"/>
        <v>2.9285530376777613E-2</v>
      </c>
      <c r="F661" s="384">
        <f t="shared" si="350"/>
        <v>2.9285530376777613E-2</v>
      </c>
      <c r="G661" s="384">
        <f t="shared" si="350"/>
        <v>2.9285530376777613E-2</v>
      </c>
      <c r="H661" s="384">
        <f t="shared" si="350"/>
        <v>2.9285530376777613E-2</v>
      </c>
      <c r="I661" s="384">
        <f t="shared" si="350"/>
        <v>2.9285530376777613E-2</v>
      </c>
      <c r="J661" s="384">
        <f t="shared" si="350"/>
        <v>2.9285530376777613E-2</v>
      </c>
      <c r="K661" s="384">
        <f t="shared" si="350"/>
        <v>2.9285530376777613E-2</v>
      </c>
      <c r="L661" s="384">
        <f t="shared" si="350"/>
        <v>2.9285530376777613E-2</v>
      </c>
      <c r="M661" s="384">
        <f t="shared" si="350"/>
        <v>2.9285530376777613E-2</v>
      </c>
      <c r="N661" s="384">
        <f t="shared" si="350"/>
        <v>2.9285530376777613E-2</v>
      </c>
      <c r="O661" s="384">
        <f t="shared" si="350"/>
        <v>2.9285530376777613E-2</v>
      </c>
      <c r="P661" s="384">
        <f t="shared" si="350"/>
        <v>2.9285530376777613E-2</v>
      </c>
      <c r="Q661" s="384">
        <f t="shared" si="350"/>
        <v>2.9285530376777613E-2</v>
      </c>
      <c r="R661" s="384">
        <f t="shared" si="350"/>
        <v>2.9285530376777613E-2</v>
      </c>
      <c r="S661" s="385">
        <f t="shared" si="350"/>
        <v>2.9285530376777613E-2</v>
      </c>
    </row>
    <row r="662" spans="1:19" ht="12.75" customHeight="1" x14ac:dyDescent="0.2">
      <c r="A662" s="198" t="str">
        <f>"         "&amp;Labels!B318</f>
        <v xml:space="preserve">         Channels 2</v>
      </c>
      <c r="B662" s="384">
        <f t="shared" ref="B662:S662" si="351">1-(1-B296)^(1/12)</f>
        <v>2.9285530376777613E-2</v>
      </c>
      <c r="C662" s="384">
        <f t="shared" si="351"/>
        <v>2.9285530376777613E-2</v>
      </c>
      <c r="D662" s="384">
        <f t="shared" si="351"/>
        <v>2.9285530376777613E-2</v>
      </c>
      <c r="E662" s="384">
        <f t="shared" si="351"/>
        <v>2.9285530376777613E-2</v>
      </c>
      <c r="F662" s="384">
        <f t="shared" si="351"/>
        <v>2.9285530376777613E-2</v>
      </c>
      <c r="G662" s="384">
        <f t="shared" si="351"/>
        <v>2.9285530376777613E-2</v>
      </c>
      <c r="H662" s="384">
        <f t="shared" si="351"/>
        <v>2.9285530376777613E-2</v>
      </c>
      <c r="I662" s="384">
        <f t="shared" si="351"/>
        <v>2.9285530376777613E-2</v>
      </c>
      <c r="J662" s="384">
        <f t="shared" si="351"/>
        <v>2.9285530376777613E-2</v>
      </c>
      <c r="K662" s="384">
        <f t="shared" si="351"/>
        <v>2.9285530376777613E-2</v>
      </c>
      <c r="L662" s="384">
        <f t="shared" si="351"/>
        <v>2.9285530376777613E-2</v>
      </c>
      <c r="M662" s="384">
        <f t="shared" si="351"/>
        <v>2.9285530376777613E-2</v>
      </c>
      <c r="N662" s="384">
        <f t="shared" si="351"/>
        <v>2.9285530376777613E-2</v>
      </c>
      <c r="O662" s="384">
        <f t="shared" si="351"/>
        <v>2.9285530376777613E-2</v>
      </c>
      <c r="P662" s="384">
        <f t="shared" si="351"/>
        <v>2.9285530376777613E-2</v>
      </c>
      <c r="Q662" s="384">
        <f t="shared" si="351"/>
        <v>2.9285530376777613E-2</v>
      </c>
      <c r="R662" s="384">
        <f t="shared" si="351"/>
        <v>2.9285530376777613E-2</v>
      </c>
      <c r="S662" s="385">
        <f t="shared" si="351"/>
        <v>2.9285530376777613E-2</v>
      </c>
    </row>
    <row r="663" spans="1:19" ht="12.75" customHeight="1" x14ac:dyDescent="0.2">
      <c r="A663" s="198" t="str">
        <f>"         "&amp;Labels!C316</f>
        <v xml:space="preserve">         Total</v>
      </c>
      <c r="B663" s="303">
        <f t="shared" ref="B663:S663" si="352">AVERAGE(B661:B662)</f>
        <v>2.9285530376777613E-2</v>
      </c>
      <c r="C663" s="303">
        <f t="shared" si="352"/>
        <v>2.9285530376777613E-2</v>
      </c>
      <c r="D663" s="303">
        <f t="shared" si="352"/>
        <v>2.9285530376777613E-2</v>
      </c>
      <c r="E663" s="303">
        <f t="shared" si="352"/>
        <v>2.9285530376777613E-2</v>
      </c>
      <c r="F663" s="303">
        <f t="shared" si="352"/>
        <v>2.9285530376777613E-2</v>
      </c>
      <c r="G663" s="303">
        <f t="shared" si="352"/>
        <v>2.9285530376777613E-2</v>
      </c>
      <c r="H663" s="303">
        <f t="shared" si="352"/>
        <v>2.9285530376777613E-2</v>
      </c>
      <c r="I663" s="303">
        <f t="shared" si="352"/>
        <v>2.9285530376777613E-2</v>
      </c>
      <c r="J663" s="303">
        <f t="shared" si="352"/>
        <v>2.9285530376777613E-2</v>
      </c>
      <c r="K663" s="303">
        <f t="shared" si="352"/>
        <v>2.9285530376777613E-2</v>
      </c>
      <c r="L663" s="303">
        <f t="shared" si="352"/>
        <v>2.9285530376777613E-2</v>
      </c>
      <c r="M663" s="303">
        <f t="shared" si="352"/>
        <v>2.9285530376777613E-2</v>
      </c>
      <c r="N663" s="303">
        <f t="shared" si="352"/>
        <v>2.9285530376777613E-2</v>
      </c>
      <c r="O663" s="303">
        <f t="shared" si="352"/>
        <v>2.9285530376777613E-2</v>
      </c>
      <c r="P663" s="303">
        <f t="shared" si="352"/>
        <v>2.9285530376777613E-2</v>
      </c>
      <c r="Q663" s="303">
        <f t="shared" si="352"/>
        <v>2.9285530376777613E-2</v>
      </c>
      <c r="R663" s="303">
        <f t="shared" si="352"/>
        <v>2.9285530376777613E-2</v>
      </c>
      <c r="S663" s="383">
        <f t="shared" si="352"/>
        <v>2.9285530376777613E-2</v>
      </c>
    </row>
    <row r="664" spans="1:19" ht="12.75" customHeight="1" x14ac:dyDescent="0.2">
      <c r="A664" s="198" t="str">
        <f>"      "&amp;Labels!B386</f>
        <v xml:space="preserve">      Prof Level 2</v>
      </c>
      <c r="B664" s="303"/>
      <c r="C664" s="303"/>
      <c r="D664" s="303"/>
      <c r="E664" s="303"/>
      <c r="F664" s="303"/>
      <c r="G664" s="303"/>
      <c r="H664" s="303"/>
      <c r="I664" s="303"/>
      <c r="J664" s="303"/>
      <c r="K664" s="303"/>
      <c r="L664" s="303"/>
      <c r="M664" s="303"/>
      <c r="N664" s="303"/>
      <c r="O664" s="303"/>
      <c r="P664" s="303"/>
      <c r="Q664" s="303"/>
      <c r="R664" s="303"/>
      <c r="S664" s="383"/>
    </row>
    <row r="665" spans="1:19" ht="12.75" customHeight="1" x14ac:dyDescent="0.2">
      <c r="A665" s="198" t="str">
        <f>"         "&amp;Labels!B317</f>
        <v xml:space="preserve">         Channels 1</v>
      </c>
      <c r="B665" s="384">
        <f t="shared" ref="B665:S665" si="353">1-(1-B299)^(1/12)</f>
        <v>2.9285530376777613E-2</v>
      </c>
      <c r="C665" s="384">
        <f t="shared" si="353"/>
        <v>2.9285530376777613E-2</v>
      </c>
      <c r="D665" s="384">
        <f t="shared" si="353"/>
        <v>2.9285530376777613E-2</v>
      </c>
      <c r="E665" s="384">
        <f t="shared" si="353"/>
        <v>2.9285530376777613E-2</v>
      </c>
      <c r="F665" s="384">
        <f t="shared" si="353"/>
        <v>2.9285530376777613E-2</v>
      </c>
      <c r="G665" s="384">
        <f t="shared" si="353"/>
        <v>2.9285530376777613E-2</v>
      </c>
      <c r="H665" s="384">
        <f t="shared" si="353"/>
        <v>2.9285530376777613E-2</v>
      </c>
      <c r="I665" s="384">
        <f t="shared" si="353"/>
        <v>2.9285530376777613E-2</v>
      </c>
      <c r="J665" s="384">
        <f t="shared" si="353"/>
        <v>2.9285530376777613E-2</v>
      </c>
      <c r="K665" s="384">
        <f t="shared" si="353"/>
        <v>2.9285530376777613E-2</v>
      </c>
      <c r="L665" s="384">
        <f t="shared" si="353"/>
        <v>2.9285530376777613E-2</v>
      </c>
      <c r="M665" s="384">
        <f t="shared" si="353"/>
        <v>2.9285530376777613E-2</v>
      </c>
      <c r="N665" s="384">
        <f t="shared" si="353"/>
        <v>2.9285530376777613E-2</v>
      </c>
      <c r="O665" s="384">
        <f t="shared" si="353"/>
        <v>2.9285530376777613E-2</v>
      </c>
      <c r="P665" s="384">
        <f t="shared" si="353"/>
        <v>2.9285530376777613E-2</v>
      </c>
      <c r="Q665" s="384">
        <f t="shared" si="353"/>
        <v>2.9285530376777613E-2</v>
      </c>
      <c r="R665" s="384">
        <f t="shared" si="353"/>
        <v>2.9285530376777613E-2</v>
      </c>
      <c r="S665" s="385">
        <f t="shared" si="353"/>
        <v>2.9285530376777613E-2</v>
      </c>
    </row>
    <row r="666" spans="1:19" ht="12.75" customHeight="1" x14ac:dyDescent="0.2">
      <c r="A666" s="198" t="str">
        <f>"         "&amp;Labels!B318</f>
        <v xml:space="preserve">         Channels 2</v>
      </c>
      <c r="B666" s="384">
        <f t="shared" ref="B666:S666" si="354">1-(1-B300)^(1/12)</f>
        <v>2.9285530376777613E-2</v>
      </c>
      <c r="C666" s="384">
        <f t="shared" si="354"/>
        <v>2.9285530376777613E-2</v>
      </c>
      <c r="D666" s="384">
        <f t="shared" si="354"/>
        <v>2.9285530376777613E-2</v>
      </c>
      <c r="E666" s="384">
        <f t="shared" si="354"/>
        <v>2.9285530376777613E-2</v>
      </c>
      <c r="F666" s="384">
        <f t="shared" si="354"/>
        <v>2.9285530376777613E-2</v>
      </c>
      <c r="G666" s="384">
        <f t="shared" si="354"/>
        <v>2.9285530376777613E-2</v>
      </c>
      <c r="H666" s="384">
        <f t="shared" si="354"/>
        <v>2.9285530376777613E-2</v>
      </c>
      <c r="I666" s="384">
        <f t="shared" si="354"/>
        <v>2.9285530376777613E-2</v>
      </c>
      <c r="J666" s="384">
        <f t="shared" si="354"/>
        <v>2.9285530376777613E-2</v>
      </c>
      <c r="K666" s="384">
        <f t="shared" si="354"/>
        <v>2.9285530376777613E-2</v>
      </c>
      <c r="L666" s="384">
        <f t="shared" si="354"/>
        <v>2.9285530376777613E-2</v>
      </c>
      <c r="M666" s="384">
        <f t="shared" si="354"/>
        <v>2.9285530376777613E-2</v>
      </c>
      <c r="N666" s="384">
        <f t="shared" si="354"/>
        <v>2.9285530376777613E-2</v>
      </c>
      <c r="O666" s="384">
        <f t="shared" si="354"/>
        <v>2.9285530376777613E-2</v>
      </c>
      <c r="P666" s="384">
        <f t="shared" si="354"/>
        <v>2.9285530376777613E-2</v>
      </c>
      <c r="Q666" s="384">
        <f t="shared" si="354"/>
        <v>2.9285530376777613E-2</v>
      </c>
      <c r="R666" s="384">
        <f t="shared" si="354"/>
        <v>2.9285530376777613E-2</v>
      </c>
      <c r="S666" s="385">
        <f t="shared" si="354"/>
        <v>2.9285530376777613E-2</v>
      </c>
    </row>
    <row r="667" spans="1:19" ht="12.75" customHeight="1" x14ac:dyDescent="0.2">
      <c r="A667" s="198" t="str">
        <f>"         "&amp;Labels!C316</f>
        <v xml:space="preserve">         Total</v>
      </c>
      <c r="B667" s="303">
        <f t="shared" ref="B667:S667" si="355">AVERAGE(B665:B666)</f>
        <v>2.9285530376777613E-2</v>
      </c>
      <c r="C667" s="303">
        <f t="shared" si="355"/>
        <v>2.9285530376777613E-2</v>
      </c>
      <c r="D667" s="303">
        <f t="shared" si="355"/>
        <v>2.9285530376777613E-2</v>
      </c>
      <c r="E667" s="303">
        <f t="shared" si="355"/>
        <v>2.9285530376777613E-2</v>
      </c>
      <c r="F667" s="303">
        <f t="shared" si="355"/>
        <v>2.9285530376777613E-2</v>
      </c>
      <c r="G667" s="303">
        <f t="shared" si="355"/>
        <v>2.9285530376777613E-2</v>
      </c>
      <c r="H667" s="303">
        <f t="shared" si="355"/>
        <v>2.9285530376777613E-2</v>
      </c>
      <c r="I667" s="303">
        <f t="shared" si="355"/>
        <v>2.9285530376777613E-2</v>
      </c>
      <c r="J667" s="303">
        <f t="shared" si="355"/>
        <v>2.9285530376777613E-2</v>
      </c>
      <c r="K667" s="303">
        <f t="shared" si="355"/>
        <v>2.9285530376777613E-2</v>
      </c>
      <c r="L667" s="303">
        <f t="shared" si="355"/>
        <v>2.9285530376777613E-2</v>
      </c>
      <c r="M667" s="303">
        <f t="shared" si="355"/>
        <v>2.9285530376777613E-2</v>
      </c>
      <c r="N667" s="303">
        <f t="shared" si="355"/>
        <v>2.9285530376777613E-2</v>
      </c>
      <c r="O667" s="303">
        <f t="shared" si="355"/>
        <v>2.9285530376777613E-2</v>
      </c>
      <c r="P667" s="303">
        <f t="shared" si="355"/>
        <v>2.9285530376777613E-2</v>
      </c>
      <c r="Q667" s="303">
        <f t="shared" si="355"/>
        <v>2.9285530376777613E-2</v>
      </c>
      <c r="R667" s="303">
        <f t="shared" si="355"/>
        <v>2.9285530376777613E-2</v>
      </c>
      <c r="S667" s="383">
        <f t="shared" si="355"/>
        <v>2.9285530376777613E-2</v>
      </c>
    </row>
    <row r="668" spans="1:19" ht="12.75" customHeight="1" x14ac:dyDescent="0.2">
      <c r="A668" s="188" t="str">
        <f>"      "&amp;Labels!C384</f>
        <v xml:space="preserve">      Total</v>
      </c>
      <c r="B668" s="275">
        <f t="shared" ref="B668:S668" si="356">AVERAGE(B663,B667)</f>
        <v>2.9285530376777613E-2</v>
      </c>
      <c r="C668" s="275">
        <f t="shared" si="356"/>
        <v>2.9285530376777613E-2</v>
      </c>
      <c r="D668" s="275">
        <f t="shared" si="356"/>
        <v>2.9285530376777613E-2</v>
      </c>
      <c r="E668" s="275">
        <f t="shared" si="356"/>
        <v>2.9285530376777613E-2</v>
      </c>
      <c r="F668" s="275">
        <f t="shared" si="356"/>
        <v>2.9285530376777613E-2</v>
      </c>
      <c r="G668" s="275">
        <f t="shared" si="356"/>
        <v>2.9285530376777613E-2</v>
      </c>
      <c r="H668" s="275">
        <f t="shared" si="356"/>
        <v>2.9285530376777613E-2</v>
      </c>
      <c r="I668" s="275">
        <f t="shared" si="356"/>
        <v>2.9285530376777613E-2</v>
      </c>
      <c r="J668" s="275">
        <f t="shared" si="356"/>
        <v>2.9285530376777613E-2</v>
      </c>
      <c r="K668" s="275">
        <f t="shared" si="356"/>
        <v>2.9285530376777613E-2</v>
      </c>
      <c r="L668" s="275">
        <f t="shared" si="356"/>
        <v>2.9285530376777613E-2</v>
      </c>
      <c r="M668" s="275">
        <f t="shared" si="356"/>
        <v>2.9285530376777613E-2</v>
      </c>
      <c r="N668" s="275">
        <f t="shared" si="356"/>
        <v>2.9285530376777613E-2</v>
      </c>
      <c r="O668" s="275">
        <f t="shared" si="356"/>
        <v>2.9285530376777613E-2</v>
      </c>
      <c r="P668" s="275">
        <f t="shared" si="356"/>
        <v>2.9285530376777613E-2</v>
      </c>
      <c r="Q668" s="275">
        <f t="shared" si="356"/>
        <v>2.9285530376777613E-2</v>
      </c>
      <c r="R668" s="275">
        <f t="shared" si="356"/>
        <v>2.9285530376777613E-2</v>
      </c>
      <c r="S668" s="276">
        <f t="shared" si="356"/>
        <v>2.9285530376777613E-2</v>
      </c>
    </row>
    <row r="669" spans="1:19" ht="12.75" customHeight="1" x14ac:dyDescent="0.2">
      <c r="A669" s="198" t="str">
        <f>"         "&amp;Labels!B317</f>
        <v xml:space="preserve">         Channels 1</v>
      </c>
      <c r="B669" s="384">
        <f t="shared" ref="B669:S669" si="357">AVERAGE(B661,B665)</f>
        <v>2.9285530376777613E-2</v>
      </c>
      <c r="C669" s="384">
        <f t="shared" si="357"/>
        <v>2.9285530376777613E-2</v>
      </c>
      <c r="D669" s="384">
        <f t="shared" si="357"/>
        <v>2.9285530376777613E-2</v>
      </c>
      <c r="E669" s="384">
        <f t="shared" si="357"/>
        <v>2.9285530376777613E-2</v>
      </c>
      <c r="F669" s="384">
        <f t="shared" si="357"/>
        <v>2.9285530376777613E-2</v>
      </c>
      <c r="G669" s="384">
        <f t="shared" si="357"/>
        <v>2.9285530376777613E-2</v>
      </c>
      <c r="H669" s="384">
        <f t="shared" si="357"/>
        <v>2.9285530376777613E-2</v>
      </c>
      <c r="I669" s="384">
        <f t="shared" si="357"/>
        <v>2.9285530376777613E-2</v>
      </c>
      <c r="J669" s="384">
        <f t="shared" si="357"/>
        <v>2.9285530376777613E-2</v>
      </c>
      <c r="K669" s="384">
        <f t="shared" si="357"/>
        <v>2.9285530376777613E-2</v>
      </c>
      <c r="L669" s="384">
        <f t="shared" si="357"/>
        <v>2.9285530376777613E-2</v>
      </c>
      <c r="M669" s="384">
        <f t="shared" si="357"/>
        <v>2.9285530376777613E-2</v>
      </c>
      <c r="N669" s="384">
        <f t="shared" si="357"/>
        <v>2.9285530376777613E-2</v>
      </c>
      <c r="O669" s="384">
        <f t="shared" si="357"/>
        <v>2.9285530376777613E-2</v>
      </c>
      <c r="P669" s="384">
        <f t="shared" si="357"/>
        <v>2.9285530376777613E-2</v>
      </c>
      <c r="Q669" s="384">
        <f t="shared" si="357"/>
        <v>2.9285530376777613E-2</v>
      </c>
      <c r="R669" s="384">
        <f t="shared" si="357"/>
        <v>2.9285530376777613E-2</v>
      </c>
      <c r="S669" s="385">
        <f t="shared" si="357"/>
        <v>2.9285530376777613E-2</v>
      </c>
    </row>
    <row r="670" spans="1:19" ht="12.75" customHeight="1" x14ac:dyDescent="0.2">
      <c r="A670" s="198" t="str">
        <f>"         "&amp;Labels!B318</f>
        <v xml:space="preserve">         Channels 2</v>
      </c>
      <c r="B670" s="384">
        <f t="shared" ref="B670:S670" si="358">AVERAGE(B662,B666)</f>
        <v>2.9285530376777613E-2</v>
      </c>
      <c r="C670" s="384">
        <f t="shared" si="358"/>
        <v>2.9285530376777613E-2</v>
      </c>
      <c r="D670" s="384">
        <f t="shared" si="358"/>
        <v>2.9285530376777613E-2</v>
      </c>
      <c r="E670" s="384">
        <f t="shared" si="358"/>
        <v>2.9285530376777613E-2</v>
      </c>
      <c r="F670" s="384">
        <f t="shared" si="358"/>
        <v>2.9285530376777613E-2</v>
      </c>
      <c r="G670" s="384">
        <f t="shared" si="358"/>
        <v>2.9285530376777613E-2</v>
      </c>
      <c r="H670" s="384">
        <f t="shared" si="358"/>
        <v>2.9285530376777613E-2</v>
      </c>
      <c r="I670" s="384">
        <f t="shared" si="358"/>
        <v>2.9285530376777613E-2</v>
      </c>
      <c r="J670" s="384">
        <f t="shared" si="358"/>
        <v>2.9285530376777613E-2</v>
      </c>
      <c r="K670" s="384">
        <f t="shared" si="358"/>
        <v>2.9285530376777613E-2</v>
      </c>
      <c r="L670" s="384">
        <f t="shared" si="358"/>
        <v>2.9285530376777613E-2</v>
      </c>
      <c r="M670" s="384">
        <f t="shared" si="358"/>
        <v>2.9285530376777613E-2</v>
      </c>
      <c r="N670" s="384">
        <f t="shared" si="358"/>
        <v>2.9285530376777613E-2</v>
      </c>
      <c r="O670" s="384">
        <f t="shared" si="358"/>
        <v>2.9285530376777613E-2</v>
      </c>
      <c r="P670" s="384">
        <f t="shared" si="358"/>
        <v>2.9285530376777613E-2</v>
      </c>
      <c r="Q670" s="384">
        <f t="shared" si="358"/>
        <v>2.9285530376777613E-2</v>
      </c>
      <c r="R670" s="384">
        <f t="shared" si="358"/>
        <v>2.9285530376777613E-2</v>
      </c>
      <c r="S670" s="385">
        <f t="shared" si="358"/>
        <v>2.9285530376777613E-2</v>
      </c>
    </row>
    <row r="671" spans="1:19" ht="12.75" customHeight="1" x14ac:dyDescent="0.2">
      <c r="A671" s="198" t="str">
        <f>"         "&amp;Labels!C316</f>
        <v xml:space="preserve">         Total</v>
      </c>
      <c r="B671" s="303">
        <f t="shared" ref="B671:S671" si="359">AVERAGE(B663,B667)</f>
        <v>2.9285530376777613E-2</v>
      </c>
      <c r="C671" s="303">
        <f t="shared" si="359"/>
        <v>2.9285530376777613E-2</v>
      </c>
      <c r="D671" s="303">
        <f t="shared" si="359"/>
        <v>2.9285530376777613E-2</v>
      </c>
      <c r="E671" s="303">
        <f t="shared" si="359"/>
        <v>2.9285530376777613E-2</v>
      </c>
      <c r="F671" s="303">
        <f t="shared" si="359"/>
        <v>2.9285530376777613E-2</v>
      </c>
      <c r="G671" s="303">
        <f t="shared" si="359"/>
        <v>2.9285530376777613E-2</v>
      </c>
      <c r="H671" s="303">
        <f t="shared" si="359"/>
        <v>2.9285530376777613E-2</v>
      </c>
      <c r="I671" s="303">
        <f t="shared" si="359"/>
        <v>2.9285530376777613E-2</v>
      </c>
      <c r="J671" s="303">
        <f t="shared" si="359"/>
        <v>2.9285530376777613E-2</v>
      </c>
      <c r="K671" s="303">
        <f t="shared" si="359"/>
        <v>2.9285530376777613E-2</v>
      </c>
      <c r="L671" s="303">
        <f t="shared" si="359"/>
        <v>2.9285530376777613E-2</v>
      </c>
      <c r="M671" s="303">
        <f t="shared" si="359"/>
        <v>2.9285530376777613E-2</v>
      </c>
      <c r="N671" s="303">
        <f t="shared" si="359"/>
        <v>2.9285530376777613E-2</v>
      </c>
      <c r="O671" s="303">
        <f t="shared" si="359"/>
        <v>2.9285530376777613E-2</v>
      </c>
      <c r="P671" s="303">
        <f t="shared" si="359"/>
        <v>2.9285530376777613E-2</v>
      </c>
      <c r="Q671" s="303">
        <f t="shared" si="359"/>
        <v>2.9285530376777613E-2</v>
      </c>
      <c r="R671" s="303">
        <f t="shared" si="359"/>
        <v>2.9285530376777613E-2</v>
      </c>
      <c r="S671" s="383">
        <f t="shared" si="359"/>
        <v>2.9285530376777613E-2</v>
      </c>
    </row>
    <row r="672" spans="1:19" ht="12.75" customHeight="1" x14ac:dyDescent="0.2">
      <c r="A672" s="191" t="str">
        <f>"   "&amp;Labels!C380</f>
        <v xml:space="preserve">   Total</v>
      </c>
      <c r="B672" s="300">
        <f t="shared" ref="B672:S672" si="360">AVERAGE(B655,B668)</f>
        <v>2.9285530376777613E-2</v>
      </c>
      <c r="C672" s="300">
        <f t="shared" si="360"/>
        <v>2.9285530376777613E-2</v>
      </c>
      <c r="D672" s="300">
        <f t="shared" si="360"/>
        <v>2.9285530376777613E-2</v>
      </c>
      <c r="E672" s="300">
        <f t="shared" si="360"/>
        <v>2.9285530376777613E-2</v>
      </c>
      <c r="F672" s="300">
        <f t="shared" si="360"/>
        <v>2.9285530376777613E-2</v>
      </c>
      <c r="G672" s="300">
        <f t="shared" si="360"/>
        <v>2.9285530376777613E-2</v>
      </c>
      <c r="H672" s="300">
        <f t="shared" si="360"/>
        <v>2.9285530376777613E-2</v>
      </c>
      <c r="I672" s="300">
        <f t="shared" si="360"/>
        <v>2.9285530376777613E-2</v>
      </c>
      <c r="J672" s="300">
        <f t="shared" si="360"/>
        <v>2.9285530376777613E-2</v>
      </c>
      <c r="K672" s="300">
        <f t="shared" si="360"/>
        <v>2.9285530376777613E-2</v>
      </c>
      <c r="L672" s="300">
        <f t="shared" si="360"/>
        <v>2.9285530376777613E-2</v>
      </c>
      <c r="M672" s="300">
        <f t="shared" si="360"/>
        <v>2.9285530376777613E-2</v>
      </c>
      <c r="N672" s="300">
        <f t="shared" si="360"/>
        <v>2.9285530376777613E-2</v>
      </c>
      <c r="O672" s="300">
        <f t="shared" si="360"/>
        <v>2.9285530376777613E-2</v>
      </c>
      <c r="P672" s="300">
        <f t="shared" si="360"/>
        <v>2.9285530376777613E-2</v>
      </c>
      <c r="Q672" s="300">
        <f t="shared" si="360"/>
        <v>2.9285530376777613E-2</v>
      </c>
      <c r="R672" s="300">
        <f t="shared" si="360"/>
        <v>2.9285530376777613E-2</v>
      </c>
      <c r="S672" s="386">
        <f t="shared" si="360"/>
        <v>2.9285530376777613E-2</v>
      </c>
    </row>
    <row r="673" spans="1:19" ht="12.75" customHeight="1" x14ac:dyDescent="0.2">
      <c r="A673" s="198" t="str">
        <f>"      "&amp;Labels!B385</f>
        <v xml:space="preserve">      Prof Level 1</v>
      </c>
      <c r="B673" s="303"/>
      <c r="C673" s="303"/>
      <c r="D673" s="303"/>
      <c r="E673" s="303"/>
      <c r="F673" s="303"/>
      <c r="G673" s="303"/>
      <c r="H673" s="303"/>
      <c r="I673" s="303"/>
      <c r="J673" s="303"/>
      <c r="K673" s="303"/>
      <c r="L673" s="303"/>
      <c r="M673" s="303"/>
      <c r="N673" s="303"/>
      <c r="O673" s="303"/>
      <c r="P673" s="303"/>
      <c r="Q673" s="303"/>
      <c r="R673" s="303"/>
      <c r="S673" s="383"/>
    </row>
    <row r="674" spans="1:19" ht="12.75" customHeight="1" x14ac:dyDescent="0.2">
      <c r="A674" s="198" t="str">
        <f>"         "&amp;Labels!B317</f>
        <v xml:space="preserve">         Channels 1</v>
      </c>
      <c r="B674" s="384">
        <f t="shared" ref="B674:S674" si="361">AVERAGE(B648,B661)</f>
        <v>2.9285530376777613E-2</v>
      </c>
      <c r="C674" s="384">
        <f t="shared" si="361"/>
        <v>2.9285530376777613E-2</v>
      </c>
      <c r="D674" s="384">
        <f t="shared" si="361"/>
        <v>2.9285530376777613E-2</v>
      </c>
      <c r="E674" s="384">
        <f t="shared" si="361"/>
        <v>2.9285530376777613E-2</v>
      </c>
      <c r="F674" s="384">
        <f t="shared" si="361"/>
        <v>2.9285530376777613E-2</v>
      </c>
      <c r="G674" s="384">
        <f t="shared" si="361"/>
        <v>2.9285530376777613E-2</v>
      </c>
      <c r="H674" s="384">
        <f t="shared" si="361"/>
        <v>2.9285530376777613E-2</v>
      </c>
      <c r="I674" s="384">
        <f t="shared" si="361"/>
        <v>2.9285530376777613E-2</v>
      </c>
      <c r="J674" s="384">
        <f t="shared" si="361"/>
        <v>2.9285530376777613E-2</v>
      </c>
      <c r="K674" s="384">
        <f t="shared" si="361"/>
        <v>2.9285530376777613E-2</v>
      </c>
      <c r="L674" s="384">
        <f t="shared" si="361"/>
        <v>2.9285530376777613E-2</v>
      </c>
      <c r="M674" s="384">
        <f t="shared" si="361"/>
        <v>2.9285530376777613E-2</v>
      </c>
      <c r="N674" s="384">
        <f t="shared" si="361"/>
        <v>2.9285530376777613E-2</v>
      </c>
      <c r="O674" s="384">
        <f t="shared" si="361"/>
        <v>2.9285530376777613E-2</v>
      </c>
      <c r="P674" s="384">
        <f t="shared" si="361"/>
        <v>2.9285530376777613E-2</v>
      </c>
      <c r="Q674" s="384">
        <f t="shared" si="361"/>
        <v>2.9285530376777613E-2</v>
      </c>
      <c r="R674" s="384">
        <f t="shared" si="361"/>
        <v>2.9285530376777613E-2</v>
      </c>
      <c r="S674" s="385">
        <f t="shared" si="361"/>
        <v>2.9285530376777613E-2</v>
      </c>
    </row>
    <row r="675" spans="1:19" ht="12.75" customHeight="1" x14ac:dyDescent="0.2">
      <c r="A675" s="198" t="str">
        <f>"         "&amp;Labels!B318</f>
        <v xml:space="preserve">         Channels 2</v>
      </c>
      <c r="B675" s="384">
        <f t="shared" ref="B675:S675" si="362">AVERAGE(B649,B662)</f>
        <v>2.9285530376777613E-2</v>
      </c>
      <c r="C675" s="384">
        <f t="shared" si="362"/>
        <v>2.9285530376777613E-2</v>
      </c>
      <c r="D675" s="384">
        <f t="shared" si="362"/>
        <v>2.9285530376777613E-2</v>
      </c>
      <c r="E675" s="384">
        <f t="shared" si="362"/>
        <v>2.9285530376777613E-2</v>
      </c>
      <c r="F675" s="384">
        <f t="shared" si="362"/>
        <v>2.9285530376777613E-2</v>
      </c>
      <c r="G675" s="384">
        <f t="shared" si="362"/>
        <v>2.9285530376777613E-2</v>
      </c>
      <c r="H675" s="384">
        <f t="shared" si="362"/>
        <v>2.9285530376777613E-2</v>
      </c>
      <c r="I675" s="384">
        <f t="shared" si="362"/>
        <v>2.9285530376777613E-2</v>
      </c>
      <c r="J675" s="384">
        <f t="shared" si="362"/>
        <v>2.9285530376777613E-2</v>
      </c>
      <c r="K675" s="384">
        <f t="shared" si="362"/>
        <v>2.9285530376777613E-2</v>
      </c>
      <c r="L675" s="384">
        <f t="shared" si="362"/>
        <v>2.9285530376777613E-2</v>
      </c>
      <c r="M675" s="384">
        <f t="shared" si="362"/>
        <v>2.9285530376777613E-2</v>
      </c>
      <c r="N675" s="384">
        <f t="shared" si="362"/>
        <v>2.9285530376777613E-2</v>
      </c>
      <c r="O675" s="384">
        <f t="shared" si="362"/>
        <v>2.9285530376777613E-2</v>
      </c>
      <c r="P675" s="384">
        <f t="shared" si="362"/>
        <v>2.9285530376777613E-2</v>
      </c>
      <c r="Q675" s="384">
        <f t="shared" si="362"/>
        <v>2.9285530376777613E-2</v>
      </c>
      <c r="R675" s="384">
        <f t="shared" si="362"/>
        <v>2.9285530376777613E-2</v>
      </c>
      <c r="S675" s="385">
        <f t="shared" si="362"/>
        <v>2.9285530376777613E-2</v>
      </c>
    </row>
    <row r="676" spans="1:19" ht="12.75" customHeight="1" x14ac:dyDescent="0.2">
      <c r="A676" s="198" t="str">
        <f>"         "&amp;Labels!C316</f>
        <v xml:space="preserve">         Total</v>
      </c>
      <c r="B676" s="303">
        <f t="shared" ref="B676:S676" si="363">AVERAGE(B650,B663)</f>
        <v>2.9285530376777613E-2</v>
      </c>
      <c r="C676" s="303">
        <f t="shared" si="363"/>
        <v>2.9285530376777613E-2</v>
      </c>
      <c r="D676" s="303">
        <f t="shared" si="363"/>
        <v>2.9285530376777613E-2</v>
      </c>
      <c r="E676" s="303">
        <f t="shared" si="363"/>
        <v>2.9285530376777613E-2</v>
      </c>
      <c r="F676" s="303">
        <f t="shared" si="363"/>
        <v>2.9285530376777613E-2</v>
      </c>
      <c r="G676" s="303">
        <f t="shared" si="363"/>
        <v>2.9285530376777613E-2</v>
      </c>
      <c r="H676" s="303">
        <f t="shared" si="363"/>
        <v>2.9285530376777613E-2</v>
      </c>
      <c r="I676" s="303">
        <f t="shared" si="363"/>
        <v>2.9285530376777613E-2</v>
      </c>
      <c r="J676" s="303">
        <f t="shared" si="363"/>
        <v>2.9285530376777613E-2</v>
      </c>
      <c r="K676" s="303">
        <f t="shared" si="363"/>
        <v>2.9285530376777613E-2</v>
      </c>
      <c r="L676" s="303">
        <f t="shared" si="363"/>
        <v>2.9285530376777613E-2</v>
      </c>
      <c r="M676" s="303">
        <f t="shared" si="363"/>
        <v>2.9285530376777613E-2</v>
      </c>
      <c r="N676" s="303">
        <f t="shared" si="363"/>
        <v>2.9285530376777613E-2</v>
      </c>
      <c r="O676" s="303">
        <f t="shared" si="363"/>
        <v>2.9285530376777613E-2</v>
      </c>
      <c r="P676" s="303">
        <f t="shared" si="363"/>
        <v>2.9285530376777613E-2</v>
      </c>
      <c r="Q676" s="303">
        <f t="shared" si="363"/>
        <v>2.9285530376777613E-2</v>
      </c>
      <c r="R676" s="303">
        <f t="shared" si="363"/>
        <v>2.9285530376777613E-2</v>
      </c>
      <c r="S676" s="383">
        <f t="shared" si="363"/>
        <v>2.9285530376777613E-2</v>
      </c>
    </row>
    <row r="677" spans="1:19" ht="12.75" customHeight="1" x14ac:dyDescent="0.2">
      <c r="A677" s="198" t="str">
        <f>"      "&amp;Labels!B386</f>
        <v xml:space="preserve">      Prof Level 2</v>
      </c>
      <c r="B677" s="303"/>
      <c r="C677" s="303"/>
      <c r="D677" s="303"/>
      <c r="E677" s="303"/>
      <c r="F677" s="303"/>
      <c r="G677" s="303"/>
      <c r="H677" s="303"/>
      <c r="I677" s="303"/>
      <c r="J677" s="303"/>
      <c r="K677" s="303"/>
      <c r="L677" s="303"/>
      <c r="M677" s="303"/>
      <c r="N677" s="303"/>
      <c r="O677" s="303"/>
      <c r="P677" s="303"/>
      <c r="Q677" s="303"/>
      <c r="R677" s="303"/>
      <c r="S677" s="383"/>
    </row>
    <row r="678" spans="1:19" ht="12.75" customHeight="1" x14ac:dyDescent="0.2">
      <c r="A678" s="198" t="str">
        <f>"         "&amp;Labels!B317</f>
        <v xml:space="preserve">         Channels 1</v>
      </c>
      <c r="B678" s="384">
        <f t="shared" ref="B678:S678" si="364">AVERAGE(B652,B665)</f>
        <v>2.9285530376777613E-2</v>
      </c>
      <c r="C678" s="384">
        <f t="shared" si="364"/>
        <v>2.9285530376777613E-2</v>
      </c>
      <c r="D678" s="384">
        <f t="shared" si="364"/>
        <v>2.9285530376777613E-2</v>
      </c>
      <c r="E678" s="384">
        <f t="shared" si="364"/>
        <v>2.9285530376777613E-2</v>
      </c>
      <c r="F678" s="384">
        <f t="shared" si="364"/>
        <v>2.9285530376777613E-2</v>
      </c>
      <c r="G678" s="384">
        <f t="shared" si="364"/>
        <v>2.9285530376777613E-2</v>
      </c>
      <c r="H678" s="384">
        <f t="shared" si="364"/>
        <v>2.9285530376777613E-2</v>
      </c>
      <c r="I678" s="384">
        <f t="shared" si="364"/>
        <v>2.9285530376777613E-2</v>
      </c>
      <c r="J678" s="384">
        <f t="shared" si="364"/>
        <v>2.9285530376777613E-2</v>
      </c>
      <c r="K678" s="384">
        <f t="shared" si="364"/>
        <v>2.9285530376777613E-2</v>
      </c>
      <c r="L678" s="384">
        <f t="shared" si="364"/>
        <v>2.9285530376777613E-2</v>
      </c>
      <c r="M678" s="384">
        <f t="shared" si="364"/>
        <v>2.9285530376777613E-2</v>
      </c>
      <c r="N678" s="384">
        <f t="shared" si="364"/>
        <v>2.9285530376777613E-2</v>
      </c>
      <c r="O678" s="384">
        <f t="shared" si="364"/>
        <v>2.9285530376777613E-2</v>
      </c>
      <c r="P678" s="384">
        <f t="shared" si="364"/>
        <v>2.9285530376777613E-2</v>
      </c>
      <c r="Q678" s="384">
        <f t="shared" si="364"/>
        <v>2.9285530376777613E-2</v>
      </c>
      <c r="R678" s="384">
        <f t="shared" si="364"/>
        <v>2.9285530376777613E-2</v>
      </c>
      <c r="S678" s="385">
        <f t="shared" si="364"/>
        <v>2.9285530376777613E-2</v>
      </c>
    </row>
    <row r="679" spans="1:19" ht="12.75" customHeight="1" x14ac:dyDescent="0.2">
      <c r="A679" s="198" t="str">
        <f>"         "&amp;Labels!B318</f>
        <v xml:space="preserve">         Channels 2</v>
      </c>
      <c r="B679" s="384">
        <f t="shared" ref="B679:S679" si="365">AVERAGE(B653,B666)</f>
        <v>2.9285530376777613E-2</v>
      </c>
      <c r="C679" s="384">
        <f t="shared" si="365"/>
        <v>2.9285530376777613E-2</v>
      </c>
      <c r="D679" s="384">
        <f t="shared" si="365"/>
        <v>2.9285530376777613E-2</v>
      </c>
      <c r="E679" s="384">
        <f t="shared" si="365"/>
        <v>2.9285530376777613E-2</v>
      </c>
      <c r="F679" s="384">
        <f t="shared" si="365"/>
        <v>2.9285530376777613E-2</v>
      </c>
      <c r="G679" s="384">
        <f t="shared" si="365"/>
        <v>2.9285530376777613E-2</v>
      </c>
      <c r="H679" s="384">
        <f t="shared" si="365"/>
        <v>2.9285530376777613E-2</v>
      </c>
      <c r="I679" s="384">
        <f t="shared" si="365"/>
        <v>2.9285530376777613E-2</v>
      </c>
      <c r="J679" s="384">
        <f t="shared" si="365"/>
        <v>2.9285530376777613E-2</v>
      </c>
      <c r="K679" s="384">
        <f t="shared" si="365"/>
        <v>2.9285530376777613E-2</v>
      </c>
      <c r="L679" s="384">
        <f t="shared" si="365"/>
        <v>2.9285530376777613E-2</v>
      </c>
      <c r="M679" s="384">
        <f t="shared" si="365"/>
        <v>2.9285530376777613E-2</v>
      </c>
      <c r="N679" s="384">
        <f t="shared" si="365"/>
        <v>2.9285530376777613E-2</v>
      </c>
      <c r="O679" s="384">
        <f t="shared" si="365"/>
        <v>2.9285530376777613E-2</v>
      </c>
      <c r="P679" s="384">
        <f t="shared" si="365"/>
        <v>2.9285530376777613E-2</v>
      </c>
      <c r="Q679" s="384">
        <f t="shared" si="365"/>
        <v>2.9285530376777613E-2</v>
      </c>
      <c r="R679" s="384">
        <f t="shared" si="365"/>
        <v>2.9285530376777613E-2</v>
      </c>
      <c r="S679" s="385">
        <f t="shared" si="365"/>
        <v>2.9285530376777613E-2</v>
      </c>
    </row>
    <row r="680" spans="1:19" ht="12.75" customHeight="1" x14ac:dyDescent="0.2">
      <c r="A680" s="198" t="str">
        <f>"         "&amp;Labels!C316</f>
        <v xml:space="preserve">         Total</v>
      </c>
      <c r="B680" s="303">
        <f t="shared" ref="B680:S680" si="366">AVERAGE(B654,B667)</f>
        <v>2.9285530376777613E-2</v>
      </c>
      <c r="C680" s="303">
        <f t="shared" si="366"/>
        <v>2.9285530376777613E-2</v>
      </c>
      <c r="D680" s="303">
        <f t="shared" si="366"/>
        <v>2.9285530376777613E-2</v>
      </c>
      <c r="E680" s="303">
        <f t="shared" si="366"/>
        <v>2.9285530376777613E-2</v>
      </c>
      <c r="F680" s="303">
        <f t="shared" si="366"/>
        <v>2.9285530376777613E-2</v>
      </c>
      <c r="G680" s="303">
        <f t="shared" si="366"/>
        <v>2.9285530376777613E-2</v>
      </c>
      <c r="H680" s="303">
        <f t="shared" si="366"/>
        <v>2.9285530376777613E-2</v>
      </c>
      <c r="I680" s="303">
        <f t="shared" si="366"/>
        <v>2.9285530376777613E-2</v>
      </c>
      <c r="J680" s="303">
        <f t="shared" si="366"/>
        <v>2.9285530376777613E-2</v>
      </c>
      <c r="K680" s="303">
        <f t="shared" si="366"/>
        <v>2.9285530376777613E-2</v>
      </c>
      <c r="L680" s="303">
        <f t="shared" si="366"/>
        <v>2.9285530376777613E-2</v>
      </c>
      <c r="M680" s="303">
        <f t="shared" si="366"/>
        <v>2.9285530376777613E-2</v>
      </c>
      <c r="N680" s="303">
        <f t="shared" si="366"/>
        <v>2.9285530376777613E-2</v>
      </c>
      <c r="O680" s="303">
        <f t="shared" si="366"/>
        <v>2.9285530376777613E-2</v>
      </c>
      <c r="P680" s="303">
        <f t="shared" si="366"/>
        <v>2.9285530376777613E-2</v>
      </c>
      <c r="Q680" s="303">
        <f t="shared" si="366"/>
        <v>2.9285530376777613E-2</v>
      </c>
      <c r="R680" s="303">
        <f t="shared" si="366"/>
        <v>2.9285530376777613E-2</v>
      </c>
      <c r="S680" s="383">
        <f t="shared" si="366"/>
        <v>2.9285530376777613E-2</v>
      </c>
    </row>
    <row r="681" spans="1:19" ht="12.75" customHeight="1" x14ac:dyDescent="0.2">
      <c r="A681" s="188" t="str">
        <f>"      "&amp;Labels!C384</f>
        <v xml:space="preserve">      Total</v>
      </c>
      <c r="B681" s="275">
        <f t="shared" ref="B681:S681" si="367">AVERAGE(B655,B668)</f>
        <v>2.9285530376777613E-2</v>
      </c>
      <c r="C681" s="275">
        <f t="shared" si="367"/>
        <v>2.9285530376777613E-2</v>
      </c>
      <c r="D681" s="275">
        <f t="shared" si="367"/>
        <v>2.9285530376777613E-2</v>
      </c>
      <c r="E681" s="275">
        <f t="shared" si="367"/>
        <v>2.9285530376777613E-2</v>
      </c>
      <c r="F681" s="275">
        <f t="shared" si="367"/>
        <v>2.9285530376777613E-2</v>
      </c>
      <c r="G681" s="275">
        <f t="shared" si="367"/>
        <v>2.9285530376777613E-2</v>
      </c>
      <c r="H681" s="275">
        <f t="shared" si="367"/>
        <v>2.9285530376777613E-2</v>
      </c>
      <c r="I681" s="275">
        <f t="shared" si="367"/>
        <v>2.9285530376777613E-2</v>
      </c>
      <c r="J681" s="275">
        <f t="shared" si="367"/>
        <v>2.9285530376777613E-2</v>
      </c>
      <c r="K681" s="275">
        <f t="shared" si="367"/>
        <v>2.9285530376777613E-2</v>
      </c>
      <c r="L681" s="275">
        <f t="shared" si="367"/>
        <v>2.9285530376777613E-2</v>
      </c>
      <c r="M681" s="275">
        <f t="shared" si="367"/>
        <v>2.9285530376777613E-2</v>
      </c>
      <c r="N681" s="275">
        <f t="shared" si="367"/>
        <v>2.9285530376777613E-2</v>
      </c>
      <c r="O681" s="275">
        <f t="shared" si="367"/>
        <v>2.9285530376777613E-2</v>
      </c>
      <c r="P681" s="275">
        <f t="shared" si="367"/>
        <v>2.9285530376777613E-2</v>
      </c>
      <c r="Q681" s="275">
        <f t="shared" si="367"/>
        <v>2.9285530376777613E-2</v>
      </c>
      <c r="R681" s="275">
        <f t="shared" si="367"/>
        <v>2.9285530376777613E-2</v>
      </c>
      <c r="S681" s="276">
        <f t="shared" si="367"/>
        <v>2.9285530376777613E-2</v>
      </c>
    </row>
    <row r="682" spans="1:19" ht="12.75" customHeight="1" x14ac:dyDescent="0.2">
      <c r="A682" s="198" t="str">
        <f>"         "&amp;Labels!B317</f>
        <v xml:space="preserve">         Channels 1</v>
      </c>
      <c r="B682" s="384">
        <f t="shared" ref="B682:S682" si="368">AVERAGE(B656,B669)</f>
        <v>2.9285530376777613E-2</v>
      </c>
      <c r="C682" s="384">
        <f t="shared" si="368"/>
        <v>2.9285530376777613E-2</v>
      </c>
      <c r="D682" s="384">
        <f t="shared" si="368"/>
        <v>2.9285530376777613E-2</v>
      </c>
      <c r="E682" s="384">
        <f t="shared" si="368"/>
        <v>2.9285530376777613E-2</v>
      </c>
      <c r="F682" s="384">
        <f t="shared" si="368"/>
        <v>2.9285530376777613E-2</v>
      </c>
      <c r="G682" s="384">
        <f t="shared" si="368"/>
        <v>2.9285530376777613E-2</v>
      </c>
      <c r="H682" s="384">
        <f t="shared" si="368"/>
        <v>2.9285530376777613E-2</v>
      </c>
      <c r="I682" s="384">
        <f t="shared" si="368"/>
        <v>2.9285530376777613E-2</v>
      </c>
      <c r="J682" s="384">
        <f t="shared" si="368"/>
        <v>2.9285530376777613E-2</v>
      </c>
      <c r="K682" s="384">
        <f t="shared" si="368"/>
        <v>2.9285530376777613E-2</v>
      </c>
      <c r="L682" s="384">
        <f t="shared" si="368"/>
        <v>2.9285530376777613E-2</v>
      </c>
      <c r="M682" s="384">
        <f t="shared" si="368"/>
        <v>2.9285530376777613E-2</v>
      </c>
      <c r="N682" s="384">
        <f t="shared" si="368"/>
        <v>2.9285530376777613E-2</v>
      </c>
      <c r="O682" s="384">
        <f t="shared" si="368"/>
        <v>2.9285530376777613E-2</v>
      </c>
      <c r="P682" s="384">
        <f t="shared" si="368"/>
        <v>2.9285530376777613E-2</v>
      </c>
      <c r="Q682" s="384">
        <f t="shared" si="368"/>
        <v>2.9285530376777613E-2</v>
      </c>
      <c r="R682" s="384">
        <f t="shared" si="368"/>
        <v>2.9285530376777613E-2</v>
      </c>
      <c r="S682" s="385">
        <f t="shared" si="368"/>
        <v>2.9285530376777613E-2</v>
      </c>
    </row>
    <row r="683" spans="1:19" ht="12.75" customHeight="1" x14ac:dyDescent="0.2">
      <c r="A683" s="198" t="str">
        <f>"         "&amp;Labels!B318</f>
        <v xml:space="preserve">         Channels 2</v>
      </c>
      <c r="B683" s="384">
        <f t="shared" ref="B683:S683" si="369">AVERAGE(B657,B670)</f>
        <v>2.9285530376777613E-2</v>
      </c>
      <c r="C683" s="384">
        <f t="shared" si="369"/>
        <v>2.9285530376777613E-2</v>
      </c>
      <c r="D683" s="384">
        <f t="shared" si="369"/>
        <v>2.9285530376777613E-2</v>
      </c>
      <c r="E683" s="384">
        <f t="shared" si="369"/>
        <v>2.9285530376777613E-2</v>
      </c>
      <c r="F683" s="384">
        <f t="shared" si="369"/>
        <v>2.9285530376777613E-2</v>
      </c>
      <c r="G683" s="384">
        <f t="shared" si="369"/>
        <v>2.9285530376777613E-2</v>
      </c>
      <c r="H683" s="384">
        <f t="shared" si="369"/>
        <v>2.9285530376777613E-2</v>
      </c>
      <c r="I683" s="384">
        <f t="shared" si="369"/>
        <v>2.9285530376777613E-2</v>
      </c>
      <c r="J683" s="384">
        <f t="shared" si="369"/>
        <v>2.9285530376777613E-2</v>
      </c>
      <c r="K683" s="384">
        <f t="shared" si="369"/>
        <v>2.9285530376777613E-2</v>
      </c>
      <c r="L683" s="384">
        <f t="shared" si="369"/>
        <v>2.9285530376777613E-2</v>
      </c>
      <c r="M683" s="384">
        <f t="shared" si="369"/>
        <v>2.9285530376777613E-2</v>
      </c>
      <c r="N683" s="384">
        <f t="shared" si="369"/>
        <v>2.9285530376777613E-2</v>
      </c>
      <c r="O683" s="384">
        <f t="shared" si="369"/>
        <v>2.9285530376777613E-2</v>
      </c>
      <c r="P683" s="384">
        <f t="shared" si="369"/>
        <v>2.9285530376777613E-2</v>
      </c>
      <c r="Q683" s="384">
        <f t="shared" si="369"/>
        <v>2.9285530376777613E-2</v>
      </c>
      <c r="R683" s="384">
        <f t="shared" si="369"/>
        <v>2.9285530376777613E-2</v>
      </c>
      <c r="S683" s="385">
        <f t="shared" si="369"/>
        <v>2.9285530376777613E-2</v>
      </c>
    </row>
    <row r="684" spans="1:19" ht="12.75" customHeight="1" x14ac:dyDescent="0.2">
      <c r="A684" s="198" t="str">
        <f>"         "&amp;Labels!C316</f>
        <v xml:space="preserve">         Total</v>
      </c>
      <c r="B684" s="303">
        <f t="shared" ref="B684:S684" si="370">AVERAGE(B655,B668)</f>
        <v>2.9285530376777613E-2</v>
      </c>
      <c r="C684" s="303">
        <f t="shared" si="370"/>
        <v>2.9285530376777613E-2</v>
      </c>
      <c r="D684" s="303">
        <f t="shared" si="370"/>
        <v>2.9285530376777613E-2</v>
      </c>
      <c r="E684" s="303">
        <f t="shared" si="370"/>
        <v>2.9285530376777613E-2</v>
      </c>
      <c r="F684" s="303">
        <f t="shared" si="370"/>
        <v>2.9285530376777613E-2</v>
      </c>
      <c r="G684" s="303">
        <f t="shared" si="370"/>
        <v>2.9285530376777613E-2</v>
      </c>
      <c r="H684" s="303">
        <f t="shared" si="370"/>
        <v>2.9285530376777613E-2</v>
      </c>
      <c r="I684" s="303">
        <f t="shared" si="370"/>
        <v>2.9285530376777613E-2</v>
      </c>
      <c r="J684" s="303">
        <f t="shared" si="370"/>
        <v>2.9285530376777613E-2</v>
      </c>
      <c r="K684" s="303">
        <f t="shared" si="370"/>
        <v>2.9285530376777613E-2</v>
      </c>
      <c r="L684" s="303">
        <f t="shared" si="370"/>
        <v>2.9285530376777613E-2</v>
      </c>
      <c r="M684" s="303">
        <f t="shared" si="370"/>
        <v>2.9285530376777613E-2</v>
      </c>
      <c r="N684" s="303">
        <f t="shared" si="370"/>
        <v>2.9285530376777613E-2</v>
      </c>
      <c r="O684" s="303">
        <f t="shared" si="370"/>
        <v>2.9285530376777613E-2</v>
      </c>
      <c r="P684" s="303">
        <f t="shared" si="370"/>
        <v>2.9285530376777613E-2</v>
      </c>
      <c r="Q684" s="303">
        <f t="shared" si="370"/>
        <v>2.9285530376777613E-2</v>
      </c>
      <c r="R684" s="303">
        <f t="shared" si="370"/>
        <v>2.9285530376777613E-2</v>
      </c>
      <c r="S684" s="383">
        <f t="shared" si="370"/>
        <v>2.9285530376777613E-2</v>
      </c>
    </row>
    <row r="685" spans="1:19" ht="12.75" customHeight="1" x14ac:dyDescent="0.2">
      <c r="A685" s="97" t="str">
        <f>Labels!C388</f>
        <v>Total</v>
      </c>
      <c r="B685" s="387">
        <f t="shared" ref="B685:S685" si="371">AVERAGE(B632,B672)</f>
        <v>2.9285530376777613E-2</v>
      </c>
      <c r="C685" s="387">
        <f t="shared" si="371"/>
        <v>2.9285530376777613E-2</v>
      </c>
      <c r="D685" s="387">
        <f t="shared" si="371"/>
        <v>2.9285530376777613E-2</v>
      </c>
      <c r="E685" s="387">
        <f t="shared" si="371"/>
        <v>2.9285530376777613E-2</v>
      </c>
      <c r="F685" s="387">
        <f t="shared" si="371"/>
        <v>2.9285530376777613E-2</v>
      </c>
      <c r="G685" s="387">
        <f t="shared" si="371"/>
        <v>2.9285530376777613E-2</v>
      </c>
      <c r="H685" s="387">
        <f t="shared" si="371"/>
        <v>2.9285530376777613E-2</v>
      </c>
      <c r="I685" s="387">
        <f t="shared" si="371"/>
        <v>2.9285530376777613E-2</v>
      </c>
      <c r="J685" s="387">
        <f t="shared" si="371"/>
        <v>2.9285530376777613E-2</v>
      </c>
      <c r="K685" s="387">
        <f t="shared" si="371"/>
        <v>2.9285530376777613E-2</v>
      </c>
      <c r="L685" s="387">
        <f t="shared" si="371"/>
        <v>2.9285530376777613E-2</v>
      </c>
      <c r="M685" s="387">
        <f t="shared" si="371"/>
        <v>2.9285530376777613E-2</v>
      </c>
      <c r="N685" s="387">
        <f t="shared" si="371"/>
        <v>2.9285530376777613E-2</v>
      </c>
      <c r="O685" s="387">
        <f t="shared" si="371"/>
        <v>2.9285530376777613E-2</v>
      </c>
      <c r="P685" s="387">
        <f t="shared" si="371"/>
        <v>2.9285530376777613E-2</v>
      </c>
      <c r="Q685" s="387">
        <f t="shared" si="371"/>
        <v>2.9285530376777613E-2</v>
      </c>
      <c r="R685" s="387">
        <f t="shared" si="371"/>
        <v>2.9285530376777613E-2</v>
      </c>
      <c r="S685" s="388">
        <f t="shared" si="371"/>
        <v>2.9285530376777613E-2</v>
      </c>
    </row>
    <row r="686" spans="1:19" ht="12.75" customHeight="1" x14ac:dyDescent="0.2">
      <c r="A686" s="188" t="str">
        <f>"   "&amp;Labels!B381</f>
        <v xml:space="preserve">   Practice 1</v>
      </c>
      <c r="B686" s="275"/>
      <c r="C686" s="275"/>
      <c r="D686" s="275"/>
      <c r="E686" s="275"/>
      <c r="F686" s="275"/>
      <c r="G686" s="275"/>
      <c r="H686" s="275"/>
      <c r="I686" s="275"/>
      <c r="J686" s="275"/>
      <c r="K686" s="275"/>
      <c r="L686" s="275"/>
      <c r="M686" s="275"/>
      <c r="N686" s="275"/>
      <c r="O686" s="275"/>
      <c r="P686" s="275"/>
      <c r="Q686" s="275"/>
      <c r="R686" s="275"/>
      <c r="S686" s="276"/>
    </row>
    <row r="687" spans="1:19" ht="12.75" customHeight="1" x14ac:dyDescent="0.2">
      <c r="A687" s="198" t="str">
        <f>"      "&amp;Labels!B385</f>
        <v xml:space="preserve">      Prof Level 1</v>
      </c>
      <c r="B687" s="303"/>
      <c r="C687" s="303"/>
      <c r="D687" s="303"/>
      <c r="E687" s="303"/>
      <c r="F687" s="303"/>
      <c r="G687" s="303"/>
      <c r="H687" s="303"/>
      <c r="I687" s="303"/>
      <c r="J687" s="303"/>
      <c r="K687" s="303"/>
      <c r="L687" s="303"/>
      <c r="M687" s="303"/>
      <c r="N687" s="303"/>
      <c r="O687" s="303"/>
      <c r="P687" s="303"/>
      <c r="Q687" s="303"/>
      <c r="R687" s="303"/>
      <c r="S687" s="383"/>
    </row>
    <row r="688" spans="1:19" ht="12.75" customHeight="1" x14ac:dyDescent="0.2">
      <c r="A688" s="198" t="str">
        <f>"         "&amp;Labels!B317</f>
        <v xml:space="preserve">         Channels 1</v>
      </c>
      <c r="B688" s="384">
        <f t="shared" ref="B688:S688" si="372">AVERAGE(B608,B648)</f>
        <v>2.9285530376777613E-2</v>
      </c>
      <c r="C688" s="384">
        <f t="shared" si="372"/>
        <v>2.9285530376777613E-2</v>
      </c>
      <c r="D688" s="384">
        <f t="shared" si="372"/>
        <v>2.9285530376777613E-2</v>
      </c>
      <c r="E688" s="384">
        <f t="shared" si="372"/>
        <v>2.9285530376777613E-2</v>
      </c>
      <c r="F688" s="384">
        <f t="shared" si="372"/>
        <v>2.9285530376777613E-2</v>
      </c>
      <c r="G688" s="384">
        <f t="shared" si="372"/>
        <v>2.9285530376777613E-2</v>
      </c>
      <c r="H688" s="384">
        <f t="shared" si="372"/>
        <v>2.9285530376777613E-2</v>
      </c>
      <c r="I688" s="384">
        <f t="shared" si="372"/>
        <v>2.9285530376777613E-2</v>
      </c>
      <c r="J688" s="384">
        <f t="shared" si="372"/>
        <v>2.9285530376777613E-2</v>
      </c>
      <c r="K688" s="384">
        <f t="shared" si="372"/>
        <v>2.9285530376777613E-2</v>
      </c>
      <c r="L688" s="384">
        <f t="shared" si="372"/>
        <v>2.9285530376777613E-2</v>
      </c>
      <c r="M688" s="384">
        <f t="shared" si="372"/>
        <v>2.9285530376777613E-2</v>
      </c>
      <c r="N688" s="384">
        <f t="shared" si="372"/>
        <v>2.9285530376777613E-2</v>
      </c>
      <c r="O688" s="384">
        <f t="shared" si="372"/>
        <v>2.9285530376777613E-2</v>
      </c>
      <c r="P688" s="384">
        <f t="shared" si="372"/>
        <v>2.9285530376777613E-2</v>
      </c>
      <c r="Q688" s="384">
        <f t="shared" si="372"/>
        <v>2.9285530376777613E-2</v>
      </c>
      <c r="R688" s="384">
        <f t="shared" si="372"/>
        <v>2.9285530376777613E-2</v>
      </c>
      <c r="S688" s="385">
        <f t="shared" si="372"/>
        <v>2.9285530376777613E-2</v>
      </c>
    </row>
    <row r="689" spans="1:19" ht="12.75" customHeight="1" x14ac:dyDescent="0.2">
      <c r="A689" s="198" t="str">
        <f>"         "&amp;Labels!B318</f>
        <v xml:space="preserve">         Channels 2</v>
      </c>
      <c r="B689" s="384">
        <f t="shared" ref="B689:S689" si="373">AVERAGE(B609,B649)</f>
        <v>2.9285530376777613E-2</v>
      </c>
      <c r="C689" s="384">
        <f t="shared" si="373"/>
        <v>2.9285530376777613E-2</v>
      </c>
      <c r="D689" s="384">
        <f t="shared" si="373"/>
        <v>2.9285530376777613E-2</v>
      </c>
      <c r="E689" s="384">
        <f t="shared" si="373"/>
        <v>2.9285530376777613E-2</v>
      </c>
      <c r="F689" s="384">
        <f t="shared" si="373"/>
        <v>2.9285530376777613E-2</v>
      </c>
      <c r="G689" s="384">
        <f t="shared" si="373"/>
        <v>2.9285530376777613E-2</v>
      </c>
      <c r="H689" s="384">
        <f t="shared" si="373"/>
        <v>2.9285530376777613E-2</v>
      </c>
      <c r="I689" s="384">
        <f t="shared" si="373"/>
        <v>2.9285530376777613E-2</v>
      </c>
      <c r="J689" s="384">
        <f t="shared" si="373"/>
        <v>2.9285530376777613E-2</v>
      </c>
      <c r="K689" s="384">
        <f t="shared" si="373"/>
        <v>2.9285530376777613E-2</v>
      </c>
      <c r="L689" s="384">
        <f t="shared" si="373"/>
        <v>2.9285530376777613E-2</v>
      </c>
      <c r="M689" s="384">
        <f t="shared" si="373"/>
        <v>2.9285530376777613E-2</v>
      </c>
      <c r="N689" s="384">
        <f t="shared" si="373"/>
        <v>2.9285530376777613E-2</v>
      </c>
      <c r="O689" s="384">
        <f t="shared" si="373"/>
        <v>2.9285530376777613E-2</v>
      </c>
      <c r="P689" s="384">
        <f t="shared" si="373"/>
        <v>2.9285530376777613E-2</v>
      </c>
      <c r="Q689" s="384">
        <f t="shared" si="373"/>
        <v>2.9285530376777613E-2</v>
      </c>
      <c r="R689" s="384">
        <f t="shared" si="373"/>
        <v>2.9285530376777613E-2</v>
      </c>
      <c r="S689" s="385">
        <f t="shared" si="373"/>
        <v>2.9285530376777613E-2</v>
      </c>
    </row>
    <row r="690" spans="1:19" ht="12.75" customHeight="1" x14ac:dyDescent="0.2">
      <c r="A690" s="198" t="str">
        <f>"         "&amp;Labels!C316</f>
        <v xml:space="preserve">         Total</v>
      </c>
      <c r="B690" s="303">
        <f t="shared" ref="B690:S690" si="374">AVERAGE(B610,B650)</f>
        <v>2.9285530376777613E-2</v>
      </c>
      <c r="C690" s="303">
        <f t="shared" si="374"/>
        <v>2.9285530376777613E-2</v>
      </c>
      <c r="D690" s="303">
        <f t="shared" si="374"/>
        <v>2.9285530376777613E-2</v>
      </c>
      <c r="E690" s="303">
        <f t="shared" si="374"/>
        <v>2.9285530376777613E-2</v>
      </c>
      <c r="F690" s="303">
        <f t="shared" si="374"/>
        <v>2.9285530376777613E-2</v>
      </c>
      <c r="G690" s="303">
        <f t="shared" si="374"/>
        <v>2.9285530376777613E-2</v>
      </c>
      <c r="H690" s="303">
        <f t="shared" si="374"/>
        <v>2.9285530376777613E-2</v>
      </c>
      <c r="I690" s="303">
        <f t="shared" si="374"/>
        <v>2.9285530376777613E-2</v>
      </c>
      <c r="J690" s="303">
        <f t="shared" si="374"/>
        <v>2.9285530376777613E-2</v>
      </c>
      <c r="K690" s="303">
        <f t="shared" si="374"/>
        <v>2.9285530376777613E-2</v>
      </c>
      <c r="L690" s="303">
        <f t="shared" si="374"/>
        <v>2.9285530376777613E-2</v>
      </c>
      <c r="M690" s="303">
        <f t="shared" si="374"/>
        <v>2.9285530376777613E-2</v>
      </c>
      <c r="N690" s="303">
        <f t="shared" si="374"/>
        <v>2.9285530376777613E-2</v>
      </c>
      <c r="O690" s="303">
        <f t="shared" si="374"/>
        <v>2.9285530376777613E-2</v>
      </c>
      <c r="P690" s="303">
        <f t="shared" si="374"/>
        <v>2.9285530376777613E-2</v>
      </c>
      <c r="Q690" s="303">
        <f t="shared" si="374"/>
        <v>2.9285530376777613E-2</v>
      </c>
      <c r="R690" s="303">
        <f t="shared" si="374"/>
        <v>2.9285530376777613E-2</v>
      </c>
      <c r="S690" s="383">
        <f t="shared" si="374"/>
        <v>2.9285530376777613E-2</v>
      </c>
    </row>
    <row r="691" spans="1:19" ht="12.75" customHeight="1" x14ac:dyDescent="0.2">
      <c r="A691" s="198" t="str">
        <f>"      "&amp;Labels!B386</f>
        <v xml:space="preserve">      Prof Level 2</v>
      </c>
      <c r="B691" s="303"/>
      <c r="C691" s="303"/>
      <c r="D691" s="303"/>
      <c r="E691" s="303"/>
      <c r="F691" s="303"/>
      <c r="G691" s="303"/>
      <c r="H691" s="303"/>
      <c r="I691" s="303"/>
      <c r="J691" s="303"/>
      <c r="K691" s="303"/>
      <c r="L691" s="303"/>
      <c r="M691" s="303"/>
      <c r="N691" s="303"/>
      <c r="O691" s="303"/>
      <c r="P691" s="303"/>
      <c r="Q691" s="303"/>
      <c r="R691" s="303"/>
      <c r="S691" s="383"/>
    </row>
    <row r="692" spans="1:19" ht="12.75" customHeight="1" x14ac:dyDescent="0.2">
      <c r="A692" s="198" t="str">
        <f>"         "&amp;Labels!B317</f>
        <v xml:space="preserve">         Channels 1</v>
      </c>
      <c r="B692" s="384">
        <f t="shared" ref="B692:S692" si="375">AVERAGE(B612,B652)</f>
        <v>2.9285530376777613E-2</v>
      </c>
      <c r="C692" s="384">
        <f t="shared" si="375"/>
        <v>2.9285530376777613E-2</v>
      </c>
      <c r="D692" s="384">
        <f t="shared" si="375"/>
        <v>2.9285530376777613E-2</v>
      </c>
      <c r="E692" s="384">
        <f t="shared" si="375"/>
        <v>2.9285530376777613E-2</v>
      </c>
      <c r="F692" s="384">
        <f t="shared" si="375"/>
        <v>2.9285530376777613E-2</v>
      </c>
      <c r="G692" s="384">
        <f t="shared" si="375"/>
        <v>2.9285530376777613E-2</v>
      </c>
      <c r="H692" s="384">
        <f t="shared" si="375"/>
        <v>2.9285530376777613E-2</v>
      </c>
      <c r="I692" s="384">
        <f t="shared" si="375"/>
        <v>2.9285530376777613E-2</v>
      </c>
      <c r="J692" s="384">
        <f t="shared" si="375"/>
        <v>2.9285530376777613E-2</v>
      </c>
      <c r="K692" s="384">
        <f t="shared" si="375"/>
        <v>2.9285530376777613E-2</v>
      </c>
      <c r="L692" s="384">
        <f t="shared" si="375"/>
        <v>2.9285530376777613E-2</v>
      </c>
      <c r="M692" s="384">
        <f t="shared" si="375"/>
        <v>2.9285530376777613E-2</v>
      </c>
      <c r="N692" s="384">
        <f t="shared" si="375"/>
        <v>2.9285530376777613E-2</v>
      </c>
      <c r="O692" s="384">
        <f t="shared" si="375"/>
        <v>2.9285530376777613E-2</v>
      </c>
      <c r="P692" s="384">
        <f t="shared" si="375"/>
        <v>2.9285530376777613E-2</v>
      </c>
      <c r="Q692" s="384">
        <f t="shared" si="375"/>
        <v>2.9285530376777613E-2</v>
      </c>
      <c r="R692" s="384">
        <f t="shared" si="375"/>
        <v>2.9285530376777613E-2</v>
      </c>
      <c r="S692" s="385">
        <f t="shared" si="375"/>
        <v>2.9285530376777613E-2</v>
      </c>
    </row>
    <row r="693" spans="1:19" ht="12.75" customHeight="1" x14ac:dyDescent="0.2">
      <c r="A693" s="198" t="str">
        <f>"         "&amp;Labels!B318</f>
        <v xml:space="preserve">         Channels 2</v>
      </c>
      <c r="B693" s="384">
        <f t="shared" ref="B693:S693" si="376">AVERAGE(B613,B653)</f>
        <v>2.9285530376777613E-2</v>
      </c>
      <c r="C693" s="384">
        <f t="shared" si="376"/>
        <v>2.9285530376777613E-2</v>
      </c>
      <c r="D693" s="384">
        <f t="shared" si="376"/>
        <v>2.9285530376777613E-2</v>
      </c>
      <c r="E693" s="384">
        <f t="shared" si="376"/>
        <v>2.9285530376777613E-2</v>
      </c>
      <c r="F693" s="384">
        <f t="shared" si="376"/>
        <v>2.9285530376777613E-2</v>
      </c>
      <c r="G693" s="384">
        <f t="shared" si="376"/>
        <v>2.9285530376777613E-2</v>
      </c>
      <c r="H693" s="384">
        <f t="shared" si="376"/>
        <v>2.9285530376777613E-2</v>
      </c>
      <c r="I693" s="384">
        <f t="shared" si="376"/>
        <v>2.9285530376777613E-2</v>
      </c>
      <c r="J693" s="384">
        <f t="shared" si="376"/>
        <v>2.9285530376777613E-2</v>
      </c>
      <c r="K693" s="384">
        <f t="shared" si="376"/>
        <v>2.9285530376777613E-2</v>
      </c>
      <c r="L693" s="384">
        <f t="shared" si="376"/>
        <v>2.9285530376777613E-2</v>
      </c>
      <c r="M693" s="384">
        <f t="shared" si="376"/>
        <v>2.9285530376777613E-2</v>
      </c>
      <c r="N693" s="384">
        <f t="shared" si="376"/>
        <v>2.9285530376777613E-2</v>
      </c>
      <c r="O693" s="384">
        <f t="shared" si="376"/>
        <v>2.9285530376777613E-2</v>
      </c>
      <c r="P693" s="384">
        <f t="shared" si="376"/>
        <v>2.9285530376777613E-2</v>
      </c>
      <c r="Q693" s="384">
        <f t="shared" si="376"/>
        <v>2.9285530376777613E-2</v>
      </c>
      <c r="R693" s="384">
        <f t="shared" si="376"/>
        <v>2.9285530376777613E-2</v>
      </c>
      <c r="S693" s="385">
        <f t="shared" si="376"/>
        <v>2.9285530376777613E-2</v>
      </c>
    </row>
    <row r="694" spans="1:19" ht="12.75" customHeight="1" x14ac:dyDescent="0.2">
      <c r="A694" s="198" t="str">
        <f>"         "&amp;Labels!C316</f>
        <v xml:space="preserve">         Total</v>
      </c>
      <c r="B694" s="303">
        <f t="shared" ref="B694:S694" si="377">AVERAGE(B614,B654)</f>
        <v>2.9285530376777613E-2</v>
      </c>
      <c r="C694" s="303">
        <f t="shared" si="377"/>
        <v>2.9285530376777613E-2</v>
      </c>
      <c r="D694" s="303">
        <f t="shared" si="377"/>
        <v>2.9285530376777613E-2</v>
      </c>
      <c r="E694" s="303">
        <f t="shared" si="377"/>
        <v>2.9285530376777613E-2</v>
      </c>
      <c r="F694" s="303">
        <f t="shared" si="377"/>
        <v>2.9285530376777613E-2</v>
      </c>
      <c r="G694" s="303">
        <f t="shared" si="377"/>
        <v>2.9285530376777613E-2</v>
      </c>
      <c r="H694" s="303">
        <f t="shared" si="377"/>
        <v>2.9285530376777613E-2</v>
      </c>
      <c r="I694" s="303">
        <f t="shared" si="377"/>
        <v>2.9285530376777613E-2</v>
      </c>
      <c r="J694" s="303">
        <f t="shared" si="377"/>
        <v>2.9285530376777613E-2</v>
      </c>
      <c r="K694" s="303">
        <f t="shared" si="377"/>
        <v>2.9285530376777613E-2</v>
      </c>
      <c r="L694" s="303">
        <f t="shared" si="377"/>
        <v>2.9285530376777613E-2</v>
      </c>
      <c r="M694" s="303">
        <f t="shared" si="377"/>
        <v>2.9285530376777613E-2</v>
      </c>
      <c r="N694" s="303">
        <f t="shared" si="377"/>
        <v>2.9285530376777613E-2</v>
      </c>
      <c r="O694" s="303">
        <f t="shared" si="377"/>
        <v>2.9285530376777613E-2</v>
      </c>
      <c r="P694" s="303">
        <f t="shared" si="377"/>
        <v>2.9285530376777613E-2</v>
      </c>
      <c r="Q694" s="303">
        <f t="shared" si="377"/>
        <v>2.9285530376777613E-2</v>
      </c>
      <c r="R694" s="303">
        <f t="shared" si="377"/>
        <v>2.9285530376777613E-2</v>
      </c>
      <c r="S694" s="383">
        <f t="shared" si="377"/>
        <v>2.9285530376777613E-2</v>
      </c>
    </row>
    <row r="695" spans="1:19" ht="12.75" customHeight="1" x14ac:dyDescent="0.2">
      <c r="A695" s="188" t="str">
        <f>"      "&amp;Labels!C384</f>
        <v xml:space="preserve">      Total</v>
      </c>
      <c r="B695" s="275">
        <f t="shared" ref="B695:S695" si="378">AVERAGE(B615,B655)</f>
        <v>2.9285530376777613E-2</v>
      </c>
      <c r="C695" s="275">
        <f t="shared" si="378"/>
        <v>2.9285530376777613E-2</v>
      </c>
      <c r="D695" s="275">
        <f t="shared" si="378"/>
        <v>2.9285530376777613E-2</v>
      </c>
      <c r="E695" s="275">
        <f t="shared" si="378"/>
        <v>2.9285530376777613E-2</v>
      </c>
      <c r="F695" s="275">
        <f t="shared" si="378"/>
        <v>2.9285530376777613E-2</v>
      </c>
      <c r="G695" s="275">
        <f t="shared" si="378"/>
        <v>2.9285530376777613E-2</v>
      </c>
      <c r="H695" s="275">
        <f t="shared" si="378"/>
        <v>2.9285530376777613E-2</v>
      </c>
      <c r="I695" s="275">
        <f t="shared" si="378"/>
        <v>2.9285530376777613E-2</v>
      </c>
      <c r="J695" s="275">
        <f t="shared" si="378"/>
        <v>2.9285530376777613E-2</v>
      </c>
      <c r="K695" s="275">
        <f t="shared" si="378"/>
        <v>2.9285530376777613E-2</v>
      </c>
      <c r="L695" s="275">
        <f t="shared" si="378"/>
        <v>2.9285530376777613E-2</v>
      </c>
      <c r="M695" s="275">
        <f t="shared" si="378"/>
        <v>2.9285530376777613E-2</v>
      </c>
      <c r="N695" s="275">
        <f t="shared" si="378"/>
        <v>2.9285530376777613E-2</v>
      </c>
      <c r="O695" s="275">
        <f t="shared" si="378"/>
        <v>2.9285530376777613E-2</v>
      </c>
      <c r="P695" s="275">
        <f t="shared" si="378"/>
        <v>2.9285530376777613E-2</v>
      </c>
      <c r="Q695" s="275">
        <f t="shared" si="378"/>
        <v>2.9285530376777613E-2</v>
      </c>
      <c r="R695" s="275">
        <f t="shared" si="378"/>
        <v>2.9285530376777613E-2</v>
      </c>
      <c r="S695" s="276">
        <f t="shared" si="378"/>
        <v>2.9285530376777613E-2</v>
      </c>
    </row>
    <row r="696" spans="1:19" ht="12.75" customHeight="1" x14ac:dyDescent="0.2">
      <c r="A696" s="198" t="str">
        <f>"         "&amp;Labels!B317</f>
        <v xml:space="preserve">         Channels 1</v>
      </c>
      <c r="B696" s="384">
        <f t="shared" ref="B696:S696" si="379">AVERAGE(B616,B656)</f>
        <v>2.9285530376777613E-2</v>
      </c>
      <c r="C696" s="384">
        <f t="shared" si="379"/>
        <v>2.9285530376777613E-2</v>
      </c>
      <c r="D696" s="384">
        <f t="shared" si="379"/>
        <v>2.9285530376777613E-2</v>
      </c>
      <c r="E696" s="384">
        <f t="shared" si="379"/>
        <v>2.9285530376777613E-2</v>
      </c>
      <c r="F696" s="384">
        <f t="shared" si="379"/>
        <v>2.9285530376777613E-2</v>
      </c>
      <c r="G696" s="384">
        <f t="shared" si="379"/>
        <v>2.9285530376777613E-2</v>
      </c>
      <c r="H696" s="384">
        <f t="shared" si="379"/>
        <v>2.9285530376777613E-2</v>
      </c>
      <c r="I696" s="384">
        <f t="shared" si="379"/>
        <v>2.9285530376777613E-2</v>
      </c>
      <c r="J696" s="384">
        <f t="shared" si="379"/>
        <v>2.9285530376777613E-2</v>
      </c>
      <c r="K696" s="384">
        <f t="shared" si="379"/>
        <v>2.9285530376777613E-2</v>
      </c>
      <c r="L696" s="384">
        <f t="shared" si="379"/>
        <v>2.9285530376777613E-2</v>
      </c>
      <c r="M696" s="384">
        <f t="shared" si="379"/>
        <v>2.9285530376777613E-2</v>
      </c>
      <c r="N696" s="384">
        <f t="shared" si="379"/>
        <v>2.9285530376777613E-2</v>
      </c>
      <c r="O696" s="384">
        <f t="shared" si="379"/>
        <v>2.9285530376777613E-2</v>
      </c>
      <c r="P696" s="384">
        <f t="shared" si="379"/>
        <v>2.9285530376777613E-2</v>
      </c>
      <c r="Q696" s="384">
        <f t="shared" si="379"/>
        <v>2.9285530376777613E-2</v>
      </c>
      <c r="R696" s="384">
        <f t="shared" si="379"/>
        <v>2.9285530376777613E-2</v>
      </c>
      <c r="S696" s="385">
        <f t="shared" si="379"/>
        <v>2.9285530376777613E-2</v>
      </c>
    </row>
    <row r="697" spans="1:19" ht="12.75" customHeight="1" x14ac:dyDescent="0.2">
      <c r="A697" s="198" t="str">
        <f>"         "&amp;Labels!B318</f>
        <v xml:space="preserve">         Channels 2</v>
      </c>
      <c r="B697" s="384">
        <f t="shared" ref="B697:S697" si="380">AVERAGE(B617,B657)</f>
        <v>2.9285530376777613E-2</v>
      </c>
      <c r="C697" s="384">
        <f t="shared" si="380"/>
        <v>2.9285530376777613E-2</v>
      </c>
      <c r="D697" s="384">
        <f t="shared" si="380"/>
        <v>2.9285530376777613E-2</v>
      </c>
      <c r="E697" s="384">
        <f t="shared" si="380"/>
        <v>2.9285530376777613E-2</v>
      </c>
      <c r="F697" s="384">
        <f t="shared" si="380"/>
        <v>2.9285530376777613E-2</v>
      </c>
      <c r="G697" s="384">
        <f t="shared" si="380"/>
        <v>2.9285530376777613E-2</v>
      </c>
      <c r="H697" s="384">
        <f t="shared" si="380"/>
        <v>2.9285530376777613E-2</v>
      </c>
      <c r="I697" s="384">
        <f t="shared" si="380"/>
        <v>2.9285530376777613E-2</v>
      </c>
      <c r="J697" s="384">
        <f t="shared" si="380"/>
        <v>2.9285530376777613E-2</v>
      </c>
      <c r="K697" s="384">
        <f t="shared" si="380"/>
        <v>2.9285530376777613E-2</v>
      </c>
      <c r="L697" s="384">
        <f t="shared" si="380"/>
        <v>2.9285530376777613E-2</v>
      </c>
      <c r="M697" s="384">
        <f t="shared" si="380"/>
        <v>2.9285530376777613E-2</v>
      </c>
      <c r="N697" s="384">
        <f t="shared" si="380"/>
        <v>2.9285530376777613E-2</v>
      </c>
      <c r="O697" s="384">
        <f t="shared" si="380"/>
        <v>2.9285530376777613E-2</v>
      </c>
      <c r="P697" s="384">
        <f t="shared" si="380"/>
        <v>2.9285530376777613E-2</v>
      </c>
      <c r="Q697" s="384">
        <f t="shared" si="380"/>
        <v>2.9285530376777613E-2</v>
      </c>
      <c r="R697" s="384">
        <f t="shared" si="380"/>
        <v>2.9285530376777613E-2</v>
      </c>
      <c r="S697" s="385">
        <f t="shared" si="380"/>
        <v>2.9285530376777613E-2</v>
      </c>
    </row>
    <row r="698" spans="1:19" ht="12.75" customHeight="1" x14ac:dyDescent="0.2">
      <c r="A698" s="198" t="str">
        <f>"         "&amp;Labels!C316</f>
        <v xml:space="preserve">         Total</v>
      </c>
      <c r="B698" s="303">
        <f t="shared" ref="B698:S698" si="381">AVERAGE(B615,B655)</f>
        <v>2.9285530376777613E-2</v>
      </c>
      <c r="C698" s="303">
        <f t="shared" si="381"/>
        <v>2.9285530376777613E-2</v>
      </c>
      <c r="D698" s="303">
        <f t="shared" si="381"/>
        <v>2.9285530376777613E-2</v>
      </c>
      <c r="E698" s="303">
        <f t="shared" si="381"/>
        <v>2.9285530376777613E-2</v>
      </c>
      <c r="F698" s="303">
        <f t="shared" si="381"/>
        <v>2.9285530376777613E-2</v>
      </c>
      <c r="G698" s="303">
        <f t="shared" si="381"/>
        <v>2.9285530376777613E-2</v>
      </c>
      <c r="H698" s="303">
        <f t="shared" si="381"/>
        <v>2.9285530376777613E-2</v>
      </c>
      <c r="I698" s="303">
        <f t="shared" si="381"/>
        <v>2.9285530376777613E-2</v>
      </c>
      <c r="J698" s="303">
        <f t="shared" si="381"/>
        <v>2.9285530376777613E-2</v>
      </c>
      <c r="K698" s="303">
        <f t="shared" si="381"/>
        <v>2.9285530376777613E-2</v>
      </c>
      <c r="L698" s="303">
        <f t="shared" si="381"/>
        <v>2.9285530376777613E-2</v>
      </c>
      <c r="M698" s="303">
        <f t="shared" si="381"/>
        <v>2.9285530376777613E-2</v>
      </c>
      <c r="N698" s="303">
        <f t="shared" si="381"/>
        <v>2.9285530376777613E-2</v>
      </c>
      <c r="O698" s="303">
        <f t="shared" si="381"/>
        <v>2.9285530376777613E-2</v>
      </c>
      <c r="P698" s="303">
        <f t="shared" si="381"/>
        <v>2.9285530376777613E-2</v>
      </c>
      <c r="Q698" s="303">
        <f t="shared" si="381"/>
        <v>2.9285530376777613E-2</v>
      </c>
      <c r="R698" s="303">
        <f t="shared" si="381"/>
        <v>2.9285530376777613E-2</v>
      </c>
      <c r="S698" s="383">
        <f t="shared" si="381"/>
        <v>2.9285530376777613E-2</v>
      </c>
    </row>
    <row r="699" spans="1:19" ht="12.75" customHeight="1" x14ac:dyDescent="0.2">
      <c r="A699" s="188" t="str">
        <f>"   "&amp;Labels!B382</f>
        <v xml:space="preserve">   Practice 2</v>
      </c>
      <c r="B699" s="275"/>
      <c r="C699" s="275"/>
      <c r="D699" s="275"/>
      <c r="E699" s="275"/>
      <c r="F699" s="275"/>
      <c r="G699" s="275"/>
      <c r="H699" s="275"/>
      <c r="I699" s="275"/>
      <c r="J699" s="275"/>
      <c r="K699" s="275"/>
      <c r="L699" s="275"/>
      <c r="M699" s="275"/>
      <c r="N699" s="275"/>
      <c r="O699" s="275"/>
      <c r="P699" s="275"/>
      <c r="Q699" s="275"/>
      <c r="R699" s="275"/>
      <c r="S699" s="276"/>
    </row>
    <row r="700" spans="1:19" ht="12.75" customHeight="1" x14ac:dyDescent="0.2">
      <c r="A700" s="198" t="str">
        <f>"      "&amp;Labels!B385</f>
        <v xml:space="preserve">      Prof Level 1</v>
      </c>
      <c r="B700" s="303"/>
      <c r="C700" s="303"/>
      <c r="D700" s="303"/>
      <c r="E700" s="303"/>
      <c r="F700" s="303"/>
      <c r="G700" s="303"/>
      <c r="H700" s="303"/>
      <c r="I700" s="303"/>
      <c r="J700" s="303"/>
      <c r="K700" s="303"/>
      <c r="L700" s="303"/>
      <c r="M700" s="303"/>
      <c r="N700" s="303"/>
      <c r="O700" s="303"/>
      <c r="P700" s="303"/>
      <c r="Q700" s="303"/>
      <c r="R700" s="303"/>
      <c r="S700" s="383"/>
    </row>
    <row r="701" spans="1:19" ht="12.75" customHeight="1" x14ac:dyDescent="0.2">
      <c r="A701" s="198" t="str">
        <f>"         "&amp;Labels!B317</f>
        <v xml:space="preserve">         Channels 1</v>
      </c>
      <c r="B701" s="384">
        <f t="shared" ref="B701:S701" si="382">AVERAGE(B621,B661)</f>
        <v>2.9285530376777613E-2</v>
      </c>
      <c r="C701" s="384">
        <f t="shared" si="382"/>
        <v>2.9285530376777613E-2</v>
      </c>
      <c r="D701" s="384">
        <f t="shared" si="382"/>
        <v>2.9285530376777613E-2</v>
      </c>
      <c r="E701" s="384">
        <f t="shared" si="382"/>
        <v>2.9285530376777613E-2</v>
      </c>
      <c r="F701" s="384">
        <f t="shared" si="382"/>
        <v>2.9285530376777613E-2</v>
      </c>
      <c r="G701" s="384">
        <f t="shared" si="382"/>
        <v>2.9285530376777613E-2</v>
      </c>
      <c r="H701" s="384">
        <f t="shared" si="382"/>
        <v>2.9285530376777613E-2</v>
      </c>
      <c r="I701" s="384">
        <f t="shared" si="382"/>
        <v>2.9285530376777613E-2</v>
      </c>
      <c r="J701" s="384">
        <f t="shared" si="382"/>
        <v>2.9285530376777613E-2</v>
      </c>
      <c r="K701" s="384">
        <f t="shared" si="382"/>
        <v>2.9285530376777613E-2</v>
      </c>
      <c r="L701" s="384">
        <f t="shared" si="382"/>
        <v>2.9285530376777613E-2</v>
      </c>
      <c r="M701" s="384">
        <f t="shared" si="382"/>
        <v>2.9285530376777613E-2</v>
      </c>
      <c r="N701" s="384">
        <f t="shared" si="382"/>
        <v>2.9285530376777613E-2</v>
      </c>
      <c r="O701" s="384">
        <f t="shared" si="382"/>
        <v>2.9285530376777613E-2</v>
      </c>
      <c r="P701" s="384">
        <f t="shared" si="382"/>
        <v>2.9285530376777613E-2</v>
      </c>
      <c r="Q701" s="384">
        <f t="shared" si="382"/>
        <v>2.9285530376777613E-2</v>
      </c>
      <c r="R701" s="384">
        <f t="shared" si="382"/>
        <v>2.9285530376777613E-2</v>
      </c>
      <c r="S701" s="385">
        <f t="shared" si="382"/>
        <v>2.9285530376777613E-2</v>
      </c>
    </row>
    <row r="702" spans="1:19" ht="12.75" customHeight="1" x14ac:dyDescent="0.2">
      <c r="A702" s="198" t="str">
        <f>"         "&amp;Labels!B318</f>
        <v xml:space="preserve">         Channels 2</v>
      </c>
      <c r="B702" s="384">
        <f t="shared" ref="B702:S702" si="383">AVERAGE(B622,B662)</f>
        <v>2.9285530376777613E-2</v>
      </c>
      <c r="C702" s="384">
        <f t="shared" si="383"/>
        <v>2.9285530376777613E-2</v>
      </c>
      <c r="D702" s="384">
        <f t="shared" si="383"/>
        <v>2.9285530376777613E-2</v>
      </c>
      <c r="E702" s="384">
        <f t="shared" si="383"/>
        <v>2.9285530376777613E-2</v>
      </c>
      <c r="F702" s="384">
        <f t="shared" si="383"/>
        <v>2.9285530376777613E-2</v>
      </c>
      <c r="G702" s="384">
        <f t="shared" si="383"/>
        <v>2.9285530376777613E-2</v>
      </c>
      <c r="H702" s="384">
        <f t="shared" si="383"/>
        <v>2.9285530376777613E-2</v>
      </c>
      <c r="I702" s="384">
        <f t="shared" si="383"/>
        <v>2.9285530376777613E-2</v>
      </c>
      <c r="J702" s="384">
        <f t="shared" si="383"/>
        <v>2.9285530376777613E-2</v>
      </c>
      <c r="K702" s="384">
        <f t="shared" si="383"/>
        <v>2.9285530376777613E-2</v>
      </c>
      <c r="L702" s="384">
        <f t="shared" si="383"/>
        <v>2.9285530376777613E-2</v>
      </c>
      <c r="M702" s="384">
        <f t="shared" si="383"/>
        <v>2.9285530376777613E-2</v>
      </c>
      <c r="N702" s="384">
        <f t="shared" si="383"/>
        <v>2.9285530376777613E-2</v>
      </c>
      <c r="O702" s="384">
        <f t="shared" si="383"/>
        <v>2.9285530376777613E-2</v>
      </c>
      <c r="P702" s="384">
        <f t="shared" si="383"/>
        <v>2.9285530376777613E-2</v>
      </c>
      <c r="Q702" s="384">
        <f t="shared" si="383"/>
        <v>2.9285530376777613E-2</v>
      </c>
      <c r="R702" s="384">
        <f t="shared" si="383"/>
        <v>2.9285530376777613E-2</v>
      </c>
      <c r="S702" s="385">
        <f t="shared" si="383"/>
        <v>2.9285530376777613E-2</v>
      </c>
    </row>
    <row r="703" spans="1:19" ht="12.75" customHeight="1" x14ac:dyDescent="0.2">
      <c r="A703" s="198" t="str">
        <f>"         "&amp;Labels!C316</f>
        <v xml:space="preserve">         Total</v>
      </c>
      <c r="B703" s="303">
        <f t="shared" ref="B703:S703" si="384">AVERAGE(B623,B663)</f>
        <v>2.9285530376777613E-2</v>
      </c>
      <c r="C703" s="303">
        <f t="shared" si="384"/>
        <v>2.9285530376777613E-2</v>
      </c>
      <c r="D703" s="303">
        <f t="shared" si="384"/>
        <v>2.9285530376777613E-2</v>
      </c>
      <c r="E703" s="303">
        <f t="shared" si="384"/>
        <v>2.9285530376777613E-2</v>
      </c>
      <c r="F703" s="303">
        <f t="shared" si="384"/>
        <v>2.9285530376777613E-2</v>
      </c>
      <c r="G703" s="303">
        <f t="shared" si="384"/>
        <v>2.9285530376777613E-2</v>
      </c>
      <c r="H703" s="303">
        <f t="shared" si="384"/>
        <v>2.9285530376777613E-2</v>
      </c>
      <c r="I703" s="303">
        <f t="shared" si="384"/>
        <v>2.9285530376777613E-2</v>
      </c>
      <c r="J703" s="303">
        <f t="shared" si="384"/>
        <v>2.9285530376777613E-2</v>
      </c>
      <c r="K703" s="303">
        <f t="shared" si="384"/>
        <v>2.9285530376777613E-2</v>
      </c>
      <c r="L703" s="303">
        <f t="shared" si="384"/>
        <v>2.9285530376777613E-2</v>
      </c>
      <c r="M703" s="303">
        <f t="shared" si="384"/>
        <v>2.9285530376777613E-2</v>
      </c>
      <c r="N703" s="303">
        <f t="shared" si="384"/>
        <v>2.9285530376777613E-2</v>
      </c>
      <c r="O703" s="303">
        <f t="shared" si="384"/>
        <v>2.9285530376777613E-2</v>
      </c>
      <c r="P703" s="303">
        <f t="shared" si="384"/>
        <v>2.9285530376777613E-2</v>
      </c>
      <c r="Q703" s="303">
        <f t="shared" si="384"/>
        <v>2.9285530376777613E-2</v>
      </c>
      <c r="R703" s="303">
        <f t="shared" si="384"/>
        <v>2.9285530376777613E-2</v>
      </c>
      <c r="S703" s="383">
        <f t="shared" si="384"/>
        <v>2.9285530376777613E-2</v>
      </c>
    </row>
    <row r="704" spans="1:19" ht="12.75" customHeight="1" x14ac:dyDescent="0.2">
      <c r="A704" s="198" t="str">
        <f>"      "&amp;Labels!B386</f>
        <v xml:space="preserve">      Prof Level 2</v>
      </c>
      <c r="B704" s="303"/>
      <c r="C704" s="303"/>
      <c r="D704" s="303"/>
      <c r="E704" s="303"/>
      <c r="F704" s="303"/>
      <c r="G704" s="303"/>
      <c r="H704" s="303"/>
      <c r="I704" s="303"/>
      <c r="J704" s="303"/>
      <c r="K704" s="303"/>
      <c r="L704" s="303"/>
      <c r="M704" s="303"/>
      <c r="N704" s="303"/>
      <c r="O704" s="303"/>
      <c r="P704" s="303"/>
      <c r="Q704" s="303"/>
      <c r="R704" s="303"/>
      <c r="S704" s="383"/>
    </row>
    <row r="705" spans="1:19" ht="12.75" customHeight="1" x14ac:dyDescent="0.2">
      <c r="A705" s="198" t="str">
        <f>"         "&amp;Labels!B317</f>
        <v xml:space="preserve">         Channels 1</v>
      </c>
      <c r="B705" s="384">
        <f t="shared" ref="B705:S705" si="385">AVERAGE(B625,B665)</f>
        <v>2.9285530376777613E-2</v>
      </c>
      <c r="C705" s="384">
        <f t="shared" si="385"/>
        <v>2.9285530376777613E-2</v>
      </c>
      <c r="D705" s="384">
        <f t="shared" si="385"/>
        <v>2.9285530376777613E-2</v>
      </c>
      <c r="E705" s="384">
        <f t="shared" si="385"/>
        <v>2.9285530376777613E-2</v>
      </c>
      <c r="F705" s="384">
        <f t="shared" si="385"/>
        <v>2.9285530376777613E-2</v>
      </c>
      <c r="G705" s="384">
        <f t="shared" si="385"/>
        <v>2.9285530376777613E-2</v>
      </c>
      <c r="H705" s="384">
        <f t="shared" si="385"/>
        <v>2.9285530376777613E-2</v>
      </c>
      <c r="I705" s="384">
        <f t="shared" si="385"/>
        <v>2.9285530376777613E-2</v>
      </c>
      <c r="J705" s="384">
        <f t="shared" si="385"/>
        <v>2.9285530376777613E-2</v>
      </c>
      <c r="K705" s="384">
        <f t="shared" si="385"/>
        <v>2.9285530376777613E-2</v>
      </c>
      <c r="L705" s="384">
        <f t="shared" si="385"/>
        <v>2.9285530376777613E-2</v>
      </c>
      <c r="M705" s="384">
        <f t="shared" si="385"/>
        <v>2.9285530376777613E-2</v>
      </c>
      <c r="N705" s="384">
        <f t="shared" si="385"/>
        <v>2.9285530376777613E-2</v>
      </c>
      <c r="O705" s="384">
        <f t="shared" si="385"/>
        <v>2.9285530376777613E-2</v>
      </c>
      <c r="P705" s="384">
        <f t="shared" si="385"/>
        <v>2.9285530376777613E-2</v>
      </c>
      <c r="Q705" s="384">
        <f t="shared" si="385"/>
        <v>2.9285530376777613E-2</v>
      </c>
      <c r="R705" s="384">
        <f t="shared" si="385"/>
        <v>2.9285530376777613E-2</v>
      </c>
      <c r="S705" s="385">
        <f t="shared" si="385"/>
        <v>2.9285530376777613E-2</v>
      </c>
    </row>
    <row r="706" spans="1:19" ht="12.75" customHeight="1" x14ac:dyDescent="0.2">
      <c r="A706" s="198" t="str">
        <f>"         "&amp;Labels!B318</f>
        <v xml:space="preserve">         Channels 2</v>
      </c>
      <c r="B706" s="384">
        <f t="shared" ref="B706:S706" si="386">AVERAGE(B626,B666)</f>
        <v>2.9285530376777613E-2</v>
      </c>
      <c r="C706" s="384">
        <f t="shared" si="386"/>
        <v>2.9285530376777613E-2</v>
      </c>
      <c r="D706" s="384">
        <f t="shared" si="386"/>
        <v>2.9285530376777613E-2</v>
      </c>
      <c r="E706" s="384">
        <f t="shared" si="386"/>
        <v>2.9285530376777613E-2</v>
      </c>
      <c r="F706" s="384">
        <f t="shared" si="386"/>
        <v>2.9285530376777613E-2</v>
      </c>
      <c r="G706" s="384">
        <f t="shared" si="386"/>
        <v>2.9285530376777613E-2</v>
      </c>
      <c r="H706" s="384">
        <f t="shared" si="386"/>
        <v>2.9285530376777613E-2</v>
      </c>
      <c r="I706" s="384">
        <f t="shared" si="386"/>
        <v>2.9285530376777613E-2</v>
      </c>
      <c r="J706" s="384">
        <f t="shared" si="386"/>
        <v>2.9285530376777613E-2</v>
      </c>
      <c r="K706" s="384">
        <f t="shared" si="386"/>
        <v>2.9285530376777613E-2</v>
      </c>
      <c r="L706" s="384">
        <f t="shared" si="386"/>
        <v>2.9285530376777613E-2</v>
      </c>
      <c r="M706" s="384">
        <f t="shared" si="386"/>
        <v>2.9285530376777613E-2</v>
      </c>
      <c r="N706" s="384">
        <f t="shared" si="386"/>
        <v>2.9285530376777613E-2</v>
      </c>
      <c r="O706" s="384">
        <f t="shared" si="386"/>
        <v>2.9285530376777613E-2</v>
      </c>
      <c r="P706" s="384">
        <f t="shared" si="386"/>
        <v>2.9285530376777613E-2</v>
      </c>
      <c r="Q706" s="384">
        <f t="shared" si="386"/>
        <v>2.9285530376777613E-2</v>
      </c>
      <c r="R706" s="384">
        <f t="shared" si="386"/>
        <v>2.9285530376777613E-2</v>
      </c>
      <c r="S706" s="385">
        <f t="shared" si="386"/>
        <v>2.9285530376777613E-2</v>
      </c>
    </row>
    <row r="707" spans="1:19" ht="12.75" customHeight="1" x14ac:dyDescent="0.2">
      <c r="A707" s="198" t="str">
        <f>"         "&amp;Labels!C316</f>
        <v xml:space="preserve">         Total</v>
      </c>
      <c r="B707" s="303">
        <f t="shared" ref="B707:S707" si="387">AVERAGE(B627,B667)</f>
        <v>2.9285530376777613E-2</v>
      </c>
      <c r="C707" s="303">
        <f t="shared" si="387"/>
        <v>2.9285530376777613E-2</v>
      </c>
      <c r="D707" s="303">
        <f t="shared" si="387"/>
        <v>2.9285530376777613E-2</v>
      </c>
      <c r="E707" s="303">
        <f t="shared" si="387"/>
        <v>2.9285530376777613E-2</v>
      </c>
      <c r="F707" s="303">
        <f t="shared" si="387"/>
        <v>2.9285530376777613E-2</v>
      </c>
      <c r="G707" s="303">
        <f t="shared" si="387"/>
        <v>2.9285530376777613E-2</v>
      </c>
      <c r="H707" s="303">
        <f t="shared" si="387"/>
        <v>2.9285530376777613E-2</v>
      </c>
      <c r="I707" s="303">
        <f t="shared" si="387"/>
        <v>2.9285530376777613E-2</v>
      </c>
      <c r="J707" s="303">
        <f t="shared" si="387"/>
        <v>2.9285530376777613E-2</v>
      </c>
      <c r="K707" s="303">
        <f t="shared" si="387"/>
        <v>2.9285530376777613E-2</v>
      </c>
      <c r="L707" s="303">
        <f t="shared" si="387"/>
        <v>2.9285530376777613E-2</v>
      </c>
      <c r="M707" s="303">
        <f t="shared" si="387"/>
        <v>2.9285530376777613E-2</v>
      </c>
      <c r="N707" s="303">
        <f t="shared" si="387"/>
        <v>2.9285530376777613E-2</v>
      </c>
      <c r="O707" s="303">
        <f t="shared" si="387"/>
        <v>2.9285530376777613E-2</v>
      </c>
      <c r="P707" s="303">
        <f t="shared" si="387"/>
        <v>2.9285530376777613E-2</v>
      </c>
      <c r="Q707" s="303">
        <f t="shared" si="387"/>
        <v>2.9285530376777613E-2</v>
      </c>
      <c r="R707" s="303">
        <f t="shared" si="387"/>
        <v>2.9285530376777613E-2</v>
      </c>
      <c r="S707" s="383">
        <f t="shared" si="387"/>
        <v>2.9285530376777613E-2</v>
      </c>
    </row>
    <row r="708" spans="1:19" ht="12.75" customHeight="1" x14ac:dyDescent="0.2">
      <c r="A708" s="188" t="str">
        <f>"      "&amp;Labels!C384</f>
        <v xml:space="preserve">      Total</v>
      </c>
      <c r="B708" s="275">
        <f t="shared" ref="B708:S708" si="388">AVERAGE(B628,B668)</f>
        <v>2.9285530376777613E-2</v>
      </c>
      <c r="C708" s="275">
        <f t="shared" si="388"/>
        <v>2.9285530376777613E-2</v>
      </c>
      <c r="D708" s="275">
        <f t="shared" si="388"/>
        <v>2.9285530376777613E-2</v>
      </c>
      <c r="E708" s="275">
        <f t="shared" si="388"/>
        <v>2.9285530376777613E-2</v>
      </c>
      <c r="F708" s="275">
        <f t="shared" si="388"/>
        <v>2.9285530376777613E-2</v>
      </c>
      <c r="G708" s="275">
        <f t="shared" si="388"/>
        <v>2.9285530376777613E-2</v>
      </c>
      <c r="H708" s="275">
        <f t="shared" si="388"/>
        <v>2.9285530376777613E-2</v>
      </c>
      <c r="I708" s="275">
        <f t="shared" si="388"/>
        <v>2.9285530376777613E-2</v>
      </c>
      <c r="J708" s="275">
        <f t="shared" si="388"/>
        <v>2.9285530376777613E-2</v>
      </c>
      <c r="K708" s="275">
        <f t="shared" si="388"/>
        <v>2.9285530376777613E-2</v>
      </c>
      <c r="L708" s="275">
        <f t="shared" si="388"/>
        <v>2.9285530376777613E-2</v>
      </c>
      <c r="M708" s="275">
        <f t="shared" si="388"/>
        <v>2.9285530376777613E-2</v>
      </c>
      <c r="N708" s="275">
        <f t="shared" si="388"/>
        <v>2.9285530376777613E-2</v>
      </c>
      <c r="O708" s="275">
        <f t="shared" si="388"/>
        <v>2.9285530376777613E-2</v>
      </c>
      <c r="P708" s="275">
        <f t="shared" si="388"/>
        <v>2.9285530376777613E-2</v>
      </c>
      <c r="Q708" s="275">
        <f t="shared" si="388"/>
        <v>2.9285530376777613E-2</v>
      </c>
      <c r="R708" s="275">
        <f t="shared" si="388"/>
        <v>2.9285530376777613E-2</v>
      </c>
      <c r="S708" s="276">
        <f t="shared" si="388"/>
        <v>2.9285530376777613E-2</v>
      </c>
    </row>
    <row r="709" spans="1:19" ht="12.75" customHeight="1" x14ac:dyDescent="0.2">
      <c r="A709" s="198" t="str">
        <f>"         "&amp;Labels!B317</f>
        <v xml:space="preserve">         Channels 1</v>
      </c>
      <c r="B709" s="384">
        <f t="shared" ref="B709:S709" si="389">AVERAGE(B629,B669)</f>
        <v>2.9285530376777613E-2</v>
      </c>
      <c r="C709" s="384">
        <f t="shared" si="389"/>
        <v>2.9285530376777613E-2</v>
      </c>
      <c r="D709" s="384">
        <f t="shared" si="389"/>
        <v>2.9285530376777613E-2</v>
      </c>
      <c r="E709" s="384">
        <f t="shared" si="389"/>
        <v>2.9285530376777613E-2</v>
      </c>
      <c r="F709" s="384">
        <f t="shared" si="389"/>
        <v>2.9285530376777613E-2</v>
      </c>
      <c r="G709" s="384">
        <f t="shared" si="389"/>
        <v>2.9285530376777613E-2</v>
      </c>
      <c r="H709" s="384">
        <f t="shared" si="389"/>
        <v>2.9285530376777613E-2</v>
      </c>
      <c r="I709" s="384">
        <f t="shared" si="389"/>
        <v>2.9285530376777613E-2</v>
      </c>
      <c r="J709" s="384">
        <f t="shared" si="389"/>
        <v>2.9285530376777613E-2</v>
      </c>
      <c r="K709" s="384">
        <f t="shared" si="389"/>
        <v>2.9285530376777613E-2</v>
      </c>
      <c r="L709" s="384">
        <f t="shared" si="389"/>
        <v>2.9285530376777613E-2</v>
      </c>
      <c r="M709" s="384">
        <f t="shared" si="389"/>
        <v>2.9285530376777613E-2</v>
      </c>
      <c r="N709" s="384">
        <f t="shared" si="389"/>
        <v>2.9285530376777613E-2</v>
      </c>
      <c r="O709" s="384">
        <f t="shared" si="389"/>
        <v>2.9285530376777613E-2</v>
      </c>
      <c r="P709" s="384">
        <f t="shared" si="389"/>
        <v>2.9285530376777613E-2</v>
      </c>
      <c r="Q709" s="384">
        <f t="shared" si="389"/>
        <v>2.9285530376777613E-2</v>
      </c>
      <c r="R709" s="384">
        <f t="shared" si="389"/>
        <v>2.9285530376777613E-2</v>
      </c>
      <c r="S709" s="385">
        <f t="shared" si="389"/>
        <v>2.9285530376777613E-2</v>
      </c>
    </row>
    <row r="710" spans="1:19" ht="12.75" customHeight="1" x14ac:dyDescent="0.2">
      <c r="A710" s="198" t="str">
        <f>"         "&amp;Labels!B318</f>
        <v xml:space="preserve">         Channels 2</v>
      </c>
      <c r="B710" s="384">
        <f t="shared" ref="B710:S710" si="390">AVERAGE(B630,B670)</f>
        <v>2.9285530376777613E-2</v>
      </c>
      <c r="C710" s="384">
        <f t="shared" si="390"/>
        <v>2.9285530376777613E-2</v>
      </c>
      <c r="D710" s="384">
        <f t="shared" si="390"/>
        <v>2.9285530376777613E-2</v>
      </c>
      <c r="E710" s="384">
        <f t="shared" si="390"/>
        <v>2.9285530376777613E-2</v>
      </c>
      <c r="F710" s="384">
        <f t="shared" si="390"/>
        <v>2.9285530376777613E-2</v>
      </c>
      <c r="G710" s="384">
        <f t="shared" si="390"/>
        <v>2.9285530376777613E-2</v>
      </c>
      <c r="H710" s="384">
        <f t="shared" si="390"/>
        <v>2.9285530376777613E-2</v>
      </c>
      <c r="I710" s="384">
        <f t="shared" si="390"/>
        <v>2.9285530376777613E-2</v>
      </c>
      <c r="J710" s="384">
        <f t="shared" si="390"/>
        <v>2.9285530376777613E-2</v>
      </c>
      <c r="K710" s="384">
        <f t="shared" si="390"/>
        <v>2.9285530376777613E-2</v>
      </c>
      <c r="L710" s="384">
        <f t="shared" si="390"/>
        <v>2.9285530376777613E-2</v>
      </c>
      <c r="M710" s="384">
        <f t="shared" si="390"/>
        <v>2.9285530376777613E-2</v>
      </c>
      <c r="N710" s="384">
        <f t="shared" si="390"/>
        <v>2.9285530376777613E-2</v>
      </c>
      <c r="O710" s="384">
        <f t="shared" si="390"/>
        <v>2.9285530376777613E-2</v>
      </c>
      <c r="P710" s="384">
        <f t="shared" si="390"/>
        <v>2.9285530376777613E-2</v>
      </c>
      <c r="Q710" s="384">
        <f t="shared" si="390"/>
        <v>2.9285530376777613E-2</v>
      </c>
      <c r="R710" s="384">
        <f t="shared" si="390"/>
        <v>2.9285530376777613E-2</v>
      </c>
      <c r="S710" s="385">
        <f t="shared" si="390"/>
        <v>2.9285530376777613E-2</v>
      </c>
    </row>
    <row r="711" spans="1:19" ht="12.75" customHeight="1" x14ac:dyDescent="0.2">
      <c r="A711" s="198" t="str">
        <f>"         "&amp;Labels!C316</f>
        <v xml:space="preserve">         Total</v>
      </c>
      <c r="B711" s="303">
        <f t="shared" ref="B711:S711" si="391">AVERAGE(B628,B668)</f>
        <v>2.9285530376777613E-2</v>
      </c>
      <c r="C711" s="303">
        <f t="shared" si="391"/>
        <v>2.9285530376777613E-2</v>
      </c>
      <c r="D711" s="303">
        <f t="shared" si="391"/>
        <v>2.9285530376777613E-2</v>
      </c>
      <c r="E711" s="303">
        <f t="shared" si="391"/>
        <v>2.9285530376777613E-2</v>
      </c>
      <c r="F711" s="303">
        <f t="shared" si="391"/>
        <v>2.9285530376777613E-2</v>
      </c>
      <c r="G711" s="303">
        <f t="shared" si="391"/>
        <v>2.9285530376777613E-2</v>
      </c>
      <c r="H711" s="303">
        <f t="shared" si="391"/>
        <v>2.9285530376777613E-2</v>
      </c>
      <c r="I711" s="303">
        <f t="shared" si="391"/>
        <v>2.9285530376777613E-2</v>
      </c>
      <c r="J711" s="303">
        <f t="shared" si="391"/>
        <v>2.9285530376777613E-2</v>
      </c>
      <c r="K711" s="303">
        <f t="shared" si="391"/>
        <v>2.9285530376777613E-2</v>
      </c>
      <c r="L711" s="303">
        <f t="shared" si="391"/>
        <v>2.9285530376777613E-2</v>
      </c>
      <c r="M711" s="303">
        <f t="shared" si="391"/>
        <v>2.9285530376777613E-2</v>
      </c>
      <c r="N711" s="303">
        <f t="shared" si="391"/>
        <v>2.9285530376777613E-2</v>
      </c>
      <c r="O711" s="303">
        <f t="shared" si="391"/>
        <v>2.9285530376777613E-2</v>
      </c>
      <c r="P711" s="303">
        <f t="shared" si="391"/>
        <v>2.9285530376777613E-2</v>
      </c>
      <c r="Q711" s="303">
        <f t="shared" si="391"/>
        <v>2.9285530376777613E-2</v>
      </c>
      <c r="R711" s="303">
        <f t="shared" si="391"/>
        <v>2.9285530376777613E-2</v>
      </c>
      <c r="S711" s="383">
        <f t="shared" si="391"/>
        <v>2.9285530376777613E-2</v>
      </c>
    </row>
    <row r="712" spans="1:19" ht="12.75" customHeight="1" x14ac:dyDescent="0.2">
      <c r="A712" s="191" t="str">
        <f>"   "&amp;Labels!C380</f>
        <v xml:space="preserve">   Total</v>
      </c>
      <c r="B712" s="300">
        <f t="shared" ref="B712:S712" si="392">AVERAGE(B632,B672)</f>
        <v>2.9285530376777613E-2</v>
      </c>
      <c r="C712" s="300">
        <f t="shared" si="392"/>
        <v>2.9285530376777613E-2</v>
      </c>
      <c r="D712" s="300">
        <f t="shared" si="392"/>
        <v>2.9285530376777613E-2</v>
      </c>
      <c r="E712" s="300">
        <f t="shared" si="392"/>
        <v>2.9285530376777613E-2</v>
      </c>
      <c r="F712" s="300">
        <f t="shared" si="392"/>
        <v>2.9285530376777613E-2</v>
      </c>
      <c r="G712" s="300">
        <f t="shared" si="392"/>
        <v>2.9285530376777613E-2</v>
      </c>
      <c r="H712" s="300">
        <f t="shared" si="392"/>
        <v>2.9285530376777613E-2</v>
      </c>
      <c r="I712" s="300">
        <f t="shared" si="392"/>
        <v>2.9285530376777613E-2</v>
      </c>
      <c r="J712" s="300">
        <f t="shared" si="392"/>
        <v>2.9285530376777613E-2</v>
      </c>
      <c r="K712" s="300">
        <f t="shared" si="392"/>
        <v>2.9285530376777613E-2</v>
      </c>
      <c r="L712" s="300">
        <f t="shared" si="392"/>
        <v>2.9285530376777613E-2</v>
      </c>
      <c r="M712" s="300">
        <f t="shared" si="392"/>
        <v>2.9285530376777613E-2</v>
      </c>
      <c r="N712" s="300">
        <f t="shared" si="392"/>
        <v>2.9285530376777613E-2</v>
      </c>
      <c r="O712" s="300">
        <f t="shared" si="392"/>
        <v>2.9285530376777613E-2</v>
      </c>
      <c r="P712" s="300">
        <f t="shared" si="392"/>
        <v>2.9285530376777613E-2</v>
      </c>
      <c r="Q712" s="300">
        <f t="shared" si="392"/>
        <v>2.9285530376777613E-2</v>
      </c>
      <c r="R712" s="300">
        <f t="shared" si="392"/>
        <v>2.9285530376777613E-2</v>
      </c>
      <c r="S712" s="386">
        <f t="shared" si="392"/>
        <v>2.9285530376777613E-2</v>
      </c>
    </row>
    <row r="713" spans="1:19" ht="12.75" customHeight="1" x14ac:dyDescent="0.2">
      <c r="A713" s="198" t="str">
        <f>"      "&amp;Labels!B385</f>
        <v xml:space="preserve">      Prof Level 1</v>
      </c>
      <c r="B713" s="303"/>
      <c r="C713" s="303"/>
      <c r="D713" s="303"/>
      <c r="E713" s="303"/>
      <c r="F713" s="303"/>
      <c r="G713" s="303"/>
      <c r="H713" s="303"/>
      <c r="I713" s="303"/>
      <c r="J713" s="303"/>
      <c r="K713" s="303"/>
      <c r="L713" s="303"/>
      <c r="M713" s="303"/>
      <c r="N713" s="303"/>
      <c r="O713" s="303"/>
      <c r="P713" s="303"/>
      <c r="Q713" s="303"/>
      <c r="R713" s="303"/>
      <c r="S713" s="383"/>
    </row>
    <row r="714" spans="1:19" ht="12.75" customHeight="1" x14ac:dyDescent="0.2">
      <c r="A714" s="198" t="str">
        <f>"         "&amp;Labels!B317</f>
        <v xml:space="preserve">         Channels 1</v>
      </c>
      <c r="B714" s="384">
        <f t="shared" ref="B714:S714" si="393">AVERAGE(B634,B674)</f>
        <v>2.9285530376777613E-2</v>
      </c>
      <c r="C714" s="384">
        <f t="shared" si="393"/>
        <v>2.9285530376777613E-2</v>
      </c>
      <c r="D714" s="384">
        <f t="shared" si="393"/>
        <v>2.9285530376777613E-2</v>
      </c>
      <c r="E714" s="384">
        <f t="shared" si="393"/>
        <v>2.9285530376777613E-2</v>
      </c>
      <c r="F714" s="384">
        <f t="shared" si="393"/>
        <v>2.9285530376777613E-2</v>
      </c>
      <c r="G714" s="384">
        <f t="shared" si="393"/>
        <v>2.9285530376777613E-2</v>
      </c>
      <c r="H714" s="384">
        <f t="shared" si="393"/>
        <v>2.9285530376777613E-2</v>
      </c>
      <c r="I714" s="384">
        <f t="shared" si="393"/>
        <v>2.9285530376777613E-2</v>
      </c>
      <c r="J714" s="384">
        <f t="shared" si="393"/>
        <v>2.9285530376777613E-2</v>
      </c>
      <c r="K714" s="384">
        <f t="shared" si="393"/>
        <v>2.9285530376777613E-2</v>
      </c>
      <c r="L714" s="384">
        <f t="shared" si="393"/>
        <v>2.9285530376777613E-2</v>
      </c>
      <c r="M714" s="384">
        <f t="shared" si="393"/>
        <v>2.9285530376777613E-2</v>
      </c>
      <c r="N714" s="384">
        <f t="shared" si="393"/>
        <v>2.9285530376777613E-2</v>
      </c>
      <c r="O714" s="384">
        <f t="shared" si="393"/>
        <v>2.9285530376777613E-2</v>
      </c>
      <c r="P714" s="384">
        <f t="shared" si="393"/>
        <v>2.9285530376777613E-2</v>
      </c>
      <c r="Q714" s="384">
        <f t="shared" si="393"/>
        <v>2.9285530376777613E-2</v>
      </c>
      <c r="R714" s="384">
        <f t="shared" si="393"/>
        <v>2.9285530376777613E-2</v>
      </c>
      <c r="S714" s="385">
        <f t="shared" si="393"/>
        <v>2.9285530376777613E-2</v>
      </c>
    </row>
    <row r="715" spans="1:19" ht="12.75" customHeight="1" x14ac:dyDescent="0.2">
      <c r="A715" s="198" t="str">
        <f>"         "&amp;Labels!B318</f>
        <v xml:space="preserve">         Channels 2</v>
      </c>
      <c r="B715" s="384">
        <f t="shared" ref="B715:S715" si="394">AVERAGE(B635,B675)</f>
        <v>2.9285530376777613E-2</v>
      </c>
      <c r="C715" s="384">
        <f t="shared" si="394"/>
        <v>2.9285530376777613E-2</v>
      </c>
      <c r="D715" s="384">
        <f t="shared" si="394"/>
        <v>2.9285530376777613E-2</v>
      </c>
      <c r="E715" s="384">
        <f t="shared" si="394"/>
        <v>2.9285530376777613E-2</v>
      </c>
      <c r="F715" s="384">
        <f t="shared" si="394"/>
        <v>2.9285530376777613E-2</v>
      </c>
      <c r="G715" s="384">
        <f t="shared" si="394"/>
        <v>2.9285530376777613E-2</v>
      </c>
      <c r="H715" s="384">
        <f t="shared" si="394"/>
        <v>2.9285530376777613E-2</v>
      </c>
      <c r="I715" s="384">
        <f t="shared" si="394"/>
        <v>2.9285530376777613E-2</v>
      </c>
      <c r="J715" s="384">
        <f t="shared" si="394"/>
        <v>2.9285530376777613E-2</v>
      </c>
      <c r="K715" s="384">
        <f t="shared" si="394"/>
        <v>2.9285530376777613E-2</v>
      </c>
      <c r="L715" s="384">
        <f t="shared" si="394"/>
        <v>2.9285530376777613E-2</v>
      </c>
      <c r="M715" s="384">
        <f t="shared" si="394"/>
        <v>2.9285530376777613E-2</v>
      </c>
      <c r="N715" s="384">
        <f t="shared" si="394"/>
        <v>2.9285530376777613E-2</v>
      </c>
      <c r="O715" s="384">
        <f t="shared" si="394"/>
        <v>2.9285530376777613E-2</v>
      </c>
      <c r="P715" s="384">
        <f t="shared" si="394"/>
        <v>2.9285530376777613E-2</v>
      </c>
      <c r="Q715" s="384">
        <f t="shared" si="394"/>
        <v>2.9285530376777613E-2</v>
      </c>
      <c r="R715" s="384">
        <f t="shared" si="394"/>
        <v>2.9285530376777613E-2</v>
      </c>
      <c r="S715" s="385">
        <f t="shared" si="394"/>
        <v>2.9285530376777613E-2</v>
      </c>
    </row>
    <row r="716" spans="1:19" ht="12.75" customHeight="1" x14ac:dyDescent="0.2">
      <c r="A716" s="198" t="str">
        <f>"         "&amp;Labels!C316</f>
        <v xml:space="preserve">         Total</v>
      </c>
      <c r="B716" s="303">
        <f t="shared" ref="B716:S716" si="395">AVERAGE(B636,B676)</f>
        <v>2.9285530376777613E-2</v>
      </c>
      <c r="C716" s="303">
        <f t="shared" si="395"/>
        <v>2.9285530376777613E-2</v>
      </c>
      <c r="D716" s="303">
        <f t="shared" si="395"/>
        <v>2.9285530376777613E-2</v>
      </c>
      <c r="E716" s="303">
        <f t="shared" si="395"/>
        <v>2.9285530376777613E-2</v>
      </c>
      <c r="F716" s="303">
        <f t="shared" si="395"/>
        <v>2.9285530376777613E-2</v>
      </c>
      <c r="G716" s="303">
        <f t="shared" si="395"/>
        <v>2.9285530376777613E-2</v>
      </c>
      <c r="H716" s="303">
        <f t="shared" si="395"/>
        <v>2.9285530376777613E-2</v>
      </c>
      <c r="I716" s="303">
        <f t="shared" si="395"/>
        <v>2.9285530376777613E-2</v>
      </c>
      <c r="J716" s="303">
        <f t="shared" si="395"/>
        <v>2.9285530376777613E-2</v>
      </c>
      <c r="K716" s="303">
        <f t="shared" si="395"/>
        <v>2.9285530376777613E-2</v>
      </c>
      <c r="L716" s="303">
        <f t="shared" si="395"/>
        <v>2.9285530376777613E-2</v>
      </c>
      <c r="M716" s="303">
        <f t="shared" si="395"/>
        <v>2.9285530376777613E-2</v>
      </c>
      <c r="N716" s="303">
        <f t="shared" si="395"/>
        <v>2.9285530376777613E-2</v>
      </c>
      <c r="O716" s="303">
        <f t="shared" si="395"/>
        <v>2.9285530376777613E-2</v>
      </c>
      <c r="P716" s="303">
        <f t="shared" si="395"/>
        <v>2.9285530376777613E-2</v>
      </c>
      <c r="Q716" s="303">
        <f t="shared" si="395"/>
        <v>2.9285530376777613E-2</v>
      </c>
      <c r="R716" s="303">
        <f t="shared" si="395"/>
        <v>2.9285530376777613E-2</v>
      </c>
      <c r="S716" s="383">
        <f t="shared" si="395"/>
        <v>2.9285530376777613E-2</v>
      </c>
    </row>
    <row r="717" spans="1:19" ht="12.75" customHeight="1" x14ac:dyDescent="0.2">
      <c r="A717" s="198" t="str">
        <f>"      "&amp;Labels!B386</f>
        <v xml:space="preserve">      Prof Level 2</v>
      </c>
      <c r="B717" s="303"/>
      <c r="C717" s="303"/>
      <c r="D717" s="303"/>
      <c r="E717" s="303"/>
      <c r="F717" s="303"/>
      <c r="G717" s="303"/>
      <c r="H717" s="303"/>
      <c r="I717" s="303"/>
      <c r="J717" s="303"/>
      <c r="K717" s="303"/>
      <c r="L717" s="303"/>
      <c r="M717" s="303"/>
      <c r="N717" s="303"/>
      <c r="O717" s="303"/>
      <c r="P717" s="303"/>
      <c r="Q717" s="303"/>
      <c r="R717" s="303"/>
      <c r="S717" s="383"/>
    </row>
    <row r="718" spans="1:19" ht="12.75" customHeight="1" x14ac:dyDescent="0.2">
      <c r="A718" s="198" t="str">
        <f>"         "&amp;Labels!B317</f>
        <v xml:space="preserve">         Channels 1</v>
      </c>
      <c r="B718" s="384">
        <f t="shared" ref="B718:S718" si="396">AVERAGE(B638,B678)</f>
        <v>2.9285530376777613E-2</v>
      </c>
      <c r="C718" s="384">
        <f t="shared" si="396"/>
        <v>2.9285530376777613E-2</v>
      </c>
      <c r="D718" s="384">
        <f t="shared" si="396"/>
        <v>2.9285530376777613E-2</v>
      </c>
      <c r="E718" s="384">
        <f t="shared" si="396"/>
        <v>2.9285530376777613E-2</v>
      </c>
      <c r="F718" s="384">
        <f t="shared" si="396"/>
        <v>2.9285530376777613E-2</v>
      </c>
      <c r="G718" s="384">
        <f t="shared" si="396"/>
        <v>2.9285530376777613E-2</v>
      </c>
      <c r="H718" s="384">
        <f t="shared" si="396"/>
        <v>2.9285530376777613E-2</v>
      </c>
      <c r="I718" s="384">
        <f t="shared" si="396"/>
        <v>2.9285530376777613E-2</v>
      </c>
      <c r="J718" s="384">
        <f t="shared" si="396"/>
        <v>2.9285530376777613E-2</v>
      </c>
      <c r="K718" s="384">
        <f t="shared" si="396"/>
        <v>2.9285530376777613E-2</v>
      </c>
      <c r="L718" s="384">
        <f t="shared" si="396"/>
        <v>2.9285530376777613E-2</v>
      </c>
      <c r="M718" s="384">
        <f t="shared" si="396"/>
        <v>2.9285530376777613E-2</v>
      </c>
      <c r="N718" s="384">
        <f t="shared" si="396"/>
        <v>2.9285530376777613E-2</v>
      </c>
      <c r="O718" s="384">
        <f t="shared" si="396"/>
        <v>2.9285530376777613E-2</v>
      </c>
      <c r="P718" s="384">
        <f t="shared" si="396"/>
        <v>2.9285530376777613E-2</v>
      </c>
      <c r="Q718" s="384">
        <f t="shared" si="396"/>
        <v>2.9285530376777613E-2</v>
      </c>
      <c r="R718" s="384">
        <f t="shared" si="396"/>
        <v>2.9285530376777613E-2</v>
      </c>
      <c r="S718" s="385">
        <f t="shared" si="396"/>
        <v>2.9285530376777613E-2</v>
      </c>
    </row>
    <row r="719" spans="1:19" ht="12.75" customHeight="1" x14ac:dyDescent="0.2">
      <c r="A719" s="198" t="str">
        <f>"         "&amp;Labels!B318</f>
        <v xml:space="preserve">         Channels 2</v>
      </c>
      <c r="B719" s="384">
        <f t="shared" ref="B719:S719" si="397">AVERAGE(B639,B679)</f>
        <v>2.9285530376777613E-2</v>
      </c>
      <c r="C719" s="384">
        <f t="shared" si="397"/>
        <v>2.9285530376777613E-2</v>
      </c>
      <c r="D719" s="384">
        <f t="shared" si="397"/>
        <v>2.9285530376777613E-2</v>
      </c>
      <c r="E719" s="384">
        <f t="shared" si="397"/>
        <v>2.9285530376777613E-2</v>
      </c>
      <c r="F719" s="384">
        <f t="shared" si="397"/>
        <v>2.9285530376777613E-2</v>
      </c>
      <c r="G719" s="384">
        <f t="shared" si="397"/>
        <v>2.9285530376777613E-2</v>
      </c>
      <c r="H719" s="384">
        <f t="shared" si="397"/>
        <v>2.9285530376777613E-2</v>
      </c>
      <c r="I719" s="384">
        <f t="shared" si="397"/>
        <v>2.9285530376777613E-2</v>
      </c>
      <c r="J719" s="384">
        <f t="shared" si="397"/>
        <v>2.9285530376777613E-2</v>
      </c>
      <c r="K719" s="384">
        <f t="shared" si="397"/>
        <v>2.9285530376777613E-2</v>
      </c>
      <c r="L719" s="384">
        <f t="shared" si="397"/>
        <v>2.9285530376777613E-2</v>
      </c>
      <c r="M719" s="384">
        <f t="shared" si="397"/>
        <v>2.9285530376777613E-2</v>
      </c>
      <c r="N719" s="384">
        <f t="shared" si="397"/>
        <v>2.9285530376777613E-2</v>
      </c>
      <c r="O719" s="384">
        <f t="shared" si="397"/>
        <v>2.9285530376777613E-2</v>
      </c>
      <c r="P719" s="384">
        <f t="shared" si="397"/>
        <v>2.9285530376777613E-2</v>
      </c>
      <c r="Q719" s="384">
        <f t="shared" si="397"/>
        <v>2.9285530376777613E-2</v>
      </c>
      <c r="R719" s="384">
        <f t="shared" si="397"/>
        <v>2.9285530376777613E-2</v>
      </c>
      <c r="S719" s="385">
        <f t="shared" si="397"/>
        <v>2.9285530376777613E-2</v>
      </c>
    </row>
    <row r="720" spans="1:19" ht="12.75" customHeight="1" x14ac:dyDescent="0.2">
      <c r="A720" s="198" t="str">
        <f>"         "&amp;Labels!C316</f>
        <v xml:space="preserve">         Total</v>
      </c>
      <c r="B720" s="303">
        <f t="shared" ref="B720:S720" si="398">AVERAGE(B640,B680)</f>
        <v>2.9285530376777613E-2</v>
      </c>
      <c r="C720" s="303">
        <f t="shared" si="398"/>
        <v>2.9285530376777613E-2</v>
      </c>
      <c r="D720" s="303">
        <f t="shared" si="398"/>
        <v>2.9285530376777613E-2</v>
      </c>
      <c r="E720" s="303">
        <f t="shared" si="398"/>
        <v>2.9285530376777613E-2</v>
      </c>
      <c r="F720" s="303">
        <f t="shared" si="398"/>
        <v>2.9285530376777613E-2</v>
      </c>
      <c r="G720" s="303">
        <f t="shared" si="398"/>
        <v>2.9285530376777613E-2</v>
      </c>
      <c r="H720" s="303">
        <f t="shared" si="398"/>
        <v>2.9285530376777613E-2</v>
      </c>
      <c r="I720" s="303">
        <f t="shared" si="398"/>
        <v>2.9285530376777613E-2</v>
      </c>
      <c r="J720" s="303">
        <f t="shared" si="398"/>
        <v>2.9285530376777613E-2</v>
      </c>
      <c r="K720" s="303">
        <f t="shared" si="398"/>
        <v>2.9285530376777613E-2</v>
      </c>
      <c r="L720" s="303">
        <f t="shared" si="398"/>
        <v>2.9285530376777613E-2</v>
      </c>
      <c r="M720" s="303">
        <f t="shared" si="398"/>
        <v>2.9285530376777613E-2</v>
      </c>
      <c r="N720" s="303">
        <f t="shared" si="398"/>
        <v>2.9285530376777613E-2</v>
      </c>
      <c r="O720" s="303">
        <f t="shared" si="398"/>
        <v>2.9285530376777613E-2</v>
      </c>
      <c r="P720" s="303">
        <f t="shared" si="398"/>
        <v>2.9285530376777613E-2</v>
      </c>
      <c r="Q720" s="303">
        <f t="shared" si="398"/>
        <v>2.9285530376777613E-2</v>
      </c>
      <c r="R720" s="303">
        <f t="shared" si="398"/>
        <v>2.9285530376777613E-2</v>
      </c>
      <c r="S720" s="383">
        <f t="shared" si="398"/>
        <v>2.9285530376777613E-2</v>
      </c>
    </row>
    <row r="721" spans="1:19" ht="12.75" customHeight="1" x14ac:dyDescent="0.2">
      <c r="A721" s="188" t="str">
        <f>"      "&amp;Labels!C384</f>
        <v xml:space="preserve">      Total</v>
      </c>
      <c r="B721" s="275">
        <f t="shared" ref="B721:S721" si="399">AVERAGE(B632,B672)</f>
        <v>2.9285530376777613E-2</v>
      </c>
      <c r="C721" s="275">
        <f t="shared" si="399"/>
        <v>2.9285530376777613E-2</v>
      </c>
      <c r="D721" s="275">
        <f t="shared" si="399"/>
        <v>2.9285530376777613E-2</v>
      </c>
      <c r="E721" s="275">
        <f t="shared" si="399"/>
        <v>2.9285530376777613E-2</v>
      </c>
      <c r="F721" s="275">
        <f t="shared" si="399"/>
        <v>2.9285530376777613E-2</v>
      </c>
      <c r="G721" s="275">
        <f t="shared" si="399"/>
        <v>2.9285530376777613E-2</v>
      </c>
      <c r="H721" s="275">
        <f t="shared" si="399"/>
        <v>2.9285530376777613E-2</v>
      </c>
      <c r="I721" s="275">
        <f t="shared" si="399"/>
        <v>2.9285530376777613E-2</v>
      </c>
      <c r="J721" s="275">
        <f t="shared" si="399"/>
        <v>2.9285530376777613E-2</v>
      </c>
      <c r="K721" s="275">
        <f t="shared" si="399"/>
        <v>2.9285530376777613E-2</v>
      </c>
      <c r="L721" s="275">
        <f t="shared" si="399"/>
        <v>2.9285530376777613E-2</v>
      </c>
      <c r="M721" s="275">
        <f t="shared" si="399"/>
        <v>2.9285530376777613E-2</v>
      </c>
      <c r="N721" s="275">
        <f t="shared" si="399"/>
        <v>2.9285530376777613E-2</v>
      </c>
      <c r="O721" s="275">
        <f t="shared" si="399"/>
        <v>2.9285530376777613E-2</v>
      </c>
      <c r="P721" s="275">
        <f t="shared" si="399"/>
        <v>2.9285530376777613E-2</v>
      </c>
      <c r="Q721" s="275">
        <f t="shared" si="399"/>
        <v>2.9285530376777613E-2</v>
      </c>
      <c r="R721" s="275">
        <f t="shared" si="399"/>
        <v>2.9285530376777613E-2</v>
      </c>
      <c r="S721" s="276">
        <f t="shared" si="399"/>
        <v>2.9285530376777613E-2</v>
      </c>
    </row>
    <row r="722" spans="1:19" ht="12.75" customHeight="1" x14ac:dyDescent="0.2">
      <c r="A722" s="198" t="str">
        <f>"         "&amp;Labels!B317</f>
        <v xml:space="preserve">         Channels 1</v>
      </c>
      <c r="B722" s="384">
        <f t="shared" ref="B722:S722" si="400">AVERAGE(B642,B682)</f>
        <v>2.9285530376777613E-2</v>
      </c>
      <c r="C722" s="384">
        <f t="shared" si="400"/>
        <v>2.9285530376777613E-2</v>
      </c>
      <c r="D722" s="384">
        <f t="shared" si="400"/>
        <v>2.9285530376777613E-2</v>
      </c>
      <c r="E722" s="384">
        <f t="shared" si="400"/>
        <v>2.9285530376777613E-2</v>
      </c>
      <c r="F722" s="384">
        <f t="shared" si="400"/>
        <v>2.9285530376777613E-2</v>
      </c>
      <c r="G722" s="384">
        <f t="shared" si="400"/>
        <v>2.9285530376777613E-2</v>
      </c>
      <c r="H722" s="384">
        <f t="shared" si="400"/>
        <v>2.9285530376777613E-2</v>
      </c>
      <c r="I722" s="384">
        <f t="shared" si="400"/>
        <v>2.9285530376777613E-2</v>
      </c>
      <c r="J722" s="384">
        <f t="shared" si="400"/>
        <v>2.9285530376777613E-2</v>
      </c>
      <c r="K722" s="384">
        <f t="shared" si="400"/>
        <v>2.9285530376777613E-2</v>
      </c>
      <c r="L722" s="384">
        <f t="shared" si="400"/>
        <v>2.9285530376777613E-2</v>
      </c>
      <c r="M722" s="384">
        <f t="shared" si="400"/>
        <v>2.9285530376777613E-2</v>
      </c>
      <c r="N722" s="384">
        <f t="shared" si="400"/>
        <v>2.9285530376777613E-2</v>
      </c>
      <c r="O722" s="384">
        <f t="shared" si="400"/>
        <v>2.9285530376777613E-2</v>
      </c>
      <c r="P722" s="384">
        <f t="shared" si="400"/>
        <v>2.9285530376777613E-2</v>
      </c>
      <c r="Q722" s="384">
        <f t="shared" si="400"/>
        <v>2.9285530376777613E-2</v>
      </c>
      <c r="R722" s="384">
        <f t="shared" si="400"/>
        <v>2.9285530376777613E-2</v>
      </c>
      <c r="S722" s="385">
        <f t="shared" si="400"/>
        <v>2.9285530376777613E-2</v>
      </c>
    </row>
    <row r="723" spans="1:19" ht="12.75" customHeight="1" x14ac:dyDescent="0.2">
      <c r="A723" s="198" t="str">
        <f>"         "&amp;Labels!B318</f>
        <v xml:space="preserve">         Channels 2</v>
      </c>
      <c r="B723" s="384">
        <f t="shared" ref="B723:S723" si="401">AVERAGE(B643,B683)</f>
        <v>2.9285530376777613E-2</v>
      </c>
      <c r="C723" s="384">
        <f t="shared" si="401"/>
        <v>2.9285530376777613E-2</v>
      </c>
      <c r="D723" s="384">
        <f t="shared" si="401"/>
        <v>2.9285530376777613E-2</v>
      </c>
      <c r="E723" s="384">
        <f t="shared" si="401"/>
        <v>2.9285530376777613E-2</v>
      </c>
      <c r="F723" s="384">
        <f t="shared" si="401"/>
        <v>2.9285530376777613E-2</v>
      </c>
      <c r="G723" s="384">
        <f t="shared" si="401"/>
        <v>2.9285530376777613E-2</v>
      </c>
      <c r="H723" s="384">
        <f t="shared" si="401"/>
        <v>2.9285530376777613E-2</v>
      </c>
      <c r="I723" s="384">
        <f t="shared" si="401"/>
        <v>2.9285530376777613E-2</v>
      </c>
      <c r="J723" s="384">
        <f t="shared" si="401"/>
        <v>2.9285530376777613E-2</v>
      </c>
      <c r="K723" s="384">
        <f t="shared" si="401"/>
        <v>2.9285530376777613E-2</v>
      </c>
      <c r="L723" s="384">
        <f t="shared" si="401"/>
        <v>2.9285530376777613E-2</v>
      </c>
      <c r="M723" s="384">
        <f t="shared" si="401"/>
        <v>2.9285530376777613E-2</v>
      </c>
      <c r="N723" s="384">
        <f t="shared" si="401"/>
        <v>2.9285530376777613E-2</v>
      </c>
      <c r="O723" s="384">
        <f t="shared" si="401"/>
        <v>2.9285530376777613E-2</v>
      </c>
      <c r="P723" s="384">
        <f t="shared" si="401"/>
        <v>2.9285530376777613E-2</v>
      </c>
      <c r="Q723" s="384">
        <f t="shared" si="401"/>
        <v>2.9285530376777613E-2</v>
      </c>
      <c r="R723" s="384">
        <f t="shared" si="401"/>
        <v>2.9285530376777613E-2</v>
      </c>
      <c r="S723" s="385">
        <f t="shared" si="401"/>
        <v>2.9285530376777613E-2</v>
      </c>
    </row>
    <row r="724" spans="1:19" ht="12.75" customHeight="1" x14ac:dyDescent="0.2">
      <c r="A724" s="230" t="str">
        <f>"         "&amp;Labels!C316</f>
        <v xml:space="preserve">         Total</v>
      </c>
      <c r="B724" s="389">
        <f t="shared" ref="B724:S724" si="402">AVERAGE(B632,B672)</f>
        <v>2.9285530376777613E-2</v>
      </c>
      <c r="C724" s="389">
        <f t="shared" si="402"/>
        <v>2.9285530376777613E-2</v>
      </c>
      <c r="D724" s="389">
        <f t="shared" si="402"/>
        <v>2.9285530376777613E-2</v>
      </c>
      <c r="E724" s="389">
        <f t="shared" si="402"/>
        <v>2.9285530376777613E-2</v>
      </c>
      <c r="F724" s="389">
        <f t="shared" si="402"/>
        <v>2.9285530376777613E-2</v>
      </c>
      <c r="G724" s="389">
        <f t="shared" si="402"/>
        <v>2.9285530376777613E-2</v>
      </c>
      <c r="H724" s="389">
        <f t="shared" si="402"/>
        <v>2.9285530376777613E-2</v>
      </c>
      <c r="I724" s="389">
        <f t="shared" si="402"/>
        <v>2.9285530376777613E-2</v>
      </c>
      <c r="J724" s="389">
        <f t="shared" si="402"/>
        <v>2.9285530376777613E-2</v>
      </c>
      <c r="K724" s="389">
        <f t="shared" si="402"/>
        <v>2.9285530376777613E-2</v>
      </c>
      <c r="L724" s="389">
        <f t="shared" si="402"/>
        <v>2.9285530376777613E-2</v>
      </c>
      <c r="M724" s="389">
        <f t="shared" si="402"/>
        <v>2.9285530376777613E-2</v>
      </c>
      <c r="N724" s="389">
        <f t="shared" si="402"/>
        <v>2.9285530376777613E-2</v>
      </c>
      <c r="O724" s="389">
        <f t="shared" si="402"/>
        <v>2.9285530376777613E-2</v>
      </c>
      <c r="P724" s="389">
        <f t="shared" si="402"/>
        <v>2.9285530376777613E-2</v>
      </c>
      <c r="Q724" s="389">
        <f t="shared" si="402"/>
        <v>2.9285530376777613E-2</v>
      </c>
      <c r="R724" s="389">
        <f t="shared" si="402"/>
        <v>2.9285530376777613E-2</v>
      </c>
      <c r="S724" s="390">
        <f t="shared" si="402"/>
        <v>2.9285530376777613E-2</v>
      </c>
    </row>
    <row r="725" spans="1:19" ht="12.75" customHeight="1" x14ac:dyDescent="0.2">
      <c r="A725" s="1" t="str">
        <f>Labels!B166</f>
        <v>Billings at Nominal Fees</v>
      </c>
    </row>
    <row r="726" spans="1:19" ht="12.75" customHeight="1" x14ac:dyDescent="0.2">
      <c r="B726" s="9" t="str">
        <f>'(FnCalls 1)'!F41</f>
        <v>MMM 2010</v>
      </c>
      <c r="C726" s="10" t="str">
        <f>'(FnCalls 1)'!F42</f>
        <v>MMM 2010</v>
      </c>
      <c r="D726" s="10" t="str">
        <f>'(FnCalls 1)'!F43</f>
        <v>MMM 2010</v>
      </c>
      <c r="E726" s="10" t="str">
        <f>'(FnCalls 1)'!F44</f>
        <v>MMM 2010</v>
      </c>
      <c r="F726" s="10" t="str">
        <f>'(FnCalls 1)'!F45</f>
        <v>MMM 2010</v>
      </c>
      <c r="G726" s="10" t="str">
        <f>'(FnCalls 1)'!F46</f>
        <v>MMM 2010</v>
      </c>
      <c r="H726" s="10" t="str">
        <f>'(FnCalls 1)'!F47</f>
        <v>MMM 2010</v>
      </c>
      <c r="I726" s="10" t="str">
        <f>'(FnCalls 1)'!F48</f>
        <v>MMM 2010</v>
      </c>
      <c r="J726" s="10" t="str">
        <f>'(FnCalls 1)'!F49</f>
        <v>MMM 2010</v>
      </c>
      <c r="K726" s="10" t="str">
        <f>'(FnCalls 1)'!F50</f>
        <v>MMM 2010</v>
      </c>
      <c r="L726" s="10" t="str">
        <f>'(FnCalls 1)'!F51</f>
        <v>MMM 2010</v>
      </c>
      <c r="M726" s="10" t="str">
        <f>'(FnCalls 1)'!F52</f>
        <v>MMM 2010</v>
      </c>
      <c r="N726" s="10" t="str">
        <f>'(FnCalls 1)'!F53</f>
        <v>MMM 2011</v>
      </c>
      <c r="O726" s="10" t="str">
        <f>'(FnCalls 1)'!F54</f>
        <v>MMM 2011</v>
      </c>
      <c r="P726" s="10" t="str">
        <f>'(FnCalls 1)'!F55</f>
        <v>MMM 2011</v>
      </c>
      <c r="Q726" s="10" t="str">
        <f>'(FnCalls 1)'!F56</f>
        <v>MMM 2011</v>
      </c>
      <c r="R726" s="10" t="str">
        <f>'(FnCalls 1)'!F57</f>
        <v>MMM 2011</v>
      </c>
      <c r="S726" s="11" t="str">
        <f>'(FnCalls 1)'!F58</f>
        <v>MMM 2011</v>
      </c>
    </row>
    <row r="727" spans="1:19" ht="12.75" customHeight="1" x14ac:dyDescent="0.2">
      <c r="A727" s="182" t="str">
        <f>Labels!B381</f>
        <v>Practice 1</v>
      </c>
      <c r="B727" s="183"/>
      <c r="C727" s="183"/>
      <c r="D727" s="183"/>
      <c r="E727" s="183"/>
      <c r="F727" s="183"/>
      <c r="G727" s="183"/>
      <c r="H727" s="183"/>
      <c r="I727" s="183"/>
      <c r="J727" s="183"/>
      <c r="K727" s="183"/>
      <c r="L727" s="183"/>
      <c r="M727" s="183"/>
      <c r="N727" s="183"/>
      <c r="O727" s="183"/>
      <c r="P727" s="183"/>
      <c r="Q727" s="183"/>
      <c r="R727" s="183"/>
      <c r="S727" s="266"/>
    </row>
    <row r="728" spans="1:19" ht="12.75" customHeight="1" x14ac:dyDescent="0.2">
      <c r="A728" s="188" t="str">
        <f>"   "&amp;Labels!B385</f>
        <v xml:space="preserve">   Prof Level 1</v>
      </c>
      <c r="B728" s="196"/>
      <c r="C728" s="196"/>
      <c r="D728" s="196"/>
      <c r="E728" s="196"/>
      <c r="F728" s="196"/>
      <c r="G728" s="196"/>
      <c r="H728" s="196"/>
      <c r="I728" s="196"/>
      <c r="J728" s="196"/>
      <c r="K728" s="196"/>
      <c r="L728" s="196"/>
      <c r="M728" s="196"/>
      <c r="N728" s="196"/>
      <c r="O728" s="196"/>
      <c r="P728" s="196"/>
      <c r="Q728" s="196"/>
      <c r="R728" s="196"/>
      <c r="S728" s="267"/>
    </row>
    <row r="729" spans="1:19" ht="12.75" customHeight="1" x14ac:dyDescent="0.2">
      <c r="A729" s="198" t="str">
        <f>"      "&amp;Labels!B317</f>
        <v xml:space="preserve">      Channels 1</v>
      </c>
      <c r="B729" s="226">
        <f>B403*Sales!B184</f>
        <v>0</v>
      </c>
      <c r="C729" s="226">
        <f>C403*Sales!C184</f>
        <v>0</v>
      </c>
      <c r="D729" s="226">
        <f>D403*Sales!D184</f>
        <v>27500</v>
      </c>
      <c r="E729" s="226">
        <f>E403*Sales!F184</f>
        <v>27500</v>
      </c>
      <c r="F729" s="226">
        <f>F403*Sales!G184</f>
        <v>0</v>
      </c>
      <c r="G729" s="226">
        <f>G403*Sales!H184</f>
        <v>20000</v>
      </c>
      <c r="H729" s="226">
        <f>H403*Sales!J184</f>
        <v>20000</v>
      </c>
      <c r="I729" s="226">
        <f>I403*Sales!K184</f>
        <v>20000</v>
      </c>
      <c r="J729" s="226">
        <f>J403*Sales!L184</f>
        <v>0</v>
      </c>
      <c r="K729" s="226">
        <f>K403*Sales!N184</f>
        <v>0</v>
      </c>
      <c r="L729" s="226">
        <f>L403*Sales!O184</f>
        <v>0</v>
      </c>
      <c r="M729" s="226">
        <f>M403*Sales!P184</f>
        <v>0</v>
      </c>
      <c r="N729" s="226">
        <f>N403*Sales!R184</f>
        <v>0</v>
      </c>
      <c r="O729" s="226">
        <f>O403*Sales!S184</f>
        <v>0</v>
      </c>
      <c r="P729" s="226">
        <f>P403*Sales!T184</f>
        <v>0</v>
      </c>
      <c r="Q729" s="226">
        <f>Q403*Sales!V184</f>
        <v>0</v>
      </c>
      <c r="R729" s="226">
        <f>R403*Sales!W184</f>
        <v>0</v>
      </c>
      <c r="S729" s="279">
        <f>S403*Sales!X184</f>
        <v>0</v>
      </c>
    </row>
    <row r="730" spans="1:19" ht="12.75" customHeight="1" x14ac:dyDescent="0.2">
      <c r="A730" s="198" t="str">
        <f>"      "&amp;Labels!B318</f>
        <v xml:space="preserve">      Channels 2</v>
      </c>
      <c r="B730" s="226">
        <f>B403*Sales!B185</f>
        <v>0</v>
      </c>
      <c r="C730" s="226">
        <f>C403*Sales!C185</f>
        <v>0</v>
      </c>
      <c r="D730" s="226">
        <f>D403*Sales!D185</f>
        <v>27500</v>
      </c>
      <c r="E730" s="226">
        <f>E403*Sales!F185</f>
        <v>27500</v>
      </c>
      <c r="F730" s="226">
        <f>F403*Sales!G185</f>
        <v>0</v>
      </c>
      <c r="G730" s="226">
        <f>G403*Sales!H185</f>
        <v>20000</v>
      </c>
      <c r="H730" s="226">
        <f>H403*Sales!J185</f>
        <v>20000</v>
      </c>
      <c r="I730" s="226">
        <f>I403*Sales!K185</f>
        <v>20000</v>
      </c>
      <c r="J730" s="226">
        <f>J403*Sales!L185</f>
        <v>0</v>
      </c>
      <c r="K730" s="226">
        <f>K403*Sales!N185</f>
        <v>0</v>
      </c>
      <c r="L730" s="226">
        <f>L403*Sales!O185</f>
        <v>0</v>
      </c>
      <c r="M730" s="226">
        <f>M403*Sales!P185</f>
        <v>0</v>
      </c>
      <c r="N730" s="226">
        <f>N403*Sales!R185</f>
        <v>0</v>
      </c>
      <c r="O730" s="226">
        <f>O403*Sales!S185</f>
        <v>0</v>
      </c>
      <c r="P730" s="226">
        <f>P403*Sales!T185</f>
        <v>0</v>
      </c>
      <c r="Q730" s="226">
        <f>Q403*Sales!V185</f>
        <v>0</v>
      </c>
      <c r="R730" s="226">
        <f>R403*Sales!W185</f>
        <v>0</v>
      </c>
      <c r="S730" s="279">
        <f>S403*Sales!X185</f>
        <v>0</v>
      </c>
    </row>
    <row r="731" spans="1:19" ht="12.75" customHeight="1" x14ac:dyDescent="0.2">
      <c r="A731" s="188" t="str">
        <f>"      "&amp;Labels!C316</f>
        <v xml:space="preserve">      Total</v>
      </c>
      <c r="B731" s="196">
        <f t="shared" ref="B731:S731" si="403">SUM(B729:B730)</f>
        <v>0</v>
      </c>
      <c r="C731" s="196">
        <f t="shared" si="403"/>
        <v>0</v>
      </c>
      <c r="D731" s="196">
        <f t="shared" si="403"/>
        <v>55000</v>
      </c>
      <c r="E731" s="196">
        <f t="shared" si="403"/>
        <v>55000</v>
      </c>
      <c r="F731" s="196">
        <f t="shared" si="403"/>
        <v>0</v>
      </c>
      <c r="G731" s="196">
        <f t="shared" si="403"/>
        <v>40000</v>
      </c>
      <c r="H731" s="196">
        <f t="shared" si="403"/>
        <v>40000</v>
      </c>
      <c r="I731" s="196">
        <f t="shared" si="403"/>
        <v>40000</v>
      </c>
      <c r="J731" s="196">
        <f t="shared" si="403"/>
        <v>0</v>
      </c>
      <c r="K731" s="196">
        <f t="shared" si="403"/>
        <v>0</v>
      </c>
      <c r="L731" s="196">
        <f t="shared" si="403"/>
        <v>0</v>
      </c>
      <c r="M731" s="196">
        <f t="shared" si="403"/>
        <v>0</v>
      </c>
      <c r="N731" s="196">
        <f t="shared" si="403"/>
        <v>0</v>
      </c>
      <c r="O731" s="196">
        <f t="shared" si="403"/>
        <v>0</v>
      </c>
      <c r="P731" s="196">
        <f t="shared" si="403"/>
        <v>0</v>
      </c>
      <c r="Q731" s="196">
        <f t="shared" si="403"/>
        <v>0</v>
      </c>
      <c r="R731" s="196">
        <f t="shared" si="403"/>
        <v>0</v>
      </c>
      <c r="S731" s="267">
        <f t="shared" si="403"/>
        <v>0</v>
      </c>
    </row>
    <row r="732" spans="1:19" ht="12.75" customHeight="1" x14ac:dyDescent="0.2">
      <c r="A732" s="188" t="str">
        <f>"   "&amp;Labels!B386</f>
        <v xml:space="preserve">   Prof Level 2</v>
      </c>
      <c r="B732" s="196"/>
      <c r="C732" s="196"/>
      <c r="D732" s="196"/>
      <c r="E732" s="196"/>
      <c r="F732" s="196"/>
      <c r="G732" s="196"/>
      <c r="H732" s="196"/>
      <c r="I732" s="196"/>
      <c r="J732" s="196"/>
      <c r="K732" s="196"/>
      <c r="L732" s="196"/>
      <c r="M732" s="196"/>
      <c r="N732" s="196"/>
      <c r="O732" s="196"/>
      <c r="P732" s="196"/>
      <c r="Q732" s="196"/>
      <c r="R732" s="196"/>
      <c r="S732" s="267"/>
    </row>
    <row r="733" spans="1:19" ht="12.75" customHeight="1" x14ac:dyDescent="0.2">
      <c r="A733" s="198" t="str">
        <f>"      "&amp;Labels!B317</f>
        <v xml:space="preserve">      Channels 1</v>
      </c>
      <c r="B733" s="226">
        <f>B404*Sales!B188</f>
        <v>0</v>
      </c>
      <c r="C733" s="226">
        <f>C404*Sales!C188</f>
        <v>0</v>
      </c>
      <c r="D733" s="226">
        <f>D404*Sales!D188</f>
        <v>27500</v>
      </c>
      <c r="E733" s="226">
        <f>E404*Sales!F188</f>
        <v>27500</v>
      </c>
      <c r="F733" s="226">
        <f>F404*Sales!G188</f>
        <v>0</v>
      </c>
      <c r="G733" s="226">
        <f>G404*Sales!H188</f>
        <v>20000</v>
      </c>
      <c r="H733" s="226">
        <f>H404*Sales!J188</f>
        <v>20000</v>
      </c>
      <c r="I733" s="226">
        <f>I404*Sales!K188</f>
        <v>20000</v>
      </c>
      <c r="J733" s="226">
        <f>J404*Sales!L188</f>
        <v>0</v>
      </c>
      <c r="K733" s="226">
        <f>K404*Sales!N188</f>
        <v>0</v>
      </c>
      <c r="L733" s="226">
        <f>L404*Sales!O188</f>
        <v>0</v>
      </c>
      <c r="M733" s="226">
        <f>M404*Sales!P188</f>
        <v>0</v>
      </c>
      <c r="N733" s="226">
        <f>N404*Sales!R188</f>
        <v>0</v>
      </c>
      <c r="O733" s="226">
        <f>O404*Sales!S188</f>
        <v>0</v>
      </c>
      <c r="P733" s="226">
        <f>P404*Sales!T188</f>
        <v>0</v>
      </c>
      <c r="Q733" s="226">
        <f>Q404*Sales!V188</f>
        <v>0</v>
      </c>
      <c r="R733" s="226">
        <f>R404*Sales!W188</f>
        <v>0</v>
      </c>
      <c r="S733" s="279">
        <f>S404*Sales!X188</f>
        <v>0</v>
      </c>
    </row>
    <row r="734" spans="1:19" ht="12.75" customHeight="1" x14ac:dyDescent="0.2">
      <c r="A734" s="198" t="str">
        <f>"      "&amp;Labels!B318</f>
        <v xml:space="preserve">      Channels 2</v>
      </c>
      <c r="B734" s="226">
        <f>B404*Sales!B189</f>
        <v>0</v>
      </c>
      <c r="C734" s="226">
        <f>C404*Sales!C189</f>
        <v>0</v>
      </c>
      <c r="D734" s="226">
        <f>D404*Sales!D189</f>
        <v>27500</v>
      </c>
      <c r="E734" s="226">
        <f>E404*Sales!F189</f>
        <v>27500</v>
      </c>
      <c r="F734" s="226">
        <f>F404*Sales!G189</f>
        <v>0</v>
      </c>
      <c r="G734" s="226">
        <f>G404*Sales!H189</f>
        <v>20000</v>
      </c>
      <c r="H734" s="226">
        <f>H404*Sales!J189</f>
        <v>20000</v>
      </c>
      <c r="I734" s="226">
        <f>I404*Sales!K189</f>
        <v>20000</v>
      </c>
      <c r="J734" s="226">
        <f>J404*Sales!L189</f>
        <v>0</v>
      </c>
      <c r="K734" s="226">
        <f>K404*Sales!N189</f>
        <v>0</v>
      </c>
      <c r="L734" s="226">
        <f>L404*Sales!O189</f>
        <v>0</v>
      </c>
      <c r="M734" s="226">
        <f>M404*Sales!P189</f>
        <v>0</v>
      </c>
      <c r="N734" s="226">
        <f>N404*Sales!R189</f>
        <v>0</v>
      </c>
      <c r="O734" s="226">
        <f>O404*Sales!S189</f>
        <v>0</v>
      </c>
      <c r="P734" s="226">
        <f>P404*Sales!T189</f>
        <v>0</v>
      </c>
      <c r="Q734" s="226">
        <f>Q404*Sales!V189</f>
        <v>0</v>
      </c>
      <c r="R734" s="226">
        <f>R404*Sales!W189</f>
        <v>0</v>
      </c>
      <c r="S734" s="279">
        <f>S404*Sales!X189</f>
        <v>0</v>
      </c>
    </row>
    <row r="735" spans="1:19" ht="12.75" customHeight="1" x14ac:dyDescent="0.2">
      <c r="A735" s="188" t="str">
        <f>"      "&amp;Labels!C316</f>
        <v xml:space="preserve">      Total</v>
      </c>
      <c r="B735" s="196">
        <f t="shared" ref="B735:S735" si="404">SUM(B733:B734)</f>
        <v>0</v>
      </c>
      <c r="C735" s="196">
        <f t="shared" si="404"/>
        <v>0</v>
      </c>
      <c r="D735" s="196">
        <f t="shared" si="404"/>
        <v>55000</v>
      </c>
      <c r="E735" s="196">
        <f t="shared" si="404"/>
        <v>55000</v>
      </c>
      <c r="F735" s="196">
        <f t="shared" si="404"/>
        <v>0</v>
      </c>
      <c r="G735" s="196">
        <f t="shared" si="404"/>
        <v>40000</v>
      </c>
      <c r="H735" s="196">
        <f t="shared" si="404"/>
        <v>40000</v>
      </c>
      <c r="I735" s="196">
        <f t="shared" si="404"/>
        <v>40000</v>
      </c>
      <c r="J735" s="196">
        <f t="shared" si="404"/>
        <v>0</v>
      </c>
      <c r="K735" s="196">
        <f t="shared" si="404"/>
        <v>0</v>
      </c>
      <c r="L735" s="196">
        <f t="shared" si="404"/>
        <v>0</v>
      </c>
      <c r="M735" s="196">
        <f t="shared" si="404"/>
        <v>0</v>
      </c>
      <c r="N735" s="196">
        <f t="shared" si="404"/>
        <v>0</v>
      </c>
      <c r="O735" s="196">
        <f t="shared" si="404"/>
        <v>0</v>
      </c>
      <c r="P735" s="196">
        <f t="shared" si="404"/>
        <v>0</v>
      </c>
      <c r="Q735" s="196">
        <f t="shared" si="404"/>
        <v>0</v>
      </c>
      <c r="R735" s="196">
        <f t="shared" si="404"/>
        <v>0</v>
      </c>
      <c r="S735" s="267">
        <f t="shared" si="404"/>
        <v>0</v>
      </c>
    </row>
    <row r="736" spans="1:19" ht="12.75" customHeight="1" x14ac:dyDescent="0.2">
      <c r="A736" s="191" t="str">
        <f>"   "&amp;Labels!C384</f>
        <v xml:space="preserve">   Total</v>
      </c>
      <c r="B736" s="192">
        <f t="shared" ref="B736:S736" si="405">SUM(B731,B735)</f>
        <v>0</v>
      </c>
      <c r="C736" s="192">
        <f t="shared" si="405"/>
        <v>0</v>
      </c>
      <c r="D736" s="192">
        <f t="shared" si="405"/>
        <v>110000</v>
      </c>
      <c r="E736" s="192">
        <f t="shared" si="405"/>
        <v>110000</v>
      </c>
      <c r="F736" s="192">
        <f t="shared" si="405"/>
        <v>0</v>
      </c>
      <c r="G736" s="192">
        <f t="shared" si="405"/>
        <v>80000</v>
      </c>
      <c r="H736" s="192">
        <f t="shared" si="405"/>
        <v>80000</v>
      </c>
      <c r="I736" s="192">
        <f t="shared" si="405"/>
        <v>80000</v>
      </c>
      <c r="J736" s="192">
        <f t="shared" si="405"/>
        <v>0</v>
      </c>
      <c r="K736" s="192">
        <f t="shared" si="405"/>
        <v>0</v>
      </c>
      <c r="L736" s="192">
        <f t="shared" si="405"/>
        <v>0</v>
      </c>
      <c r="M736" s="192">
        <f t="shared" si="405"/>
        <v>0</v>
      </c>
      <c r="N736" s="192">
        <f t="shared" si="405"/>
        <v>0</v>
      </c>
      <c r="O736" s="192">
        <f t="shared" si="405"/>
        <v>0</v>
      </c>
      <c r="P736" s="192">
        <f t="shared" si="405"/>
        <v>0</v>
      </c>
      <c r="Q736" s="192">
        <f t="shared" si="405"/>
        <v>0</v>
      </c>
      <c r="R736" s="192">
        <f t="shared" si="405"/>
        <v>0</v>
      </c>
      <c r="S736" s="280">
        <f t="shared" si="405"/>
        <v>0</v>
      </c>
    </row>
    <row r="737" spans="1:19" ht="12.75" customHeight="1" x14ac:dyDescent="0.2">
      <c r="A737" s="198" t="str">
        <f>"      "&amp;Labels!B317</f>
        <v xml:space="preserve">      Channels 1</v>
      </c>
      <c r="B737" s="226">
        <f t="shared" ref="B737:S737" si="406">SUM(B729,B733)</f>
        <v>0</v>
      </c>
      <c r="C737" s="226">
        <f t="shared" si="406"/>
        <v>0</v>
      </c>
      <c r="D737" s="226">
        <f t="shared" si="406"/>
        <v>55000</v>
      </c>
      <c r="E737" s="226">
        <f t="shared" si="406"/>
        <v>55000</v>
      </c>
      <c r="F737" s="226">
        <f t="shared" si="406"/>
        <v>0</v>
      </c>
      <c r="G737" s="226">
        <f t="shared" si="406"/>
        <v>40000</v>
      </c>
      <c r="H737" s="226">
        <f t="shared" si="406"/>
        <v>40000</v>
      </c>
      <c r="I737" s="226">
        <f t="shared" si="406"/>
        <v>40000</v>
      </c>
      <c r="J737" s="226">
        <f t="shared" si="406"/>
        <v>0</v>
      </c>
      <c r="K737" s="226">
        <f t="shared" si="406"/>
        <v>0</v>
      </c>
      <c r="L737" s="226">
        <f t="shared" si="406"/>
        <v>0</v>
      </c>
      <c r="M737" s="226">
        <f t="shared" si="406"/>
        <v>0</v>
      </c>
      <c r="N737" s="226">
        <f t="shared" si="406"/>
        <v>0</v>
      </c>
      <c r="O737" s="226">
        <f t="shared" si="406"/>
        <v>0</v>
      </c>
      <c r="P737" s="226">
        <f t="shared" si="406"/>
        <v>0</v>
      </c>
      <c r="Q737" s="226">
        <f t="shared" si="406"/>
        <v>0</v>
      </c>
      <c r="R737" s="226">
        <f t="shared" si="406"/>
        <v>0</v>
      </c>
      <c r="S737" s="279">
        <f t="shared" si="406"/>
        <v>0</v>
      </c>
    </row>
    <row r="738" spans="1:19" ht="12.75" customHeight="1" x14ac:dyDescent="0.2">
      <c r="A738" s="198" t="str">
        <f>"      "&amp;Labels!B318</f>
        <v xml:space="preserve">      Channels 2</v>
      </c>
      <c r="B738" s="226">
        <f t="shared" ref="B738:S738" si="407">SUM(B730,B734)</f>
        <v>0</v>
      </c>
      <c r="C738" s="226">
        <f t="shared" si="407"/>
        <v>0</v>
      </c>
      <c r="D738" s="226">
        <f t="shared" si="407"/>
        <v>55000</v>
      </c>
      <c r="E738" s="226">
        <f t="shared" si="407"/>
        <v>55000</v>
      </c>
      <c r="F738" s="226">
        <f t="shared" si="407"/>
        <v>0</v>
      </c>
      <c r="G738" s="226">
        <f t="shared" si="407"/>
        <v>40000</v>
      </c>
      <c r="H738" s="226">
        <f t="shared" si="407"/>
        <v>40000</v>
      </c>
      <c r="I738" s="226">
        <f t="shared" si="407"/>
        <v>40000</v>
      </c>
      <c r="J738" s="226">
        <f t="shared" si="407"/>
        <v>0</v>
      </c>
      <c r="K738" s="226">
        <f t="shared" si="407"/>
        <v>0</v>
      </c>
      <c r="L738" s="226">
        <f t="shared" si="407"/>
        <v>0</v>
      </c>
      <c r="M738" s="226">
        <f t="shared" si="407"/>
        <v>0</v>
      </c>
      <c r="N738" s="226">
        <f t="shared" si="407"/>
        <v>0</v>
      </c>
      <c r="O738" s="226">
        <f t="shared" si="407"/>
        <v>0</v>
      </c>
      <c r="P738" s="226">
        <f t="shared" si="407"/>
        <v>0</v>
      </c>
      <c r="Q738" s="226">
        <f t="shared" si="407"/>
        <v>0</v>
      </c>
      <c r="R738" s="226">
        <f t="shared" si="407"/>
        <v>0</v>
      </c>
      <c r="S738" s="279">
        <f t="shared" si="407"/>
        <v>0</v>
      </c>
    </row>
    <row r="739" spans="1:19" ht="12.75" customHeight="1" x14ac:dyDescent="0.2">
      <c r="A739" s="188" t="str">
        <f>"      "&amp;Labels!C316</f>
        <v xml:space="preserve">      Total</v>
      </c>
      <c r="B739" s="196">
        <f t="shared" ref="B739:S739" si="408">SUM(B731,B735)</f>
        <v>0</v>
      </c>
      <c r="C739" s="196">
        <f t="shared" si="408"/>
        <v>0</v>
      </c>
      <c r="D739" s="196">
        <f t="shared" si="408"/>
        <v>110000</v>
      </c>
      <c r="E739" s="196">
        <f t="shared" si="408"/>
        <v>110000</v>
      </c>
      <c r="F739" s="196">
        <f t="shared" si="408"/>
        <v>0</v>
      </c>
      <c r="G739" s="196">
        <f t="shared" si="408"/>
        <v>80000</v>
      </c>
      <c r="H739" s="196">
        <f t="shared" si="408"/>
        <v>80000</v>
      </c>
      <c r="I739" s="196">
        <f t="shared" si="408"/>
        <v>80000</v>
      </c>
      <c r="J739" s="196">
        <f t="shared" si="408"/>
        <v>0</v>
      </c>
      <c r="K739" s="196">
        <f t="shared" si="408"/>
        <v>0</v>
      </c>
      <c r="L739" s="196">
        <f t="shared" si="408"/>
        <v>0</v>
      </c>
      <c r="M739" s="196">
        <f t="shared" si="408"/>
        <v>0</v>
      </c>
      <c r="N739" s="196">
        <f t="shared" si="408"/>
        <v>0</v>
      </c>
      <c r="O739" s="196">
        <f t="shared" si="408"/>
        <v>0</v>
      </c>
      <c r="P739" s="196">
        <f t="shared" si="408"/>
        <v>0</v>
      </c>
      <c r="Q739" s="196">
        <f t="shared" si="408"/>
        <v>0</v>
      </c>
      <c r="R739" s="196">
        <f t="shared" si="408"/>
        <v>0</v>
      </c>
      <c r="S739" s="267">
        <f t="shared" si="408"/>
        <v>0</v>
      </c>
    </row>
    <row r="740" spans="1:19" ht="12.75" customHeight="1" x14ac:dyDescent="0.2">
      <c r="A740" s="191" t="str">
        <f>Labels!B382</f>
        <v>Practice 2</v>
      </c>
      <c r="B740" s="192"/>
      <c r="C740" s="192"/>
      <c r="D740" s="192"/>
      <c r="E740" s="192"/>
      <c r="F740" s="192"/>
      <c r="G740" s="192"/>
      <c r="H740" s="192"/>
      <c r="I740" s="192"/>
      <c r="J740" s="192"/>
      <c r="K740" s="192"/>
      <c r="L740" s="192"/>
      <c r="M740" s="192"/>
      <c r="N740" s="192"/>
      <c r="O740" s="192"/>
      <c r="P740" s="192"/>
      <c r="Q740" s="192"/>
      <c r="R740" s="192"/>
      <c r="S740" s="280"/>
    </row>
    <row r="741" spans="1:19" ht="12.75" customHeight="1" x14ac:dyDescent="0.2">
      <c r="A741" s="188" t="str">
        <f>"   "&amp;Labels!B385</f>
        <v xml:space="preserve">   Prof Level 1</v>
      </c>
      <c r="B741" s="196"/>
      <c r="C741" s="196"/>
      <c r="D741" s="196"/>
      <c r="E741" s="196"/>
      <c r="F741" s="196"/>
      <c r="G741" s="196"/>
      <c r="H741" s="196"/>
      <c r="I741" s="196"/>
      <c r="J741" s="196"/>
      <c r="K741" s="196"/>
      <c r="L741" s="196"/>
      <c r="M741" s="196"/>
      <c r="N741" s="196"/>
      <c r="O741" s="196"/>
      <c r="P741" s="196"/>
      <c r="Q741" s="196"/>
      <c r="R741" s="196"/>
      <c r="S741" s="267"/>
    </row>
    <row r="742" spans="1:19" ht="12.75" customHeight="1" x14ac:dyDescent="0.2">
      <c r="A742" s="198" t="str">
        <f>"      "&amp;Labels!B317</f>
        <v xml:space="preserve">      Channels 1</v>
      </c>
      <c r="B742" s="226">
        <f>B406*Sales!B197</f>
        <v>0</v>
      </c>
      <c r="C742" s="226">
        <f>C406*Sales!C197</f>
        <v>0</v>
      </c>
      <c r="D742" s="226">
        <f>D406*Sales!D197</f>
        <v>0</v>
      </c>
      <c r="E742" s="226">
        <f>E406*Sales!F197</f>
        <v>0</v>
      </c>
      <c r="F742" s="226">
        <f>F406*Sales!G197</f>
        <v>0</v>
      </c>
      <c r="G742" s="226">
        <f>G406*Sales!H197</f>
        <v>0</v>
      </c>
      <c r="H742" s="226">
        <f>H406*Sales!J197</f>
        <v>0</v>
      </c>
      <c r="I742" s="226">
        <f>I406*Sales!K197</f>
        <v>0</v>
      </c>
      <c r="J742" s="226">
        <f>J406*Sales!L197</f>
        <v>0</v>
      </c>
      <c r="K742" s="226">
        <f>K406*Sales!N197</f>
        <v>0</v>
      </c>
      <c r="L742" s="226">
        <f>L406*Sales!O197</f>
        <v>0</v>
      </c>
      <c r="M742" s="226">
        <f>M406*Sales!P197</f>
        <v>0</v>
      </c>
      <c r="N742" s="226">
        <f>N406*Sales!R197</f>
        <v>0</v>
      </c>
      <c r="O742" s="226">
        <f>O406*Sales!S197</f>
        <v>0</v>
      </c>
      <c r="P742" s="226">
        <f>P406*Sales!T197</f>
        <v>0</v>
      </c>
      <c r="Q742" s="226">
        <f>Q406*Sales!V197</f>
        <v>0</v>
      </c>
      <c r="R742" s="226">
        <f>R406*Sales!W197</f>
        <v>0</v>
      </c>
      <c r="S742" s="279">
        <f>S406*Sales!X197</f>
        <v>0</v>
      </c>
    </row>
    <row r="743" spans="1:19" ht="12.75" customHeight="1" x14ac:dyDescent="0.2">
      <c r="A743" s="198" t="str">
        <f>"      "&amp;Labels!B318</f>
        <v xml:space="preserve">      Channels 2</v>
      </c>
      <c r="B743" s="226">
        <f>B406*Sales!B198</f>
        <v>0</v>
      </c>
      <c r="C743" s="226">
        <f>C406*Sales!C198</f>
        <v>0</v>
      </c>
      <c r="D743" s="226">
        <f>D406*Sales!D198</f>
        <v>0</v>
      </c>
      <c r="E743" s="226">
        <f>E406*Sales!F198</f>
        <v>0</v>
      </c>
      <c r="F743" s="226">
        <f>F406*Sales!G198</f>
        <v>0</v>
      </c>
      <c r="G743" s="226">
        <f>G406*Sales!H198</f>
        <v>0</v>
      </c>
      <c r="H743" s="226">
        <f>H406*Sales!J198</f>
        <v>0</v>
      </c>
      <c r="I743" s="226">
        <f>I406*Sales!K198</f>
        <v>0</v>
      </c>
      <c r="J743" s="226">
        <f>J406*Sales!L198</f>
        <v>0</v>
      </c>
      <c r="K743" s="226">
        <f>K406*Sales!N198</f>
        <v>0</v>
      </c>
      <c r="L743" s="226">
        <f>L406*Sales!O198</f>
        <v>0</v>
      </c>
      <c r="M743" s="226">
        <f>M406*Sales!P198</f>
        <v>0</v>
      </c>
      <c r="N743" s="226">
        <f>N406*Sales!R198</f>
        <v>0</v>
      </c>
      <c r="O743" s="226">
        <f>O406*Sales!S198</f>
        <v>0</v>
      </c>
      <c r="P743" s="226">
        <f>P406*Sales!T198</f>
        <v>0</v>
      </c>
      <c r="Q743" s="226">
        <f>Q406*Sales!V198</f>
        <v>0</v>
      </c>
      <c r="R743" s="226">
        <f>R406*Sales!W198</f>
        <v>0</v>
      </c>
      <c r="S743" s="279">
        <f>S406*Sales!X198</f>
        <v>0</v>
      </c>
    </row>
    <row r="744" spans="1:19" ht="12.75" customHeight="1" x14ac:dyDescent="0.2">
      <c r="A744" s="188" t="str">
        <f>"      "&amp;Labels!C316</f>
        <v xml:space="preserve">      Total</v>
      </c>
      <c r="B744" s="196">
        <f t="shared" ref="B744:S744" si="409">SUM(B742:B743)</f>
        <v>0</v>
      </c>
      <c r="C744" s="196">
        <f t="shared" si="409"/>
        <v>0</v>
      </c>
      <c r="D744" s="196">
        <f t="shared" si="409"/>
        <v>0</v>
      </c>
      <c r="E744" s="196">
        <f t="shared" si="409"/>
        <v>0</v>
      </c>
      <c r="F744" s="196">
        <f t="shared" si="409"/>
        <v>0</v>
      </c>
      <c r="G744" s="196">
        <f t="shared" si="409"/>
        <v>0</v>
      </c>
      <c r="H744" s="196">
        <f t="shared" si="409"/>
        <v>0</v>
      </c>
      <c r="I744" s="196">
        <f t="shared" si="409"/>
        <v>0</v>
      </c>
      <c r="J744" s="196">
        <f t="shared" si="409"/>
        <v>0</v>
      </c>
      <c r="K744" s="196">
        <f t="shared" si="409"/>
        <v>0</v>
      </c>
      <c r="L744" s="196">
        <f t="shared" si="409"/>
        <v>0</v>
      </c>
      <c r="M744" s="196">
        <f t="shared" si="409"/>
        <v>0</v>
      </c>
      <c r="N744" s="196">
        <f t="shared" si="409"/>
        <v>0</v>
      </c>
      <c r="O744" s="196">
        <f t="shared" si="409"/>
        <v>0</v>
      </c>
      <c r="P744" s="196">
        <f t="shared" si="409"/>
        <v>0</v>
      </c>
      <c r="Q744" s="196">
        <f t="shared" si="409"/>
        <v>0</v>
      </c>
      <c r="R744" s="196">
        <f t="shared" si="409"/>
        <v>0</v>
      </c>
      <c r="S744" s="267">
        <f t="shared" si="409"/>
        <v>0</v>
      </c>
    </row>
    <row r="745" spans="1:19" ht="12.75" customHeight="1" x14ac:dyDescent="0.2">
      <c r="A745" s="188" t="str">
        <f>"   "&amp;Labels!B386</f>
        <v xml:space="preserve">   Prof Level 2</v>
      </c>
      <c r="B745" s="196"/>
      <c r="C745" s="196"/>
      <c r="D745" s="196"/>
      <c r="E745" s="196"/>
      <c r="F745" s="196"/>
      <c r="G745" s="196"/>
      <c r="H745" s="196"/>
      <c r="I745" s="196"/>
      <c r="J745" s="196"/>
      <c r="K745" s="196"/>
      <c r="L745" s="196"/>
      <c r="M745" s="196"/>
      <c r="N745" s="196"/>
      <c r="O745" s="196"/>
      <c r="P745" s="196"/>
      <c r="Q745" s="196"/>
      <c r="R745" s="196"/>
      <c r="S745" s="267"/>
    </row>
    <row r="746" spans="1:19" ht="12.75" customHeight="1" x14ac:dyDescent="0.2">
      <c r="A746" s="198" t="str">
        <f>"      "&amp;Labels!B317</f>
        <v xml:space="preserve">      Channels 1</v>
      </c>
      <c r="B746" s="226">
        <f>B407*Sales!B201</f>
        <v>0</v>
      </c>
      <c r="C746" s="226">
        <f>C407*Sales!C201</f>
        <v>0</v>
      </c>
      <c r="D746" s="226">
        <f>D407*Sales!D201</f>
        <v>0</v>
      </c>
      <c r="E746" s="226">
        <f>E407*Sales!F201</f>
        <v>0</v>
      </c>
      <c r="F746" s="226">
        <f>F407*Sales!G201</f>
        <v>0</v>
      </c>
      <c r="G746" s="226">
        <f>G407*Sales!H201</f>
        <v>0</v>
      </c>
      <c r="H746" s="226">
        <f>H407*Sales!J201</f>
        <v>0</v>
      </c>
      <c r="I746" s="226">
        <f>I407*Sales!K201</f>
        <v>0</v>
      </c>
      <c r="J746" s="226">
        <f>J407*Sales!L201</f>
        <v>0</v>
      </c>
      <c r="K746" s="226">
        <f>K407*Sales!N201</f>
        <v>0</v>
      </c>
      <c r="L746" s="226">
        <f>L407*Sales!O201</f>
        <v>0</v>
      </c>
      <c r="M746" s="226">
        <f>M407*Sales!P201</f>
        <v>0</v>
      </c>
      <c r="N746" s="226">
        <f>N407*Sales!R201</f>
        <v>0</v>
      </c>
      <c r="O746" s="226">
        <f>O407*Sales!S201</f>
        <v>0</v>
      </c>
      <c r="P746" s="226">
        <f>P407*Sales!T201</f>
        <v>0</v>
      </c>
      <c r="Q746" s="226">
        <f>Q407*Sales!V201</f>
        <v>0</v>
      </c>
      <c r="R746" s="226">
        <f>R407*Sales!W201</f>
        <v>0</v>
      </c>
      <c r="S746" s="279">
        <f>S407*Sales!X201</f>
        <v>0</v>
      </c>
    </row>
    <row r="747" spans="1:19" ht="12.75" customHeight="1" x14ac:dyDescent="0.2">
      <c r="A747" s="198" t="str">
        <f>"      "&amp;Labels!B318</f>
        <v xml:space="preserve">      Channels 2</v>
      </c>
      <c r="B747" s="226">
        <f>B407*Sales!B202</f>
        <v>0</v>
      </c>
      <c r="C747" s="226">
        <f>C407*Sales!C202</f>
        <v>0</v>
      </c>
      <c r="D747" s="226">
        <f>D407*Sales!D202</f>
        <v>0</v>
      </c>
      <c r="E747" s="226">
        <f>E407*Sales!F202</f>
        <v>0</v>
      </c>
      <c r="F747" s="226">
        <f>F407*Sales!G202</f>
        <v>0</v>
      </c>
      <c r="G747" s="226">
        <f>G407*Sales!H202</f>
        <v>0</v>
      </c>
      <c r="H747" s="226">
        <f>H407*Sales!J202</f>
        <v>0</v>
      </c>
      <c r="I747" s="226">
        <f>I407*Sales!K202</f>
        <v>0</v>
      </c>
      <c r="J747" s="226">
        <f>J407*Sales!L202</f>
        <v>0</v>
      </c>
      <c r="K747" s="226">
        <f>K407*Sales!N202</f>
        <v>0</v>
      </c>
      <c r="L747" s="226">
        <f>L407*Sales!O202</f>
        <v>0</v>
      </c>
      <c r="M747" s="226">
        <f>M407*Sales!P202</f>
        <v>0</v>
      </c>
      <c r="N747" s="226">
        <f>N407*Sales!R202</f>
        <v>0</v>
      </c>
      <c r="O747" s="226">
        <f>O407*Sales!S202</f>
        <v>0</v>
      </c>
      <c r="P747" s="226">
        <f>P407*Sales!T202</f>
        <v>0</v>
      </c>
      <c r="Q747" s="226">
        <f>Q407*Sales!V202</f>
        <v>0</v>
      </c>
      <c r="R747" s="226">
        <f>R407*Sales!W202</f>
        <v>0</v>
      </c>
      <c r="S747" s="279">
        <f>S407*Sales!X202</f>
        <v>0</v>
      </c>
    </row>
    <row r="748" spans="1:19" ht="12.75" customHeight="1" x14ac:dyDescent="0.2">
      <c r="A748" s="188" t="str">
        <f>"      "&amp;Labels!C316</f>
        <v xml:space="preserve">      Total</v>
      </c>
      <c r="B748" s="196">
        <f t="shared" ref="B748:S748" si="410">SUM(B746:B747)</f>
        <v>0</v>
      </c>
      <c r="C748" s="196">
        <f t="shared" si="410"/>
        <v>0</v>
      </c>
      <c r="D748" s="196">
        <f t="shared" si="410"/>
        <v>0</v>
      </c>
      <c r="E748" s="196">
        <f t="shared" si="410"/>
        <v>0</v>
      </c>
      <c r="F748" s="196">
        <f t="shared" si="410"/>
        <v>0</v>
      </c>
      <c r="G748" s="196">
        <f t="shared" si="410"/>
        <v>0</v>
      </c>
      <c r="H748" s="196">
        <f t="shared" si="410"/>
        <v>0</v>
      </c>
      <c r="I748" s="196">
        <f t="shared" si="410"/>
        <v>0</v>
      </c>
      <c r="J748" s="196">
        <f t="shared" si="410"/>
        <v>0</v>
      </c>
      <c r="K748" s="196">
        <f t="shared" si="410"/>
        <v>0</v>
      </c>
      <c r="L748" s="196">
        <f t="shared" si="410"/>
        <v>0</v>
      </c>
      <c r="M748" s="196">
        <f t="shared" si="410"/>
        <v>0</v>
      </c>
      <c r="N748" s="196">
        <f t="shared" si="410"/>
        <v>0</v>
      </c>
      <c r="O748" s="196">
        <f t="shared" si="410"/>
        <v>0</v>
      </c>
      <c r="P748" s="196">
        <f t="shared" si="410"/>
        <v>0</v>
      </c>
      <c r="Q748" s="196">
        <f t="shared" si="410"/>
        <v>0</v>
      </c>
      <c r="R748" s="196">
        <f t="shared" si="410"/>
        <v>0</v>
      </c>
      <c r="S748" s="267">
        <f t="shared" si="410"/>
        <v>0</v>
      </c>
    </row>
    <row r="749" spans="1:19" ht="12.75" customHeight="1" x14ac:dyDescent="0.2">
      <c r="A749" s="191" t="str">
        <f>"   "&amp;Labels!C384</f>
        <v xml:space="preserve">   Total</v>
      </c>
      <c r="B749" s="192">
        <f t="shared" ref="B749:S749" si="411">SUM(B744,B748)</f>
        <v>0</v>
      </c>
      <c r="C749" s="192">
        <f t="shared" si="411"/>
        <v>0</v>
      </c>
      <c r="D749" s="192">
        <f t="shared" si="411"/>
        <v>0</v>
      </c>
      <c r="E749" s="192">
        <f t="shared" si="411"/>
        <v>0</v>
      </c>
      <c r="F749" s="192">
        <f t="shared" si="411"/>
        <v>0</v>
      </c>
      <c r="G749" s="192">
        <f t="shared" si="411"/>
        <v>0</v>
      </c>
      <c r="H749" s="192">
        <f t="shared" si="411"/>
        <v>0</v>
      </c>
      <c r="I749" s="192">
        <f t="shared" si="411"/>
        <v>0</v>
      </c>
      <c r="J749" s="192">
        <f t="shared" si="411"/>
        <v>0</v>
      </c>
      <c r="K749" s="192">
        <f t="shared" si="411"/>
        <v>0</v>
      </c>
      <c r="L749" s="192">
        <f t="shared" si="411"/>
        <v>0</v>
      </c>
      <c r="M749" s="192">
        <f t="shared" si="411"/>
        <v>0</v>
      </c>
      <c r="N749" s="192">
        <f t="shared" si="411"/>
        <v>0</v>
      </c>
      <c r="O749" s="192">
        <f t="shared" si="411"/>
        <v>0</v>
      </c>
      <c r="P749" s="192">
        <f t="shared" si="411"/>
        <v>0</v>
      </c>
      <c r="Q749" s="192">
        <f t="shared" si="411"/>
        <v>0</v>
      </c>
      <c r="R749" s="192">
        <f t="shared" si="411"/>
        <v>0</v>
      </c>
      <c r="S749" s="280">
        <f t="shared" si="411"/>
        <v>0</v>
      </c>
    </row>
    <row r="750" spans="1:19" ht="12.75" customHeight="1" x14ac:dyDescent="0.2">
      <c r="A750" s="198" t="str">
        <f>"      "&amp;Labels!B317</f>
        <v xml:space="preserve">      Channels 1</v>
      </c>
      <c r="B750" s="226">
        <f t="shared" ref="B750:S750" si="412">SUM(B742,B746)</f>
        <v>0</v>
      </c>
      <c r="C750" s="226">
        <f t="shared" si="412"/>
        <v>0</v>
      </c>
      <c r="D750" s="226">
        <f t="shared" si="412"/>
        <v>0</v>
      </c>
      <c r="E750" s="226">
        <f t="shared" si="412"/>
        <v>0</v>
      </c>
      <c r="F750" s="226">
        <f t="shared" si="412"/>
        <v>0</v>
      </c>
      <c r="G750" s="226">
        <f t="shared" si="412"/>
        <v>0</v>
      </c>
      <c r="H750" s="226">
        <f t="shared" si="412"/>
        <v>0</v>
      </c>
      <c r="I750" s="226">
        <f t="shared" si="412"/>
        <v>0</v>
      </c>
      <c r="J750" s="226">
        <f t="shared" si="412"/>
        <v>0</v>
      </c>
      <c r="K750" s="226">
        <f t="shared" si="412"/>
        <v>0</v>
      </c>
      <c r="L750" s="226">
        <f t="shared" si="412"/>
        <v>0</v>
      </c>
      <c r="M750" s="226">
        <f t="shared" si="412"/>
        <v>0</v>
      </c>
      <c r="N750" s="226">
        <f t="shared" si="412"/>
        <v>0</v>
      </c>
      <c r="O750" s="226">
        <f t="shared" si="412"/>
        <v>0</v>
      </c>
      <c r="P750" s="226">
        <f t="shared" si="412"/>
        <v>0</v>
      </c>
      <c r="Q750" s="226">
        <f t="shared" si="412"/>
        <v>0</v>
      </c>
      <c r="R750" s="226">
        <f t="shared" si="412"/>
        <v>0</v>
      </c>
      <c r="S750" s="279">
        <f t="shared" si="412"/>
        <v>0</v>
      </c>
    </row>
    <row r="751" spans="1:19" ht="12.75" customHeight="1" x14ac:dyDescent="0.2">
      <c r="A751" s="198" t="str">
        <f>"      "&amp;Labels!B318</f>
        <v xml:space="preserve">      Channels 2</v>
      </c>
      <c r="B751" s="226">
        <f t="shared" ref="B751:S751" si="413">SUM(B743,B747)</f>
        <v>0</v>
      </c>
      <c r="C751" s="226">
        <f t="shared" si="413"/>
        <v>0</v>
      </c>
      <c r="D751" s="226">
        <f t="shared" si="413"/>
        <v>0</v>
      </c>
      <c r="E751" s="226">
        <f t="shared" si="413"/>
        <v>0</v>
      </c>
      <c r="F751" s="226">
        <f t="shared" si="413"/>
        <v>0</v>
      </c>
      <c r="G751" s="226">
        <f t="shared" si="413"/>
        <v>0</v>
      </c>
      <c r="H751" s="226">
        <f t="shared" si="413"/>
        <v>0</v>
      </c>
      <c r="I751" s="226">
        <f t="shared" si="413"/>
        <v>0</v>
      </c>
      <c r="J751" s="226">
        <f t="shared" si="413"/>
        <v>0</v>
      </c>
      <c r="K751" s="226">
        <f t="shared" si="413"/>
        <v>0</v>
      </c>
      <c r="L751" s="226">
        <f t="shared" si="413"/>
        <v>0</v>
      </c>
      <c r="M751" s="226">
        <f t="shared" si="413"/>
        <v>0</v>
      </c>
      <c r="N751" s="226">
        <f t="shared" si="413"/>
        <v>0</v>
      </c>
      <c r="O751" s="226">
        <f t="shared" si="413"/>
        <v>0</v>
      </c>
      <c r="P751" s="226">
        <f t="shared" si="413"/>
        <v>0</v>
      </c>
      <c r="Q751" s="226">
        <f t="shared" si="413"/>
        <v>0</v>
      </c>
      <c r="R751" s="226">
        <f t="shared" si="413"/>
        <v>0</v>
      </c>
      <c r="S751" s="279">
        <f t="shared" si="413"/>
        <v>0</v>
      </c>
    </row>
    <row r="752" spans="1:19" ht="12.75" customHeight="1" x14ac:dyDescent="0.2">
      <c r="A752" s="188" t="str">
        <f>"      "&amp;Labels!C316</f>
        <v xml:space="preserve">      Total</v>
      </c>
      <c r="B752" s="196">
        <f t="shared" ref="B752:S752" si="414">SUM(B744,B748)</f>
        <v>0</v>
      </c>
      <c r="C752" s="196">
        <f t="shared" si="414"/>
        <v>0</v>
      </c>
      <c r="D752" s="196">
        <f t="shared" si="414"/>
        <v>0</v>
      </c>
      <c r="E752" s="196">
        <f t="shared" si="414"/>
        <v>0</v>
      </c>
      <c r="F752" s="196">
        <f t="shared" si="414"/>
        <v>0</v>
      </c>
      <c r="G752" s="196">
        <f t="shared" si="414"/>
        <v>0</v>
      </c>
      <c r="H752" s="196">
        <f t="shared" si="414"/>
        <v>0</v>
      </c>
      <c r="I752" s="196">
        <f t="shared" si="414"/>
        <v>0</v>
      </c>
      <c r="J752" s="196">
        <f t="shared" si="414"/>
        <v>0</v>
      </c>
      <c r="K752" s="196">
        <f t="shared" si="414"/>
        <v>0</v>
      </c>
      <c r="L752" s="196">
        <f t="shared" si="414"/>
        <v>0</v>
      </c>
      <c r="M752" s="196">
        <f t="shared" si="414"/>
        <v>0</v>
      </c>
      <c r="N752" s="196">
        <f t="shared" si="414"/>
        <v>0</v>
      </c>
      <c r="O752" s="196">
        <f t="shared" si="414"/>
        <v>0</v>
      </c>
      <c r="P752" s="196">
        <f t="shared" si="414"/>
        <v>0</v>
      </c>
      <c r="Q752" s="196">
        <f t="shared" si="414"/>
        <v>0</v>
      </c>
      <c r="R752" s="196">
        <f t="shared" si="414"/>
        <v>0</v>
      </c>
      <c r="S752" s="267">
        <f t="shared" si="414"/>
        <v>0</v>
      </c>
    </row>
    <row r="753" spans="1:19" ht="12.75" customHeight="1" x14ac:dyDescent="0.2">
      <c r="A753" s="97" t="str">
        <f>Labels!C380</f>
        <v>Total</v>
      </c>
      <c r="B753" s="194">
        <f t="shared" ref="B753:S753" si="415">SUM(B736,B749)</f>
        <v>0</v>
      </c>
      <c r="C753" s="194">
        <f t="shared" si="415"/>
        <v>0</v>
      </c>
      <c r="D753" s="194">
        <f t="shared" si="415"/>
        <v>110000</v>
      </c>
      <c r="E753" s="194">
        <f t="shared" si="415"/>
        <v>110000</v>
      </c>
      <c r="F753" s="194">
        <f t="shared" si="415"/>
        <v>0</v>
      </c>
      <c r="G753" s="194">
        <f t="shared" si="415"/>
        <v>80000</v>
      </c>
      <c r="H753" s="194">
        <f t="shared" si="415"/>
        <v>80000</v>
      </c>
      <c r="I753" s="194">
        <f t="shared" si="415"/>
        <v>80000</v>
      </c>
      <c r="J753" s="194">
        <f t="shared" si="415"/>
        <v>0</v>
      </c>
      <c r="K753" s="194">
        <f t="shared" si="415"/>
        <v>0</v>
      </c>
      <c r="L753" s="194">
        <f t="shared" si="415"/>
        <v>0</v>
      </c>
      <c r="M753" s="194">
        <f t="shared" si="415"/>
        <v>0</v>
      </c>
      <c r="N753" s="194">
        <f t="shared" si="415"/>
        <v>0</v>
      </c>
      <c r="O753" s="194">
        <f t="shared" si="415"/>
        <v>0</v>
      </c>
      <c r="P753" s="194">
        <f t="shared" si="415"/>
        <v>0</v>
      </c>
      <c r="Q753" s="194">
        <f t="shared" si="415"/>
        <v>0</v>
      </c>
      <c r="R753" s="194">
        <f t="shared" si="415"/>
        <v>0</v>
      </c>
      <c r="S753" s="351">
        <f t="shared" si="415"/>
        <v>0</v>
      </c>
    </row>
    <row r="754" spans="1:19" ht="12.75" customHeight="1" x14ac:dyDescent="0.2">
      <c r="A754" s="188" t="str">
        <f>"   "&amp;Labels!B385</f>
        <v xml:space="preserve">   Prof Level 1</v>
      </c>
      <c r="B754" s="196"/>
      <c r="C754" s="196"/>
      <c r="D754" s="196"/>
      <c r="E754" s="196"/>
      <c r="F754" s="196"/>
      <c r="G754" s="196"/>
      <c r="H754" s="196"/>
      <c r="I754" s="196"/>
      <c r="J754" s="196"/>
      <c r="K754" s="196"/>
      <c r="L754" s="196"/>
      <c r="M754" s="196"/>
      <c r="N754" s="196"/>
      <c r="O754" s="196"/>
      <c r="P754" s="196"/>
      <c r="Q754" s="196"/>
      <c r="R754" s="196"/>
      <c r="S754" s="267"/>
    </row>
    <row r="755" spans="1:19" ht="12.75" customHeight="1" x14ac:dyDescent="0.2">
      <c r="A755" s="198" t="str">
        <f>"      "&amp;Labels!B317</f>
        <v xml:space="preserve">      Channels 1</v>
      </c>
      <c r="B755" s="226">
        <f t="shared" ref="B755:S755" si="416">SUM(B729,B742)</f>
        <v>0</v>
      </c>
      <c r="C755" s="226">
        <f t="shared" si="416"/>
        <v>0</v>
      </c>
      <c r="D755" s="226">
        <f t="shared" si="416"/>
        <v>27500</v>
      </c>
      <c r="E755" s="226">
        <f t="shared" si="416"/>
        <v>27500</v>
      </c>
      <c r="F755" s="226">
        <f t="shared" si="416"/>
        <v>0</v>
      </c>
      <c r="G755" s="226">
        <f t="shared" si="416"/>
        <v>20000</v>
      </c>
      <c r="H755" s="226">
        <f t="shared" si="416"/>
        <v>20000</v>
      </c>
      <c r="I755" s="226">
        <f t="shared" si="416"/>
        <v>20000</v>
      </c>
      <c r="J755" s="226">
        <f t="shared" si="416"/>
        <v>0</v>
      </c>
      <c r="K755" s="226">
        <f t="shared" si="416"/>
        <v>0</v>
      </c>
      <c r="L755" s="226">
        <f t="shared" si="416"/>
        <v>0</v>
      </c>
      <c r="M755" s="226">
        <f t="shared" si="416"/>
        <v>0</v>
      </c>
      <c r="N755" s="226">
        <f t="shared" si="416"/>
        <v>0</v>
      </c>
      <c r="O755" s="226">
        <f t="shared" si="416"/>
        <v>0</v>
      </c>
      <c r="P755" s="226">
        <f t="shared" si="416"/>
        <v>0</v>
      </c>
      <c r="Q755" s="226">
        <f t="shared" si="416"/>
        <v>0</v>
      </c>
      <c r="R755" s="226">
        <f t="shared" si="416"/>
        <v>0</v>
      </c>
      <c r="S755" s="279">
        <f t="shared" si="416"/>
        <v>0</v>
      </c>
    </row>
    <row r="756" spans="1:19" ht="12.75" customHeight="1" x14ac:dyDescent="0.2">
      <c r="A756" s="198" t="str">
        <f>"      "&amp;Labels!B318</f>
        <v xml:space="preserve">      Channels 2</v>
      </c>
      <c r="B756" s="226">
        <f t="shared" ref="B756:S756" si="417">SUM(B730,B743)</f>
        <v>0</v>
      </c>
      <c r="C756" s="226">
        <f t="shared" si="417"/>
        <v>0</v>
      </c>
      <c r="D756" s="226">
        <f t="shared" si="417"/>
        <v>27500</v>
      </c>
      <c r="E756" s="226">
        <f t="shared" si="417"/>
        <v>27500</v>
      </c>
      <c r="F756" s="226">
        <f t="shared" si="417"/>
        <v>0</v>
      </c>
      <c r="G756" s="226">
        <f t="shared" si="417"/>
        <v>20000</v>
      </c>
      <c r="H756" s="226">
        <f t="shared" si="417"/>
        <v>20000</v>
      </c>
      <c r="I756" s="226">
        <f t="shared" si="417"/>
        <v>20000</v>
      </c>
      <c r="J756" s="226">
        <f t="shared" si="417"/>
        <v>0</v>
      </c>
      <c r="K756" s="226">
        <f t="shared" si="417"/>
        <v>0</v>
      </c>
      <c r="L756" s="226">
        <f t="shared" si="417"/>
        <v>0</v>
      </c>
      <c r="M756" s="226">
        <f t="shared" si="417"/>
        <v>0</v>
      </c>
      <c r="N756" s="226">
        <f t="shared" si="417"/>
        <v>0</v>
      </c>
      <c r="O756" s="226">
        <f t="shared" si="417"/>
        <v>0</v>
      </c>
      <c r="P756" s="226">
        <f t="shared" si="417"/>
        <v>0</v>
      </c>
      <c r="Q756" s="226">
        <f t="shared" si="417"/>
        <v>0</v>
      </c>
      <c r="R756" s="226">
        <f t="shared" si="417"/>
        <v>0</v>
      </c>
      <c r="S756" s="279">
        <f t="shared" si="417"/>
        <v>0</v>
      </c>
    </row>
    <row r="757" spans="1:19" ht="12.75" customHeight="1" x14ac:dyDescent="0.2">
      <c r="A757" s="188" t="str">
        <f>"      "&amp;Labels!C316</f>
        <v xml:space="preserve">      Total</v>
      </c>
      <c r="B757" s="196">
        <f t="shared" ref="B757:S757" si="418">SUM(B731,B744)</f>
        <v>0</v>
      </c>
      <c r="C757" s="196">
        <f t="shared" si="418"/>
        <v>0</v>
      </c>
      <c r="D757" s="196">
        <f t="shared" si="418"/>
        <v>55000</v>
      </c>
      <c r="E757" s="196">
        <f t="shared" si="418"/>
        <v>55000</v>
      </c>
      <c r="F757" s="196">
        <f t="shared" si="418"/>
        <v>0</v>
      </c>
      <c r="G757" s="196">
        <f t="shared" si="418"/>
        <v>40000</v>
      </c>
      <c r="H757" s="196">
        <f t="shared" si="418"/>
        <v>40000</v>
      </c>
      <c r="I757" s="196">
        <f t="shared" si="418"/>
        <v>40000</v>
      </c>
      <c r="J757" s="196">
        <f t="shared" si="418"/>
        <v>0</v>
      </c>
      <c r="K757" s="196">
        <f t="shared" si="418"/>
        <v>0</v>
      </c>
      <c r="L757" s="196">
        <f t="shared" si="418"/>
        <v>0</v>
      </c>
      <c r="M757" s="196">
        <f t="shared" si="418"/>
        <v>0</v>
      </c>
      <c r="N757" s="196">
        <f t="shared" si="418"/>
        <v>0</v>
      </c>
      <c r="O757" s="196">
        <f t="shared" si="418"/>
        <v>0</v>
      </c>
      <c r="P757" s="196">
        <f t="shared" si="418"/>
        <v>0</v>
      </c>
      <c r="Q757" s="196">
        <f t="shared" si="418"/>
        <v>0</v>
      </c>
      <c r="R757" s="196">
        <f t="shared" si="418"/>
        <v>0</v>
      </c>
      <c r="S757" s="267">
        <f t="shared" si="418"/>
        <v>0</v>
      </c>
    </row>
    <row r="758" spans="1:19" ht="12.75" customHeight="1" x14ac:dyDescent="0.2">
      <c r="A758" s="188" t="str">
        <f>"   "&amp;Labels!B386</f>
        <v xml:space="preserve">   Prof Level 2</v>
      </c>
      <c r="B758" s="196"/>
      <c r="C758" s="196"/>
      <c r="D758" s="196"/>
      <c r="E758" s="196"/>
      <c r="F758" s="196"/>
      <c r="G758" s="196"/>
      <c r="H758" s="196"/>
      <c r="I758" s="196"/>
      <c r="J758" s="196"/>
      <c r="K758" s="196"/>
      <c r="L758" s="196"/>
      <c r="M758" s="196"/>
      <c r="N758" s="196"/>
      <c r="O758" s="196"/>
      <c r="P758" s="196"/>
      <c r="Q758" s="196"/>
      <c r="R758" s="196"/>
      <c r="S758" s="267"/>
    </row>
    <row r="759" spans="1:19" ht="12.75" customHeight="1" x14ac:dyDescent="0.2">
      <c r="A759" s="198" t="str">
        <f>"      "&amp;Labels!B317</f>
        <v xml:space="preserve">      Channels 1</v>
      </c>
      <c r="B759" s="226">
        <f t="shared" ref="B759:S759" si="419">SUM(B733,B746)</f>
        <v>0</v>
      </c>
      <c r="C759" s="226">
        <f t="shared" si="419"/>
        <v>0</v>
      </c>
      <c r="D759" s="226">
        <f t="shared" si="419"/>
        <v>27500</v>
      </c>
      <c r="E759" s="226">
        <f t="shared" si="419"/>
        <v>27500</v>
      </c>
      <c r="F759" s="226">
        <f t="shared" si="419"/>
        <v>0</v>
      </c>
      <c r="G759" s="226">
        <f t="shared" si="419"/>
        <v>20000</v>
      </c>
      <c r="H759" s="226">
        <f t="shared" si="419"/>
        <v>20000</v>
      </c>
      <c r="I759" s="226">
        <f t="shared" si="419"/>
        <v>20000</v>
      </c>
      <c r="J759" s="226">
        <f t="shared" si="419"/>
        <v>0</v>
      </c>
      <c r="K759" s="226">
        <f t="shared" si="419"/>
        <v>0</v>
      </c>
      <c r="L759" s="226">
        <f t="shared" si="419"/>
        <v>0</v>
      </c>
      <c r="M759" s="226">
        <f t="shared" si="419"/>
        <v>0</v>
      </c>
      <c r="N759" s="226">
        <f t="shared" si="419"/>
        <v>0</v>
      </c>
      <c r="O759" s="226">
        <f t="shared" si="419"/>
        <v>0</v>
      </c>
      <c r="P759" s="226">
        <f t="shared" si="419"/>
        <v>0</v>
      </c>
      <c r="Q759" s="226">
        <f t="shared" si="419"/>
        <v>0</v>
      </c>
      <c r="R759" s="226">
        <f t="shared" si="419"/>
        <v>0</v>
      </c>
      <c r="S759" s="279">
        <f t="shared" si="419"/>
        <v>0</v>
      </c>
    </row>
    <row r="760" spans="1:19" ht="12.75" customHeight="1" x14ac:dyDescent="0.2">
      <c r="A760" s="198" t="str">
        <f>"      "&amp;Labels!B318</f>
        <v xml:space="preserve">      Channels 2</v>
      </c>
      <c r="B760" s="226">
        <f t="shared" ref="B760:S760" si="420">SUM(B734,B747)</f>
        <v>0</v>
      </c>
      <c r="C760" s="226">
        <f t="shared" si="420"/>
        <v>0</v>
      </c>
      <c r="D760" s="226">
        <f t="shared" si="420"/>
        <v>27500</v>
      </c>
      <c r="E760" s="226">
        <f t="shared" si="420"/>
        <v>27500</v>
      </c>
      <c r="F760" s="226">
        <f t="shared" si="420"/>
        <v>0</v>
      </c>
      <c r="G760" s="226">
        <f t="shared" si="420"/>
        <v>20000</v>
      </c>
      <c r="H760" s="226">
        <f t="shared" si="420"/>
        <v>20000</v>
      </c>
      <c r="I760" s="226">
        <f t="shared" si="420"/>
        <v>20000</v>
      </c>
      <c r="J760" s="226">
        <f t="shared" si="420"/>
        <v>0</v>
      </c>
      <c r="K760" s="226">
        <f t="shared" si="420"/>
        <v>0</v>
      </c>
      <c r="L760" s="226">
        <f t="shared" si="420"/>
        <v>0</v>
      </c>
      <c r="M760" s="226">
        <f t="shared" si="420"/>
        <v>0</v>
      </c>
      <c r="N760" s="226">
        <f t="shared" si="420"/>
        <v>0</v>
      </c>
      <c r="O760" s="226">
        <f t="shared" si="420"/>
        <v>0</v>
      </c>
      <c r="P760" s="226">
        <f t="shared" si="420"/>
        <v>0</v>
      </c>
      <c r="Q760" s="226">
        <f t="shared" si="420"/>
        <v>0</v>
      </c>
      <c r="R760" s="226">
        <f t="shared" si="420"/>
        <v>0</v>
      </c>
      <c r="S760" s="279">
        <f t="shared" si="420"/>
        <v>0</v>
      </c>
    </row>
    <row r="761" spans="1:19" ht="12.75" customHeight="1" x14ac:dyDescent="0.2">
      <c r="A761" s="188" t="str">
        <f>"      "&amp;Labels!C316</f>
        <v xml:space="preserve">      Total</v>
      </c>
      <c r="B761" s="196">
        <f t="shared" ref="B761:S761" si="421">SUM(B735,B748)</f>
        <v>0</v>
      </c>
      <c r="C761" s="196">
        <f t="shared" si="421"/>
        <v>0</v>
      </c>
      <c r="D761" s="196">
        <f t="shared" si="421"/>
        <v>55000</v>
      </c>
      <c r="E761" s="196">
        <f t="shared" si="421"/>
        <v>55000</v>
      </c>
      <c r="F761" s="196">
        <f t="shared" si="421"/>
        <v>0</v>
      </c>
      <c r="G761" s="196">
        <f t="shared" si="421"/>
        <v>40000</v>
      </c>
      <c r="H761" s="196">
        <f t="shared" si="421"/>
        <v>40000</v>
      </c>
      <c r="I761" s="196">
        <f t="shared" si="421"/>
        <v>40000</v>
      </c>
      <c r="J761" s="196">
        <f t="shared" si="421"/>
        <v>0</v>
      </c>
      <c r="K761" s="196">
        <f t="shared" si="421"/>
        <v>0</v>
      </c>
      <c r="L761" s="196">
        <f t="shared" si="421"/>
        <v>0</v>
      </c>
      <c r="M761" s="196">
        <f t="shared" si="421"/>
        <v>0</v>
      </c>
      <c r="N761" s="196">
        <f t="shared" si="421"/>
        <v>0</v>
      </c>
      <c r="O761" s="196">
        <f t="shared" si="421"/>
        <v>0</v>
      </c>
      <c r="P761" s="196">
        <f t="shared" si="421"/>
        <v>0</v>
      </c>
      <c r="Q761" s="196">
        <f t="shared" si="421"/>
        <v>0</v>
      </c>
      <c r="R761" s="196">
        <f t="shared" si="421"/>
        <v>0</v>
      </c>
      <c r="S761" s="267">
        <f t="shared" si="421"/>
        <v>0</v>
      </c>
    </row>
    <row r="762" spans="1:19" ht="12.75" customHeight="1" x14ac:dyDescent="0.2">
      <c r="A762" s="191" t="str">
        <f>"   "&amp;Labels!C384</f>
        <v xml:space="preserve">   Total</v>
      </c>
      <c r="B762" s="192">
        <f t="shared" ref="B762:S762" si="422">SUM(B736,B749)</f>
        <v>0</v>
      </c>
      <c r="C762" s="192">
        <f t="shared" si="422"/>
        <v>0</v>
      </c>
      <c r="D762" s="192">
        <f t="shared" si="422"/>
        <v>110000</v>
      </c>
      <c r="E762" s="192">
        <f t="shared" si="422"/>
        <v>110000</v>
      </c>
      <c r="F762" s="192">
        <f t="shared" si="422"/>
        <v>0</v>
      </c>
      <c r="G762" s="192">
        <f t="shared" si="422"/>
        <v>80000</v>
      </c>
      <c r="H762" s="192">
        <f t="shared" si="422"/>
        <v>80000</v>
      </c>
      <c r="I762" s="192">
        <f t="shared" si="422"/>
        <v>80000</v>
      </c>
      <c r="J762" s="192">
        <f t="shared" si="422"/>
        <v>0</v>
      </c>
      <c r="K762" s="192">
        <f t="shared" si="422"/>
        <v>0</v>
      </c>
      <c r="L762" s="192">
        <f t="shared" si="422"/>
        <v>0</v>
      </c>
      <c r="M762" s="192">
        <f t="shared" si="422"/>
        <v>0</v>
      </c>
      <c r="N762" s="192">
        <f t="shared" si="422"/>
        <v>0</v>
      </c>
      <c r="O762" s="192">
        <f t="shared" si="422"/>
        <v>0</v>
      </c>
      <c r="P762" s="192">
        <f t="shared" si="422"/>
        <v>0</v>
      </c>
      <c r="Q762" s="192">
        <f t="shared" si="422"/>
        <v>0</v>
      </c>
      <c r="R762" s="192">
        <f t="shared" si="422"/>
        <v>0</v>
      </c>
      <c r="S762" s="280">
        <f t="shared" si="422"/>
        <v>0</v>
      </c>
    </row>
    <row r="763" spans="1:19" ht="12.75" customHeight="1" x14ac:dyDescent="0.2">
      <c r="A763" s="198" t="str">
        <f>"      "&amp;Labels!B317</f>
        <v xml:space="preserve">      Channels 1</v>
      </c>
      <c r="B763" s="226">
        <f t="shared" ref="B763:S763" si="423">SUM(B737,B750)</f>
        <v>0</v>
      </c>
      <c r="C763" s="226">
        <f t="shared" si="423"/>
        <v>0</v>
      </c>
      <c r="D763" s="226">
        <f t="shared" si="423"/>
        <v>55000</v>
      </c>
      <c r="E763" s="226">
        <f t="shared" si="423"/>
        <v>55000</v>
      </c>
      <c r="F763" s="226">
        <f t="shared" si="423"/>
        <v>0</v>
      </c>
      <c r="G763" s="226">
        <f t="shared" si="423"/>
        <v>40000</v>
      </c>
      <c r="H763" s="226">
        <f t="shared" si="423"/>
        <v>40000</v>
      </c>
      <c r="I763" s="226">
        <f t="shared" si="423"/>
        <v>40000</v>
      </c>
      <c r="J763" s="226">
        <f t="shared" si="423"/>
        <v>0</v>
      </c>
      <c r="K763" s="226">
        <f t="shared" si="423"/>
        <v>0</v>
      </c>
      <c r="L763" s="226">
        <f t="shared" si="423"/>
        <v>0</v>
      </c>
      <c r="M763" s="226">
        <f t="shared" si="423"/>
        <v>0</v>
      </c>
      <c r="N763" s="226">
        <f t="shared" si="423"/>
        <v>0</v>
      </c>
      <c r="O763" s="226">
        <f t="shared" si="423"/>
        <v>0</v>
      </c>
      <c r="P763" s="226">
        <f t="shared" si="423"/>
        <v>0</v>
      </c>
      <c r="Q763" s="226">
        <f t="shared" si="423"/>
        <v>0</v>
      </c>
      <c r="R763" s="226">
        <f t="shared" si="423"/>
        <v>0</v>
      </c>
      <c r="S763" s="279">
        <f t="shared" si="423"/>
        <v>0</v>
      </c>
    </row>
    <row r="764" spans="1:19" ht="12.75" customHeight="1" x14ac:dyDescent="0.2">
      <c r="A764" s="198" t="str">
        <f>"      "&amp;Labels!B318</f>
        <v xml:space="preserve">      Channels 2</v>
      </c>
      <c r="B764" s="226">
        <f t="shared" ref="B764:S764" si="424">SUM(B738,B751)</f>
        <v>0</v>
      </c>
      <c r="C764" s="226">
        <f t="shared" si="424"/>
        <v>0</v>
      </c>
      <c r="D764" s="226">
        <f t="shared" si="424"/>
        <v>55000</v>
      </c>
      <c r="E764" s="226">
        <f t="shared" si="424"/>
        <v>55000</v>
      </c>
      <c r="F764" s="226">
        <f t="shared" si="424"/>
        <v>0</v>
      </c>
      <c r="G764" s="226">
        <f t="shared" si="424"/>
        <v>40000</v>
      </c>
      <c r="H764" s="226">
        <f t="shared" si="424"/>
        <v>40000</v>
      </c>
      <c r="I764" s="226">
        <f t="shared" si="424"/>
        <v>40000</v>
      </c>
      <c r="J764" s="226">
        <f t="shared" si="424"/>
        <v>0</v>
      </c>
      <c r="K764" s="226">
        <f t="shared" si="424"/>
        <v>0</v>
      </c>
      <c r="L764" s="226">
        <f t="shared" si="424"/>
        <v>0</v>
      </c>
      <c r="M764" s="226">
        <f t="shared" si="424"/>
        <v>0</v>
      </c>
      <c r="N764" s="226">
        <f t="shared" si="424"/>
        <v>0</v>
      </c>
      <c r="O764" s="226">
        <f t="shared" si="424"/>
        <v>0</v>
      </c>
      <c r="P764" s="226">
        <f t="shared" si="424"/>
        <v>0</v>
      </c>
      <c r="Q764" s="226">
        <f t="shared" si="424"/>
        <v>0</v>
      </c>
      <c r="R764" s="226">
        <f t="shared" si="424"/>
        <v>0</v>
      </c>
      <c r="S764" s="279">
        <f t="shared" si="424"/>
        <v>0</v>
      </c>
    </row>
    <row r="765" spans="1:19" ht="12.75" customHeight="1" x14ac:dyDescent="0.2">
      <c r="A765" s="220" t="str">
        <f>"      "&amp;Labels!C316</f>
        <v xml:space="preserve">      Total</v>
      </c>
      <c r="B765" s="228">
        <f t="shared" ref="B765:S765" si="425">SUM(B736,B749)</f>
        <v>0</v>
      </c>
      <c r="C765" s="228">
        <f t="shared" si="425"/>
        <v>0</v>
      </c>
      <c r="D765" s="228">
        <f t="shared" si="425"/>
        <v>110000</v>
      </c>
      <c r="E765" s="228">
        <f t="shared" si="425"/>
        <v>110000</v>
      </c>
      <c r="F765" s="228">
        <f t="shared" si="425"/>
        <v>0</v>
      </c>
      <c r="G765" s="228">
        <f t="shared" si="425"/>
        <v>80000</v>
      </c>
      <c r="H765" s="228">
        <f t="shared" si="425"/>
        <v>80000</v>
      </c>
      <c r="I765" s="228">
        <f t="shared" si="425"/>
        <v>80000</v>
      </c>
      <c r="J765" s="228">
        <f t="shared" si="425"/>
        <v>0</v>
      </c>
      <c r="K765" s="228">
        <f t="shared" si="425"/>
        <v>0</v>
      </c>
      <c r="L765" s="228">
        <f t="shared" si="425"/>
        <v>0</v>
      </c>
      <c r="M765" s="228">
        <f t="shared" si="425"/>
        <v>0</v>
      </c>
      <c r="N765" s="228">
        <f t="shared" si="425"/>
        <v>0</v>
      </c>
      <c r="O765" s="228">
        <f t="shared" si="425"/>
        <v>0</v>
      </c>
      <c r="P765" s="228">
        <f t="shared" si="425"/>
        <v>0</v>
      </c>
      <c r="Q765" s="228">
        <f t="shared" si="425"/>
        <v>0</v>
      </c>
      <c r="R765" s="228">
        <f t="shared" si="425"/>
        <v>0</v>
      </c>
      <c r="S765" s="281">
        <f t="shared" si="425"/>
        <v>0</v>
      </c>
    </row>
    <row r="766" spans="1:19" ht="12.75" customHeight="1" x14ac:dyDescent="0.2">
      <c r="A766" s="1" t="str">
        <f>Labels!B165</f>
        <v>Professional Staff Billings</v>
      </c>
    </row>
    <row r="767" spans="1:19" ht="12.75" customHeight="1" x14ac:dyDescent="0.2">
      <c r="B767" s="9" t="str">
        <f>'(FnCalls 1)'!F41</f>
        <v>MMM 2010</v>
      </c>
      <c r="C767" s="10" t="str">
        <f>'(FnCalls 1)'!F42</f>
        <v>MMM 2010</v>
      </c>
      <c r="D767" s="10" t="str">
        <f>'(FnCalls 1)'!F43</f>
        <v>MMM 2010</v>
      </c>
      <c r="E767" s="10" t="str">
        <f>'(FnCalls 1)'!F44</f>
        <v>MMM 2010</v>
      </c>
      <c r="F767" s="10" t="str">
        <f>'(FnCalls 1)'!F45</f>
        <v>MMM 2010</v>
      </c>
      <c r="G767" s="10" t="str">
        <f>'(FnCalls 1)'!F46</f>
        <v>MMM 2010</v>
      </c>
      <c r="H767" s="10" t="str">
        <f>'(FnCalls 1)'!F47</f>
        <v>MMM 2010</v>
      </c>
      <c r="I767" s="10" t="str">
        <f>'(FnCalls 1)'!F48</f>
        <v>MMM 2010</v>
      </c>
      <c r="J767" s="10" t="str">
        <f>'(FnCalls 1)'!F49</f>
        <v>MMM 2010</v>
      </c>
      <c r="K767" s="10" t="str">
        <f>'(FnCalls 1)'!F50</f>
        <v>MMM 2010</v>
      </c>
      <c r="L767" s="10" t="str">
        <f>'(FnCalls 1)'!F51</f>
        <v>MMM 2010</v>
      </c>
      <c r="M767" s="10" t="str">
        <f>'(FnCalls 1)'!F52</f>
        <v>MMM 2010</v>
      </c>
      <c r="N767" s="10" t="str">
        <f>'(FnCalls 1)'!F53</f>
        <v>MMM 2011</v>
      </c>
      <c r="O767" s="10" t="str">
        <f>'(FnCalls 1)'!F54</f>
        <v>MMM 2011</v>
      </c>
      <c r="P767" s="10" t="str">
        <f>'(FnCalls 1)'!F55</f>
        <v>MMM 2011</v>
      </c>
      <c r="Q767" s="10" t="str">
        <f>'(FnCalls 1)'!F56</f>
        <v>MMM 2011</v>
      </c>
      <c r="R767" s="10" t="str">
        <f>'(FnCalls 1)'!F57</f>
        <v>MMM 2011</v>
      </c>
      <c r="S767" s="11" t="str">
        <f>'(FnCalls 1)'!F58</f>
        <v>MMM 2011</v>
      </c>
    </row>
    <row r="768" spans="1:19" ht="12.75" customHeight="1" x14ac:dyDescent="0.2">
      <c r="A768" s="182" t="str">
        <f>Labels!B381</f>
        <v>Practice 1</v>
      </c>
      <c r="B768" s="183"/>
      <c r="C768" s="183"/>
      <c r="D768" s="183"/>
      <c r="E768" s="183"/>
      <c r="F768" s="183"/>
      <c r="G768" s="183"/>
      <c r="H768" s="183"/>
      <c r="I768" s="183"/>
      <c r="J768" s="183"/>
      <c r="K768" s="183"/>
      <c r="L768" s="183"/>
      <c r="M768" s="183"/>
      <c r="N768" s="183"/>
      <c r="O768" s="183"/>
      <c r="P768" s="183"/>
      <c r="Q768" s="183"/>
      <c r="R768" s="183"/>
      <c r="S768" s="266"/>
    </row>
    <row r="769" spans="1:19" ht="12.75" customHeight="1" x14ac:dyDescent="0.2">
      <c r="A769" s="188" t="str">
        <f>"   "&amp;Labels!B385</f>
        <v xml:space="preserve">   Prof Level 1</v>
      </c>
      <c r="B769" s="196"/>
      <c r="C769" s="196"/>
      <c r="D769" s="196"/>
      <c r="E769" s="196"/>
      <c r="F769" s="196"/>
      <c r="G769" s="196"/>
      <c r="H769" s="196"/>
      <c r="I769" s="196"/>
      <c r="J769" s="196"/>
      <c r="K769" s="196"/>
      <c r="L769" s="196"/>
      <c r="M769" s="196"/>
      <c r="N769" s="196"/>
      <c r="O769" s="196"/>
      <c r="P769" s="196"/>
      <c r="Q769" s="196"/>
      <c r="R769" s="196"/>
      <c r="S769" s="267"/>
    </row>
    <row r="770" spans="1:19" ht="12.75" customHeight="1" x14ac:dyDescent="0.2">
      <c r="A770" s="198" t="str">
        <f>"      "&amp;Labels!B317</f>
        <v xml:space="preserve">      Channels 1</v>
      </c>
      <c r="B770" s="226">
        <f>(B410*Engage!B48+B411*Engage!B52)/2+Engage!B213</f>
        <v>0</v>
      </c>
      <c r="C770" s="226">
        <f>(B410*Engage!C48+B411*Engage!C52)/2+Engage!C213</f>
        <v>0</v>
      </c>
      <c r="D770" s="226">
        <f>(B410*Engage!D48+B411*Engage!D52)/2+Engage!D213</f>
        <v>27500</v>
      </c>
      <c r="E770" s="226">
        <f>(B410*Engage!E48+B411*Engage!E52)/2+Engage!E213</f>
        <v>27500</v>
      </c>
      <c r="F770" s="226">
        <f>(B410*Engage!F48+B411*Engage!F52)/2+Engage!F213</f>
        <v>0</v>
      </c>
      <c r="G770" s="226">
        <f>(B410*Engage!G48+B411*Engage!G52)/2+Engage!G213</f>
        <v>20000</v>
      </c>
      <c r="H770" s="226">
        <f>(B410*Engage!H48+B411*Engage!H52)/2+Engage!H213</f>
        <v>20000</v>
      </c>
      <c r="I770" s="226">
        <f>(B410*Engage!I48+B411*Engage!I52)/2+Engage!I213</f>
        <v>20000</v>
      </c>
      <c r="J770" s="226">
        <f>(B410*Engage!J48+B411*Engage!J52)/2+Engage!J213</f>
        <v>0</v>
      </c>
      <c r="K770" s="226">
        <f>(B410*Engage!K48+B411*Engage!K52)/2+Engage!K213</f>
        <v>0</v>
      </c>
      <c r="L770" s="226">
        <f>(B410*Engage!L48+B411*Engage!L52)/2+Engage!L213</f>
        <v>0</v>
      </c>
      <c r="M770" s="226">
        <f>(B410*Engage!M48+B411*Engage!M52)/2+Engage!M213</f>
        <v>0</v>
      </c>
      <c r="N770" s="226">
        <f>(B410*Engage!N48+B411*Engage!N52)/2+Engage!N213</f>
        <v>0</v>
      </c>
      <c r="O770" s="226">
        <f>(B410*Engage!O48+B411*Engage!O52)/2+Engage!O213</f>
        <v>0</v>
      </c>
      <c r="P770" s="226">
        <f>(B410*Engage!P48+B411*Engage!P52)/2+Engage!P213</f>
        <v>0</v>
      </c>
      <c r="Q770" s="226">
        <f>(B410*Engage!Q48+B411*Engage!Q52)/2+Engage!Q213</f>
        <v>0</v>
      </c>
      <c r="R770" s="226">
        <f>(B410*Engage!R48+B411*Engage!R52)/2+Engage!R213</f>
        <v>0</v>
      </c>
      <c r="S770" s="279">
        <f>(B410*Engage!S48+B411*Engage!S52)/2+Engage!S213</f>
        <v>0</v>
      </c>
    </row>
    <row r="771" spans="1:19" ht="12.75" customHeight="1" x14ac:dyDescent="0.2">
      <c r="A771" s="198" t="str">
        <f>"      "&amp;Labels!B318</f>
        <v xml:space="preserve">      Channels 2</v>
      </c>
      <c r="B771" s="226">
        <f>(B410*Engage!B48+B411*Engage!B52)/2+Engage!B214</f>
        <v>0</v>
      </c>
      <c r="C771" s="226">
        <f>(B410*Engage!C48+B411*Engage!C52)/2+Engage!C214</f>
        <v>0</v>
      </c>
      <c r="D771" s="226">
        <f>(B410*Engage!D48+B411*Engage!D52)/2+Engage!D214</f>
        <v>27500</v>
      </c>
      <c r="E771" s="226">
        <f>(B410*Engage!E48+B411*Engage!E52)/2+Engage!E214</f>
        <v>27500</v>
      </c>
      <c r="F771" s="226">
        <f>(B410*Engage!F48+B411*Engage!F52)/2+Engage!F214</f>
        <v>0</v>
      </c>
      <c r="G771" s="226">
        <f>(B410*Engage!G48+B411*Engage!G52)/2+Engage!G214</f>
        <v>20000</v>
      </c>
      <c r="H771" s="226">
        <f>(B410*Engage!H48+B411*Engage!H52)/2+Engage!H214</f>
        <v>20000</v>
      </c>
      <c r="I771" s="226">
        <f>(B410*Engage!I48+B411*Engage!I52)/2+Engage!I214</f>
        <v>20000</v>
      </c>
      <c r="J771" s="226">
        <f>(B410*Engage!J48+B411*Engage!J52)/2+Engage!J214</f>
        <v>0</v>
      </c>
      <c r="K771" s="226">
        <f>(B410*Engage!K48+B411*Engage!K52)/2+Engage!K214</f>
        <v>0</v>
      </c>
      <c r="L771" s="226">
        <f>(B410*Engage!L48+B411*Engage!L52)/2+Engage!L214</f>
        <v>0</v>
      </c>
      <c r="M771" s="226">
        <f>(B410*Engage!M48+B411*Engage!M52)/2+Engage!M214</f>
        <v>0</v>
      </c>
      <c r="N771" s="226">
        <f>(B410*Engage!N48+B411*Engage!N52)/2+Engage!N214</f>
        <v>0</v>
      </c>
      <c r="O771" s="226">
        <f>(B410*Engage!O48+B411*Engage!O52)/2+Engage!O214</f>
        <v>0</v>
      </c>
      <c r="P771" s="226">
        <f>(B410*Engage!P48+B411*Engage!P52)/2+Engage!P214</f>
        <v>0</v>
      </c>
      <c r="Q771" s="226">
        <f>(B410*Engage!Q48+B411*Engage!Q52)/2+Engage!Q214</f>
        <v>0</v>
      </c>
      <c r="R771" s="226">
        <f>(B410*Engage!R48+B411*Engage!R52)/2+Engage!R214</f>
        <v>0</v>
      </c>
      <c r="S771" s="279">
        <f>(B410*Engage!S48+B411*Engage!S52)/2+Engage!S214</f>
        <v>0</v>
      </c>
    </row>
    <row r="772" spans="1:19" ht="12.75" customHeight="1" x14ac:dyDescent="0.2">
      <c r="A772" s="188" t="str">
        <f>"      "&amp;Labels!C316</f>
        <v xml:space="preserve">      Total</v>
      </c>
      <c r="B772" s="196">
        <f t="shared" ref="B772:S772" si="426">SUM(B770:B771)</f>
        <v>0</v>
      </c>
      <c r="C772" s="196">
        <f t="shared" si="426"/>
        <v>0</v>
      </c>
      <c r="D772" s="196">
        <f t="shared" si="426"/>
        <v>55000</v>
      </c>
      <c r="E772" s="196">
        <f t="shared" si="426"/>
        <v>55000</v>
      </c>
      <c r="F772" s="196">
        <f t="shared" si="426"/>
        <v>0</v>
      </c>
      <c r="G772" s="196">
        <f t="shared" si="426"/>
        <v>40000</v>
      </c>
      <c r="H772" s="196">
        <f t="shared" si="426"/>
        <v>40000</v>
      </c>
      <c r="I772" s="196">
        <f t="shared" si="426"/>
        <v>40000</v>
      </c>
      <c r="J772" s="196">
        <f t="shared" si="426"/>
        <v>0</v>
      </c>
      <c r="K772" s="196">
        <f t="shared" si="426"/>
        <v>0</v>
      </c>
      <c r="L772" s="196">
        <f t="shared" si="426"/>
        <v>0</v>
      </c>
      <c r="M772" s="196">
        <f t="shared" si="426"/>
        <v>0</v>
      </c>
      <c r="N772" s="196">
        <f t="shared" si="426"/>
        <v>0</v>
      </c>
      <c r="O772" s="196">
        <f t="shared" si="426"/>
        <v>0</v>
      </c>
      <c r="P772" s="196">
        <f t="shared" si="426"/>
        <v>0</v>
      </c>
      <c r="Q772" s="196">
        <f t="shared" si="426"/>
        <v>0</v>
      </c>
      <c r="R772" s="196">
        <f t="shared" si="426"/>
        <v>0</v>
      </c>
      <c r="S772" s="267">
        <f t="shared" si="426"/>
        <v>0</v>
      </c>
    </row>
    <row r="773" spans="1:19" ht="12.75" customHeight="1" x14ac:dyDescent="0.2">
      <c r="A773" s="188" t="str">
        <f>"   "&amp;Labels!B386</f>
        <v xml:space="preserve">   Prof Level 2</v>
      </c>
      <c r="B773" s="196"/>
      <c r="C773" s="196"/>
      <c r="D773" s="196"/>
      <c r="E773" s="196"/>
      <c r="F773" s="196"/>
      <c r="G773" s="196"/>
      <c r="H773" s="196"/>
      <c r="I773" s="196"/>
      <c r="J773" s="196"/>
      <c r="K773" s="196"/>
      <c r="L773" s="196"/>
      <c r="M773" s="196"/>
      <c r="N773" s="196"/>
      <c r="O773" s="196"/>
      <c r="P773" s="196"/>
      <c r="Q773" s="196"/>
      <c r="R773" s="196"/>
      <c r="S773" s="267"/>
    </row>
    <row r="774" spans="1:19" ht="12.75" customHeight="1" x14ac:dyDescent="0.2">
      <c r="A774" s="198" t="str">
        <f>"      "&amp;Labels!B317</f>
        <v xml:space="preserve">      Channels 1</v>
      </c>
      <c r="B774" s="226">
        <f>(B410*Engage!B49+B411*Engage!B53)/2+Engage!B217</f>
        <v>0</v>
      </c>
      <c r="C774" s="226">
        <f>(B410*Engage!C49+B411*Engage!C53)/2+Engage!C217</f>
        <v>0</v>
      </c>
      <c r="D774" s="226">
        <f>(B410*Engage!D49+B411*Engage!D53)/2+Engage!D217</f>
        <v>27500</v>
      </c>
      <c r="E774" s="226">
        <f>(B410*Engage!E49+B411*Engage!E53)/2+Engage!E217</f>
        <v>27500</v>
      </c>
      <c r="F774" s="226">
        <f>(B410*Engage!F49+B411*Engage!F53)/2+Engage!F217</f>
        <v>0</v>
      </c>
      <c r="G774" s="226">
        <f>(B410*Engage!G49+B411*Engage!G53)/2+Engage!G217</f>
        <v>20000</v>
      </c>
      <c r="H774" s="226">
        <f>(B410*Engage!H49+B411*Engage!H53)/2+Engage!H217</f>
        <v>20000</v>
      </c>
      <c r="I774" s="226">
        <f>(B410*Engage!I49+B411*Engage!I53)/2+Engage!I217</f>
        <v>20000</v>
      </c>
      <c r="J774" s="226">
        <f>(B410*Engage!J49+B411*Engage!J53)/2+Engage!J217</f>
        <v>0</v>
      </c>
      <c r="K774" s="226">
        <f>(B410*Engage!K49+B411*Engage!K53)/2+Engage!K217</f>
        <v>0</v>
      </c>
      <c r="L774" s="226">
        <f>(B410*Engage!L49+B411*Engage!L53)/2+Engage!L217</f>
        <v>0</v>
      </c>
      <c r="M774" s="226">
        <f>(B410*Engage!M49+B411*Engage!M53)/2+Engage!M217</f>
        <v>0</v>
      </c>
      <c r="N774" s="226">
        <f>(B410*Engage!N49+B411*Engage!N53)/2+Engage!N217</f>
        <v>0</v>
      </c>
      <c r="O774" s="226">
        <f>(B410*Engage!O49+B411*Engage!O53)/2+Engage!O217</f>
        <v>0</v>
      </c>
      <c r="P774" s="226">
        <f>(B410*Engage!P49+B411*Engage!P53)/2+Engage!P217</f>
        <v>0</v>
      </c>
      <c r="Q774" s="226">
        <f>(B410*Engage!Q49+B411*Engage!Q53)/2+Engage!Q217</f>
        <v>0</v>
      </c>
      <c r="R774" s="226">
        <f>(B410*Engage!R49+B411*Engage!R53)/2+Engage!R217</f>
        <v>0</v>
      </c>
      <c r="S774" s="279">
        <f>(B410*Engage!S49+B411*Engage!S53)/2+Engage!S217</f>
        <v>0</v>
      </c>
    </row>
    <row r="775" spans="1:19" ht="12.75" customHeight="1" x14ac:dyDescent="0.2">
      <c r="A775" s="198" t="str">
        <f>"      "&amp;Labels!B318</f>
        <v xml:space="preserve">      Channels 2</v>
      </c>
      <c r="B775" s="226">
        <f>(B410*Engage!B49+B411*Engage!B53)/2+Engage!B218</f>
        <v>0</v>
      </c>
      <c r="C775" s="226">
        <f>(B410*Engage!C49+B411*Engage!C53)/2+Engage!C218</f>
        <v>0</v>
      </c>
      <c r="D775" s="226">
        <f>(B410*Engage!D49+B411*Engage!D53)/2+Engage!D218</f>
        <v>27500</v>
      </c>
      <c r="E775" s="226">
        <f>(B410*Engage!E49+B411*Engage!E53)/2+Engage!E218</f>
        <v>27500</v>
      </c>
      <c r="F775" s="226">
        <f>(B410*Engage!F49+B411*Engage!F53)/2+Engage!F218</f>
        <v>0</v>
      </c>
      <c r="G775" s="226">
        <f>(B410*Engage!G49+B411*Engage!G53)/2+Engage!G218</f>
        <v>20000</v>
      </c>
      <c r="H775" s="226">
        <f>(B410*Engage!H49+B411*Engage!H53)/2+Engage!H218</f>
        <v>20000</v>
      </c>
      <c r="I775" s="226">
        <f>(B410*Engage!I49+B411*Engage!I53)/2+Engage!I218</f>
        <v>20000</v>
      </c>
      <c r="J775" s="226">
        <f>(B410*Engage!J49+B411*Engage!J53)/2+Engage!J218</f>
        <v>0</v>
      </c>
      <c r="K775" s="226">
        <f>(B410*Engage!K49+B411*Engage!K53)/2+Engage!K218</f>
        <v>0</v>
      </c>
      <c r="L775" s="226">
        <f>(B410*Engage!L49+B411*Engage!L53)/2+Engage!L218</f>
        <v>0</v>
      </c>
      <c r="M775" s="226">
        <f>(B410*Engage!M49+B411*Engage!M53)/2+Engage!M218</f>
        <v>0</v>
      </c>
      <c r="N775" s="226">
        <f>(B410*Engage!N49+B411*Engage!N53)/2+Engage!N218</f>
        <v>0</v>
      </c>
      <c r="O775" s="226">
        <f>(B410*Engage!O49+B411*Engage!O53)/2+Engage!O218</f>
        <v>0</v>
      </c>
      <c r="P775" s="226">
        <f>(B410*Engage!P49+B411*Engage!P53)/2+Engage!P218</f>
        <v>0</v>
      </c>
      <c r="Q775" s="226">
        <f>(B410*Engage!Q49+B411*Engage!Q53)/2+Engage!Q218</f>
        <v>0</v>
      </c>
      <c r="R775" s="226">
        <f>(B410*Engage!R49+B411*Engage!R53)/2+Engage!R218</f>
        <v>0</v>
      </c>
      <c r="S775" s="279">
        <f>(B410*Engage!S49+B411*Engage!S53)/2+Engage!S218</f>
        <v>0</v>
      </c>
    </row>
    <row r="776" spans="1:19" ht="12.75" customHeight="1" x14ac:dyDescent="0.2">
      <c r="A776" s="188" t="str">
        <f>"      "&amp;Labels!C316</f>
        <v xml:space="preserve">      Total</v>
      </c>
      <c r="B776" s="196">
        <f t="shared" ref="B776:S776" si="427">SUM(B774:B775)</f>
        <v>0</v>
      </c>
      <c r="C776" s="196">
        <f t="shared" si="427"/>
        <v>0</v>
      </c>
      <c r="D776" s="196">
        <f t="shared" si="427"/>
        <v>55000</v>
      </c>
      <c r="E776" s="196">
        <f t="shared" si="427"/>
        <v>55000</v>
      </c>
      <c r="F776" s="196">
        <f t="shared" si="427"/>
        <v>0</v>
      </c>
      <c r="G776" s="196">
        <f t="shared" si="427"/>
        <v>40000</v>
      </c>
      <c r="H776" s="196">
        <f t="shared" si="427"/>
        <v>40000</v>
      </c>
      <c r="I776" s="196">
        <f t="shared" si="427"/>
        <v>40000</v>
      </c>
      <c r="J776" s="196">
        <f t="shared" si="427"/>
        <v>0</v>
      </c>
      <c r="K776" s="196">
        <f t="shared" si="427"/>
        <v>0</v>
      </c>
      <c r="L776" s="196">
        <f t="shared" si="427"/>
        <v>0</v>
      </c>
      <c r="M776" s="196">
        <f t="shared" si="427"/>
        <v>0</v>
      </c>
      <c r="N776" s="196">
        <f t="shared" si="427"/>
        <v>0</v>
      </c>
      <c r="O776" s="196">
        <f t="shared" si="427"/>
        <v>0</v>
      </c>
      <c r="P776" s="196">
        <f t="shared" si="427"/>
        <v>0</v>
      </c>
      <c r="Q776" s="196">
        <f t="shared" si="427"/>
        <v>0</v>
      </c>
      <c r="R776" s="196">
        <f t="shared" si="427"/>
        <v>0</v>
      </c>
      <c r="S776" s="267">
        <f t="shared" si="427"/>
        <v>0</v>
      </c>
    </row>
    <row r="777" spans="1:19" ht="12.75" customHeight="1" x14ac:dyDescent="0.2">
      <c r="A777" s="191" t="str">
        <f>"   "&amp;Labels!C384</f>
        <v xml:space="preserve">   Total</v>
      </c>
      <c r="B777" s="192">
        <f t="shared" ref="B777:S777" si="428">SUM(B772,B776)</f>
        <v>0</v>
      </c>
      <c r="C777" s="192">
        <f t="shared" si="428"/>
        <v>0</v>
      </c>
      <c r="D777" s="192">
        <f t="shared" si="428"/>
        <v>110000</v>
      </c>
      <c r="E777" s="192">
        <f t="shared" si="428"/>
        <v>110000</v>
      </c>
      <c r="F777" s="192">
        <f t="shared" si="428"/>
        <v>0</v>
      </c>
      <c r="G777" s="192">
        <f t="shared" si="428"/>
        <v>80000</v>
      </c>
      <c r="H777" s="192">
        <f t="shared" si="428"/>
        <v>80000</v>
      </c>
      <c r="I777" s="192">
        <f t="shared" si="428"/>
        <v>80000</v>
      </c>
      <c r="J777" s="192">
        <f t="shared" si="428"/>
        <v>0</v>
      </c>
      <c r="K777" s="192">
        <f t="shared" si="428"/>
        <v>0</v>
      </c>
      <c r="L777" s="192">
        <f t="shared" si="428"/>
        <v>0</v>
      </c>
      <c r="M777" s="192">
        <f t="shared" si="428"/>
        <v>0</v>
      </c>
      <c r="N777" s="192">
        <f t="shared" si="428"/>
        <v>0</v>
      </c>
      <c r="O777" s="192">
        <f t="shared" si="428"/>
        <v>0</v>
      </c>
      <c r="P777" s="192">
        <f t="shared" si="428"/>
        <v>0</v>
      </c>
      <c r="Q777" s="192">
        <f t="shared" si="428"/>
        <v>0</v>
      </c>
      <c r="R777" s="192">
        <f t="shared" si="428"/>
        <v>0</v>
      </c>
      <c r="S777" s="280">
        <f t="shared" si="428"/>
        <v>0</v>
      </c>
    </row>
    <row r="778" spans="1:19" ht="12.75" customHeight="1" x14ac:dyDescent="0.2">
      <c r="A778" s="198" t="str">
        <f>"      "&amp;Labels!B317</f>
        <v xml:space="preserve">      Channels 1</v>
      </c>
      <c r="B778" s="226">
        <f t="shared" ref="B778:S778" si="429">SUM(B770,B774)</f>
        <v>0</v>
      </c>
      <c r="C778" s="226">
        <f t="shared" si="429"/>
        <v>0</v>
      </c>
      <c r="D778" s="226">
        <f t="shared" si="429"/>
        <v>55000</v>
      </c>
      <c r="E778" s="226">
        <f t="shared" si="429"/>
        <v>55000</v>
      </c>
      <c r="F778" s="226">
        <f t="shared" si="429"/>
        <v>0</v>
      </c>
      <c r="G778" s="226">
        <f t="shared" si="429"/>
        <v>40000</v>
      </c>
      <c r="H778" s="226">
        <f t="shared" si="429"/>
        <v>40000</v>
      </c>
      <c r="I778" s="226">
        <f t="shared" si="429"/>
        <v>40000</v>
      </c>
      <c r="J778" s="226">
        <f t="shared" si="429"/>
        <v>0</v>
      </c>
      <c r="K778" s="226">
        <f t="shared" si="429"/>
        <v>0</v>
      </c>
      <c r="L778" s="226">
        <f t="shared" si="429"/>
        <v>0</v>
      </c>
      <c r="M778" s="226">
        <f t="shared" si="429"/>
        <v>0</v>
      </c>
      <c r="N778" s="226">
        <f t="shared" si="429"/>
        <v>0</v>
      </c>
      <c r="O778" s="226">
        <f t="shared" si="429"/>
        <v>0</v>
      </c>
      <c r="P778" s="226">
        <f t="shared" si="429"/>
        <v>0</v>
      </c>
      <c r="Q778" s="226">
        <f t="shared" si="429"/>
        <v>0</v>
      </c>
      <c r="R778" s="226">
        <f t="shared" si="429"/>
        <v>0</v>
      </c>
      <c r="S778" s="279">
        <f t="shared" si="429"/>
        <v>0</v>
      </c>
    </row>
    <row r="779" spans="1:19" ht="12.75" customHeight="1" x14ac:dyDescent="0.2">
      <c r="A779" s="198" t="str">
        <f>"      "&amp;Labels!B318</f>
        <v xml:space="preserve">      Channels 2</v>
      </c>
      <c r="B779" s="226">
        <f t="shared" ref="B779:S779" si="430">SUM(B771,B775)</f>
        <v>0</v>
      </c>
      <c r="C779" s="226">
        <f t="shared" si="430"/>
        <v>0</v>
      </c>
      <c r="D779" s="226">
        <f t="shared" si="430"/>
        <v>55000</v>
      </c>
      <c r="E779" s="226">
        <f t="shared" si="430"/>
        <v>55000</v>
      </c>
      <c r="F779" s="226">
        <f t="shared" si="430"/>
        <v>0</v>
      </c>
      <c r="G779" s="226">
        <f t="shared" si="430"/>
        <v>40000</v>
      </c>
      <c r="H779" s="226">
        <f t="shared" si="430"/>
        <v>40000</v>
      </c>
      <c r="I779" s="226">
        <f t="shared" si="430"/>
        <v>40000</v>
      </c>
      <c r="J779" s="226">
        <f t="shared" si="430"/>
        <v>0</v>
      </c>
      <c r="K779" s="226">
        <f t="shared" si="430"/>
        <v>0</v>
      </c>
      <c r="L779" s="226">
        <f t="shared" si="430"/>
        <v>0</v>
      </c>
      <c r="M779" s="226">
        <f t="shared" si="430"/>
        <v>0</v>
      </c>
      <c r="N779" s="226">
        <f t="shared" si="430"/>
        <v>0</v>
      </c>
      <c r="O779" s="226">
        <f t="shared" si="430"/>
        <v>0</v>
      </c>
      <c r="P779" s="226">
        <f t="shared" si="430"/>
        <v>0</v>
      </c>
      <c r="Q779" s="226">
        <f t="shared" si="430"/>
        <v>0</v>
      </c>
      <c r="R779" s="226">
        <f t="shared" si="430"/>
        <v>0</v>
      </c>
      <c r="S779" s="279">
        <f t="shared" si="430"/>
        <v>0</v>
      </c>
    </row>
    <row r="780" spans="1:19" ht="12.75" customHeight="1" x14ac:dyDescent="0.2">
      <c r="A780" s="188" t="str">
        <f>"      "&amp;Labels!C316</f>
        <v xml:space="preserve">      Total</v>
      </c>
      <c r="B780" s="196">
        <f t="shared" ref="B780:S780" si="431">SUM(B772,B776)</f>
        <v>0</v>
      </c>
      <c r="C780" s="196">
        <f t="shared" si="431"/>
        <v>0</v>
      </c>
      <c r="D780" s="196">
        <f t="shared" si="431"/>
        <v>110000</v>
      </c>
      <c r="E780" s="196">
        <f t="shared" si="431"/>
        <v>110000</v>
      </c>
      <c r="F780" s="196">
        <f t="shared" si="431"/>
        <v>0</v>
      </c>
      <c r="G780" s="196">
        <f t="shared" si="431"/>
        <v>80000</v>
      </c>
      <c r="H780" s="196">
        <f t="shared" si="431"/>
        <v>80000</v>
      </c>
      <c r="I780" s="196">
        <f t="shared" si="431"/>
        <v>80000</v>
      </c>
      <c r="J780" s="196">
        <f t="shared" si="431"/>
        <v>0</v>
      </c>
      <c r="K780" s="196">
        <f t="shared" si="431"/>
        <v>0</v>
      </c>
      <c r="L780" s="196">
        <f t="shared" si="431"/>
        <v>0</v>
      </c>
      <c r="M780" s="196">
        <f t="shared" si="431"/>
        <v>0</v>
      </c>
      <c r="N780" s="196">
        <f t="shared" si="431"/>
        <v>0</v>
      </c>
      <c r="O780" s="196">
        <f t="shared" si="431"/>
        <v>0</v>
      </c>
      <c r="P780" s="196">
        <f t="shared" si="431"/>
        <v>0</v>
      </c>
      <c r="Q780" s="196">
        <f t="shared" si="431"/>
        <v>0</v>
      </c>
      <c r="R780" s="196">
        <f t="shared" si="431"/>
        <v>0</v>
      </c>
      <c r="S780" s="267">
        <f t="shared" si="431"/>
        <v>0</v>
      </c>
    </row>
    <row r="781" spans="1:19" ht="12.75" customHeight="1" x14ac:dyDescent="0.2">
      <c r="A781" s="191" t="str">
        <f>Labels!B382</f>
        <v>Practice 2</v>
      </c>
      <c r="B781" s="192"/>
      <c r="C781" s="192"/>
      <c r="D781" s="192"/>
      <c r="E781" s="192"/>
      <c r="F781" s="192"/>
      <c r="G781" s="192"/>
      <c r="H781" s="192"/>
      <c r="I781" s="192"/>
      <c r="J781" s="192"/>
      <c r="K781" s="192"/>
      <c r="L781" s="192"/>
      <c r="M781" s="192"/>
      <c r="N781" s="192"/>
      <c r="O781" s="192"/>
      <c r="P781" s="192"/>
      <c r="Q781" s="192"/>
      <c r="R781" s="192"/>
      <c r="S781" s="280"/>
    </row>
    <row r="782" spans="1:19" ht="12.75" customHeight="1" x14ac:dyDescent="0.2">
      <c r="A782" s="188" t="str">
        <f>"   "&amp;Labels!B385</f>
        <v xml:space="preserve">   Prof Level 1</v>
      </c>
      <c r="B782" s="196"/>
      <c r="C782" s="196"/>
      <c r="D782" s="196"/>
      <c r="E782" s="196"/>
      <c r="F782" s="196"/>
      <c r="G782" s="196"/>
      <c r="H782" s="196"/>
      <c r="I782" s="196"/>
      <c r="J782" s="196"/>
      <c r="K782" s="196"/>
      <c r="L782" s="196"/>
      <c r="M782" s="196"/>
      <c r="N782" s="196"/>
      <c r="O782" s="196"/>
      <c r="P782" s="196"/>
      <c r="Q782" s="196"/>
      <c r="R782" s="196"/>
      <c r="S782" s="267"/>
    </row>
    <row r="783" spans="1:19" ht="12.75" customHeight="1" x14ac:dyDescent="0.2">
      <c r="A783" s="198" t="str">
        <f>"      "&amp;Labels!B317</f>
        <v xml:space="preserve">      Channels 1</v>
      </c>
      <c r="B783" s="226">
        <f>(C410*Engage!B48+C411*Engage!B52)/2+Engage!B226</f>
        <v>0</v>
      </c>
      <c r="C783" s="226">
        <f>(C410*Engage!C48+C411*Engage!C52)/2+Engage!C226</f>
        <v>0</v>
      </c>
      <c r="D783" s="226">
        <f>(C410*Engage!D48+C411*Engage!D52)/2+Engage!D226</f>
        <v>0</v>
      </c>
      <c r="E783" s="226">
        <f>(C410*Engage!E48+C411*Engage!E52)/2+Engage!E226</f>
        <v>0</v>
      </c>
      <c r="F783" s="226">
        <f>(C410*Engage!F48+C411*Engage!F52)/2+Engage!F226</f>
        <v>0</v>
      </c>
      <c r="G783" s="226">
        <f>(C410*Engage!G48+C411*Engage!G52)/2+Engage!G226</f>
        <v>0</v>
      </c>
      <c r="H783" s="226">
        <f>(C410*Engage!H48+C411*Engage!H52)/2+Engage!H226</f>
        <v>0</v>
      </c>
      <c r="I783" s="226">
        <f>(C410*Engage!I48+C411*Engage!I52)/2+Engage!I226</f>
        <v>0</v>
      </c>
      <c r="J783" s="226">
        <f>(C410*Engage!J48+C411*Engage!J52)/2+Engage!J226</f>
        <v>0</v>
      </c>
      <c r="K783" s="226">
        <f>(C410*Engage!K48+C411*Engage!K52)/2+Engage!K226</f>
        <v>0</v>
      </c>
      <c r="L783" s="226">
        <f>(C410*Engage!L48+C411*Engage!L52)/2+Engage!L226</f>
        <v>0</v>
      </c>
      <c r="M783" s="226">
        <f>(C410*Engage!M48+C411*Engage!M52)/2+Engage!M226</f>
        <v>0</v>
      </c>
      <c r="N783" s="226">
        <f>(C410*Engage!N48+C411*Engage!N52)/2+Engage!N226</f>
        <v>0</v>
      </c>
      <c r="O783" s="226">
        <f>(C410*Engage!O48+C411*Engage!O52)/2+Engage!O226</f>
        <v>0</v>
      </c>
      <c r="P783" s="226">
        <f>(C410*Engage!P48+C411*Engage!P52)/2+Engage!P226</f>
        <v>0</v>
      </c>
      <c r="Q783" s="226">
        <f>(C410*Engage!Q48+C411*Engage!Q52)/2+Engage!Q226</f>
        <v>0</v>
      </c>
      <c r="R783" s="226">
        <f>(C410*Engage!R48+C411*Engage!R52)/2+Engage!R226</f>
        <v>0</v>
      </c>
      <c r="S783" s="279">
        <f>(C410*Engage!S48+C411*Engage!S52)/2+Engage!S226</f>
        <v>0</v>
      </c>
    </row>
    <row r="784" spans="1:19" ht="12.75" customHeight="1" x14ac:dyDescent="0.2">
      <c r="A784" s="198" t="str">
        <f>"      "&amp;Labels!B318</f>
        <v xml:space="preserve">      Channels 2</v>
      </c>
      <c r="B784" s="226">
        <f>(C410*Engage!B48+C411*Engage!B52)/2+Engage!B227</f>
        <v>0</v>
      </c>
      <c r="C784" s="226">
        <f>(C410*Engage!C48+C411*Engage!C52)/2+Engage!C227</f>
        <v>0</v>
      </c>
      <c r="D784" s="226">
        <f>(C410*Engage!D48+C411*Engage!D52)/2+Engage!D227</f>
        <v>0</v>
      </c>
      <c r="E784" s="226">
        <f>(C410*Engage!E48+C411*Engage!E52)/2+Engage!E227</f>
        <v>0</v>
      </c>
      <c r="F784" s="226">
        <f>(C410*Engage!F48+C411*Engage!F52)/2+Engage!F227</f>
        <v>0</v>
      </c>
      <c r="G784" s="226">
        <f>(C410*Engage!G48+C411*Engage!G52)/2+Engage!G227</f>
        <v>0</v>
      </c>
      <c r="H784" s="226">
        <f>(C410*Engage!H48+C411*Engage!H52)/2+Engage!H227</f>
        <v>0</v>
      </c>
      <c r="I784" s="226">
        <f>(C410*Engage!I48+C411*Engage!I52)/2+Engage!I227</f>
        <v>0</v>
      </c>
      <c r="J784" s="226">
        <f>(C410*Engage!J48+C411*Engage!J52)/2+Engage!J227</f>
        <v>0</v>
      </c>
      <c r="K784" s="226">
        <f>(C410*Engage!K48+C411*Engage!K52)/2+Engage!K227</f>
        <v>0</v>
      </c>
      <c r="L784" s="226">
        <f>(C410*Engage!L48+C411*Engage!L52)/2+Engage!L227</f>
        <v>0</v>
      </c>
      <c r="M784" s="226">
        <f>(C410*Engage!M48+C411*Engage!M52)/2+Engage!M227</f>
        <v>0</v>
      </c>
      <c r="N784" s="226">
        <f>(C410*Engage!N48+C411*Engage!N52)/2+Engage!N227</f>
        <v>0</v>
      </c>
      <c r="O784" s="226">
        <f>(C410*Engage!O48+C411*Engage!O52)/2+Engage!O227</f>
        <v>0</v>
      </c>
      <c r="P784" s="226">
        <f>(C410*Engage!P48+C411*Engage!P52)/2+Engage!P227</f>
        <v>0</v>
      </c>
      <c r="Q784" s="226">
        <f>(C410*Engage!Q48+C411*Engage!Q52)/2+Engage!Q227</f>
        <v>0</v>
      </c>
      <c r="R784" s="226">
        <f>(C410*Engage!R48+C411*Engage!R52)/2+Engage!R227</f>
        <v>0</v>
      </c>
      <c r="S784" s="279">
        <f>(C410*Engage!S48+C411*Engage!S52)/2+Engage!S227</f>
        <v>0</v>
      </c>
    </row>
    <row r="785" spans="1:19" ht="12.75" customHeight="1" x14ac:dyDescent="0.2">
      <c r="A785" s="188" t="str">
        <f>"      "&amp;Labels!C316</f>
        <v xml:space="preserve">      Total</v>
      </c>
      <c r="B785" s="196">
        <f t="shared" ref="B785:S785" si="432">SUM(B783:B784)</f>
        <v>0</v>
      </c>
      <c r="C785" s="196">
        <f t="shared" si="432"/>
        <v>0</v>
      </c>
      <c r="D785" s="196">
        <f t="shared" si="432"/>
        <v>0</v>
      </c>
      <c r="E785" s="196">
        <f t="shared" si="432"/>
        <v>0</v>
      </c>
      <c r="F785" s="196">
        <f t="shared" si="432"/>
        <v>0</v>
      </c>
      <c r="G785" s="196">
        <f t="shared" si="432"/>
        <v>0</v>
      </c>
      <c r="H785" s="196">
        <f t="shared" si="432"/>
        <v>0</v>
      </c>
      <c r="I785" s="196">
        <f t="shared" si="432"/>
        <v>0</v>
      </c>
      <c r="J785" s="196">
        <f t="shared" si="432"/>
        <v>0</v>
      </c>
      <c r="K785" s="196">
        <f t="shared" si="432"/>
        <v>0</v>
      </c>
      <c r="L785" s="196">
        <f t="shared" si="432"/>
        <v>0</v>
      </c>
      <c r="M785" s="196">
        <f t="shared" si="432"/>
        <v>0</v>
      </c>
      <c r="N785" s="196">
        <f t="shared" si="432"/>
        <v>0</v>
      </c>
      <c r="O785" s="196">
        <f t="shared" si="432"/>
        <v>0</v>
      </c>
      <c r="P785" s="196">
        <f t="shared" si="432"/>
        <v>0</v>
      </c>
      <c r="Q785" s="196">
        <f t="shared" si="432"/>
        <v>0</v>
      </c>
      <c r="R785" s="196">
        <f t="shared" si="432"/>
        <v>0</v>
      </c>
      <c r="S785" s="267">
        <f t="shared" si="432"/>
        <v>0</v>
      </c>
    </row>
    <row r="786" spans="1:19" ht="12.75" customHeight="1" x14ac:dyDescent="0.2">
      <c r="A786" s="188" t="str">
        <f>"   "&amp;Labels!B386</f>
        <v xml:space="preserve">   Prof Level 2</v>
      </c>
      <c r="B786" s="196"/>
      <c r="C786" s="196"/>
      <c r="D786" s="196"/>
      <c r="E786" s="196"/>
      <c r="F786" s="196"/>
      <c r="G786" s="196"/>
      <c r="H786" s="196"/>
      <c r="I786" s="196"/>
      <c r="J786" s="196"/>
      <c r="K786" s="196"/>
      <c r="L786" s="196"/>
      <c r="M786" s="196"/>
      <c r="N786" s="196"/>
      <c r="O786" s="196"/>
      <c r="P786" s="196"/>
      <c r="Q786" s="196"/>
      <c r="R786" s="196"/>
      <c r="S786" s="267"/>
    </row>
    <row r="787" spans="1:19" ht="12.75" customHeight="1" x14ac:dyDescent="0.2">
      <c r="A787" s="198" t="str">
        <f>"      "&amp;Labels!B317</f>
        <v xml:space="preserve">      Channels 1</v>
      </c>
      <c r="B787" s="226">
        <f>(C410*Engage!B49+C411*Engage!B53)/2+Engage!B230</f>
        <v>0</v>
      </c>
      <c r="C787" s="226">
        <f>(C410*Engage!C49+C411*Engage!C53)/2+Engage!C230</f>
        <v>0</v>
      </c>
      <c r="D787" s="226">
        <f>(C410*Engage!D49+C411*Engage!D53)/2+Engage!D230</f>
        <v>0</v>
      </c>
      <c r="E787" s="226">
        <f>(C410*Engage!E49+C411*Engage!E53)/2+Engage!E230</f>
        <v>0</v>
      </c>
      <c r="F787" s="226">
        <f>(C410*Engage!F49+C411*Engage!F53)/2+Engage!F230</f>
        <v>0</v>
      </c>
      <c r="G787" s="226">
        <f>(C410*Engage!G49+C411*Engage!G53)/2+Engage!G230</f>
        <v>0</v>
      </c>
      <c r="H787" s="226">
        <f>(C410*Engage!H49+C411*Engage!H53)/2+Engage!H230</f>
        <v>0</v>
      </c>
      <c r="I787" s="226">
        <f>(C410*Engage!I49+C411*Engage!I53)/2+Engage!I230</f>
        <v>0</v>
      </c>
      <c r="J787" s="226">
        <f>(C410*Engage!J49+C411*Engage!J53)/2+Engage!J230</f>
        <v>0</v>
      </c>
      <c r="K787" s="226">
        <f>(C410*Engage!K49+C411*Engage!K53)/2+Engage!K230</f>
        <v>0</v>
      </c>
      <c r="L787" s="226">
        <f>(C410*Engage!L49+C411*Engage!L53)/2+Engage!L230</f>
        <v>0</v>
      </c>
      <c r="M787" s="226">
        <f>(C410*Engage!M49+C411*Engage!M53)/2+Engage!M230</f>
        <v>0</v>
      </c>
      <c r="N787" s="226">
        <f>(C410*Engage!N49+C411*Engage!N53)/2+Engage!N230</f>
        <v>0</v>
      </c>
      <c r="O787" s="226">
        <f>(C410*Engage!O49+C411*Engage!O53)/2+Engage!O230</f>
        <v>0</v>
      </c>
      <c r="P787" s="226">
        <f>(C410*Engage!P49+C411*Engage!P53)/2+Engage!P230</f>
        <v>0</v>
      </c>
      <c r="Q787" s="226">
        <f>(C410*Engage!Q49+C411*Engage!Q53)/2+Engage!Q230</f>
        <v>0</v>
      </c>
      <c r="R787" s="226">
        <f>(C410*Engage!R49+C411*Engage!R53)/2+Engage!R230</f>
        <v>0</v>
      </c>
      <c r="S787" s="279">
        <f>(C410*Engage!S49+C411*Engage!S53)/2+Engage!S230</f>
        <v>0</v>
      </c>
    </row>
    <row r="788" spans="1:19" ht="12.75" customHeight="1" x14ac:dyDescent="0.2">
      <c r="A788" s="198" t="str">
        <f>"      "&amp;Labels!B318</f>
        <v xml:space="preserve">      Channels 2</v>
      </c>
      <c r="B788" s="226">
        <f>(C410*Engage!B49+C411*Engage!B53)/2+Engage!B231</f>
        <v>0</v>
      </c>
      <c r="C788" s="226">
        <f>(C410*Engage!C49+C411*Engage!C53)/2+Engage!C231</f>
        <v>0</v>
      </c>
      <c r="D788" s="226">
        <f>(C410*Engage!D49+C411*Engage!D53)/2+Engage!D231</f>
        <v>0</v>
      </c>
      <c r="E788" s="226">
        <f>(C410*Engage!E49+C411*Engage!E53)/2+Engage!E231</f>
        <v>0</v>
      </c>
      <c r="F788" s="226">
        <f>(C410*Engage!F49+C411*Engage!F53)/2+Engage!F231</f>
        <v>0</v>
      </c>
      <c r="G788" s="226">
        <f>(C410*Engage!G49+C411*Engage!G53)/2+Engage!G231</f>
        <v>0</v>
      </c>
      <c r="H788" s="226">
        <f>(C410*Engage!H49+C411*Engage!H53)/2+Engage!H231</f>
        <v>0</v>
      </c>
      <c r="I788" s="226">
        <f>(C410*Engage!I49+C411*Engage!I53)/2+Engage!I231</f>
        <v>0</v>
      </c>
      <c r="J788" s="226">
        <f>(C410*Engage!J49+C411*Engage!J53)/2+Engage!J231</f>
        <v>0</v>
      </c>
      <c r="K788" s="226">
        <f>(C410*Engage!K49+C411*Engage!K53)/2+Engage!K231</f>
        <v>0</v>
      </c>
      <c r="L788" s="226">
        <f>(C410*Engage!L49+C411*Engage!L53)/2+Engage!L231</f>
        <v>0</v>
      </c>
      <c r="M788" s="226">
        <f>(C410*Engage!M49+C411*Engage!M53)/2+Engage!M231</f>
        <v>0</v>
      </c>
      <c r="N788" s="226">
        <f>(C410*Engage!N49+C411*Engage!N53)/2+Engage!N231</f>
        <v>0</v>
      </c>
      <c r="O788" s="226">
        <f>(C410*Engage!O49+C411*Engage!O53)/2+Engage!O231</f>
        <v>0</v>
      </c>
      <c r="P788" s="226">
        <f>(C410*Engage!P49+C411*Engage!P53)/2+Engage!P231</f>
        <v>0</v>
      </c>
      <c r="Q788" s="226">
        <f>(C410*Engage!Q49+C411*Engage!Q53)/2+Engage!Q231</f>
        <v>0</v>
      </c>
      <c r="R788" s="226">
        <f>(C410*Engage!R49+C411*Engage!R53)/2+Engage!R231</f>
        <v>0</v>
      </c>
      <c r="S788" s="279">
        <f>(C410*Engage!S49+C411*Engage!S53)/2+Engage!S231</f>
        <v>0</v>
      </c>
    </row>
    <row r="789" spans="1:19" ht="12.75" customHeight="1" x14ac:dyDescent="0.2">
      <c r="A789" s="188" t="str">
        <f>"      "&amp;Labels!C316</f>
        <v xml:space="preserve">      Total</v>
      </c>
      <c r="B789" s="196">
        <f t="shared" ref="B789:S789" si="433">SUM(B787:B788)</f>
        <v>0</v>
      </c>
      <c r="C789" s="196">
        <f t="shared" si="433"/>
        <v>0</v>
      </c>
      <c r="D789" s="196">
        <f t="shared" si="433"/>
        <v>0</v>
      </c>
      <c r="E789" s="196">
        <f t="shared" si="433"/>
        <v>0</v>
      </c>
      <c r="F789" s="196">
        <f t="shared" si="433"/>
        <v>0</v>
      </c>
      <c r="G789" s="196">
        <f t="shared" si="433"/>
        <v>0</v>
      </c>
      <c r="H789" s="196">
        <f t="shared" si="433"/>
        <v>0</v>
      </c>
      <c r="I789" s="196">
        <f t="shared" si="433"/>
        <v>0</v>
      </c>
      <c r="J789" s="196">
        <f t="shared" si="433"/>
        <v>0</v>
      </c>
      <c r="K789" s="196">
        <f t="shared" si="433"/>
        <v>0</v>
      </c>
      <c r="L789" s="196">
        <f t="shared" si="433"/>
        <v>0</v>
      </c>
      <c r="M789" s="196">
        <f t="shared" si="433"/>
        <v>0</v>
      </c>
      <c r="N789" s="196">
        <f t="shared" si="433"/>
        <v>0</v>
      </c>
      <c r="O789" s="196">
        <f t="shared" si="433"/>
        <v>0</v>
      </c>
      <c r="P789" s="196">
        <f t="shared" si="433"/>
        <v>0</v>
      </c>
      <c r="Q789" s="196">
        <f t="shared" si="433"/>
        <v>0</v>
      </c>
      <c r="R789" s="196">
        <f t="shared" si="433"/>
        <v>0</v>
      </c>
      <c r="S789" s="267">
        <f t="shared" si="433"/>
        <v>0</v>
      </c>
    </row>
    <row r="790" spans="1:19" ht="12.75" customHeight="1" x14ac:dyDescent="0.2">
      <c r="A790" s="191" t="str">
        <f>"   "&amp;Labels!C384</f>
        <v xml:space="preserve">   Total</v>
      </c>
      <c r="B790" s="192">
        <f t="shared" ref="B790:S790" si="434">SUM(B785,B789)</f>
        <v>0</v>
      </c>
      <c r="C790" s="192">
        <f t="shared" si="434"/>
        <v>0</v>
      </c>
      <c r="D790" s="192">
        <f t="shared" si="434"/>
        <v>0</v>
      </c>
      <c r="E790" s="192">
        <f t="shared" si="434"/>
        <v>0</v>
      </c>
      <c r="F790" s="192">
        <f t="shared" si="434"/>
        <v>0</v>
      </c>
      <c r="G790" s="192">
        <f t="shared" si="434"/>
        <v>0</v>
      </c>
      <c r="H790" s="192">
        <f t="shared" si="434"/>
        <v>0</v>
      </c>
      <c r="I790" s="192">
        <f t="shared" si="434"/>
        <v>0</v>
      </c>
      <c r="J790" s="192">
        <f t="shared" si="434"/>
        <v>0</v>
      </c>
      <c r="K790" s="192">
        <f t="shared" si="434"/>
        <v>0</v>
      </c>
      <c r="L790" s="192">
        <f t="shared" si="434"/>
        <v>0</v>
      </c>
      <c r="M790" s="192">
        <f t="shared" si="434"/>
        <v>0</v>
      </c>
      <c r="N790" s="192">
        <f t="shared" si="434"/>
        <v>0</v>
      </c>
      <c r="O790" s="192">
        <f t="shared" si="434"/>
        <v>0</v>
      </c>
      <c r="P790" s="192">
        <f t="shared" si="434"/>
        <v>0</v>
      </c>
      <c r="Q790" s="192">
        <f t="shared" si="434"/>
        <v>0</v>
      </c>
      <c r="R790" s="192">
        <f t="shared" si="434"/>
        <v>0</v>
      </c>
      <c r="S790" s="280">
        <f t="shared" si="434"/>
        <v>0</v>
      </c>
    </row>
    <row r="791" spans="1:19" ht="12.75" customHeight="1" x14ac:dyDescent="0.2">
      <c r="A791" s="198" t="str">
        <f>"      "&amp;Labels!B317</f>
        <v xml:space="preserve">      Channels 1</v>
      </c>
      <c r="B791" s="226">
        <f t="shared" ref="B791:S791" si="435">SUM(B783,B787)</f>
        <v>0</v>
      </c>
      <c r="C791" s="226">
        <f t="shared" si="435"/>
        <v>0</v>
      </c>
      <c r="D791" s="226">
        <f t="shared" si="435"/>
        <v>0</v>
      </c>
      <c r="E791" s="226">
        <f t="shared" si="435"/>
        <v>0</v>
      </c>
      <c r="F791" s="226">
        <f t="shared" si="435"/>
        <v>0</v>
      </c>
      <c r="G791" s="226">
        <f t="shared" si="435"/>
        <v>0</v>
      </c>
      <c r="H791" s="226">
        <f t="shared" si="435"/>
        <v>0</v>
      </c>
      <c r="I791" s="226">
        <f t="shared" si="435"/>
        <v>0</v>
      </c>
      <c r="J791" s="226">
        <f t="shared" si="435"/>
        <v>0</v>
      </c>
      <c r="K791" s="226">
        <f t="shared" si="435"/>
        <v>0</v>
      </c>
      <c r="L791" s="226">
        <f t="shared" si="435"/>
        <v>0</v>
      </c>
      <c r="M791" s="226">
        <f t="shared" si="435"/>
        <v>0</v>
      </c>
      <c r="N791" s="226">
        <f t="shared" si="435"/>
        <v>0</v>
      </c>
      <c r="O791" s="226">
        <f t="shared" si="435"/>
        <v>0</v>
      </c>
      <c r="P791" s="226">
        <f t="shared" si="435"/>
        <v>0</v>
      </c>
      <c r="Q791" s="226">
        <f t="shared" si="435"/>
        <v>0</v>
      </c>
      <c r="R791" s="226">
        <f t="shared" si="435"/>
        <v>0</v>
      </c>
      <c r="S791" s="279">
        <f t="shared" si="435"/>
        <v>0</v>
      </c>
    </row>
    <row r="792" spans="1:19" ht="12.75" customHeight="1" x14ac:dyDescent="0.2">
      <c r="A792" s="198" t="str">
        <f>"      "&amp;Labels!B318</f>
        <v xml:space="preserve">      Channels 2</v>
      </c>
      <c r="B792" s="226">
        <f t="shared" ref="B792:S792" si="436">SUM(B784,B788)</f>
        <v>0</v>
      </c>
      <c r="C792" s="226">
        <f t="shared" si="436"/>
        <v>0</v>
      </c>
      <c r="D792" s="226">
        <f t="shared" si="436"/>
        <v>0</v>
      </c>
      <c r="E792" s="226">
        <f t="shared" si="436"/>
        <v>0</v>
      </c>
      <c r="F792" s="226">
        <f t="shared" si="436"/>
        <v>0</v>
      </c>
      <c r="G792" s="226">
        <f t="shared" si="436"/>
        <v>0</v>
      </c>
      <c r="H792" s="226">
        <f t="shared" si="436"/>
        <v>0</v>
      </c>
      <c r="I792" s="226">
        <f t="shared" si="436"/>
        <v>0</v>
      </c>
      <c r="J792" s="226">
        <f t="shared" si="436"/>
        <v>0</v>
      </c>
      <c r="K792" s="226">
        <f t="shared" si="436"/>
        <v>0</v>
      </c>
      <c r="L792" s="226">
        <f t="shared" si="436"/>
        <v>0</v>
      </c>
      <c r="M792" s="226">
        <f t="shared" si="436"/>
        <v>0</v>
      </c>
      <c r="N792" s="226">
        <f t="shared" si="436"/>
        <v>0</v>
      </c>
      <c r="O792" s="226">
        <f t="shared" si="436"/>
        <v>0</v>
      </c>
      <c r="P792" s="226">
        <f t="shared" si="436"/>
        <v>0</v>
      </c>
      <c r="Q792" s="226">
        <f t="shared" si="436"/>
        <v>0</v>
      </c>
      <c r="R792" s="226">
        <f t="shared" si="436"/>
        <v>0</v>
      </c>
      <c r="S792" s="279">
        <f t="shared" si="436"/>
        <v>0</v>
      </c>
    </row>
    <row r="793" spans="1:19" ht="12.75" customHeight="1" x14ac:dyDescent="0.2">
      <c r="A793" s="188" t="str">
        <f>"      "&amp;Labels!C316</f>
        <v xml:space="preserve">      Total</v>
      </c>
      <c r="B793" s="196">
        <f t="shared" ref="B793:S793" si="437">SUM(B785,B789)</f>
        <v>0</v>
      </c>
      <c r="C793" s="196">
        <f t="shared" si="437"/>
        <v>0</v>
      </c>
      <c r="D793" s="196">
        <f t="shared" si="437"/>
        <v>0</v>
      </c>
      <c r="E793" s="196">
        <f t="shared" si="437"/>
        <v>0</v>
      </c>
      <c r="F793" s="196">
        <f t="shared" si="437"/>
        <v>0</v>
      </c>
      <c r="G793" s="196">
        <f t="shared" si="437"/>
        <v>0</v>
      </c>
      <c r="H793" s="196">
        <f t="shared" si="437"/>
        <v>0</v>
      </c>
      <c r="I793" s="196">
        <f t="shared" si="437"/>
        <v>0</v>
      </c>
      <c r="J793" s="196">
        <f t="shared" si="437"/>
        <v>0</v>
      </c>
      <c r="K793" s="196">
        <f t="shared" si="437"/>
        <v>0</v>
      </c>
      <c r="L793" s="196">
        <f t="shared" si="437"/>
        <v>0</v>
      </c>
      <c r="M793" s="196">
        <f t="shared" si="437"/>
        <v>0</v>
      </c>
      <c r="N793" s="196">
        <f t="shared" si="437"/>
        <v>0</v>
      </c>
      <c r="O793" s="196">
        <f t="shared" si="437"/>
        <v>0</v>
      </c>
      <c r="P793" s="196">
        <f t="shared" si="437"/>
        <v>0</v>
      </c>
      <c r="Q793" s="196">
        <f t="shared" si="437"/>
        <v>0</v>
      </c>
      <c r="R793" s="196">
        <f t="shared" si="437"/>
        <v>0</v>
      </c>
      <c r="S793" s="267">
        <f t="shared" si="437"/>
        <v>0</v>
      </c>
    </row>
    <row r="794" spans="1:19" ht="12.75" customHeight="1" x14ac:dyDescent="0.2">
      <c r="A794" s="97" t="str">
        <f>Labels!C380</f>
        <v>Total</v>
      </c>
      <c r="B794" s="194">
        <f t="shared" ref="B794:S794" si="438">SUM(B777,B790)</f>
        <v>0</v>
      </c>
      <c r="C794" s="194">
        <f t="shared" si="438"/>
        <v>0</v>
      </c>
      <c r="D794" s="194">
        <f t="shared" si="438"/>
        <v>110000</v>
      </c>
      <c r="E794" s="194">
        <f t="shared" si="438"/>
        <v>110000</v>
      </c>
      <c r="F794" s="194">
        <f t="shared" si="438"/>
        <v>0</v>
      </c>
      <c r="G794" s="194">
        <f t="shared" si="438"/>
        <v>80000</v>
      </c>
      <c r="H794" s="194">
        <f t="shared" si="438"/>
        <v>80000</v>
      </c>
      <c r="I794" s="194">
        <f t="shared" si="438"/>
        <v>80000</v>
      </c>
      <c r="J794" s="194">
        <f t="shared" si="438"/>
        <v>0</v>
      </c>
      <c r="K794" s="194">
        <f t="shared" si="438"/>
        <v>0</v>
      </c>
      <c r="L794" s="194">
        <f t="shared" si="438"/>
        <v>0</v>
      </c>
      <c r="M794" s="194">
        <f t="shared" si="438"/>
        <v>0</v>
      </c>
      <c r="N794" s="194">
        <f t="shared" si="438"/>
        <v>0</v>
      </c>
      <c r="O794" s="194">
        <f t="shared" si="438"/>
        <v>0</v>
      </c>
      <c r="P794" s="194">
        <f t="shared" si="438"/>
        <v>0</v>
      </c>
      <c r="Q794" s="194">
        <f t="shared" si="438"/>
        <v>0</v>
      </c>
      <c r="R794" s="194">
        <f t="shared" si="438"/>
        <v>0</v>
      </c>
      <c r="S794" s="351">
        <f t="shared" si="438"/>
        <v>0</v>
      </c>
    </row>
    <row r="795" spans="1:19" ht="12.75" customHeight="1" x14ac:dyDescent="0.2">
      <c r="A795" s="188" t="str">
        <f>"   "&amp;Labels!B385</f>
        <v xml:space="preserve">   Prof Level 1</v>
      </c>
      <c r="B795" s="196"/>
      <c r="C795" s="196"/>
      <c r="D795" s="196"/>
      <c r="E795" s="196"/>
      <c r="F795" s="196"/>
      <c r="G795" s="196"/>
      <c r="H795" s="196"/>
      <c r="I795" s="196"/>
      <c r="J795" s="196"/>
      <c r="K795" s="196"/>
      <c r="L795" s="196"/>
      <c r="M795" s="196"/>
      <c r="N795" s="196"/>
      <c r="O795" s="196"/>
      <c r="P795" s="196"/>
      <c r="Q795" s="196"/>
      <c r="R795" s="196"/>
      <c r="S795" s="267"/>
    </row>
    <row r="796" spans="1:19" ht="12.75" customHeight="1" x14ac:dyDescent="0.2">
      <c r="A796" s="198" t="str">
        <f>"      "&amp;Labels!B317</f>
        <v xml:space="preserve">      Channels 1</v>
      </c>
      <c r="B796" s="226">
        <f t="shared" ref="B796:S796" si="439">SUM(B770,B783)</f>
        <v>0</v>
      </c>
      <c r="C796" s="226">
        <f t="shared" si="439"/>
        <v>0</v>
      </c>
      <c r="D796" s="226">
        <f t="shared" si="439"/>
        <v>27500</v>
      </c>
      <c r="E796" s="226">
        <f t="shared" si="439"/>
        <v>27500</v>
      </c>
      <c r="F796" s="226">
        <f t="shared" si="439"/>
        <v>0</v>
      </c>
      <c r="G796" s="226">
        <f t="shared" si="439"/>
        <v>20000</v>
      </c>
      <c r="H796" s="226">
        <f t="shared" si="439"/>
        <v>20000</v>
      </c>
      <c r="I796" s="226">
        <f t="shared" si="439"/>
        <v>20000</v>
      </c>
      <c r="J796" s="226">
        <f t="shared" si="439"/>
        <v>0</v>
      </c>
      <c r="K796" s="226">
        <f t="shared" si="439"/>
        <v>0</v>
      </c>
      <c r="L796" s="226">
        <f t="shared" si="439"/>
        <v>0</v>
      </c>
      <c r="M796" s="226">
        <f t="shared" si="439"/>
        <v>0</v>
      </c>
      <c r="N796" s="226">
        <f t="shared" si="439"/>
        <v>0</v>
      </c>
      <c r="O796" s="226">
        <f t="shared" si="439"/>
        <v>0</v>
      </c>
      <c r="P796" s="226">
        <f t="shared" si="439"/>
        <v>0</v>
      </c>
      <c r="Q796" s="226">
        <f t="shared" si="439"/>
        <v>0</v>
      </c>
      <c r="R796" s="226">
        <f t="shared" si="439"/>
        <v>0</v>
      </c>
      <c r="S796" s="279">
        <f t="shared" si="439"/>
        <v>0</v>
      </c>
    </row>
    <row r="797" spans="1:19" ht="12.75" customHeight="1" x14ac:dyDescent="0.2">
      <c r="A797" s="198" t="str">
        <f>"      "&amp;Labels!B318</f>
        <v xml:space="preserve">      Channels 2</v>
      </c>
      <c r="B797" s="226">
        <f t="shared" ref="B797:S797" si="440">SUM(B771,B784)</f>
        <v>0</v>
      </c>
      <c r="C797" s="226">
        <f t="shared" si="440"/>
        <v>0</v>
      </c>
      <c r="D797" s="226">
        <f t="shared" si="440"/>
        <v>27500</v>
      </c>
      <c r="E797" s="226">
        <f t="shared" si="440"/>
        <v>27500</v>
      </c>
      <c r="F797" s="226">
        <f t="shared" si="440"/>
        <v>0</v>
      </c>
      <c r="G797" s="226">
        <f t="shared" si="440"/>
        <v>20000</v>
      </c>
      <c r="H797" s="226">
        <f t="shared" si="440"/>
        <v>20000</v>
      </c>
      <c r="I797" s="226">
        <f t="shared" si="440"/>
        <v>20000</v>
      </c>
      <c r="J797" s="226">
        <f t="shared" si="440"/>
        <v>0</v>
      </c>
      <c r="K797" s="226">
        <f t="shared" si="440"/>
        <v>0</v>
      </c>
      <c r="L797" s="226">
        <f t="shared" si="440"/>
        <v>0</v>
      </c>
      <c r="M797" s="226">
        <f t="shared" si="440"/>
        <v>0</v>
      </c>
      <c r="N797" s="226">
        <f t="shared" si="440"/>
        <v>0</v>
      </c>
      <c r="O797" s="226">
        <f t="shared" si="440"/>
        <v>0</v>
      </c>
      <c r="P797" s="226">
        <f t="shared" si="440"/>
        <v>0</v>
      </c>
      <c r="Q797" s="226">
        <f t="shared" si="440"/>
        <v>0</v>
      </c>
      <c r="R797" s="226">
        <f t="shared" si="440"/>
        <v>0</v>
      </c>
      <c r="S797" s="279">
        <f t="shared" si="440"/>
        <v>0</v>
      </c>
    </row>
    <row r="798" spans="1:19" ht="12.75" customHeight="1" x14ac:dyDescent="0.2">
      <c r="A798" s="188" t="str">
        <f>"      "&amp;Labels!C316</f>
        <v xml:space="preserve">      Total</v>
      </c>
      <c r="B798" s="196">
        <f t="shared" ref="B798:S798" si="441">SUM(B772,B785)</f>
        <v>0</v>
      </c>
      <c r="C798" s="196">
        <f t="shared" si="441"/>
        <v>0</v>
      </c>
      <c r="D798" s="196">
        <f t="shared" si="441"/>
        <v>55000</v>
      </c>
      <c r="E798" s="196">
        <f t="shared" si="441"/>
        <v>55000</v>
      </c>
      <c r="F798" s="196">
        <f t="shared" si="441"/>
        <v>0</v>
      </c>
      <c r="G798" s="196">
        <f t="shared" si="441"/>
        <v>40000</v>
      </c>
      <c r="H798" s="196">
        <f t="shared" si="441"/>
        <v>40000</v>
      </c>
      <c r="I798" s="196">
        <f t="shared" si="441"/>
        <v>40000</v>
      </c>
      <c r="J798" s="196">
        <f t="shared" si="441"/>
        <v>0</v>
      </c>
      <c r="K798" s="196">
        <f t="shared" si="441"/>
        <v>0</v>
      </c>
      <c r="L798" s="196">
        <f t="shared" si="441"/>
        <v>0</v>
      </c>
      <c r="M798" s="196">
        <f t="shared" si="441"/>
        <v>0</v>
      </c>
      <c r="N798" s="196">
        <f t="shared" si="441"/>
        <v>0</v>
      </c>
      <c r="O798" s="196">
        <f t="shared" si="441"/>
        <v>0</v>
      </c>
      <c r="P798" s="196">
        <f t="shared" si="441"/>
        <v>0</v>
      </c>
      <c r="Q798" s="196">
        <f t="shared" si="441"/>
        <v>0</v>
      </c>
      <c r="R798" s="196">
        <f t="shared" si="441"/>
        <v>0</v>
      </c>
      <c r="S798" s="267">
        <f t="shared" si="441"/>
        <v>0</v>
      </c>
    </row>
    <row r="799" spans="1:19" ht="12.75" customHeight="1" x14ac:dyDescent="0.2">
      <c r="A799" s="188" t="str">
        <f>"   "&amp;Labels!B386</f>
        <v xml:space="preserve">   Prof Level 2</v>
      </c>
      <c r="B799" s="196"/>
      <c r="C799" s="196"/>
      <c r="D799" s="196"/>
      <c r="E799" s="196"/>
      <c r="F799" s="196"/>
      <c r="G799" s="196"/>
      <c r="H799" s="196"/>
      <c r="I799" s="196"/>
      <c r="J799" s="196"/>
      <c r="K799" s="196"/>
      <c r="L799" s="196"/>
      <c r="M799" s="196"/>
      <c r="N799" s="196"/>
      <c r="O799" s="196"/>
      <c r="P799" s="196"/>
      <c r="Q799" s="196"/>
      <c r="R799" s="196"/>
      <c r="S799" s="267"/>
    </row>
    <row r="800" spans="1:19" ht="12.75" customHeight="1" x14ac:dyDescent="0.2">
      <c r="A800" s="198" t="str">
        <f>"      "&amp;Labels!B317</f>
        <v xml:space="preserve">      Channels 1</v>
      </c>
      <c r="B800" s="226">
        <f t="shared" ref="B800:S800" si="442">SUM(B774,B787)</f>
        <v>0</v>
      </c>
      <c r="C800" s="226">
        <f t="shared" si="442"/>
        <v>0</v>
      </c>
      <c r="D800" s="226">
        <f t="shared" si="442"/>
        <v>27500</v>
      </c>
      <c r="E800" s="226">
        <f t="shared" si="442"/>
        <v>27500</v>
      </c>
      <c r="F800" s="226">
        <f t="shared" si="442"/>
        <v>0</v>
      </c>
      <c r="G800" s="226">
        <f t="shared" si="442"/>
        <v>20000</v>
      </c>
      <c r="H800" s="226">
        <f t="shared" si="442"/>
        <v>20000</v>
      </c>
      <c r="I800" s="226">
        <f t="shared" si="442"/>
        <v>20000</v>
      </c>
      <c r="J800" s="226">
        <f t="shared" si="442"/>
        <v>0</v>
      </c>
      <c r="K800" s="226">
        <f t="shared" si="442"/>
        <v>0</v>
      </c>
      <c r="L800" s="226">
        <f t="shared" si="442"/>
        <v>0</v>
      </c>
      <c r="M800" s="226">
        <f t="shared" si="442"/>
        <v>0</v>
      </c>
      <c r="N800" s="226">
        <f t="shared" si="442"/>
        <v>0</v>
      </c>
      <c r="O800" s="226">
        <f t="shared" si="442"/>
        <v>0</v>
      </c>
      <c r="P800" s="226">
        <f t="shared" si="442"/>
        <v>0</v>
      </c>
      <c r="Q800" s="226">
        <f t="shared" si="442"/>
        <v>0</v>
      </c>
      <c r="R800" s="226">
        <f t="shared" si="442"/>
        <v>0</v>
      </c>
      <c r="S800" s="279">
        <f t="shared" si="442"/>
        <v>0</v>
      </c>
    </row>
    <row r="801" spans="1:19" ht="12.75" customHeight="1" x14ac:dyDescent="0.2">
      <c r="A801" s="198" t="str">
        <f>"      "&amp;Labels!B318</f>
        <v xml:space="preserve">      Channels 2</v>
      </c>
      <c r="B801" s="226">
        <f t="shared" ref="B801:S801" si="443">SUM(B775,B788)</f>
        <v>0</v>
      </c>
      <c r="C801" s="226">
        <f t="shared" si="443"/>
        <v>0</v>
      </c>
      <c r="D801" s="226">
        <f t="shared" si="443"/>
        <v>27500</v>
      </c>
      <c r="E801" s="226">
        <f t="shared" si="443"/>
        <v>27500</v>
      </c>
      <c r="F801" s="226">
        <f t="shared" si="443"/>
        <v>0</v>
      </c>
      <c r="G801" s="226">
        <f t="shared" si="443"/>
        <v>20000</v>
      </c>
      <c r="H801" s="226">
        <f t="shared" si="443"/>
        <v>20000</v>
      </c>
      <c r="I801" s="226">
        <f t="shared" si="443"/>
        <v>20000</v>
      </c>
      <c r="J801" s="226">
        <f t="shared" si="443"/>
        <v>0</v>
      </c>
      <c r="K801" s="226">
        <f t="shared" si="443"/>
        <v>0</v>
      </c>
      <c r="L801" s="226">
        <f t="shared" si="443"/>
        <v>0</v>
      </c>
      <c r="M801" s="226">
        <f t="shared" si="443"/>
        <v>0</v>
      </c>
      <c r="N801" s="226">
        <f t="shared" si="443"/>
        <v>0</v>
      </c>
      <c r="O801" s="226">
        <f t="shared" si="443"/>
        <v>0</v>
      </c>
      <c r="P801" s="226">
        <f t="shared" si="443"/>
        <v>0</v>
      </c>
      <c r="Q801" s="226">
        <f t="shared" si="443"/>
        <v>0</v>
      </c>
      <c r="R801" s="226">
        <f t="shared" si="443"/>
        <v>0</v>
      </c>
      <c r="S801" s="279">
        <f t="shared" si="443"/>
        <v>0</v>
      </c>
    </row>
    <row r="802" spans="1:19" ht="12.75" customHeight="1" x14ac:dyDescent="0.2">
      <c r="A802" s="188" t="str">
        <f>"      "&amp;Labels!C316</f>
        <v xml:space="preserve">      Total</v>
      </c>
      <c r="B802" s="196">
        <f t="shared" ref="B802:S802" si="444">SUM(B776,B789)</f>
        <v>0</v>
      </c>
      <c r="C802" s="196">
        <f t="shared" si="444"/>
        <v>0</v>
      </c>
      <c r="D802" s="196">
        <f t="shared" si="444"/>
        <v>55000</v>
      </c>
      <c r="E802" s="196">
        <f t="shared" si="444"/>
        <v>55000</v>
      </c>
      <c r="F802" s="196">
        <f t="shared" si="444"/>
        <v>0</v>
      </c>
      <c r="G802" s="196">
        <f t="shared" si="444"/>
        <v>40000</v>
      </c>
      <c r="H802" s="196">
        <f t="shared" si="444"/>
        <v>40000</v>
      </c>
      <c r="I802" s="196">
        <f t="shared" si="444"/>
        <v>40000</v>
      </c>
      <c r="J802" s="196">
        <f t="shared" si="444"/>
        <v>0</v>
      </c>
      <c r="K802" s="196">
        <f t="shared" si="444"/>
        <v>0</v>
      </c>
      <c r="L802" s="196">
        <f t="shared" si="444"/>
        <v>0</v>
      </c>
      <c r="M802" s="196">
        <f t="shared" si="444"/>
        <v>0</v>
      </c>
      <c r="N802" s="196">
        <f t="shared" si="444"/>
        <v>0</v>
      </c>
      <c r="O802" s="196">
        <f t="shared" si="444"/>
        <v>0</v>
      </c>
      <c r="P802" s="196">
        <f t="shared" si="444"/>
        <v>0</v>
      </c>
      <c r="Q802" s="196">
        <f t="shared" si="444"/>
        <v>0</v>
      </c>
      <c r="R802" s="196">
        <f t="shared" si="444"/>
        <v>0</v>
      </c>
      <c r="S802" s="267">
        <f t="shared" si="444"/>
        <v>0</v>
      </c>
    </row>
    <row r="803" spans="1:19" ht="12.75" customHeight="1" x14ac:dyDescent="0.2">
      <c r="A803" s="191" t="str">
        <f>"   "&amp;Labels!C384</f>
        <v xml:space="preserve">   Total</v>
      </c>
      <c r="B803" s="192">
        <f t="shared" ref="B803:S803" si="445">SUM(B777,B790)</f>
        <v>0</v>
      </c>
      <c r="C803" s="192">
        <f t="shared" si="445"/>
        <v>0</v>
      </c>
      <c r="D803" s="192">
        <f t="shared" si="445"/>
        <v>110000</v>
      </c>
      <c r="E803" s="192">
        <f t="shared" si="445"/>
        <v>110000</v>
      </c>
      <c r="F803" s="192">
        <f t="shared" si="445"/>
        <v>0</v>
      </c>
      <c r="G803" s="192">
        <f t="shared" si="445"/>
        <v>80000</v>
      </c>
      <c r="H803" s="192">
        <f t="shared" si="445"/>
        <v>80000</v>
      </c>
      <c r="I803" s="192">
        <f t="shared" si="445"/>
        <v>80000</v>
      </c>
      <c r="J803" s="192">
        <f t="shared" si="445"/>
        <v>0</v>
      </c>
      <c r="K803" s="192">
        <f t="shared" si="445"/>
        <v>0</v>
      </c>
      <c r="L803" s="192">
        <f t="shared" si="445"/>
        <v>0</v>
      </c>
      <c r="M803" s="192">
        <f t="shared" si="445"/>
        <v>0</v>
      </c>
      <c r="N803" s="192">
        <f t="shared" si="445"/>
        <v>0</v>
      </c>
      <c r="O803" s="192">
        <f t="shared" si="445"/>
        <v>0</v>
      </c>
      <c r="P803" s="192">
        <f t="shared" si="445"/>
        <v>0</v>
      </c>
      <c r="Q803" s="192">
        <f t="shared" si="445"/>
        <v>0</v>
      </c>
      <c r="R803" s="192">
        <f t="shared" si="445"/>
        <v>0</v>
      </c>
      <c r="S803" s="280">
        <f t="shared" si="445"/>
        <v>0</v>
      </c>
    </row>
    <row r="804" spans="1:19" ht="12.75" customHeight="1" x14ac:dyDescent="0.2">
      <c r="A804" s="198" t="str">
        <f>"      "&amp;Labels!B317</f>
        <v xml:space="preserve">      Channels 1</v>
      </c>
      <c r="B804" s="226">
        <f t="shared" ref="B804:S804" si="446">SUM(B778,B791)</f>
        <v>0</v>
      </c>
      <c r="C804" s="226">
        <f t="shared" si="446"/>
        <v>0</v>
      </c>
      <c r="D804" s="226">
        <f t="shared" si="446"/>
        <v>55000</v>
      </c>
      <c r="E804" s="226">
        <f t="shared" si="446"/>
        <v>55000</v>
      </c>
      <c r="F804" s="226">
        <f t="shared" si="446"/>
        <v>0</v>
      </c>
      <c r="G804" s="226">
        <f t="shared" si="446"/>
        <v>40000</v>
      </c>
      <c r="H804" s="226">
        <f t="shared" si="446"/>
        <v>40000</v>
      </c>
      <c r="I804" s="226">
        <f t="shared" si="446"/>
        <v>40000</v>
      </c>
      <c r="J804" s="226">
        <f t="shared" si="446"/>
        <v>0</v>
      </c>
      <c r="K804" s="226">
        <f t="shared" si="446"/>
        <v>0</v>
      </c>
      <c r="L804" s="226">
        <f t="shared" si="446"/>
        <v>0</v>
      </c>
      <c r="M804" s="226">
        <f t="shared" si="446"/>
        <v>0</v>
      </c>
      <c r="N804" s="226">
        <f t="shared" si="446"/>
        <v>0</v>
      </c>
      <c r="O804" s="226">
        <f t="shared" si="446"/>
        <v>0</v>
      </c>
      <c r="P804" s="226">
        <f t="shared" si="446"/>
        <v>0</v>
      </c>
      <c r="Q804" s="226">
        <f t="shared" si="446"/>
        <v>0</v>
      </c>
      <c r="R804" s="226">
        <f t="shared" si="446"/>
        <v>0</v>
      </c>
      <c r="S804" s="279">
        <f t="shared" si="446"/>
        <v>0</v>
      </c>
    </row>
    <row r="805" spans="1:19" ht="12.75" customHeight="1" x14ac:dyDescent="0.2">
      <c r="A805" s="198" t="str">
        <f>"      "&amp;Labels!B318</f>
        <v xml:space="preserve">      Channels 2</v>
      </c>
      <c r="B805" s="226">
        <f t="shared" ref="B805:S805" si="447">SUM(B779,B792)</f>
        <v>0</v>
      </c>
      <c r="C805" s="226">
        <f t="shared" si="447"/>
        <v>0</v>
      </c>
      <c r="D805" s="226">
        <f t="shared" si="447"/>
        <v>55000</v>
      </c>
      <c r="E805" s="226">
        <f t="shared" si="447"/>
        <v>55000</v>
      </c>
      <c r="F805" s="226">
        <f t="shared" si="447"/>
        <v>0</v>
      </c>
      <c r="G805" s="226">
        <f t="shared" si="447"/>
        <v>40000</v>
      </c>
      <c r="H805" s="226">
        <f t="shared" si="447"/>
        <v>40000</v>
      </c>
      <c r="I805" s="226">
        <f t="shared" si="447"/>
        <v>40000</v>
      </c>
      <c r="J805" s="226">
        <f t="shared" si="447"/>
        <v>0</v>
      </c>
      <c r="K805" s="226">
        <f t="shared" si="447"/>
        <v>0</v>
      </c>
      <c r="L805" s="226">
        <f t="shared" si="447"/>
        <v>0</v>
      </c>
      <c r="M805" s="226">
        <f t="shared" si="447"/>
        <v>0</v>
      </c>
      <c r="N805" s="226">
        <f t="shared" si="447"/>
        <v>0</v>
      </c>
      <c r="O805" s="226">
        <f t="shared" si="447"/>
        <v>0</v>
      </c>
      <c r="P805" s="226">
        <f t="shared" si="447"/>
        <v>0</v>
      </c>
      <c r="Q805" s="226">
        <f t="shared" si="447"/>
        <v>0</v>
      </c>
      <c r="R805" s="226">
        <f t="shared" si="447"/>
        <v>0</v>
      </c>
      <c r="S805" s="279">
        <f t="shared" si="447"/>
        <v>0</v>
      </c>
    </row>
    <row r="806" spans="1:19" ht="12.75" customHeight="1" x14ac:dyDescent="0.2">
      <c r="A806" s="220" t="str">
        <f>"      "&amp;Labels!C316</f>
        <v xml:space="preserve">      Total</v>
      </c>
      <c r="B806" s="228">
        <f t="shared" ref="B806:S806" si="448">SUM(B777,B790)</f>
        <v>0</v>
      </c>
      <c r="C806" s="228">
        <f t="shared" si="448"/>
        <v>0</v>
      </c>
      <c r="D806" s="228">
        <f t="shared" si="448"/>
        <v>110000</v>
      </c>
      <c r="E806" s="228">
        <f t="shared" si="448"/>
        <v>110000</v>
      </c>
      <c r="F806" s="228">
        <f t="shared" si="448"/>
        <v>0</v>
      </c>
      <c r="G806" s="228">
        <f t="shared" si="448"/>
        <v>80000</v>
      </c>
      <c r="H806" s="228">
        <f t="shared" si="448"/>
        <v>80000</v>
      </c>
      <c r="I806" s="228">
        <f t="shared" si="448"/>
        <v>80000</v>
      </c>
      <c r="J806" s="228">
        <f t="shared" si="448"/>
        <v>0</v>
      </c>
      <c r="K806" s="228">
        <f t="shared" si="448"/>
        <v>0</v>
      </c>
      <c r="L806" s="228">
        <f t="shared" si="448"/>
        <v>0</v>
      </c>
      <c r="M806" s="228">
        <f t="shared" si="448"/>
        <v>0</v>
      </c>
      <c r="N806" s="228">
        <f t="shared" si="448"/>
        <v>0</v>
      </c>
      <c r="O806" s="228">
        <f t="shared" si="448"/>
        <v>0</v>
      </c>
      <c r="P806" s="228">
        <f t="shared" si="448"/>
        <v>0</v>
      </c>
      <c r="Q806" s="228">
        <f t="shared" si="448"/>
        <v>0</v>
      </c>
      <c r="R806" s="228">
        <f t="shared" si="448"/>
        <v>0</v>
      </c>
      <c r="S806" s="281">
        <f t="shared" si="448"/>
        <v>0</v>
      </c>
    </row>
    <row r="807" spans="1:19" ht="12.75" customHeight="1" x14ac:dyDescent="0.2">
      <c r="A807" s="1" t="str">
        <f>Labels!B86</f>
        <v>Revenue at Nominal Fees</v>
      </c>
    </row>
    <row r="808" spans="1:19" ht="12.75" customHeight="1" x14ac:dyDescent="0.2">
      <c r="B808" s="9" t="str">
        <f>'(FnCalls 1)'!F41</f>
        <v>MMM 2010</v>
      </c>
      <c r="C808" s="10" t="str">
        <f>'(FnCalls 1)'!F42</f>
        <v>MMM 2010</v>
      </c>
      <c r="D808" s="10" t="str">
        <f>'(FnCalls 1)'!F43</f>
        <v>MMM 2010</v>
      </c>
      <c r="E808" s="10" t="str">
        <f>'(FnCalls 1)'!F44</f>
        <v>MMM 2010</v>
      </c>
      <c r="F808" s="10" t="str">
        <f>'(FnCalls 1)'!F45</f>
        <v>MMM 2010</v>
      </c>
      <c r="G808" s="10" t="str">
        <f>'(FnCalls 1)'!F46</f>
        <v>MMM 2010</v>
      </c>
      <c r="H808" s="10" t="str">
        <f>'(FnCalls 1)'!F47</f>
        <v>MMM 2010</v>
      </c>
      <c r="I808" s="10" t="str">
        <f>'(FnCalls 1)'!F48</f>
        <v>MMM 2010</v>
      </c>
      <c r="J808" s="10" t="str">
        <f>'(FnCalls 1)'!F49</f>
        <v>MMM 2010</v>
      </c>
      <c r="K808" s="10" t="str">
        <f>'(FnCalls 1)'!F50</f>
        <v>MMM 2010</v>
      </c>
      <c r="L808" s="10" t="str">
        <f>'(FnCalls 1)'!F51</f>
        <v>MMM 2010</v>
      </c>
      <c r="M808" s="10" t="str">
        <f>'(FnCalls 1)'!F52</f>
        <v>MMM 2010</v>
      </c>
      <c r="N808" s="10" t="str">
        <f>'(FnCalls 1)'!F53</f>
        <v>MMM 2011</v>
      </c>
      <c r="O808" s="10" t="str">
        <f>'(FnCalls 1)'!F54</f>
        <v>MMM 2011</v>
      </c>
      <c r="P808" s="10" t="str">
        <f>'(FnCalls 1)'!F55</f>
        <v>MMM 2011</v>
      </c>
      <c r="Q808" s="10" t="str">
        <f>'(FnCalls 1)'!F56</f>
        <v>MMM 2011</v>
      </c>
      <c r="R808" s="10" t="str">
        <f>'(FnCalls 1)'!F57</f>
        <v>MMM 2011</v>
      </c>
      <c r="S808" s="11" t="str">
        <f>'(FnCalls 1)'!F58</f>
        <v>MMM 2011</v>
      </c>
    </row>
    <row r="809" spans="1:19" ht="12.75" customHeight="1" x14ac:dyDescent="0.2">
      <c r="A809" s="182" t="str">
        <f>Labels!B345</f>
        <v>Engage 1</v>
      </c>
      <c r="B809" s="183"/>
      <c r="C809" s="183"/>
      <c r="D809" s="183"/>
      <c r="E809" s="183"/>
      <c r="F809" s="183"/>
      <c r="G809" s="183"/>
      <c r="H809" s="183"/>
      <c r="I809" s="183"/>
      <c r="J809" s="183"/>
      <c r="K809" s="183"/>
      <c r="L809" s="183"/>
      <c r="M809" s="183"/>
      <c r="N809" s="183"/>
      <c r="O809" s="183"/>
      <c r="P809" s="183"/>
      <c r="Q809" s="183"/>
      <c r="R809" s="183"/>
      <c r="S809" s="266"/>
    </row>
    <row r="810" spans="1:19" ht="12.75" customHeight="1" x14ac:dyDescent="0.2">
      <c r="A810" s="188" t="str">
        <f>"   "&amp;Labels!B385</f>
        <v xml:space="preserve">   Prof Level 1</v>
      </c>
      <c r="B810" s="196">
        <f>Engage!B177*INDEX('(Ranges)'!A28:B28,,MATCH(Inputs!F13,'(Ranges)'!A29:B29,0))*1+Engage!B177*INDEX('(Ranges)'!A28:B28,,MATCH(Inputs!F13,'(Ranges)'!A29:B29,0))*(-(B410*Inputs!F143+C410*Inputs!F145))</f>
        <v>0</v>
      </c>
      <c r="C810" s="196">
        <f>Engage!C177*INDEX('(Ranges)'!A30:B30,,MATCH(Inputs!F13,'(Ranges)'!A29:B29,0))*1+Engage!C177*INDEX('(Ranges)'!A30:B30,,MATCH(Inputs!F13,'(Ranges)'!A29:B29,0))*(-(B410*Inputs!G143+C410*Inputs!G145))</f>
        <v>0</v>
      </c>
      <c r="D810" s="196">
        <f>Engage!D177*INDEX('(Ranges)'!A31:B31,,MATCH(Inputs!F13,'(Ranges)'!A29:B29,0))*1+Engage!D177*INDEX('(Ranges)'!A31:B31,,MATCH(Inputs!F13,'(Ranges)'!A29:B29,0))*(-(B410*Inputs!H143+C410*Inputs!H145))</f>
        <v>55000</v>
      </c>
      <c r="E810" s="196">
        <f>Engage!E177*INDEX('(Ranges)'!A32:B32,,MATCH(Inputs!F13,'(Ranges)'!A29:B29,0))*1+Engage!E177*INDEX('(Ranges)'!A32:B32,,MATCH(Inputs!F13,'(Ranges)'!A29:B29,0))*(-(B410*Inputs!I143+C410*Inputs!I145))</f>
        <v>55000</v>
      </c>
      <c r="F810" s="196">
        <f>Engage!F177*INDEX('(Ranges)'!A33:B33,,MATCH(Inputs!F13,'(Ranges)'!A29:B29,0))*1+Engage!F177*INDEX('(Ranges)'!A33:B33,,MATCH(Inputs!F13,'(Ranges)'!A29:B29,0))*(-(B410*Inputs!J143+C410*Inputs!J145))</f>
        <v>0</v>
      </c>
      <c r="G810" s="196">
        <f>Engage!G177*INDEX('(Ranges)'!A34:B34,,MATCH(Inputs!F13,'(Ranges)'!A29:B29,0))*1+Engage!G177*INDEX('(Ranges)'!A34:B34,,MATCH(Inputs!F13,'(Ranges)'!A29:B29,0))*(-(B410*Inputs!K143+C410*Inputs!K145))</f>
        <v>0</v>
      </c>
      <c r="H810" s="196">
        <f>Engage!H177*INDEX('(Ranges)'!A35:B35,,MATCH(Inputs!F13,'(Ranges)'!A29:B29,0))*1+Engage!H177*INDEX('(Ranges)'!A35:B35,,MATCH(Inputs!F13,'(Ranges)'!A29:B29,0))*(-(B410*Inputs!L143+C410*Inputs!L145))</f>
        <v>0</v>
      </c>
      <c r="I810" s="196">
        <f>Engage!I177*INDEX('(Ranges)'!A36:B36,,MATCH(Inputs!F13,'(Ranges)'!A29:B29,0))*1+Engage!I177*INDEX('(Ranges)'!A36:B36,,MATCH(Inputs!F13,'(Ranges)'!A29:B29,0))*(-(B410*Inputs!M143+C410*Inputs!M145))</f>
        <v>0</v>
      </c>
      <c r="J810" s="196">
        <f>Engage!J177*INDEX('(Ranges)'!A37:B37,,MATCH(Inputs!F13,'(Ranges)'!A29:B29,0))*1+Engage!J177*INDEX('(Ranges)'!A37:B37,,MATCH(Inputs!F13,'(Ranges)'!A29:B29,0))*(-(B410*Inputs!N143+C410*Inputs!N145))</f>
        <v>0</v>
      </c>
      <c r="K810" s="196">
        <f>Engage!K177*INDEX('(Ranges)'!A38:B38,,MATCH(Inputs!F13,'(Ranges)'!A29:B29,0))*1+Engage!K177*INDEX('(Ranges)'!A38:B38,,MATCH(Inputs!F13,'(Ranges)'!A29:B29,0))*(-(B410*Inputs!O143+C410*Inputs!O145))</f>
        <v>0</v>
      </c>
      <c r="L810" s="196">
        <f>Engage!L177*INDEX('(Ranges)'!A39:B39,,MATCH(Inputs!F13,'(Ranges)'!A29:B29,0))*1+Engage!L177*INDEX('(Ranges)'!A39:B39,,MATCH(Inputs!F13,'(Ranges)'!A29:B29,0))*(-(B410*Inputs!P143+C410*Inputs!P145))</f>
        <v>0</v>
      </c>
      <c r="M810" s="196">
        <f>Engage!M177*INDEX('(Ranges)'!A40:B40,,MATCH(Inputs!F13,'(Ranges)'!A29:B29,0))*1+Engage!M177*INDEX('(Ranges)'!A40:B40,,MATCH(Inputs!F13,'(Ranges)'!A29:B29,0))*(-(B410*Inputs!Q143+C410*Inputs!Q145))</f>
        <v>0</v>
      </c>
      <c r="N810" s="196">
        <f>Engage!N177*INDEX('(Ranges)'!A41:B41,,MATCH(Inputs!F13,'(Ranges)'!A29:B29,0))*1+Engage!N177*INDEX('(Ranges)'!A41:B41,,MATCH(Inputs!F13,'(Ranges)'!A29:B29,0))*(-(B410*Inputs!R143+C410*Inputs!R145))</f>
        <v>0</v>
      </c>
      <c r="O810" s="196">
        <f>Engage!O177*INDEX('(Ranges)'!A42:B42,,MATCH(Inputs!F13,'(Ranges)'!A29:B29,0))*1+Engage!O177*INDEX('(Ranges)'!A42:B42,,MATCH(Inputs!F13,'(Ranges)'!A29:B29,0))*(-(B410*Inputs!S143+C410*Inputs!S145))</f>
        <v>0</v>
      </c>
      <c r="P810" s="196">
        <f>Engage!P177*INDEX('(Ranges)'!A43:B43,,MATCH(Inputs!F13,'(Ranges)'!A29:B29,0))*1+Engage!P177*INDEX('(Ranges)'!A43:B43,,MATCH(Inputs!F13,'(Ranges)'!A29:B29,0))*(-(B410*Inputs!T143+C410*Inputs!T145))</f>
        <v>0</v>
      </c>
      <c r="Q810" s="196">
        <f>Engage!Q177*INDEX('(Ranges)'!A44:B44,,MATCH(Inputs!F13,'(Ranges)'!A29:B29,0))*1+Engage!Q177*INDEX('(Ranges)'!A44:B44,,MATCH(Inputs!F13,'(Ranges)'!A29:B29,0))*(-(B410*Inputs!U143+C410*Inputs!U145))</f>
        <v>0</v>
      </c>
      <c r="R810" s="196">
        <f>Engage!R177*INDEX('(Ranges)'!A45:B45,,MATCH(Inputs!F13,'(Ranges)'!A29:B29,0))*1+Engage!R177*INDEX('(Ranges)'!A45:B45,,MATCH(Inputs!F13,'(Ranges)'!A29:B29,0))*(-(B410*Inputs!V143+C410*Inputs!V145))</f>
        <v>0</v>
      </c>
      <c r="S810" s="267">
        <f>Engage!S177*INDEX('(Ranges)'!A46:B46,,MATCH(Inputs!F13,'(Ranges)'!A29:B29,0))*1+Engage!S177*INDEX('(Ranges)'!A46:B46,,MATCH(Inputs!F13,'(Ranges)'!A29:B29,0))*(-(B410*Inputs!W143+C410*Inputs!W145))</f>
        <v>0</v>
      </c>
    </row>
    <row r="811" spans="1:19" ht="12.75" customHeight="1" x14ac:dyDescent="0.2">
      <c r="A811" s="188" t="str">
        <f>"   "&amp;Labels!B386</f>
        <v xml:space="preserve">   Prof Level 2</v>
      </c>
      <c r="B811" s="196">
        <f>Engage!B178*INDEX('(Ranges)'!A47:B47,,MATCH(Inputs!F13,'(Ranges)'!A29:B29,0))*1+Engage!B178*INDEX('(Ranges)'!A47:B47,,MATCH(Inputs!F13,'(Ranges)'!A29:B29,0))*(-(B410*Inputs!F144+C410*Inputs!F146))</f>
        <v>0</v>
      </c>
      <c r="C811" s="196">
        <f>Engage!C178*INDEX('(Ranges)'!A48:B48,,MATCH(Inputs!F13,'(Ranges)'!A29:B29,0))*1+Engage!C178*INDEX('(Ranges)'!A48:B48,,MATCH(Inputs!F13,'(Ranges)'!A29:B29,0))*(-(B410*Inputs!G144+C410*Inputs!G146))</f>
        <v>0</v>
      </c>
      <c r="D811" s="196">
        <f>Engage!D178*INDEX('(Ranges)'!A49:B49,,MATCH(Inputs!F13,'(Ranges)'!A29:B29,0))*1+Engage!D178*INDEX('(Ranges)'!A49:B49,,MATCH(Inputs!F13,'(Ranges)'!A29:B29,0))*(-(B410*Inputs!H144+C410*Inputs!H146))</f>
        <v>55000</v>
      </c>
      <c r="E811" s="196">
        <f>Engage!E178*INDEX('(Ranges)'!A50:B50,,MATCH(Inputs!F13,'(Ranges)'!A29:B29,0))*1+Engage!E178*INDEX('(Ranges)'!A50:B50,,MATCH(Inputs!F13,'(Ranges)'!A29:B29,0))*(-(B410*Inputs!I144+C410*Inputs!I146))</f>
        <v>55000</v>
      </c>
      <c r="F811" s="196">
        <f>Engage!F178*INDEX('(Ranges)'!A51:B51,,MATCH(Inputs!F13,'(Ranges)'!A29:B29,0))*1+Engage!F178*INDEX('(Ranges)'!A51:B51,,MATCH(Inputs!F13,'(Ranges)'!A29:B29,0))*(-(B410*Inputs!J144+C410*Inputs!J146))</f>
        <v>0</v>
      </c>
      <c r="G811" s="196">
        <f>Engage!G178*INDEX('(Ranges)'!A52:B52,,MATCH(Inputs!F13,'(Ranges)'!A29:B29,0))*1+Engage!G178*INDEX('(Ranges)'!A52:B52,,MATCH(Inputs!F13,'(Ranges)'!A29:B29,0))*(-(B410*Inputs!K144+C410*Inputs!K146))</f>
        <v>0</v>
      </c>
      <c r="H811" s="196">
        <f>Engage!H178*INDEX('(Ranges)'!A53:B53,,MATCH(Inputs!F13,'(Ranges)'!A29:B29,0))*1+Engage!H178*INDEX('(Ranges)'!A53:B53,,MATCH(Inputs!F13,'(Ranges)'!A29:B29,0))*(-(B410*Inputs!L144+C410*Inputs!L146))</f>
        <v>0</v>
      </c>
      <c r="I811" s="196">
        <f>Engage!I178*INDEX('(Ranges)'!A54:B54,,MATCH(Inputs!F13,'(Ranges)'!A29:B29,0))*1+Engage!I178*INDEX('(Ranges)'!A54:B54,,MATCH(Inputs!F13,'(Ranges)'!A29:B29,0))*(-(B410*Inputs!M144+C410*Inputs!M146))</f>
        <v>0</v>
      </c>
      <c r="J811" s="196">
        <f>Engage!J178*INDEX('(Ranges)'!A55:B55,,MATCH(Inputs!F13,'(Ranges)'!A29:B29,0))*1+Engage!J178*INDEX('(Ranges)'!A55:B55,,MATCH(Inputs!F13,'(Ranges)'!A29:B29,0))*(-(B410*Inputs!N144+C410*Inputs!N146))</f>
        <v>0</v>
      </c>
      <c r="K811" s="196">
        <f>Engage!K178*INDEX('(Ranges)'!A56:B56,,MATCH(Inputs!F13,'(Ranges)'!A29:B29,0))*1+Engage!K178*INDEX('(Ranges)'!A56:B56,,MATCH(Inputs!F13,'(Ranges)'!A29:B29,0))*(-(B410*Inputs!O144+C410*Inputs!O146))</f>
        <v>0</v>
      </c>
      <c r="L811" s="196">
        <f>Engage!L178*INDEX('(Ranges)'!A57:B57,,MATCH(Inputs!F13,'(Ranges)'!A29:B29,0))*1+Engage!L178*INDEX('(Ranges)'!A57:B57,,MATCH(Inputs!F13,'(Ranges)'!A29:B29,0))*(-(B410*Inputs!P144+C410*Inputs!P146))</f>
        <v>0</v>
      </c>
      <c r="M811" s="196">
        <f>Engage!M178*INDEX('(Ranges)'!A58:B58,,MATCH(Inputs!F13,'(Ranges)'!A29:B29,0))*1+Engage!M178*INDEX('(Ranges)'!A58:B58,,MATCH(Inputs!F13,'(Ranges)'!A29:B29,0))*(-(B410*Inputs!Q144+C410*Inputs!Q146))</f>
        <v>0</v>
      </c>
      <c r="N811" s="196">
        <f>Engage!N178*INDEX('(Ranges)'!A59:B59,,MATCH(Inputs!F13,'(Ranges)'!A29:B29,0))*1+Engage!N178*INDEX('(Ranges)'!A59:B59,,MATCH(Inputs!F13,'(Ranges)'!A29:B29,0))*(-(B410*Inputs!R144+C410*Inputs!R146))</f>
        <v>0</v>
      </c>
      <c r="O811" s="196">
        <f>Engage!O178*INDEX('(Ranges)'!A60:B60,,MATCH(Inputs!F13,'(Ranges)'!A29:B29,0))*1+Engage!O178*INDEX('(Ranges)'!A60:B60,,MATCH(Inputs!F13,'(Ranges)'!A29:B29,0))*(-(B410*Inputs!S144+C410*Inputs!S146))</f>
        <v>0</v>
      </c>
      <c r="P811" s="196">
        <f>Engage!P178*INDEX('(Ranges)'!A61:B61,,MATCH(Inputs!F13,'(Ranges)'!A29:B29,0))*1+Engage!P178*INDEX('(Ranges)'!A61:B61,,MATCH(Inputs!F13,'(Ranges)'!A29:B29,0))*(-(B410*Inputs!T144+C410*Inputs!T146))</f>
        <v>0</v>
      </c>
      <c r="Q811" s="196">
        <f>Engage!Q178*INDEX('(Ranges)'!A62:B62,,MATCH(Inputs!F13,'(Ranges)'!A29:B29,0))*1+Engage!Q178*INDEX('(Ranges)'!A62:B62,,MATCH(Inputs!F13,'(Ranges)'!A29:B29,0))*(-(B410*Inputs!U144+C410*Inputs!U146))</f>
        <v>0</v>
      </c>
      <c r="R811" s="196">
        <f>Engage!R178*INDEX('(Ranges)'!A63:B63,,MATCH(Inputs!F13,'(Ranges)'!A29:B29,0))*1+Engage!R178*INDEX('(Ranges)'!A63:B63,,MATCH(Inputs!F13,'(Ranges)'!A29:B29,0))*(-(B410*Inputs!V144+C410*Inputs!V146))</f>
        <v>0</v>
      </c>
      <c r="S811" s="267">
        <f>Engage!S178*INDEX('(Ranges)'!A64:B64,,MATCH(Inputs!F13,'(Ranges)'!A29:B29,0))*1+Engage!S178*INDEX('(Ranges)'!A64:B64,,MATCH(Inputs!F13,'(Ranges)'!A29:B29,0))*(-(B410*Inputs!W144+C410*Inputs!W146))</f>
        <v>0</v>
      </c>
    </row>
    <row r="812" spans="1:19" ht="12.75" customHeight="1" x14ac:dyDescent="0.2">
      <c r="A812" s="191" t="str">
        <f>"   "&amp;Labels!C384</f>
        <v xml:space="preserve">   Total</v>
      </c>
      <c r="B812" s="192">
        <f t="shared" ref="B812:S812" si="449">SUM(B810:B811)</f>
        <v>0</v>
      </c>
      <c r="C812" s="192">
        <f t="shared" si="449"/>
        <v>0</v>
      </c>
      <c r="D812" s="192">
        <f t="shared" si="449"/>
        <v>110000</v>
      </c>
      <c r="E812" s="192">
        <f t="shared" si="449"/>
        <v>110000</v>
      </c>
      <c r="F812" s="192">
        <f t="shared" si="449"/>
        <v>0</v>
      </c>
      <c r="G812" s="192">
        <f t="shared" si="449"/>
        <v>0</v>
      </c>
      <c r="H812" s="192">
        <f t="shared" si="449"/>
        <v>0</v>
      </c>
      <c r="I812" s="192">
        <f t="shared" si="449"/>
        <v>0</v>
      </c>
      <c r="J812" s="192">
        <f t="shared" si="449"/>
        <v>0</v>
      </c>
      <c r="K812" s="192">
        <f t="shared" si="449"/>
        <v>0</v>
      </c>
      <c r="L812" s="192">
        <f t="shared" si="449"/>
        <v>0</v>
      </c>
      <c r="M812" s="192">
        <f t="shared" si="449"/>
        <v>0</v>
      </c>
      <c r="N812" s="192">
        <f t="shared" si="449"/>
        <v>0</v>
      </c>
      <c r="O812" s="192">
        <f t="shared" si="449"/>
        <v>0</v>
      </c>
      <c r="P812" s="192">
        <f t="shared" si="449"/>
        <v>0</v>
      </c>
      <c r="Q812" s="192">
        <f t="shared" si="449"/>
        <v>0</v>
      </c>
      <c r="R812" s="192">
        <f t="shared" si="449"/>
        <v>0</v>
      </c>
      <c r="S812" s="280">
        <f t="shared" si="449"/>
        <v>0</v>
      </c>
    </row>
    <row r="813" spans="1:19" ht="12.75" customHeight="1" x14ac:dyDescent="0.2">
      <c r="A813" s="191" t="str">
        <f>Labels!B346</f>
        <v>Engage 2</v>
      </c>
      <c r="B813" s="192"/>
      <c r="C813" s="192"/>
      <c r="D813" s="192"/>
      <c r="E813" s="192"/>
      <c r="F813" s="192"/>
      <c r="G813" s="192"/>
      <c r="H813" s="192"/>
      <c r="I813" s="192"/>
      <c r="J813" s="192"/>
      <c r="K813" s="192"/>
      <c r="L813" s="192"/>
      <c r="M813" s="192"/>
      <c r="N813" s="192"/>
      <c r="O813" s="192"/>
      <c r="P813" s="192"/>
      <c r="Q813" s="192"/>
      <c r="R813" s="192"/>
      <c r="S813" s="280"/>
    </row>
    <row r="814" spans="1:19" ht="12.75" customHeight="1" x14ac:dyDescent="0.2">
      <c r="A814" s="188" t="str">
        <f>"   "&amp;Labels!B385</f>
        <v xml:space="preserve">   Prof Level 1</v>
      </c>
      <c r="B814" s="196">
        <f>Engage!B181*INDEX('(Ranges)'!A28:B28,,MATCH(Inputs!F14,'(Ranges)'!A65:B65,0))*1+Engage!B181*INDEX('(Ranges)'!A28:B28,,MATCH(Inputs!F14,'(Ranges)'!A65:B65,0))*(-(B411*Inputs!F143+C411*Inputs!F145))</f>
        <v>0</v>
      </c>
      <c r="C814" s="196">
        <f>Engage!C181*INDEX('(Ranges)'!A30:B30,,MATCH(Inputs!F14,'(Ranges)'!A65:B65,0))*1+Engage!C181*INDEX('(Ranges)'!A30:B30,,MATCH(Inputs!F14,'(Ranges)'!A65:B65,0))*(-(B411*Inputs!G143+C411*Inputs!G145))</f>
        <v>0</v>
      </c>
      <c r="D814" s="196">
        <f>Engage!D181*INDEX('(Ranges)'!A31:B31,,MATCH(Inputs!F14,'(Ranges)'!A65:B65,0))*1+Engage!D181*INDEX('(Ranges)'!A31:B31,,MATCH(Inputs!F14,'(Ranges)'!A65:B65,0))*(-(B411*Inputs!H143+C411*Inputs!H145))</f>
        <v>0</v>
      </c>
      <c r="E814" s="196">
        <f>Engage!E181*INDEX('(Ranges)'!A32:B32,,MATCH(Inputs!F14,'(Ranges)'!A65:B65,0))*1+Engage!E181*INDEX('(Ranges)'!A32:B32,,MATCH(Inputs!F14,'(Ranges)'!A65:B65,0))*(-(B411*Inputs!I143+C411*Inputs!I145))</f>
        <v>0</v>
      </c>
      <c r="F814" s="196">
        <f>Engage!F181*INDEX('(Ranges)'!A33:B33,,MATCH(Inputs!F14,'(Ranges)'!A65:B65,0))*1+Engage!F181*INDEX('(Ranges)'!A33:B33,,MATCH(Inputs!F14,'(Ranges)'!A65:B65,0))*(-(B411*Inputs!J143+C411*Inputs!J145))</f>
        <v>0</v>
      </c>
      <c r="G814" s="196">
        <f>Engage!G181*INDEX('(Ranges)'!A34:B34,,MATCH(Inputs!F14,'(Ranges)'!A65:B65,0))*1+Engage!G181*INDEX('(Ranges)'!A34:B34,,MATCH(Inputs!F14,'(Ranges)'!A65:B65,0))*(-(B411*Inputs!K143+C411*Inputs!K145))</f>
        <v>40000</v>
      </c>
      <c r="H814" s="196">
        <f>Engage!H181*INDEX('(Ranges)'!A35:B35,,MATCH(Inputs!F14,'(Ranges)'!A65:B65,0))*1+Engage!H181*INDEX('(Ranges)'!A35:B35,,MATCH(Inputs!F14,'(Ranges)'!A65:B65,0))*(-(B411*Inputs!L143+C411*Inputs!L145))</f>
        <v>40000</v>
      </c>
      <c r="I814" s="196">
        <f>Engage!I181*INDEX('(Ranges)'!A36:B36,,MATCH(Inputs!F14,'(Ranges)'!A65:B65,0))*1+Engage!I181*INDEX('(Ranges)'!A36:B36,,MATCH(Inputs!F14,'(Ranges)'!A65:B65,0))*(-(B411*Inputs!M143+C411*Inputs!M145))</f>
        <v>40000</v>
      </c>
      <c r="J814" s="196">
        <f>Engage!J181*INDEX('(Ranges)'!A37:B37,,MATCH(Inputs!F14,'(Ranges)'!A65:B65,0))*1+Engage!J181*INDEX('(Ranges)'!A37:B37,,MATCH(Inputs!F14,'(Ranges)'!A65:B65,0))*(-(B411*Inputs!N143+C411*Inputs!N145))</f>
        <v>0</v>
      </c>
      <c r="K814" s="196">
        <f>Engage!K181*INDEX('(Ranges)'!A38:B38,,MATCH(Inputs!F14,'(Ranges)'!A65:B65,0))*1+Engage!K181*INDEX('(Ranges)'!A38:B38,,MATCH(Inputs!F14,'(Ranges)'!A65:B65,0))*(-(B411*Inputs!O143+C411*Inputs!O145))</f>
        <v>0</v>
      </c>
      <c r="L814" s="196">
        <f>Engage!L181*INDEX('(Ranges)'!A39:B39,,MATCH(Inputs!F14,'(Ranges)'!A65:B65,0))*1+Engage!L181*INDEX('(Ranges)'!A39:B39,,MATCH(Inputs!F14,'(Ranges)'!A65:B65,0))*(-(B411*Inputs!P143+C411*Inputs!P145))</f>
        <v>0</v>
      </c>
      <c r="M814" s="196">
        <f>Engage!M181*INDEX('(Ranges)'!A40:B40,,MATCH(Inputs!F14,'(Ranges)'!A65:B65,0))*1+Engage!M181*INDEX('(Ranges)'!A40:B40,,MATCH(Inputs!F14,'(Ranges)'!A65:B65,0))*(-(B411*Inputs!Q143+C411*Inputs!Q145))</f>
        <v>0</v>
      </c>
      <c r="N814" s="196">
        <f>Engage!N181*INDEX('(Ranges)'!A41:B41,,MATCH(Inputs!F14,'(Ranges)'!A65:B65,0))*1+Engage!N181*INDEX('(Ranges)'!A41:B41,,MATCH(Inputs!F14,'(Ranges)'!A65:B65,0))*(-(B411*Inputs!R143+C411*Inputs!R145))</f>
        <v>0</v>
      </c>
      <c r="O814" s="196">
        <f>Engage!O181*INDEX('(Ranges)'!A42:B42,,MATCH(Inputs!F14,'(Ranges)'!A65:B65,0))*1+Engage!O181*INDEX('(Ranges)'!A42:B42,,MATCH(Inputs!F14,'(Ranges)'!A65:B65,0))*(-(B411*Inputs!S143+C411*Inputs!S145))</f>
        <v>0</v>
      </c>
      <c r="P814" s="196">
        <f>Engage!P181*INDEX('(Ranges)'!A43:B43,,MATCH(Inputs!F14,'(Ranges)'!A65:B65,0))*1+Engage!P181*INDEX('(Ranges)'!A43:B43,,MATCH(Inputs!F14,'(Ranges)'!A65:B65,0))*(-(B411*Inputs!T143+C411*Inputs!T145))</f>
        <v>0</v>
      </c>
      <c r="Q814" s="196">
        <f>Engage!Q181*INDEX('(Ranges)'!A44:B44,,MATCH(Inputs!F14,'(Ranges)'!A65:B65,0))*1+Engage!Q181*INDEX('(Ranges)'!A44:B44,,MATCH(Inputs!F14,'(Ranges)'!A65:B65,0))*(-(B411*Inputs!U143+C411*Inputs!U145))</f>
        <v>0</v>
      </c>
      <c r="R814" s="196">
        <f>Engage!R181*INDEX('(Ranges)'!A45:B45,,MATCH(Inputs!F14,'(Ranges)'!A65:B65,0))*1+Engage!R181*INDEX('(Ranges)'!A45:B45,,MATCH(Inputs!F14,'(Ranges)'!A65:B65,0))*(-(B411*Inputs!V143+C411*Inputs!V145))</f>
        <v>0</v>
      </c>
      <c r="S814" s="267">
        <f>Engage!S181*INDEX('(Ranges)'!A46:B46,,MATCH(Inputs!F14,'(Ranges)'!A65:B65,0))*1+Engage!S181*INDEX('(Ranges)'!A46:B46,,MATCH(Inputs!F14,'(Ranges)'!A65:B65,0))*(-(B411*Inputs!W143+C411*Inputs!W145))</f>
        <v>0</v>
      </c>
    </row>
    <row r="815" spans="1:19" ht="12.75" customHeight="1" x14ac:dyDescent="0.2">
      <c r="A815" s="188" t="str">
        <f>"   "&amp;Labels!B386</f>
        <v xml:space="preserve">   Prof Level 2</v>
      </c>
      <c r="B815" s="196">
        <f>Engage!B182*INDEX('(Ranges)'!A47:B47,,MATCH(Inputs!F14,'(Ranges)'!A65:B65,0))*1+Engage!B182*INDEX('(Ranges)'!A47:B47,,MATCH(Inputs!F14,'(Ranges)'!A65:B65,0))*(-(B411*Inputs!F144+C411*Inputs!F146))</f>
        <v>0</v>
      </c>
      <c r="C815" s="196">
        <f>Engage!C182*INDEX('(Ranges)'!A48:B48,,MATCH(Inputs!F14,'(Ranges)'!A65:B65,0))*1+Engage!C182*INDEX('(Ranges)'!A48:B48,,MATCH(Inputs!F14,'(Ranges)'!A65:B65,0))*(-(B411*Inputs!G144+C411*Inputs!G146))</f>
        <v>0</v>
      </c>
      <c r="D815" s="196">
        <f>Engage!D182*INDEX('(Ranges)'!A49:B49,,MATCH(Inputs!F14,'(Ranges)'!A65:B65,0))*1+Engage!D182*INDEX('(Ranges)'!A49:B49,,MATCH(Inputs!F14,'(Ranges)'!A65:B65,0))*(-(B411*Inputs!H144+C411*Inputs!H146))</f>
        <v>0</v>
      </c>
      <c r="E815" s="196">
        <f>Engage!E182*INDEX('(Ranges)'!A50:B50,,MATCH(Inputs!F14,'(Ranges)'!A65:B65,0))*1+Engage!E182*INDEX('(Ranges)'!A50:B50,,MATCH(Inputs!F14,'(Ranges)'!A65:B65,0))*(-(B411*Inputs!I144+C411*Inputs!I146))</f>
        <v>0</v>
      </c>
      <c r="F815" s="196">
        <f>Engage!F182*INDEX('(Ranges)'!A51:B51,,MATCH(Inputs!F14,'(Ranges)'!A65:B65,0))*1+Engage!F182*INDEX('(Ranges)'!A51:B51,,MATCH(Inputs!F14,'(Ranges)'!A65:B65,0))*(-(B411*Inputs!J144+C411*Inputs!J146))</f>
        <v>0</v>
      </c>
      <c r="G815" s="196">
        <f>Engage!G182*INDEX('(Ranges)'!A52:B52,,MATCH(Inputs!F14,'(Ranges)'!A65:B65,0))*1+Engage!G182*INDEX('(Ranges)'!A52:B52,,MATCH(Inputs!F14,'(Ranges)'!A65:B65,0))*(-(B411*Inputs!K144+C411*Inputs!K146))</f>
        <v>40000</v>
      </c>
      <c r="H815" s="196">
        <f>Engage!H182*INDEX('(Ranges)'!A53:B53,,MATCH(Inputs!F14,'(Ranges)'!A65:B65,0))*1+Engage!H182*INDEX('(Ranges)'!A53:B53,,MATCH(Inputs!F14,'(Ranges)'!A65:B65,0))*(-(B411*Inputs!L144+C411*Inputs!L146))</f>
        <v>40000</v>
      </c>
      <c r="I815" s="196">
        <f>Engage!I182*INDEX('(Ranges)'!A54:B54,,MATCH(Inputs!F14,'(Ranges)'!A65:B65,0))*1+Engage!I182*INDEX('(Ranges)'!A54:B54,,MATCH(Inputs!F14,'(Ranges)'!A65:B65,0))*(-(B411*Inputs!M144+C411*Inputs!M146))</f>
        <v>40000</v>
      </c>
      <c r="J815" s="196">
        <f>Engage!J182*INDEX('(Ranges)'!A55:B55,,MATCH(Inputs!F14,'(Ranges)'!A65:B65,0))*1+Engage!J182*INDEX('(Ranges)'!A55:B55,,MATCH(Inputs!F14,'(Ranges)'!A65:B65,0))*(-(B411*Inputs!N144+C411*Inputs!N146))</f>
        <v>0</v>
      </c>
      <c r="K815" s="196">
        <f>Engage!K182*INDEX('(Ranges)'!A56:B56,,MATCH(Inputs!F14,'(Ranges)'!A65:B65,0))*1+Engage!K182*INDEX('(Ranges)'!A56:B56,,MATCH(Inputs!F14,'(Ranges)'!A65:B65,0))*(-(B411*Inputs!O144+C411*Inputs!O146))</f>
        <v>0</v>
      </c>
      <c r="L815" s="196">
        <f>Engage!L182*INDEX('(Ranges)'!A57:B57,,MATCH(Inputs!F14,'(Ranges)'!A65:B65,0))*1+Engage!L182*INDEX('(Ranges)'!A57:B57,,MATCH(Inputs!F14,'(Ranges)'!A65:B65,0))*(-(B411*Inputs!P144+C411*Inputs!P146))</f>
        <v>0</v>
      </c>
      <c r="M815" s="196">
        <f>Engage!M182*INDEX('(Ranges)'!A58:B58,,MATCH(Inputs!F14,'(Ranges)'!A65:B65,0))*1+Engage!M182*INDEX('(Ranges)'!A58:B58,,MATCH(Inputs!F14,'(Ranges)'!A65:B65,0))*(-(B411*Inputs!Q144+C411*Inputs!Q146))</f>
        <v>0</v>
      </c>
      <c r="N815" s="196">
        <f>Engage!N182*INDEX('(Ranges)'!A59:B59,,MATCH(Inputs!F14,'(Ranges)'!A65:B65,0))*1+Engage!N182*INDEX('(Ranges)'!A59:B59,,MATCH(Inputs!F14,'(Ranges)'!A65:B65,0))*(-(B411*Inputs!R144+C411*Inputs!R146))</f>
        <v>0</v>
      </c>
      <c r="O815" s="196">
        <f>Engage!O182*INDEX('(Ranges)'!A60:B60,,MATCH(Inputs!F14,'(Ranges)'!A65:B65,0))*1+Engage!O182*INDEX('(Ranges)'!A60:B60,,MATCH(Inputs!F14,'(Ranges)'!A65:B65,0))*(-(B411*Inputs!S144+C411*Inputs!S146))</f>
        <v>0</v>
      </c>
      <c r="P815" s="196">
        <f>Engage!P182*INDEX('(Ranges)'!A61:B61,,MATCH(Inputs!F14,'(Ranges)'!A65:B65,0))*1+Engage!P182*INDEX('(Ranges)'!A61:B61,,MATCH(Inputs!F14,'(Ranges)'!A65:B65,0))*(-(B411*Inputs!T144+C411*Inputs!T146))</f>
        <v>0</v>
      </c>
      <c r="Q815" s="196">
        <f>Engage!Q182*INDEX('(Ranges)'!A62:B62,,MATCH(Inputs!F14,'(Ranges)'!A65:B65,0))*1+Engage!Q182*INDEX('(Ranges)'!A62:B62,,MATCH(Inputs!F14,'(Ranges)'!A65:B65,0))*(-(B411*Inputs!U144+C411*Inputs!U146))</f>
        <v>0</v>
      </c>
      <c r="R815" s="196">
        <f>Engage!R182*INDEX('(Ranges)'!A63:B63,,MATCH(Inputs!F14,'(Ranges)'!A65:B65,0))*1+Engage!R182*INDEX('(Ranges)'!A63:B63,,MATCH(Inputs!F14,'(Ranges)'!A65:B65,0))*(-(B411*Inputs!V144+C411*Inputs!V146))</f>
        <v>0</v>
      </c>
      <c r="S815" s="267">
        <f>Engage!S182*INDEX('(Ranges)'!A64:B64,,MATCH(Inputs!F14,'(Ranges)'!A65:B65,0))*1+Engage!S182*INDEX('(Ranges)'!A64:B64,,MATCH(Inputs!F14,'(Ranges)'!A65:B65,0))*(-(B411*Inputs!W144+C411*Inputs!W146))</f>
        <v>0</v>
      </c>
    </row>
    <row r="816" spans="1:19" ht="12.75" customHeight="1" x14ac:dyDescent="0.2">
      <c r="A816" s="191" t="str">
        <f>"   "&amp;Labels!C384</f>
        <v xml:space="preserve">   Total</v>
      </c>
      <c r="B816" s="192">
        <f t="shared" ref="B816:S816" si="450">SUM(B814:B815)</f>
        <v>0</v>
      </c>
      <c r="C816" s="192">
        <f t="shared" si="450"/>
        <v>0</v>
      </c>
      <c r="D816" s="192">
        <f t="shared" si="450"/>
        <v>0</v>
      </c>
      <c r="E816" s="192">
        <f t="shared" si="450"/>
        <v>0</v>
      </c>
      <c r="F816" s="192">
        <f t="shared" si="450"/>
        <v>0</v>
      </c>
      <c r="G816" s="192">
        <f t="shared" si="450"/>
        <v>80000</v>
      </c>
      <c r="H816" s="192">
        <f t="shared" si="450"/>
        <v>80000</v>
      </c>
      <c r="I816" s="192">
        <f t="shared" si="450"/>
        <v>80000</v>
      </c>
      <c r="J816" s="192">
        <f t="shared" si="450"/>
        <v>0</v>
      </c>
      <c r="K816" s="192">
        <f t="shared" si="450"/>
        <v>0</v>
      </c>
      <c r="L816" s="192">
        <f t="shared" si="450"/>
        <v>0</v>
      </c>
      <c r="M816" s="192">
        <f t="shared" si="450"/>
        <v>0</v>
      </c>
      <c r="N816" s="192">
        <f t="shared" si="450"/>
        <v>0</v>
      </c>
      <c r="O816" s="192">
        <f t="shared" si="450"/>
        <v>0</v>
      </c>
      <c r="P816" s="192">
        <f t="shared" si="450"/>
        <v>0</v>
      </c>
      <c r="Q816" s="192">
        <f t="shared" si="450"/>
        <v>0</v>
      </c>
      <c r="R816" s="192">
        <f t="shared" si="450"/>
        <v>0</v>
      </c>
      <c r="S816" s="280">
        <f t="shared" si="450"/>
        <v>0</v>
      </c>
    </row>
    <row r="817" spans="1:19" ht="12.75" customHeight="1" x14ac:dyDescent="0.2">
      <c r="A817" s="97" t="str">
        <f>Labels!C344</f>
        <v>Total</v>
      </c>
      <c r="B817" s="194">
        <f t="shared" ref="B817:S817" si="451">SUM(B812,B816)</f>
        <v>0</v>
      </c>
      <c r="C817" s="194">
        <f t="shared" si="451"/>
        <v>0</v>
      </c>
      <c r="D817" s="194">
        <f t="shared" si="451"/>
        <v>110000</v>
      </c>
      <c r="E817" s="194">
        <f t="shared" si="451"/>
        <v>110000</v>
      </c>
      <c r="F817" s="194">
        <f t="shared" si="451"/>
        <v>0</v>
      </c>
      <c r="G817" s="194">
        <f t="shared" si="451"/>
        <v>80000</v>
      </c>
      <c r="H817" s="194">
        <f t="shared" si="451"/>
        <v>80000</v>
      </c>
      <c r="I817" s="194">
        <f t="shared" si="451"/>
        <v>80000</v>
      </c>
      <c r="J817" s="194">
        <f t="shared" si="451"/>
        <v>0</v>
      </c>
      <c r="K817" s="194">
        <f t="shared" si="451"/>
        <v>0</v>
      </c>
      <c r="L817" s="194">
        <f t="shared" si="451"/>
        <v>0</v>
      </c>
      <c r="M817" s="194">
        <f t="shared" si="451"/>
        <v>0</v>
      </c>
      <c r="N817" s="194">
        <f t="shared" si="451"/>
        <v>0</v>
      </c>
      <c r="O817" s="194">
        <f t="shared" si="451"/>
        <v>0</v>
      </c>
      <c r="P817" s="194">
        <f t="shared" si="451"/>
        <v>0</v>
      </c>
      <c r="Q817" s="194">
        <f t="shared" si="451"/>
        <v>0</v>
      </c>
      <c r="R817" s="194">
        <f t="shared" si="451"/>
        <v>0</v>
      </c>
      <c r="S817" s="351">
        <f t="shared" si="451"/>
        <v>0</v>
      </c>
    </row>
    <row r="818" spans="1:19" ht="12.75" customHeight="1" x14ac:dyDescent="0.2">
      <c r="A818" s="188" t="str">
        <f>"   "&amp;Labels!B385</f>
        <v xml:space="preserve">   Prof Level 1</v>
      </c>
      <c r="B818" s="196">
        <f t="shared" ref="B818:S818" si="452">SUM(B810,B814)</f>
        <v>0</v>
      </c>
      <c r="C818" s="196">
        <f t="shared" si="452"/>
        <v>0</v>
      </c>
      <c r="D818" s="196">
        <f t="shared" si="452"/>
        <v>55000</v>
      </c>
      <c r="E818" s="196">
        <f t="shared" si="452"/>
        <v>55000</v>
      </c>
      <c r="F818" s="196">
        <f t="shared" si="452"/>
        <v>0</v>
      </c>
      <c r="G818" s="196">
        <f t="shared" si="452"/>
        <v>40000</v>
      </c>
      <c r="H818" s="196">
        <f t="shared" si="452"/>
        <v>40000</v>
      </c>
      <c r="I818" s="196">
        <f t="shared" si="452"/>
        <v>40000</v>
      </c>
      <c r="J818" s="196">
        <f t="shared" si="452"/>
        <v>0</v>
      </c>
      <c r="K818" s="196">
        <f t="shared" si="452"/>
        <v>0</v>
      </c>
      <c r="L818" s="196">
        <f t="shared" si="452"/>
        <v>0</v>
      </c>
      <c r="M818" s="196">
        <f t="shared" si="452"/>
        <v>0</v>
      </c>
      <c r="N818" s="196">
        <f t="shared" si="452"/>
        <v>0</v>
      </c>
      <c r="O818" s="196">
        <f t="shared" si="452"/>
        <v>0</v>
      </c>
      <c r="P818" s="196">
        <f t="shared" si="452"/>
        <v>0</v>
      </c>
      <c r="Q818" s="196">
        <f t="shared" si="452"/>
        <v>0</v>
      </c>
      <c r="R818" s="196">
        <f t="shared" si="452"/>
        <v>0</v>
      </c>
      <c r="S818" s="267">
        <f t="shared" si="452"/>
        <v>0</v>
      </c>
    </row>
    <row r="819" spans="1:19" ht="12.75" customHeight="1" x14ac:dyDescent="0.2">
      <c r="A819" s="188" t="str">
        <f>"   "&amp;Labels!B386</f>
        <v xml:space="preserve">   Prof Level 2</v>
      </c>
      <c r="B819" s="196">
        <f t="shared" ref="B819:S819" si="453">SUM(B811,B815)</f>
        <v>0</v>
      </c>
      <c r="C819" s="196">
        <f t="shared" si="453"/>
        <v>0</v>
      </c>
      <c r="D819" s="196">
        <f t="shared" si="453"/>
        <v>55000</v>
      </c>
      <c r="E819" s="196">
        <f t="shared" si="453"/>
        <v>55000</v>
      </c>
      <c r="F819" s="196">
        <f t="shared" si="453"/>
        <v>0</v>
      </c>
      <c r="G819" s="196">
        <f t="shared" si="453"/>
        <v>40000</v>
      </c>
      <c r="H819" s="196">
        <f t="shared" si="453"/>
        <v>40000</v>
      </c>
      <c r="I819" s="196">
        <f t="shared" si="453"/>
        <v>40000</v>
      </c>
      <c r="J819" s="196">
        <f t="shared" si="453"/>
        <v>0</v>
      </c>
      <c r="K819" s="196">
        <f t="shared" si="453"/>
        <v>0</v>
      </c>
      <c r="L819" s="196">
        <f t="shared" si="453"/>
        <v>0</v>
      </c>
      <c r="M819" s="196">
        <f t="shared" si="453"/>
        <v>0</v>
      </c>
      <c r="N819" s="196">
        <f t="shared" si="453"/>
        <v>0</v>
      </c>
      <c r="O819" s="196">
        <f t="shared" si="453"/>
        <v>0</v>
      </c>
      <c r="P819" s="196">
        <f t="shared" si="453"/>
        <v>0</v>
      </c>
      <c r="Q819" s="196">
        <f t="shared" si="453"/>
        <v>0</v>
      </c>
      <c r="R819" s="196">
        <f t="shared" si="453"/>
        <v>0</v>
      </c>
      <c r="S819" s="267">
        <f t="shared" si="453"/>
        <v>0</v>
      </c>
    </row>
    <row r="820" spans="1:19" ht="12.75" customHeight="1" x14ac:dyDescent="0.2">
      <c r="A820" s="185" t="str">
        <f>"   "&amp;Labels!C384</f>
        <v xml:space="preserve">   Total</v>
      </c>
      <c r="B820" s="176">
        <f t="shared" ref="B820:S820" si="454">SUM(B812,B816)</f>
        <v>0</v>
      </c>
      <c r="C820" s="176">
        <f t="shared" si="454"/>
        <v>0</v>
      </c>
      <c r="D820" s="176">
        <f t="shared" si="454"/>
        <v>110000</v>
      </c>
      <c r="E820" s="176">
        <f t="shared" si="454"/>
        <v>110000</v>
      </c>
      <c r="F820" s="176">
        <f t="shared" si="454"/>
        <v>0</v>
      </c>
      <c r="G820" s="176">
        <f t="shared" si="454"/>
        <v>80000</v>
      </c>
      <c r="H820" s="176">
        <f t="shared" si="454"/>
        <v>80000</v>
      </c>
      <c r="I820" s="176">
        <f t="shared" si="454"/>
        <v>80000</v>
      </c>
      <c r="J820" s="176">
        <f t="shared" si="454"/>
        <v>0</v>
      </c>
      <c r="K820" s="176">
        <f t="shared" si="454"/>
        <v>0</v>
      </c>
      <c r="L820" s="176">
        <f t="shared" si="454"/>
        <v>0</v>
      </c>
      <c r="M820" s="176">
        <f t="shared" si="454"/>
        <v>0</v>
      </c>
      <c r="N820" s="176">
        <f t="shared" si="454"/>
        <v>0</v>
      </c>
      <c r="O820" s="176">
        <f t="shared" si="454"/>
        <v>0</v>
      </c>
      <c r="P820" s="176">
        <f t="shared" si="454"/>
        <v>0</v>
      </c>
      <c r="Q820" s="176">
        <f t="shared" si="454"/>
        <v>0</v>
      </c>
      <c r="R820" s="176">
        <f t="shared" si="454"/>
        <v>0</v>
      </c>
      <c r="S820" s="268">
        <f t="shared" si="454"/>
        <v>0</v>
      </c>
    </row>
    <row r="821" spans="1:19" ht="12.75" customHeight="1" x14ac:dyDescent="0.2">
      <c r="A821" s="1" t="str">
        <f>Labels!B51</f>
        <v>Travel &amp; Entertainment / Hr</v>
      </c>
    </row>
    <row r="822" spans="1:19" ht="12.75" customHeight="1" x14ac:dyDescent="0.2">
      <c r="B822" s="9" t="str">
        <f>'(FnCalls 1)'!F41</f>
        <v>MMM 2010</v>
      </c>
      <c r="C822" s="10" t="str">
        <f>'(FnCalls 1)'!F42</f>
        <v>MMM 2010</v>
      </c>
      <c r="D822" s="10" t="str">
        <f>'(FnCalls 1)'!F43</f>
        <v>MMM 2010</v>
      </c>
      <c r="E822" s="10" t="str">
        <f>'(FnCalls 1)'!F44</f>
        <v>MMM 2010</v>
      </c>
      <c r="F822" s="10" t="str">
        <f>'(FnCalls 1)'!F45</f>
        <v>MMM 2010</v>
      </c>
      <c r="G822" s="10" t="str">
        <f>'(FnCalls 1)'!F46</f>
        <v>MMM 2010</v>
      </c>
      <c r="H822" s="10" t="str">
        <f>'(FnCalls 1)'!F47</f>
        <v>MMM 2010</v>
      </c>
      <c r="I822" s="10" t="str">
        <f>'(FnCalls 1)'!F48</f>
        <v>MMM 2010</v>
      </c>
      <c r="J822" s="10" t="str">
        <f>'(FnCalls 1)'!F49</f>
        <v>MMM 2010</v>
      </c>
      <c r="K822" s="10" t="str">
        <f>'(FnCalls 1)'!F50</f>
        <v>MMM 2010</v>
      </c>
      <c r="L822" s="10" t="str">
        <f>'(FnCalls 1)'!F51</f>
        <v>MMM 2010</v>
      </c>
      <c r="M822" s="10" t="str">
        <f>'(FnCalls 1)'!F52</f>
        <v>MMM 2010</v>
      </c>
      <c r="N822" s="10" t="str">
        <f>'(FnCalls 1)'!F53</f>
        <v>MMM 2011</v>
      </c>
      <c r="O822" s="10" t="str">
        <f>'(FnCalls 1)'!F54</f>
        <v>MMM 2011</v>
      </c>
      <c r="P822" s="10" t="str">
        <f>'(FnCalls 1)'!F55</f>
        <v>MMM 2011</v>
      </c>
      <c r="Q822" s="10" t="str">
        <f>'(FnCalls 1)'!F56</f>
        <v>MMM 2011</v>
      </c>
      <c r="R822" s="10" t="str">
        <f>'(FnCalls 1)'!F57</f>
        <v>MMM 2011</v>
      </c>
      <c r="S822" s="11" t="str">
        <f>'(FnCalls 1)'!F58</f>
        <v>MMM 2011</v>
      </c>
    </row>
    <row r="823" spans="1:19" ht="12.75" customHeight="1" x14ac:dyDescent="0.2">
      <c r="A823" s="182" t="str">
        <f>Labels!B381</f>
        <v>Practice 1</v>
      </c>
      <c r="B823" s="239"/>
      <c r="C823" s="239"/>
      <c r="D823" s="239"/>
      <c r="E823" s="239"/>
      <c r="F823" s="239"/>
      <c r="G823" s="239"/>
      <c r="H823" s="239"/>
      <c r="I823" s="239"/>
      <c r="J823" s="239"/>
      <c r="K823" s="239"/>
      <c r="L823" s="239"/>
      <c r="M823" s="239"/>
      <c r="N823" s="239"/>
      <c r="O823" s="239"/>
      <c r="P823" s="239"/>
      <c r="Q823" s="239"/>
      <c r="R823" s="239"/>
      <c r="S823" s="335"/>
    </row>
    <row r="824" spans="1:19" ht="12.75" customHeight="1" x14ac:dyDescent="0.2">
      <c r="A824" s="188" t="str">
        <f>"   "&amp;Labels!B385</f>
        <v xml:space="preserve">   Prof Level 1</v>
      </c>
      <c r="B824" s="241"/>
      <c r="C824" s="241"/>
      <c r="D824" s="241"/>
      <c r="E824" s="241"/>
      <c r="F824" s="241"/>
      <c r="G824" s="241"/>
      <c r="H824" s="241"/>
      <c r="I824" s="241"/>
      <c r="J824" s="241"/>
      <c r="K824" s="241"/>
      <c r="L824" s="241"/>
      <c r="M824" s="241"/>
      <c r="N824" s="241"/>
      <c r="O824" s="241"/>
      <c r="P824" s="241"/>
      <c r="Q824" s="241"/>
      <c r="R824" s="241"/>
      <c r="S824" s="352"/>
    </row>
    <row r="825" spans="1:19" ht="12.75" customHeight="1" x14ac:dyDescent="0.2">
      <c r="A825" s="198" t="str">
        <f>"      "&amp;Labels!B317</f>
        <v xml:space="preserve">      Channels 1</v>
      </c>
      <c r="B825" s="243">
        <f>Inputs!F153</f>
        <v>5</v>
      </c>
      <c r="C825" s="243">
        <f>Inputs!G153</f>
        <v>5</v>
      </c>
      <c r="D825" s="243">
        <f>Inputs!H153</f>
        <v>5</v>
      </c>
      <c r="E825" s="243">
        <f>Inputs!I153</f>
        <v>5</v>
      </c>
      <c r="F825" s="243">
        <f>Inputs!J153</f>
        <v>5</v>
      </c>
      <c r="G825" s="243">
        <f>Inputs!K153</f>
        <v>5</v>
      </c>
      <c r="H825" s="243">
        <f>Inputs!L153</f>
        <v>5</v>
      </c>
      <c r="I825" s="243">
        <f>Inputs!M153</f>
        <v>5</v>
      </c>
      <c r="J825" s="243">
        <f>Inputs!N153</f>
        <v>5</v>
      </c>
      <c r="K825" s="243">
        <f>Inputs!O153</f>
        <v>5</v>
      </c>
      <c r="L825" s="243">
        <f>Inputs!P153</f>
        <v>5</v>
      </c>
      <c r="M825" s="243">
        <f>Inputs!Q153</f>
        <v>5</v>
      </c>
      <c r="N825" s="243">
        <f>Inputs!R153</f>
        <v>5</v>
      </c>
      <c r="O825" s="243">
        <f>Inputs!S153</f>
        <v>5</v>
      </c>
      <c r="P825" s="243">
        <f>Inputs!T153</f>
        <v>5</v>
      </c>
      <c r="Q825" s="243">
        <f>Inputs!U153</f>
        <v>5</v>
      </c>
      <c r="R825" s="243">
        <f>Inputs!V153</f>
        <v>5</v>
      </c>
      <c r="S825" s="398">
        <f>Inputs!W153</f>
        <v>5</v>
      </c>
    </row>
    <row r="826" spans="1:19" ht="12.75" customHeight="1" x14ac:dyDescent="0.2">
      <c r="A826" s="198" t="str">
        <f>"      "&amp;Labels!B318</f>
        <v xml:space="preserve">      Channels 2</v>
      </c>
      <c r="B826" s="243">
        <f>Inputs!F154</f>
        <v>5</v>
      </c>
      <c r="C826" s="243">
        <f>Inputs!G154</f>
        <v>5</v>
      </c>
      <c r="D826" s="243">
        <f>Inputs!H154</f>
        <v>5</v>
      </c>
      <c r="E826" s="243">
        <f>Inputs!I154</f>
        <v>5</v>
      </c>
      <c r="F826" s="243">
        <f>Inputs!J154</f>
        <v>5</v>
      </c>
      <c r="G826" s="243">
        <f>Inputs!K154</f>
        <v>5</v>
      </c>
      <c r="H826" s="243">
        <f>Inputs!L154</f>
        <v>5</v>
      </c>
      <c r="I826" s="243">
        <f>Inputs!M154</f>
        <v>5</v>
      </c>
      <c r="J826" s="243">
        <f>Inputs!N154</f>
        <v>5</v>
      </c>
      <c r="K826" s="243">
        <f>Inputs!O154</f>
        <v>5</v>
      </c>
      <c r="L826" s="243">
        <f>Inputs!P154</f>
        <v>5</v>
      </c>
      <c r="M826" s="243">
        <f>Inputs!Q154</f>
        <v>5</v>
      </c>
      <c r="N826" s="243">
        <f>Inputs!R154</f>
        <v>5</v>
      </c>
      <c r="O826" s="243">
        <f>Inputs!S154</f>
        <v>5</v>
      </c>
      <c r="P826" s="243">
        <f>Inputs!T154</f>
        <v>5</v>
      </c>
      <c r="Q826" s="243">
        <f>Inputs!U154</f>
        <v>5</v>
      </c>
      <c r="R826" s="243">
        <f>Inputs!V154</f>
        <v>5</v>
      </c>
      <c r="S826" s="398">
        <f>Inputs!W154</f>
        <v>5</v>
      </c>
    </row>
    <row r="827" spans="1:19" ht="12.75" customHeight="1" x14ac:dyDescent="0.2">
      <c r="A827" s="188" t="str">
        <f>"      "&amp;Labels!C316</f>
        <v xml:space="preserve">      Total</v>
      </c>
      <c r="B827" s="241">
        <f t="shared" ref="B827:S827" si="455">AVERAGE(B825:B826)</f>
        <v>5</v>
      </c>
      <c r="C827" s="241">
        <f t="shared" si="455"/>
        <v>5</v>
      </c>
      <c r="D827" s="241">
        <f t="shared" si="455"/>
        <v>5</v>
      </c>
      <c r="E827" s="241">
        <f t="shared" si="455"/>
        <v>5</v>
      </c>
      <c r="F827" s="241">
        <f t="shared" si="455"/>
        <v>5</v>
      </c>
      <c r="G827" s="241">
        <f t="shared" si="455"/>
        <v>5</v>
      </c>
      <c r="H827" s="241">
        <f t="shared" si="455"/>
        <v>5</v>
      </c>
      <c r="I827" s="241">
        <f t="shared" si="455"/>
        <v>5</v>
      </c>
      <c r="J827" s="241">
        <f t="shared" si="455"/>
        <v>5</v>
      </c>
      <c r="K827" s="241">
        <f t="shared" si="455"/>
        <v>5</v>
      </c>
      <c r="L827" s="241">
        <f t="shared" si="455"/>
        <v>5</v>
      </c>
      <c r="M827" s="241">
        <f t="shared" si="455"/>
        <v>5</v>
      </c>
      <c r="N827" s="241">
        <f t="shared" si="455"/>
        <v>5</v>
      </c>
      <c r="O827" s="241">
        <f t="shared" si="455"/>
        <v>5</v>
      </c>
      <c r="P827" s="241">
        <f t="shared" si="455"/>
        <v>5</v>
      </c>
      <c r="Q827" s="241">
        <f t="shared" si="455"/>
        <v>5</v>
      </c>
      <c r="R827" s="241">
        <f t="shared" si="455"/>
        <v>5</v>
      </c>
      <c r="S827" s="352">
        <f t="shared" si="455"/>
        <v>5</v>
      </c>
    </row>
    <row r="828" spans="1:19" ht="12.75" customHeight="1" x14ac:dyDescent="0.2">
      <c r="A828" s="188" t="str">
        <f>"   "&amp;Labels!B386</f>
        <v xml:space="preserve">   Prof Level 2</v>
      </c>
      <c r="B828" s="241"/>
      <c r="C828" s="241"/>
      <c r="D828" s="241"/>
      <c r="E828" s="241"/>
      <c r="F828" s="241"/>
      <c r="G828" s="241"/>
      <c r="H828" s="241"/>
      <c r="I828" s="241"/>
      <c r="J828" s="241"/>
      <c r="K828" s="241"/>
      <c r="L828" s="241"/>
      <c r="M828" s="241"/>
      <c r="N828" s="241"/>
      <c r="O828" s="241"/>
      <c r="P828" s="241"/>
      <c r="Q828" s="241"/>
      <c r="R828" s="241"/>
      <c r="S828" s="352"/>
    </row>
    <row r="829" spans="1:19" ht="12.75" customHeight="1" x14ac:dyDescent="0.2">
      <c r="A829" s="198" t="str">
        <f>"      "&amp;Labels!B317</f>
        <v xml:space="preserve">      Channels 1</v>
      </c>
      <c r="B829" s="243">
        <f>Inputs!F155</f>
        <v>5</v>
      </c>
      <c r="C829" s="243">
        <f>Inputs!G155</f>
        <v>5</v>
      </c>
      <c r="D829" s="243">
        <f>Inputs!H155</f>
        <v>5</v>
      </c>
      <c r="E829" s="243">
        <f>Inputs!I155</f>
        <v>5</v>
      </c>
      <c r="F829" s="243">
        <f>Inputs!J155</f>
        <v>5</v>
      </c>
      <c r="G829" s="243">
        <f>Inputs!K155</f>
        <v>5</v>
      </c>
      <c r="H829" s="243">
        <f>Inputs!L155</f>
        <v>5</v>
      </c>
      <c r="I829" s="243">
        <f>Inputs!M155</f>
        <v>5</v>
      </c>
      <c r="J829" s="243">
        <f>Inputs!N155</f>
        <v>5</v>
      </c>
      <c r="K829" s="243">
        <f>Inputs!O155</f>
        <v>5</v>
      </c>
      <c r="L829" s="243">
        <f>Inputs!P155</f>
        <v>5</v>
      </c>
      <c r="M829" s="243">
        <f>Inputs!Q155</f>
        <v>5</v>
      </c>
      <c r="N829" s="243">
        <f>Inputs!R155</f>
        <v>5</v>
      </c>
      <c r="O829" s="243">
        <f>Inputs!S155</f>
        <v>5</v>
      </c>
      <c r="P829" s="243">
        <f>Inputs!T155</f>
        <v>5</v>
      </c>
      <c r="Q829" s="243">
        <f>Inputs!U155</f>
        <v>5</v>
      </c>
      <c r="R829" s="243">
        <f>Inputs!V155</f>
        <v>5</v>
      </c>
      <c r="S829" s="398">
        <f>Inputs!W155</f>
        <v>5</v>
      </c>
    </row>
    <row r="830" spans="1:19" ht="12.75" customHeight="1" x14ac:dyDescent="0.2">
      <c r="A830" s="198" t="str">
        <f>"      "&amp;Labels!B318</f>
        <v xml:space="preserve">      Channels 2</v>
      </c>
      <c r="B830" s="243">
        <f>Inputs!F156</f>
        <v>5</v>
      </c>
      <c r="C830" s="243">
        <f>Inputs!G156</f>
        <v>5</v>
      </c>
      <c r="D830" s="243">
        <f>Inputs!H156</f>
        <v>5</v>
      </c>
      <c r="E830" s="243">
        <f>Inputs!I156</f>
        <v>5</v>
      </c>
      <c r="F830" s="243">
        <f>Inputs!J156</f>
        <v>5</v>
      </c>
      <c r="G830" s="243">
        <f>Inputs!K156</f>
        <v>5</v>
      </c>
      <c r="H830" s="243">
        <f>Inputs!L156</f>
        <v>5</v>
      </c>
      <c r="I830" s="243">
        <f>Inputs!M156</f>
        <v>5</v>
      </c>
      <c r="J830" s="243">
        <f>Inputs!N156</f>
        <v>5</v>
      </c>
      <c r="K830" s="243">
        <f>Inputs!O156</f>
        <v>5</v>
      </c>
      <c r="L830" s="243">
        <f>Inputs!P156</f>
        <v>5</v>
      </c>
      <c r="M830" s="243">
        <f>Inputs!Q156</f>
        <v>5</v>
      </c>
      <c r="N830" s="243">
        <f>Inputs!R156</f>
        <v>5</v>
      </c>
      <c r="O830" s="243">
        <f>Inputs!S156</f>
        <v>5</v>
      </c>
      <c r="P830" s="243">
        <f>Inputs!T156</f>
        <v>5</v>
      </c>
      <c r="Q830" s="243">
        <f>Inputs!U156</f>
        <v>5</v>
      </c>
      <c r="R830" s="243">
        <f>Inputs!V156</f>
        <v>5</v>
      </c>
      <c r="S830" s="398">
        <f>Inputs!W156</f>
        <v>5</v>
      </c>
    </row>
    <row r="831" spans="1:19" ht="12.75" customHeight="1" x14ac:dyDescent="0.2">
      <c r="A831" s="188" t="str">
        <f>"      "&amp;Labels!C316</f>
        <v xml:space="preserve">      Total</v>
      </c>
      <c r="B831" s="241">
        <f t="shared" ref="B831:S831" si="456">AVERAGE(B829:B830)</f>
        <v>5</v>
      </c>
      <c r="C831" s="241">
        <f t="shared" si="456"/>
        <v>5</v>
      </c>
      <c r="D831" s="241">
        <f t="shared" si="456"/>
        <v>5</v>
      </c>
      <c r="E831" s="241">
        <f t="shared" si="456"/>
        <v>5</v>
      </c>
      <c r="F831" s="241">
        <f t="shared" si="456"/>
        <v>5</v>
      </c>
      <c r="G831" s="241">
        <f t="shared" si="456"/>
        <v>5</v>
      </c>
      <c r="H831" s="241">
        <f t="shared" si="456"/>
        <v>5</v>
      </c>
      <c r="I831" s="241">
        <f t="shared" si="456"/>
        <v>5</v>
      </c>
      <c r="J831" s="241">
        <f t="shared" si="456"/>
        <v>5</v>
      </c>
      <c r="K831" s="241">
        <f t="shared" si="456"/>
        <v>5</v>
      </c>
      <c r="L831" s="241">
        <f t="shared" si="456"/>
        <v>5</v>
      </c>
      <c r="M831" s="241">
        <f t="shared" si="456"/>
        <v>5</v>
      </c>
      <c r="N831" s="241">
        <f t="shared" si="456"/>
        <v>5</v>
      </c>
      <c r="O831" s="241">
        <f t="shared" si="456"/>
        <v>5</v>
      </c>
      <c r="P831" s="241">
        <f t="shared" si="456"/>
        <v>5</v>
      </c>
      <c r="Q831" s="241">
        <f t="shared" si="456"/>
        <v>5</v>
      </c>
      <c r="R831" s="241">
        <f t="shared" si="456"/>
        <v>5</v>
      </c>
      <c r="S831" s="352">
        <f t="shared" si="456"/>
        <v>5</v>
      </c>
    </row>
    <row r="832" spans="1:19" ht="12.75" customHeight="1" x14ac:dyDescent="0.2">
      <c r="A832" s="191" t="str">
        <f>"   "&amp;Labels!C384</f>
        <v xml:space="preserve">   Total</v>
      </c>
      <c r="B832" s="245">
        <f t="shared" ref="B832:S832" si="457">AVERAGE(B827,B831)</f>
        <v>5</v>
      </c>
      <c r="C832" s="245">
        <f t="shared" si="457"/>
        <v>5</v>
      </c>
      <c r="D832" s="245">
        <f t="shared" si="457"/>
        <v>5</v>
      </c>
      <c r="E832" s="245">
        <f t="shared" si="457"/>
        <v>5</v>
      </c>
      <c r="F832" s="245">
        <f t="shared" si="457"/>
        <v>5</v>
      </c>
      <c r="G832" s="245">
        <f t="shared" si="457"/>
        <v>5</v>
      </c>
      <c r="H832" s="245">
        <f t="shared" si="457"/>
        <v>5</v>
      </c>
      <c r="I832" s="245">
        <f t="shared" si="457"/>
        <v>5</v>
      </c>
      <c r="J832" s="245">
        <f t="shared" si="457"/>
        <v>5</v>
      </c>
      <c r="K832" s="245">
        <f t="shared" si="457"/>
        <v>5</v>
      </c>
      <c r="L832" s="245">
        <f t="shared" si="457"/>
        <v>5</v>
      </c>
      <c r="M832" s="245">
        <f t="shared" si="457"/>
        <v>5</v>
      </c>
      <c r="N832" s="245">
        <f t="shared" si="457"/>
        <v>5</v>
      </c>
      <c r="O832" s="245">
        <f t="shared" si="457"/>
        <v>5</v>
      </c>
      <c r="P832" s="245">
        <f t="shared" si="457"/>
        <v>5</v>
      </c>
      <c r="Q832" s="245">
        <f t="shared" si="457"/>
        <v>5</v>
      </c>
      <c r="R832" s="245">
        <f t="shared" si="457"/>
        <v>5</v>
      </c>
      <c r="S832" s="353">
        <f t="shared" si="457"/>
        <v>5</v>
      </c>
    </row>
    <row r="833" spans="1:19" ht="12.75" customHeight="1" x14ac:dyDescent="0.2">
      <c r="A833" s="198" t="str">
        <f>"      "&amp;Labels!B317</f>
        <v xml:space="preserve">      Channels 1</v>
      </c>
      <c r="B833" s="243">
        <f t="shared" ref="B833:S833" si="458">AVERAGE(B825,B829)</f>
        <v>5</v>
      </c>
      <c r="C833" s="243">
        <f t="shared" si="458"/>
        <v>5</v>
      </c>
      <c r="D833" s="243">
        <f t="shared" si="458"/>
        <v>5</v>
      </c>
      <c r="E833" s="243">
        <f t="shared" si="458"/>
        <v>5</v>
      </c>
      <c r="F833" s="243">
        <f t="shared" si="458"/>
        <v>5</v>
      </c>
      <c r="G833" s="243">
        <f t="shared" si="458"/>
        <v>5</v>
      </c>
      <c r="H833" s="243">
        <f t="shared" si="458"/>
        <v>5</v>
      </c>
      <c r="I833" s="243">
        <f t="shared" si="458"/>
        <v>5</v>
      </c>
      <c r="J833" s="243">
        <f t="shared" si="458"/>
        <v>5</v>
      </c>
      <c r="K833" s="243">
        <f t="shared" si="458"/>
        <v>5</v>
      </c>
      <c r="L833" s="243">
        <f t="shared" si="458"/>
        <v>5</v>
      </c>
      <c r="M833" s="243">
        <f t="shared" si="458"/>
        <v>5</v>
      </c>
      <c r="N833" s="243">
        <f t="shared" si="458"/>
        <v>5</v>
      </c>
      <c r="O833" s="243">
        <f t="shared" si="458"/>
        <v>5</v>
      </c>
      <c r="P833" s="243">
        <f t="shared" si="458"/>
        <v>5</v>
      </c>
      <c r="Q833" s="243">
        <f t="shared" si="458"/>
        <v>5</v>
      </c>
      <c r="R833" s="243">
        <f t="shared" si="458"/>
        <v>5</v>
      </c>
      <c r="S833" s="398">
        <f t="shared" si="458"/>
        <v>5</v>
      </c>
    </row>
    <row r="834" spans="1:19" ht="12.75" customHeight="1" x14ac:dyDescent="0.2">
      <c r="A834" s="198" t="str">
        <f>"      "&amp;Labels!B318</f>
        <v xml:space="preserve">      Channels 2</v>
      </c>
      <c r="B834" s="243">
        <f t="shared" ref="B834:S834" si="459">AVERAGE(B826,B830)</f>
        <v>5</v>
      </c>
      <c r="C834" s="243">
        <f t="shared" si="459"/>
        <v>5</v>
      </c>
      <c r="D834" s="243">
        <f t="shared" si="459"/>
        <v>5</v>
      </c>
      <c r="E834" s="243">
        <f t="shared" si="459"/>
        <v>5</v>
      </c>
      <c r="F834" s="243">
        <f t="shared" si="459"/>
        <v>5</v>
      </c>
      <c r="G834" s="243">
        <f t="shared" si="459"/>
        <v>5</v>
      </c>
      <c r="H834" s="243">
        <f t="shared" si="459"/>
        <v>5</v>
      </c>
      <c r="I834" s="243">
        <f t="shared" si="459"/>
        <v>5</v>
      </c>
      <c r="J834" s="243">
        <f t="shared" si="459"/>
        <v>5</v>
      </c>
      <c r="K834" s="243">
        <f t="shared" si="459"/>
        <v>5</v>
      </c>
      <c r="L834" s="243">
        <f t="shared" si="459"/>
        <v>5</v>
      </c>
      <c r="M834" s="243">
        <f t="shared" si="459"/>
        <v>5</v>
      </c>
      <c r="N834" s="243">
        <f t="shared" si="459"/>
        <v>5</v>
      </c>
      <c r="O834" s="243">
        <f t="shared" si="459"/>
        <v>5</v>
      </c>
      <c r="P834" s="243">
        <f t="shared" si="459"/>
        <v>5</v>
      </c>
      <c r="Q834" s="243">
        <f t="shared" si="459"/>
        <v>5</v>
      </c>
      <c r="R834" s="243">
        <f t="shared" si="459"/>
        <v>5</v>
      </c>
      <c r="S834" s="398">
        <f t="shared" si="459"/>
        <v>5</v>
      </c>
    </row>
    <row r="835" spans="1:19" ht="12.75" customHeight="1" x14ac:dyDescent="0.2">
      <c r="A835" s="188" t="str">
        <f>"      "&amp;Labels!C316</f>
        <v xml:space="preserve">      Total</v>
      </c>
      <c r="B835" s="241">
        <f t="shared" ref="B835:S835" si="460">AVERAGE(B827,B831)</f>
        <v>5</v>
      </c>
      <c r="C835" s="241">
        <f t="shared" si="460"/>
        <v>5</v>
      </c>
      <c r="D835" s="241">
        <f t="shared" si="460"/>
        <v>5</v>
      </c>
      <c r="E835" s="241">
        <f t="shared" si="460"/>
        <v>5</v>
      </c>
      <c r="F835" s="241">
        <f t="shared" si="460"/>
        <v>5</v>
      </c>
      <c r="G835" s="241">
        <f t="shared" si="460"/>
        <v>5</v>
      </c>
      <c r="H835" s="241">
        <f t="shared" si="460"/>
        <v>5</v>
      </c>
      <c r="I835" s="241">
        <f t="shared" si="460"/>
        <v>5</v>
      </c>
      <c r="J835" s="241">
        <f t="shared" si="460"/>
        <v>5</v>
      </c>
      <c r="K835" s="241">
        <f t="shared" si="460"/>
        <v>5</v>
      </c>
      <c r="L835" s="241">
        <f t="shared" si="460"/>
        <v>5</v>
      </c>
      <c r="M835" s="241">
        <f t="shared" si="460"/>
        <v>5</v>
      </c>
      <c r="N835" s="241">
        <f t="shared" si="460"/>
        <v>5</v>
      </c>
      <c r="O835" s="241">
        <f t="shared" si="460"/>
        <v>5</v>
      </c>
      <c r="P835" s="241">
        <f t="shared" si="460"/>
        <v>5</v>
      </c>
      <c r="Q835" s="241">
        <f t="shared" si="460"/>
        <v>5</v>
      </c>
      <c r="R835" s="241">
        <f t="shared" si="460"/>
        <v>5</v>
      </c>
      <c r="S835" s="352">
        <f t="shared" si="460"/>
        <v>5</v>
      </c>
    </row>
    <row r="836" spans="1:19" ht="12.75" customHeight="1" x14ac:dyDescent="0.2">
      <c r="A836" s="191" t="str">
        <f>Labels!B382</f>
        <v>Practice 2</v>
      </c>
      <c r="B836" s="245"/>
      <c r="C836" s="245"/>
      <c r="D836" s="245"/>
      <c r="E836" s="245"/>
      <c r="F836" s="245"/>
      <c r="G836" s="245"/>
      <c r="H836" s="245"/>
      <c r="I836" s="245"/>
      <c r="J836" s="245"/>
      <c r="K836" s="245"/>
      <c r="L836" s="245"/>
      <c r="M836" s="245"/>
      <c r="N836" s="245"/>
      <c r="O836" s="245"/>
      <c r="P836" s="245"/>
      <c r="Q836" s="245"/>
      <c r="R836" s="245"/>
      <c r="S836" s="353"/>
    </row>
    <row r="837" spans="1:19" ht="12.75" customHeight="1" x14ac:dyDescent="0.2">
      <c r="A837" s="188" t="str">
        <f>"   "&amp;Labels!B385</f>
        <v xml:space="preserve">   Prof Level 1</v>
      </c>
      <c r="B837" s="241"/>
      <c r="C837" s="241"/>
      <c r="D837" s="241"/>
      <c r="E837" s="241"/>
      <c r="F837" s="241"/>
      <c r="G837" s="241"/>
      <c r="H837" s="241"/>
      <c r="I837" s="241"/>
      <c r="J837" s="241"/>
      <c r="K837" s="241"/>
      <c r="L837" s="241"/>
      <c r="M837" s="241"/>
      <c r="N837" s="241"/>
      <c r="O837" s="241"/>
      <c r="P837" s="241"/>
      <c r="Q837" s="241"/>
      <c r="R837" s="241"/>
      <c r="S837" s="352"/>
    </row>
    <row r="838" spans="1:19" ht="12.75" customHeight="1" x14ac:dyDescent="0.2">
      <c r="A838" s="198" t="str">
        <f>"      "&amp;Labels!B317</f>
        <v xml:space="preserve">      Channels 1</v>
      </c>
      <c r="B838" s="243">
        <f>Inputs!F157</f>
        <v>5</v>
      </c>
      <c r="C838" s="243">
        <f>Inputs!G157</f>
        <v>5</v>
      </c>
      <c r="D838" s="243">
        <f>Inputs!H157</f>
        <v>5</v>
      </c>
      <c r="E838" s="243">
        <f>Inputs!I157</f>
        <v>5</v>
      </c>
      <c r="F838" s="243">
        <f>Inputs!J157</f>
        <v>5</v>
      </c>
      <c r="G838" s="243">
        <f>Inputs!K157</f>
        <v>5</v>
      </c>
      <c r="H838" s="243">
        <f>Inputs!L157</f>
        <v>5</v>
      </c>
      <c r="I838" s="243">
        <f>Inputs!M157</f>
        <v>5</v>
      </c>
      <c r="J838" s="243">
        <f>Inputs!N157</f>
        <v>5</v>
      </c>
      <c r="K838" s="243">
        <f>Inputs!O157</f>
        <v>5</v>
      </c>
      <c r="L838" s="243">
        <f>Inputs!P157</f>
        <v>5</v>
      </c>
      <c r="M838" s="243">
        <f>Inputs!Q157</f>
        <v>5</v>
      </c>
      <c r="N838" s="243">
        <f>Inputs!R157</f>
        <v>5</v>
      </c>
      <c r="O838" s="243">
        <f>Inputs!S157</f>
        <v>5</v>
      </c>
      <c r="P838" s="243">
        <f>Inputs!T157</f>
        <v>5</v>
      </c>
      <c r="Q838" s="243">
        <f>Inputs!U157</f>
        <v>5</v>
      </c>
      <c r="R838" s="243">
        <f>Inputs!V157</f>
        <v>5</v>
      </c>
      <c r="S838" s="398">
        <f>Inputs!W157</f>
        <v>5</v>
      </c>
    </row>
    <row r="839" spans="1:19" ht="12.75" customHeight="1" x14ac:dyDescent="0.2">
      <c r="A839" s="198" t="str">
        <f>"      "&amp;Labels!B318</f>
        <v xml:space="preserve">      Channels 2</v>
      </c>
      <c r="B839" s="243">
        <f>Inputs!F158</f>
        <v>5</v>
      </c>
      <c r="C839" s="243">
        <f>Inputs!G158</f>
        <v>5</v>
      </c>
      <c r="D839" s="243">
        <f>Inputs!H158</f>
        <v>5</v>
      </c>
      <c r="E839" s="243">
        <f>Inputs!I158</f>
        <v>5</v>
      </c>
      <c r="F839" s="243">
        <f>Inputs!J158</f>
        <v>5</v>
      </c>
      <c r="G839" s="243">
        <f>Inputs!K158</f>
        <v>5</v>
      </c>
      <c r="H839" s="243">
        <f>Inputs!L158</f>
        <v>5</v>
      </c>
      <c r="I839" s="243">
        <f>Inputs!M158</f>
        <v>5</v>
      </c>
      <c r="J839" s="243">
        <f>Inputs!N158</f>
        <v>5</v>
      </c>
      <c r="K839" s="243">
        <f>Inputs!O158</f>
        <v>5</v>
      </c>
      <c r="L839" s="243">
        <f>Inputs!P158</f>
        <v>5</v>
      </c>
      <c r="M839" s="243">
        <f>Inputs!Q158</f>
        <v>5</v>
      </c>
      <c r="N839" s="243">
        <f>Inputs!R158</f>
        <v>5</v>
      </c>
      <c r="O839" s="243">
        <f>Inputs!S158</f>
        <v>5</v>
      </c>
      <c r="P839" s="243">
        <f>Inputs!T158</f>
        <v>5</v>
      </c>
      <c r="Q839" s="243">
        <f>Inputs!U158</f>
        <v>5</v>
      </c>
      <c r="R839" s="243">
        <f>Inputs!V158</f>
        <v>5</v>
      </c>
      <c r="S839" s="398">
        <f>Inputs!W158</f>
        <v>5</v>
      </c>
    </row>
    <row r="840" spans="1:19" ht="12.75" customHeight="1" x14ac:dyDescent="0.2">
      <c r="A840" s="188" t="str">
        <f>"      "&amp;Labels!C316</f>
        <v xml:space="preserve">      Total</v>
      </c>
      <c r="B840" s="241">
        <f t="shared" ref="B840:S840" si="461">AVERAGE(B838:B839)</f>
        <v>5</v>
      </c>
      <c r="C840" s="241">
        <f t="shared" si="461"/>
        <v>5</v>
      </c>
      <c r="D840" s="241">
        <f t="shared" si="461"/>
        <v>5</v>
      </c>
      <c r="E840" s="241">
        <f t="shared" si="461"/>
        <v>5</v>
      </c>
      <c r="F840" s="241">
        <f t="shared" si="461"/>
        <v>5</v>
      </c>
      <c r="G840" s="241">
        <f t="shared" si="461"/>
        <v>5</v>
      </c>
      <c r="H840" s="241">
        <f t="shared" si="461"/>
        <v>5</v>
      </c>
      <c r="I840" s="241">
        <f t="shared" si="461"/>
        <v>5</v>
      </c>
      <c r="J840" s="241">
        <f t="shared" si="461"/>
        <v>5</v>
      </c>
      <c r="K840" s="241">
        <f t="shared" si="461"/>
        <v>5</v>
      </c>
      <c r="L840" s="241">
        <f t="shared" si="461"/>
        <v>5</v>
      </c>
      <c r="M840" s="241">
        <f t="shared" si="461"/>
        <v>5</v>
      </c>
      <c r="N840" s="241">
        <f t="shared" si="461"/>
        <v>5</v>
      </c>
      <c r="O840" s="241">
        <f t="shared" si="461"/>
        <v>5</v>
      </c>
      <c r="P840" s="241">
        <f t="shared" si="461"/>
        <v>5</v>
      </c>
      <c r="Q840" s="241">
        <f t="shared" si="461"/>
        <v>5</v>
      </c>
      <c r="R840" s="241">
        <f t="shared" si="461"/>
        <v>5</v>
      </c>
      <c r="S840" s="352">
        <f t="shared" si="461"/>
        <v>5</v>
      </c>
    </row>
    <row r="841" spans="1:19" ht="12.75" customHeight="1" x14ac:dyDescent="0.2">
      <c r="A841" s="188" t="str">
        <f>"   "&amp;Labels!B386</f>
        <v xml:space="preserve">   Prof Level 2</v>
      </c>
      <c r="B841" s="241"/>
      <c r="C841" s="241"/>
      <c r="D841" s="241"/>
      <c r="E841" s="241"/>
      <c r="F841" s="241"/>
      <c r="G841" s="241"/>
      <c r="H841" s="241"/>
      <c r="I841" s="241"/>
      <c r="J841" s="241"/>
      <c r="K841" s="241"/>
      <c r="L841" s="241"/>
      <c r="M841" s="241"/>
      <c r="N841" s="241"/>
      <c r="O841" s="241"/>
      <c r="P841" s="241"/>
      <c r="Q841" s="241"/>
      <c r="R841" s="241"/>
      <c r="S841" s="352"/>
    </row>
    <row r="842" spans="1:19" ht="12.75" customHeight="1" x14ac:dyDescent="0.2">
      <c r="A842" s="198" t="str">
        <f>"      "&amp;Labels!B317</f>
        <v xml:space="preserve">      Channels 1</v>
      </c>
      <c r="B842" s="243">
        <f>Inputs!F159</f>
        <v>5</v>
      </c>
      <c r="C842" s="243">
        <f>Inputs!G159</f>
        <v>5</v>
      </c>
      <c r="D842" s="243">
        <f>Inputs!H159</f>
        <v>5</v>
      </c>
      <c r="E842" s="243">
        <f>Inputs!I159</f>
        <v>5</v>
      </c>
      <c r="F842" s="243">
        <f>Inputs!J159</f>
        <v>5</v>
      </c>
      <c r="G842" s="243">
        <f>Inputs!K159</f>
        <v>5</v>
      </c>
      <c r="H842" s="243">
        <f>Inputs!L159</f>
        <v>5</v>
      </c>
      <c r="I842" s="243">
        <f>Inputs!M159</f>
        <v>5</v>
      </c>
      <c r="J842" s="243">
        <f>Inputs!N159</f>
        <v>5</v>
      </c>
      <c r="K842" s="243">
        <f>Inputs!O159</f>
        <v>5</v>
      </c>
      <c r="L842" s="243">
        <f>Inputs!P159</f>
        <v>5</v>
      </c>
      <c r="M842" s="243">
        <f>Inputs!Q159</f>
        <v>5</v>
      </c>
      <c r="N842" s="243">
        <f>Inputs!R159</f>
        <v>5</v>
      </c>
      <c r="O842" s="243">
        <f>Inputs!S159</f>
        <v>5</v>
      </c>
      <c r="P842" s="243">
        <f>Inputs!T159</f>
        <v>5</v>
      </c>
      <c r="Q842" s="243">
        <f>Inputs!U159</f>
        <v>5</v>
      </c>
      <c r="R842" s="243">
        <f>Inputs!V159</f>
        <v>5</v>
      </c>
      <c r="S842" s="398">
        <f>Inputs!W159</f>
        <v>5</v>
      </c>
    </row>
    <row r="843" spans="1:19" ht="12.75" customHeight="1" x14ac:dyDescent="0.2">
      <c r="A843" s="198" t="str">
        <f>"      "&amp;Labels!B318</f>
        <v xml:space="preserve">      Channels 2</v>
      </c>
      <c r="B843" s="243">
        <f>Inputs!F160</f>
        <v>5</v>
      </c>
      <c r="C843" s="243">
        <f>Inputs!G160</f>
        <v>5</v>
      </c>
      <c r="D843" s="243">
        <f>Inputs!H160</f>
        <v>5</v>
      </c>
      <c r="E843" s="243">
        <f>Inputs!I160</f>
        <v>5</v>
      </c>
      <c r="F843" s="243">
        <f>Inputs!J160</f>
        <v>5</v>
      </c>
      <c r="G843" s="243">
        <f>Inputs!K160</f>
        <v>5</v>
      </c>
      <c r="H843" s="243">
        <f>Inputs!L160</f>
        <v>5</v>
      </c>
      <c r="I843" s="243">
        <f>Inputs!M160</f>
        <v>5</v>
      </c>
      <c r="J843" s="243">
        <f>Inputs!N160</f>
        <v>5</v>
      </c>
      <c r="K843" s="243">
        <f>Inputs!O160</f>
        <v>5</v>
      </c>
      <c r="L843" s="243">
        <f>Inputs!P160</f>
        <v>5</v>
      </c>
      <c r="M843" s="243">
        <f>Inputs!Q160</f>
        <v>5</v>
      </c>
      <c r="N843" s="243">
        <f>Inputs!R160</f>
        <v>5</v>
      </c>
      <c r="O843" s="243">
        <f>Inputs!S160</f>
        <v>5</v>
      </c>
      <c r="P843" s="243">
        <f>Inputs!T160</f>
        <v>5</v>
      </c>
      <c r="Q843" s="243">
        <f>Inputs!U160</f>
        <v>5</v>
      </c>
      <c r="R843" s="243">
        <f>Inputs!V160</f>
        <v>5</v>
      </c>
      <c r="S843" s="398">
        <f>Inputs!W160</f>
        <v>5</v>
      </c>
    </row>
    <row r="844" spans="1:19" ht="12.75" customHeight="1" x14ac:dyDescent="0.2">
      <c r="A844" s="188" t="str">
        <f>"      "&amp;Labels!C316</f>
        <v xml:space="preserve">      Total</v>
      </c>
      <c r="B844" s="241">
        <f t="shared" ref="B844:S844" si="462">AVERAGE(B842:B843)</f>
        <v>5</v>
      </c>
      <c r="C844" s="241">
        <f t="shared" si="462"/>
        <v>5</v>
      </c>
      <c r="D844" s="241">
        <f t="shared" si="462"/>
        <v>5</v>
      </c>
      <c r="E844" s="241">
        <f t="shared" si="462"/>
        <v>5</v>
      </c>
      <c r="F844" s="241">
        <f t="shared" si="462"/>
        <v>5</v>
      </c>
      <c r="G844" s="241">
        <f t="shared" si="462"/>
        <v>5</v>
      </c>
      <c r="H844" s="241">
        <f t="shared" si="462"/>
        <v>5</v>
      </c>
      <c r="I844" s="241">
        <f t="shared" si="462"/>
        <v>5</v>
      </c>
      <c r="J844" s="241">
        <f t="shared" si="462"/>
        <v>5</v>
      </c>
      <c r="K844" s="241">
        <f t="shared" si="462"/>
        <v>5</v>
      </c>
      <c r="L844" s="241">
        <f t="shared" si="462"/>
        <v>5</v>
      </c>
      <c r="M844" s="241">
        <f t="shared" si="462"/>
        <v>5</v>
      </c>
      <c r="N844" s="241">
        <f t="shared" si="462"/>
        <v>5</v>
      </c>
      <c r="O844" s="241">
        <f t="shared" si="462"/>
        <v>5</v>
      </c>
      <c r="P844" s="241">
        <f t="shared" si="462"/>
        <v>5</v>
      </c>
      <c r="Q844" s="241">
        <f t="shared" si="462"/>
        <v>5</v>
      </c>
      <c r="R844" s="241">
        <f t="shared" si="462"/>
        <v>5</v>
      </c>
      <c r="S844" s="352">
        <f t="shared" si="462"/>
        <v>5</v>
      </c>
    </row>
    <row r="845" spans="1:19" ht="12.75" customHeight="1" x14ac:dyDescent="0.2">
      <c r="A845" s="191" t="str">
        <f>"   "&amp;Labels!C384</f>
        <v xml:space="preserve">   Total</v>
      </c>
      <c r="B845" s="245">
        <f t="shared" ref="B845:S845" si="463">AVERAGE(B840,B844)</f>
        <v>5</v>
      </c>
      <c r="C845" s="245">
        <f t="shared" si="463"/>
        <v>5</v>
      </c>
      <c r="D845" s="245">
        <f t="shared" si="463"/>
        <v>5</v>
      </c>
      <c r="E845" s="245">
        <f t="shared" si="463"/>
        <v>5</v>
      </c>
      <c r="F845" s="245">
        <f t="shared" si="463"/>
        <v>5</v>
      </c>
      <c r="G845" s="245">
        <f t="shared" si="463"/>
        <v>5</v>
      </c>
      <c r="H845" s="245">
        <f t="shared" si="463"/>
        <v>5</v>
      </c>
      <c r="I845" s="245">
        <f t="shared" si="463"/>
        <v>5</v>
      </c>
      <c r="J845" s="245">
        <f t="shared" si="463"/>
        <v>5</v>
      </c>
      <c r="K845" s="245">
        <f t="shared" si="463"/>
        <v>5</v>
      </c>
      <c r="L845" s="245">
        <f t="shared" si="463"/>
        <v>5</v>
      </c>
      <c r="M845" s="245">
        <f t="shared" si="463"/>
        <v>5</v>
      </c>
      <c r="N845" s="245">
        <f t="shared" si="463"/>
        <v>5</v>
      </c>
      <c r="O845" s="245">
        <f t="shared" si="463"/>
        <v>5</v>
      </c>
      <c r="P845" s="245">
        <f t="shared" si="463"/>
        <v>5</v>
      </c>
      <c r="Q845" s="245">
        <f t="shared" si="463"/>
        <v>5</v>
      </c>
      <c r="R845" s="245">
        <f t="shared" si="463"/>
        <v>5</v>
      </c>
      <c r="S845" s="353">
        <f t="shared" si="463"/>
        <v>5</v>
      </c>
    </row>
    <row r="846" spans="1:19" ht="12.75" customHeight="1" x14ac:dyDescent="0.2">
      <c r="A846" s="198" t="str">
        <f>"      "&amp;Labels!B317</f>
        <v xml:space="preserve">      Channels 1</v>
      </c>
      <c r="B846" s="243">
        <f t="shared" ref="B846:S846" si="464">AVERAGE(B838,B842)</f>
        <v>5</v>
      </c>
      <c r="C846" s="243">
        <f t="shared" si="464"/>
        <v>5</v>
      </c>
      <c r="D846" s="243">
        <f t="shared" si="464"/>
        <v>5</v>
      </c>
      <c r="E846" s="243">
        <f t="shared" si="464"/>
        <v>5</v>
      </c>
      <c r="F846" s="243">
        <f t="shared" si="464"/>
        <v>5</v>
      </c>
      <c r="G846" s="243">
        <f t="shared" si="464"/>
        <v>5</v>
      </c>
      <c r="H846" s="243">
        <f t="shared" si="464"/>
        <v>5</v>
      </c>
      <c r="I846" s="243">
        <f t="shared" si="464"/>
        <v>5</v>
      </c>
      <c r="J846" s="243">
        <f t="shared" si="464"/>
        <v>5</v>
      </c>
      <c r="K846" s="243">
        <f t="shared" si="464"/>
        <v>5</v>
      </c>
      <c r="L846" s="243">
        <f t="shared" si="464"/>
        <v>5</v>
      </c>
      <c r="M846" s="243">
        <f t="shared" si="464"/>
        <v>5</v>
      </c>
      <c r="N846" s="243">
        <f t="shared" si="464"/>
        <v>5</v>
      </c>
      <c r="O846" s="243">
        <f t="shared" si="464"/>
        <v>5</v>
      </c>
      <c r="P846" s="243">
        <f t="shared" si="464"/>
        <v>5</v>
      </c>
      <c r="Q846" s="243">
        <f t="shared" si="464"/>
        <v>5</v>
      </c>
      <c r="R846" s="243">
        <f t="shared" si="464"/>
        <v>5</v>
      </c>
      <c r="S846" s="398">
        <f t="shared" si="464"/>
        <v>5</v>
      </c>
    </row>
    <row r="847" spans="1:19" ht="12.75" customHeight="1" x14ac:dyDescent="0.2">
      <c r="A847" s="198" t="str">
        <f>"      "&amp;Labels!B318</f>
        <v xml:space="preserve">      Channels 2</v>
      </c>
      <c r="B847" s="243">
        <f t="shared" ref="B847:S847" si="465">AVERAGE(B839,B843)</f>
        <v>5</v>
      </c>
      <c r="C847" s="243">
        <f t="shared" si="465"/>
        <v>5</v>
      </c>
      <c r="D847" s="243">
        <f t="shared" si="465"/>
        <v>5</v>
      </c>
      <c r="E847" s="243">
        <f t="shared" si="465"/>
        <v>5</v>
      </c>
      <c r="F847" s="243">
        <f t="shared" si="465"/>
        <v>5</v>
      </c>
      <c r="G847" s="243">
        <f t="shared" si="465"/>
        <v>5</v>
      </c>
      <c r="H847" s="243">
        <f t="shared" si="465"/>
        <v>5</v>
      </c>
      <c r="I847" s="243">
        <f t="shared" si="465"/>
        <v>5</v>
      </c>
      <c r="J847" s="243">
        <f t="shared" si="465"/>
        <v>5</v>
      </c>
      <c r="K847" s="243">
        <f t="shared" si="465"/>
        <v>5</v>
      </c>
      <c r="L847" s="243">
        <f t="shared" si="465"/>
        <v>5</v>
      </c>
      <c r="M847" s="243">
        <f t="shared" si="465"/>
        <v>5</v>
      </c>
      <c r="N847" s="243">
        <f t="shared" si="465"/>
        <v>5</v>
      </c>
      <c r="O847" s="243">
        <f t="shared" si="465"/>
        <v>5</v>
      </c>
      <c r="P847" s="243">
        <f t="shared" si="465"/>
        <v>5</v>
      </c>
      <c r="Q847" s="243">
        <f t="shared" si="465"/>
        <v>5</v>
      </c>
      <c r="R847" s="243">
        <f t="shared" si="465"/>
        <v>5</v>
      </c>
      <c r="S847" s="398">
        <f t="shared" si="465"/>
        <v>5</v>
      </c>
    </row>
    <row r="848" spans="1:19" ht="12.75" customHeight="1" x14ac:dyDescent="0.2">
      <c r="A848" s="188" t="str">
        <f>"      "&amp;Labels!C316</f>
        <v xml:space="preserve">      Total</v>
      </c>
      <c r="B848" s="241">
        <f t="shared" ref="B848:S848" si="466">AVERAGE(B840,B844)</f>
        <v>5</v>
      </c>
      <c r="C848" s="241">
        <f t="shared" si="466"/>
        <v>5</v>
      </c>
      <c r="D848" s="241">
        <f t="shared" si="466"/>
        <v>5</v>
      </c>
      <c r="E848" s="241">
        <f t="shared" si="466"/>
        <v>5</v>
      </c>
      <c r="F848" s="241">
        <f t="shared" si="466"/>
        <v>5</v>
      </c>
      <c r="G848" s="241">
        <f t="shared" si="466"/>
        <v>5</v>
      </c>
      <c r="H848" s="241">
        <f t="shared" si="466"/>
        <v>5</v>
      </c>
      <c r="I848" s="241">
        <f t="shared" si="466"/>
        <v>5</v>
      </c>
      <c r="J848" s="241">
        <f t="shared" si="466"/>
        <v>5</v>
      </c>
      <c r="K848" s="241">
        <f t="shared" si="466"/>
        <v>5</v>
      </c>
      <c r="L848" s="241">
        <f t="shared" si="466"/>
        <v>5</v>
      </c>
      <c r="M848" s="241">
        <f t="shared" si="466"/>
        <v>5</v>
      </c>
      <c r="N848" s="241">
        <f t="shared" si="466"/>
        <v>5</v>
      </c>
      <c r="O848" s="241">
        <f t="shared" si="466"/>
        <v>5</v>
      </c>
      <c r="P848" s="241">
        <f t="shared" si="466"/>
        <v>5</v>
      </c>
      <c r="Q848" s="241">
        <f t="shared" si="466"/>
        <v>5</v>
      </c>
      <c r="R848" s="241">
        <f t="shared" si="466"/>
        <v>5</v>
      </c>
      <c r="S848" s="352">
        <f t="shared" si="466"/>
        <v>5</v>
      </c>
    </row>
    <row r="849" spans="1:19" ht="12.75" customHeight="1" x14ac:dyDescent="0.2">
      <c r="A849" s="97" t="str">
        <f>Labels!C380</f>
        <v>Total</v>
      </c>
      <c r="B849" s="199">
        <f t="shared" ref="B849:S849" si="467">AVERAGE(B832,B845)</f>
        <v>5</v>
      </c>
      <c r="C849" s="199">
        <f t="shared" si="467"/>
        <v>5</v>
      </c>
      <c r="D849" s="199">
        <f t="shared" si="467"/>
        <v>5</v>
      </c>
      <c r="E849" s="199">
        <f t="shared" si="467"/>
        <v>5</v>
      </c>
      <c r="F849" s="199">
        <f t="shared" si="467"/>
        <v>5</v>
      </c>
      <c r="G849" s="199">
        <f t="shared" si="467"/>
        <v>5</v>
      </c>
      <c r="H849" s="199">
        <f t="shared" si="467"/>
        <v>5</v>
      </c>
      <c r="I849" s="199">
        <f t="shared" si="467"/>
        <v>5</v>
      </c>
      <c r="J849" s="199">
        <f t="shared" si="467"/>
        <v>5</v>
      </c>
      <c r="K849" s="199">
        <f t="shared" si="467"/>
        <v>5</v>
      </c>
      <c r="L849" s="199">
        <f t="shared" si="467"/>
        <v>5</v>
      </c>
      <c r="M849" s="199">
        <f t="shared" si="467"/>
        <v>5</v>
      </c>
      <c r="N849" s="199">
        <f t="shared" si="467"/>
        <v>5</v>
      </c>
      <c r="O849" s="199">
        <f t="shared" si="467"/>
        <v>5</v>
      </c>
      <c r="P849" s="199">
        <f t="shared" si="467"/>
        <v>5</v>
      </c>
      <c r="Q849" s="199">
        <f t="shared" si="467"/>
        <v>5</v>
      </c>
      <c r="R849" s="199">
        <f t="shared" si="467"/>
        <v>5</v>
      </c>
      <c r="S849" s="354">
        <f t="shared" si="467"/>
        <v>5</v>
      </c>
    </row>
    <row r="850" spans="1:19" ht="12.75" customHeight="1" x14ac:dyDescent="0.2">
      <c r="A850" s="188" t="str">
        <f>"   "&amp;Labels!B385</f>
        <v xml:space="preserve">   Prof Level 1</v>
      </c>
      <c r="B850" s="241"/>
      <c r="C850" s="241"/>
      <c r="D850" s="241"/>
      <c r="E850" s="241"/>
      <c r="F850" s="241"/>
      <c r="G850" s="241"/>
      <c r="H850" s="241"/>
      <c r="I850" s="241"/>
      <c r="J850" s="241"/>
      <c r="K850" s="241"/>
      <c r="L850" s="241"/>
      <c r="M850" s="241"/>
      <c r="N850" s="241"/>
      <c r="O850" s="241"/>
      <c r="P850" s="241"/>
      <c r="Q850" s="241"/>
      <c r="R850" s="241"/>
      <c r="S850" s="352"/>
    </row>
    <row r="851" spans="1:19" ht="12.75" customHeight="1" x14ac:dyDescent="0.2">
      <c r="A851" s="198" t="str">
        <f>"      "&amp;Labels!B317</f>
        <v xml:space="preserve">      Channels 1</v>
      </c>
      <c r="B851" s="243">
        <f t="shared" ref="B851:S851" si="468">AVERAGE(B825,B838)</f>
        <v>5</v>
      </c>
      <c r="C851" s="243">
        <f t="shared" si="468"/>
        <v>5</v>
      </c>
      <c r="D851" s="243">
        <f t="shared" si="468"/>
        <v>5</v>
      </c>
      <c r="E851" s="243">
        <f t="shared" si="468"/>
        <v>5</v>
      </c>
      <c r="F851" s="243">
        <f t="shared" si="468"/>
        <v>5</v>
      </c>
      <c r="G851" s="243">
        <f t="shared" si="468"/>
        <v>5</v>
      </c>
      <c r="H851" s="243">
        <f t="shared" si="468"/>
        <v>5</v>
      </c>
      <c r="I851" s="243">
        <f t="shared" si="468"/>
        <v>5</v>
      </c>
      <c r="J851" s="243">
        <f t="shared" si="468"/>
        <v>5</v>
      </c>
      <c r="K851" s="243">
        <f t="shared" si="468"/>
        <v>5</v>
      </c>
      <c r="L851" s="243">
        <f t="shared" si="468"/>
        <v>5</v>
      </c>
      <c r="M851" s="243">
        <f t="shared" si="468"/>
        <v>5</v>
      </c>
      <c r="N851" s="243">
        <f t="shared" si="468"/>
        <v>5</v>
      </c>
      <c r="O851" s="243">
        <f t="shared" si="468"/>
        <v>5</v>
      </c>
      <c r="P851" s="243">
        <f t="shared" si="468"/>
        <v>5</v>
      </c>
      <c r="Q851" s="243">
        <f t="shared" si="468"/>
        <v>5</v>
      </c>
      <c r="R851" s="243">
        <f t="shared" si="468"/>
        <v>5</v>
      </c>
      <c r="S851" s="398">
        <f t="shared" si="468"/>
        <v>5</v>
      </c>
    </row>
    <row r="852" spans="1:19" ht="12.75" customHeight="1" x14ac:dyDescent="0.2">
      <c r="A852" s="198" t="str">
        <f>"      "&amp;Labels!B318</f>
        <v xml:space="preserve">      Channels 2</v>
      </c>
      <c r="B852" s="243">
        <f t="shared" ref="B852:S852" si="469">AVERAGE(B826,B839)</f>
        <v>5</v>
      </c>
      <c r="C852" s="243">
        <f t="shared" si="469"/>
        <v>5</v>
      </c>
      <c r="D852" s="243">
        <f t="shared" si="469"/>
        <v>5</v>
      </c>
      <c r="E852" s="243">
        <f t="shared" si="469"/>
        <v>5</v>
      </c>
      <c r="F852" s="243">
        <f t="shared" si="469"/>
        <v>5</v>
      </c>
      <c r="G852" s="243">
        <f t="shared" si="469"/>
        <v>5</v>
      </c>
      <c r="H852" s="243">
        <f t="shared" si="469"/>
        <v>5</v>
      </c>
      <c r="I852" s="243">
        <f t="shared" si="469"/>
        <v>5</v>
      </c>
      <c r="J852" s="243">
        <f t="shared" si="469"/>
        <v>5</v>
      </c>
      <c r="K852" s="243">
        <f t="shared" si="469"/>
        <v>5</v>
      </c>
      <c r="L852" s="243">
        <f t="shared" si="469"/>
        <v>5</v>
      </c>
      <c r="M852" s="243">
        <f t="shared" si="469"/>
        <v>5</v>
      </c>
      <c r="N852" s="243">
        <f t="shared" si="469"/>
        <v>5</v>
      </c>
      <c r="O852" s="243">
        <f t="shared" si="469"/>
        <v>5</v>
      </c>
      <c r="P852" s="243">
        <f t="shared" si="469"/>
        <v>5</v>
      </c>
      <c r="Q852" s="243">
        <f t="shared" si="469"/>
        <v>5</v>
      </c>
      <c r="R852" s="243">
        <f t="shared" si="469"/>
        <v>5</v>
      </c>
      <c r="S852" s="398">
        <f t="shared" si="469"/>
        <v>5</v>
      </c>
    </row>
    <row r="853" spans="1:19" ht="12.75" customHeight="1" x14ac:dyDescent="0.2">
      <c r="A853" s="188" t="str">
        <f>"      "&amp;Labels!C316</f>
        <v xml:space="preserve">      Total</v>
      </c>
      <c r="B853" s="241">
        <f t="shared" ref="B853:S853" si="470">AVERAGE(B827,B840)</f>
        <v>5</v>
      </c>
      <c r="C853" s="241">
        <f t="shared" si="470"/>
        <v>5</v>
      </c>
      <c r="D853" s="241">
        <f t="shared" si="470"/>
        <v>5</v>
      </c>
      <c r="E853" s="241">
        <f t="shared" si="470"/>
        <v>5</v>
      </c>
      <c r="F853" s="241">
        <f t="shared" si="470"/>
        <v>5</v>
      </c>
      <c r="G853" s="241">
        <f t="shared" si="470"/>
        <v>5</v>
      </c>
      <c r="H853" s="241">
        <f t="shared" si="470"/>
        <v>5</v>
      </c>
      <c r="I853" s="241">
        <f t="shared" si="470"/>
        <v>5</v>
      </c>
      <c r="J853" s="241">
        <f t="shared" si="470"/>
        <v>5</v>
      </c>
      <c r="K853" s="241">
        <f t="shared" si="470"/>
        <v>5</v>
      </c>
      <c r="L853" s="241">
        <f t="shared" si="470"/>
        <v>5</v>
      </c>
      <c r="M853" s="241">
        <f t="shared" si="470"/>
        <v>5</v>
      </c>
      <c r="N853" s="241">
        <f t="shared" si="470"/>
        <v>5</v>
      </c>
      <c r="O853" s="241">
        <f t="shared" si="470"/>
        <v>5</v>
      </c>
      <c r="P853" s="241">
        <f t="shared" si="470"/>
        <v>5</v>
      </c>
      <c r="Q853" s="241">
        <f t="shared" si="470"/>
        <v>5</v>
      </c>
      <c r="R853" s="241">
        <f t="shared" si="470"/>
        <v>5</v>
      </c>
      <c r="S853" s="352">
        <f t="shared" si="470"/>
        <v>5</v>
      </c>
    </row>
    <row r="854" spans="1:19" ht="12.75" customHeight="1" x14ac:dyDescent="0.2">
      <c r="A854" s="188" t="str">
        <f>"   "&amp;Labels!B386</f>
        <v xml:space="preserve">   Prof Level 2</v>
      </c>
      <c r="B854" s="241"/>
      <c r="C854" s="241"/>
      <c r="D854" s="241"/>
      <c r="E854" s="241"/>
      <c r="F854" s="241"/>
      <c r="G854" s="241"/>
      <c r="H854" s="241"/>
      <c r="I854" s="241"/>
      <c r="J854" s="241"/>
      <c r="K854" s="241"/>
      <c r="L854" s="241"/>
      <c r="M854" s="241"/>
      <c r="N854" s="241"/>
      <c r="O854" s="241"/>
      <c r="P854" s="241"/>
      <c r="Q854" s="241"/>
      <c r="R854" s="241"/>
      <c r="S854" s="352"/>
    </row>
    <row r="855" spans="1:19" ht="12.75" customHeight="1" x14ac:dyDescent="0.2">
      <c r="A855" s="198" t="str">
        <f>"      "&amp;Labels!B317</f>
        <v xml:space="preserve">      Channels 1</v>
      </c>
      <c r="B855" s="243">
        <f t="shared" ref="B855:S855" si="471">AVERAGE(B829,B842)</f>
        <v>5</v>
      </c>
      <c r="C855" s="243">
        <f t="shared" si="471"/>
        <v>5</v>
      </c>
      <c r="D855" s="243">
        <f t="shared" si="471"/>
        <v>5</v>
      </c>
      <c r="E855" s="243">
        <f t="shared" si="471"/>
        <v>5</v>
      </c>
      <c r="F855" s="243">
        <f t="shared" si="471"/>
        <v>5</v>
      </c>
      <c r="G855" s="243">
        <f t="shared" si="471"/>
        <v>5</v>
      </c>
      <c r="H855" s="243">
        <f t="shared" si="471"/>
        <v>5</v>
      </c>
      <c r="I855" s="243">
        <f t="shared" si="471"/>
        <v>5</v>
      </c>
      <c r="J855" s="243">
        <f t="shared" si="471"/>
        <v>5</v>
      </c>
      <c r="K855" s="243">
        <f t="shared" si="471"/>
        <v>5</v>
      </c>
      <c r="L855" s="243">
        <f t="shared" si="471"/>
        <v>5</v>
      </c>
      <c r="M855" s="243">
        <f t="shared" si="471"/>
        <v>5</v>
      </c>
      <c r="N855" s="243">
        <f t="shared" si="471"/>
        <v>5</v>
      </c>
      <c r="O855" s="243">
        <f t="shared" si="471"/>
        <v>5</v>
      </c>
      <c r="P855" s="243">
        <f t="shared" si="471"/>
        <v>5</v>
      </c>
      <c r="Q855" s="243">
        <f t="shared" si="471"/>
        <v>5</v>
      </c>
      <c r="R855" s="243">
        <f t="shared" si="471"/>
        <v>5</v>
      </c>
      <c r="S855" s="398">
        <f t="shared" si="471"/>
        <v>5</v>
      </c>
    </row>
    <row r="856" spans="1:19" ht="12.75" customHeight="1" x14ac:dyDescent="0.2">
      <c r="A856" s="198" t="str">
        <f>"      "&amp;Labels!B318</f>
        <v xml:space="preserve">      Channels 2</v>
      </c>
      <c r="B856" s="243">
        <f t="shared" ref="B856:S856" si="472">AVERAGE(B830,B843)</f>
        <v>5</v>
      </c>
      <c r="C856" s="243">
        <f t="shared" si="472"/>
        <v>5</v>
      </c>
      <c r="D856" s="243">
        <f t="shared" si="472"/>
        <v>5</v>
      </c>
      <c r="E856" s="243">
        <f t="shared" si="472"/>
        <v>5</v>
      </c>
      <c r="F856" s="243">
        <f t="shared" si="472"/>
        <v>5</v>
      </c>
      <c r="G856" s="243">
        <f t="shared" si="472"/>
        <v>5</v>
      </c>
      <c r="H856" s="243">
        <f t="shared" si="472"/>
        <v>5</v>
      </c>
      <c r="I856" s="243">
        <f t="shared" si="472"/>
        <v>5</v>
      </c>
      <c r="J856" s="243">
        <f t="shared" si="472"/>
        <v>5</v>
      </c>
      <c r="K856" s="243">
        <f t="shared" si="472"/>
        <v>5</v>
      </c>
      <c r="L856" s="243">
        <f t="shared" si="472"/>
        <v>5</v>
      </c>
      <c r="M856" s="243">
        <f t="shared" si="472"/>
        <v>5</v>
      </c>
      <c r="N856" s="243">
        <f t="shared" si="472"/>
        <v>5</v>
      </c>
      <c r="O856" s="243">
        <f t="shared" si="472"/>
        <v>5</v>
      </c>
      <c r="P856" s="243">
        <f t="shared" si="472"/>
        <v>5</v>
      </c>
      <c r="Q856" s="243">
        <f t="shared" si="472"/>
        <v>5</v>
      </c>
      <c r="R856" s="243">
        <f t="shared" si="472"/>
        <v>5</v>
      </c>
      <c r="S856" s="398">
        <f t="shared" si="472"/>
        <v>5</v>
      </c>
    </row>
    <row r="857" spans="1:19" ht="12.75" customHeight="1" x14ac:dyDescent="0.2">
      <c r="A857" s="188" t="str">
        <f>"      "&amp;Labels!C316</f>
        <v xml:space="preserve">      Total</v>
      </c>
      <c r="B857" s="241">
        <f t="shared" ref="B857:S857" si="473">AVERAGE(B831,B844)</f>
        <v>5</v>
      </c>
      <c r="C857" s="241">
        <f t="shared" si="473"/>
        <v>5</v>
      </c>
      <c r="D857" s="241">
        <f t="shared" si="473"/>
        <v>5</v>
      </c>
      <c r="E857" s="241">
        <f t="shared" si="473"/>
        <v>5</v>
      </c>
      <c r="F857" s="241">
        <f t="shared" si="473"/>
        <v>5</v>
      </c>
      <c r="G857" s="241">
        <f t="shared" si="473"/>
        <v>5</v>
      </c>
      <c r="H857" s="241">
        <f t="shared" si="473"/>
        <v>5</v>
      </c>
      <c r="I857" s="241">
        <f t="shared" si="473"/>
        <v>5</v>
      </c>
      <c r="J857" s="241">
        <f t="shared" si="473"/>
        <v>5</v>
      </c>
      <c r="K857" s="241">
        <f t="shared" si="473"/>
        <v>5</v>
      </c>
      <c r="L857" s="241">
        <f t="shared" si="473"/>
        <v>5</v>
      </c>
      <c r="M857" s="241">
        <f t="shared" si="473"/>
        <v>5</v>
      </c>
      <c r="N857" s="241">
        <f t="shared" si="473"/>
        <v>5</v>
      </c>
      <c r="O857" s="241">
        <f t="shared" si="473"/>
        <v>5</v>
      </c>
      <c r="P857" s="241">
        <f t="shared" si="473"/>
        <v>5</v>
      </c>
      <c r="Q857" s="241">
        <f t="shared" si="473"/>
        <v>5</v>
      </c>
      <c r="R857" s="241">
        <f t="shared" si="473"/>
        <v>5</v>
      </c>
      <c r="S857" s="352">
        <f t="shared" si="473"/>
        <v>5</v>
      </c>
    </row>
    <row r="858" spans="1:19" ht="12.75" customHeight="1" x14ac:dyDescent="0.2">
      <c r="A858" s="191" t="str">
        <f>"   "&amp;Labels!C384</f>
        <v xml:space="preserve">   Total</v>
      </c>
      <c r="B858" s="245">
        <f t="shared" ref="B858:S858" si="474">AVERAGE(B832,B845)</f>
        <v>5</v>
      </c>
      <c r="C858" s="245">
        <f t="shared" si="474"/>
        <v>5</v>
      </c>
      <c r="D858" s="245">
        <f t="shared" si="474"/>
        <v>5</v>
      </c>
      <c r="E858" s="245">
        <f t="shared" si="474"/>
        <v>5</v>
      </c>
      <c r="F858" s="245">
        <f t="shared" si="474"/>
        <v>5</v>
      </c>
      <c r="G858" s="245">
        <f t="shared" si="474"/>
        <v>5</v>
      </c>
      <c r="H858" s="245">
        <f t="shared" si="474"/>
        <v>5</v>
      </c>
      <c r="I858" s="245">
        <f t="shared" si="474"/>
        <v>5</v>
      </c>
      <c r="J858" s="245">
        <f t="shared" si="474"/>
        <v>5</v>
      </c>
      <c r="K858" s="245">
        <f t="shared" si="474"/>
        <v>5</v>
      </c>
      <c r="L858" s="245">
        <f t="shared" si="474"/>
        <v>5</v>
      </c>
      <c r="M858" s="245">
        <f t="shared" si="474"/>
        <v>5</v>
      </c>
      <c r="N858" s="245">
        <f t="shared" si="474"/>
        <v>5</v>
      </c>
      <c r="O858" s="245">
        <f t="shared" si="474"/>
        <v>5</v>
      </c>
      <c r="P858" s="245">
        <f t="shared" si="474"/>
        <v>5</v>
      </c>
      <c r="Q858" s="245">
        <f t="shared" si="474"/>
        <v>5</v>
      </c>
      <c r="R858" s="245">
        <f t="shared" si="474"/>
        <v>5</v>
      </c>
      <c r="S858" s="353">
        <f t="shared" si="474"/>
        <v>5</v>
      </c>
    </row>
    <row r="859" spans="1:19" ht="12.75" customHeight="1" x14ac:dyDescent="0.2">
      <c r="A859" s="198" t="str">
        <f>"      "&amp;Labels!B317</f>
        <v xml:space="preserve">      Channels 1</v>
      </c>
      <c r="B859" s="243">
        <f t="shared" ref="B859:S859" si="475">AVERAGE(B833,B846)</f>
        <v>5</v>
      </c>
      <c r="C859" s="243">
        <f t="shared" si="475"/>
        <v>5</v>
      </c>
      <c r="D859" s="243">
        <f t="shared" si="475"/>
        <v>5</v>
      </c>
      <c r="E859" s="243">
        <f t="shared" si="475"/>
        <v>5</v>
      </c>
      <c r="F859" s="243">
        <f t="shared" si="475"/>
        <v>5</v>
      </c>
      <c r="G859" s="243">
        <f t="shared" si="475"/>
        <v>5</v>
      </c>
      <c r="H859" s="243">
        <f t="shared" si="475"/>
        <v>5</v>
      </c>
      <c r="I859" s="243">
        <f t="shared" si="475"/>
        <v>5</v>
      </c>
      <c r="J859" s="243">
        <f t="shared" si="475"/>
        <v>5</v>
      </c>
      <c r="K859" s="243">
        <f t="shared" si="475"/>
        <v>5</v>
      </c>
      <c r="L859" s="243">
        <f t="shared" si="475"/>
        <v>5</v>
      </c>
      <c r="M859" s="243">
        <f t="shared" si="475"/>
        <v>5</v>
      </c>
      <c r="N859" s="243">
        <f t="shared" si="475"/>
        <v>5</v>
      </c>
      <c r="O859" s="243">
        <f t="shared" si="475"/>
        <v>5</v>
      </c>
      <c r="P859" s="243">
        <f t="shared" si="475"/>
        <v>5</v>
      </c>
      <c r="Q859" s="243">
        <f t="shared" si="475"/>
        <v>5</v>
      </c>
      <c r="R859" s="243">
        <f t="shared" si="475"/>
        <v>5</v>
      </c>
      <c r="S859" s="398">
        <f t="shared" si="475"/>
        <v>5</v>
      </c>
    </row>
    <row r="860" spans="1:19" ht="12.75" customHeight="1" x14ac:dyDescent="0.2">
      <c r="A860" s="198" t="str">
        <f>"      "&amp;Labels!B318</f>
        <v xml:space="preserve">      Channels 2</v>
      </c>
      <c r="B860" s="243">
        <f t="shared" ref="B860:S860" si="476">AVERAGE(B834,B847)</f>
        <v>5</v>
      </c>
      <c r="C860" s="243">
        <f t="shared" si="476"/>
        <v>5</v>
      </c>
      <c r="D860" s="243">
        <f t="shared" si="476"/>
        <v>5</v>
      </c>
      <c r="E860" s="243">
        <f t="shared" si="476"/>
        <v>5</v>
      </c>
      <c r="F860" s="243">
        <f t="shared" si="476"/>
        <v>5</v>
      </c>
      <c r="G860" s="243">
        <f t="shared" si="476"/>
        <v>5</v>
      </c>
      <c r="H860" s="243">
        <f t="shared" si="476"/>
        <v>5</v>
      </c>
      <c r="I860" s="243">
        <f t="shared" si="476"/>
        <v>5</v>
      </c>
      <c r="J860" s="243">
        <f t="shared" si="476"/>
        <v>5</v>
      </c>
      <c r="K860" s="243">
        <f t="shared" si="476"/>
        <v>5</v>
      </c>
      <c r="L860" s="243">
        <f t="shared" si="476"/>
        <v>5</v>
      </c>
      <c r="M860" s="243">
        <f t="shared" si="476"/>
        <v>5</v>
      </c>
      <c r="N860" s="243">
        <f t="shared" si="476"/>
        <v>5</v>
      </c>
      <c r="O860" s="243">
        <f t="shared" si="476"/>
        <v>5</v>
      </c>
      <c r="P860" s="243">
        <f t="shared" si="476"/>
        <v>5</v>
      </c>
      <c r="Q860" s="243">
        <f t="shared" si="476"/>
        <v>5</v>
      </c>
      <c r="R860" s="243">
        <f t="shared" si="476"/>
        <v>5</v>
      </c>
      <c r="S860" s="398">
        <f t="shared" si="476"/>
        <v>5</v>
      </c>
    </row>
    <row r="861" spans="1:19" ht="12.75" customHeight="1" x14ac:dyDescent="0.2">
      <c r="A861" s="220" t="str">
        <f>"      "&amp;Labels!C316</f>
        <v xml:space="preserve">      Total</v>
      </c>
      <c r="B861" s="320">
        <f t="shared" ref="B861:S861" si="477">AVERAGE(B832,B845)</f>
        <v>5</v>
      </c>
      <c r="C861" s="320">
        <f t="shared" si="477"/>
        <v>5</v>
      </c>
      <c r="D861" s="320">
        <f t="shared" si="477"/>
        <v>5</v>
      </c>
      <c r="E861" s="320">
        <f t="shared" si="477"/>
        <v>5</v>
      </c>
      <c r="F861" s="320">
        <f t="shared" si="477"/>
        <v>5</v>
      </c>
      <c r="G861" s="320">
        <f t="shared" si="477"/>
        <v>5</v>
      </c>
      <c r="H861" s="320">
        <f t="shared" si="477"/>
        <v>5</v>
      </c>
      <c r="I861" s="320">
        <f t="shared" si="477"/>
        <v>5</v>
      </c>
      <c r="J861" s="320">
        <f t="shared" si="477"/>
        <v>5</v>
      </c>
      <c r="K861" s="320">
        <f t="shared" si="477"/>
        <v>5</v>
      </c>
      <c r="L861" s="320">
        <f t="shared" si="477"/>
        <v>5</v>
      </c>
      <c r="M861" s="320">
        <f t="shared" si="477"/>
        <v>5</v>
      </c>
      <c r="N861" s="320">
        <f t="shared" si="477"/>
        <v>5</v>
      </c>
      <c r="O861" s="320">
        <f t="shared" si="477"/>
        <v>5</v>
      </c>
      <c r="P861" s="320">
        <f t="shared" si="477"/>
        <v>5</v>
      </c>
      <c r="Q861" s="320">
        <f t="shared" si="477"/>
        <v>5</v>
      </c>
      <c r="R861" s="320">
        <f t="shared" si="477"/>
        <v>5</v>
      </c>
      <c r="S861" s="399">
        <f t="shared" si="477"/>
        <v>5</v>
      </c>
    </row>
    <row r="862" spans="1:19" ht="12.75" customHeight="1" x14ac:dyDescent="0.2">
      <c r="A862" s="1" t="str">
        <f>Labels!B48</f>
        <v>Cost of Supplies / Hr</v>
      </c>
    </row>
    <row r="863" spans="1:19" ht="12.75" customHeight="1" x14ac:dyDescent="0.2">
      <c r="B863" s="9" t="str">
        <f>'(FnCalls 1)'!F41</f>
        <v>MMM 2010</v>
      </c>
      <c r="C863" s="10" t="str">
        <f>'(FnCalls 1)'!F42</f>
        <v>MMM 2010</v>
      </c>
      <c r="D863" s="10" t="str">
        <f>'(FnCalls 1)'!F43</f>
        <v>MMM 2010</v>
      </c>
      <c r="E863" s="10" t="str">
        <f>'(FnCalls 1)'!F44</f>
        <v>MMM 2010</v>
      </c>
      <c r="F863" s="10" t="str">
        <f>'(FnCalls 1)'!F45</f>
        <v>MMM 2010</v>
      </c>
      <c r="G863" s="10" t="str">
        <f>'(FnCalls 1)'!F46</f>
        <v>MMM 2010</v>
      </c>
      <c r="H863" s="10" t="str">
        <f>'(FnCalls 1)'!F47</f>
        <v>MMM 2010</v>
      </c>
      <c r="I863" s="10" t="str">
        <f>'(FnCalls 1)'!F48</f>
        <v>MMM 2010</v>
      </c>
      <c r="J863" s="10" t="str">
        <f>'(FnCalls 1)'!F49</f>
        <v>MMM 2010</v>
      </c>
      <c r="K863" s="10" t="str">
        <f>'(FnCalls 1)'!F50</f>
        <v>MMM 2010</v>
      </c>
      <c r="L863" s="10" t="str">
        <f>'(FnCalls 1)'!F51</f>
        <v>MMM 2010</v>
      </c>
      <c r="M863" s="10" t="str">
        <f>'(FnCalls 1)'!F52</f>
        <v>MMM 2010</v>
      </c>
      <c r="N863" s="10" t="str">
        <f>'(FnCalls 1)'!F53</f>
        <v>MMM 2011</v>
      </c>
      <c r="O863" s="10" t="str">
        <f>'(FnCalls 1)'!F54</f>
        <v>MMM 2011</v>
      </c>
      <c r="P863" s="10" t="str">
        <f>'(FnCalls 1)'!F55</f>
        <v>MMM 2011</v>
      </c>
      <c r="Q863" s="10" t="str">
        <f>'(FnCalls 1)'!F56</f>
        <v>MMM 2011</v>
      </c>
      <c r="R863" s="10" t="str">
        <f>'(FnCalls 1)'!F57</f>
        <v>MMM 2011</v>
      </c>
      <c r="S863" s="11" t="str">
        <f>'(FnCalls 1)'!F58</f>
        <v>MMM 2011</v>
      </c>
    </row>
    <row r="864" spans="1:19" ht="12.75" customHeight="1" x14ac:dyDescent="0.2">
      <c r="A864" s="182" t="str">
        <f>Labels!B381</f>
        <v>Practice 1</v>
      </c>
      <c r="B864" s="239"/>
      <c r="C864" s="239"/>
      <c r="D864" s="239"/>
      <c r="E864" s="239"/>
      <c r="F864" s="239"/>
      <c r="G864" s="239"/>
      <c r="H864" s="239"/>
      <c r="I864" s="239"/>
      <c r="J864" s="239"/>
      <c r="K864" s="239"/>
      <c r="L864" s="239"/>
      <c r="M864" s="239"/>
      <c r="N864" s="239"/>
      <c r="O864" s="239"/>
      <c r="P864" s="239"/>
      <c r="Q864" s="239"/>
      <c r="R864" s="239"/>
      <c r="S864" s="335"/>
    </row>
    <row r="865" spans="1:19" ht="12.75" customHeight="1" x14ac:dyDescent="0.2">
      <c r="A865" s="188" t="str">
        <f>"   "&amp;Labels!B385</f>
        <v xml:space="preserve">   Prof Level 1</v>
      </c>
      <c r="B865" s="241"/>
      <c r="C865" s="241"/>
      <c r="D865" s="241"/>
      <c r="E865" s="241"/>
      <c r="F865" s="241"/>
      <c r="G865" s="241"/>
      <c r="H865" s="241"/>
      <c r="I865" s="241"/>
      <c r="J865" s="241"/>
      <c r="K865" s="241"/>
      <c r="L865" s="241"/>
      <c r="M865" s="241"/>
      <c r="N865" s="241"/>
      <c r="O865" s="241"/>
      <c r="P865" s="241"/>
      <c r="Q865" s="241"/>
      <c r="R865" s="241"/>
      <c r="S865" s="352"/>
    </row>
    <row r="866" spans="1:19" ht="12.75" customHeight="1" x14ac:dyDescent="0.2">
      <c r="A866" s="198" t="str">
        <f>"      "&amp;Labels!B397</f>
        <v xml:space="preserve">      Supply Type 1</v>
      </c>
      <c r="B866" s="243"/>
      <c r="C866" s="243"/>
      <c r="D866" s="243"/>
      <c r="E866" s="243"/>
      <c r="F866" s="243"/>
      <c r="G866" s="243"/>
      <c r="H866" s="243"/>
      <c r="I866" s="243"/>
      <c r="J866" s="243"/>
      <c r="K866" s="243"/>
      <c r="L866" s="243"/>
      <c r="M866" s="243"/>
      <c r="N866" s="243"/>
      <c r="O866" s="243"/>
      <c r="P866" s="243"/>
      <c r="Q866" s="243"/>
      <c r="R866" s="243"/>
      <c r="S866" s="398"/>
    </row>
    <row r="867" spans="1:19" ht="12.75" customHeight="1" x14ac:dyDescent="0.2">
      <c r="A867" s="198" t="str">
        <f>"         "&amp;Labels!B317</f>
        <v xml:space="preserve">         Channels 1</v>
      </c>
      <c r="B867" s="328">
        <f>Inputs!F161</f>
        <v>0</v>
      </c>
      <c r="C867" s="328">
        <f>Inputs!G161</f>
        <v>0</v>
      </c>
      <c r="D867" s="328">
        <f>Inputs!H161</f>
        <v>0</v>
      </c>
      <c r="E867" s="328">
        <f>Inputs!I161</f>
        <v>0</v>
      </c>
      <c r="F867" s="328">
        <f>Inputs!J161</f>
        <v>0</v>
      </c>
      <c r="G867" s="328">
        <f>Inputs!K161</f>
        <v>0</v>
      </c>
      <c r="H867" s="328">
        <f>Inputs!L161</f>
        <v>0</v>
      </c>
      <c r="I867" s="328">
        <f>Inputs!M161</f>
        <v>0</v>
      </c>
      <c r="J867" s="328">
        <f>Inputs!N161</f>
        <v>0</v>
      </c>
      <c r="K867" s="328">
        <f>Inputs!O161</f>
        <v>0</v>
      </c>
      <c r="L867" s="328">
        <f>Inputs!P161</f>
        <v>0</v>
      </c>
      <c r="M867" s="328">
        <f>Inputs!Q161</f>
        <v>0</v>
      </c>
      <c r="N867" s="328">
        <f>Inputs!R161</f>
        <v>0</v>
      </c>
      <c r="O867" s="328">
        <f>Inputs!S161</f>
        <v>0</v>
      </c>
      <c r="P867" s="328">
        <f>Inputs!T161</f>
        <v>0</v>
      </c>
      <c r="Q867" s="328">
        <f>Inputs!U161</f>
        <v>0</v>
      </c>
      <c r="R867" s="328">
        <f>Inputs!V161</f>
        <v>0</v>
      </c>
      <c r="S867" s="400">
        <f>Inputs!W161</f>
        <v>0</v>
      </c>
    </row>
    <row r="868" spans="1:19" ht="12.75" customHeight="1" x14ac:dyDescent="0.2">
      <c r="A868" s="198" t="str">
        <f>"         "&amp;Labels!B318</f>
        <v xml:space="preserve">         Channels 2</v>
      </c>
      <c r="B868" s="328">
        <f>Inputs!F162</f>
        <v>0</v>
      </c>
      <c r="C868" s="328">
        <f>Inputs!G162</f>
        <v>0</v>
      </c>
      <c r="D868" s="328">
        <f>Inputs!H162</f>
        <v>0</v>
      </c>
      <c r="E868" s="328">
        <f>Inputs!I162</f>
        <v>0</v>
      </c>
      <c r="F868" s="328">
        <f>Inputs!J162</f>
        <v>0</v>
      </c>
      <c r="G868" s="328">
        <f>Inputs!K162</f>
        <v>0</v>
      </c>
      <c r="H868" s="328">
        <f>Inputs!L162</f>
        <v>0</v>
      </c>
      <c r="I868" s="328">
        <f>Inputs!M162</f>
        <v>0</v>
      </c>
      <c r="J868" s="328">
        <f>Inputs!N162</f>
        <v>0</v>
      </c>
      <c r="K868" s="328">
        <f>Inputs!O162</f>
        <v>0</v>
      </c>
      <c r="L868" s="328">
        <f>Inputs!P162</f>
        <v>0</v>
      </c>
      <c r="M868" s="328">
        <f>Inputs!Q162</f>
        <v>0</v>
      </c>
      <c r="N868" s="328">
        <f>Inputs!R162</f>
        <v>0</v>
      </c>
      <c r="O868" s="328">
        <f>Inputs!S162</f>
        <v>0</v>
      </c>
      <c r="P868" s="328">
        <f>Inputs!T162</f>
        <v>0</v>
      </c>
      <c r="Q868" s="328">
        <f>Inputs!U162</f>
        <v>0</v>
      </c>
      <c r="R868" s="328">
        <f>Inputs!V162</f>
        <v>0</v>
      </c>
      <c r="S868" s="400">
        <f>Inputs!W162</f>
        <v>0</v>
      </c>
    </row>
    <row r="869" spans="1:19" ht="12.75" customHeight="1" x14ac:dyDescent="0.2">
      <c r="A869" s="198" t="str">
        <f>"         "&amp;Labels!C316</f>
        <v xml:space="preserve">         Total</v>
      </c>
      <c r="B869" s="243">
        <f t="shared" ref="B869:S869" si="478">AVERAGE(B867:B868)</f>
        <v>0</v>
      </c>
      <c r="C869" s="243">
        <f t="shared" si="478"/>
        <v>0</v>
      </c>
      <c r="D869" s="243">
        <f t="shared" si="478"/>
        <v>0</v>
      </c>
      <c r="E869" s="243">
        <f t="shared" si="478"/>
        <v>0</v>
      </c>
      <c r="F869" s="243">
        <f t="shared" si="478"/>
        <v>0</v>
      </c>
      <c r="G869" s="243">
        <f t="shared" si="478"/>
        <v>0</v>
      </c>
      <c r="H869" s="243">
        <f t="shared" si="478"/>
        <v>0</v>
      </c>
      <c r="I869" s="243">
        <f t="shared" si="478"/>
        <v>0</v>
      </c>
      <c r="J869" s="243">
        <f t="shared" si="478"/>
        <v>0</v>
      </c>
      <c r="K869" s="243">
        <f t="shared" si="478"/>
        <v>0</v>
      </c>
      <c r="L869" s="243">
        <f t="shared" si="478"/>
        <v>0</v>
      </c>
      <c r="M869" s="243">
        <f t="shared" si="478"/>
        <v>0</v>
      </c>
      <c r="N869" s="243">
        <f t="shared" si="478"/>
        <v>0</v>
      </c>
      <c r="O869" s="243">
        <f t="shared" si="478"/>
        <v>0</v>
      </c>
      <c r="P869" s="243">
        <f t="shared" si="478"/>
        <v>0</v>
      </c>
      <c r="Q869" s="243">
        <f t="shared" si="478"/>
        <v>0</v>
      </c>
      <c r="R869" s="243">
        <f t="shared" si="478"/>
        <v>0</v>
      </c>
      <c r="S869" s="398">
        <f t="shared" si="478"/>
        <v>0</v>
      </c>
    </row>
    <row r="870" spans="1:19" ht="12.75" customHeight="1" x14ac:dyDescent="0.2">
      <c r="A870" s="198" t="str">
        <f>"      "&amp;Labels!B398</f>
        <v xml:space="preserve">      Supply Type 2</v>
      </c>
      <c r="B870" s="243"/>
      <c r="C870" s="243"/>
      <c r="D870" s="243"/>
      <c r="E870" s="243"/>
      <c r="F870" s="243"/>
      <c r="G870" s="243"/>
      <c r="H870" s="243"/>
      <c r="I870" s="243"/>
      <c r="J870" s="243"/>
      <c r="K870" s="243"/>
      <c r="L870" s="243"/>
      <c r="M870" s="243"/>
      <c r="N870" s="243"/>
      <c r="O870" s="243"/>
      <c r="P870" s="243"/>
      <c r="Q870" s="243"/>
      <c r="R870" s="243"/>
      <c r="S870" s="398"/>
    </row>
    <row r="871" spans="1:19" ht="12.75" customHeight="1" x14ac:dyDescent="0.2">
      <c r="A871" s="198" t="str">
        <f>"         "&amp;Labels!B317</f>
        <v xml:space="preserve">         Channels 1</v>
      </c>
      <c r="B871" s="328">
        <f>Inputs!F163</f>
        <v>0</v>
      </c>
      <c r="C871" s="328">
        <f>Inputs!G163</f>
        <v>0</v>
      </c>
      <c r="D871" s="328">
        <f>Inputs!H163</f>
        <v>0</v>
      </c>
      <c r="E871" s="328">
        <f>Inputs!I163</f>
        <v>0</v>
      </c>
      <c r="F871" s="328">
        <f>Inputs!J163</f>
        <v>0</v>
      </c>
      <c r="G871" s="328">
        <f>Inputs!K163</f>
        <v>0</v>
      </c>
      <c r="H871" s="328">
        <f>Inputs!L163</f>
        <v>0</v>
      </c>
      <c r="I871" s="328">
        <f>Inputs!M163</f>
        <v>0</v>
      </c>
      <c r="J871" s="328">
        <f>Inputs!N163</f>
        <v>0</v>
      </c>
      <c r="K871" s="328">
        <f>Inputs!O163</f>
        <v>0</v>
      </c>
      <c r="L871" s="328">
        <f>Inputs!P163</f>
        <v>0</v>
      </c>
      <c r="M871" s="328">
        <f>Inputs!Q163</f>
        <v>0</v>
      </c>
      <c r="N871" s="328">
        <f>Inputs!R163</f>
        <v>0</v>
      </c>
      <c r="O871" s="328">
        <f>Inputs!S163</f>
        <v>0</v>
      </c>
      <c r="P871" s="328">
        <f>Inputs!T163</f>
        <v>0</v>
      </c>
      <c r="Q871" s="328">
        <f>Inputs!U163</f>
        <v>0</v>
      </c>
      <c r="R871" s="328">
        <f>Inputs!V163</f>
        <v>0</v>
      </c>
      <c r="S871" s="400">
        <f>Inputs!W163</f>
        <v>0</v>
      </c>
    </row>
    <row r="872" spans="1:19" ht="12.75" customHeight="1" x14ac:dyDescent="0.2">
      <c r="A872" s="198" t="str">
        <f>"         "&amp;Labels!B318</f>
        <v xml:space="preserve">         Channels 2</v>
      </c>
      <c r="B872" s="328">
        <f>Inputs!F164</f>
        <v>0</v>
      </c>
      <c r="C872" s="328">
        <f>Inputs!G164</f>
        <v>0</v>
      </c>
      <c r="D872" s="328">
        <f>Inputs!H164</f>
        <v>0</v>
      </c>
      <c r="E872" s="328">
        <f>Inputs!I164</f>
        <v>0</v>
      </c>
      <c r="F872" s="328">
        <f>Inputs!J164</f>
        <v>0</v>
      </c>
      <c r="G872" s="328">
        <f>Inputs!K164</f>
        <v>0</v>
      </c>
      <c r="H872" s="328">
        <f>Inputs!L164</f>
        <v>0</v>
      </c>
      <c r="I872" s="328">
        <f>Inputs!M164</f>
        <v>0</v>
      </c>
      <c r="J872" s="328">
        <f>Inputs!N164</f>
        <v>0</v>
      </c>
      <c r="K872" s="328">
        <f>Inputs!O164</f>
        <v>0</v>
      </c>
      <c r="L872" s="328">
        <f>Inputs!P164</f>
        <v>0</v>
      </c>
      <c r="M872" s="328">
        <f>Inputs!Q164</f>
        <v>0</v>
      </c>
      <c r="N872" s="328">
        <f>Inputs!R164</f>
        <v>0</v>
      </c>
      <c r="O872" s="328">
        <f>Inputs!S164</f>
        <v>0</v>
      </c>
      <c r="P872" s="328">
        <f>Inputs!T164</f>
        <v>0</v>
      </c>
      <c r="Q872" s="328">
        <f>Inputs!U164</f>
        <v>0</v>
      </c>
      <c r="R872" s="328">
        <f>Inputs!V164</f>
        <v>0</v>
      </c>
      <c r="S872" s="400">
        <f>Inputs!W164</f>
        <v>0</v>
      </c>
    </row>
    <row r="873" spans="1:19" ht="12.75" customHeight="1" x14ac:dyDescent="0.2">
      <c r="A873" s="198" t="str">
        <f>"         "&amp;Labels!C316</f>
        <v xml:space="preserve">         Total</v>
      </c>
      <c r="B873" s="243">
        <f t="shared" ref="B873:S873" si="479">AVERAGE(B871:B872)</f>
        <v>0</v>
      </c>
      <c r="C873" s="243">
        <f t="shared" si="479"/>
        <v>0</v>
      </c>
      <c r="D873" s="243">
        <f t="shared" si="479"/>
        <v>0</v>
      </c>
      <c r="E873" s="243">
        <f t="shared" si="479"/>
        <v>0</v>
      </c>
      <c r="F873" s="243">
        <f t="shared" si="479"/>
        <v>0</v>
      </c>
      <c r="G873" s="243">
        <f t="shared" si="479"/>
        <v>0</v>
      </c>
      <c r="H873" s="243">
        <f t="shared" si="479"/>
        <v>0</v>
      </c>
      <c r="I873" s="243">
        <f t="shared" si="479"/>
        <v>0</v>
      </c>
      <c r="J873" s="243">
        <f t="shared" si="479"/>
        <v>0</v>
      </c>
      <c r="K873" s="243">
        <f t="shared" si="479"/>
        <v>0</v>
      </c>
      <c r="L873" s="243">
        <f t="shared" si="479"/>
        <v>0</v>
      </c>
      <c r="M873" s="243">
        <f t="shared" si="479"/>
        <v>0</v>
      </c>
      <c r="N873" s="243">
        <f t="shared" si="479"/>
        <v>0</v>
      </c>
      <c r="O873" s="243">
        <f t="shared" si="479"/>
        <v>0</v>
      </c>
      <c r="P873" s="243">
        <f t="shared" si="479"/>
        <v>0</v>
      </c>
      <c r="Q873" s="243">
        <f t="shared" si="479"/>
        <v>0</v>
      </c>
      <c r="R873" s="243">
        <f t="shared" si="479"/>
        <v>0</v>
      </c>
      <c r="S873" s="398">
        <f t="shared" si="479"/>
        <v>0</v>
      </c>
    </row>
    <row r="874" spans="1:19" ht="12.75" customHeight="1" x14ac:dyDescent="0.2">
      <c r="A874" s="188" t="str">
        <f>"      "&amp;Labels!C396</f>
        <v xml:space="preserve">      Total</v>
      </c>
      <c r="B874" s="241">
        <f t="shared" ref="B874:S874" si="480">AVERAGE(B869,B873)</f>
        <v>0</v>
      </c>
      <c r="C874" s="241">
        <f t="shared" si="480"/>
        <v>0</v>
      </c>
      <c r="D874" s="241">
        <f t="shared" si="480"/>
        <v>0</v>
      </c>
      <c r="E874" s="241">
        <f t="shared" si="480"/>
        <v>0</v>
      </c>
      <c r="F874" s="241">
        <f t="shared" si="480"/>
        <v>0</v>
      </c>
      <c r="G874" s="241">
        <f t="shared" si="480"/>
        <v>0</v>
      </c>
      <c r="H874" s="241">
        <f t="shared" si="480"/>
        <v>0</v>
      </c>
      <c r="I874" s="241">
        <f t="shared" si="480"/>
        <v>0</v>
      </c>
      <c r="J874" s="241">
        <f t="shared" si="480"/>
        <v>0</v>
      </c>
      <c r="K874" s="241">
        <f t="shared" si="480"/>
        <v>0</v>
      </c>
      <c r="L874" s="241">
        <f t="shared" si="480"/>
        <v>0</v>
      </c>
      <c r="M874" s="241">
        <f t="shared" si="480"/>
        <v>0</v>
      </c>
      <c r="N874" s="241">
        <f t="shared" si="480"/>
        <v>0</v>
      </c>
      <c r="O874" s="241">
        <f t="shared" si="480"/>
        <v>0</v>
      </c>
      <c r="P874" s="241">
        <f t="shared" si="480"/>
        <v>0</v>
      </c>
      <c r="Q874" s="241">
        <f t="shared" si="480"/>
        <v>0</v>
      </c>
      <c r="R874" s="241">
        <f t="shared" si="480"/>
        <v>0</v>
      </c>
      <c r="S874" s="352">
        <f t="shared" si="480"/>
        <v>0</v>
      </c>
    </row>
    <row r="875" spans="1:19" ht="12.75" customHeight="1" x14ac:dyDescent="0.2">
      <c r="A875" s="198" t="str">
        <f>"         "&amp;Labels!B317</f>
        <v xml:space="preserve">         Channels 1</v>
      </c>
      <c r="B875" s="328">
        <f t="shared" ref="B875:S875" si="481">AVERAGE(B867,B871)</f>
        <v>0</v>
      </c>
      <c r="C875" s="328">
        <f t="shared" si="481"/>
        <v>0</v>
      </c>
      <c r="D875" s="328">
        <f t="shared" si="481"/>
        <v>0</v>
      </c>
      <c r="E875" s="328">
        <f t="shared" si="481"/>
        <v>0</v>
      </c>
      <c r="F875" s="328">
        <f t="shared" si="481"/>
        <v>0</v>
      </c>
      <c r="G875" s="328">
        <f t="shared" si="481"/>
        <v>0</v>
      </c>
      <c r="H875" s="328">
        <f t="shared" si="481"/>
        <v>0</v>
      </c>
      <c r="I875" s="328">
        <f t="shared" si="481"/>
        <v>0</v>
      </c>
      <c r="J875" s="328">
        <f t="shared" si="481"/>
        <v>0</v>
      </c>
      <c r="K875" s="328">
        <f t="shared" si="481"/>
        <v>0</v>
      </c>
      <c r="L875" s="328">
        <f t="shared" si="481"/>
        <v>0</v>
      </c>
      <c r="M875" s="328">
        <f t="shared" si="481"/>
        <v>0</v>
      </c>
      <c r="N875" s="328">
        <f t="shared" si="481"/>
        <v>0</v>
      </c>
      <c r="O875" s="328">
        <f t="shared" si="481"/>
        <v>0</v>
      </c>
      <c r="P875" s="328">
        <f t="shared" si="481"/>
        <v>0</v>
      </c>
      <c r="Q875" s="328">
        <f t="shared" si="481"/>
        <v>0</v>
      </c>
      <c r="R875" s="328">
        <f t="shared" si="481"/>
        <v>0</v>
      </c>
      <c r="S875" s="400">
        <f t="shared" si="481"/>
        <v>0</v>
      </c>
    </row>
    <row r="876" spans="1:19" ht="12.75" customHeight="1" x14ac:dyDescent="0.2">
      <c r="A876" s="198" t="str">
        <f>"         "&amp;Labels!B318</f>
        <v xml:space="preserve">         Channels 2</v>
      </c>
      <c r="B876" s="328">
        <f t="shared" ref="B876:S876" si="482">AVERAGE(B868,B872)</f>
        <v>0</v>
      </c>
      <c r="C876" s="328">
        <f t="shared" si="482"/>
        <v>0</v>
      </c>
      <c r="D876" s="328">
        <f t="shared" si="482"/>
        <v>0</v>
      </c>
      <c r="E876" s="328">
        <f t="shared" si="482"/>
        <v>0</v>
      </c>
      <c r="F876" s="328">
        <f t="shared" si="482"/>
        <v>0</v>
      </c>
      <c r="G876" s="328">
        <f t="shared" si="482"/>
        <v>0</v>
      </c>
      <c r="H876" s="328">
        <f t="shared" si="482"/>
        <v>0</v>
      </c>
      <c r="I876" s="328">
        <f t="shared" si="482"/>
        <v>0</v>
      </c>
      <c r="J876" s="328">
        <f t="shared" si="482"/>
        <v>0</v>
      </c>
      <c r="K876" s="328">
        <f t="shared" si="482"/>
        <v>0</v>
      </c>
      <c r="L876" s="328">
        <f t="shared" si="482"/>
        <v>0</v>
      </c>
      <c r="M876" s="328">
        <f t="shared" si="482"/>
        <v>0</v>
      </c>
      <c r="N876" s="328">
        <f t="shared" si="482"/>
        <v>0</v>
      </c>
      <c r="O876" s="328">
        <f t="shared" si="482"/>
        <v>0</v>
      </c>
      <c r="P876" s="328">
        <f t="shared" si="482"/>
        <v>0</v>
      </c>
      <c r="Q876" s="328">
        <f t="shared" si="482"/>
        <v>0</v>
      </c>
      <c r="R876" s="328">
        <f t="shared" si="482"/>
        <v>0</v>
      </c>
      <c r="S876" s="400">
        <f t="shared" si="482"/>
        <v>0</v>
      </c>
    </row>
    <row r="877" spans="1:19" ht="12.75" customHeight="1" x14ac:dyDescent="0.2">
      <c r="A877" s="198" t="str">
        <f>"         "&amp;Labels!C316</f>
        <v xml:space="preserve">         Total</v>
      </c>
      <c r="B877" s="243">
        <f t="shared" ref="B877:S877" si="483">AVERAGE(B869,B873)</f>
        <v>0</v>
      </c>
      <c r="C877" s="243">
        <f t="shared" si="483"/>
        <v>0</v>
      </c>
      <c r="D877" s="243">
        <f t="shared" si="483"/>
        <v>0</v>
      </c>
      <c r="E877" s="243">
        <f t="shared" si="483"/>
        <v>0</v>
      </c>
      <c r="F877" s="243">
        <f t="shared" si="483"/>
        <v>0</v>
      </c>
      <c r="G877" s="243">
        <f t="shared" si="483"/>
        <v>0</v>
      </c>
      <c r="H877" s="243">
        <f t="shared" si="483"/>
        <v>0</v>
      </c>
      <c r="I877" s="243">
        <f t="shared" si="483"/>
        <v>0</v>
      </c>
      <c r="J877" s="243">
        <f t="shared" si="483"/>
        <v>0</v>
      </c>
      <c r="K877" s="243">
        <f t="shared" si="483"/>
        <v>0</v>
      </c>
      <c r="L877" s="243">
        <f t="shared" si="483"/>
        <v>0</v>
      </c>
      <c r="M877" s="243">
        <f t="shared" si="483"/>
        <v>0</v>
      </c>
      <c r="N877" s="243">
        <f t="shared" si="483"/>
        <v>0</v>
      </c>
      <c r="O877" s="243">
        <f t="shared" si="483"/>
        <v>0</v>
      </c>
      <c r="P877" s="243">
        <f t="shared" si="483"/>
        <v>0</v>
      </c>
      <c r="Q877" s="243">
        <f t="shared" si="483"/>
        <v>0</v>
      </c>
      <c r="R877" s="243">
        <f t="shared" si="483"/>
        <v>0</v>
      </c>
      <c r="S877" s="398">
        <f t="shared" si="483"/>
        <v>0</v>
      </c>
    </row>
    <row r="878" spans="1:19" ht="12.75" customHeight="1" x14ac:dyDescent="0.2">
      <c r="A878" s="188" t="str">
        <f>"   "&amp;Labels!B386</f>
        <v xml:space="preserve">   Prof Level 2</v>
      </c>
      <c r="B878" s="241"/>
      <c r="C878" s="241"/>
      <c r="D878" s="241"/>
      <c r="E878" s="241"/>
      <c r="F878" s="241"/>
      <c r="G878" s="241"/>
      <c r="H878" s="241"/>
      <c r="I878" s="241"/>
      <c r="J878" s="241"/>
      <c r="K878" s="241"/>
      <c r="L878" s="241"/>
      <c r="M878" s="241"/>
      <c r="N878" s="241"/>
      <c r="O878" s="241"/>
      <c r="P878" s="241"/>
      <c r="Q878" s="241"/>
      <c r="R878" s="241"/>
      <c r="S878" s="352"/>
    </row>
    <row r="879" spans="1:19" ht="12.75" customHeight="1" x14ac:dyDescent="0.2">
      <c r="A879" s="198" t="str">
        <f>"      "&amp;Labels!B397</f>
        <v xml:space="preserve">      Supply Type 1</v>
      </c>
      <c r="B879" s="243"/>
      <c r="C879" s="243"/>
      <c r="D879" s="243"/>
      <c r="E879" s="243"/>
      <c r="F879" s="243"/>
      <c r="G879" s="243"/>
      <c r="H879" s="243"/>
      <c r="I879" s="243"/>
      <c r="J879" s="243"/>
      <c r="K879" s="243"/>
      <c r="L879" s="243"/>
      <c r="M879" s="243"/>
      <c r="N879" s="243"/>
      <c r="O879" s="243"/>
      <c r="P879" s="243"/>
      <c r="Q879" s="243"/>
      <c r="R879" s="243"/>
      <c r="S879" s="398"/>
    </row>
    <row r="880" spans="1:19" ht="12.75" customHeight="1" x14ac:dyDescent="0.2">
      <c r="A880" s="198" t="str">
        <f>"         "&amp;Labels!B317</f>
        <v xml:space="preserve">         Channels 1</v>
      </c>
      <c r="B880" s="328">
        <f>Inputs!F165</f>
        <v>0</v>
      </c>
      <c r="C880" s="328">
        <f>Inputs!G165</f>
        <v>0</v>
      </c>
      <c r="D880" s="328">
        <f>Inputs!H165</f>
        <v>0</v>
      </c>
      <c r="E880" s="328">
        <f>Inputs!I165</f>
        <v>0</v>
      </c>
      <c r="F880" s="328">
        <f>Inputs!J165</f>
        <v>0</v>
      </c>
      <c r="G880" s="328">
        <f>Inputs!K165</f>
        <v>0</v>
      </c>
      <c r="H880" s="328">
        <f>Inputs!L165</f>
        <v>0</v>
      </c>
      <c r="I880" s="328">
        <f>Inputs!M165</f>
        <v>0</v>
      </c>
      <c r="J880" s="328">
        <f>Inputs!N165</f>
        <v>0</v>
      </c>
      <c r="K880" s="328">
        <f>Inputs!O165</f>
        <v>0</v>
      </c>
      <c r="L880" s="328">
        <f>Inputs!P165</f>
        <v>0</v>
      </c>
      <c r="M880" s="328">
        <f>Inputs!Q165</f>
        <v>0</v>
      </c>
      <c r="N880" s="328">
        <f>Inputs!R165</f>
        <v>0</v>
      </c>
      <c r="O880" s="328">
        <f>Inputs!S165</f>
        <v>0</v>
      </c>
      <c r="P880" s="328">
        <f>Inputs!T165</f>
        <v>0</v>
      </c>
      <c r="Q880" s="328">
        <f>Inputs!U165</f>
        <v>0</v>
      </c>
      <c r="R880" s="328">
        <f>Inputs!V165</f>
        <v>0</v>
      </c>
      <c r="S880" s="400">
        <f>Inputs!W165</f>
        <v>0</v>
      </c>
    </row>
    <row r="881" spans="1:19" ht="12.75" customHeight="1" x14ac:dyDescent="0.2">
      <c r="A881" s="198" t="str">
        <f>"         "&amp;Labels!B318</f>
        <v xml:space="preserve">         Channels 2</v>
      </c>
      <c r="B881" s="328">
        <f>Inputs!F166</f>
        <v>0</v>
      </c>
      <c r="C881" s="328">
        <f>Inputs!G166</f>
        <v>0</v>
      </c>
      <c r="D881" s="328">
        <f>Inputs!H166</f>
        <v>0</v>
      </c>
      <c r="E881" s="328">
        <f>Inputs!I166</f>
        <v>0</v>
      </c>
      <c r="F881" s="328">
        <f>Inputs!J166</f>
        <v>0</v>
      </c>
      <c r="G881" s="328">
        <f>Inputs!K166</f>
        <v>0</v>
      </c>
      <c r="H881" s="328">
        <f>Inputs!L166</f>
        <v>0</v>
      </c>
      <c r="I881" s="328">
        <f>Inputs!M166</f>
        <v>0</v>
      </c>
      <c r="J881" s="328">
        <f>Inputs!N166</f>
        <v>0</v>
      </c>
      <c r="K881" s="328">
        <f>Inputs!O166</f>
        <v>0</v>
      </c>
      <c r="L881" s="328">
        <f>Inputs!P166</f>
        <v>0</v>
      </c>
      <c r="M881" s="328">
        <f>Inputs!Q166</f>
        <v>0</v>
      </c>
      <c r="N881" s="328">
        <f>Inputs!R166</f>
        <v>0</v>
      </c>
      <c r="O881" s="328">
        <f>Inputs!S166</f>
        <v>0</v>
      </c>
      <c r="P881" s="328">
        <f>Inputs!T166</f>
        <v>0</v>
      </c>
      <c r="Q881" s="328">
        <f>Inputs!U166</f>
        <v>0</v>
      </c>
      <c r="R881" s="328">
        <f>Inputs!V166</f>
        <v>0</v>
      </c>
      <c r="S881" s="400">
        <f>Inputs!W166</f>
        <v>0</v>
      </c>
    </row>
    <row r="882" spans="1:19" ht="12.75" customHeight="1" x14ac:dyDescent="0.2">
      <c r="A882" s="198" t="str">
        <f>"         "&amp;Labels!C316</f>
        <v xml:space="preserve">         Total</v>
      </c>
      <c r="B882" s="243">
        <f t="shared" ref="B882:S882" si="484">AVERAGE(B880:B881)</f>
        <v>0</v>
      </c>
      <c r="C882" s="243">
        <f t="shared" si="484"/>
        <v>0</v>
      </c>
      <c r="D882" s="243">
        <f t="shared" si="484"/>
        <v>0</v>
      </c>
      <c r="E882" s="243">
        <f t="shared" si="484"/>
        <v>0</v>
      </c>
      <c r="F882" s="243">
        <f t="shared" si="484"/>
        <v>0</v>
      </c>
      <c r="G882" s="243">
        <f t="shared" si="484"/>
        <v>0</v>
      </c>
      <c r="H882" s="243">
        <f t="shared" si="484"/>
        <v>0</v>
      </c>
      <c r="I882" s="243">
        <f t="shared" si="484"/>
        <v>0</v>
      </c>
      <c r="J882" s="243">
        <f t="shared" si="484"/>
        <v>0</v>
      </c>
      <c r="K882" s="243">
        <f t="shared" si="484"/>
        <v>0</v>
      </c>
      <c r="L882" s="243">
        <f t="shared" si="484"/>
        <v>0</v>
      </c>
      <c r="M882" s="243">
        <f t="shared" si="484"/>
        <v>0</v>
      </c>
      <c r="N882" s="243">
        <f t="shared" si="484"/>
        <v>0</v>
      </c>
      <c r="O882" s="243">
        <f t="shared" si="484"/>
        <v>0</v>
      </c>
      <c r="P882" s="243">
        <f t="shared" si="484"/>
        <v>0</v>
      </c>
      <c r="Q882" s="243">
        <f t="shared" si="484"/>
        <v>0</v>
      </c>
      <c r="R882" s="243">
        <f t="shared" si="484"/>
        <v>0</v>
      </c>
      <c r="S882" s="398">
        <f t="shared" si="484"/>
        <v>0</v>
      </c>
    </row>
    <row r="883" spans="1:19" ht="12.75" customHeight="1" x14ac:dyDescent="0.2">
      <c r="A883" s="198" t="str">
        <f>"      "&amp;Labels!B398</f>
        <v xml:space="preserve">      Supply Type 2</v>
      </c>
      <c r="B883" s="243"/>
      <c r="C883" s="243"/>
      <c r="D883" s="243"/>
      <c r="E883" s="243"/>
      <c r="F883" s="243"/>
      <c r="G883" s="243"/>
      <c r="H883" s="243"/>
      <c r="I883" s="243"/>
      <c r="J883" s="243"/>
      <c r="K883" s="243"/>
      <c r="L883" s="243"/>
      <c r="M883" s="243"/>
      <c r="N883" s="243"/>
      <c r="O883" s="243"/>
      <c r="P883" s="243"/>
      <c r="Q883" s="243"/>
      <c r="R883" s="243"/>
      <c r="S883" s="398"/>
    </row>
    <row r="884" spans="1:19" ht="12.75" customHeight="1" x14ac:dyDescent="0.2">
      <c r="A884" s="198" t="str">
        <f>"         "&amp;Labels!B317</f>
        <v xml:space="preserve">         Channels 1</v>
      </c>
      <c r="B884" s="328">
        <f>Inputs!F167</f>
        <v>0</v>
      </c>
      <c r="C884" s="328">
        <f>Inputs!G167</f>
        <v>0</v>
      </c>
      <c r="D884" s="328">
        <f>Inputs!H167</f>
        <v>0</v>
      </c>
      <c r="E884" s="328">
        <f>Inputs!I167</f>
        <v>0</v>
      </c>
      <c r="F884" s="328">
        <f>Inputs!J167</f>
        <v>0</v>
      </c>
      <c r="G884" s="328">
        <f>Inputs!K167</f>
        <v>0</v>
      </c>
      <c r="H884" s="328">
        <f>Inputs!L167</f>
        <v>0</v>
      </c>
      <c r="I884" s="328">
        <f>Inputs!M167</f>
        <v>0</v>
      </c>
      <c r="J884" s="328">
        <f>Inputs!N167</f>
        <v>0</v>
      </c>
      <c r="K884" s="328">
        <f>Inputs!O167</f>
        <v>0</v>
      </c>
      <c r="L884" s="328">
        <f>Inputs!P167</f>
        <v>0</v>
      </c>
      <c r="M884" s="328">
        <f>Inputs!Q167</f>
        <v>0</v>
      </c>
      <c r="N884" s="328">
        <f>Inputs!R167</f>
        <v>0</v>
      </c>
      <c r="O884" s="328">
        <f>Inputs!S167</f>
        <v>0</v>
      </c>
      <c r="P884" s="328">
        <f>Inputs!T167</f>
        <v>0</v>
      </c>
      <c r="Q884" s="328">
        <f>Inputs!U167</f>
        <v>0</v>
      </c>
      <c r="R884" s="328">
        <f>Inputs!V167</f>
        <v>0</v>
      </c>
      <c r="S884" s="400">
        <f>Inputs!W167</f>
        <v>0</v>
      </c>
    </row>
    <row r="885" spans="1:19" ht="12.75" customHeight="1" x14ac:dyDescent="0.2">
      <c r="A885" s="198" t="str">
        <f>"         "&amp;Labels!B318</f>
        <v xml:space="preserve">         Channels 2</v>
      </c>
      <c r="B885" s="328">
        <f>Inputs!F168</f>
        <v>0</v>
      </c>
      <c r="C885" s="328">
        <f>Inputs!G168</f>
        <v>0</v>
      </c>
      <c r="D885" s="328">
        <f>Inputs!H168</f>
        <v>0</v>
      </c>
      <c r="E885" s="328">
        <f>Inputs!I168</f>
        <v>0</v>
      </c>
      <c r="F885" s="328">
        <f>Inputs!J168</f>
        <v>0</v>
      </c>
      <c r="G885" s="328">
        <f>Inputs!K168</f>
        <v>0</v>
      </c>
      <c r="H885" s="328">
        <f>Inputs!L168</f>
        <v>0</v>
      </c>
      <c r="I885" s="328">
        <f>Inputs!M168</f>
        <v>0</v>
      </c>
      <c r="J885" s="328">
        <f>Inputs!N168</f>
        <v>0</v>
      </c>
      <c r="K885" s="328">
        <f>Inputs!O168</f>
        <v>0</v>
      </c>
      <c r="L885" s="328">
        <f>Inputs!P168</f>
        <v>0</v>
      </c>
      <c r="M885" s="328">
        <f>Inputs!Q168</f>
        <v>0</v>
      </c>
      <c r="N885" s="328">
        <f>Inputs!R168</f>
        <v>0</v>
      </c>
      <c r="O885" s="328">
        <f>Inputs!S168</f>
        <v>0</v>
      </c>
      <c r="P885" s="328">
        <f>Inputs!T168</f>
        <v>0</v>
      </c>
      <c r="Q885" s="328">
        <f>Inputs!U168</f>
        <v>0</v>
      </c>
      <c r="R885" s="328">
        <f>Inputs!V168</f>
        <v>0</v>
      </c>
      <c r="S885" s="400">
        <f>Inputs!W168</f>
        <v>0</v>
      </c>
    </row>
    <row r="886" spans="1:19" ht="12.75" customHeight="1" x14ac:dyDescent="0.2">
      <c r="A886" s="198" t="str">
        <f>"         "&amp;Labels!C316</f>
        <v xml:space="preserve">         Total</v>
      </c>
      <c r="B886" s="243">
        <f t="shared" ref="B886:S886" si="485">AVERAGE(B884:B885)</f>
        <v>0</v>
      </c>
      <c r="C886" s="243">
        <f t="shared" si="485"/>
        <v>0</v>
      </c>
      <c r="D886" s="243">
        <f t="shared" si="485"/>
        <v>0</v>
      </c>
      <c r="E886" s="243">
        <f t="shared" si="485"/>
        <v>0</v>
      </c>
      <c r="F886" s="243">
        <f t="shared" si="485"/>
        <v>0</v>
      </c>
      <c r="G886" s="243">
        <f t="shared" si="485"/>
        <v>0</v>
      </c>
      <c r="H886" s="243">
        <f t="shared" si="485"/>
        <v>0</v>
      </c>
      <c r="I886" s="243">
        <f t="shared" si="485"/>
        <v>0</v>
      </c>
      <c r="J886" s="243">
        <f t="shared" si="485"/>
        <v>0</v>
      </c>
      <c r="K886" s="243">
        <f t="shared" si="485"/>
        <v>0</v>
      </c>
      <c r="L886" s="243">
        <f t="shared" si="485"/>
        <v>0</v>
      </c>
      <c r="M886" s="243">
        <f t="shared" si="485"/>
        <v>0</v>
      </c>
      <c r="N886" s="243">
        <f t="shared" si="485"/>
        <v>0</v>
      </c>
      <c r="O886" s="243">
        <f t="shared" si="485"/>
        <v>0</v>
      </c>
      <c r="P886" s="243">
        <f t="shared" si="485"/>
        <v>0</v>
      </c>
      <c r="Q886" s="243">
        <f t="shared" si="485"/>
        <v>0</v>
      </c>
      <c r="R886" s="243">
        <f t="shared" si="485"/>
        <v>0</v>
      </c>
      <c r="S886" s="398">
        <f t="shared" si="485"/>
        <v>0</v>
      </c>
    </row>
    <row r="887" spans="1:19" ht="12.75" customHeight="1" x14ac:dyDescent="0.2">
      <c r="A887" s="188" t="str">
        <f>"      "&amp;Labels!C396</f>
        <v xml:space="preserve">      Total</v>
      </c>
      <c r="B887" s="241">
        <f t="shared" ref="B887:S887" si="486">AVERAGE(B882,B886)</f>
        <v>0</v>
      </c>
      <c r="C887" s="241">
        <f t="shared" si="486"/>
        <v>0</v>
      </c>
      <c r="D887" s="241">
        <f t="shared" si="486"/>
        <v>0</v>
      </c>
      <c r="E887" s="241">
        <f t="shared" si="486"/>
        <v>0</v>
      </c>
      <c r="F887" s="241">
        <f t="shared" si="486"/>
        <v>0</v>
      </c>
      <c r="G887" s="241">
        <f t="shared" si="486"/>
        <v>0</v>
      </c>
      <c r="H887" s="241">
        <f t="shared" si="486"/>
        <v>0</v>
      </c>
      <c r="I887" s="241">
        <f t="shared" si="486"/>
        <v>0</v>
      </c>
      <c r="J887" s="241">
        <f t="shared" si="486"/>
        <v>0</v>
      </c>
      <c r="K887" s="241">
        <f t="shared" si="486"/>
        <v>0</v>
      </c>
      <c r="L887" s="241">
        <f t="shared" si="486"/>
        <v>0</v>
      </c>
      <c r="M887" s="241">
        <f t="shared" si="486"/>
        <v>0</v>
      </c>
      <c r="N887" s="241">
        <f t="shared" si="486"/>
        <v>0</v>
      </c>
      <c r="O887" s="241">
        <f t="shared" si="486"/>
        <v>0</v>
      </c>
      <c r="P887" s="241">
        <f t="shared" si="486"/>
        <v>0</v>
      </c>
      <c r="Q887" s="241">
        <f t="shared" si="486"/>
        <v>0</v>
      </c>
      <c r="R887" s="241">
        <f t="shared" si="486"/>
        <v>0</v>
      </c>
      <c r="S887" s="352">
        <f t="shared" si="486"/>
        <v>0</v>
      </c>
    </row>
    <row r="888" spans="1:19" ht="12.75" customHeight="1" x14ac:dyDescent="0.2">
      <c r="A888" s="198" t="str">
        <f>"         "&amp;Labels!B317</f>
        <v xml:space="preserve">         Channels 1</v>
      </c>
      <c r="B888" s="328">
        <f t="shared" ref="B888:S888" si="487">AVERAGE(B880,B884)</f>
        <v>0</v>
      </c>
      <c r="C888" s="328">
        <f t="shared" si="487"/>
        <v>0</v>
      </c>
      <c r="D888" s="328">
        <f t="shared" si="487"/>
        <v>0</v>
      </c>
      <c r="E888" s="328">
        <f t="shared" si="487"/>
        <v>0</v>
      </c>
      <c r="F888" s="328">
        <f t="shared" si="487"/>
        <v>0</v>
      </c>
      <c r="G888" s="328">
        <f t="shared" si="487"/>
        <v>0</v>
      </c>
      <c r="H888" s="328">
        <f t="shared" si="487"/>
        <v>0</v>
      </c>
      <c r="I888" s="328">
        <f t="shared" si="487"/>
        <v>0</v>
      </c>
      <c r="J888" s="328">
        <f t="shared" si="487"/>
        <v>0</v>
      </c>
      <c r="K888" s="328">
        <f t="shared" si="487"/>
        <v>0</v>
      </c>
      <c r="L888" s="328">
        <f t="shared" si="487"/>
        <v>0</v>
      </c>
      <c r="M888" s="328">
        <f t="shared" si="487"/>
        <v>0</v>
      </c>
      <c r="N888" s="328">
        <f t="shared" si="487"/>
        <v>0</v>
      </c>
      <c r="O888" s="328">
        <f t="shared" si="487"/>
        <v>0</v>
      </c>
      <c r="P888" s="328">
        <f t="shared" si="487"/>
        <v>0</v>
      </c>
      <c r="Q888" s="328">
        <f t="shared" si="487"/>
        <v>0</v>
      </c>
      <c r="R888" s="328">
        <f t="shared" si="487"/>
        <v>0</v>
      </c>
      <c r="S888" s="400">
        <f t="shared" si="487"/>
        <v>0</v>
      </c>
    </row>
    <row r="889" spans="1:19" ht="12.75" customHeight="1" x14ac:dyDescent="0.2">
      <c r="A889" s="198" t="str">
        <f>"         "&amp;Labels!B318</f>
        <v xml:space="preserve">         Channels 2</v>
      </c>
      <c r="B889" s="328">
        <f t="shared" ref="B889:S889" si="488">AVERAGE(B881,B885)</f>
        <v>0</v>
      </c>
      <c r="C889" s="328">
        <f t="shared" si="488"/>
        <v>0</v>
      </c>
      <c r="D889" s="328">
        <f t="shared" si="488"/>
        <v>0</v>
      </c>
      <c r="E889" s="328">
        <f t="shared" si="488"/>
        <v>0</v>
      </c>
      <c r="F889" s="328">
        <f t="shared" si="488"/>
        <v>0</v>
      </c>
      <c r="G889" s="328">
        <f t="shared" si="488"/>
        <v>0</v>
      </c>
      <c r="H889" s="328">
        <f t="shared" si="488"/>
        <v>0</v>
      </c>
      <c r="I889" s="328">
        <f t="shared" si="488"/>
        <v>0</v>
      </c>
      <c r="J889" s="328">
        <f t="shared" si="488"/>
        <v>0</v>
      </c>
      <c r="K889" s="328">
        <f t="shared" si="488"/>
        <v>0</v>
      </c>
      <c r="L889" s="328">
        <f t="shared" si="488"/>
        <v>0</v>
      </c>
      <c r="M889" s="328">
        <f t="shared" si="488"/>
        <v>0</v>
      </c>
      <c r="N889" s="328">
        <f t="shared" si="488"/>
        <v>0</v>
      </c>
      <c r="O889" s="328">
        <f t="shared" si="488"/>
        <v>0</v>
      </c>
      <c r="P889" s="328">
        <f t="shared" si="488"/>
        <v>0</v>
      </c>
      <c r="Q889" s="328">
        <f t="shared" si="488"/>
        <v>0</v>
      </c>
      <c r="R889" s="328">
        <f t="shared" si="488"/>
        <v>0</v>
      </c>
      <c r="S889" s="400">
        <f t="shared" si="488"/>
        <v>0</v>
      </c>
    </row>
    <row r="890" spans="1:19" ht="12.75" customHeight="1" x14ac:dyDescent="0.2">
      <c r="A890" s="198" t="str">
        <f>"         "&amp;Labels!C316</f>
        <v xml:space="preserve">         Total</v>
      </c>
      <c r="B890" s="243">
        <f t="shared" ref="B890:S890" si="489">AVERAGE(B882,B886)</f>
        <v>0</v>
      </c>
      <c r="C890" s="243">
        <f t="shared" si="489"/>
        <v>0</v>
      </c>
      <c r="D890" s="243">
        <f t="shared" si="489"/>
        <v>0</v>
      </c>
      <c r="E890" s="243">
        <f t="shared" si="489"/>
        <v>0</v>
      </c>
      <c r="F890" s="243">
        <f t="shared" si="489"/>
        <v>0</v>
      </c>
      <c r="G890" s="243">
        <f t="shared" si="489"/>
        <v>0</v>
      </c>
      <c r="H890" s="243">
        <f t="shared" si="489"/>
        <v>0</v>
      </c>
      <c r="I890" s="243">
        <f t="shared" si="489"/>
        <v>0</v>
      </c>
      <c r="J890" s="243">
        <f t="shared" si="489"/>
        <v>0</v>
      </c>
      <c r="K890" s="243">
        <f t="shared" si="489"/>
        <v>0</v>
      </c>
      <c r="L890" s="243">
        <f t="shared" si="489"/>
        <v>0</v>
      </c>
      <c r="M890" s="243">
        <f t="shared" si="489"/>
        <v>0</v>
      </c>
      <c r="N890" s="243">
        <f t="shared" si="489"/>
        <v>0</v>
      </c>
      <c r="O890" s="243">
        <f t="shared" si="489"/>
        <v>0</v>
      </c>
      <c r="P890" s="243">
        <f t="shared" si="489"/>
        <v>0</v>
      </c>
      <c r="Q890" s="243">
        <f t="shared" si="489"/>
        <v>0</v>
      </c>
      <c r="R890" s="243">
        <f t="shared" si="489"/>
        <v>0</v>
      </c>
      <c r="S890" s="398">
        <f t="shared" si="489"/>
        <v>0</v>
      </c>
    </row>
    <row r="891" spans="1:19" ht="12.75" customHeight="1" x14ac:dyDescent="0.2">
      <c r="A891" s="191" t="str">
        <f>"   "&amp;Labels!C384</f>
        <v xml:space="preserve">   Total</v>
      </c>
      <c r="B891" s="245">
        <f t="shared" ref="B891:S891" si="490">AVERAGE(B874,B887)</f>
        <v>0</v>
      </c>
      <c r="C891" s="245">
        <f t="shared" si="490"/>
        <v>0</v>
      </c>
      <c r="D891" s="245">
        <f t="shared" si="490"/>
        <v>0</v>
      </c>
      <c r="E891" s="245">
        <f t="shared" si="490"/>
        <v>0</v>
      </c>
      <c r="F891" s="245">
        <f t="shared" si="490"/>
        <v>0</v>
      </c>
      <c r="G891" s="245">
        <f t="shared" si="490"/>
        <v>0</v>
      </c>
      <c r="H891" s="245">
        <f t="shared" si="490"/>
        <v>0</v>
      </c>
      <c r="I891" s="245">
        <f t="shared" si="490"/>
        <v>0</v>
      </c>
      <c r="J891" s="245">
        <f t="shared" si="490"/>
        <v>0</v>
      </c>
      <c r="K891" s="245">
        <f t="shared" si="490"/>
        <v>0</v>
      </c>
      <c r="L891" s="245">
        <f t="shared" si="490"/>
        <v>0</v>
      </c>
      <c r="M891" s="245">
        <f t="shared" si="490"/>
        <v>0</v>
      </c>
      <c r="N891" s="245">
        <f t="shared" si="490"/>
        <v>0</v>
      </c>
      <c r="O891" s="245">
        <f t="shared" si="490"/>
        <v>0</v>
      </c>
      <c r="P891" s="245">
        <f t="shared" si="490"/>
        <v>0</v>
      </c>
      <c r="Q891" s="245">
        <f t="shared" si="490"/>
        <v>0</v>
      </c>
      <c r="R891" s="245">
        <f t="shared" si="490"/>
        <v>0</v>
      </c>
      <c r="S891" s="353">
        <f t="shared" si="490"/>
        <v>0</v>
      </c>
    </row>
    <row r="892" spans="1:19" ht="12.75" customHeight="1" x14ac:dyDescent="0.2">
      <c r="A892" s="198" t="str">
        <f>"      "&amp;Labels!B397</f>
        <v xml:space="preserve">      Supply Type 1</v>
      </c>
      <c r="B892" s="243"/>
      <c r="C892" s="243"/>
      <c r="D892" s="243"/>
      <c r="E892" s="243"/>
      <c r="F892" s="243"/>
      <c r="G892" s="243"/>
      <c r="H892" s="243"/>
      <c r="I892" s="243"/>
      <c r="J892" s="243"/>
      <c r="K892" s="243"/>
      <c r="L892" s="243"/>
      <c r="M892" s="243"/>
      <c r="N892" s="243"/>
      <c r="O892" s="243"/>
      <c r="P892" s="243"/>
      <c r="Q892" s="243"/>
      <c r="R892" s="243"/>
      <c r="S892" s="398"/>
    </row>
    <row r="893" spans="1:19" ht="12.75" customHeight="1" x14ac:dyDescent="0.2">
      <c r="A893" s="198" t="str">
        <f>"         "&amp;Labels!B317</f>
        <v xml:space="preserve">         Channels 1</v>
      </c>
      <c r="B893" s="328">
        <f t="shared" ref="B893:S893" si="491">AVERAGE(B867,B880)</f>
        <v>0</v>
      </c>
      <c r="C893" s="328">
        <f t="shared" si="491"/>
        <v>0</v>
      </c>
      <c r="D893" s="328">
        <f t="shared" si="491"/>
        <v>0</v>
      </c>
      <c r="E893" s="328">
        <f t="shared" si="491"/>
        <v>0</v>
      </c>
      <c r="F893" s="328">
        <f t="shared" si="491"/>
        <v>0</v>
      </c>
      <c r="G893" s="328">
        <f t="shared" si="491"/>
        <v>0</v>
      </c>
      <c r="H893" s="328">
        <f t="shared" si="491"/>
        <v>0</v>
      </c>
      <c r="I893" s="328">
        <f t="shared" si="491"/>
        <v>0</v>
      </c>
      <c r="J893" s="328">
        <f t="shared" si="491"/>
        <v>0</v>
      </c>
      <c r="K893" s="328">
        <f t="shared" si="491"/>
        <v>0</v>
      </c>
      <c r="L893" s="328">
        <f t="shared" si="491"/>
        <v>0</v>
      </c>
      <c r="M893" s="328">
        <f t="shared" si="491"/>
        <v>0</v>
      </c>
      <c r="N893" s="328">
        <f t="shared" si="491"/>
        <v>0</v>
      </c>
      <c r="O893" s="328">
        <f t="shared" si="491"/>
        <v>0</v>
      </c>
      <c r="P893" s="328">
        <f t="shared" si="491"/>
        <v>0</v>
      </c>
      <c r="Q893" s="328">
        <f t="shared" si="491"/>
        <v>0</v>
      </c>
      <c r="R893" s="328">
        <f t="shared" si="491"/>
        <v>0</v>
      </c>
      <c r="S893" s="400">
        <f t="shared" si="491"/>
        <v>0</v>
      </c>
    </row>
    <row r="894" spans="1:19" ht="12.75" customHeight="1" x14ac:dyDescent="0.2">
      <c r="A894" s="198" t="str">
        <f>"         "&amp;Labels!B318</f>
        <v xml:space="preserve">         Channels 2</v>
      </c>
      <c r="B894" s="328">
        <f t="shared" ref="B894:S894" si="492">AVERAGE(B868,B881)</f>
        <v>0</v>
      </c>
      <c r="C894" s="328">
        <f t="shared" si="492"/>
        <v>0</v>
      </c>
      <c r="D894" s="328">
        <f t="shared" si="492"/>
        <v>0</v>
      </c>
      <c r="E894" s="328">
        <f t="shared" si="492"/>
        <v>0</v>
      </c>
      <c r="F894" s="328">
        <f t="shared" si="492"/>
        <v>0</v>
      </c>
      <c r="G894" s="328">
        <f t="shared" si="492"/>
        <v>0</v>
      </c>
      <c r="H894" s="328">
        <f t="shared" si="492"/>
        <v>0</v>
      </c>
      <c r="I894" s="328">
        <f t="shared" si="492"/>
        <v>0</v>
      </c>
      <c r="J894" s="328">
        <f t="shared" si="492"/>
        <v>0</v>
      </c>
      <c r="K894" s="328">
        <f t="shared" si="492"/>
        <v>0</v>
      </c>
      <c r="L894" s="328">
        <f t="shared" si="492"/>
        <v>0</v>
      </c>
      <c r="M894" s="328">
        <f t="shared" si="492"/>
        <v>0</v>
      </c>
      <c r="N894" s="328">
        <f t="shared" si="492"/>
        <v>0</v>
      </c>
      <c r="O894" s="328">
        <f t="shared" si="492"/>
        <v>0</v>
      </c>
      <c r="P894" s="328">
        <f t="shared" si="492"/>
        <v>0</v>
      </c>
      <c r="Q894" s="328">
        <f t="shared" si="492"/>
        <v>0</v>
      </c>
      <c r="R894" s="328">
        <f t="shared" si="492"/>
        <v>0</v>
      </c>
      <c r="S894" s="400">
        <f t="shared" si="492"/>
        <v>0</v>
      </c>
    </row>
    <row r="895" spans="1:19" ht="12.75" customHeight="1" x14ac:dyDescent="0.2">
      <c r="A895" s="198" t="str">
        <f>"         "&amp;Labels!C316</f>
        <v xml:space="preserve">         Total</v>
      </c>
      <c r="B895" s="243">
        <f t="shared" ref="B895:S895" si="493">AVERAGE(B869,B882)</f>
        <v>0</v>
      </c>
      <c r="C895" s="243">
        <f t="shared" si="493"/>
        <v>0</v>
      </c>
      <c r="D895" s="243">
        <f t="shared" si="493"/>
        <v>0</v>
      </c>
      <c r="E895" s="243">
        <f t="shared" si="493"/>
        <v>0</v>
      </c>
      <c r="F895" s="243">
        <f t="shared" si="493"/>
        <v>0</v>
      </c>
      <c r="G895" s="243">
        <f t="shared" si="493"/>
        <v>0</v>
      </c>
      <c r="H895" s="243">
        <f t="shared" si="493"/>
        <v>0</v>
      </c>
      <c r="I895" s="243">
        <f t="shared" si="493"/>
        <v>0</v>
      </c>
      <c r="J895" s="243">
        <f t="shared" si="493"/>
        <v>0</v>
      </c>
      <c r="K895" s="243">
        <f t="shared" si="493"/>
        <v>0</v>
      </c>
      <c r="L895" s="243">
        <f t="shared" si="493"/>
        <v>0</v>
      </c>
      <c r="M895" s="243">
        <f t="shared" si="493"/>
        <v>0</v>
      </c>
      <c r="N895" s="243">
        <f t="shared" si="493"/>
        <v>0</v>
      </c>
      <c r="O895" s="243">
        <f t="shared" si="493"/>
        <v>0</v>
      </c>
      <c r="P895" s="243">
        <f t="shared" si="493"/>
        <v>0</v>
      </c>
      <c r="Q895" s="243">
        <f t="shared" si="493"/>
        <v>0</v>
      </c>
      <c r="R895" s="243">
        <f t="shared" si="493"/>
        <v>0</v>
      </c>
      <c r="S895" s="398">
        <f t="shared" si="493"/>
        <v>0</v>
      </c>
    </row>
    <row r="896" spans="1:19" ht="12.75" customHeight="1" x14ac:dyDescent="0.2">
      <c r="A896" s="198" t="str">
        <f>"      "&amp;Labels!B398</f>
        <v xml:space="preserve">      Supply Type 2</v>
      </c>
      <c r="B896" s="243"/>
      <c r="C896" s="243"/>
      <c r="D896" s="243"/>
      <c r="E896" s="243"/>
      <c r="F896" s="243"/>
      <c r="G896" s="243"/>
      <c r="H896" s="243"/>
      <c r="I896" s="243"/>
      <c r="J896" s="243"/>
      <c r="K896" s="243"/>
      <c r="L896" s="243"/>
      <c r="M896" s="243"/>
      <c r="N896" s="243"/>
      <c r="O896" s="243"/>
      <c r="P896" s="243"/>
      <c r="Q896" s="243"/>
      <c r="R896" s="243"/>
      <c r="S896" s="398"/>
    </row>
    <row r="897" spans="1:19" ht="12.75" customHeight="1" x14ac:dyDescent="0.2">
      <c r="A897" s="198" t="str">
        <f>"         "&amp;Labels!B317</f>
        <v xml:space="preserve">         Channels 1</v>
      </c>
      <c r="B897" s="328">
        <f t="shared" ref="B897:S897" si="494">AVERAGE(B871,B884)</f>
        <v>0</v>
      </c>
      <c r="C897" s="328">
        <f t="shared" si="494"/>
        <v>0</v>
      </c>
      <c r="D897" s="328">
        <f t="shared" si="494"/>
        <v>0</v>
      </c>
      <c r="E897" s="328">
        <f t="shared" si="494"/>
        <v>0</v>
      </c>
      <c r="F897" s="328">
        <f t="shared" si="494"/>
        <v>0</v>
      </c>
      <c r="G897" s="328">
        <f t="shared" si="494"/>
        <v>0</v>
      </c>
      <c r="H897" s="328">
        <f t="shared" si="494"/>
        <v>0</v>
      </c>
      <c r="I897" s="328">
        <f t="shared" si="494"/>
        <v>0</v>
      </c>
      <c r="J897" s="328">
        <f t="shared" si="494"/>
        <v>0</v>
      </c>
      <c r="K897" s="328">
        <f t="shared" si="494"/>
        <v>0</v>
      </c>
      <c r="L897" s="328">
        <f t="shared" si="494"/>
        <v>0</v>
      </c>
      <c r="M897" s="328">
        <f t="shared" si="494"/>
        <v>0</v>
      </c>
      <c r="N897" s="328">
        <f t="shared" si="494"/>
        <v>0</v>
      </c>
      <c r="O897" s="328">
        <f t="shared" si="494"/>
        <v>0</v>
      </c>
      <c r="P897" s="328">
        <f t="shared" si="494"/>
        <v>0</v>
      </c>
      <c r="Q897" s="328">
        <f t="shared" si="494"/>
        <v>0</v>
      </c>
      <c r="R897" s="328">
        <f t="shared" si="494"/>
        <v>0</v>
      </c>
      <c r="S897" s="400">
        <f t="shared" si="494"/>
        <v>0</v>
      </c>
    </row>
    <row r="898" spans="1:19" ht="12.75" customHeight="1" x14ac:dyDescent="0.2">
      <c r="A898" s="198" t="str">
        <f>"         "&amp;Labels!B318</f>
        <v xml:space="preserve">         Channels 2</v>
      </c>
      <c r="B898" s="328">
        <f t="shared" ref="B898:S898" si="495">AVERAGE(B872,B885)</f>
        <v>0</v>
      </c>
      <c r="C898" s="328">
        <f t="shared" si="495"/>
        <v>0</v>
      </c>
      <c r="D898" s="328">
        <f t="shared" si="495"/>
        <v>0</v>
      </c>
      <c r="E898" s="328">
        <f t="shared" si="495"/>
        <v>0</v>
      </c>
      <c r="F898" s="328">
        <f t="shared" si="495"/>
        <v>0</v>
      </c>
      <c r="G898" s="328">
        <f t="shared" si="495"/>
        <v>0</v>
      </c>
      <c r="H898" s="328">
        <f t="shared" si="495"/>
        <v>0</v>
      </c>
      <c r="I898" s="328">
        <f t="shared" si="495"/>
        <v>0</v>
      </c>
      <c r="J898" s="328">
        <f t="shared" si="495"/>
        <v>0</v>
      </c>
      <c r="K898" s="328">
        <f t="shared" si="495"/>
        <v>0</v>
      </c>
      <c r="L898" s="328">
        <f t="shared" si="495"/>
        <v>0</v>
      </c>
      <c r="M898" s="328">
        <f t="shared" si="495"/>
        <v>0</v>
      </c>
      <c r="N898" s="328">
        <f t="shared" si="495"/>
        <v>0</v>
      </c>
      <c r="O898" s="328">
        <f t="shared" si="495"/>
        <v>0</v>
      </c>
      <c r="P898" s="328">
        <f t="shared" si="495"/>
        <v>0</v>
      </c>
      <c r="Q898" s="328">
        <f t="shared" si="495"/>
        <v>0</v>
      </c>
      <c r="R898" s="328">
        <f t="shared" si="495"/>
        <v>0</v>
      </c>
      <c r="S898" s="400">
        <f t="shared" si="495"/>
        <v>0</v>
      </c>
    </row>
    <row r="899" spans="1:19" ht="12.75" customHeight="1" x14ac:dyDescent="0.2">
      <c r="A899" s="198" t="str">
        <f>"         "&amp;Labels!C316</f>
        <v xml:space="preserve">         Total</v>
      </c>
      <c r="B899" s="243">
        <f t="shared" ref="B899:S899" si="496">AVERAGE(B873,B886)</f>
        <v>0</v>
      </c>
      <c r="C899" s="243">
        <f t="shared" si="496"/>
        <v>0</v>
      </c>
      <c r="D899" s="243">
        <f t="shared" si="496"/>
        <v>0</v>
      </c>
      <c r="E899" s="243">
        <f t="shared" si="496"/>
        <v>0</v>
      </c>
      <c r="F899" s="243">
        <f t="shared" si="496"/>
        <v>0</v>
      </c>
      <c r="G899" s="243">
        <f t="shared" si="496"/>
        <v>0</v>
      </c>
      <c r="H899" s="243">
        <f t="shared" si="496"/>
        <v>0</v>
      </c>
      <c r="I899" s="243">
        <f t="shared" si="496"/>
        <v>0</v>
      </c>
      <c r="J899" s="243">
        <f t="shared" si="496"/>
        <v>0</v>
      </c>
      <c r="K899" s="243">
        <f t="shared" si="496"/>
        <v>0</v>
      </c>
      <c r="L899" s="243">
        <f t="shared" si="496"/>
        <v>0</v>
      </c>
      <c r="M899" s="243">
        <f t="shared" si="496"/>
        <v>0</v>
      </c>
      <c r="N899" s="243">
        <f t="shared" si="496"/>
        <v>0</v>
      </c>
      <c r="O899" s="243">
        <f t="shared" si="496"/>
        <v>0</v>
      </c>
      <c r="P899" s="243">
        <f t="shared" si="496"/>
        <v>0</v>
      </c>
      <c r="Q899" s="243">
        <f t="shared" si="496"/>
        <v>0</v>
      </c>
      <c r="R899" s="243">
        <f t="shared" si="496"/>
        <v>0</v>
      </c>
      <c r="S899" s="398">
        <f t="shared" si="496"/>
        <v>0</v>
      </c>
    </row>
    <row r="900" spans="1:19" ht="12.75" customHeight="1" x14ac:dyDescent="0.2">
      <c r="A900" s="188" t="str">
        <f>"      "&amp;Labels!C396</f>
        <v xml:space="preserve">      Total</v>
      </c>
      <c r="B900" s="241">
        <f t="shared" ref="B900:S900" si="497">AVERAGE(B874,B887)</f>
        <v>0</v>
      </c>
      <c r="C900" s="241">
        <f t="shared" si="497"/>
        <v>0</v>
      </c>
      <c r="D900" s="241">
        <f t="shared" si="497"/>
        <v>0</v>
      </c>
      <c r="E900" s="241">
        <f t="shared" si="497"/>
        <v>0</v>
      </c>
      <c r="F900" s="241">
        <f t="shared" si="497"/>
        <v>0</v>
      </c>
      <c r="G900" s="241">
        <f t="shared" si="497"/>
        <v>0</v>
      </c>
      <c r="H900" s="241">
        <f t="shared" si="497"/>
        <v>0</v>
      </c>
      <c r="I900" s="241">
        <f t="shared" si="497"/>
        <v>0</v>
      </c>
      <c r="J900" s="241">
        <f t="shared" si="497"/>
        <v>0</v>
      </c>
      <c r="K900" s="241">
        <f t="shared" si="497"/>
        <v>0</v>
      </c>
      <c r="L900" s="241">
        <f t="shared" si="497"/>
        <v>0</v>
      </c>
      <c r="M900" s="241">
        <f t="shared" si="497"/>
        <v>0</v>
      </c>
      <c r="N900" s="241">
        <f t="shared" si="497"/>
        <v>0</v>
      </c>
      <c r="O900" s="241">
        <f t="shared" si="497"/>
        <v>0</v>
      </c>
      <c r="P900" s="241">
        <f t="shared" si="497"/>
        <v>0</v>
      </c>
      <c r="Q900" s="241">
        <f t="shared" si="497"/>
        <v>0</v>
      </c>
      <c r="R900" s="241">
        <f t="shared" si="497"/>
        <v>0</v>
      </c>
      <c r="S900" s="352">
        <f t="shared" si="497"/>
        <v>0</v>
      </c>
    </row>
    <row r="901" spans="1:19" ht="12.75" customHeight="1" x14ac:dyDescent="0.2">
      <c r="A901" s="198" t="str">
        <f>"         "&amp;Labels!B317</f>
        <v xml:space="preserve">         Channels 1</v>
      </c>
      <c r="B901" s="328">
        <f t="shared" ref="B901:S901" si="498">AVERAGE(B875,B888)</f>
        <v>0</v>
      </c>
      <c r="C901" s="328">
        <f t="shared" si="498"/>
        <v>0</v>
      </c>
      <c r="D901" s="328">
        <f t="shared" si="498"/>
        <v>0</v>
      </c>
      <c r="E901" s="328">
        <f t="shared" si="498"/>
        <v>0</v>
      </c>
      <c r="F901" s="328">
        <f t="shared" si="498"/>
        <v>0</v>
      </c>
      <c r="G901" s="328">
        <f t="shared" si="498"/>
        <v>0</v>
      </c>
      <c r="H901" s="328">
        <f t="shared" si="498"/>
        <v>0</v>
      </c>
      <c r="I901" s="328">
        <f t="shared" si="498"/>
        <v>0</v>
      </c>
      <c r="J901" s="328">
        <f t="shared" si="498"/>
        <v>0</v>
      </c>
      <c r="K901" s="328">
        <f t="shared" si="498"/>
        <v>0</v>
      </c>
      <c r="L901" s="328">
        <f t="shared" si="498"/>
        <v>0</v>
      </c>
      <c r="M901" s="328">
        <f t="shared" si="498"/>
        <v>0</v>
      </c>
      <c r="N901" s="328">
        <f t="shared" si="498"/>
        <v>0</v>
      </c>
      <c r="O901" s="328">
        <f t="shared" si="498"/>
        <v>0</v>
      </c>
      <c r="P901" s="328">
        <f t="shared" si="498"/>
        <v>0</v>
      </c>
      <c r="Q901" s="328">
        <f t="shared" si="498"/>
        <v>0</v>
      </c>
      <c r="R901" s="328">
        <f t="shared" si="498"/>
        <v>0</v>
      </c>
      <c r="S901" s="400">
        <f t="shared" si="498"/>
        <v>0</v>
      </c>
    </row>
    <row r="902" spans="1:19" ht="12.75" customHeight="1" x14ac:dyDescent="0.2">
      <c r="A902" s="198" t="str">
        <f>"         "&amp;Labels!B318</f>
        <v xml:space="preserve">         Channels 2</v>
      </c>
      <c r="B902" s="328">
        <f t="shared" ref="B902:S902" si="499">AVERAGE(B876,B889)</f>
        <v>0</v>
      </c>
      <c r="C902" s="328">
        <f t="shared" si="499"/>
        <v>0</v>
      </c>
      <c r="D902" s="328">
        <f t="shared" si="499"/>
        <v>0</v>
      </c>
      <c r="E902" s="328">
        <f t="shared" si="499"/>
        <v>0</v>
      </c>
      <c r="F902" s="328">
        <f t="shared" si="499"/>
        <v>0</v>
      </c>
      <c r="G902" s="328">
        <f t="shared" si="499"/>
        <v>0</v>
      </c>
      <c r="H902" s="328">
        <f t="shared" si="499"/>
        <v>0</v>
      </c>
      <c r="I902" s="328">
        <f t="shared" si="499"/>
        <v>0</v>
      </c>
      <c r="J902" s="328">
        <f t="shared" si="499"/>
        <v>0</v>
      </c>
      <c r="K902" s="328">
        <f t="shared" si="499"/>
        <v>0</v>
      </c>
      <c r="L902" s="328">
        <f t="shared" si="499"/>
        <v>0</v>
      </c>
      <c r="M902" s="328">
        <f t="shared" si="499"/>
        <v>0</v>
      </c>
      <c r="N902" s="328">
        <f t="shared" si="499"/>
        <v>0</v>
      </c>
      <c r="O902" s="328">
        <f t="shared" si="499"/>
        <v>0</v>
      </c>
      <c r="P902" s="328">
        <f t="shared" si="499"/>
        <v>0</v>
      </c>
      <c r="Q902" s="328">
        <f t="shared" si="499"/>
        <v>0</v>
      </c>
      <c r="R902" s="328">
        <f t="shared" si="499"/>
        <v>0</v>
      </c>
      <c r="S902" s="400">
        <f t="shared" si="499"/>
        <v>0</v>
      </c>
    </row>
    <row r="903" spans="1:19" ht="12.75" customHeight="1" x14ac:dyDescent="0.2">
      <c r="A903" s="198" t="str">
        <f>"         "&amp;Labels!C316</f>
        <v xml:space="preserve">         Total</v>
      </c>
      <c r="B903" s="243">
        <f t="shared" ref="B903:S903" si="500">AVERAGE(B874,B887)</f>
        <v>0</v>
      </c>
      <c r="C903" s="243">
        <f t="shared" si="500"/>
        <v>0</v>
      </c>
      <c r="D903" s="243">
        <f t="shared" si="500"/>
        <v>0</v>
      </c>
      <c r="E903" s="243">
        <f t="shared" si="500"/>
        <v>0</v>
      </c>
      <c r="F903" s="243">
        <f t="shared" si="500"/>
        <v>0</v>
      </c>
      <c r="G903" s="243">
        <f t="shared" si="500"/>
        <v>0</v>
      </c>
      <c r="H903" s="243">
        <f t="shared" si="500"/>
        <v>0</v>
      </c>
      <c r="I903" s="243">
        <f t="shared" si="500"/>
        <v>0</v>
      </c>
      <c r="J903" s="243">
        <f t="shared" si="500"/>
        <v>0</v>
      </c>
      <c r="K903" s="243">
        <f t="shared" si="500"/>
        <v>0</v>
      </c>
      <c r="L903" s="243">
        <f t="shared" si="500"/>
        <v>0</v>
      </c>
      <c r="M903" s="243">
        <f t="shared" si="500"/>
        <v>0</v>
      </c>
      <c r="N903" s="243">
        <f t="shared" si="500"/>
        <v>0</v>
      </c>
      <c r="O903" s="243">
        <f t="shared" si="500"/>
        <v>0</v>
      </c>
      <c r="P903" s="243">
        <f t="shared" si="500"/>
        <v>0</v>
      </c>
      <c r="Q903" s="243">
        <f t="shared" si="500"/>
        <v>0</v>
      </c>
      <c r="R903" s="243">
        <f t="shared" si="500"/>
        <v>0</v>
      </c>
      <c r="S903" s="398">
        <f t="shared" si="500"/>
        <v>0</v>
      </c>
    </row>
    <row r="904" spans="1:19" ht="12.75" customHeight="1" x14ac:dyDescent="0.2">
      <c r="A904" s="191" t="str">
        <f>Labels!B382</f>
        <v>Practice 2</v>
      </c>
      <c r="B904" s="245"/>
      <c r="C904" s="245"/>
      <c r="D904" s="245"/>
      <c r="E904" s="245"/>
      <c r="F904" s="245"/>
      <c r="G904" s="245"/>
      <c r="H904" s="245"/>
      <c r="I904" s="245"/>
      <c r="J904" s="245"/>
      <c r="K904" s="245"/>
      <c r="L904" s="245"/>
      <c r="M904" s="245"/>
      <c r="N904" s="245"/>
      <c r="O904" s="245"/>
      <c r="P904" s="245"/>
      <c r="Q904" s="245"/>
      <c r="R904" s="245"/>
      <c r="S904" s="353"/>
    </row>
    <row r="905" spans="1:19" ht="12.75" customHeight="1" x14ac:dyDescent="0.2">
      <c r="A905" s="188" t="str">
        <f>"   "&amp;Labels!B385</f>
        <v xml:space="preserve">   Prof Level 1</v>
      </c>
      <c r="B905" s="241"/>
      <c r="C905" s="241"/>
      <c r="D905" s="241"/>
      <c r="E905" s="241"/>
      <c r="F905" s="241"/>
      <c r="G905" s="241"/>
      <c r="H905" s="241"/>
      <c r="I905" s="241"/>
      <c r="J905" s="241"/>
      <c r="K905" s="241"/>
      <c r="L905" s="241"/>
      <c r="M905" s="241"/>
      <c r="N905" s="241"/>
      <c r="O905" s="241"/>
      <c r="P905" s="241"/>
      <c r="Q905" s="241"/>
      <c r="R905" s="241"/>
      <c r="S905" s="352"/>
    </row>
    <row r="906" spans="1:19" ht="12.75" customHeight="1" x14ac:dyDescent="0.2">
      <c r="A906" s="198" t="str">
        <f>"      "&amp;Labels!B397</f>
        <v xml:space="preserve">      Supply Type 1</v>
      </c>
      <c r="B906" s="243"/>
      <c r="C906" s="243"/>
      <c r="D906" s="243"/>
      <c r="E906" s="243"/>
      <c r="F906" s="243"/>
      <c r="G906" s="243"/>
      <c r="H906" s="243"/>
      <c r="I906" s="243"/>
      <c r="J906" s="243"/>
      <c r="K906" s="243"/>
      <c r="L906" s="243"/>
      <c r="M906" s="243"/>
      <c r="N906" s="243"/>
      <c r="O906" s="243"/>
      <c r="P906" s="243"/>
      <c r="Q906" s="243"/>
      <c r="R906" s="243"/>
      <c r="S906" s="398"/>
    </row>
    <row r="907" spans="1:19" ht="12.75" customHeight="1" x14ac:dyDescent="0.2">
      <c r="A907" s="198" t="str">
        <f>"         "&amp;Labels!B317</f>
        <v xml:space="preserve">         Channels 1</v>
      </c>
      <c r="B907" s="328">
        <f>Inputs!F169</f>
        <v>0</v>
      </c>
      <c r="C907" s="328">
        <f>Inputs!G169</f>
        <v>0</v>
      </c>
      <c r="D907" s="328">
        <f>Inputs!H169</f>
        <v>0</v>
      </c>
      <c r="E907" s="328">
        <f>Inputs!I169</f>
        <v>0</v>
      </c>
      <c r="F907" s="328">
        <f>Inputs!J169</f>
        <v>0</v>
      </c>
      <c r="G907" s="328">
        <f>Inputs!K169</f>
        <v>0</v>
      </c>
      <c r="H907" s="328">
        <f>Inputs!L169</f>
        <v>0</v>
      </c>
      <c r="I907" s="328">
        <f>Inputs!M169</f>
        <v>0</v>
      </c>
      <c r="J907" s="328">
        <f>Inputs!N169</f>
        <v>0</v>
      </c>
      <c r="K907" s="328">
        <f>Inputs!O169</f>
        <v>0</v>
      </c>
      <c r="L907" s="328">
        <f>Inputs!P169</f>
        <v>0</v>
      </c>
      <c r="M907" s="328">
        <f>Inputs!Q169</f>
        <v>0</v>
      </c>
      <c r="N907" s="328">
        <f>Inputs!R169</f>
        <v>0</v>
      </c>
      <c r="O907" s="328">
        <f>Inputs!S169</f>
        <v>0</v>
      </c>
      <c r="P907" s="328">
        <f>Inputs!T169</f>
        <v>0</v>
      </c>
      <c r="Q907" s="328">
        <f>Inputs!U169</f>
        <v>0</v>
      </c>
      <c r="R907" s="328">
        <f>Inputs!V169</f>
        <v>0</v>
      </c>
      <c r="S907" s="400">
        <f>Inputs!W169</f>
        <v>0</v>
      </c>
    </row>
    <row r="908" spans="1:19" ht="12.75" customHeight="1" x14ac:dyDescent="0.2">
      <c r="A908" s="198" t="str">
        <f>"         "&amp;Labels!B318</f>
        <v xml:space="preserve">         Channels 2</v>
      </c>
      <c r="B908" s="328">
        <f>Inputs!F170</f>
        <v>0</v>
      </c>
      <c r="C908" s="328">
        <f>Inputs!G170</f>
        <v>0</v>
      </c>
      <c r="D908" s="328">
        <f>Inputs!H170</f>
        <v>0</v>
      </c>
      <c r="E908" s="328">
        <f>Inputs!I170</f>
        <v>0</v>
      </c>
      <c r="F908" s="328">
        <f>Inputs!J170</f>
        <v>0</v>
      </c>
      <c r="G908" s="328">
        <f>Inputs!K170</f>
        <v>0</v>
      </c>
      <c r="H908" s="328">
        <f>Inputs!L170</f>
        <v>0</v>
      </c>
      <c r="I908" s="328">
        <f>Inputs!M170</f>
        <v>0</v>
      </c>
      <c r="J908" s="328">
        <f>Inputs!N170</f>
        <v>0</v>
      </c>
      <c r="K908" s="328">
        <f>Inputs!O170</f>
        <v>0</v>
      </c>
      <c r="L908" s="328">
        <f>Inputs!P170</f>
        <v>0</v>
      </c>
      <c r="M908" s="328">
        <f>Inputs!Q170</f>
        <v>0</v>
      </c>
      <c r="N908" s="328">
        <f>Inputs!R170</f>
        <v>0</v>
      </c>
      <c r="O908" s="328">
        <f>Inputs!S170</f>
        <v>0</v>
      </c>
      <c r="P908" s="328">
        <f>Inputs!T170</f>
        <v>0</v>
      </c>
      <c r="Q908" s="328">
        <f>Inputs!U170</f>
        <v>0</v>
      </c>
      <c r="R908" s="328">
        <f>Inputs!V170</f>
        <v>0</v>
      </c>
      <c r="S908" s="400">
        <f>Inputs!W170</f>
        <v>0</v>
      </c>
    </row>
    <row r="909" spans="1:19" ht="12.75" customHeight="1" x14ac:dyDescent="0.2">
      <c r="A909" s="198" t="str">
        <f>"         "&amp;Labels!C316</f>
        <v xml:space="preserve">         Total</v>
      </c>
      <c r="B909" s="243">
        <f t="shared" ref="B909:S909" si="501">AVERAGE(B907:B908)</f>
        <v>0</v>
      </c>
      <c r="C909" s="243">
        <f t="shared" si="501"/>
        <v>0</v>
      </c>
      <c r="D909" s="243">
        <f t="shared" si="501"/>
        <v>0</v>
      </c>
      <c r="E909" s="243">
        <f t="shared" si="501"/>
        <v>0</v>
      </c>
      <c r="F909" s="243">
        <f t="shared" si="501"/>
        <v>0</v>
      </c>
      <c r="G909" s="243">
        <f t="shared" si="501"/>
        <v>0</v>
      </c>
      <c r="H909" s="243">
        <f t="shared" si="501"/>
        <v>0</v>
      </c>
      <c r="I909" s="243">
        <f t="shared" si="501"/>
        <v>0</v>
      </c>
      <c r="J909" s="243">
        <f t="shared" si="501"/>
        <v>0</v>
      </c>
      <c r="K909" s="243">
        <f t="shared" si="501"/>
        <v>0</v>
      </c>
      <c r="L909" s="243">
        <f t="shared" si="501"/>
        <v>0</v>
      </c>
      <c r="M909" s="243">
        <f t="shared" si="501"/>
        <v>0</v>
      </c>
      <c r="N909" s="243">
        <f t="shared" si="501"/>
        <v>0</v>
      </c>
      <c r="O909" s="243">
        <f t="shared" si="501"/>
        <v>0</v>
      </c>
      <c r="P909" s="243">
        <f t="shared" si="501"/>
        <v>0</v>
      </c>
      <c r="Q909" s="243">
        <f t="shared" si="501"/>
        <v>0</v>
      </c>
      <c r="R909" s="243">
        <f t="shared" si="501"/>
        <v>0</v>
      </c>
      <c r="S909" s="398">
        <f t="shared" si="501"/>
        <v>0</v>
      </c>
    </row>
    <row r="910" spans="1:19" ht="12.75" customHeight="1" x14ac:dyDescent="0.2">
      <c r="A910" s="198" t="str">
        <f>"      "&amp;Labels!B398</f>
        <v xml:space="preserve">      Supply Type 2</v>
      </c>
      <c r="B910" s="243"/>
      <c r="C910" s="243"/>
      <c r="D910" s="243"/>
      <c r="E910" s="243"/>
      <c r="F910" s="243"/>
      <c r="G910" s="243"/>
      <c r="H910" s="243"/>
      <c r="I910" s="243"/>
      <c r="J910" s="243"/>
      <c r="K910" s="243"/>
      <c r="L910" s="243"/>
      <c r="M910" s="243"/>
      <c r="N910" s="243"/>
      <c r="O910" s="243"/>
      <c r="P910" s="243"/>
      <c r="Q910" s="243"/>
      <c r="R910" s="243"/>
      <c r="S910" s="398"/>
    </row>
    <row r="911" spans="1:19" ht="12.75" customHeight="1" x14ac:dyDescent="0.2">
      <c r="A911" s="198" t="str">
        <f>"         "&amp;Labels!B317</f>
        <v xml:space="preserve">         Channels 1</v>
      </c>
      <c r="B911" s="328">
        <f>Inputs!F171</f>
        <v>0</v>
      </c>
      <c r="C911" s="328">
        <f>Inputs!G171</f>
        <v>0</v>
      </c>
      <c r="D911" s="328">
        <f>Inputs!H171</f>
        <v>0</v>
      </c>
      <c r="E911" s="328">
        <f>Inputs!I171</f>
        <v>0</v>
      </c>
      <c r="F911" s="328">
        <f>Inputs!J171</f>
        <v>0</v>
      </c>
      <c r="G911" s="328">
        <f>Inputs!K171</f>
        <v>0</v>
      </c>
      <c r="H911" s="328">
        <f>Inputs!L171</f>
        <v>0</v>
      </c>
      <c r="I911" s="328">
        <f>Inputs!M171</f>
        <v>0</v>
      </c>
      <c r="J911" s="328">
        <f>Inputs!N171</f>
        <v>0</v>
      </c>
      <c r="K911" s="328">
        <f>Inputs!O171</f>
        <v>0</v>
      </c>
      <c r="L911" s="328">
        <f>Inputs!P171</f>
        <v>0</v>
      </c>
      <c r="M911" s="328">
        <f>Inputs!Q171</f>
        <v>0</v>
      </c>
      <c r="N911" s="328">
        <f>Inputs!R171</f>
        <v>0</v>
      </c>
      <c r="O911" s="328">
        <f>Inputs!S171</f>
        <v>0</v>
      </c>
      <c r="P911" s="328">
        <f>Inputs!T171</f>
        <v>0</v>
      </c>
      <c r="Q911" s="328">
        <f>Inputs!U171</f>
        <v>0</v>
      </c>
      <c r="R911" s="328">
        <f>Inputs!V171</f>
        <v>0</v>
      </c>
      <c r="S911" s="400">
        <f>Inputs!W171</f>
        <v>0</v>
      </c>
    </row>
    <row r="912" spans="1:19" ht="12.75" customHeight="1" x14ac:dyDescent="0.2">
      <c r="A912" s="198" t="str">
        <f>"         "&amp;Labels!B318</f>
        <v xml:space="preserve">         Channels 2</v>
      </c>
      <c r="B912" s="328">
        <f>Inputs!F172</f>
        <v>0</v>
      </c>
      <c r="C912" s="328">
        <f>Inputs!G172</f>
        <v>0</v>
      </c>
      <c r="D912" s="328">
        <f>Inputs!H172</f>
        <v>0</v>
      </c>
      <c r="E912" s="328">
        <f>Inputs!I172</f>
        <v>0</v>
      </c>
      <c r="F912" s="328">
        <f>Inputs!J172</f>
        <v>0</v>
      </c>
      <c r="G912" s="328">
        <f>Inputs!K172</f>
        <v>0</v>
      </c>
      <c r="H912" s="328">
        <f>Inputs!L172</f>
        <v>0</v>
      </c>
      <c r="I912" s="328">
        <f>Inputs!M172</f>
        <v>0</v>
      </c>
      <c r="J912" s="328">
        <f>Inputs!N172</f>
        <v>0</v>
      </c>
      <c r="K912" s="328">
        <f>Inputs!O172</f>
        <v>0</v>
      </c>
      <c r="L912" s="328">
        <f>Inputs!P172</f>
        <v>0</v>
      </c>
      <c r="M912" s="328">
        <f>Inputs!Q172</f>
        <v>0</v>
      </c>
      <c r="N912" s="328">
        <f>Inputs!R172</f>
        <v>0</v>
      </c>
      <c r="O912" s="328">
        <f>Inputs!S172</f>
        <v>0</v>
      </c>
      <c r="P912" s="328">
        <f>Inputs!T172</f>
        <v>0</v>
      </c>
      <c r="Q912" s="328">
        <f>Inputs!U172</f>
        <v>0</v>
      </c>
      <c r="R912" s="328">
        <f>Inputs!V172</f>
        <v>0</v>
      </c>
      <c r="S912" s="400">
        <f>Inputs!W172</f>
        <v>0</v>
      </c>
    </row>
    <row r="913" spans="1:19" ht="12.75" customHeight="1" x14ac:dyDescent="0.2">
      <c r="A913" s="198" t="str">
        <f>"         "&amp;Labels!C316</f>
        <v xml:space="preserve">         Total</v>
      </c>
      <c r="B913" s="243">
        <f t="shared" ref="B913:S913" si="502">AVERAGE(B911:B912)</f>
        <v>0</v>
      </c>
      <c r="C913" s="243">
        <f t="shared" si="502"/>
        <v>0</v>
      </c>
      <c r="D913" s="243">
        <f t="shared" si="502"/>
        <v>0</v>
      </c>
      <c r="E913" s="243">
        <f t="shared" si="502"/>
        <v>0</v>
      </c>
      <c r="F913" s="243">
        <f t="shared" si="502"/>
        <v>0</v>
      </c>
      <c r="G913" s="243">
        <f t="shared" si="502"/>
        <v>0</v>
      </c>
      <c r="H913" s="243">
        <f t="shared" si="502"/>
        <v>0</v>
      </c>
      <c r="I913" s="243">
        <f t="shared" si="502"/>
        <v>0</v>
      </c>
      <c r="J913" s="243">
        <f t="shared" si="502"/>
        <v>0</v>
      </c>
      <c r="K913" s="243">
        <f t="shared" si="502"/>
        <v>0</v>
      </c>
      <c r="L913" s="243">
        <f t="shared" si="502"/>
        <v>0</v>
      </c>
      <c r="M913" s="243">
        <f t="shared" si="502"/>
        <v>0</v>
      </c>
      <c r="N913" s="243">
        <f t="shared" si="502"/>
        <v>0</v>
      </c>
      <c r="O913" s="243">
        <f t="shared" si="502"/>
        <v>0</v>
      </c>
      <c r="P913" s="243">
        <f t="shared" si="502"/>
        <v>0</v>
      </c>
      <c r="Q913" s="243">
        <f t="shared" si="502"/>
        <v>0</v>
      </c>
      <c r="R913" s="243">
        <f t="shared" si="502"/>
        <v>0</v>
      </c>
      <c r="S913" s="398">
        <f t="shared" si="502"/>
        <v>0</v>
      </c>
    </row>
    <row r="914" spans="1:19" ht="12.75" customHeight="1" x14ac:dyDescent="0.2">
      <c r="A914" s="188" t="str">
        <f>"      "&amp;Labels!C396</f>
        <v xml:space="preserve">      Total</v>
      </c>
      <c r="B914" s="241">
        <f t="shared" ref="B914:S914" si="503">AVERAGE(B909,B913)</f>
        <v>0</v>
      </c>
      <c r="C914" s="241">
        <f t="shared" si="503"/>
        <v>0</v>
      </c>
      <c r="D914" s="241">
        <f t="shared" si="503"/>
        <v>0</v>
      </c>
      <c r="E914" s="241">
        <f t="shared" si="503"/>
        <v>0</v>
      </c>
      <c r="F914" s="241">
        <f t="shared" si="503"/>
        <v>0</v>
      </c>
      <c r="G914" s="241">
        <f t="shared" si="503"/>
        <v>0</v>
      </c>
      <c r="H914" s="241">
        <f t="shared" si="503"/>
        <v>0</v>
      </c>
      <c r="I914" s="241">
        <f t="shared" si="503"/>
        <v>0</v>
      </c>
      <c r="J914" s="241">
        <f t="shared" si="503"/>
        <v>0</v>
      </c>
      <c r="K914" s="241">
        <f t="shared" si="503"/>
        <v>0</v>
      </c>
      <c r="L914" s="241">
        <f t="shared" si="503"/>
        <v>0</v>
      </c>
      <c r="M914" s="241">
        <f t="shared" si="503"/>
        <v>0</v>
      </c>
      <c r="N914" s="241">
        <f t="shared" si="503"/>
        <v>0</v>
      </c>
      <c r="O914" s="241">
        <f t="shared" si="503"/>
        <v>0</v>
      </c>
      <c r="P914" s="241">
        <f t="shared" si="503"/>
        <v>0</v>
      </c>
      <c r="Q914" s="241">
        <f t="shared" si="503"/>
        <v>0</v>
      </c>
      <c r="R914" s="241">
        <f t="shared" si="503"/>
        <v>0</v>
      </c>
      <c r="S914" s="352">
        <f t="shared" si="503"/>
        <v>0</v>
      </c>
    </row>
    <row r="915" spans="1:19" ht="12.75" customHeight="1" x14ac:dyDescent="0.2">
      <c r="A915" s="198" t="str">
        <f>"         "&amp;Labels!B317</f>
        <v xml:space="preserve">         Channels 1</v>
      </c>
      <c r="B915" s="328">
        <f t="shared" ref="B915:S915" si="504">AVERAGE(B907,B911)</f>
        <v>0</v>
      </c>
      <c r="C915" s="328">
        <f t="shared" si="504"/>
        <v>0</v>
      </c>
      <c r="D915" s="328">
        <f t="shared" si="504"/>
        <v>0</v>
      </c>
      <c r="E915" s="328">
        <f t="shared" si="504"/>
        <v>0</v>
      </c>
      <c r="F915" s="328">
        <f t="shared" si="504"/>
        <v>0</v>
      </c>
      <c r="G915" s="328">
        <f t="shared" si="504"/>
        <v>0</v>
      </c>
      <c r="H915" s="328">
        <f t="shared" si="504"/>
        <v>0</v>
      </c>
      <c r="I915" s="328">
        <f t="shared" si="504"/>
        <v>0</v>
      </c>
      <c r="J915" s="328">
        <f t="shared" si="504"/>
        <v>0</v>
      </c>
      <c r="K915" s="328">
        <f t="shared" si="504"/>
        <v>0</v>
      </c>
      <c r="L915" s="328">
        <f t="shared" si="504"/>
        <v>0</v>
      </c>
      <c r="M915" s="328">
        <f t="shared" si="504"/>
        <v>0</v>
      </c>
      <c r="N915" s="328">
        <f t="shared" si="504"/>
        <v>0</v>
      </c>
      <c r="O915" s="328">
        <f t="shared" si="504"/>
        <v>0</v>
      </c>
      <c r="P915" s="328">
        <f t="shared" si="504"/>
        <v>0</v>
      </c>
      <c r="Q915" s="328">
        <f t="shared" si="504"/>
        <v>0</v>
      </c>
      <c r="R915" s="328">
        <f t="shared" si="504"/>
        <v>0</v>
      </c>
      <c r="S915" s="400">
        <f t="shared" si="504"/>
        <v>0</v>
      </c>
    </row>
    <row r="916" spans="1:19" ht="12.75" customHeight="1" x14ac:dyDescent="0.2">
      <c r="A916" s="198" t="str">
        <f>"         "&amp;Labels!B318</f>
        <v xml:space="preserve">         Channels 2</v>
      </c>
      <c r="B916" s="328">
        <f t="shared" ref="B916:S916" si="505">AVERAGE(B908,B912)</f>
        <v>0</v>
      </c>
      <c r="C916" s="328">
        <f t="shared" si="505"/>
        <v>0</v>
      </c>
      <c r="D916" s="328">
        <f t="shared" si="505"/>
        <v>0</v>
      </c>
      <c r="E916" s="328">
        <f t="shared" si="505"/>
        <v>0</v>
      </c>
      <c r="F916" s="328">
        <f t="shared" si="505"/>
        <v>0</v>
      </c>
      <c r="G916" s="328">
        <f t="shared" si="505"/>
        <v>0</v>
      </c>
      <c r="H916" s="328">
        <f t="shared" si="505"/>
        <v>0</v>
      </c>
      <c r="I916" s="328">
        <f t="shared" si="505"/>
        <v>0</v>
      </c>
      <c r="J916" s="328">
        <f t="shared" si="505"/>
        <v>0</v>
      </c>
      <c r="K916" s="328">
        <f t="shared" si="505"/>
        <v>0</v>
      </c>
      <c r="L916" s="328">
        <f t="shared" si="505"/>
        <v>0</v>
      </c>
      <c r="M916" s="328">
        <f t="shared" si="505"/>
        <v>0</v>
      </c>
      <c r="N916" s="328">
        <f t="shared" si="505"/>
        <v>0</v>
      </c>
      <c r="O916" s="328">
        <f t="shared" si="505"/>
        <v>0</v>
      </c>
      <c r="P916" s="328">
        <f t="shared" si="505"/>
        <v>0</v>
      </c>
      <c r="Q916" s="328">
        <f t="shared" si="505"/>
        <v>0</v>
      </c>
      <c r="R916" s="328">
        <f t="shared" si="505"/>
        <v>0</v>
      </c>
      <c r="S916" s="400">
        <f t="shared" si="505"/>
        <v>0</v>
      </c>
    </row>
    <row r="917" spans="1:19" ht="12.75" customHeight="1" x14ac:dyDescent="0.2">
      <c r="A917" s="198" t="str">
        <f>"         "&amp;Labels!C316</f>
        <v xml:space="preserve">         Total</v>
      </c>
      <c r="B917" s="243">
        <f t="shared" ref="B917:S917" si="506">AVERAGE(B909,B913)</f>
        <v>0</v>
      </c>
      <c r="C917" s="243">
        <f t="shared" si="506"/>
        <v>0</v>
      </c>
      <c r="D917" s="243">
        <f t="shared" si="506"/>
        <v>0</v>
      </c>
      <c r="E917" s="243">
        <f t="shared" si="506"/>
        <v>0</v>
      </c>
      <c r="F917" s="243">
        <f t="shared" si="506"/>
        <v>0</v>
      </c>
      <c r="G917" s="243">
        <f t="shared" si="506"/>
        <v>0</v>
      </c>
      <c r="H917" s="243">
        <f t="shared" si="506"/>
        <v>0</v>
      </c>
      <c r="I917" s="243">
        <f t="shared" si="506"/>
        <v>0</v>
      </c>
      <c r="J917" s="243">
        <f t="shared" si="506"/>
        <v>0</v>
      </c>
      <c r="K917" s="243">
        <f t="shared" si="506"/>
        <v>0</v>
      </c>
      <c r="L917" s="243">
        <f t="shared" si="506"/>
        <v>0</v>
      </c>
      <c r="M917" s="243">
        <f t="shared" si="506"/>
        <v>0</v>
      </c>
      <c r="N917" s="243">
        <f t="shared" si="506"/>
        <v>0</v>
      </c>
      <c r="O917" s="243">
        <f t="shared" si="506"/>
        <v>0</v>
      </c>
      <c r="P917" s="243">
        <f t="shared" si="506"/>
        <v>0</v>
      </c>
      <c r="Q917" s="243">
        <f t="shared" si="506"/>
        <v>0</v>
      </c>
      <c r="R917" s="243">
        <f t="shared" si="506"/>
        <v>0</v>
      </c>
      <c r="S917" s="398">
        <f t="shared" si="506"/>
        <v>0</v>
      </c>
    </row>
    <row r="918" spans="1:19" ht="12.75" customHeight="1" x14ac:dyDescent="0.2">
      <c r="A918" s="188" t="str">
        <f>"   "&amp;Labels!B386</f>
        <v xml:space="preserve">   Prof Level 2</v>
      </c>
      <c r="B918" s="241"/>
      <c r="C918" s="241"/>
      <c r="D918" s="241"/>
      <c r="E918" s="241"/>
      <c r="F918" s="241"/>
      <c r="G918" s="241"/>
      <c r="H918" s="241"/>
      <c r="I918" s="241"/>
      <c r="J918" s="241"/>
      <c r="K918" s="241"/>
      <c r="L918" s="241"/>
      <c r="M918" s="241"/>
      <c r="N918" s="241"/>
      <c r="O918" s="241"/>
      <c r="P918" s="241"/>
      <c r="Q918" s="241"/>
      <c r="R918" s="241"/>
      <c r="S918" s="352"/>
    </row>
    <row r="919" spans="1:19" ht="12.75" customHeight="1" x14ac:dyDescent="0.2">
      <c r="A919" s="198" t="str">
        <f>"      "&amp;Labels!B397</f>
        <v xml:space="preserve">      Supply Type 1</v>
      </c>
      <c r="B919" s="243"/>
      <c r="C919" s="243"/>
      <c r="D919" s="243"/>
      <c r="E919" s="243"/>
      <c r="F919" s="243"/>
      <c r="G919" s="243"/>
      <c r="H919" s="243"/>
      <c r="I919" s="243"/>
      <c r="J919" s="243"/>
      <c r="K919" s="243"/>
      <c r="L919" s="243"/>
      <c r="M919" s="243"/>
      <c r="N919" s="243"/>
      <c r="O919" s="243"/>
      <c r="P919" s="243"/>
      <c r="Q919" s="243"/>
      <c r="R919" s="243"/>
      <c r="S919" s="398"/>
    </row>
    <row r="920" spans="1:19" ht="12.75" customHeight="1" x14ac:dyDescent="0.2">
      <c r="A920" s="198" t="str">
        <f>"         "&amp;Labels!B317</f>
        <v xml:space="preserve">         Channels 1</v>
      </c>
      <c r="B920" s="328">
        <f>Inputs!F173</f>
        <v>0</v>
      </c>
      <c r="C920" s="328">
        <f>Inputs!G173</f>
        <v>0</v>
      </c>
      <c r="D920" s="328">
        <f>Inputs!H173</f>
        <v>0</v>
      </c>
      <c r="E920" s="328">
        <f>Inputs!I173</f>
        <v>0</v>
      </c>
      <c r="F920" s="328">
        <f>Inputs!J173</f>
        <v>0</v>
      </c>
      <c r="G920" s="328">
        <f>Inputs!K173</f>
        <v>0</v>
      </c>
      <c r="H920" s="328">
        <f>Inputs!L173</f>
        <v>0</v>
      </c>
      <c r="I920" s="328">
        <f>Inputs!M173</f>
        <v>0</v>
      </c>
      <c r="J920" s="328">
        <f>Inputs!N173</f>
        <v>0</v>
      </c>
      <c r="K920" s="328">
        <f>Inputs!O173</f>
        <v>0</v>
      </c>
      <c r="L920" s="328">
        <f>Inputs!P173</f>
        <v>0</v>
      </c>
      <c r="M920" s="328">
        <f>Inputs!Q173</f>
        <v>0</v>
      </c>
      <c r="N920" s="328">
        <f>Inputs!R173</f>
        <v>0</v>
      </c>
      <c r="O920" s="328">
        <f>Inputs!S173</f>
        <v>0</v>
      </c>
      <c r="P920" s="328">
        <f>Inputs!T173</f>
        <v>0</v>
      </c>
      <c r="Q920" s="328">
        <f>Inputs!U173</f>
        <v>0</v>
      </c>
      <c r="R920" s="328">
        <f>Inputs!V173</f>
        <v>0</v>
      </c>
      <c r="S920" s="400">
        <f>Inputs!W173</f>
        <v>0</v>
      </c>
    </row>
    <row r="921" spans="1:19" ht="12.75" customHeight="1" x14ac:dyDescent="0.2">
      <c r="A921" s="198" t="str">
        <f>"         "&amp;Labels!B318</f>
        <v xml:space="preserve">         Channels 2</v>
      </c>
      <c r="B921" s="328">
        <f>Inputs!F174</f>
        <v>0</v>
      </c>
      <c r="C921" s="328">
        <f>Inputs!G174</f>
        <v>0</v>
      </c>
      <c r="D921" s="328">
        <f>Inputs!H174</f>
        <v>0</v>
      </c>
      <c r="E921" s="328">
        <f>Inputs!I174</f>
        <v>0</v>
      </c>
      <c r="F921" s="328">
        <f>Inputs!J174</f>
        <v>0</v>
      </c>
      <c r="G921" s="328">
        <f>Inputs!K174</f>
        <v>0</v>
      </c>
      <c r="H921" s="328">
        <f>Inputs!L174</f>
        <v>0</v>
      </c>
      <c r="I921" s="328">
        <f>Inputs!M174</f>
        <v>0</v>
      </c>
      <c r="J921" s="328">
        <f>Inputs!N174</f>
        <v>0</v>
      </c>
      <c r="K921" s="328">
        <f>Inputs!O174</f>
        <v>0</v>
      </c>
      <c r="L921" s="328">
        <f>Inputs!P174</f>
        <v>0</v>
      </c>
      <c r="M921" s="328">
        <f>Inputs!Q174</f>
        <v>0</v>
      </c>
      <c r="N921" s="328">
        <f>Inputs!R174</f>
        <v>0</v>
      </c>
      <c r="O921" s="328">
        <f>Inputs!S174</f>
        <v>0</v>
      </c>
      <c r="P921" s="328">
        <f>Inputs!T174</f>
        <v>0</v>
      </c>
      <c r="Q921" s="328">
        <f>Inputs!U174</f>
        <v>0</v>
      </c>
      <c r="R921" s="328">
        <f>Inputs!V174</f>
        <v>0</v>
      </c>
      <c r="S921" s="400">
        <f>Inputs!W174</f>
        <v>0</v>
      </c>
    </row>
    <row r="922" spans="1:19" ht="12.75" customHeight="1" x14ac:dyDescent="0.2">
      <c r="A922" s="198" t="str">
        <f>"         "&amp;Labels!C316</f>
        <v xml:space="preserve">         Total</v>
      </c>
      <c r="B922" s="243">
        <f t="shared" ref="B922:S922" si="507">AVERAGE(B920:B921)</f>
        <v>0</v>
      </c>
      <c r="C922" s="243">
        <f t="shared" si="507"/>
        <v>0</v>
      </c>
      <c r="D922" s="243">
        <f t="shared" si="507"/>
        <v>0</v>
      </c>
      <c r="E922" s="243">
        <f t="shared" si="507"/>
        <v>0</v>
      </c>
      <c r="F922" s="243">
        <f t="shared" si="507"/>
        <v>0</v>
      </c>
      <c r="G922" s="243">
        <f t="shared" si="507"/>
        <v>0</v>
      </c>
      <c r="H922" s="243">
        <f t="shared" si="507"/>
        <v>0</v>
      </c>
      <c r="I922" s="243">
        <f t="shared" si="507"/>
        <v>0</v>
      </c>
      <c r="J922" s="243">
        <f t="shared" si="507"/>
        <v>0</v>
      </c>
      <c r="K922" s="243">
        <f t="shared" si="507"/>
        <v>0</v>
      </c>
      <c r="L922" s="243">
        <f t="shared" si="507"/>
        <v>0</v>
      </c>
      <c r="M922" s="243">
        <f t="shared" si="507"/>
        <v>0</v>
      </c>
      <c r="N922" s="243">
        <f t="shared" si="507"/>
        <v>0</v>
      </c>
      <c r="O922" s="243">
        <f t="shared" si="507"/>
        <v>0</v>
      </c>
      <c r="P922" s="243">
        <f t="shared" si="507"/>
        <v>0</v>
      </c>
      <c r="Q922" s="243">
        <f t="shared" si="507"/>
        <v>0</v>
      </c>
      <c r="R922" s="243">
        <f t="shared" si="507"/>
        <v>0</v>
      </c>
      <c r="S922" s="398">
        <f t="shared" si="507"/>
        <v>0</v>
      </c>
    </row>
    <row r="923" spans="1:19" ht="12.75" customHeight="1" x14ac:dyDescent="0.2">
      <c r="A923" s="198" t="str">
        <f>"      "&amp;Labels!B398</f>
        <v xml:space="preserve">      Supply Type 2</v>
      </c>
      <c r="B923" s="243"/>
      <c r="C923" s="243"/>
      <c r="D923" s="243"/>
      <c r="E923" s="243"/>
      <c r="F923" s="243"/>
      <c r="G923" s="243"/>
      <c r="H923" s="243"/>
      <c r="I923" s="243"/>
      <c r="J923" s="243"/>
      <c r="K923" s="243"/>
      <c r="L923" s="243"/>
      <c r="M923" s="243"/>
      <c r="N923" s="243"/>
      <c r="O923" s="243"/>
      <c r="P923" s="243"/>
      <c r="Q923" s="243"/>
      <c r="R923" s="243"/>
      <c r="S923" s="398"/>
    </row>
    <row r="924" spans="1:19" ht="12.75" customHeight="1" x14ac:dyDescent="0.2">
      <c r="A924" s="198" t="str">
        <f>"         "&amp;Labels!B317</f>
        <v xml:space="preserve">         Channels 1</v>
      </c>
      <c r="B924" s="328">
        <f>Inputs!F175</f>
        <v>0</v>
      </c>
      <c r="C924" s="328">
        <f>Inputs!G175</f>
        <v>0</v>
      </c>
      <c r="D924" s="328">
        <f>Inputs!H175</f>
        <v>0</v>
      </c>
      <c r="E924" s="328">
        <f>Inputs!I175</f>
        <v>0</v>
      </c>
      <c r="F924" s="328">
        <f>Inputs!J175</f>
        <v>0</v>
      </c>
      <c r="G924" s="328">
        <f>Inputs!K175</f>
        <v>0</v>
      </c>
      <c r="H924" s="328">
        <f>Inputs!L175</f>
        <v>0</v>
      </c>
      <c r="I924" s="328">
        <f>Inputs!M175</f>
        <v>0</v>
      </c>
      <c r="J924" s="328">
        <f>Inputs!N175</f>
        <v>0</v>
      </c>
      <c r="K924" s="328">
        <f>Inputs!O175</f>
        <v>0</v>
      </c>
      <c r="L924" s="328">
        <f>Inputs!P175</f>
        <v>0</v>
      </c>
      <c r="M924" s="328">
        <f>Inputs!Q175</f>
        <v>0</v>
      </c>
      <c r="N924" s="328">
        <f>Inputs!R175</f>
        <v>0</v>
      </c>
      <c r="O924" s="328">
        <f>Inputs!S175</f>
        <v>0</v>
      </c>
      <c r="P924" s="328">
        <f>Inputs!T175</f>
        <v>0</v>
      </c>
      <c r="Q924" s="328">
        <f>Inputs!U175</f>
        <v>0</v>
      </c>
      <c r="R924" s="328">
        <f>Inputs!V175</f>
        <v>0</v>
      </c>
      <c r="S924" s="400">
        <f>Inputs!W175</f>
        <v>0</v>
      </c>
    </row>
    <row r="925" spans="1:19" ht="12.75" customHeight="1" x14ac:dyDescent="0.2">
      <c r="A925" s="198" t="str">
        <f>"         "&amp;Labels!B318</f>
        <v xml:space="preserve">         Channels 2</v>
      </c>
      <c r="B925" s="328">
        <f>Inputs!F176</f>
        <v>0</v>
      </c>
      <c r="C925" s="328">
        <f>Inputs!G176</f>
        <v>0</v>
      </c>
      <c r="D925" s="328">
        <f>Inputs!H176</f>
        <v>0</v>
      </c>
      <c r="E925" s="328">
        <f>Inputs!I176</f>
        <v>0</v>
      </c>
      <c r="F925" s="328">
        <f>Inputs!J176</f>
        <v>0</v>
      </c>
      <c r="G925" s="328">
        <f>Inputs!K176</f>
        <v>0</v>
      </c>
      <c r="H925" s="328">
        <f>Inputs!L176</f>
        <v>0</v>
      </c>
      <c r="I925" s="328">
        <f>Inputs!M176</f>
        <v>0</v>
      </c>
      <c r="J925" s="328">
        <f>Inputs!N176</f>
        <v>0</v>
      </c>
      <c r="K925" s="328">
        <f>Inputs!O176</f>
        <v>0</v>
      </c>
      <c r="L925" s="328">
        <f>Inputs!P176</f>
        <v>0</v>
      </c>
      <c r="M925" s="328">
        <f>Inputs!Q176</f>
        <v>0</v>
      </c>
      <c r="N925" s="328">
        <f>Inputs!R176</f>
        <v>0</v>
      </c>
      <c r="O925" s="328">
        <f>Inputs!S176</f>
        <v>0</v>
      </c>
      <c r="P925" s="328">
        <f>Inputs!T176</f>
        <v>0</v>
      </c>
      <c r="Q925" s="328">
        <f>Inputs!U176</f>
        <v>0</v>
      </c>
      <c r="R925" s="328">
        <f>Inputs!V176</f>
        <v>0</v>
      </c>
      <c r="S925" s="400">
        <f>Inputs!W176</f>
        <v>0</v>
      </c>
    </row>
    <row r="926" spans="1:19" ht="12.75" customHeight="1" x14ac:dyDescent="0.2">
      <c r="A926" s="198" t="str">
        <f>"         "&amp;Labels!C316</f>
        <v xml:space="preserve">         Total</v>
      </c>
      <c r="B926" s="243">
        <f t="shared" ref="B926:S926" si="508">AVERAGE(B924:B925)</f>
        <v>0</v>
      </c>
      <c r="C926" s="243">
        <f t="shared" si="508"/>
        <v>0</v>
      </c>
      <c r="D926" s="243">
        <f t="shared" si="508"/>
        <v>0</v>
      </c>
      <c r="E926" s="243">
        <f t="shared" si="508"/>
        <v>0</v>
      </c>
      <c r="F926" s="243">
        <f t="shared" si="508"/>
        <v>0</v>
      </c>
      <c r="G926" s="243">
        <f t="shared" si="508"/>
        <v>0</v>
      </c>
      <c r="H926" s="243">
        <f t="shared" si="508"/>
        <v>0</v>
      </c>
      <c r="I926" s="243">
        <f t="shared" si="508"/>
        <v>0</v>
      </c>
      <c r="J926" s="243">
        <f t="shared" si="508"/>
        <v>0</v>
      </c>
      <c r="K926" s="243">
        <f t="shared" si="508"/>
        <v>0</v>
      </c>
      <c r="L926" s="243">
        <f t="shared" si="508"/>
        <v>0</v>
      </c>
      <c r="M926" s="243">
        <f t="shared" si="508"/>
        <v>0</v>
      </c>
      <c r="N926" s="243">
        <f t="shared" si="508"/>
        <v>0</v>
      </c>
      <c r="O926" s="243">
        <f t="shared" si="508"/>
        <v>0</v>
      </c>
      <c r="P926" s="243">
        <f t="shared" si="508"/>
        <v>0</v>
      </c>
      <c r="Q926" s="243">
        <f t="shared" si="508"/>
        <v>0</v>
      </c>
      <c r="R926" s="243">
        <f t="shared" si="508"/>
        <v>0</v>
      </c>
      <c r="S926" s="398">
        <f t="shared" si="508"/>
        <v>0</v>
      </c>
    </row>
    <row r="927" spans="1:19" ht="12.75" customHeight="1" x14ac:dyDescent="0.2">
      <c r="A927" s="188" t="str">
        <f>"      "&amp;Labels!C396</f>
        <v xml:space="preserve">      Total</v>
      </c>
      <c r="B927" s="241">
        <f t="shared" ref="B927:S927" si="509">AVERAGE(B922,B926)</f>
        <v>0</v>
      </c>
      <c r="C927" s="241">
        <f t="shared" si="509"/>
        <v>0</v>
      </c>
      <c r="D927" s="241">
        <f t="shared" si="509"/>
        <v>0</v>
      </c>
      <c r="E927" s="241">
        <f t="shared" si="509"/>
        <v>0</v>
      </c>
      <c r="F927" s="241">
        <f t="shared" si="509"/>
        <v>0</v>
      </c>
      <c r="G927" s="241">
        <f t="shared" si="509"/>
        <v>0</v>
      </c>
      <c r="H927" s="241">
        <f t="shared" si="509"/>
        <v>0</v>
      </c>
      <c r="I927" s="241">
        <f t="shared" si="509"/>
        <v>0</v>
      </c>
      <c r="J927" s="241">
        <f t="shared" si="509"/>
        <v>0</v>
      </c>
      <c r="K927" s="241">
        <f t="shared" si="509"/>
        <v>0</v>
      </c>
      <c r="L927" s="241">
        <f t="shared" si="509"/>
        <v>0</v>
      </c>
      <c r="M927" s="241">
        <f t="shared" si="509"/>
        <v>0</v>
      </c>
      <c r="N927" s="241">
        <f t="shared" si="509"/>
        <v>0</v>
      </c>
      <c r="O927" s="241">
        <f t="shared" si="509"/>
        <v>0</v>
      </c>
      <c r="P927" s="241">
        <f t="shared" si="509"/>
        <v>0</v>
      </c>
      <c r="Q927" s="241">
        <f t="shared" si="509"/>
        <v>0</v>
      </c>
      <c r="R927" s="241">
        <f t="shared" si="509"/>
        <v>0</v>
      </c>
      <c r="S927" s="352">
        <f t="shared" si="509"/>
        <v>0</v>
      </c>
    </row>
    <row r="928" spans="1:19" ht="12.75" customHeight="1" x14ac:dyDescent="0.2">
      <c r="A928" s="198" t="str">
        <f>"         "&amp;Labels!B317</f>
        <v xml:space="preserve">         Channels 1</v>
      </c>
      <c r="B928" s="328">
        <f t="shared" ref="B928:S928" si="510">AVERAGE(B920,B924)</f>
        <v>0</v>
      </c>
      <c r="C928" s="328">
        <f t="shared" si="510"/>
        <v>0</v>
      </c>
      <c r="D928" s="328">
        <f t="shared" si="510"/>
        <v>0</v>
      </c>
      <c r="E928" s="328">
        <f t="shared" si="510"/>
        <v>0</v>
      </c>
      <c r="F928" s="328">
        <f t="shared" si="510"/>
        <v>0</v>
      </c>
      <c r="G928" s="328">
        <f t="shared" si="510"/>
        <v>0</v>
      </c>
      <c r="H928" s="328">
        <f t="shared" si="510"/>
        <v>0</v>
      </c>
      <c r="I928" s="328">
        <f t="shared" si="510"/>
        <v>0</v>
      </c>
      <c r="J928" s="328">
        <f t="shared" si="510"/>
        <v>0</v>
      </c>
      <c r="K928" s="328">
        <f t="shared" si="510"/>
        <v>0</v>
      </c>
      <c r="L928" s="328">
        <f t="shared" si="510"/>
        <v>0</v>
      </c>
      <c r="M928" s="328">
        <f t="shared" si="510"/>
        <v>0</v>
      </c>
      <c r="N928" s="328">
        <f t="shared" si="510"/>
        <v>0</v>
      </c>
      <c r="O928" s="328">
        <f t="shared" si="510"/>
        <v>0</v>
      </c>
      <c r="P928" s="328">
        <f t="shared" si="510"/>
        <v>0</v>
      </c>
      <c r="Q928" s="328">
        <f t="shared" si="510"/>
        <v>0</v>
      </c>
      <c r="R928" s="328">
        <f t="shared" si="510"/>
        <v>0</v>
      </c>
      <c r="S928" s="400">
        <f t="shared" si="510"/>
        <v>0</v>
      </c>
    </row>
    <row r="929" spans="1:19" ht="12.75" customHeight="1" x14ac:dyDescent="0.2">
      <c r="A929" s="198" t="str">
        <f>"         "&amp;Labels!B318</f>
        <v xml:space="preserve">         Channels 2</v>
      </c>
      <c r="B929" s="328">
        <f t="shared" ref="B929:S929" si="511">AVERAGE(B921,B925)</f>
        <v>0</v>
      </c>
      <c r="C929" s="328">
        <f t="shared" si="511"/>
        <v>0</v>
      </c>
      <c r="D929" s="328">
        <f t="shared" si="511"/>
        <v>0</v>
      </c>
      <c r="E929" s="328">
        <f t="shared" si="511"/>
        <v>0</v>
      </c>
      <c r="F929" s="328">
        <f t="shared" si="511"/>
        <v>0</v>
      </c>
      <c r="G929" s="328">
        <f t="shared" si="511"/>
        <v>0</v>
      </c>
      <c r="H929" s="328">
        <f t="shared" si="511"/>
        <v>0</v>
      </c>
      <c r="I929" s="328">
        <f t="shared" si="511"/>
        <v>0</v>
      </c>
      <c r="J929" s="328">
        <f t="shared" si="511"/>
        <v>0</v>
      </c>
      <c r="K929" s="328">
        <f t="shared" si="511"/>
        <v>0</v>
      </c>
      <c r="L929" s="328">
        <f t="shared" si="511"/>
        <v>0</v>
      </c>
      <c r="M929" s="328">
        <f t="shared" si="511"/>
        <v>0</v>
      </c>
      <c r="N929" s="328">
        <f t="shared" si="511"/>
        <v>0</v>
      </c>
      <c r="O929" s="328">
        <f t="shared" si="511"/>
        <v>0</v>
      </c>
      <c r="P929" s="328">
        <f t="shared" si="511"/>
        <v>0</v>
      </c>
      <c r="Q929" s="328">
        <f t="shared" si="511"/>
        <v>0</v>
      </c>
      <c r="R929" s="328">
        <f t="shared" si="511"/>
        <v>0</v>
      </c>
      <c r="S929" s="400">
        <f t="shared" si="511"/>
        <v>0</v>
      </c>
    </row>
    <row r="930" spans="1:19" ht="12.75" customHeight="1" x14ac:dyDescent="0.2">
      <c r="A930" s="198" t="str">
        <f>"         "&amp;Labels!C316</f>
        <v xml:space="preserve">         Total</v>
      </c>
      <c r="B930" s="243">
        <f t="shared" ref="B930:S930" si="512">AVERAGE(B922,B926)</f>
        <v>0</v>
      </c>
      <c r="C930" s="243">
        <f t="shared" si="512"/>
        <v>0</v>
      </c>
      <c r="D930" s="243">
        <f t="shared" si="512"/>
        <v>0</v>
      </c>
      <c r="E930" s="243">
        <f t="shared" si="512"/>
        <v>0</v>
      </c>
      <c r="F930" s="243">
        <f t="shared" si="512"/>
        <v>0</v>
      </c>
      <c r="G930" s="243">
        <f t="shared" si="512"/>
        <v>0</v>
      </c>
      <c r="H930" s="243">
        <f t="shared" si="512"/>
        <v>0</v>
      </c>
      <c r="I930" s="243">
        <f t="shared" si="512"/>
        <v>0</v>
      </c>
      <c r="J930" s="243">
        <f t="shared" si="512"/>
        <v>0</v>
      </c>
      <c r="K930" s="243">
        <f t="shared" si="512"/>
        <v>0</v>
      </c>
      <c r="L930" s="243">
        <f t="shared" si="512"/>
        <v>0</v>
      </c>
      <c r="M930" s="243">
        <f t="shared" si="512"/>
        <v>0</v>
      </c>
      <c r="N930" s="243">
        <f t="shared" si="512"/>
        <v>0</v>
      </c>
      <c r="O930" s="243">
        <f t="shared" si="512"/>
        <v>0</v>
      </c>
      <c r="P930" s="243">
        <f t="shared" si="512"/>
        <v>0</v>
      </c>
      <c r="Q930" s="243">
        <f t="shared" si="512"/>
        <v>0</v>
      </c>
      <c r="R930" s="243">
        <f t="shared" si="512"/>
        <v>0</v>
      </c>
      <c r="S930" s="398">
        <f t="shared" si="512"/>
        <v>0</v>
      </c>
    </row>
    <row r="931" spans="1:19" ht="12.75" customHeight="1" x14ac:dyDescent="0.2">
      <c r="A931" s="191" t="str">
        <f>"   "&amp;Labels!C384</f>
        <v xml:space="preserve">   Total</v>
      </c>
      <c r="B931" s="245">
        <f t="shared" ref="B931:S931" si="513">AVERAGE(B914,B927)</f>
        <v>0</v>
      </c>
      <c r="C931" s="245">
        <f t="shared" si="513"/>
        <v>0</v>
      </c>
      <c r="D931" s="245">
        <f t="shared" si="513"/>
        <v>0</v>
      </c>
      <c r="E931" s="245">
        <f t="shared" si="513"/>
        <v>0</v>
      </c>
      <c r="F931" s="245">
        <f t="shared" si="513"/>
        <v>0</v>
      </c>
      <c r="G931" s="245">
        <f t="shared" si="513"/>
        <v>0</v>
      </c>
      <c r="H931" s="245">
        <f t="shared" si="513"/>
        <v>0</v>
      </c>
      <c r="I931" s="245">
        <f t="shared" si="513"/>
        <v>0</v>
      </c>
      <c r="J931" s="245">
        <f t="shared" si="513"/>
        <v>0</v>
      </c>
      <c r="K931" s="245">
        <f t="shared" si="513"/>
        <v>0</v>
      </c>
      <c r="L931" s="245">
        <f t="shared" si="513"/>
        <v>0</v>
      </c>
      <c r="M931" s="245">
        <f t="shared" si="513"/>
        <v>0</v>
      </c>
      <c r="N931" s="245">
        <f t="shared" si="513"/>
        <v>0</v>
      </c>
      <c r="O931" s="245">
        <f t="shared" si="513"/>
        <v>0</v>
      </c>
      <c r="P931" s="245">
        <f t="shared" si="513"/>
        <v>0</v>
      </c>
      <c r="Q931" s="245">
        <f t="shared" si="513"/>
        <v>0</v>
      </c>
      <c r="R931" s="245">
        <f t="shared" si="513"/>
        <v>0</v>
      </c>
      <c r="S931" s="353">
        <f t="shared" si="513"/>
        <v>0</v>
      </c>
    </row>
    <row r="932" spans="1:19" ht="12.75" customHeight="1" x14ac:dyDescent="0.2">
      <c r="A932" s="198" t="str">
        <f>"      "&amp;Labels!B397</f>
        <v xml:space="preserve">      Supply Type 1</v>
      </c>
      <c r="B932" s="243"/>
      <c r="C932" s="243"/>
      <c r="D932" s="243"/>
      <c r="E932" s="243"/>
      <c r="F932" s="243"/>
      <c r="G932" s="243"/>
      <c r="H932" s="243"/>
      <c r="I932" s="243"/>
      <c r="J932" s="243"/>
      <c r="K932" s="243"/>
      <c r="L932" s="243"/>
      <c r="M932" s="243"/>
      <c r="N932" s="243"/>
      <c r="O932" s="243"/>
      <c r="P932" s="243"/>
      <c r="Q932" s="243"/>
      <c r="R932" s="243"/>
      <c r="S932" s="398"/>
    </row>
    <row r="933" spans="1:19" ht="12.75" customHeight="1" x14ac:dyDescent="0.2">
      <c r="A933" s="198" t="str">
        <f>"         "&amp;Labels!B317</f>
        <v xml:space="preserve">         Channels 1</v>
      </c>
      <c r="B933" s="328">
        <f t="shared" ref="B933:S933" si="514">AVERAGE(B907,B920)</f>
        <v>0</v>
      </c>
      <c r="C933" s="328">
        <f t="shared" si="514"/>
        <v>0</v>
      </c>
      <c r="D933" s="328">
        <f t="shared" si="514"/>
        <v>0</v>
      </c>
      <c r="E933" s="328">
        <f t="shared" si="514"/>
        <v>0</v>
      </c>
      <c r="F933" s="328">
        <f t="shared" si="514"/>
        <v>0</v>
      </c>
      <c r="G933" s="328">
        <f t="shared" si="514"/>
        <v>0</v>
      </c>
      <c r="H933" s="328">
        <f t="shared" si="514"/>
        <v>0</v>
      </c>
      <c r="I933" s="328">
        <f t="shared" si="514"/>
        <v>0</v>
      </c>
      <c r="J933" s="328">
        <f t="shared" si="514"/>
        <v>0</v>
      </c>
      <c r="K933" s="328">
        <f t="shared" si="514"/>
        <v>0</v>
      </c>
      <c r="L933" s="328">
        <f t="shared" si="514"/>
        <v>0</v>
      </c>
      <c r="M933" s="328">
        <f t="shared" si="514"/>
        <v>0</v>
      </c>
      <c r="N933" s="328">
        <f t="shared" si="514"/>
        <v>0</v>
      </c>
      <c r="O933" s="328">
        <f t="shared" si="514"/>
        <v>0</v>
      </c>
      <c r="P933" s="328">
        <f t="shared" si="514"/>
        <v>0</v>
      </c>
      <c r="Q933" s="328">
        <f t="shared" si="514"/>
        <v>0</v>
      </c>
      <c r="R933" s="328">
        <f t="shared" si="514"/>
        <v>0</v>
      </c>
      <c r="S933" s="400">
        <f t="shared" si="514"/>
        <v>0</v>
      </c>
    </row>
    <row r="934" spans="1:19" ht="12.75" customHeight="1" x14ac:dyDescent="0.2">
      <c r="A934" s="198" t="str">
        <f>"         "&amp;Labels!B318</f>
        <v xml:space="preserve">         Channels 2</v>
      </c>
      <c r="B934" s="328">
        <f t="shared" ref="B934:S934" si="515">AVERAGE(B908,B921)</f>
        <v>0</v>
      </c>
      <c r="C934" s="328">
        <f t="shared" si="515"/>
        <v>0</v>
      </c>
      <c r="D934" s="328">
        <f t="shared" si="515"/>
        <v>0</v>
      </c>
      <c r="E934" s="328">
        <f t="shared" si="515"/>
        <v>0</v>
      </c>
      <c r="F934" s="328">
        <f t="shared" si="515"/>
        <v>0</v>
      </c>
      <c r="G934" s="328">
        <f t="shared" si="515"/>
        <v>0</v>
      </c>
      <c r="H934" s="328">
        <f t="shared" si="515"/>
        <v>0</v>
      </c>
      <c r="I934" s="328">
        <f t="shared" si="515"/>
        <v>0</v>
      </c>
      <c r="J934" s="328">
        <f t="shared" si="515"/>
        <v>0</v>
      </c>
      <c r="K934" s="328">
        <f t="shared" si="515"/>
        <v>0</v>
      </c>
      <c r="L934" s="328">
        <f t="shared" si="515"/>
        <v>0</v>
      </c>
      <c r="M934" s="328">
        <f t="shared" si="515"/>
        <v>0</v>
      </c>
      <c r="N934" s="328">
        <f t="shared" si="515"/>
        <v>0</v>
      </c>
      <c r="O934" s="328">
        <f t="shared" si="515"/>
        <v>0</v>
      </c>
      <c r="P934" s="328">
        <f t="shared" si="515"/>
        <v>0</v>
      </c>
      <c r="Q934" s="328">
        <f t="shared" si="515"/>
        <v>0</v>
      </c>
      <c r="R934" s="328">
        <f t="shared" si="515"/>
        <v>0</v>
      </c>
      <c r="S934" s="400">
        <f t="shared" si="515"/>
        <v>0</v>
      </c>
    </row>
    <row r="935" spans="1:19" ht="12.75" customHeight="1" x14ac:dyDescent="0.2">
      <c r="A935" s="198" t="str">
        <f>"         "&amp;Labels!C316</f>
        <v xml:space="preserve">         Total</v>
      </c>
      <c r="B935" s="243">
        <f t="shared" ref="B935:S935" si="516">AVERAGE(B909,B922)</f>
        <v>0</v>
      </c>
      <c r="C935" s="243">
        <f t="shared" si="516"/>
        <v>0</v>
      </c>
      <c r="D935" s="243">
        <f t="shared" si="516"/>
        <v>0</v>
      </c>
      <c r="E935" s="243">
        <f t="shared" si="516"/>
        <v>0</v>
      </c>
      <c r="F935" s="243">
        <f t="shared" si="516"/>
        <v>0</v>
      </c>
      <c r="G935" s="243">
        <f t="shared" si="516"/>
        <v>0</v>
      </c>
      <c r="H935" s="243">
        <f t="shared" si="516"/>
        <v>0</v>
      </c>
      <c r="I935" s="243">
        <f t="shared" si="516"/>
        <v>0</v>
      </c>
      <c r="J935" s="243">
        <f t="shared" si="516"/>
        <v>0</v>
      </c>
      <c r="K935" s="243">
        <f t="shared" si="516"/>
        <v>0</v>
      </c>
      <c r="L935" s="243">
        <f t="shared" si="516"/>
        <v>0</v>
      </c>
      <c r="M935" s="243">
        <f t="shared" si="516"/>
        <v>0</v>
      </c>
      <c r="N935" s="243">
        <f t="shared" si="516"/>
        <v>0</v>
      </c>
      <c r="O935" s="243">
        <f t="shared" si="516"/>
        <v>0</v>
      </c>
      <c r="P935" s="243">
        <f t="shared" si="516"/>
        <v>0</v>
      </c>
      <c r="Q935" s="243">
        <f t="shared" si="516"/>
        <v>0</v>
      </c>
      <c r="R935" s="243">
        <f t="shared" si="516"/>
        <v>0</v>
      </c>
      <c r="S935" s="398">
        <f t="shared" si="516"/>
        <v>0</v>
      </c>
    </row>
    <row r="936" spans="1:19" ht="12.75" customHeight="1" x14ac:dyDescent="0.2">
      <c r="A936" s="198" t="str">
        <f>"      "&amp;Labels!B398</f>
        <v xml:space="preserve">      Supply Type 2</v>
      </c>
      <c r="B936" s="243"/>
      <c r="C936" s="243"/>
      <c r="D936" s="243"/>
      <c r="E936" s="243"/>
      <c r="F936" s="243"/>
      <c r="G936" s="243"/>
      <c r="H936" s="243"/>
      <c r="I936" s="243"/>
      <c r="J936" s="243"/>
      <c r="K936" s="243"/>
      <c r="L936" s="243"/>
      <c r="M936" s="243"/>
      <c r="N936" s="243"/>
      <c r="O936" s="243"/>
      <c r="P936" s="243"/>
      <c r="Q936" s="243"/>
      <c r="R936" s="243"/>
      <c r="S936" s="398"/>
    </row>
    <row r="937" spans="1:19" ht="12.75" customHeight="1" x14ac:dyDescent="0.2">
      <c r="A937" s="198" t="str">
        <f>"         "&amp;Labels!B317</f>
        <v xml:space="preserve">         Channels 1</v>
      </c>
      <c r="B937" s="328">
        <f t="shared" ref="B937:S937" si="517">AVERAGE(B911,B924)</f>
        <v>0</v>
      </c>
      <c r="C937" s="328">
        <f t="shared" si="517"/>
        <v>0</v>
      </c>
      <c r="D937" s="328">
        <f t="shared" si="517"/>
        <v>0</v>
      </c>
      <c r="E937" s="328">
        <f t="shared" si="517"/>
        <v>0</v>
      </c>
      <c r="F937" s="328">
        <f t="shared" si="517"/>
        <v>0</v>
      </c>
      <c r="G937" s="328">
        <f t="shared" si="517"/>
        <v>0</v>
      </c>
      <c r="H937" s="328">
        <f t="shared" si="517"/>
        <v>0</v>
      </c>
      <c r="I937" s="328">
        <f t="shared" si="517"/>
        <v>0</v>
      </c>
      <c r="J937" s="328">
        <f t="shared" si="517"/>
        <v>0</v>
      </c>
      <c r="K937" s="328">
        <f t="shared" si="517"/>
        <v>0</v>
      </c>
      <c r="L937" s="328">
        <f t="shared" si="517"/>
        <v>0</v>
      </c>
      <c r="M937" s="328">
        <f t="shared" si="517"/>
        <v>0</v>
      </c>
      <c r="N937" s="328">
        <f t="shared" si="517"/>
        <v>0</v>
      </c>
      <c r="O937" s="328">
        <f t="shared" si="517"/>
        <v>0</v>
      </c>
      <c r="P937" s="328">
        <f t="shared" si="517"/>
        <v>0</v>
      </c>
      <c r="Q937" s="328">
        <f t="shared" si="517"/>
        <v>0</v>
      </c>
      <c r="R937" s="328">
        <f t="shared" si="517"/>
        <v>0</v>
      </c>
      <c r="S937" s="400">
        <f t="shared" si="517"/>
        <v>0</v>
      </c>
    </row>
    <row r="938" spans="1:19" ht="12.75" customHeight="1" x14ac:dyDescent="0.2">
      <c r="A938" s="198" t="str">
        <f>"         "&amp;Labels!B318</f>
        <v xml:space="preserve">         Channels 2</v>
      </c>
      <c r="B938" s="328">
        <f t="shared" ref="B938:S938" si="518">AVERAGE(B912,B925)</f>
        <v>0</v>
      </c>
      <c r="C938" s="328">
        <f t="shared" si="518"/>
        <v>0</v>
      </c>
      <c r="D938" s="328">
        <f t="shared" si="518"/>
        <v>0</v>
      </c>
      <c r="E938" s="328">
        <f t="shared" si="518"/>
        <v>0</v>
      </c>
      <c r="F938" s="328">
        <f t="shared" si="518"/>
        <v>0</v>
      </c>
      <c r="G938" s="328">
        <f t="shared" si="518"/>
        <v>0</v>
      </c>
      <c r="H938" s="328">
        <f t="shared" si="518"/>
        <v>0</v>
      </c>
      <c r="I938" s="328">
        <f t="shared" si="518"/>
        <v>0</v>
      </c>
      <c r="J938" s="328">
        <f t="shared" si="518"/>
        <v>0</v>
      </c>
      <c r="K938" s="328">
        <f t="shared" si="518"/>
        <v>0</v>
      </c>
      <c r="L938" s="328">
        <f t="shared" si="518"/>
        <v>0</v>
      </c>
      <c r="M938" s="328">
        <f t="shared" si="518"/>
        <v>0</v>
      </c>
      <c r="N938" s="328">
        <f t="shared" si="518"/>
        <v>0</v>
      </c>
      <c r="O938" s="328">
        <f t="shared" si="518"/>
        <v>0</v>
      </c>
      <c r="P938" s="328">
        <f t="shared" si="518"/>
        <v>0</v>
      </c>
      <c r="Q938" s="328">
        <f t="shared" si="518"/>
        <v>0</v>
      </c>
      <c r="R938" s="328">
        <f t="shared" si="518"/>
        <v>0</v>
      </c>
      <c r="S938" s="400">
        <f t="shared" si="518"/>
        <v>0</v>
      </c>
    </row>
    <row r="939" spans="1:19" ht="12.75" customHeight="1" x14ac:dyDescent="0.2">
      <c r="A939" s="198" t="str">
        <f>"         "&amp;Labels!C316</f>
        <v xml:space="preserve">         Total</v>
      </c>
      <c r="B939" s="243">
        <f t="shared" ref="B939:S939" si="519">AVERAGE(B913,B926)</f>
        <v>0</v>
      </c>
      <c r="C939" s="243">
        <f t="shared" si="519"/>
        <v>0</v>
      </c>
      <c r="D939" s="243">
        <f t="shared" si="519"/>
        <v>0</v>
      </c>
      <c r="E939" s="243">
        <f t="shared" si="519"/>
        <v>0</v>
      </c>
      <c r="F939" s="243">
        <f t="shared" si="519"/>
        <v>0</v>
      </c>
      <c r="G939" s="243">
        <f t="shared" si="519"/>
        <v>0</v>
      </c>
      <c r="H939" s="243">
        <f t="shared" si="519"/>
        <v>0</v>
      </c>
      <c r="I939" s="243">
        <f t="shared" si="519"/>
        <v>0</v>
      </c>
      <c r="J939" s="243">
        <f t="shared" si="519"/>
        <v>0</v>
      </c>
      <c r="K939" s="243">
        <f t="shared" si="519"/>
        <v>0</v>
      </c>
      <c r="L939" s="243">
        <f t="shared" si="519"/>
        <v>0</v>
      </c>
      <c r="M939" s="243">
        <f t="shared" si="519"/>
        <v>0</v>
      </c>
      <c r="N939" s="243">
        <f t="shared" si="519"/>
        <v>0</v>
      </c>
      <c r="O939" s="243">
        <f t="shared" si="519"/>
        <v>0</v>
      </c>
      <c r="P939" s="243">
        <f t="shared" si="519"/>
        <v>0</v>
      </c>
      <c r="Q939" s="243">
        <f t="shared" si="519"/>
        <v>0</v>
      </c>
      <c r="R939" s="243">
        <f t="shared" si="519"/>
        <v>0</v>
      </c>
      <c r="S939" s="398">
        <f t="shared" si="519"/>
        <v>0</v>
      </c>
    </row>
    <row r="940" spans="1:19" ht="12.75" customHeight="1" x14ac:dyDescent="0.2">
      <c r="A940" s="188" t="str">
        <f>"      "&amp;Labels!C396</f>
        <v xml:space="preserve">      Total</v>
      </c>
      <c r="B940" s="241">
        <f t="shared" ref="B940:S940" si="520">AVERAGE(B914,B927)</f>
        <v>0</v>
      </c>
      <c r="C940" s="241">
        <f t="shared" si="520"/>
        <v>0</v>
      </c>
      <c r="D940" s="241">
        <f t="shared" si="520"/>
        <v>0</v>
      </c>
      <c r="E940" s="241">
        <f t="shared" si="520"/>
        <v>0</v>
      </c>
      <c r="F940" s="241">
        <f t="shared" si="520"/>
        <v>0</v>
      </c>
      <c r="G940" s="241">
        <f t="shared" si="520"/>
        <v>0</v>
      </c>
      <c r="H940" s="241">
        <f t="shared" si="520"/>
        <v>0</v>
      </c>
      <c r="I940" s="241">
        <f t="shared" si="520"/>
        <v>0</v>
      </c>
      <c r="J940" s="241">
        <f t="shared" si="520"/>
        <v>0</v>
      </c>
      <c r="K940" s="241">
        <f t="shared" si="520"/>
        <v>0</v>
      </c>
      <c r="L940" s="241">
        <f t="shared" si="520"/>
        <v>0</v>
      </c>
      <c r="M940" s="241">
        <f t="shared" si="520"/>
        <v>0</v>
      </c>
      <c r="N940" s="241">
        <f t="shared" si="520"/>
        <v>0</v>
      </c>
      <c r="O940" s="241">
        <f t="shared" si="520"/>
        <v>0</v>
      </c>
      <c r="P940" s="241">
        <f t="shared" si="520"/>
        <v>0</v>
      </c>
      <c r="Q940" s="241">
        <f t="shared" si="520"/>
        <v>0</v>
      </c>
      <c r="R940" s="241">
        <f t="shared" si="520"/>
        <v>0</v>
      </c>
      <c r="S940" s="352">
        <f t="shared" si="520"/>
        <v>0</v>
      </c>
    </row>
    <row r="941" spans="1:19" ht="12.75" customHeight="1" x14ac:dyDescent="0.2">
      <c r="A941" s="198" t="str">
        <f>"         "&amp;Labels!B317</f>
        <v xml:space="preserve">         Channels 1</v>
      </c>
      <c r="B941" s="328">
        <f t="shared" ref="B941:S941" si="521">AVERAGE(B915,B928)</f>
        <v>0</v>
      </c>
      <c r="C941" s="328">
        <f t="shared" si="521"/>
        <v>0</v>
      </c>
      <c r="D941" s="328">
        <f t="shared" si="521"/>
        <v>0</v>
      </c>
      <c r="E941" s="328">
        <f t="shared" si="521"/>
        <v>0</v>
      </c>
      <c r="F941" s="328">
        <f t="shared" si="521"/>
        <v>0</v>
      </c>
      <c r="G941" s="328">
        <f t="shared" si="521"/>
        <v>0</v>
      </c>
      <c r="H941" s="328">
        <f t="shared" si="521"/>
        <v>0</v>
      </c>
      <c r="I941" s="328">
        <f t="shared" si="521"/>
        <v>0</v>
      </c>
      <c r="J941" s="328">
        <f t="shared" si="521"/>
        <v>0</v>
      </c>
      <c r="K941" s="328">
        <f t="shared" si="521"/>
        <v>0</v>
      </c>
      <c r="L941" s="328">
        <f t="shared" si="521"/>
        <v>0</v>
      </c>
      <c r="M941" s="328">
        <f t="shared" si="521"/>
        <v>0</v>
      </c>
      <c r="N941" s="328">
        <f t="shared" si="521"/>
        <v>0</v>
      </c>
      <c r="O941" s="328">
        <f t="shared" si="521"/>
        <v>0</v>
      </c>
      <c r="P941" s="328">
        <f t="shared" si="521"/>
        <v>0</v>
      </c>
      <c r="Q941" s="328">
        <f t="shared" si="521"/>
        <v>0</v>
      </c>
      <c r="R941" s="328">
        <f t="shared" si="521"/>
        <v>0</v>
      </c>
      <c r="S941" s="400">
        <f t="shared" si="521"/>
        <v>0</v>
      </c>
    </row>
    <row r="942" spans="1:19" ht="12.75" customHeight="1" x14ac:dyDescent="0.2">
      <c r="A942" s="198" t="str">
        <f>"         "&amp;Labels!B318</f>
        <v xml:space="preserve">         Channels 2</v>
      </c>
      <c r="B942" s="328">
        <f t="shared" ref="B942:S942" si="522">AVERAGE(B916,B929)</f>
        <v>0</v>
      </c>
      <c r="C942" s="328">
        <f t="shared" si="522"/>
        <v>0</v>
      </c>
      <c r="D942" s="328">
        <f t="shared" si="522"/>
        <v>0</v>
      </c>
      <c r="E942" s="328">
        <f t="shared" si="522"/>
        <v>0</v>
      </c>
      <c r="F942" s="328">
        <f t="shared" si="522"/>
        <v>0</v>
      </c>
      <c r="G942" s="328">
        <f t="shared" si="522"/>
        <v>0</v>
      </c>
      <c r="H942" s="328">
        <f t="shared" si="522"/>
        <v>0</v>
      </c>
      <c r="I942" s="328">
        <f t="shared" si="522"/>
        <v>0</v>
      </c>
      <c r="J942" s="328">
        <f t="shared" si="522"/>
        <v>0</v>
      </c>
      <c r="K942" s="328">
        <f t="shared" si="522"/>
        <v>0</v>
      </c>
      <c r="L942" s="328">
        <f t="shared" si="522"/>
        <v>0</v>
      </c>
      <c r="M942" s="328">
        <f t="shared" si="522"/>
        <v>0</v>
      </c>
      <c r="N942" s="328">
        <f t="shared" si="522"/>
        <v>0</v>
      </c>
      <c r="O942" s="328">
        <f t="shared" si="522"/>
        <v>0</v>
      </c>
      <c r="P942" s="328">
        <f t="shared" si="522"/>
        <v>0</v>
      </c>
      <c r="Q942" s="328">
        <f t="shared" si="522"/>
        <v>0</v>
      </c>
      <c r="R942" s="328">
        <f t="shared" si="522"/>
        <v>0</v>
      </c>
      <c r="S942" s="400">
        <f t="shared" si="522"/>
        <v>0</v>
      </c>
    </row>
    <row r="943" spans="1:19" ht="12.75" customHeight="1" x14ac:dyDescent="0.2">
      <c r="A943" s="198" t="str">
        <f>"         "&amp;Labels!C316</f>
        <v xml:space="preserve">         Total</v>
      </c>
      <c r="B943" s="243">
        <f t="shared" ref="B943:S943" si="523">AVERAGE(B914,B927)</f>
        <v>0</v>
      </c>
      <c r="C943" s="243">
        <f t="shared" si="523"/>
        <v>0</v>
      </c>
      <c r="D943" s="243">
        <f t="shared" si="523"/>
        <v>0</v>
      </c>
      <c r="E943" s="243">
        <f t="shared" si="523"/>
        <v>0</v>
      </c>
      <c r="F943" s="243">
        <f t="shared" si="523"/>
        <v>0</v>
      </c>
      <c r="G943" s="243">
        <f t="shared" si="523"/>
        <v>0</v>
      </c>
      <c r="H943" s="243">
        <f t="shared" si="523"/>
        <v>0</v>
      </c>
      <c r="I943" s="243">
        <f t="shared" si="523"/>
        <v>0</v>
      </c>
      <c r="J943" s="243">
        <f t="shared" si="523"/>
        <v>0</v>
      </c>
      <c r="K943" s="243">
        <f t="shared" si="523"/>
        <v>0</v>
      </c>
      <c r="L943" s="243">
        <f t="shared" si="523"/>
        <v>0</v>
      </c>
      <c r="M943" s="243">
        <f t="shared" si="523"/>
        <v>0</v>
      </c>
      <c r="N943" s="243">
        <f t="shared" si="523"/>
        <v>0</v>
      </c>
      <c r="O943" s="243">
        <f t="shared" si="523"/>
        <v>0</v>
      </c>
      <c r="P943" s="243">
        <f t="shared" si="523"/>
        <v>0</v>
      </c>
      <c r="Q943" s="243">
        <f t="shared" si="523"/>
        <v>0</v>
      </c>
      <c r="R943" s="243">
        <f t="shared" si="523"/>
        <v>0</v>
      </c>
      <c r="S943" s="398">
        <f t="shared" si="523"/>
        <v>0</v>
      </c>
    </row>
    <row r="944" spans="1:19" ht="12.75" customHeight="1" x14ac:dyDescent="0.2">
      <c r="A944" s="97" t="str">
        <f>Labels!C380</f>
        <v>Total</v>
      </c>
      <c r="B944" s="199">
        <f t="shared" ref="B944:S944" si="524">AVERAGE(B891,B931)</f>
        <v>0</v>
      </c>
      <c r="C944" s="199">
        <f t="shared" si="524"/>
        <v>0</v>
      </c>
      <c r="D944" s="199">
        <f t="shared" si="524"/>
        <v>0</v>
      </c>
      <c r="E944" s="199">
        <f t="shared" si="524"/>
        <v>0</v>
      </c>
      <c r="F944" s="199">
        <f t="shared" si="524"/>
        <v>0</v>
      </c>
      <c r="G944" s="199">
        <f t="shared" si="524"/>
        <v>0</v>
      </c>
      <c r="H944" s="199">
        <f t="shared" si="524"/>
        <v>0</v>
      </c>
      <c r="I944" s="199">
        <f t="shared" si="524"/>
        <v>0</v>
      </c>
      <c r="J944" s="199">
        <f t="shared" si="524"/>
        <v>0</v>
      </c>
      <c r="K944" s="199">
        <f t="shared" si="524"/>
        <v>0</v>
      </c>
      <c r="L944" s="199">
        <f t="shared" si="524"/>
        <v>0</v>
      </c>
      <c r="M944" s="199">
        <f t="shared" si="524"/>
        <v>0</v>
      </c>
      <c r="N944" s="199">
        <f t="shared" si="524"/>
        <v>0</v>
      </c>
      <c r="O944" s="199">
        <f t="shared" si="524"/>
        <v>0</v>
      </c>
      <c r="P944" s="199">
        <f t="shared" si="524"/>
        <v>0</v>
      </c>
      <c r="Q944" s="199">
        <f t="shared" si="524"/>
        <v>0</v>
      </c>
      <c r="R944" s="199">
        <f t="shared" si="524"/>
        <v>0</v>
      </c>
      <c r="S944" s="354">
        <f t="shared" si="524"/>
        <v>0</v>
      </c>
    </row>
    <row r="945" spans="1:19" ht="12.75" customHeight="1" x14ac:dyDescent="0.2">
      <c r="A945" s="188" t="str">
        <f>"   "&amp;Labels!B385</f>
        <v xml:space="preserve">   Prof Level 1</v>
      </c>
      <c r="B945" s="241"/>
      <c r="C945" s="241"/>
      <c r="D945" s="241"/>
      <c r="E945" s="241"/>
      <c r="F945" s="241"/>
      <c r="G945" s="241"/>
      <c r="H945" s="241"/>
      <c r="I945" s="241"/>
      <c r="J945" s="241"/>
      <c r="K945" s="241"/>
      <c r="L945" s="241"/>
      <c r="M945" s="241"/>
      <c r="N945" s="241"/>
      <c r="O945" s="241"/>
      <c r="P945" s="241"/>
      <c r="Q945" s="241"/>
      <c r="R945" s="241"/>
      <c r="S945" s="352"/>
    </row>
    <row r="946" spans="1:19" ht="12.75" customHeight="1" x14ac:dyDescent="0.2">
      <c r="A946" s="198" t="str">
        <f>"      "&amp;Labels!B397</f>
        <v xml:space="preserve">      Supply Type 1</v>
      </c>
      <c r="B946" s="243"/>
      <c r="C946" s="243"/>
      <c r="D946" s="243"/>
      <c r="E946" s="243"/>
      <c r="F946" s="243"/>
      <c r="G946" s="243"/>
      <c r="H946" s="243"/>
      <c r="I946" s="243"/>
      <c r="J946" s="243"/>
      <c r="K946" s="243"/>
      <c r="L946" s="243"/>
      <c r="M946" s="243"/>
      <c r="N946" s="243"/>
      <c r="O946" s="243"/>
      <c r="P946" s="243"/>
      <c r="Q946" s="243"/>
      <c r="R946" s="243"/>
      <c r="S946" s="398"/>
    </row>
    <row r="947" spans="1:19" ht="12.75" customHeight="1" x14ac:dyDescent="0.2">
      <c r="A947" s="198" t="str">
        <f>"         "&amp;Labels!B317</f>
        <v xml:space="preserve">         Channels 1</v>
      </c>
      <c r="B947" s="328">
        <f t="shared" ref="B947:S947" si="525">AVERAGE(B867,B907)</f>
        <v>0</v>
      </c>
      <c r="C947" s="328">
        <f t="shared" si="525"/>
        <v>0</v>
      </c>
      <c r="D947" s="328">
        <f t="shared" si="525"/>
        <v>0</v>
      </c>
      <c r="E947" s="328">
        <f t="shared" si="525"/>
        <v>0</v>
      </c>
      <c r="F947" s="328">
        <f t="shared" si="525"/>
        <v>0</v>
      </c>
      <c r="G947" s="328">
        <f t="shared" si="525"/>
        <v>0</v>
      </c>
      <c r="H947" s="328">
        <f t="shared" si="525"/>
        <v>0</v>
      </c>
      <c r="I947" s="328">
        <f t="shared" si="525"/>
        <v>0</v>
      </c>
      <c r="J947" s="328">
        <f t="shared" si="525"/>
        <v>0</v>
      </c>
      <c r="K947" s="328">
        <f t="shared" si="525"/>
        <v>0</v>
      </c>
      <c r="L947" s="328">
        <f t="shared" si="525"/>
        <v>0</v>
      </c>
      <c r="M947" s="328">
        <f t="shared" si="525"/>
        <v>0</v>
      </c>
      <c r="N947" s="328">
        <f t="shared" si="525"/>
        <v>0</v>
      </c>
      <c r="O947" s="328">
        <f t="shared" si="525"/>
        <v>0</v>
      </c>
      <c r="P947" s="328">
        <f t="shared" si="525"/>
        <v>0</v>
      </c>
      <c r="Q947" s="328">
        <f t="shared" si="525"/>
        <v>0</v>
      </c>
      <c r="R947" s="328">
        <f t="shared" si="525"/>
        <v>0</v>
      </c>
      <c r="S947" s="400">
        <f t="shared" si="525"/>
        <v>0</v>
      </c>
    </row>
    <row r="948" spans="1:19" ht="12.75" customHeight="1" x14ac:dyDescent="0.2">
      <c r="A948" s="198" t="str">
        <f>"         "&amp;Labels!B318</f>
        <v xml:space="preserve">         Channels 2</v>
      </c>
      <c r="B948" s="328">
        <f t="shared" ref="B948:S948" si="526">AVERAGE(B868,B908)</f>
        <v>0</v>
      </c>
      <c r="C948" s="328">
        <f t="shared" si="526"/>
        <v>0</v>
      </c>
      <c r="D948" s="328">
        <f t="shared" si="526"/>
        <v>0</v>
      </c>
      <c r="E948" s="328">
        <f t="shared" si="526"/>
        <v>0</v>
      </c>
      <c r="F948" s="328">
        <f t="shared" si="526"/>
        <v>0</v>
      </c>
      <c r="G948" s="328">
        <f t="shared" si="526"/>
        <v>0</v>
      </c>
      <c r="H948" s="328">
        <f t="shared" si="526"/>
        <v>0</v>
      </c>
      <c r="I948" s="328">
        <f t="shared" si="526"/>
        <v>0</v>
      </c>
      <c r="J948" s="328">
        <f t="shared" si="526"/>
        <v>0</v>
      </c>
      <c r="K948" s="328">
        <f t="shared" si="526"/>
        <v>0</v>
      </c>
      <c r="L948" s="328">
        <f t="shared" si="526"/>
        <v>0</v>
      </c>
      <c r="M948" s="328">
        <f t="shared" si="526"/>
        <v>0</v>
      </c>
      <c r="N948" s="328">
        <f t="shared" si="526"/>
        <v>0</v>
      </c>
      <c r="O948" s="328">
        <f t="shared" si="526"/>
        <v>0</v>
      </c>
      <c r="P948" s="328">
        <f t="shared" si="526"/>
        <v>0</v>
      </c>
      <c r="Q948" s="328">
        <f t="shared" si="526"/>
        <v>0</v>
      </c>
      <c r="R948" s="328">
        <f t="shared" si="526"/>
        <v>0</v>
      </c>
      <c r="S948" s="400">
        <f t="shared" si="526"/>
        <v>0</v>
      </c>
    </row>
    <row r="949" spans="1:19" ht="12.75" customHeight="1" x14ac:dyDescent="0.2">
      <c r="A949" s="198" t="str">
        <f>"         "&amp;Labels!C316</f>
        <v xml:space="preserve">         Total</v>
      </c>
      <c r="B949" s="243">
        <f t="shared" ref="B949:S949" si="527">AVERAGE(B869,B909)</f>
        <v>0</v>
      </c>
      <c r="C949" s="243">
        <f t="shared" si="527"/>
        <v>0</v>
      </c>
      <c r="D949" s="243">
        <f t="shared" si="527"/>
        <v>0</v>
      </c>
      <c r="E949" s="243">
        <f t="shared" si="527"/>
        <v>0</v>
      </c>
      <c r="F949" s="243">
        <f t="shared" si="527"/>
        <v>0</v>
      </c>
      <c r="G949" s="243">
        <f t="shared" si="527"/>
        <v>0</v>
      </c>
      <c r="H949" s="243">
        <f t="shared" si="527"/>
        <v>0</v>
      </c>
      <c r="I949" s="243">
        <f t="shared" si="527"/>
        <v>0</v>
      </c>
      <c r="J949" s="243">
        <f t="shared" si="527"/>
        <v>0</v>
      </c>
      <c r="K949" s="243">
        <f t="shared" si="527"/>
        <v>0</v>
      </c>
      <c r="L949" s="243">
        <f t="shared" si="527"/>
        <v>0</v>
      </c>
      <c r="M949" s="243">
        <f t="shared" si="527"/>
        <v>0</v>
      </c>
      <c r="N949" s="243">
        <f t="shared" si="527"/>
        <v>0</v>
      </c>
      <c r="O949" s="243">
        <f t="shared" si="527"/>
        <v>0</v>
      </c>
      <c r="P949" s="243">
        <f t="shared" si="527"/>
        <v>0</v>
      </c>
      <c r="Q949" s="243">
        <f t="shared" si="527"/>
        <v>0</v>
      </c>
      <c r="R949" s="243">
        <f t="shared" si="527"/>
        <v>0</v>
      </c>
      <c r="S949" s="398">
        <f t="shared" si="527"/>
        <v>0</v>
      </c>
    </row>
    <row r="950" spans="1:19" ht="12.75" customHeight="1" x14ac:dyDescent="0.2">
      <c r="A950" s="198" t="str">
        <f>"      "&amp;Labels!B398</f>
        <v xml:space="preserve">      Supply Type 2</v>
      </c>
      <c r="B950" s="243"/>
      <c r="C950" s="243"/>
      <c r="D950" s="243"/>
      <c r="E950" s="243"/>
      <c r="F950" s="243"/>
      <c r="G950" s="243"/>
      <c r="H950" s="243"/>
      <c r="I950" s="243"/>
      <c r="J950" s="243"/>
      <c r="K950" s="243"/>
      <c r="L950" s="243"/>
      <c r="M950" s="243"/>
      <c r="N950" s="243"/>
      <c r="O950" s="243"/>
      <c r="P950" s="243"/>
      <c r="Q950" s="243"/>
      <c r="R950" s="243"/>
      <c r="S950" s="398"/>
    </row>
    <row r="951" spans="1:19" ht="12.75" customHeight="1" x14ac:dyDescent="0.2">
      <c r="A951" s="198" t="str">
        <f>"         "&amp;Labels!B317</f>
        <v xml:space="preserve">         Channels 1</v>
      </c>
      <c r="B951" s="328">
        <f t="shared" ref="B951:S951" si="528">AVERAGE(B871,B911)</f>
        <v>0</v>
      </c>
      <c r="C951" s="328">
        <f t="shared" si="528"/>
        <v>0</v>
      </c>
      <c r="D951" s="328">
        <f t="shared" si="528"/>
        <v>0</v>
      </c>
      <c r="E951" s="328">
        <f t="shared" si="528"/>
        <v>0</v>
      </c>
      <c r="F951" s="328">
        <f t="shared" si="528"/>
        <v>0</v>
      </c>
      <c r="G951" s="328">
        <f t="shared" si="528"/>
        <v>0</v>
      </c>
      <c r="H951" s="328">
        <f t="shared" si="528"/>
        <v>0</v>
      </c>
      <c r="I951" s="328">
        <f t="shared" si="528"/>
        <v>0</v>
      </c>
      <c r="J951" s="328">
        <f t="shared" si="528"/>
        <v>0</v>
      </c>
      <c r="K951" s="328">
        <f t="shared" si="528"/>
        <v>0</v>
      </c>
      <c r="L951" s="328">
        <f t="shared" si="528"/>
        <v>0</v>
      </c>
      <c r="M951" s="328">
        <f t="shared" si="528"/>
        <v>0</v>
      </c>
      <c r="N951" s="328">
        <f t="shared" si="528"/>
        <v>0</v>
      </c>
      <c r="O951" s="328">
        <f t="shared" si="528"/>
        <v>0</v>
      </c>
      <c r="P951" s="328">
        <f t="shared" si="528"/>
        <v>0</v>
      </c>
      <c r="Q951" s="328">
        <f t="shared" si="528"/>
        <v>0</v>
      </c>
      <c r="R951" s="328">
        <f t="shared" si="528"/>
        <v>0</v>
      </c>
      <c r="S951" s="400">
        <f t="shared" si="528"/>
        <v>0</v>
      </c>
    </row>
    <row r="952" spans="1:19" ht="12.75" customHeight="1" x14ac:dyDescent="0.2">
      <c r="A952" s="198" t="str">
        <f>"         "&amp;Labels!B318</f>
        <v xml:space="preserve">         Channels 2</v>
      </c>
      <c r="B952" s="328">
        <f t="shared" ref="B952:S952" si="529">AVERAGE(B872,B912)</f>
        <v>0</v>
      </c>
      <c r="C952" s="328">
        <f t="shared" si="529"/>
        <v>0</v>
      </c>
      <c r="D952" s="328">
        <f t="shared" si="529"/>
        <v>0</v>
      </c>
      <c r="E952" s="328">
        <f t="shared" si="529"/>
        <v>0</v>
      </c>
      <c r="F952" s="328">
        <f t="shared" si="529"/>
        <v>0</v>
      </c>
      <c r="G952" s="328">
        <f t="shared" si="529"/>
        <v>0</v>
      </c>
      <c r="H952" s="328">
        <f t="shared" si="529"/>
        <v>0</v>
      </c>
      <c r="I952" s="328">
        <f t="shared" si="529"/>
        <v>0</v>
      </c>
      <c r="J952" s="328">
        <f t="shared" si="529"/>
        <v>0</v>
      </c>
      <c r="K952" s="328">
        <f t="shared" si="529"/>
        <v>0</v>
      </c>
      <c r="L952" s="328">
        <f t="shared" si="529"/>
        <v>0</v>
      </c>
      <c r="M952" s="328">
        <f t="shared" si="529"/>
        <v>0</v>
      </c>
      <c r="N952" s="328">
        <f t="shared" si="529"/>
        <v>0</v>
      </c>
      <c r="O952" s="328">
        <f t="shared" si="529"/>
        <v>0</v>
      </c>
      <c r="P952" s="328">
        <f t="shared" si="529"/>
        <v>0</v>
      </c>
      <c r="Q952" s="328">
        <f t="shared" si="529"/>
        <v>0</v>
      </c>
      <c r="R952" s="328">
        <f t="shared" si="529"/>
        <v>0</v>
      </c>
      <c r="S952" s="400">
        <f t="shared" si="529"/>
        <v>0</v>
      </c>
    </row>
    <row r="953" spans="1:19" ht="12.75" customHeight="1" x14ac:dyDescent="0.2">
      <c r="A953" s="198" t="str">
        <f>"         "&amp;Labels!C316</f>
        <v xml:space="preserve">         Total</v>
      </c>
      <c r="B953" s="243">
        <f t="shared" ref="B953:S953" si="530">AVERAGE(B873,B913)</f>
        <v>0</v>
      </c>
      <c r="C953" s="243">
        <f t="shared" si="530"/>
        <v>0</v>
      </c>
      <c r="D953" s="243">
        <f t="shared" si="530"/>
        <v>0</v>
      </c>
      <c r="E953" s="243">
        <f t="shared" si="530"/>
        <v>0</v>
      </c>
      <c r="F953" s="243">
        <f t="shared" si="530"/>
        <v>0</v>
      </c>
      <c r="G953" s="243">
        <f t="shared" si="530"/>
        <v>0</v>
      </c>
      <c r="H953" s="243">
        <f t="shared" si="530"/>
        <v>0</v>
      </c>
      <c r="I953" s="243">
        <f t="shared" si="530"/>
        <v>0</v>
      </c>
      <c r="J953" s="243">
        <f t="shared" si="530"/>
        <v>0</v>
      </c>
      <c r="K953" s="243">
        <f t="shared" si="530"/>
        <v>0</v>
      </c>
      <c r="L953" s="243">
        <f t="shared" si="530"/>
        <v>0</v>
      </c>
      <c r="M953" s="243">
        <f t="shared" si="530"/>
        <v>0</v>
      </c>
      <c r="N953" s="243">
        <f t="shared" si="530"/>
        <v>0</v>
      </c>
      <c r="O953" s="243">
        <f t="shared" si="530"/>
        <v>0</v>
      </c>
      <c r="P953" s="243">
        <f t="shared" si="530"/>
        <v>0</v>
      </c>
      <c r="Q953" s="243">
        <f t="shared" si="530"/>
        <v>0</v>
      </c>
      <c r="R953" s="243">
        <f t="shared" si="530"/>
        <v>0</v>
      </c>
      <c r="S953" s="398">
        <f t="shared" si="530"/>
        <v>0</v>
      </c>
    </row>
    <row r="954" spans="1:19" ht="12.75" customHeight="1" x14ac:dyDescent="0.2">
      <c r="A954" s="188" t="str">
        <f>"      "&amp;Labels!C396</f>
        <v xml:space="preserve">      Total</v>
      </c>
      <c r="B954" s="241">
        <f t="shared" ref="B954:S954" si="531">AVERAGE(B874,B914)</f>
        <v>0</v>
      </c>
      <c r="C954" s="241">
        <f t="shared" si="531"/>
        <v>0</v>
      </c>
      <c r="D954" s="241">
        <f t="shared" si="531"/>
        <v>0</v>
      </c>
      <c r="E954" s="241">
        <f t="shared" si="531"/>
        <v>0</v>
      </c>
      <c r="F954" s="241">
        <f t="shared" si="531"/>
        <v>0</v>
      </c>
      <c r="G954" s="241">
        <f t="shared" si="531"/>
        <v>0</v>
      </c>
      <c r="H954" s="241">
        <f t="shared" si="531"/>
        <v>0</v>
      </c>
      <c r="I954" s="241">
        <f t="shared" si="531"/>
        <v>0</v>
      </c>
      <c r="J954" s="241">
        <f t="shared" si="531"/>
        <v>0</v>
      </c>
      <c r="K954" s="241">
        <f t="shared" si="531"/>
        <v>0</v>
      </c>
      <c r="L954" s="241">
        <f t="shared" si="531"/>
        <v>0</v>
      </c>
      <c r="M954" s="241">
        <f t="shared" si="531"/>
        <v>0</v>
      </c>
      <c r="N954" s="241">
        <f t="shared" si="531"/>
        <v>0</v>
      </c>
      <c r="O954" s="241">
        <f t="shared" si="531"/>
        <v>0</v>
      </c>
      <c r="P954" s="241">
        <f t="shared" si="531"/>
        <v>0</v>
      </c>
      <c r="Q954" s="241">
        <f t="shared" si="531"/>
        <v>0</v>
      </c>
      <c r="R954" s="241">
        <f t="shared" si="531"/>
        <v>0</v>
      </c>
      <c r="S954" s="352">
        <f t="shared" si="531"/>
        <v>0</v>
      </c>
    </row>
    <row r="955" spans="1:19" ht="12.75" customHeight="1" x14ac:dyDescent="0.2">
      <c r="A955" s="198" t="str">
        <f>"         "&amp;Labels!B317</f>
        <v xml:space="preserve">         Channels 1</v>
      </c>
      <c r="B955" s="328">
        <f t="shared" ref="B955:S955" si="532">AVERAGE(B875,B915)</f>
        <v>0</v>
      </c>
      <c r="C955" s="328">
        <f t="shared" si="532"/>
        <v>0</v>
      </c>
      <c r="D955" s="328">
        <f t="shared" si="532"/>
        <v>0</v>
      </c>
      <c r="E955" s="328">
        <f t="shared" si="532"/>
        <v>0</v>
      </c>
      <c r="F955" s="328">
        <f t="shared" si="532"/>
        <v>0</v>
      </c>
      <c r="G955" s="328">
        <f t="shared" si="532"/>
        <v>0</v>
      </c>
      <c r="H955" s="328">
        <f t="shared" si="532"/>
        <v>0</v>
      </c>
      <c r="I955" s="328">
        <f t="shared" si="532"/>
        <v>0</v>
      </c>
      <c r="J955" s="328">
        <f t="shared" si="532"/>
        <v>0</v>
      </c>
      <c r="K955" s="328">
        <f t="shared" si="532"/>
        <v>0</v>
      </c>
      <c r="L955" s="328">
        <f t="shared" si="532"/>
        <v>0</v>
      </c>
      <c r="M955" s="328">
        <f t="shared" si="532"/>
        <v>0</v>
      </c>
      <c r="N955" s="328">
        <f t="shared" si="532"/>
        <v>0</v>
      </c>
      <c r="O955" s="328">
        <f t="shared" si="532"/>
        <v>0</v>
      </c>
      <c r="P955" s="328">
        <f t="shared" si="532"/>
        <v>0</v>
      </c>
      <c r="Q955" s="328">
        <f t="shared" si="532"/>
        <v>0</v>
      </c>
      <c r="R955" s="328">
        <f t="shared" si="532"/>
        <v>0</v>
      </c>
      <c r="S955" s="400">
        <f t="shared" si="532"/>
        <v>0</v>
      </c>
    </row>
    <row r="956" spans="1:19" ht="12.75" customHeight="1" x14ac:dyDescent="0.2">
      <c r="A956" s="198" t="str">
        <f>"         "&amp;Labels!B318</f>
        <v xml:space="preserve">         Channels 2</v>
      </c>
      <c r="B956" s="328">
        <f t="shared" ref="B956:S956" si="533">AVERAGE(B876,B916)</f>
        <v>0</v>
      </c>
      <c r="C956" s="328">
        <f t="shared" si="533"/>
        <v>0</v>
      </c>
      <c r="D956" s="328">
        <f t="shared" si="533"/>
        <v>0</v>
      </c>
      <c r="E956" s="328">
        <f t="shared" si="533"/>
        <v>0</v>
      </c>
      <c r="F956" s="328">
        <f t="shared" si="533"/>
        <v>0</v>
      </c>
      <c r="G956" s="328">
        <f t="shared" si="533"/>
        <v>0</v>
      </c>
      <c r="H956" s="328">
        <f t="shared" si="533"/>
        <v>0</v>
      </c>
      <c r="I956" s="328">
        <f t="shared" si="533"/>
        <v>0</v>
      </c>
      <c r="J956" s="328">
        <f t="shared" si="533"/>
        <v>0</v>
      </c>
      <c r="K956" s="328">
        <f t="shared" si="533"/>
        <v>0</v>
      </c>
      <c r="L956" s="328">
        <f t="shared" si="533"/>
        <v>0</v>
      </c>
      <c r="M956" s="328">
        <f t="shared" si="533"/>
        <v>0</v>
      </c>
      <c r="N956" s="328">
        <f t="shared" si="533"/>
        <v>0</v>
      </c>
      <c r="O956" s="328">
        <f t="shared" si="533"/>
        <v>0</v>
      </c>
      <c r="P956" s="328">
        <f t="shared" si="533"/>
        <v>0</v>
      </c>
      <c r="Q956" s="328">
        <f t="shared" si="533"/>
        <v>0</v>
      </c>
      <c r="R956" s="328">
        <f t="shared" si="533"/>
        <v>0</v>
      </c>
      <c r="S956" s="400">
        <f t="shared" si="533"/>
        <v>0</v>
      </c>
    </row>
    <row r="957" spans="1:19" ht="12.75" customHeight="1" x14ac:dyDescent="0.2">
      <c r="A957" s="198" t="str">
        <f>"         "&amp;Labels!C316</f>
        <v xml:space="preserve">         Total</v>
      </c>
      <c r="B957" s="243">
        <f t="shared" ref="B957:S957" si="534">AVERAGE(B874,B914)</f>
        <v>0</v>
      </c>
      <c r="C957" s="243">
        <f t="shared" si="534"/>
        <v>0</v>
      </c>
      <c r="D957" s="243">
        <f t="shared" si="534"/>
        <v>0</v>
      </c>
      <c r="E957" s="243">
        <f t="shared" si="534"/>
        <v>0</v>
      </c>
      <c r="F957" s="243">
        <f t="shared" si="534"/>
        <v>0</v>
      </c>
      <c r="G957" s="243">
        <f t="shared" si="534"/>
        <v>0</v>
      </c>
      <c r="H957" s="243">
        <f t="shared" si="534"/>
        <v>0</v>
      </c>
      <c r="I957" s="243">
        <f t="shared" si="534"/>
        <v>0</v>
      </c>
      <c r="J957" s="243">
        <f t="shared" si="534"/>
        <v>0</v>
      </c>
      <c r="K957" s="243">
        <f t="shared" si="534"/>
        <v>0</v>
      </c>
      <c r="L957" s="243">
        <f t="shared" si="534"/>
        <v>0</v>
      </c>
      <c r="M957" s="243">
        <f t="shared" si="534"/>
        <v>0</v>
      </c>
      <c r="N957" s="243">
        <f t="shared" si="534"/>
        <v>0</v>
      </c>
      <c r="O957" s="243">
        <f t="shared" si="534"/>
        <v>0</v>
      </c>
      <c r="P957" s="243">
        <f t="shared" si="534"/>
        <v>0</v>
      </c>
      <c r="Q957" s="243">
        <f t="shared" si="534"/>
        <v>0</v>
      </c>
      <c r="R957" s="243">
        <f t="shared" si="534"/>
        <v>0</v>
      </c>
      <c r="S957" s="398">
        <f t="shared" si="534"/>
        <v>0</v>
      </c>
    </row>
    <row r="958" spans="1:19" ht="12.75" customHeight="1" x14ac:dyDescent="0.2">
      <c r="A958" s="188" t="str">
        <f>"   "&amp;Labels!B386</f>
        <v xml:space="preserve">   Prof Level 2</v>
      </c>
      <c r="B958" s="241"/>
      <c r="C958" s="241"/>
      <c r="D958" s="241"/>
      <c r="E958" s="241"/>
      <c r="F958" s="241"/>
      <c r="G958" s="241"/>
      <c r="H958" s="241"/>
      <c r="I958" s="241"/>
      <c r="J958" s="241"/>
      <c r="K958" s="241"/>
      <c r="L958" s="241"/>
      <c r="M958" s="241"/>
      <c r="N958" s="241"/>
      <c r="O958" s="241"/>
      <c r="P958" s="241"/>
      <c r="Q958" s="241"/>
      <c r="R958" s="241"/>
      <c r="S958" s="352"/>
    </row>
    <row r="959" spans="1:19" ht="12.75" customHeight="1" x14ac:dyDescent="0.2">
      <c r="A959" s="198" t="str">
        <f>"      "&amp;Labels!B397</f>
        <v xml:space="preserve">      Supply Type 1</v>
      </c>
      <c r="B959" s="243"/>
      <c r="C959" s="243"/>
      <c r="D959" s="243"/>
      <c r="E959" s="243"/>
      <c r="F959" s="243"/>
      <c r="G959" s="243"/>
      <c r="H959" s="243"/>
      <c r="I959" s="243"/>
      <c r="J959" s="243"/>
      <c r="K959" s="243"/>
      <c r="L959" s="243"/>
      <c r="M959" s="243"/>
      <c r="N959" s="243"/>
      <c r="O959" s="243"/>
      <c r="P959" s="243"/>
      <c r="Q959" s="243"/>
      <c r="R959" s="243"/>
      <c r="S959" s="398"/>
    </row>
    <row r="960" spans="1:19" ht="12.75" customHeight="1" x14ac:dyDescent="0.2">
      <c r="A960" s="198" t="str">
        <f>"         "&amp;Labels!B317</f>
        <v xml:space="preserve">         Channels 1</v>
      </c>
      <c r="B960" s="328">
        <f t="shared" ref="B960:S960" si="535">AVERAGE(B880,B920)</f>
        <v>0</v>
      </c>
      <c r="C960" s="328">
        <f t="shared" si="535"/>
        <v>0</v>
      </c>
      <c r="D960" s="328">
        <f t="shared" si="535"/>
        <v>0</v>
      </c>
      <c r="E960" s="328">
        <f t="shared" si="535"/>
        <v>0</v>
      </c>
      <c r="F960" s="328">
        <f t="shared" si="535"/>
        <v>0</v>
      </c>
      <c r="G960" s="328">
        <f t="shared" si="535"/>
        <v>0</v>
      </c>
      <c r="H960" s="328">
        <f t="shared" si="535"/>
        <v>0</v>
      </c>
      <c r="I960" s="328">
        <f t="shared" si="535"/>
        <v>0</v>
      </c>
      <c r="J960" s="328">
        <f t="shared" si="535"/>
        <v>0</v>
      </c>
      <c r="K960" s="328">
        <f t="shared" si="535"/>
        <v>0</v>
      </c>
      <c r="L960" s="328">
        <f t="shared" si="535"/>
        <v>0</v>
      </c>
      <c r="M960" s="328">
        <f t="shared" si="535"/>
        <v>0</v>
      </c>
      <c r="N960" s="328">
        <f t="shared" si="535"/>
        <v>0</v>
      </c>
      <c r="O960" s="328">
        <f t="shared" si="535"/>
        <v>0</v>
      </c>
      <c r="P960" s="328">
        <f t="shared" si="535"/>
        <v>0</v>
      </c>
      <c r="Q960" s="328">
        <f t="shared" si="535"/>
        <v>0</v>
      </c>
      <c r="R960" s="328">
        <f t="shared" si="535"/>
        <v>0</v>
      </c>
      <c r="S960" s="400">
        <f t="shared" si="535"/>
        <v>0</v>
      </c>
    </row>
    <row r="961" spans="1:19" ht="12.75" customHeight="1" x14ac:dyDescent="0.2">
      <c r="A961" s="198" t="str">
        <f>"         "&amp;Labels!B318</f>
        <v xml:space="preserve">         Channels 2</v>
      </c>
      <c r="B961" s="328">
        <f t="shared" ref="B961:S961" si="536">AVERAGE(B881,B921)</f>
        <v>0</v>
      </c>
      <c r="C961" s="328">
        <f t="shared" si="536"/>
        <v>0</v>
      </c>
      <c r="D961" s="328">
        <f t="shared" si="536"/>
        <v>0</v>
      </c>
      <c r="E961" s="328">
        <f t="shared" si="536"/>
        <v>0</v>
      </c>
      <c r="F961" s="328">
        <f t="shared" si="536"/>
        <v>0</v>
      </c>
      <c r="G961" s="328">
        <f t="shared" si="536"/>
        <v>0</v>
      </c>
      <c r="H961" s="328">
        <f t="shared" si="536"/>
        <v>0</v>
      </c>
      <c r="I961" s="328">
        <f t="shared" si="536"/>
        <v>0</v>
      </c>
      <c r="J961" s="328">
        <f t="shared" si="536"/>
        <v>0</v>
      </c>
      <c r="K961" s="328">
        <f t="shared" si="536"/>
        <v>0</v>
      </c>
      <c r="L961" s="328">
        <f t="shared" si="536"/>
        <v>0</v>
      </c>
      <c r="M961" s="328">
        <f t="shared" si="536"/>
        <v>0</v>
      </c>
      <c r="N961" s="328">
        <f t="shared" si="536"/>
        <v>0</v>
      </c>
      <c r="O961" s="328">
        <f t="shared" si="536"/>
        <v>0</v>
      </c>
      <c r="P961" s="328">
        <f t="shared" si="536"/>
        <v>0</v>
      </c>
      <c r="Q961" s="328">
        <f t="shared" si="536"/>
        <v>0</v>
      </c>
      <c r="R961" s="328">
        <f t="shared" si="536"/>
        <v>0</v>
      </c>
      <c r="S961" s="400">
        <f t="shared" si="536"/>
        <v>0</v>
      </c>
    </row>
    <row r="962" spans="1:19" ht="12.75" customHeight="1" x14ac:dyDescent="0.2">
      <c r="A962" s="198" t="str">
        <f>"         "&amp;Labels!C316</f>
        <v xml:space="preserve">         Total</v>
      </c>
      <c r="B962" s="243">
        <f t="shared" ref="B962:S962" si="537">AVERAGE(B882,B922)</f>
        <v>0</v>
      </c>
      <c r="C962" s="243">
        <f t="shared" si="537"/>
        <v>0</v>
      </c>
      <c r="D962" s="243">
        <f t="shared" si="537"/>
        <v>0</v>
      </c>
      <c r="E962" s="243">
        <f t="shared" si="537"/>
        <v>0</v>
      </c>
      <c r="F962" s="243">
        <f t="shared" si="537"/>
        <v>0</v>
      </c>
      <c r="G962" s="243">
        <f t="shared" si="537"/>
        <v>0</v>
      </c>
      <c r="H962" s="243">
        <f t="shared" si="537"/>
        <v>0</v>
      </c>
      <c r="I962" s="243">
        <f t="shared" si="537"/>
        <v>0</v>
      </c>
      <c r="J962" s="243">
        <f t="shared" si="537"/>
        <v>0</v>
      </c>
      <c r="K962" s="243">
        <f t="shared" si="537"/>
        <v>0</v>
      </c>
      <c r="L962" s="243">
        <f t="shared" si="537"/>
        <v>0</v>
      </c>
      <c r="M962" s="243">
        <f t="shared" si="537"/>
        <v>0</v>
      </c>
      <c r="N962" s="243">
        <f t="shared" si="537"/>
        <v>0</v>
      </c>
      <c r="O962" s="243">
        <f t="shared" si="537"/>
        <v>0</v>
      </c>
      <c r="P962" s="243">
        <f t="shared" si="537"/>
        <v>0</v>
      </c>
      <c r="Q962" s="243">
        <f t="shared" si="537"/>
        <v>0</v>
      </c>
      <c r="R962" s="243">
        <f t="shared" si="537"/>
        <v>0</v>
      </c>
      <c r="S962" s="398">
        <f t="shared" si="537"/>
        <v>0</v>
      </c>
    </row>
    <row r="963" spans="1:19" ht="12.75" customHeight="1" x14ac:dyDescent="0.2">
      <c r="A963" s="198" t="str">
        <f>"      "&amp;Labels!B398</f>
        <v xml:space="preserve">      Supply Type 2</v>
      </c>
      <c r="B963" s="243"/>
      <c r="C963" s="243"/>
      <c r="D963" s="243"/>
      <c r="E963" s="243"/>
      <c r="F963" s="243"/>
      <c r="G963" s="243"/>
      <c r="H963" s="243"/>
      <c r="I963" s="243"/>
      <c r="J963" s="243"/>
      <c r="K963" s="243"/>
      <c r="L963" s="243"/>
      <c r="M963" s="243"/>
      <c r="N963" s="243"/>
      <c r="O963" s="243"/>
      <c r="P963" s="243"/>
      <c r="Q963" s="243"/>
      <c r="R963" s="243"/>
      <c r="S963" s="398"/>
    </row>
    <row r="964" spans="1:19" ht="12.75" customHeight="1" x14ac:dyDescent="0.2">
      <c r="A964" s="198" t="str">
        <f>"         "&amp;Labels!B317</f>
        <v xml:space="preserve">         Channels 1</v>
      </c>
      <c r="B964" s="328">
        <f t="shared" ref="B964:S964" si="538">AVERAGE(B884,B924)</f>
        <v>0</v>
      </c>
      <c r="C964" s="328">
        <f t="shared" si="538"/>
        <v>0</v>
      </c>
      <c r="D964" s="328">
        <f t="shared" si="538"/>
        <v>0</v>
      </c>
      <c r="E964" s="328">
        <f t="shared" si="538"/>
        <v>0</v>
      </c>
      <c r="F964" s="328">
        <f t="shared" si="538"/>
        <v>0</v>
      </c>
      <c r="G964" s="328">
        <f t="shared" si="538"/>
        <v>0</v>
      </c>
      <c r="H964" s="328">
        <f t="shared" si="538"/>
        <v>0</v>
      </c>
      <c r="I964" s="328">
        <f t="shared" si="538"/>
        <v>0</v>
      </c>
      <c r="J964" s="328">
        <f t="shared" si="538"/>
        <v>0</v>
      </c>
      <c r="K964" s="328">
        <f t="shared" si="538"/>
        <v>0</v>
      </c>
      <c r="L964" s="328">
        <f t="shared" si="538"/>
        <v>0</v>
      </c>
      <c r="M964" s="328">
        <f t="shared" si="538"/>
        <v>0</v>
      </c>
      <c r="N964" s="328">
        <f t="shared" si="538"/>
        <v>0</v>
      </c>
      <c r="O964" s="328">
        <f t="shared" si="538"/>
        <v>0</v>
      </c>
      <c r="P964" s="328">
        <f t="shared" si="538"/>
        <v>0</v>
      </c>
      <c r="Q964" s="328">
        <f t="shared" si="538"/>
        <v>0</v>
      </c>
      <c r="R964" s="328">
        <f t="shared" si="538"/>
        <v>0</v>
      </c>
      <c r="S964" s="400">
        <f t="shared" si="538"/>
        <v>0</v>
      </c>
    </row>
    <row r="965" spans="1:19" ht="12.75" customHeight="1" x14ac:dyDescent="0.2">
      <c r="A965" s="198" t="str">
        <f>"         "&amp;Labels!B318</f>
        <v xml:space="preserve">         Channels 2</v>
      </c>
      <c r="B965" s="328">
        <f t="shared" ref="B965:S965" si="539">AVERAGE(B885,B925)</f>
        <v>0</v>
      </c>
      <c r="C965" s="328">
        <f t="shared" si="539"/>
        <v>0</v>
      </c>
      <c r="D965" s="328">
        <f t="shared" si="539"/>
        <v>0</v>
      </c>
      <c r="E965" s="328">
        <f t="shared" si="539"/>
        <v>0</v>
      </c>
      <c r="F965" s="328">
        <f t="shared" si="539"/>
        <v>0</v>
      </c>
      <c r="G965" s="328">
        <f t="shared" si="539"/>
        <v>0</v>
      </c>
      <c r="H965" s="328">
        <f t="shared" si="539"/>
        <v>0</v>
      </c>
      <c r="I965" s="328">
        <f t="shared" si="539"/>
        <v>0</v>
      </c>
      <c r="J965" s="328">
        <f t="shared" si="539"/>
        <v>0</v>
      </c>
      <c r="K965" s="328">
        <f t="shared" si="539"/>
        <v>0</v>
      </c>
      <c r="L965" s="328">
        <f t="shared" si="539"/>
        <v>0</v>
      </c>
      <c r="M965" s="328">
        <f t="shared" si="539"/>
        <v>0</v>
      </c>
      <c r="N965" s="328">
        <f t="shared" si="539"/>
        <v>0</v>
      </c>
      <c r="O965" s="328">
        <f t="shared" si="539"/>
        <v>0</v>
      </c>
      <c r="P965" s="328">
        <f t="shared" si="539"/>
        <v>0</v>
      </c>
      <c r="Q965" s="328">
        <f t="shared" si="539"/>
        <v>0</v>
      </c>
      <c r="R965" s="328">
        <f t="shared" si="539"/>
        <v>0</v>
      </c>
      <c r="S965" s="400">
        <f t="shared" si="539"/>
        <v>0</v>
      </c>
    </row>
    <row r="966" spans="1:19" ht="12.75" customHeight="1" x14ac:dyDescent="0.2">
      <c r="A966" s="198" t="str">
        <f>"         "&amp;Labels!C316</f>
        <v xml:space="preserve">         Total</v>
      </c>
      <c r="B966" s="243">
        <f t="shared" ref="B966:S966" si="540">AVERAGE(B886,B926)</f>
        <v>0</v>
      </c>
      <c r="C966" s="243">
        <f t="shared" si="540"/>
        <v>0</v>
      </c>
      <c r="D966" s="243">
        <f t="shared" si="540"/>
        <v>0</v>
      </c>
      <c r="E966" s="243">
        <f t="shared" si="540"/>
        <v>0</v>
      </c>
      <c r="F966" s="243">
        <f t="shared" si="540"/>
        <v>0</v>
      </c>
      <c r="G966" s="243">
        <f t="shared" si="540"/>
        <v>0</v>
      </c>
      <c r="H966" s="243">
        <f t="shared" si="540"/>
        <v>0</v>
      </c>
      <c r="I966" s="243">
        <f t="shared" si="540"/>
        <v>0</v>
      </c>
      <c r="J966" s="243">
        <f t="shared" si="540"/>
        <v>0</v>
      </c>
      <c r="K966" s="243">
        <f t="shared" si="540"/>
        <v>0</v>
      </c>
      <c r="L966" s="243">
        <f t="shared" si="540"/>
        <v>0</v>
      </c>
      <c r="M966" s="243">
        <f t="shared" si="540"/>
        <v>0</v>
      </c>
      <c r="N966" s="243">
        <f t="shared" si="540"/>
        <v>0</v>
      </c>
      <c r="O966" s="243">
        <f t="shared" si="540"/>
        <v>0</v>
      </c>
      <c r="P966" s="243">
        <f t="shared" si="540"/>
        <v>0</v>
      </c>
      <c r="Q966" s="243">
        <f t="shared" si="540"/>
        <v>0</v>
      </c>
      <c r="R966" s="243">
        <f t="shared" si="540"/>
        <v>0</v>
      </c>
      <c r="S966" s="398">
        <f t="shared" si="540"/>
        <v>0</v>
      </c>
    </row>
    <row r="967" spans="1:19" ht="12.75" customHeight="1" x14ac:dyDescent="0.2">
      <c r="A967" s="188" t="str">
        <f>"      "&amp;Labels!C396</f>
        <v xml:space="preserve">      Total</v>
      </c>
      <c r="B967" s="241">
        <f t="shared" ref="B967:S967" si="541">AVERAGE(B887,B927)</f>
        <v>0</v>
      </c>
      <c r="C967" s="241">
        <f t="shared" si="541"/>
        <v>0</v>
      </c>
      <c r="D967" s="241">
        <f t="shared" si="541"/>
        <v>0</v>
      </c>
      <c r="E967" s="241">
        <f t="shared" si="541"/>
        <v>0</v>
      </c>
      <c r="F967" s="241">
        <f t="shared" si="541"/>
        <v>0</v>
      </c>
      <c r="G967" s="241">
        <f t="shared" si="541"/>
        <v>0</v>
      </c>
      <c r="H967" s="241">
        <f t="shared" si="541"/>
        <v>0</v>
      </c>
      <c r="I967" s="241">
        <f t="shared" si="541"/>
        <v>0</v>
      </c>
      <c r="J967" s="241">
        <f t="shared" si="541"/>
        <v>0</v>
      </c>
      <c r="K967" s="241">
        <f t="shared" si="541"/>
        <v>0</v>
      </c>
      <c r="L967" s="241">
        <f t="shared" si="541"/>
        <v>0</v>
      </c>
      <c r="M967" s="241">
        <f t="shared" si="541"/>
        <v>0</v>
      </c>
      <c r="N967" s="241">
        <f t="shared" si="541"/>
        <v>0</v>
      </c>
      <c r="O967" s="241">
        <f t="shared" si="541"/>
        <v>0</v>
      </c>
      <c r="P967" s="241">
        <f t="shared" si="541"/>
        <v>0</v>
      </c>
      <c r="Q967" s="241">
        <f t="shared" si="541"/>
        <v>0</v>
      </c>
      <c r="R967" s="241">
        <f t="shared" si="541"/>
        <v>0</v>
      </c>
      <c r="S967" s="352">
        <f t="shared" si="541"/>
        <v>0</v>
      </c>
    </row>
    <row r="968" spans="1:19" ht="12.75" customHeight="1" x14ac:dyDescent="0.2">
      <c r="A968" s="198" t="str">
        <f>"         "&amp;Labels!B317</f>
        <v xml:space="preserve">         Channels 1</v>
      </c>
      <c r="B968" s="328">
        <f t="shared" ref="B968:S968" si="542">AVERAGE(B888,B928)</f>
        <v>0</v>
      </c>
      <c r="C968" s="328">
        <f t="shared" si="542"/>
        <v>0</v>
      </c>
      <c r="D968" s="328">
        <f t="shared" si="542"/>
        <v>0</v>
      </c>
      <c r="E968" s="328">
        <f t="shared" si="542"/>
        <v>0</v>
      </c>
      <c r="F968" s="328">
        <f t="shared" si="542"/>
        <v>0</v>
      </c>
      <c r="G968" s="328">
        <f t="shared" si="542"/>
        <v>0</v>
      </c>
      <c r="H968" s="328">
        <f t="shared" si="542"/>
        <v>0</v>
      </c>
      <c r="I968" s="328">
        <f t="shared" si="542"/>
        <v>0</v>
      </c>
      <c r="J968" s="328">
        <f t="shared" si="542"/>
        <v>0</v>
      </c>
      <c r="K968" s="328">
        <f t="shared" si="542"/>
        <v>0</v>
      </c>
      <c r="L968" s="328">
        <f t="shared" si="542"/>
        <v>0</v>
      </c>
      <c r="M968" s="328">
        <f t="shared" si="542"/>
        <v>0</v>
      </c>
      <c r="N968" s="328">
        <f t="shared" si="542"/>
        <v>0</v>
      </c>
      <c r="O968" s="328">
        <f t="shared" si="542"/>
        <v>0</v>
      </c>
      <c r="P968" s="328">
        <f t="shared" si="542"/>
        <v>0</v>
      </c>
      <c r="Q968" s="328">
        <f t="shared" si="542"/>
        <v>0</v>
      </c>
      <c r="R968" s="328">
        <f t="shared" si="542"/>
        <v>0</v>
      </c>
      <c r="S968" s="400">
        <f t="shared" si="542"/>
        <v>0</v>
      </c>
    </row>
    <row r="969" spans="1:19" ht="12.75" customHeight="1" x14ac:dyDescent="0.2">
      <c r="A969" s="198" t="str">
        <f>"         "&amp;Labels!B318</f>
        <v xml:space="preserve">         Channels 2</v>
      </c>
      <c r="B969" s="328">
        <f t="shared" ref="B969:S969" si="543">AVERAGE(B889,B929)</f>
        <v>0</v>
      </c>
      <c r="C969" s="328">
        <f t="shared" si="543"/>
        <v>0</v>
      </c>
      <c r="D969" s="328">
        <f t="shared" si="543"/>
        <v>0</v>
      </c>
      <c r="E969" s="328">
        <f t="shared" si="543"/>
        <v>0</v>
      </c>
      <c r="F969" s="328">
        <f t="shared" si="543"/>
        <v>0</v>
      </c>
      <c r="G969" s="328">
        <f t="shared" si="543"/>
        <v>0</v>
      </c>
      <c r="H969" s="328">
        <f t="shared" si="543"/>
        <v>0</v>
      </c>
      <c r="I969" s="328">
        <f t="shared" si="543"/>
        <v>0</v>
      </c>
      <c r="J969" s="328">
        <f t="shared" si="543"/>
        <v>0</v>
      </c>
      <c r="K969" s="328">
        <f t="shared" si="543"/>
        <v>0</v>
      </c>
      <c r="L969" s="328">
        <f t="shared" si="543"/>
        <v>0</v>
      </c>
      <c r="M969" s="328">
        <f t="shared" si="543"/>
        <v>0</v>
      </c>
      <c r="N969" s="328">
        <f t="shared" si="543"/>
        <v>0</v>
      </c>
      <c r="O969" s="328">
        <f t="shared" si="543"/>
        <v>0</v>
      </c>
      <c r="P969" s="328">
        <f t="shared" si="543"/>
        <v>0</v>
      </c>
      <c r="Q969" s="328">
        <f t="shared" si="543"/>
        <v>0</v>
      </c>
      <c r="R969" s="328">
        <f t="shared" si="543"/>
        <v>0</v>
      </c>
      <c r="S969" s="400">
        <f t="shared" si="543"/>
        <v>0</v>
      </c>
    </row>
    <row r="970" spans="1:19" ht="12.75" customHeight="1" x14ac:dyDescent="0.2">
      <c r="A970" s="198" t="str">
        <f>"         "&amp;Labels!C316</f>
        <v xml:space="preserve">         Total</v>
      </c>
      <c r="B970" s="243">
        <f t="shared" ref="B970:S970" si="544">AVERAGE(B887,B927)</f>
        <v>0</v>
      </c>
      <c r="C970" s="243">
        <f t="shared" si="544"/>
        <v>0</v>
      </c>
      <c r="D970" s="243">
        <f t="shared" si="544"/>
        <v>0</v>
      </c>
      <c r="E970" s="243">
        <f t="shared" si="544"/>
        <v>0</v>
      </c>
      <c r="F970" s="243">
        <f t="shared" si="544"/>
        <v>0</v>
      </c>
      <c r="G970" s="243">
        <f t="shared" si="544"/>
        <v>0</v>
      </c>
      <c r="H970" s="243">
        <f t="shared" si="544"/>
        <v>0</v>
      </c>
      <c r="I970" s="243">
        <f t="shared" si="544"/>
        <v>0</v>
      </c>
      <c r="J970" s="243">
        <f t="shared" si="544"/>
        <v>0</v>
      </c>
      <c r="K970" s="243">
        <f t="shared" si="544"/>
        <v>0</v>
      </c>
      <c r="L970" s="243">
        <f t="shared" si="544"/>
        <v>0</v>
      </c>
      <c r="M970" s="243">
        <f t="shared" si="544"/>
        <v>0</v>
      </c>
      <c r="N970" s="243">
        <f t="shared" si="544"/>
        <v>0</v>
      </c>
      <c r="O970" s="243">
        <f t="shared" si="544"/>
        <v>0</v>
      </c>
      <c r="P970" s="243">
        <f t="shared" si="544"/>
        <v>0</v>
      </c>
      <c r="Q970" s="243">
        <f t="shared" si="544"/>
        <v>0</v>
      </c>
      <c r="R970" s="243">
        <f t="shared" si="544"/>
        <v>0</v>
      </c>
      <c r="S970" s="398">
        <f t="shared" si="544"/>
        <v>0</v>
      </c>
    </row>
    <row r="971" spans="1:19" ht="12.75" customHeight="1" x14ac:dyDescent="0.2">
      <c r="A971" s="191" t="str">
        <f>"   "&amp;Labels!C384</f>
        <v xml:space="preserve">   Total</v>
      </c>
      <c r="B971" s="245">
        <f t="shared" ref="B971:S971" si="545">AVERAGE(B891,B931)</f>
        <v>0</v>
      </c>
      <c r="C971" s="245">
        <f t="shared" si="545"/>
        <v>0</v>
      </c>
      <c r="D971" s="245">
        <f t="shared" si="545"/>
        <v>0</v>
      </c>
      <c r="E971" s="245">
        <f t="shared" si="545"/>
        <v>0</v>
      </c>
      <c r="F971" s="245">
        <f t="shared" si="545"/>
        <v>0</v>
      </c>
      <c r="G971" s="245">
        <f t="shared" si="545"/>
        <v>0</v>
      </c>
      <c r="H971" s="245">
        <f t="shared" si="545"/>
        <v>0</v>
      </c>
      <c r="I971" s="245">
        <f t="shared" si="545"/>
        <v>0</v>
      </c>
      <c r="J971" s="245">
        <f t="shared" si="545"/>
        <v>0</v>
      </c>
      <c r="K971" s="245">
        <f t="shared" si="545"/>
        <v>0</v>
      </c>
      <c r="L971" s="245">
        <f t="shared" si="545"/>
        <v>0</v>
      </c>
      <c r="M971" s="245">
        <f t="shared" si="545"/>
        <v>0</v>
      </c>
      <c r="N971" s="245">
        <f t="shared" si="545"/>
        <v>0</v>
      </c>
      <c r="O971" s="245">
        <f t="shared" si="545"/>
        <v>0</v>
      </c>
      <c r="P971" s="245">
        <f t="shared" si="545"/>
        <v>0</v>
      </c>
      <c r="Q971" s="245">
        <f t="shared" si="545"/>
        <v>0</v>
      </c>
      <c r="R971" s="245">
        <f t="shared" si="545"/>
        <v>0</v>
      </c>
      <c r="S971" s="353">
        <f t="shared" si="545"/>
        <v>0</v>
      </c>
    </row>
    <row r="972" spans="1:19" ht="12.75" customHeight="1" x14ac:dyDescent="0.2">
      <c r="A972" s="198" t="str">
        <f>"      "&amp;Labels!B397</f>
        <v xml:space="preserve">      Supply Type 1</v>
      </c>
      <c r="B972" s="243"/>
      <c r="C972" s="243"/>
      <c r="D972" s="243"/>
      <c r="E972" s="243"/>
      <c r="F972" s="243"/>
      <c r="G972" s="243"/>
      <c r="H972" s="243"/>
      <c r="I972" s="243"/>
      <c r="J972" s="243"/>
      <c r="K972" s="243"/>
      <c r="L972" s="243"/>
      <c r="M972" s="243"/>
      <c r="N972" s="243"/>
      <c r="O972" s="243"/>
      <c r="P972" s="243"/>
      <c r="Q972" s="243"/>
      <c r="R972" s="243"/>
      <c r="S972" s="398"/>
    </row>
    <row r="973" spans="1:19" ht="12.75" customHeight="1" x14ac:dyDescent="0.2">
      <c r="A973" s="198" t="str">
        <f>"         "&amp;Labels!B317</f>
        <v xml:space="preserve">         Channels 1</v>
      </c>
      <c r="B973" s="328">
        <f t="shared" ref="B973:S973" si="546">AVERAGE(B893,B933)</f>
        <v>0</v>
      </c>
      <c r="C973" s="328">
        <f t="shared" si="546"/>
        <v>0</v>
      </c>
      <c r="D973" s="328">
        <f t="shared" si="546"/>
        <v>0</v>
      </c>
      <c r="E973" s="328">
        <f t="shared" si="546"/>
        <v>0</v>
      </c>
      <c r="F973" s="328">
        <f t="shared" si="546"/>
        <v>0</v>
      </c>
      <c r="G973" s="328">
        <f t="shared" si="546"/>
        <v>0</v>
      </c>
      <c r="H973" s="328">
        <f t="shared" si="546"/>
        <v>0</v>
      </c>
      <c r="I973" s="328">
        <f t="shared" si="546"/>
        <v>0</v>
      </c>
      <c r="J973" s="328">
        <f t="shared" si="546"/>
        <v>0</v>
      </c>
      <c r="K973" s="328">
        <f t="shared" si="546"/>
        <v>0</v>
      </c>
      <c r="L973" s="328">
        <f t="shared" si="546"/>
        <v>0</v>
      </c>
      <c r="M973" s="328">
        <f t="shared" si="546"/>
        <v>0</v>
      </c>
      <c r="N973" s="328">
        <f t="shared" si="546"/>
        <v>0</v>
      </c>
      <c r="O973" s="328">
        <f t="shared" si="546"/>
        <v>0</v>
      </c>
      <c r="P973" s="328">
        <f t="shared" si="546"/>
        <v>0</v>
      </c>
      <c r="Q973" s="328">
        <f t="shared" si="546"/>
        <v>0</v>
      </c>
      <c r="R973" s="328">
        <f t="shared" si="546"/>
        <v>0</v>
      </c>
      <c r="S973" s="400">
        <f t="shared" si="546"/>
        <v>0</v>
      </c>
    </row>
    <row r="974" spans="1:19" ht="12.75" customHeight="1" x14ac:dyDescent="0.2">
      <c r="A974" s="198" t="str">
        <f>"         "&amp;Labels!B318</f>
        <v xml:space="preserve">         Channels 2</v>
      </c>
      <c r="B974" s="328">
        <f t="shared" ref="B974:S974" si="547">AVERAGE(B894,B934)</f>
        <v>0</v>
      </c>
      <c r="C974" s="328">
        <f t="shared" si="547"/>
        <v>0</v>
      </c>
      <c r="D974" s="328">
        <f t="shared" si="547"/>
        <v>0</v>
      </c>
      <c r="E974" s="328">
        <f t="shared" si="547"/>
        <v>0</v>
      </c>
      <c r="F974" s="328">
        <f t="shared" si="547"/>
        <v>0</v>
      </c>
      <c r="G974" s="328">
        <f t="shared" si="547"/>
        <v>0</v>
      </c>
      <c r="H974" s="328">
        <f t="shared" si="547"/>
        <v>0</v>
      </c>
      <c r="I974" s="328">
        <f t="shared" si="547"/>
        <v>0</v>
      </c>
      <c r="J974" s="328">
        <f t="shared" si="547"/>
        <v>0</v>
      </c>
      <c r="K974" s="328">
        <f t="shared" si="547"/>
        <v>0</v>
      </c>
      <c r="L974" s="328">
        <f t="shared" si="547"/>
        <v>0</v>
      </c>
      <c r="M974" s="328">
        <f t="shared" si="547"/>
        <v>0</v>
      </c>
      <c r="N974" s="328">
        <f t="shared" si="547"/>
        <v>0</v>
      </c>
      <c r="O974" s="328">
        <f t="shared" si="547"/>
        <v>0</v>
      </c>
      <c r="P974" s="328">
        <f t="shared" si="547"/>
        <v>0</v>
      </c>
      <c r="Q974" s="328">
        <f t="shared" si="547"/>
        <v>0</v>
      </c>
      <c r="R974" s="328">
        <f t="shared" si="547"/>
        <v>0</v>
      </c>
      <c r="S974" s="400">
        <f t="shared" si="547"/>
        <v>0</v>
      </c>
    </row>
    <row r="975" spans="1:19" ht="12.75" customHeight="1" x14ac:dyDescent="0.2">
      <c r="A975" s="198" t="str">
        <f>"         "&amp;Labels!C316</f>
        <v xml:space="preserve">         Total</v>
      </c>
      <c r="B975" s="243">
        <f t="shared" ref="B975:S975" si="548">AVERAGE(B895,B935)</f>
        <v>0</v>
      </c>
      <c r="C975" s="243">
        <f t="shared" si="548"/>
        <v>0</v>
      </c>
      <c r="D975" s="243">
        <f t="shared" si="548"/>
        <v>0</v>
      </c>
      <c r="E975" s="243">
        <f t="shared" si="548"/>
        <v>0</v>
      </c>
      <c r="F975" s="243">
        <f t="shared" si="548"/>
        <v>0</v>
      </c>
      <c r="G975" s="243">
        <f t="shared" si="548"/>
        <v>0</v>
      </c>
      <c r="H975" s="243">
        <f t="shared" si="548"/>
        <v>0</v>
      </c>
      <c r="I975" s="243">
        <f t="shared" si="548"/>
        <v>0</v>
      </c>
      <c r="J975" s="243">
        <f t="shared" si="548"/>
        <v>0</v>
      </c>
      <c r="K975" s="243">
        <f t="shared" si="548"/>
        <v>0</v>
      </c>
      <c r="L975" s="243">
        <f t="shared" si="548"/>
        <v>0</v>
      </c>
      <c r="M975" s="243">
        <f t="shared" si="548"/>
        <v>0</v>
      </c>
      <c r="N975" s="243">
        <f t="shared" si="548"/>
        <v>0</v>
      </c>
      <c r="O975" s="243">
        <f t="shared" si="548"/>
        <v>0</v>
      </c>
      <c r="P975" s="243">
        <f t="shared" si="548"/>
        <v>0</v>
      </c>
      <c r="Q975" s="243">
        <f t="shared" si="548"/>
        <v>0</v>
      </c>
      <c r="R975" s="243">
        <f t="shared" si="548"/>
        <v>0</v>
      </c>
      <c r="S975" s="398">
        <f t="shared" si="548"/>
        <v>0</v>
      </c>
    </row>
    <row r="976" spans="1:19" ht="12.75" customHeight="1" x14ac:dyDescent="0.2">
      <c r="A976" s="198" t="str">
        <f>"      "&amp;Labels!B398</f>
        <v xml:space="preserve">      Supply Type 2</v>
      </c>
      <c r="B976" s="243"/>
      <c r="C976" s="243"/>
      <c r="D976" s="243"/>
      <c r="E976" s="243"/>
      <c r="F976" s="243"/>
      <c r="G976" s="243"/>
      <c r="H976" s="243"/>
      <c r="I976" s="243"/>
      <c r="J976" s="243"/>
      <c r="K976" s="243"/>
      <c r="L976" s="243"/>
      <c r="M976" s="243"/>
      <c r="N976" s="243"/>
      <c r="O976" s="243"/>
      <c r="P976" s="243"/>
      <c r="Q976" s="243"/>
      <c r="R976" s="243"/>
      <c r="S976" s="398"/>
    </row>
    <row r="977" spans="1:19" ht="12.75" customHeight="1" x14ac:dyDescent="0.2">
      <c r="A977" s="198" t="str">
        <f>"         "&amp;Labels!B317</f>
        <v xml:space="preserve">         Channels 1</v>
      </c>
      <c r="B977" s="328">
        <f t="shared" ref="B977:S977" si="549">AVERAGE(B897,B937)</f>
        <v>0</v>
      </c>
      <c r="C977" s="328">
        <f t="shared" si="549"/>
        <v>0</v>
      </c>
      <c r="D977" s="328">
        <f t="shared" si="549"/>
        <v>0</v>
      </c>
      <c r="E977" s="328">
        <f t="shared" si="549"/>
        <v>0</v>
      </c>
      <c r="F977" s="328">
        <f t="shared" si="549"/>
        <v>0</v>
      </c>
      <c r="G977" s="328">
        <f t="shared" si="549"/>
        <v>0</v>
      </c>
      <c r="H977" s="328">
        <f t="shared" si="549"/>
        <v>0</v>
      </c>
      <c r="I977" s="328">
        <f t="shared" si="549"/>
        <v>0</v>
      </c>
      <c r="J977" s="328">
        <f t="shared" si="549"/>
        <v>0</v>
      </c>
      <c r="K977" s="328">
        <f t="shared" si="549"/>
        <v>0</v>
      </c>
      <c r="L977" s="328">
        <f t="shared" si="549"/>
        <v>0</v>
      </c>
      <c r="M977" s="328">
        <f t="shared" si="549"/>
        <v>0</v>
      </c>
      <c r="N977" s="328">
        <f t="shared" si="549"/>
        <v>0</v>
      </c>
      <c r="O977" s="328">
        <f t="shared" si="549"/>
        <v>0</v>
      </c>
      <c r="P977" s="328">
        <f t="shared" si="549"/>
        <v>0</v>
      </c>
      <c r="Q977" s="328">
        <f t="shared" si="549"/>
        <v>0</v>
      </c>
      <c r="R977" s="328">
        <f t="shared" si="549"/>
        <v>0</v>
      </c>
      <c r="S977" s="400">
        <f t="shared" si="549"/>
        <v>0</v>
      </c>
    </row>
    <row r="978" spans="1:19" ht="12.75" customHeight="1" x14ac:dyDescent="0.2">
      <c r="A978" s="198" t="str">
        <f>"         "&amp;Labels!B318</f>
        <v xml:space="preserve">         Channels 2</v>
      </c>
      <c r="B978" s="328">
        <f t="shared" ref="B978:S978" si="550">AVERAGE(B898,B938)</f>
        <v>0</v>
      </c>
      <c r="C978" s="328">
        <f t="shared" si="550"/>
        <v>0</v>
      </c>
      <c r="D978" s="328">
        <f t="shared" si="550"/>
        <v>0</v>
      </c>
      <c r="E978" s="328">
        <f t="shared" si="550"/>
        <v>0</v>
      </c>
      <c r="F978" s="328">
        <f t="shared" si="550"/>
        <v>0</v>
      </c>
      <c r="G978" s="328">
        <f t="shared" si="550"/>
        <v>0</v>
      </c>
      <c r="H978" s="328">
        <f t="shared" si="550"/>
        <v>0</v>
      </c>
      <c r="I978" s="328">
        <f t="shared" si="550"/>
        <v>0</v>
      </c>
      <c r="J978" s="328">
        <f t="shared" si="550"/>
        <v>0</v>
      </c>
      <c r="K978" s="328">
        <f t="shared" si="550"/>
        <v>0</v>
      </c>
      <c r="L978" s="328">
        <f t="shared" si="550"/>
        <v>0</v>
      </c>
      <c r="M978" s="328">
        <f t="shared" si="550"/>
        <v>0</v>
      </c>
      <c r="N978" s="328">
        <f t="shared" si="550"/>
        <v>0</v>
      </c>
      <c r="O978" s="328">
        <f t="shared" si="550"/>
        <v>0</v>
      </c>
      <c r="P978" s="328">
        <f t="shared" si="550"/>
        <v>0</v>
      </c>
      <c r="Q978" s="328">
        <f t="shared" si="550"/>
        <v>0</v>
      </c>
      <c r="R978" s="328">
        <f t="shared" si="550"/>
        <v>0</v>
      </c>
      <c r="S978" s="400">
        <f t="shared" si="550"/>
        <v>0</v>
      </c>
    </row>
    <row r="979" spans="1:19" ht="12.75" customHeight="1" x14ac:dyDescent="0.2">
      <c r="A979" s="198" t="str">
        <f>"         "&amp;Labels!C316</f>
        <v xml:space="preserve">         Total</v>
      </c>
      <c r="B979" s="243">
        <f t="shared" ref="B979:S979" si="551">AVERAGE(B899,B939)</f>
        <v>0</v>
      </c>
      <c r="C979" s="243">
        <f t="shared" si="551"/>
        <v>0</v>
      </c>
      <c r="D979" s="243">
        <f t="shared" si="551"/>
        <v>0</v>
      </c>
      <c r="E979" s="243">
        <f t="shared" si="551"/>
        <v>0</v>
      </c>
      <c r="F979" s="243">
        <f t="shared" si="551"/>
        <v>0</v>
      </c>
      <c r="G979" s="243">
        <f t="shared" si="551"/>
        <v>0</v>
      </c>
      <c r="H979" s="243">
        <f t="shared" si="551"/>
        <v>0</v>
      </c>
      <c r="I979" s="243">
        <f t="shared" si="551"/>
        <v>0</v>
      </c>
      <c r="J979" s="243">
        <f t="shared" si="551"/>
        <v>0</v>
      </c>
      <c r="K979" s="243">
        <f t="shared" si="551"/>
        <v>0</v>
      </c>
      <c r="L979" s="243">
        <f t="shared" si="551"/>
        <v>0</v>
      </c>
      <c r="M979" s="243">
        <f t="shared" si="551"/>
        <v>0</v>
      </c>
      <c r="N979" s="243">
        <f t="shared" si="551"/>
        <v>0</v>
      </c>
      <c r="O979" s="243">
        <f t="shared" si="551"/>
        <v>0</v>
      </c>
      <c r="P979" s="243">
        <f t="shared" si="551"/>
        <v>0</v>
      </c>
      <c r="Q979" s="243">
        <f t="shared" si="551"/>
        <v>0</v>
      </c>
      <c r="R979" s="243">
        <f t="shared" si="551"/>
        <v>0</v>
      </c>
      <c r="S979" s="398">
        <f t="shared" si="551"/>
        <v>0</v>
      </c>
    </row>
    <row r="980" spans="1:19" ht="12.75" customHeight="1" x14ac:dyDescent="0.2">
      <c r="A980" s="188" t="str">
        <f>"      "&amp;Labels!C396</f>
        <v xml:space="preserve">      Total</v>
      </c>
      <c r="B980" s="241">
        <f t="shared" ref="B980:S980" si="552">AVERAGE(B891,B931)</f>
        <v>0</v>
      </c>
      <c r="C980" s="241">
        <f t="shared" si="552"/>
        <v>0</v>
      </c>
      <c r="D980" s="241">
        <f t="shared" si="552"/>
        <v>0</v>
      </c>
      <c r="E980" s="241">
        <f t="shared" si="552"/>
        <v>0</v>
      </c>
      <c r="F980" s="241">
        <f t="shared" si="552"/>
        <v>0</v>
      </c>
      <c r="G980" s="241">
        <f t="shared" si="552"/>
        <v>0</v>
      </c>
      <c r="H980" s="241">
        <f t="shared" si="552"/>
        <v>0</v>
      </c>
      <c r="I980" s="241">
        <f t="shared" si="552"/>
        <v>0</v>
      </c>
      <c r="J980" s="241">
        <f t="shared" si="552"/>
        <v>0</v>
      </c>
      <c r="K980" s="241">
        <f t="shared" si="552"/>
        <v>0</v>
      </c>
      <c r="L980" s="241">
        <f t="shared" si="552"/>
        <v>0</v>
      </c>
      <c r="M980" s="241">
        <f t="shared" si="552"/>
        <v>0</v>
      </c>
      <c r="N980" s="241">
        <f t="shared" si="552"/>
        <v>0</v>
      </c>
      <c r="O980" s="241">
        <f t="shared" si="552"/>
        <v>0</v>
      </c>
      <c r="P980" s="241">
        <f t="shared" si="552"/>
        <v>0</v>
      </c>
      <c r="Q980" s="241">
        <f t="shared" si="552"/>
        <v>0</v>
      </c>
      <c r="R980" s="241">
        <f t="shared" si="552"/>
        <v>0</v>
      </c>
      <c r="S980" s="352">
        <f t="shared" si="552"/>
        <v>0</v>
      </c>
    </row>
    <row r="981" spans="1:19" ht="12.75" customHeight="1" x14ac:dyDescent="0.2">
      <c r="A981" s="198" t="str">
        <f>"         "&amp;Labels!B317</f>
        <v xml:space="preserve">         Channels 1</v>
      </c>
      <c r="B981" s="328">
        <f t="shared" ref="B981:S981" si="553">AVERAGE(B901,B941)</f>
        <v>0</v>
      </c>
      <c r="C981" s="328">
        <f t="shared" si="553"/>
        <v>0</v>
      </c>
      <c r="D981" s="328">
        <f t="shared" si="553"/>
        <v>0</v>
      </c>
      <c r="E981" s="328">
        <f t="shared" si="553"/>
        <v>0</v>
      </c>
      <c r="F981" s="328">
        <f t="shared" si="553"/>
        <v>0</v>
      </c>
      <c r="G981" s="328">
        <f t="shared" si="553"/>
        <v>0</v>
      </c>
      <c r="H981" s="328">
        <f t="shared" si="553"/>
        <v>0</v>
      </c>
      <c r="I981" s="328">
        <f t="shared" si="553"/>
        <v>0</v>
      </c>
      <c r="J981" s="328">
        <f t="shared" si="553"/>
        <v>0</v>
      </c>
      <c r="K981" s="328">
        <f t="shared" si="553"/>
        <v>0</v>
      </c>
      <c r="L981" s="328">
        <f t="shared" si="553"/>
        <v>0</v>
      </c>
      <c r="M981" s="328">
        <f t="shared" si="553"/>
        <v>0</v>
      </c>
      <c r="N981" s="328">
        <f t="shared" si="553"/>
        <v>0</v>
      </c>
      <c r="O981" s="328">
        <f t="shared" si="553"/>
        <v>0</v>
      </c>
      <c r="P981" s="328">
        <f t="shared" si="553"/>
        <v>0</v>
      </c>
      <c r="Q981" s="328">
        <f t="shared" si="553"/>
        <v>0</v>
      </c>
      <c r="R981" s="328">
        <f t="shared" si="553"/>
        <v>0</v>
      </c>
      <c r="S981" s="400">
        <f t="shared" si="553"/>
        <v>0</v>
      </c>
    </row>
    <row r="982" spans="1:19" ht="12.75" customHeight="1" x14ac:dyDescent="0.2">
      <c r="A982" s="198" t="str">
        <f>"         "&amp;Labels!B318</f>
        <v xml:space="preserve">         Channels 2</v>
      </c>
      <c r="B982" s="328">
        <f t="shared" ref="B982:S982" si="554">AVERAGE(B902,B942)</f>
        <v>0</v>
      </c>
      <c r="C982" s="328">
        <f t="shared" si="554"/>
        <v>0</v>
      </c>
      <c r="D982" s="328">
        <f t="shared" si="554"/>
        <v>0</v>
      </c>
      <c r="E982" s="328">
        <f t="shared" si="554"/>
        <v>0</v>
      </c>
      <c r="F982" s="328">
        <f t="shared" si="554"/>
        <v>0</v>
      </c>
      <c r="G982" s="328">
        <f t="shared" si="554"/>
        <v>0</v>
      </c>
      <c r="H982" s="328">
        <f t="shared" si="554"/>
        <v>0</v>
      </c>
      <c r="I982" s="328">
        <f t="shared" si="554"/>
        <v>0</v>
      </c>
      <c r="J982" s="328">
        <f t="shared" si="554"/>
        <v>0</v>
      </c>
      <c r="K982" s="328">
        <f t="shared" si="554"/>
        <v>0</v>
      </c>
      <c r="L982" s="328">
        <f t="shared" si="554"/>
        <v>0</v>
      </c>
      <c r="M982" s="328">
        <f t="shared" si="554"/>
        <v>0</v>
      </c>
      <c r="N982" s="328">
        <f t="shared" si="554"/>
        <v>0</v>
      </c>
      <c r="O982" s="328">
        <f t="shared" si="554"/>
        <v>0</v>
      </c>
      <c r="P982" s="328">
        <f t="shared" si="554"/>
        <v>0</v>
      </c>
      <c r="Q982" s="328">
        <f t="shared" si="554"/>
        <v>0</v>
      </c>
      <c r="R982" s="328">
        <f t="shared" si="554"/>
        <v>0</v>
      </c>
      <c r="S982" s="400">
        <f t="shared" si="554"/>
        <v>0</v>
      </c>
    </row>
    <row r="983" spans="1:19" ht="12.75" customHeight="1" x14ac:dyDescent="0.2">
      <c r="A983" s="230" t="str">
        <f>"         "&amp;Labels!C316</f>
        <v xml:space="preserve">         Total</v>
      </c>
      <c r="B983" s="401">
        <f t="shared" ref="B983:S983" si="555">AVERAGE(B891,B931)</f>
        <v>0</v>
      </c>
      <c r="C983" s="401">
        <f t="shared" si="555"/>
        <v>0</v>
      </c>
      <c r="D983" s="401">
        <f t="shared" si="555"/>
        <v>0</v>
      </c>
      <c r="E983" s="401">
        <f t="shared" si="555"/>
        <v>0</v>
      </c>
      <c r="F983" s="401">
        <f t="shared" si="555"/>
        <v>0</v>
      </c>
      <c r="G983" s="401">
        <f t="shared" si="555"/>
        <v>0</v>
      </c>
      <c r="H983" s="401">
        <f t="shared" si="555"/>
        <v>0</v>
      </c>
      <c r="I983" s="401">
        <f t="shared" si="555"/>
        <v>0</v>
      </c>
      <c r="J983" s="401">
        <f t="shared" si="555"/>
        <v>0</v>
      </c>
      <c r="K983" s="401">
        <f t="shared" si="555"/>
        <v>0</v>
      </c>
      <c r="L983" s="401">
        <f t="shared" si="555"/>
        <v>0</v>
      </c>
      <c r="M983" s="401">
        <f t="shared" si="555"/>
        <v>0</v>
      </c>
      <c r="N983" s="401">
        <f t="shared" si="555"/>
        <v>0</v>
      </c>
      <c r="O983" s="401">
        <f t="shared" si="555"/>
        <v>0</v>
      </c>
      <c r="P983" s="401">
        <f t="shared" si="555"/>
        <v>0</v>
      </c>
      <c r="Q983" s="401">
        <f t="shared" si="555"/>
        <v>0</v>
      </c>
      <c r="R983" s="401">
        <f t="shared" si="555"/>
        <v>0</v>
      </c>
      <c r="S983" s="402">
        <f t="shared" si="555"/>
        <v>0</v>
      </c>
    </row>
    <row r="984" spans="1:19" ht="12.75" customHeight="1" x14ac:dyDescent="0.2">
      <c r="A984" s="1" t="str">
        <f>Labels!B177</f>
        <v>Prof_Staff Count Early</v>
      </c>
    </row>
    <row r="985" spans="1:19" ht="12.75" customHeight="1" x14ac:dyDescent="0.2">
      <c r="B985" s="9" t="str">
        <f>'(FnCalls 1)'!F41</f>
        <v>MMM 2010</v>
      </c>
      <c r="C985" s="10" t="str">
        <f>'(FnCalls 1)'!F42</f>
        <v>MMM 2010</v>
      </c>
      <c r="D985" s="10" t="str">
        <f>'(FnCalls 1)'!F43</f>
        <v>MMM 2010</v>
      </c>
      <c r="E985" s="10" t="str">
        <f>'(FnCalls 1)'!F44</f>
        <v>MMM 2010</v>
      </c>
      <c r="F985" s="10" t="str">
        <f>'(FnCalls 1)'!F45</f>
        <v>MMM 2010</v>
      </c>
      <c r="G985" s="10" t="str">
        <f>'(FnCalls 1)'!F46</f>
        <v>MMM 2010</v>
      </c>
      <c r="H985" s="10" t="str">
        <f>'(FnCalls 1)'!F47</f>
        <v>MMM 2010</v>
      </c>
      <c r="I985" s="10" t="str">
        <f>'(FnCalls 1)'!F48</f>
        <v>MMM 2010</v>
      </c>
      <c r="J985" s="10" t="str">
        <f>'(FnCalls 1)'!F49</f>
        <v>MMM 2010</v>
      </c>
      <c r="K985" s="10" t="str">
        <f>'(FnCalls 1)'!F50</f>
        <v>MMM 2010</v>
      </c>
      <c r="L985" s="10" t="str">
        <f>'(FnCalls 1)'!F51</f>
        <v>MMM 2010</v>
      </c>
      <c r="M985" s="10" t="str">
        <f>'(FnCalls 1)'!F52</f>
        <v>MMM 2010</v>
      </c>
      <c r="N985" s="10" t="str">
        <f>'(FnCalls 1)'!F53</f>
        <v>MMM 2011</v>
      </c>
      <c r="O985" s="10" t="str">
        <f>'(FnCalls 1)'!F54</f>
        <v>MMM 2011</v>
      </c>
      <c r="P985" s="10" t="str">
        <f>'(FnCalls 1)'!F55</f>
        <v>MMM 2011</v>
      </c>
      <c r="Q985" s="10" t="str">
        <f>'(FnCalls 1)'!F56</f>
        <v>MMM 2011</v>
      </c>
      <c r="R985" s="10" t="str">
        <f>'(FnCalls 1)'!F57</f>
        <v>MMM 2011</v>
      </c>
      <c r="S985" s="11" t="str">
        <f>'(FnCalls 1)'!F58</f>
        <v>MMM 2011</v>
      </c>
    </row>
    <row r="986" spans="1:19" ht="12.75" customHeight="1" x14ac:dyDescent="0.2">
      <c r="A986" s="182" t="str">
        <f>Labels!B381</f>
        <v>Practice 1</v>
      </c>
      <c r="B986" s="223"/>
      <c r="C986" s="223"/>
      <c r="D986" s="223"/>
      <c r="E986" s="223"/>
      <c r="F986" s="223"/>
      <c r="G986" s="223"/>
      <c r="H986" s="223"/>
      <c r="I986" s="223"/>
      <c r="J986" s="223"/>
      <c r="K986" s="223"/>
      <c r="L986" s="223"/>
      <c r="M986" s="223"/>
      <c r="N986" s="223"/>
      <c r="O986" s="223"/>
      <c r="P986" s="223"/>
      <c r="Q986" s="223"/>
      <c r="R986" s="223"/>
      <c r="S986" s="284"/>
    </row>
    <row r="987" spans="1:19" ht="12.75" customHeight="1" x14ac:dyDescent="0.2">
      <c r="A987" s="188" t="str">
        <f>"   "&amp;Labels!B385</f>
        <v xml:space="preserve">   Prof Level 1</v>
      </c>
      <c r="B987" s="166">
        <f>Inputs!F184</f>
        <v>0</v>
      </c>
      <c r="C987" s="166">
        <f>Inputs!G184</f>
        <v>0</v>
      </c>
      <c r="D987" s="166">
        <f>Inputs!H184</f>
        <v>0</v>
      </c>
      <c r="E987" s="166">
        <f>Inputs!I184</f>
        <v>0</v>
      </c>
      <c r="F987" s="166">
        <f>Inputs!J184</f>
        <v>0</v>
      </c>
      <c r="G987" s="166">
        <f>Inputs!K184</f>
        <v>0</v>
      </c>
      <c r="H987" s="166">
        <f>Inputs!L184</f>
        <v>0</v>
      </c>
      <c r="I987" s="166">
        <f>Inputs!M184</f>
        <v>0</v>
      </c>
      <c r="J987" s="166">
        <f>Inputs!N184</f>
        <v>0</v>
      </c>
      <c r="K987" s="166">
        <f>Inputs!O184</f>
        <v>0</v>
      </c>
      <c r="L987" s="166">
        <f>Inputs!P184</f>
        <v>0</v>
      </c>
      <c r="M987" s="166">
        <f>Inputs!Q184</f>
        <v>0</v>
      </c>
      <c r="N987" s="166">
        <f>Inputs!R184</f>
        <v>0</v>
      </c>
      <c r="O987" s="166">
        <f>Inputs!S184</f>
        <v>0</v>
      </c>
      <c r="P987" s="166">
        <f>Inputs!T184</f>
        <v>0</v>
      </c>
      <c r="Q987" s="166">
        <f>Inputs!U184</f>
        <v>0</v>
      </c>
      <c r="R987" s="166">
        <f>Inputs!V184</f>
        <v>0</v>
      </c>
      <c r="S987" s="285">
        <f>Inputs!W184</f>
        <v>0</v>
      </c>
    </row>
    <row r="988" spans="1:19" ht="12.75" customHeight="1" x14ac:dyDescent="0.2">
      <c r="A988" s="188" t="str">
        <f>"   "&amp;Labels!B386</f>
        <v xml:space="preserve">   Prof Level 2</v>
      </c>
      <c r="B988" s="166">
        <f>Inputs!F185</f>
        <v>0</v>
      </c>
      <c r="C988" s="166">
        <f>Inputs!G185</f>
        <v>0</v>
      </c>
      <c r="D988" s="166">
        <f>Inputs!H185</f>
        <v>0</v>
      </c>
      <c r="E988" s="166">
        <f>Inputs!I185</f>
        <v>0</v>
      </c>
      <c r="F988" s="166">
        <f>Inputs!J185</f>
        <v>0</v>
      </c>
      <c r="G988" s="166">
        <f>Inputs!K185</f>
        <v>0</v>
      </c>
      <c r="H988" s="166">
        <f>Inputs!L185</f>
        <v>0</v>
      </c>
      <c r="I988" s="166">
        <f>Inputs!M185</f>
        <v>0</v>
      </c>
      <c r="J988" s="166">
        <f>Inputs!N185</f>
        <v>0</v>
      </c>
      <c r="K988" s="166">
        <f>Inputs!O185</f>
        <v>0</v>
      </c>
      <c r="L988" s="166">
        <f>Inputs!P185</f>
        <v>0</v>
      </c>
      <c r="M988" s="166">
        <f>Inputs!Q185</f>
        <v>0</v>
      </c>
      <c r="N988" s="166">
        <f>Inputs!R185</f>
        <v>0</v>
      </c>
      <c r="O988" s="166">
        <f>Inputs!S185</f>
        <v>0</v>
      </c>
      <c r="P988" s="166">
        <f>Inputs!T185</f>
        <v>0</v>
      </c>
      <c r="Q988" s="166">
        <f>Inputs!U185</f>
        <v>0</v>
      </c>
      <c r="R988" s="166">
        <f>Inputs!V185</f>
        <v>0</v>
      </c>
      <c r="S988" s="285">
        <f>Inputs!W185</f>
        <v>0</v>
      </c>
    </row>
    <row r="989" spans="1:19" ht="12.75" customHeight="1" x14ac:dyDescent="0.2">
      <c r="A989" s="191" t="str">
        <f>"   "&amp;Labels!C384</f>
        <v xml:space="preserve">   Total</v>
      </c>
      <c r="B989" s="216">
        <f t="shared" ref="B989:S989" si="556">SUM(B987:B988)</f>
        <v>0</v>
      </c>
      <c r="C989" s="216">
        <f t="shared" si="556"/>
        <v>0</v>
      </c>
      <c r="D989" s="216">
        <f t="shared" si="556"/>
        <v>0</v>
      </c>
      <c r="E989" s="216">
        <f t="shared" si="556"/>
        <v>0</v>
      </c>
      <c r="F989" s="216">
        <f t="shared" si="556"/>
        <v>0</v>
      </c>
      <c r="G989" s="216">
        <f t="shared" si="556"/>
        <v>0</v>
      </c>
      <c r="H989" s="216">
        <f t="shared" si="556"/>
        <v>0</v>
      </c>
      <c r="I989" s="216">
        <f t="shared" si="556"/>
        <v>0</v>
      </c>
      <c r="J989" s="216">
        <f t="shared" si="556"/>
        <v>0</v>
      </c>
      <c r="K989" s="216">
        <f t="shared" si="556"/>
        <v>0</v>
      </c>
      <c r="L989" s="216">
        <f t="shared" si="556"/>
        <v>0</v>
      </c>
      <c r="M989" s="216">
        <f t="shared" si="556"/>
        <v>0</v>
      </c>
      <c r="N989" s="216">
        <f t="shared" si="556"/>
        <v>0</v>
      </c>
      <c r="O989" s="216">
        <f t="shared" si="556"/>
        <v>0</v>
      </c>
      <c r="P989" s="216">
        <f t="shared" si="556"/>
        <v>0</v>
      </c>
      <c r="Q989" s="216">
        <f t="shared" si="556"/>
        <v>0</v>
      </c>
      <c r="R989" s="216">
        <f t="shared" si="556"/>
        <v>0</v>
      </c>
      <c r="S989" s="287">
        <f t="shared" si="556"/>
        <v>0</v>
      </c>
    </row>
    <row r="990" spans="1:19" ht="12.75" customHeight="1" x14ac:dyDescent="0.2">
      <c r="A990" s="191" t="str">
        <f>Labels!B382</f>
        <v>Practice 2</v>
      </c>
      <c r="B990" s="216"/>
      <c r="C990" s="216"/>
      <c r="D990" s="216"/>
      <c r="E990" s="216"/>
      <c r="F990" s="216"/>
      <c r="G990" s="216"/>
      <c r="H990" s="216"/>
      <c r="I990" s="216"/>
      <c r="J990" s="216"/>
      <c r="K990" s="216"/>
      <c r="L990" s="216"/>
      <c r="M990" s="216"/>
      <c r="N990" s="216"/>
      <c r="O990" s="216"/>
      <c r="P990" s="216"/>
      <c r="Q990" s="216"/>
      <c r="R990" s="216"/>
      <c r="S990" s="287"/>
    </row>
    <row r="991" spans="1:19" ht="12.75" customHeight="1" x14ac:dyDescent="0.2">
      <c r="A991" s="188" t="str">
        <f>"   "&amp;Labels!B385</f>
        <v xml:space="preserve">   Prof Level 1</v>
      </c>
      <c r="B991" s="166">
        <f>Inputs!F186</f>
        <v>0</v>
      </c>
      <c r="C991" s="166">
        <f>Inputs!G186</f>
        <v>0</v>
      </c>
      <c r="D991" s="166">
        <f>Inputs!H186</f>
        <v>0</v>
      </c>
      <c r="E991" s="166">
        <f>Inputs!I186</f>
        <v>0</v>
      </c>
      <c r="F991" s="166">
        <f>Inputs!J186</f>
        <v>0</v>
      </c>
      <c r="G991" s="166">
        <f>Inputs!K186</f>
        <v>0</v>
      </c>
      <c r="H991" s="166">
        <f>Inputs!L186</f>
        <v>0</v>
      </c>
      <c r="I991" s="166">
        <f>Inputs!M186</f>
        <v>0</v>
      </c>
      <c r="J991" s="166">
        <f>Inputs!N186</f>
        <v>0</v>
      </c>
      <c r="K991" s="166">
        <f>Inputs!O186</f>
        <v>0</v>
      </c>
      <c r="L991" s="166">
        <f>Inputs!P186</f>
        <v>0</v>
      </c>
      <c r="M991" s="166">
        <f>Inputs!Q186</f>
        <v>0</v>
      </c>
      <c r="N991" s="166">
        <f>Inputs!R186</f>
        <v>0</v>
      </c>
      <c r="O991" s="166">
        <f>Inputs!S186</f>
        <v>0</v>
      </c>
      <c r="P991" s="166">
        <f>Inputs!T186</f>
        <v>0</v>
      </c>
      <c r="Q991" s="166">
        <f>Inputs!U186</f>
        <v>0</v>
      </c>
      <c r="R991" s="166">
        <f>Inputs!V186</f>
        <v>0</v>
      </c>
      <c r="S991" s="285">
        <f>Inputs!W186</f>
        <v>0</v>
      </c>
    </row>
    <row r="992" spans="1:19" ht="12.75" customHeight="1" x14ac:dyDescent="0.2">
      <c r="A992" s="188" t="str">
        <f>"   "&amp;Labels!B386</f>
        <v xml:space="preserve">   Prof Level 2</v>
      </c>
      <c r="B992" s="166">
        <f>Inputs!F187</f>
        <v>0</v>
      </c>
      <c r="C992" s="166">
        <f>Inputs!G187</f>
        <v>0</v>
      </c>
      <c r="D992" s="166">
        <f>Inputs!H187</f>
        <v>0</v>
      </c>
      <c r="E992" s="166">
        <f>Inputs!I187</f>
        <v>0</v>
      </c>
      <c r="F992" s="166">
        <f>Inputs!J187</f>
        <v>0</v>
      </c>
      <c r="G992" s="166">
        <f>Inputs!K187</f>
        <v>0</v>
      </c>
      <c r="H992" s="166">
        <f>Inputs!L187</f>
        <v>0</v>
      </c>
      <c r="I992" s="166">
        <f>Inputs!M187</f>
        <v>0</v>
      </c>
      <c r="J992" s="166">
        <f>Inputs!N187</f>
        <v>0</v>
      </c>
      <c r="K992" s="166">
        <f>Inputs!O187</f>
        <v>0</v>
      </c>
      <c r="L992" s="166">
        <f>Inputs!P187</f>
        <v>0</v>
      </c>
      <c r="M992" s="166">
        <f>Inputs!Q187</f>
        <v>0</v>
      </c>
      <c r="N992" s="166">
        <f>Inputs!R187</f>
        <v>0</v>
      </c>
      <c r="O992" s="166">
        <f>Inputs!S187</f>
        <v>0</v>
      </c>
      <c r="P992" s="166">
        <f>Inputs!T187</f>
        <v>0</v>
      </c>
      <c r="Q992" s="166">
        <f>Inputs!U187</f>
        <v>0</v>
      </c>
      <c r="R992" s="166">
        <f>Inputs!V187</f>
        <v>0</v>
      </c>
      <c r="S992" s="285">
        <f>Inputs!W187</f>
        <v>0</v>
      </c>
    </row>
    <row r="993" spans="1:19" ht="12.75" customHeight="1" x14ac:dyDescent="0.2">
      <c r="A993" s="191" t="str">
        <f>"   "&amp;Labels!C384</f>
        <v xml:space="preserve">   Total</v>
      </c>
      <c r="B993" s="216">
        <f t="shared" ref="B993:S993" si="557">SUM(B991:B992)</f>
        <v>0</v>
      </c>
      <c r="C993" s="216">
        <f t="shared" si="557"/>
        <v>0</v>
      </c>
      <c r="D993" s="216">
        <f t="shared" si="557"/>
        <v>0</v>
      </c>
      <c r="E993" s="216">
        <f t="shared" si="557"/>
        <v>0</v>
      </c>
      <c r="F993" s="216">
        <f t="shared" si="557"/>
        <v>0</v>
      </c>
      <c r="G993" s="216">
        <f t="shared" si="557"/>
        <v>0</v>
      </c>
      <c r="H993" s="216">
        <f t="shared" si="557"/>
        <v>0</v>
      </c>
      <c r="I993" s="216">
        <f t="shared" si="557"/>
        <v>0</v>
      </c>
      <c r="J993" s="216">
        <f t="shared" si="557"/>
        <v>0</v>
      </c>
      <c r="K993" s="216">
        <f t="shared" si="557"/>
        <v>0</v>
      </c>
      <c r="L993" s="216">
        <f t="shared" si="557"/>
        <v>0</v>
      </c>
      <c r="M993" s="216">
        <f t="shared" si="557"/>
        <v>0</v>
      </c>
      <c r="N993" s="216">
        <f t="shared" si="557"/>
        <v>0</v>
      </c>
      <c r="O993" s="216">
        <f t="shared" si="557"/>
        <v>0</v>
      </c>
      <c r="P993" s="216">
        <f t="shared" si="557"/>
        <v>0</v>
      </c>
      <c r="Q993" s="216">
        <f t="shared" si="557"/>
        <v>0</v>
      </c>
      <c r="R993" s="216">
        <f t="shared" si="557"/>
        <v>0</v>
      </c>
      <c r="S993" s="287">
        <f t="shared" si="557"/>
        <v>0</v>
      </c>
    </row>
    <row r="994" spans="1:19" ht="12.75" customHeight="1" x14ac:dyDescent="0.2">
      <c r="A994" s="97" t="str">
        <f>Labels!C380</f>
        <v>Total</v>
      </c>
      <c r="B994" s="374">
        <f t="shared" ref="B994:S994" si="558">SUM(B989,B993)</f>
        <v>0</v>
      </c>
      <c r="C994" s="374">
        <f t="shared" si="558"/>
        <v>0</v>
      </c>
      <c r="D994" s="374">
        <f t="shared" si="558"/>
        <v>0</v>
      </c>
      <c r="E994" s="374">
        <f t="shared" si="558"/>
        <v>0</v>
      </c>
      <c r="F994" s="374">
        <f t="shared" si="558"/>
        <v>0</v>
      </c>
      <c r="G994" s="374">
        <f t="shared" si="558"/>
        <v>0</v>
      </c>
      <c r="H994" s="374">
        <f t="shared" si="558"/>
        <v>0</v>
      </c>
      <c r="I994" s="374">
        <f t="shared" si="558"/>
        <v>0</v>
      </c>
      <c r="J994" s="374">
        <f t="shared" si="558"/>
        <v>0</v>
      </c>
      <c r="K994" s="374">
        <f t="shared" si="558"/>
        <v>0</v>
      </c>
      <c r="L994" s="374">
        <f t="shared" si="558"/>
        <v>0</v>
      </c>
      <c r="M994" s="374">
        <f t="shared" si="558"/>
        <v>0</v>
      </c>
      <c r="N994" s="374">
        <f t="shared" si="558"/>
        <v>0</v>
      </c>
      <c r="O994" s="374">
        <f t="shared" si="558"/>
        <v>0</v>
      </c>
      <c r="P994" s="374">
        <f t="shared" si="558"/>
        <v>0</v>
      </c>
      <c r="Q994" s="374">
        <f t="shared" si="558"/>
        <v>0</v>
      </c>
      <c r="R994" s="374">
        <f t="shared" si="558"/>
        <v>0</v>
      </c>
      <c r="S994" s="403">
        <f t="shared" si="558"/>
        <v>0</v>
      </c>
    </row>
    <row r="995" spans="1:19" ht="12.75" customHeight="1" x14ac:dyDescent="0.2">
      <c r="A995" s="188" t="str">
        <f>"   "&amp;Labels!B385</f>
        <v xml:space="preserve">   Prof Level 1</v>
      </c>
      <c r="B995" s="166">
        <f t="shared" ref="B995:S995" si="559">SUM(B987,B991)</f>
        <v>0</v>
      </c>
      <c r="C995" s="166">
        <f t="shared" si="559"/>
        <v>0</v>
      </c>
      <c r="D995" s="166">
        <f t="shared" si="559"/>
        <v>0</v>
      </c>
      <c r="E995" s="166">
        <f t="shared" si="559"/>
        <v>0</v>
      </c>
      <c r="F995" s="166">
        <f t="shared" si="559"/>
        <v>0</v>
      </c>
      <c r="G995" s="166">
        <f t="shared" si="559"/>
        <v>0</v>
      </c>
      <c r="H995" s="166">
        <f t="shared" si="559"/>
        <v>0</v>
      </c>
      <c r="I995" s="166">
        <f t="shared" si="559"/>
        <v>0</v>
      </c>
      <c r="J995" s="166">
        <f t="shared" si="559"/>
        <v>0</v>
      </c>
      <c r="K995" s="166">
        <f t="shared" si="559"/>
        <v>0</v>
      </c>
      <c r="L995" s="166">
        <f t="shared" si="559"/>
        <v>0</v>
      </c>
      <c r="M995" s="166">
        <f t="shared" si="559"/>
        <v>0</v>
      </c>
      <c r="N995" s="166">
        <f t="shared" si="559"/>
        <v>0</v>
      </c>
      <c r="O995" s="166">
        <f t="shared" si="559"/>
        <v>0</v>
      </c>
      <c r="P995" s="166">
        <f t="shared" si="559"/>
        <v>0</v>
      </c>
      <c r="Q995" s="166">
        <f t="shared" si="559"/>
        <v>0</v>
      </c>
      <c r="R995" s="166">
        <f t="shared" si="559"/>
        <v>0</v>
      </c>
      <c r="S995" s="285">
        <f t="shared" si="559"/>
        <v>0</v>
      </c>
    </row>
    <row r="996" spans="1:19" ht="12.75" customHeight="1" x14ac:dyDescent="0.2">
      <c r="A996" s="188" t="str">
        <f>"   "&amp;Labels!B386</f>
        <v xml:space="preserve">   Prof Level 2</v>
      </c>
      <c r="B996" s="166">
        <f t="shared" ref="B996:S996" si="560">SUM(B988,B992)</f>
        <v>0</v>
      </c>
      <c r="C996" s="166">
        <f t="shared" si="560"/>
        <v>0</v>
      </c>
      <c r="D996" s="166">
        <f t="shared" si="560"/>
        <v>0</v>
      </c>
      <c r="E996" s="166">
        <f t="shared" si="560"/>
        <v>0</v>
      </c>
      <c r="F996" s="166">
        <f t="shared" si="560"/>
        <v>0</v>
      </c>
      <c r="G996" s="166">
        <f t="shared" si="560"/>
        <v>0</v>
      </c>
      <c r="H996" s="166">
        <f t="shared" si="560"/>
        <v>0</v>
      </c>
      <c r="I996" s="166">
        <f t="shared" si="560"/>
        <v>0</v>
      </c>
      <c r="J996" s="166">
        <f t="shared" si="560"/>
        <v>0</v>
      </c>
      <c r="K996" s="166">
        <f t="shared" si="560"/>
        <v>0</v>
      </c>
      <c r="L996" s="166">
        <f t="shared" si="560"/>
        <v>0</v>
      </c>
      <c r="M996" s="166">
        <f t="shared" si="560"/>
        <v>0</v>
      </c>
      <c r="N996" s="166">
        <f t="shared" si="560"/>
        <v>0</v>
      </c>
      <c r="O996" s="166">
        <f t="shared" si="560"/>
        <v>0</v>
      </c>
      <c r="P996" s="166">
        <f t="shared" si="560"/>
        <v>0</v>
      </c>
      <c r="Q996" s="166">
        <f t="shared" si="560"/>
        <v>0</v>
      </c>
      <c r="R996" s="166">
        <f t="shared" si="560"/>
        <v>0</v>
      </c>
      <c r="S996" s="285">
        <f t="shared" si="560"/>
        <v>0</v>
      </c>
    </row>
    <row r="997" spans="1:19" ht="12.75" customHeight="1" x14ac:dyDescent="0.2">
      <c r="A997" s="185" t="str">
        <f>"   "&amp;Labels!C384</f>
        <v xml:space="preserve">   Total</v>
      </c>
      <c r="B997" s="297">
        <f t="shared" ref="B997:S997" si="561">SUM(B989,B993)</f>
        <v>0</v>
      </c>
      <c r="C997" s="297">
        <f t="shared" si="561"/>
        <v>0</v>
      </c>
      <c r="D997" s="297">
        <f t="shared" si="561"/>
        <v>0</v>
      </c>
      <c r="E997" s="297">
        <f t="shared" si="561"/>
        <v>0</v>
      </c>
      <c r="F997" s="297">
        <f t="shared" si="561"/>
        <v>0</v>
      </c>
      <c r="G997" s="297">
        <f t="shared" si="561"/>
        <v>0</v>
      </c>
      <c r="H997" s="297">
        <f t="shared" si="561"/>
        <v>0</v>
      </c>
      <c r="I997" s="297">
        <f t="shared" si="561"/>
        <v>0</v>
      </c>
      <c r="J997" s="297">
        <f t="shared" si="561"/>
        <v>0</v>
      </c>
      <c r="K997" s="297">
        <f t="shared" si="561"/>
        <v>0</v>
      </c>
      <c r="L997" s="297">
        <f t="shared" si="561"/>
        <v>0</v>
      </c>
      <c r="M997" s="297">
        <f t="shared" si="561"/>
        <v>0</v>
      </c>
      <c r="N997" s="297">
        <f t="shared" si="561"/>
        <v>0</v>
      </c>
      <c r="O997" s="297">
        <f t="shared" si="561"/>
        <v>0</v>
      </c>
      <c r="P997" s="297">
        <f t="shared" si="561"/>
        <v>0</v>
      </c>
      <c r="Q997" s="297">
        <f t="shared" si="561"/>
        <v>0</v>
      </c>
      <c r="R997" s="297">
        <f t="shared" si="561"/>
        <v>0</v>
      </c>
      <c r="S997" s="350">
        <f t="shared" si="561"/>
        <v>0</v>
      </c>
    </row>
    <row r="998" spans="1:19" ht="12.75" customHeight="1" x14ac:dyDescent="0.2">
      <c r="A998" s="1" t="str">
        <f>Labels!B251</f>
        <v>Support Staff Count Early</v>
      </c>
    </row>
    <row r="999" spans="1:19" ht="12.75" customHeight="1" x14ac:dyDescent="0.2">
      <c r="B999" s="9" t="str">
        <f>'(FnCalls 1)'!F41</f>
        <v>MMM 2010</v>
      </c>
      <c r="C999" s="10" t="str">
        <f>'(FnCalls 1)'!F42</f>
        <v>MMM 2010</v>
      </c>
      <c r="D999" s="10" t="str">
        <f>'(FnCalls 1)'!F43</f>
        <v>MMM 2010</v>
      </c>
      <c r="E999" s="10" t="str">
        <f>'(FnCalls 1)'!F44</f>
        <v>MMM 2010</v>
      </c>
      <c r="F999" s="10" t="str">
        <f>'(FnCalls 1)'!F45</f>
        <v>MMM 2010</v>
      </c>
      <c r="G999" s="10" t="str">
        <f>'(FnCalls 1)'!F46</f>
        <v>MMM 2010</v>
      </c>
      <c r="H999" s="10" t="str">
        <f>'(FnCalls 1)'!F47</f>
        <v>MMM 2010</v>
      </c>
      <c r="I999" s="10" t="str">
        <f>'(FnCalls 1)'!F48</f>
        <v>MMM 2010</v>
      </c>
      <c r="J999" s="10" t="str">
        <f>'(FnCalls 1)'!F49</f>
        <v>MMM 2010</v>
      </c>
      <c r="K999" s="10" t="str">
        <f>'(FnCalls 1)'!F50</f>
        <v>MMM 2010</v>
      </c>
      <c r="L999" s="10" t="str">
        <f>'(FnCalls 1)'!F51</f>
        <v>MMM 2010</v>
      </c>
      <c r="M999" s="10" t="str">
        <f>'(FnCalls 1)'!F52</f>
        <v>MMM 2010</v>
      </c>
      <c r="N999" s="10" t="str">
        <f>'(FnCalls 1)'!F53</f>
        <v>MMM 2011</v>
      </c>
      <c r="O999" s="10" t="str">
        <f>'(FnCalls 1)'!F54</f>
        <v>MMM 2011</v>
      </c>
      <c r="P999" s="10" t="str">
        <f>'(FnCalls 1)'!F55</f>
        <v>MMM 2011</v>
      </c>
      <c r="Q999" s="10" t="str">
        <f>'(FnCalls 1)'!F56</f>
        <v>MMM 2011</v>
      </c>
      <c r="R999" s="10" t="str">
        <f>'(FnCalls 1)'!F57</f>
        <v>MMM 2011</v>
      </c>
      <c r="S999" s="11" t="str">
        <f>'(FnCalls 1)'!F58</f>
        <v>MMM 2011</v>
      </c>
    </row>
    <row r="1000" spans="1:19" ht="12.75" customHeight="1" x14ac:dyDescent="0.2">
      <c r="A1000" s="182" t="str">
        <f>Labels!B321</f>
        <v>Marketing</v>
      </c>
      <c r="B1000" s="223"/>
      <c r="C1000" s="223"/>
      <c r="D1000" s="223"/>
      <c r="E1000" s="223"/>
      <c r="F1000" s="223"/>
      <c r="G1000" s="223"/>
      <c r="H1000" s="223"/>
      <c r="I1000" s="223"/>
      <c r="J1000" s="223"/>
      <c r="K1000" s="223"/>
      <c r="L1000" s="223"/>
      <c r="M1000" s="223"/>
      <c r="N1000" s="223"/>
      <c r="O1000" s="223"/>
      <c r="P1000" s="223"/>
      <c r="Q1000" s="223"/>
      <c r="R1000" s="223"/>
      <c r="S1000" s="284"/>
    </row>
    <row r="1001" spans="1:19" ht="12.75" customHeight="1" x14ac:dyDescent="0.2">
      <c r="A1001" s="188" t="str">
        <f>"   "&amp;Labels!B393</f>
        <v xml:space="preserve">   Manager</v>
      </c>
      <c r="B1001" s="166">
        <f>Inputs!F197</f>
        <v>0</v>
      </c>
      <c r="C1001" s="166">
        <f>Inputs!G197</f>
        <v>0</v>
      </c>
      <c r="D1001" s="166">
        <f>Inputs!H197</f>
        <v>0</v>
      </c>
      <c r="E1001" s="166">
        <f>Inputs!I197</f>
        <v>0</v>
      </c>
      <c r="F1001" s="166">
        <f>Inputs!J197</f>
        <v>0</v>
      </c>
      <c r="G1001" s="166">
        <f>Inputs!K197</f>
        <v>0</v>
      </c>
      <c r="H1001" s="166">
        <f>Inputs!L197</f>
        <v>0</v>
      </c>
      <c r="I1001" s="166">
        <f>Inputs!M197</f>
        <v>0</v>
      </c>
      <c r="J1001" s="166">
        <f>Inputs!N197</f>
        <v>0</v>
      </c>
      <c r="K1001" s="166">
        <f>Inputs!O197</f>
        <v>0</v>
      </c>
      <c r="L1001" s="166">
        <f>Inputs!P197</f>
        <v>0</v>
      </c>
      <c r="M1001" s="166">
        <f>Inputs!Q197</f>
        <v>0</v>
      </c>
      <c r="N1001" s="166">
        <f>Inputs!R197</f>
        <v>0</v>
      </c>
      <c r="O1001" s="166">
        <f>Inputs!S197</f>
        <v>0</v>
      </c>
      <c r="P1001" s="166">
        <f>Inputs!T197</f>
        <v>0</v>
      </c>
      <c r="Q1001" s="166">
        <f>Inputs!U197</f>
        <v>0</v>
      </c>
      <c r="R1001" s="166">
        <f>Inputs!V197</f>
        <v>0</v>
      </c>
      <c r="S1001" s="285">
        <f>Inputs!W197</f>
        <v>0</v>
      </c>
    </row>
    <row r="1002" spans="1:19" ht="12.75" customHeight="1" x14ac:dyDescent="0.2">
      <c r="A1002" s="188" t="str">
        <f>"   "&amp;Labels!B394</f>
        <v xml:space="preserve">   Contributor</v>
      </c>
      <c r="B1002" s="166">
        <f>Inputs!F198</f>
        <v>0</v>
      </c>
      <c r="C1002" s="166">
        <f>Inputs!G198</f>
        <v>0</v>
      </c>
      <c r="D1002" s="166">
        <f>Inputs!H198</f>
        <v>0</v>
      </c>
      <c r="E1002" s="166">
        <f>Inputs!I198</f>
        <v>0</v>
      </c>
      <c r="F1002" s="166">
        <f>Inputs!J198</f>
        <v>0</v>
      </c>
      <c r="G1002" s="166">
        <f>Inputs!K198</f>
        <v>0</v>
      </c>
      <c r="H1002" s="166">
        <f>Inputs!L198</f>
        <v>0</v>
      </c>
      <c r="I1002" s="166">
        <f>Inputs!M198</f>
        <v>0</v>
      </c>
      <c r="J1002" s="166">
        <f>Inputs!N198</f>
        <v>0</v>
      </c>
      <c r="K1002" s="166">
        <f>Inputs!O198</f>
        <v>0</v>
      </c>
      <c r="L1002" s="166">
        <f>Inputs!P198</f>
        <v>0</v>
      </c>
      <c r="M1002" s="166">
        <f>Inputs!Q198</f>
        <v>0</v>
      </c>
      <c r="N1002" s="166">
        <f>Inputs!R198</f>
        <v>0</v>
      </c>
      <c r="O1002" s="166">
        <f>Inputs!S198</f>
        <v>0</v>
      </c>
      <c r="P1002" s="166">
        <f>Inputs!T198</f>
        <v>0</v>
      </c>
      <c r="Q1002" s="166">
        <f>Inputs!U198</f>
        <v>0</v>
      </c>
      <c r="R1002" s="166">
        <f>Inputs!V198</f>
        <v>0</v>
      </c>
      <c r="S1002" s="285">
        <f>Inputs!W198</f>
        <v>0</v>
      </c>
    </row>
    <row r="1003" spans="1:19" ht="12.75" customHeight="1" x14ac:dyDescent="0.2">
      <c r="A1003" s="191" t="str">
        <f>"   "&amp;Labels!C392</f>
        <v xml:space="preserve">   Total</v>
      </c>
      <c r="B1003" s="216">
        <f t="shared" ref="B1003:S1003" si="562">SUM(B1001:B1002)</f>
        <v>0</v>
      </c>
      <c r="C1003" s="216">
        <f t="shared" si="562"/>
        <v>0</v>
      </c>
      <c r="D1003" s="216">
        <f t="shared" si="562"/>
        <v>0</v>
      </c>
      <c r="E1003" s="216">
        <f t="shared" si="562"/>
        <v>0</v>
      </c>
      <c r="F1003" s="216">
        <f t="shared" si="562"/>
        <v>0</v>
      </c>
      <c r="G1003" s="216">
        <f t="shared" si="562"/>
        <v>0</v>
      </c>
      <c r="H1003" s="216">
        <f t="shared" si="562"/>
        <v>0</v>
      </c>
      <c r="I1003" s="216">
        <f t="shared" si="562"/>
        <v>0</v>
      </c>
      <c r="J1003" s="216">
        <f t="shared" si="562"/>
        <v>0</v>
      </c>
      <c r="K1003" s="216">
        <f t="shared" si="562"/>
        <v>0</v>
      </c>
      <c r="L1003" s="216">
        <f t="shared" si="562"/>
        <v>0</v>
      </c>
      <c r="M1003" s="216">
        <f t="shared" si="562"/>
        <v>0</v>
      </c>
      <c r="N1003" s="216">
        <f t="shared" si="562"/>
        <v>0</v>
      </c>
      <c r="O1003" s="216">
        <f t="shared" si="562"/>
        <v>0</v>
      </c>
      <c r="P1003" s="216">
        <f t="shared" si="562"/>
        <v>0</v>
      </c>
      <c r="Q1003" s="216">
        <f t="shared" si="562"/>
        <v>0</v>
      </c>
      <c r="R1003" s="216">
        <f t="shared" si="562"/>
        <v>0</v>
      </c>
      <c r="S1003" s="287">
        <f t="shared" si="562"/>
        <v>0</v>
      </c>
    </row>
    <row r="1004" spans="1:19" ht="12.75" customHeight="1" x14ac:dyDescent="0.2">
      <c r="A1004" s="191" t="str">
        <f>Labels!B322</f>
        <v>Sales</v>
      </c>
      <c r="B1004" s="216"/>
      <c r="C1004" s="216"/>
      <c r="D1004" s="216"/>
      <c r="E1004" s="216"/>
      <c r="F1004" s="216"/>
      <c r="G1004" s="216"/>
      <c r="H1004" s="216"/>
      <c r="I1004" s="216"/>
      <c r="J1004" s="216"/>
      <c r="K1004" s="216"/>
      <c r="L1004" s="216"/>
      <c r="M1004" s="216"/>
      <c r="N1004" s="216"/>
      <c r="O1004" s="216"/>
      <c r="P1004" s="216"/>
      <c r="Q1004" s="216"/>
      <c r="R1004" s="216"/>
      <c r="S1004" s="287"/>
    </row>
    <row r="1005" spans="1:19" ht="12.75" customHeight="1" x14ac:dyDescent="0.2">
      <c r="A1005" s="188" t="str">
        <f>"   "&amp;Labels!B393</f>
        <v xml:space="preserve">   Manager</v>
      </c>
      <c r="B1005" s="166">
        <f>Inputs!F199</f>
        <v>0</v>
      </c>
      <c r="C1005" s="166">
        <f>Inputs!G199</f>
        <v>0</v>
      </c>
      <c r="D1005" s="166">
        <f>Inputs!H199</f>
        <v>0</v>
      </c>
      <c r="E1005" s="166">
        <f>Inputs!I199</f>
        <v>0</v>
      </c>
      <c r="F1005" s="166">
        <f>Inputs!J199</f>
        <v>0</v>
      </c>
      <c r="G1005" s="166">
        <f>Inputs!K199</f>
        <v>0</v>
      </c>
      <c r="H1005" s="166">
        <f>Inputs!L199</f>
        <v>0</v>
      </c>
      <c r="I1005" s="166">
        <f>Inputs!M199</f>
        <v>0</v>
      </c>
      <c r="J1005" s="166">
        <f>Inputs!N199</f>
        <v>0</v>
      </c>
      <c r="K1005" s="166">
        <f>Inputs!O199</f>
        <v>0</v>
      </c>
      <c r="L1005" s="166">
        <f>Inputs!P199</f>
        <v>0</v>
      </c>
      <c r="M1005" s="166">
        <f>Inputs!Q199</f>
        <v>0</v>
      </c>
      <c r="N1005" s="166">
        <f>Inputs!R199</f>
        <v>0</v>
      </c>
      <c r="O1005" s="166">
        <f>Inputs!S199</f>
        <v>0</v>
      </c>
      <c r="P1005" s="166">
        <f>Inputs!T199</f>
        <v>0</v>
      </c>
      <c r="Q1005" s="166">
        <f>Inputs!U199</f>
        <v>0</v>
      </c>
      <c r="R1005" s="166">
        <f>Inputs!V199</f>
        <v>0</v>
      </c>
      <c r="S1005" s="285">
        <f>Inputs!W199</f>
        <v>0</v>
      </c>
    </row>
    <row r="1006" spans="1:19" ht="12.75" customHeight="1" x14ac:dyDescent="0.2">
      <c r="A1006" s="188" t="str">
        <f>"   "&amp;Labels!B394</f>
        <v xml:space="preserve">   Contributor</v>
      </c>
      <c r="B1006" s="166">
        <f>Inputs!F200</f>
        <v>0</v>
      </c>
      <c r="C1006" s="166">
        <f>Inputs!G200</f>
        <v>0</v>
      </c>
      <c r="D1006" s="166">
        <f>Inputs!H200</f>
        <v>0</v>
      </c>
      <c r="E1006" s="166">
        <f>Inputs!I200</f>
        <v>0</v>
      </c>
      <c r="F1006" s="166">
        <f>Inputs!J200</f>
        <v>0</v>
      </c>
      <c r="G1006" s="166">
        <f>Inputs!K200</f>
        <v>0</v>
      </c>
      <c r="H1006" s="166">
        <f>Inputs!L200</f>
        <v>0</v>
      </c>
      <c r="I1006" s="166">
        <f>Inputs!M200</f>
        <v>0</v>
      </c>
      <c r="J1006" s="166">
        <f>Inputs!N200</f>
        <v>0</v>
      </c>
      <c r="K1006" s="166">
        <f>Inputs!O200</f>
        <v>0</v>
      </c>
      <c r="L1006" s="166">
        <f>Inputs!P200</f>
        <v>0</v>
      </c>
      <c r="M1006" s="166">
        <f>Inputs!Q200</f>
        <v>0</v>
      </c>
      <c r="N1006" s="166">
        <f>Inputs!R200</f>
        <v>0</v>
      </c>
      <c r="O1006" s="166">
        <f>Inputs!S200</f>
        <v>0</v>
      </c>
      <c r="P1006" s="166">
        <f>Inputs!T200</f>
        <v>0</v>
      </c>
      <c r="Q1006" s="166">
        <f>Inputs!U200</f>
        <v>0</v>
      </c>
      <c r="R1006" s="166">
        <f>Inputs!V200</f>
        <v>0</v>
      </c>
      <c r="S1006" s="285">
        <f>Inputs!W200</f>
        <v>0</v>
      </c>
    </row>
    <row r="1007" spans="1:19" ht="12.75" customHeight="1" x14ac:dyDescent="0.2">
      <c r="A1007" s="191" t="str">
        <f>"   "&amp;Labels!C392</f>
        <v xml:space="preserve">   Total</v>
      </c>
      <c r="B1007" s="216">
        <f t="shared" ref="B1007:S1007" si="563">SUM(B1005:B1006)</f>
        <v>0</v>
      </c>
      <c r="C1007" s="216">
        <f t="shared" si="563"/>
        <v>0</v>
      </c>
      <c r="D1007" s="216">
        <f t="shared" si="563"/>
        <v>0</v>
      </c>
      <c r="E1007" s="216">
        <f t="shared" si="563"/>
        <v>0</v>
      </c>
      <c r="F1007" s="216">
        <f t="shared" si="563"/>
        <v>0</v>
      </c>
      <c r="G1007" s="216">
        <f t="shared" si="563"/>
        <v>0</v>
      </c>
      <c r="H1007" s="216">
        <f t="shared" si="563"/>
        <v>0</v>
      </c>
      <c r="I1007" s="216">
        <f t="shared" si="563"/>
        <v>0</v>
      </c>
      <c r="J1007" s="216">
        <f t="shared" si="563"/>
        <v>0</v>
      </c>
      <c r="K1007" s="216">
        <f t="shared" si="563"/>
        <v>0</v>
      </c>
      <c r="L1007" s="216">
        <f t="shared" si="563"/>
        <v>0</v>
      </c>
      <c r="M1007" s="216">
        <f t="shared" si="563"/>
        <v>0</v>
      </c>
      <c r="N1007" s="216">
        <f t="shared" si="563"/>
        <v>0</v>
      </c>
      <c r="O1007" s="216">
        <f t="shared" si="563"/>
        <v>0</v>
      </c>
      <c r="P1007" s="216">
        <f t="shared" si="563"/>
        <v>0</v>
      </c>
      <c r="Q1007" s="216">
        <f t="shared" si="563"/>
        <v>0</v>
      </c>
      <c r="R1007" s="216">
        <f t="shared" si="563"/>
        <v>0</v>
      </c>
      <c r="S1007" s="287">
        <f t="shared" si="563"/>
        <v>0</v>
      </c>
    </row>
    <row r="1008" spans="1:19" ht="12.75" customHeight="1" x14ac:dyDescent="0.2">
      <c r="A1008" s="97" t="str">
        <f>Labels!C320</f>
        <v>Total</v>
      </c>
      <c r="B1008" s="374">
        <f t="shared" ref="B1008:S1008" si="564">SUM(B1003,B1007)</f>
        <v>0</v>
      </c>
      <c r="C1008" s="374">
        <f t="shared" si="564"/>
        <v>0</v>
      </c>
      <c r="D1008" s="374">
        <f t="shared" si="564"/>
        <v>0</v>
      </c>
      <c r="E1008" s="374">
        <f t="shared" si="564"/>
        <v>0</v>
      </c>
      <c r="F1008" s="374">
        <f t="shared" si="564"/>
        <v>0</v>
      </c>
      <c r="G1008" s="374">
        <f t="shared" si="564"/>
        <v>0</v>
      </c>
      <c r="H1008" s="374">
        <f t="shared" si="564"/>
        <v>0</v>
      </c>
      <c r="I1008" s="374">
        <f t="shared" si="564"/>
        <v>0</v>
      </c>
      <c r="J1008" s="374">
        <f t="shared" si="564"/>
        <v>0</v>
      </c>
      <c r="K1008" s="374">
        <f t="shared" si="564"/>
        <v>0</v>
      </c>
      <c r="L1008" s="374">
        <f t="shared" si="564"/>
        <v>0</v>
      </c>
      <c r="M1008" s="374">
        <f t="shared" si="564"/>
        <v>0</v>
      </c>
      <c r="N1008" s="374">
        <f t="shared" si="564"/>
        <v>0</v>
      </c>
      <c r="O1008" s="374">
        <f t="shared" si="564"/>
        <v>0</v>
      </c>
      <c r="P1008" s="374">
        <f t="shared" si="564"/>
        <v>0</v>
      </c>
      <c r="Q1008" s="374">
        <f t="shared" si="564"/>
        <v>0</v>
      </c>
      <c r="R1008" s="374">
        <f t="shared" si="564"/>
        <v>0</v>
      </c>
      <c r="S1008" s="403">
        <f t="shared" si="564"/>
        <v>0</v>
      </c>
    </row>
    <row r="1009" spans="1:19" ht="12.75" customHeight="1" x14ac:dyDescent="0.2">
      <c r="A1009" s="188" t="str">
        <f>"   "&amp;Labels!B393</f>
        <v xml:space="preserve">   Manager</v>
      </c>
      <c r="B1009" s="166">
        <f t="shared" ref="B1009:S1009" si="565">SUM(B1001,B1005)</f>
        <v>0</v>
      </c>
      <c r="C1009" s="166">
        <f t="shared" si="565"/>
        <v>0</v>
      </c>
      <c r="D1009" s="166">
        <f t="shared" si="565"/>
        <v>0</v>
      </c>
      <c r="E1009" s="166">
        <f t="shared" si="565"/>
        <v>0</v>
      </c>
      <c r="F1009" s="166">
        <f t="shared" si="565"/>
        <v>0</v>
      </c>
      <c r="G1009" s="166">
        <f t="shared" si="565"/>
        <v>0</v>
      </c>
      <c r="H1009" s="166">
        <f t="shared" si="565"/>
        <v>0</v>
      </c>
      <c r="I1009" s="166">
        <f t="shared" si="565"/>
        <v>0</v>
      </c>
      <c r="J1009" s="166">
        <f t="shared" si="565"/>
        <v>0</v>
      </c>
      <c r="K1009" s="166">
        <f t="shared" si="565"/>
        <v>0</v>
      </c>
      <c r="L1009" s="166">
        <f t="shared" si="565"/>
        <v>0</v>
      </c>
      <c r="M1009" s="166">
        <f t="shared" si="565"/>
        <v>0</v>
      </c>
      <c r="N1009" s="166">
        <f t="shared" si="565"/>
        <v>0</v>
      </c>
      <c r="O1009" s="166">
        <f t="shared" si="565"/>
        <v>0</v>
      </c>
      <c r="P1009" s="166">
        <f t="shared" si="565"/>
        <v>0</v>
      </c>
      <c r="Q1009" s="166">
        <f t="shared" si="565"/>
        <v>0</v>
      </c>
      <c r="R1009" s="166">
        <f t="shared" si="565"/>
        <v>0</v>
      </c>
      <c r="S1009" s="285">
        <f t="shared" si="565"/>
        <v>0</v>
      </c>
    </row>
    <row r="1010" spans="1:19" ht="12.75" customHeight="1" x14ac:dyDescent="0.2">
      <c r="A1010" s="188" t="str">
        <f>"   "&amp;Labels!B394</f>
        <v xml:space="preserve">   Contributor</v>
      </c>
      <c r="B1010" s="166">
        <f t="shared" ref="B1010:S1010" si="566">SUM(B1002,B1006)</f>
        <v>0</v>
      </c>
      <c r="C1010" s="166">
        <f t="shared" si="566"/>
        <v>0</v>
      </c>
      <c r="D1010" s="166">
        <f t="shared" si="566"/>
        <v>0</v>
      </c>
      <c r="E1010" s="166">
        <f t="shared" si="566"/>
        <v>0</v>
      </c>
      <c r="F1010" s="166">
        <f t="shared" si="566"/>
        <v>0</v>
      </c>
      <c r="G1010" s="166">
        <f t="shared" si="566"/>
        <v>0</v>
      </c>
      <c r="H1010" s="166">
        <f t="shared" si="566"/>
        <v>0</v>
      </c>
      <c r="I1010" s="166">
        <f t="shared" si="566"/>
        <v>0</v>
      </c>
      <c r="J1010" s="166">
        <f t="shared" si="566"/>
        <v>0</v>
      </c>
      <c r="K1010" s="166">
        <f t="shared" si="566"/>
        <v>0</v>
      </c>
      <c r="L1010" s="166">
        <f t="shared" si="566"/>
        <v>0</v>
      </c>
      <c r="M1010" s="166">
        <f t="shared" si="566"/>
        <v>0</v>
      </c>
      <c r="N1010" s="166">
        <f t="shared" si="566"/>
        <v>0</v>
      </c>
      <c r="O1010" s="166">
        <f t="shared" si="566"/>
        <v>0</v>
      </c>
      <c r="P1010" s="166">
        <f t="shared" si="566"/>
        <v>0</v>
      </c>
      <c r="Q1010" s="166">
        <f t="shared" si="566"/>
        <v>0</v>
      </c>
      <c r="R1010" s="166">
        <f t="shared" si="566"/>
        <v>0</v>
      </c>
      <c r="S1010" s="285">
        <f t="shared" si="566"/>
        <v>0</v>
      </c>
    </row>
    <row r="1011" spans="1:19" ht="12.75" customHeight="1" x14ac:dyDescent="0.2">
      <c r="A1011" s="185" t="str">
        <f>"   "&amp;Labels!C392</f>
        <v xml:space="preserve">   Total</v>
      </c>
      <c r="B1011" s="297">
        <f t="shared" ref="B1011:S1011" si="567">SUM(B1003,B1007)</f>
        <v>0</v>
      </c>
      <c r="C1011" s="297">
        <f t="shared" si="567"/>
        <v>0</v>
      </c>
      <c r="D1011" s="297">
        <f t="shared" si="567"/>
        <v>0</v>
      </c>
      <c r="E1011" s="297">
        <f t="shared" si="567"/>
        <v>0</v>
      </c>
      <c r="F1011" s="297">
        <f t="shared" si="567"/>
        <v>0</v>
      </c>
      <c r="G1011" s="297">
        <f t="shared" si="567"/>
        <v>0</v>
      </c>
      <c r="H1011" s="297">
        <f t="shared" si="567"/>
        <v>0</v>
      </c>
      <c r="I1011" s="297">
        <f t="shared" si="567"/>
        <v>0</v>
      </c>
      <c r="J1011" s="297">
        <f t="shared" si="567"/>
        <v>0</v>
      </c>
      <c r="K1011" s="297">
        <f t="shared" si="567"/>
        <v>0</v>
      </c>
      <c r="L1011" s="297">
        <f t="shared" si="567"/>
        <v>0</v>
      </c>
      <c r="M1011" s="297">
        <f t="shared" si="567"/>
        <v>0</v>
      </c>
      <c r="N1011" s="297">
        <f t="shared" si="567"/>
        <v>0</v>
      </c>
      <c r="O1011" s="297">
        <f t="shared" si="567"/>
        <v>0</v>
      </c>
      <c r="P1011" s="297">
        <f t="shared" si="567"/>
        <v>0</v>
      </c>
      <c r="Q1011" s="297">
        <f t="shared" si="567"/>
        <v>0</v>
      </c>
      <c r="R1011" s="297">
        <f t="shared" si="567"/>
        <v>0</v>
      </c>
      <c r="S1011" s="350">
        <f t="shared" si="567"/>
        <v>0</v>
      </c>
    </row>
    <row r="1012" spans="1:19" ht="12.75" customHeight="1" x14ac:dyDescent="0.2">
      <c r="A1012" s="1" t="str">
        <f>Labels!B200</f>
        <v>Initial Avg Prof Staff Salary (Yr)</v>
      </c>
    </row>
    <row r="1013" spans="1:19" ht="12.75" customHeight="1" x14ac:dyDescent="0.2">
      <c r="B1013" s="9" t="str">
        <f>Labels!B381</f>
        <v>Practice 1</v>
      </c>
      <c r="C1013" s="10" t="str">
        <f>Labels!B382</f>
        <v>Practice 2</v>
      </c>
      <c r="D1013" s="181" t="str">
        <f>Labels!C380</f>
        <v>Total</v>
      </c>
    </row>
    <row r="1014" spans="1:19" ht="12.75" customHeight="1" x14ac:dyDescent="0.2">
      <c r="A1014" s="182" t="str">
        <f>Labels!B385</f>
        <v>Prof Level 1</v>
      </c>
      <c r="B1014" s="183">
        <f>Inputs!F208</f>
        <v>100000</v>
      </c>
      <c r="C1014" s="183">
        <f>Inputs!G208</f>
        <v>100000</v>
      </c>
      <c r="D1014" s="184">
        <f>AVERAGE(B1014:C1014)</f>
        <v>100000</v>
      </c>
    </row>
    <row r="1015" spans="1:19" ht="12.75" customHeight="1" x14ac:dyDescent="0.2">
      <c r="A1015" s="191" t="str">
        <f>Labels!B386</f>
        <v>Prof Level 2</v>
      </c>
      <c r="B1015" s="192">
        <f>Inputs!F209</f>
        <v>100000</v>
      </c>
      <c r="C1015" s="192">
        <f>Inputs!G209</f>
        <v>100000</v>
      </c>
      <c r="D1015" s="190">
        <f>AVERAGE(B1015:C1015)</f>
        <v>100000</v>
      </c>
    </row>
    <row r="1016" spans="1:19" ht="12.75" customHeight="1" x14ac:dyDescent="0.2">
      <c r="A1016" s="97" t="str">
        <f>Labels!C384</f>
        <v>Total</v>
      </c>
      <c r="B1016" s="194">
        <f>AVERAGE(B1014:B1015)</f>
        <v>100000</v>
      </c>
      <c r="C1016" s="194">
        <f>AVERAGE(C1014:C1015)</f>
        <v>100000</v>
      </c>
      <c r="D1016" s="195">
        <f>AVERAGE(B1016:C1016)</f>
        <v>100000</v>
      </c>
    </row>
    <row r="1017" spans="1:19" ht="12.75" customHeight="1" x14ac:dyDescent="0.2">
      <c r="A1017" s="1" t="str">
        <f>Labels!B168</f>
        <v>Prof Staff Bonus %</v>
      </c>
    </row>
    <row r="1018" spans="1:19" ht="12.75" customHeight="1" x14ac:dyDescent="0.2">
      <c r="B1018" s="9" t="str">
        <f>'(FnCalls 1)'!F41</f>
        <v>MMM 2010</v>
      </c>
      <c r="C1018" s="10" t="str">
        <f>'(FnCalls 1)'!F42</f>
        <v>MMM 2010</v>
      </c>
      <c r="D1018" s="10" t="str">
        <f>'(FnCalls 1)'!F43</f>
        <v>MMM 2010</v>
      </c>
      <c r="E1018" s="10" t="str">
        <f>'(FnCalls 1)'!F44</f>
        <v>MMM 2010</v>
      </c>
      <c r="F1018" s="10" t="str">
        <f>'(FnCalls 1)'!F45</f>
        <v>MMM 2010</v>
      </c>
      <c r="G1018" s="10" t="str">
        <f>'(FnCalls 1)'!F46</f>
        <v>MMM 2010</v>
      </c>
      <c r="H1018" s="10" t="str">
        <f>'(FnCalls 1)'!F47</f>
        <v>MMM 2010</v>
      </c>
      <c r="I1018" s="10" t="str">
        <f>'(FnCalls 1)'!F48</f>
        <v>MMM 2010</v>
      </c>
      <c r="J1018" s="10" t="str">
        <f>'(FnCalls 1)'!F49</f>
        <v>MMM 2010</v>
      </c>
      <c r="K1018" s="10" t="str">
        <f>'(FnCalls 1)'!F50</f>
        <v>MMM 2010</v>
      </c>
      <c r="L1018" s="10" t="str">
        <f>'(FnCalls 1)'!F51</f>
        <v>MMM 2010</v>
      </c>
      <c r="M1018" s="10" t="str">
        <f>'(FnCalls 1)'!F52</f>
        <v>MMM 2010</v>
      </c>
      <c r="N1018" s="10" t="str">
        <f>'(FnCalls 1)'!F53</f>
        <v>MMM 2011</v>
      </c>
      <c r="O1018" s="10" t="str">
        <f>'(FnCalls 1)'!F54</f>
        <v>MMM 2011</v>
      </c>
      <c r="P1018" s="10" t="str">
        <f>'(FnCalls 1)'!F55</f>
        <v>MMM 2011</v>
      </c>
      <c r="Q1018" s="10" t="str">
        <f>'(FnCalls 1)'!F56</f>
        <v>MMM 2011</v>
      </c>
      <c r="R1018" s="10" t="str">
        <f>'(FnCalls 1)'!F57</f>
        <v>MMM 2011</v>
      </c>
      <c r="S1018" s="11" t="str">
        <f>'(FnCalls 1)'!F58</f>
        <v>MMM 2011</v>
      </c>
    </row>
    <row r="1019" spans="1:19" ht="12.75" customHeight="1" x14ac:dyDescent="0.2">
      <c r="A1019" s="182" t="str">
        <f>Labels!B381</f>
        <v>Practice 1</v>
      </c>
      <c r="B1019" s="207"/>
      <c r="C1019" s="207"/>
      <c r="D1019" s="207"/>
      <c r="E1019" s="207"/>
      <c r="F1019" s="207"/>
      <c r="G1019" s="207"/>
      <c r="H1019" s="207"/>
      <c r="I1019" s="207"/>
      <c r="J1019" s="207"/>
      <c r="K1019" s="207"/>
      <c r="L1019" s="207"/>
      <c r="M1019" s="207"/>
      <c r="N1019" s="207"/>
      <c r="O1019" s="207"/>
      <c r="P1019" s="207"/>
      <c r="Q1019" s="207"/>
      <c r="R1019" s="207"/>
      <c r="S1019" s="391"/>
    </row>
    <row r="1020" spans="1:19" ht="12.75" customHeight="1" x14ac:dyDescent="0.2">
      <c r="A1020" s="188" t="str">
        <f>"   "&amp;Labels!B385</f>
        <v xml:space="preserve">   Prof Level 1</v>
      </c>
      <c r="B1020" s="218">
        <f>Inputs!F215</f>
        <v>0</v>
      </c>
      <c r="C1020" s="218">
        <f>Inputs!G215</f>
        <v>0</v>
      </c>
      <c r="D1020" s="218">
        <f>Inputs!H215</f>
        <v>0</v>
      </c>
      <c r="E1020" s="218">
        <f>Inputs!I215</f>
        <v>0</v>
      </c>
      <c r="F1020" s="218">
        <f>Inputs!J215</f>
        <v>0</v>
      </c>
      <c r="G1020" s="218">
        <f>Inputs!K215</f>
        <v>0</v>
      </c>
      <c r="H1020" s="218">
        <f>Inputs!L215</f>
        <v>0</v>
      </c>
      <c r="I1020" s="218">
        <f>Inputs!M215</f>
        <v>0</v>
      </c>
      <c r="J1020" s="218">
        <f>Inputs!N215</f>
        <v>0</v>
      </c>
      <c r="K1020" s="218">
        <f>Inputs!O215</f>
        <v>0</v>
      </c>
      <c r="L1020" s="218">
        <f>Inputs!P215</f>
        <v>0</v>
      </c>
      <c r="M1020" s="218">
        <f>Inputs!Q215</f>
        <v>0</v>
      </c>
      <c r="N1020" s="218">
        <f>Inputs!R215</f>
        <v>0</v>
      </c>
      <c r="O1020" s="218">
        <f>Inputs!S215</f>
        <v>0</v>
      </c>
      <c r="P1020" s="218">
        <f>Inputs!T215</f>
        <v>0</v>
      </c>
      <c r="Q1020" s="218">
        <f>Inputs!U215</f>
        <v>0</v>
      </c>
      <c r="R1020" s="218">
        <f>Inputs!V215</f>
        <v>0</v>
      </c>
      <c r="S1020" s="392">
        <f>Inputs!W215</f>
        <v>0</v>
      </c>
    </row>
    <row r="1021" spans="1:19" ht="12.75" customHeight="1" x14ac:dyDescent="0.2">
      <c r="A1021" s="188" t="str">
        <f>"   "&amp;Labels!B386</f>
        <v xml:space="preserve">   Prof Level 2</v>
      </c>
      <c r="B1021" s="218">
        <f>Inputs!F216</f>
        <v>0</v>
      </c>
      <c r="C1021" s="218">
        <f>Inputs!G216</f>
        <v>0</v>
      </c>
      <c r="D1021" s="218">
        <f>Inputs!H216</f>
        <v>0</v>
      </c>
      <c r="E1021" s="218">
        <f>Inputs!I216</f>
        <v>0</v>
      </c>
      <c r="F1021" s="218">
        <f>Inputs!J216</f>
        <v>0</v>
      </c>
      <c r="G1021" s="218">
        <f>Inputs!K216</f>
        <v>0</v>
      </c>
      <c r="H1021" s="218">
        <f>Inputs!L216</f>
        <v>0</v>
      </c>
      <c r="I1021" s="218">
        <f>Inputs!M216</f>
        <v>0</v>
      </c>
      <c r="J1021" s="218">
        <f>Inputs!N216</f>
        <v>0</v>
      </c>
      <c r="K1021" s="218">
        <f>Inputs!O216</f>
        <v>0</v>
      </c>
      <c r="L1021" s="218">
        <f>Inputs!P216</f>
        <v>0</v>
      </c>
      <c r="M1021" s="218">
        <f>Inputs!Q216</f>
        <v>0</v>
      </c>
      <c r="N1021" s="218">
        <f>Inputs!R216</f>
        <v>0</v>
      </c>
      <c r="O1021" s="218">
        <f>Inputs!S216</f>
        <v>0</v>
      </c>
      <c r="P1021" s="218">
        <f>Inputs!T216</f>
        <v>0</v>
      </c>
      <c r="Q1021" s="218">
        <f>Inputs!U216</f>
        <v>0</v>
      </c>
      <c r="R1021" s="218">
        <f>Inputs!V216</f>
        <v>0</v>
      </c>
      <c r="S1021" s="392">
        <f>Inputs!W216</f>
        <v>0</v>
      </c>
    </row>
    <row r="1022" spans="1:19" ht="12.75" customHeight="1" x14ac:dyDescent="0.2">
      <c r="A1022" s="191" t="str">
        <f>"   "&amp;Labels!C384</f>
        <v xml:space="preserve">   Total</v>
      </c>
      <c r="B1022" s="211">
        <f t="shared" ref="B1022:S1022" si="568">AVERAGE(B1020:B1021)</f>
        <v>0</v>
      </c>
      <c r="C1022" s="211">
        <f t="shared" si="568"/>
        <v>0</v>
      </c>
      <c r="D1022" s="211">
        <f t="shared" si="568"/>
        <v>0</v>
      </c>
      <c r="E1022" s="211">
        <f t="shared" si="568"/>
        <v>0</v>
      </c>
      <c r="F1022" s="211">
        <f t="shared" si="568"/>
        <v>0</v>
      </c>
      <c r="G1022" s="211">
        <f t="shared" si="568"/>
        <v>0</v>
      </c>
      <c r="H1022" s="211">
        <f t="shared" si="568"/>
        <v>0</v>
      </c>
      <c r="I1022" s="211">
        <f t="shared" si="568"/>
        <v>0</v>
      </c>
      <c r="J1022" s="211">
        <f t="shared" si="568"/>
        <v>0</v>
      </c>
      <c r="K1022" s="211">
        <f t="shared" si="568"/>
        <v>0</v>
      </c>
      <c r="L1022" s="211">
        <f t="shared" si="568"/>
        <v>0</v>
      </c>
      <c r="M1022" s="211">
        <f t="shared" si="568"/>
        <v>0</v>
      </c>
      <c r="N1022" s="211">
        <f t="shared" si="568"/>
        <v>0</v>
      </c>
      <c r="O1022" s="211">
        <f t="shared" si="568"/>
        <v>0</v>
      </c>
      <c r="P1022" s="211">
        <f t="shared" si="568"/>
        <v>0</v>
      </c>
      <c r="Q1022" s="211">
        <f t="shared" si="568"/>
        <v>0</v>
      </c>
      <c r="R1022" s="211">
        <f t="shared" si="568"/>
        <v>0</v>
      </c>
      <c r="S1022" s="395">
        <f t="shared" si="568"/>
        <v>0</v>
      </c>
    </row>
    <row r="1023" spans="1:19" ht="12.75" customHeight="1" x14ac:dyDescent="0.2">
      <c r="A1023" s="191" t="str">
        <f>Labels!B382</f>
        <v>Practice 2</v>
      </c>
      <c r="B1023" s="211"/>
      <c r="C1023" s="211"/>
      <c r="D1023" s="211"/>
      <c r="E1023" s="211"/>
      <c r="F1023" s="211"/>
      <c r="G1023" s="211"/>
      <c r="H1023" s="211"/>
      <c r="I1023" s="211"/>
      <c r="J1023" s="211"/>
      <c r="K1023" s="211"/>
      <c r="L1023" s="211"/>
      <c r="M1023" s="211"/>
      <c r="N1023" s="211"/>
      <c r="O1023" s="211"/>
      <c r="P1023" s="211"/>
      <c r="Q1023" s="211"/>
      <c r="R1023" s="211"/>
      <c r="S1023" s="395"/>
    </row>
    <row r="1024" spans="1:19" ht="12.75" customHeight="1" x14ac:dyDescent="0.2">
      <c r="A1024" s="188" t="str">
        <f>"   "&amp;Labels!B385</f>
        <v xml:space="preserve">   Prof Level 1</v>
      </c>
      <c r="B1024" s="218">
        <f>Inputs!F217</f>
        <v>0</v>
      </c>
      <c r="C1024" s="218">
        <f>Inputs!G217</f>
        <v>0</v>
      </c>
      <c r="D1024" s="218">
        <f>Inputs!H217</f>
        <v>0</v>
      </c>
      <c r="E1024" s="218">
        <f>Inputs!I217</f>
        <v>0</v>
      </c>
      <c r="F1024" s="218">
        <f>Inputs!J217</f>
        <v>0</v>
      </c>
      <c r="G1024" s="218">
        <f>Inputs!K217</f>
        <v>0</v>
      </c>
      <c r="H1024" s="218">
        <f>Inputs!L217</f>
        <v>0</v>
      </c>
      <c r="I1024" s="218">
        <f>Inputs!M217</f>
        <v>0</v>
      </c>
      <c r="J1024" s="218">
        <f>Inputs!N217</f>
        <v>0</v>
      </c>
      <c r="K1024" s="218">
        <f>Inputs!O217</f>
        <v>0</v>
      </c>
      <c r="L1024" s="218">
        <f>Inputs!P217</f>
        <v>0</v>
      </c>
      <c r="M1024" s="218">
        <f>Inputs!Q217</f>
        <v>0</v>
      </c>
      <c r="N1024" s="218">
        <f>Inputs!R217</f>
        <v>0</v>
      </c>
      <c r="O1024" s="218">
        <f>Inputs!S217</f>
        <v>0</v>
      </c>
      <c r="P1024" s="218">
        <f>Inputs!T217</f>
        <v>0</v>
      </c>
      <c r="Q1024" s="218">
        <f>Inputs!U217</f>
        <v>0</v>
      </c>
      <c r="R1024" s="218">
        <f>Inputs!V217</f>
        <v>0</v>
      </c>
      <c r="S1024" s="392">
        <f>Inputs!W217</f>
        <v>0</v>
      </c>
    </row>
    <row r="1025" spans="1:19" ht="12.75" customHeight="1" x14ac:dyDescent="0.2">
      <c r="A1025" s="188" t="str">
        <f>"   "&amp;Labels!B386</f>
        <v xml:space="preserve">   Prof Level 2</v>
      </c>
      <c r="B1025" s="218">
        <f>Inputs!F218</f>
        <v>0</v>
      </c>
      <c r="C1025" s="218">
        <f>Inputs!G218</f>
        <v>0</v>
      </c>
      <c r="D1025" s="218">
        <f>Inputs!H218</f>
        <v>0</v>
      </c>
      <c r="E1025" s="218">
        <f>Inputs!I218</f>
        <v>0</v>
      </c>
      <c r="F1025" s="218">
        <f>Inputs!J218</f>
        <v>0</v>
      </c>
      <c r="G1025" s="218">
        <f>Inputs!K218</f>
        <v>0</v>
      </c>
      <c r="H1025" s="218">
        <f>Inputs!L218</f>
        <v>0</v>
      </c>
      <c r="I1025" s="218">
        <f>Inputs!M218</f>
        <v>0</v>
      </c>
      <c r="J1025" s="218">
        <f>Inputs!N218</f>
        <v>0</v>
      </c>
      <c r="K1025" s="218">
        <f>Inputs!O218</f>
        <v>0</v>
      </c>
      <c r="L1025" s="218">
        <f>Inputs!P218</f>
        <v>0</v>
      </c>
      <c r="M1025" s="218">
        <f>Inputs!Q218</f>
        <v>0</v>
      </c>
      <c r="N1025" s="218">
        <f>Inputs!R218</f>
        <v>0</v>
      </c>
      <c r="O1025" s="218">
        <f>Inputs!S218</f>
        <v>0</v>
      </c>
      <c r="P1025" s="218">
        <f>Inputs!T218</f>
        <v>0</v>
      </c>
      <c r="Q1025" s="218">
        <f>Inputs!U218</f>
        <v>0</v>
      </c>
      <c r="R1025" s="218">
        <f>Inputs!V218</f>
        <v>0</v>
      </c>
      <c r="S1025" s="392">
        <f>Inputs!W218</f>
        <v>0</v>
      </c>
    </row>
    <row r="1026" spans="1:19" ht="12.75" customHeight="1" x14ac:dyDescent="0.2">
      <c r="A1026" s="191" t="str">
        <f>"   "&amp;Labels!C384</f>
        <v xml:space="preserve">   Total</v>
      </c>
      <c r="B1026" s="211">
        <f t="shared" ref="B1026:S1026" si="569">AVERAGE(B1024:B1025)</f>
        <v>0</v>
      </c>
      <c r="C1026" s="211">
        <f t="shared" si="569"/>
        <v>0</v>
      </c>
      <c r="D1026" s="211">
        <f t="shared" si="569"/>
        <v>0</v>
      </c>
      <c r="E1026" s="211">
        <f t="shared" si="569"/>
        <v>0</v>
      </c>
      <c r="F1026" s="211">
        <f t="shared" si="569"/>
        <v>0</v>
      </c>
      <c r="G1026" s="211">
        <f t="shared" si="569"/>
        <v>0</v>
      </c>
      <c r="H1026" s="211">
        <f t="shared" si="569"/>
        <v>0</v>
      </c>
      <c r="I1026" s="211">
        <f t="shared" si="569"/>
        <v>0</v>
      </c>
      <c r="J1026" s="211">
        <f t="shared" si="569"/>
        <v>0</v>
      </c>
      <c r="K1026" s="211">
        <f t="shared" si="569"/>
        <v>0</v>
      </c>
      <c r="L1026" s="211">
        <f t="shared" si="569"/>
        <v>0</v>
      </c>
      <c r="M1026" s="211">
        <f t="shared" si="569"/>
        <v>0</v>
      </c>
      <c r="N1026" s="211">
        <f t="shared" si="569"/>
        <v>0</v>
      </c>
      <c r="O1026" s="211">
        <f t="shared" si="569"/>
        <v>0</v>
      </c>
      <c r="P1026" s="211">
        <f t="shared" si="569"/>
        <v>0</v>
      </c>
      <c r="Q1026" s="211">
        <f t="shared" si="569"/>
        <v>0</v>
      </c>
      <c r="R1026" s="211">
        <f t="shared" si="569"/>
        <v>0</v>
      </c>
      <c r="S1026" s="395">
        <f t="shared" si="569"/>
        <v>0</v>
      </c>
    </row>
    <row r="1027" spans="1:19" ht="12.75" customHeight="1" x14ac:dyDescent="0.2">
      <c r="A1027" s="97" t="str">
        <f>Labels!C380</f>
        <v>Total</v>
      </c>
      <c r="B1027" s="379">
        <f t="shared" ref="B1027:S1027" si="570">AVERAGE(B1022,B1026)</f>
        <v>0</v>
      </c>
      <c r="C1027" s="379">
        <f t="shared" si="570"/>
        <v>0</v>
      </c>
      <c r="D1027" s="379">
        <f t="shared" si="570"/>
        <v>0</v>
      </c>
      <c r="E1027" s="379">
        <f t="shared" si="570"/>
        <v>0</v>
      </c>
      <c r="F1027" s="379">
        <f t="shared" si="570"/>
        <v>0</v>
      </c>
      <c r="G1027" s="379">
        <f t="shared" si="570"/>
        <v>0</v>
      </c>
      <c r="H1027" s="379">
        <f t="shared" si="570"/>
        <v>0</v>
      </c>
      <c r="I1027" s="379">
        <f t="shared" si="570"/>
        <v>0</v>
      </c>
      <c r="J1027" s="379">
        <f t="shared" si="570"/>
        <v>0</v>
      </c>
      <c r="K1027" s="379">
        <f t="shared" si="570"/>
        <v>0</v>
      </c>
      <c r="L1027" s="379">
        <f t="shared" si="570"/>
        <v>0</v>
      </c>
      <c r="M1027" s="379">
        <f t="shared" si="570"/>
        <v>0</v>
      </c>
      <c r="N1027" s="379">
        <f t="shared" si="570"/>
        <v>0</v>
      </c>
      <c r="O1027" s="379">
        <f t="shared" si="570"/>
        <v>0</v>
      </c>
      <c r="P1027" s="379">
        <f t="shared" si="570"/>
        <v>0</v>
      </c>
      <c r="Q1027" s="379">
        <f t="shared" si="570"/>
        <v>0</v>
      </c>
      <c r="R1027" s="379">
        <f t="shared" si="570"/>
        <v>0</v>
      </c>
      <c r="S1027" s="396">
        <f t="shared" si="570"/>
        <v>0</v>
      </c>
    </row>
    <row r="1028" spans="1:19" ht="12.75" customHeight="1" x14ac:dyDescent="0.2">
      <c r="A1028" s="188" t="str">
        <f>"   "&amp;Labels!B385</f>
        <v xml:space="preserve">   Prof Level 1</v>
      </c>
      <c r="B1028" s="218">
        <f t="shared" ref="B1028:S1028" si="571">AVERAGE(B1020,B1024)</f>
        <v>0</v>
      </c>
      <c r="C1028" s="218">
        <f t="shared" si="571"/>
        <v>0</v>
      </c>
      <c r="D1028" s="218">
        <f t="shared" si="571"/>
        <v>0</v>
      </c>
      <c r="E1028" s="218">
        <f t="shared" si="571"/>
        <v>0</v>
      </c>
      <c r="F1028" s="218">
        <f t="shared" si="571"/>
        <v>0</v>
      </c>
      <c r="G1028" s="218">
        <f t="shared" si="571"/>
        <v>0</v>
      </c>
      <c r="H1028" s="218">
        <f t="shared" si="571"/>
        <v>0</v>
      </c>
      <c r="I1028" s="218">
        <f t="shared" si="571"/>
        <v>0</v>
      </c>
      <c r="J1028" s="218">
        <f t="shared" si="571"/>
        <v>0</v>
      </c>
      <c r="K1028" s="218">
        <f t="shared" si="571"/>
        <v>0</v>
      </c>
      <c r="L1028" s="218">
        <f t="shared" si="571"/>
        <v>0</v>
      </c>
      <c r="M1028" s="218">
        <f t="shared" si="571"/>
        <v>0</v>
      </c>
      <c r="N1028" s="218">
        <f t="shared" si="571"/>
        <v>0</v>
      </c>
      <c r="O1028" s="218">
        <f t="shared" si="571"/>
        <v>0</v>
      </c>
      <c r="P1028" s="218">
        <f t="shared" si="571"/>
        <v>0</v>
      </c>
      <c r="Q1028" s="218">
        <f t="shared" si="571"/>
        <v>0</v>
      </c>
      <c r="R1028" s="218">
        <f t="shared" si="571"/>
        <v>0</v>
      </c>
      <c r="S1028" s="392">
        <f t="shared" si="571"/>
        <v>0</v>
      </c>
    </row>
    <row r="1029" spans="1:19" ht="12.75" customHeight="1" x14ac:dyDescent="0.2">
      <c r="A1029" s="188" t="str">
        <f>"   "&amp;Labels!B386</f>
        <v xml:space="preserve">   Prof Level 2</v>
      </c>
      <c r="B1029" s="218">
        <f t="shared" ref="B1029:S1029" si="572">AVERAGE(B1021,B1025)</f>
        <v>0</v>
      </c>
      <c r="C1029" s="218">
        <f t="shared" si="572"/>
        <v>0</v>
      </c>
      <c r="D1029" s="218">
        <f t="shared" si="572"/>
        <v>0</v>
      </c>
      <c r="E1029" s="218">
        <f t="shared" si="572"/>
        <v>0</v>
      </c>
      <c r="F1029" s="218">
        <f t="shared" si="572"/>
        <v>0</v>
      </c>
      <c r="G1029" s="218">
        <f t="shared" si="572"/>
        <v>0</v>
      </c>
      <c r="H1029" s="218">
        <f t="shared" si="572"/>
        <v>0</v>
      </c>
      <c r="I1029" s="218">
        <f t="shared" si="572"/>
        <v>0</v>
      </c>
      <c r="J1029" s="218">
        <f t="shared" si="572"/>
        <v>0</v>
      </c>
      <c r="K1029" s="218">
        <f t="shared" si="572"/>
        <v>0</v>
      </c>
      <c r="L1029" s="218">
        <f t="shared" si="572"/>
        <v>0</v>
      </c>
      <c r="M1029" s="218">
        <f t="shared" si="572"/>
        <v>0</v>
      </c>
      <c r="N1029" s="218">
        <f t="shared" si="572"/>
        <v>0</v>
      </c>
      <c r="O1029" s="218">
        <f t="shared" si="572"/>
        <v>0</v>
      </c>
      <c r="P1029" s="218">
        <f t="shared" si="572"/>
        <v>0</v>
      </c>
      <c r="Q1029" s="218">
        <f t="shared" si="572"/>
        <v>0</v>
      </c>
      <c r="R1029" s="218">
        <f t="shared" si="572"/>
        <v>0</v>
      </c>
      <c r="S1029" s="392">
        <f t="shared" si="572"/>
        <v>0</v>
      </c>
    </row>
    <row r="1030" spans="1:19" ht="12.75" customHeight="1" x14ac:dyDescent="0.2">
      <c r="A1030" s="185" t="str">
        <f>"   "&amp;Labels!C384</f>
        <v xml:space="preserve">   Total</v>
      </c>
      <c r="B1030" s="186">
        <f t="shared" ref="B1030:S1030" si="573">AVERAGE(B1022,B1026)</f>
        <v>0</v>
      </c>
      <c r="C1030" s="186">
        <f t="shared" si="573"/>
        <v>0</v>
      </c>
      <c r="D1030" s="186">
        <f t="shared" si="573"/>
        <v>0</v>
      </c>
      <c r="E1030" s="186">
        <f t="shared" si="573"/>
        <v>0</v>
      </c>
      <c r="F1030" s="186">
        <f t="shared" si="573"/>
        <v>0</v>
      </c>
      <c r="G1030" s="186">
        <f t="shared" si="573"/>
        <v>0</v>
      </c>
      <c r="H1030" s="186">
        <f t="shared" si="573"/>
        <v>0</v>
      </c>
      <c r="I1030" s="186">
        <f t="shared" si="573"/>
        <v>0</v>
      </c>
      <c r="J1030" s="186">
        <f t="shared" si="573"/>
        <v>0</v>
      </c>
      <c r="K1030" s="186">
        <f t="shared" si="573"/>
        <v>0</v>
      </c>
      <c r="L1030" s="186">
        <f t="shared" si="573"/>
        <v>0</v>
      </c>
      <c r="M1030" s="186">
        <f t="shared" si="573"/>
        <v>0</v>
      </c>
      <c r="N1030" s="186">
        <f t="shared" si="573"/>
        <v>0</v>
      </c>
      <c r="O1030" s="186">
        <f t="shared" si="573"/>
        <v>0</v>
      </c>
      <c r="P1030" s="186">
        <f t="shared" si="573"/>
        <v>0</v>
      </c>
      <c r="Q1030" s="186">
        <f t="shared" si="573"/>
        <v>0</v>
      </c>
      <c r="R1030" s="186">
        <f t="shared" si="573"/>
        <v>0</v>
      </c>
      <c r="S1030" s="404">
        <f t="shared" si="573"/>
        <v>0</v>
      </c>
    </row>
    <row r="1031" spans="1:19" ht="12.75" customHeight="1" x14ac:dyDescent="0.2">
      <c r="A1031" s="1" t="str">
        <f>Labels!B164</f>
        <v>Prof Staff Benefits %</v>
      </c>
    </row>
    <row r="1032" spans="1:19" ht="12.75" customHeight="1" x14ac:dyDescent="0.2">
      <c r="B1032" s="9" t="str">
        <f>'(FnCalls 1)'!F41</f>
        <v>MMM 2010</v>
      </c>
      <c r="C1032" s="10" t="str">
        <f>'(FnCalls 1)'!F42</f>
        <v>MMM 2010</v>
      </c>
      <c r="D1032" s="10" t="str">
        <f>'(FnCalls 1)'!F43</f>
        <v>MMM 2010</v>
      </c>
      <c r="E1032" s="10" t="str">
        <f>'(FnCalls 1)'!F44</f>
        <v>MMM 2010</v>
      </c>
      <c r="F1032" s="10" t="str">
        <f>'(FnCalls 1)'!F45</f>
        <v>MMM 2010</v>
      </c>
      <c r="G1032" s="10" t="str">
        <f>'(FnCalls 1)'!F46</f>
        <v>MMM 2010</v>
      </c>
      <c r="H1032" s="10" t="str">
        <f>'(FnCalls 1)'!F47</f>
        <v>MMM 2010</v>
      </c>
      <c r="I1032" s="10" t="str">
        <f>'(FnCalls 1)'!F48</f>
        <v>MMM 2010</v>
      </c>
      <c r="J1032" s="10" t="str">
        <f>'(FnCalls 1)'!F49</f>
        <v>MMM 2010</v>
      </c>
      <c r="K1032" s="10" t="str">
        <f>'(FnCalls 1)'!F50</f>
        <v>MMM 2010</v>
      </c>
      <c r="L1032" s="10" t="str">
        <f>'(FnCalls 1)'!F51</f>
        <v>MMM 2010</v>
      </c>
      <c r="M1032" s="10" t="str">
        <f>'(FnCalls 1)'!F52</f>
        <v>MMM 2010</v>
      </c>
      <c r="N1032" s="10" t="str">
        <f>'(FnCalls 1)'!F53</f>
        <v>MMM 2011</v>
      </c>
      <c r="O1032" s="10" t="str">
        <f>'(FnCalls 1)'!F54</f>
        <v>MMM 2011</v>
      </c>
      <c r="P1032" s="10" t="str">
        <f>'(FnCalls 1)'!F55</f>
        <v>MMM 2011</v>
      </c>
      <c r="Q1032" s="10" t="str">
        <f>'(FnCalls 1)'!F56</f>
        <v>MMM 2011</v>
      </c>
      <c r="R1032" s="10" t="str">
        <f>'(FnCalls 1)'!F57</f>
        <v>MMM 2011</v>
      </c>
      <c r="S1032" s="11" t="str">
        <f>'(FnCalls 1)'!F58</f>
        <v>MMM 2011</v>
      </c>
    </row>
    <row r="1033" spans="1:19" ht="12.75" customHeight="1" x14ac:dyDescent="0.2">
      <c r="A1033" s="182" t="str">
        <f>Labels!B385</f>
        <v>Prof Level 1</v>
      </c>
      <c r="B1033" s="207">
        <f>Inputs!F220</f>
        <v>0.15</v>
      </c>
      <c r="C1033" s="207">
        <f>Inputs!G220</f>
        <v>0.15</v>
      </c>
      <c r="D1033" s="207">
        <f>Inputs!H220</f>
        <v>0.15</v>
      </c>
      <c r="E1033" s="207">
        <f>Inputs!I220</f>
        <v>0.15</v>
      </c>
      <c r="F1033" s="207">
        <f>Inputs!J220</f>
        <v>0.15</v>
      </c>
      <c r="G1033" s="207">
        <f>Inputs!K220</f>
        <v>0.15</v>
      </c>
      <c r="H1033" s="207">
        <f>Inputs!L220</f>
        <v>0.15</v>
      </c>
      <c r="I1033" s="207">
        <f>Inputs!M220</f>
        <v>0.15</v>
      </c>
      <c r="J1033" s="207">
        <f>Inputs!N220</f>
        <v>0.15</v>
      </c>
      <c r="K1033" s="207">
        <f>Inputs!O220</f>
        <v>0.15</v>
      </c>
      <c r="L1033" s="207">
        <f>Inputs!P220</f>
        <v>0.15</v>
      </c>
      <c r="M1033" s="207">
        <f>Inputs!Q220</f>
        <v>0.15</v>
      </c>
      <c r="N1033" s="207">
        <f>Inputs!R220</f>
        <v>0.15</v>
      </c>
      <c r="O1033" s="207">
        <f>Inputs!S220</f>
        <v>0.15</v>
      </c>
      <c r="P1033" s="207">
        <f>Inputs!T220</f>
        <v>0.15</v>
      </c>
      <c r="Q1033" s="207">
        <f>Inputs!U220</f>
        <v>0.15</v>
      </c>
      <c r="R1033" s="207">
        <f>Inputs!V220</f>
        <v>0.15</v>
      </c>
      <c r="S1033" s="391">
        <f>Inputs!W220</f>
        <v>0.15</v>
      </c>
    </row>
    <row r="1034" spans="1:19" ht="12.75" customHeight="1" x14ac:dyDescent="0.2">
      <c r="A1034" s="191" t="str">
        <f>Labels!B386</f>
        <v>Prof Level 2</v>
      </c>
      <c r="B1034" s="211">
        <f>Inputs!F221</f>
        <v>0.15</v>
      </c>
      <c r="C1034" s="211">
        <f>Inputs!G221</f>
        <v>0.15</v>
      </c>
      <c r="D1034" s="211">
        <f>Inputs!H221</f>
        <v>0.15</v>
      </c>
      <c r="E1034" s="211">
        <f>Inputs!I221</f>
        <v>0.15</v>
      </c>
      <c r="F1034" s="211">
        <f>Inputs!J221</f>
        <v>0.15</v>
      </c>
      <c r="G1034" s="211">
        <f>Inputs!K221</f>
        <v>0.15</v>
      </c>
      <c r="H1034" s="211">
        <f>Inputs!L221</f>
        <v>0.15</v>
      </c>
      <c r="I1034" s="211">
        <f>Inputs!M221</f>
        <v>0.15</v>
      </c>
      <c r="J1034" s="211">
        <f>Inputs!N221</f>
        <v>0.15</v>
      </c>
      <c r="K1034" s="211">
        <f>Inputs!O221</f>
        <v>0.15</v>
      </c>
      <c r="L1034" s="211">
        <f>Inputs!P221</f>
        <v>0.15</v>
      </c>
      <c r="M1034" s="211">
        <f>Inputs!Q221</f>
        <v>0.15</v>
      </c>
      <c r="N1034" s="211">
        <f>Inputs!R221</f>
        <v>0.15</v>
      </c>
      <c r="O1034" s="211">
        <f>Inputs!S221</f>
        <v>0.15</v>
      </c>
      <c r="P1034" s="211">
        <f>Inputs!T221</f>
        <v>0.15</v>
      </c>
      <c r="Q1034" s="211">
        <f>Inputs!U221</f>
        <v>0.15</v>
      </c>
      <c r="R1034" s="211">
        <f>Inputs!V221</f>
        <v>0.15</v>
      </c>
      <c r="S1034" s="395">
        <f>Inputs!W221</f>
        <v>0.15</v>
      </c>
    </row>
    <row r="1035" spans="1:19" ht="12.75" customHeight="1" x14ac:dyDescent="0.2">
      <c r="A1035" s="97" t="str">
        <f>Labels!C384</f>
        <v>Total</v>
      </c>
      <c r="B1035" s="379">
        <f t="shared" ref="B1035:S1035" si="574">AVERAGE(B1033:B1034)</f>
        <v>0.15</v>
      </c>
      <c r="C1035" s="379">
        <f t="shared" si="574"/>
        <v>0.15</v>
      </c>
      <c r="D1035" s="379">
        <f t="shared" si="574"/>
        <v>0.15</v>
      </c>
      <c r="E1035" s="379">
        <f t="shared" si="574"/>
        <v>0.15</v>
      </c>
      <c r="F1035" s="379">
        <f t="shared" si="574"/>
        <v>0.15</v>
      </c>
      <c r="G1035" s="379">
        <f t="shared" si="574"/>
        <v>0.15</v>
      </c>
      <c r="H1035" s="379">
        <f t="shared" si="574"/>
        <v>0.15</v>
      </c>
      <c r="I1035" s="379">
        <f t="shared" si="574"/>
        <v>0.15</v>
      </c>
      <c r="J1035" s="379">
        <f t="shared" si="574"/>
        <v>0.15</v>
      </c>
      <c r="K1035" s="379">
        <f t="shared" si="574"/>
        <v>0.15</v>
      </c>
      <c r="L1035" s="379">
        <f t="shared" si="574"/>
        <v>0.15</v>
      </c>
      <c r="M1035" s="379">
        <f t="shared" si="574"/>
        <v>0.15</v>
      </c>
      <c r="N1035" s="379">
        <f t="shared" si="574"/>
        <v>0.15</v>
      </c>
      <c r="O1035" s="379">
        <f t="shared" si="574"/>
        <v>0.15</v>
      </c>
      <c r="P1035" s="379">
        <f t="shared" si="574"/>
        <v>0.15</v>
      </c>
      <c r="Q1035" s="379">
        <f t="shared" si="574"/>
        <v>0.15</v>
      </c>
      <c r="R1035" s="379">
        <f t="shared" si="574"/>
        <v>0.15</v>
      </c>
      <c r="S1035" s="396">
        <f t="shared" si="574"/>
        <v>0.15</v>
      </c>
    </row>
    <row r="1036" spans="1:19" ht="12.75" customHeight="1" x14ac:dyDescent="0.2">
      <c r="A1036" s="1" t="str">
        <f>Labels!B262</f>
        <v>Initial Avg Support Staff Wage (Yr)</v>
      </c>
    </row>
    <row r="1037" spans="1:19" ht="12.75" customHeight="1" x14ac:dyDescent="0.2">
      <c r="B1037" s="9" t="str">
        <f>Labels!B321</f>
        <v>Marketing</v>
      </c>
      <c r="C1037" s="10" t="str">
        <f>Labels!B322</f>
        <v>Sales</v>
      </c>
      <c r="D1037" s="181" t="str">
        <f>Labels!C320</f>
        <v>Total</v>
      </c>
    </row>
    <row r="1038" spans="1:19" ht="12.75" customHeight="1" x14ac:dyDescent="0.2">
      <c r="A1038" s="182" t="str">
        <f>Labels!B393</f>
        <v>Manager</v>
      </c>
      <c r="B1038" s="183">
        <f>Inputs!F226</f>
        <v>80000</v>
      </c>
      <c r="C1038" s="183">
        <f>Inputs!G226</f>
        <v>80000</v>
      </c>
      <c r="D1038" s="184">
        <f>AVERAGE(B1038:C1038)</f>
        <v>80000</v>
      </c>
    </row>
    <row r="1039" spans="1:19" ht="12.75" customHeight="1" x14ac:dyDescent="0.2">
      <c r="A1039" s="191" t="str">
        <f>Labels!B394</f>
        <v>Contributor</v>
      </c>
      <c r="B1039" s="192">
        <f>Inputs!F227</f>
        <v>80000</v>
      </c>
      <c r="C1039" s="192">
        <f>Inputs!G227</f>
        <v>80000</v>
      </c>
      <c r="D1039" s="190">
        <f>AVERAGE(B1039:C1039)</f>
        <v>80000</v>
      </c>
    </row>
    <row r="1040" spans="1:19" ht="12.75" customHeight="1" x14ac:dyDescent="0.2">
      <c r="A1040" s="97" t="str">
        <f>Labels!C392</f>
        <v>Total</v>
      </c>
      <c r="B1040" s="194">
        <f>AVERAGE(B1038:B1039)</f>
        <v>80000</v>
      </c>
      <c r="C1040" s="194">
        <f>AVERAGE(C1038:C1039)</f>
        <v>80000</v>
      </c>
      <c r="D1040" s="195">
        <f>AVERAGE(B1040:C1040)</f>
        <v>80000</v>
      </c>
    </row>
    <row r="1041" spans="1:19" ht="12.75" customHeight="1" x14ac:dyDescent="0.2">
      <c r="A1041" s="1" t="str">
        <f>Labels!B264</f>
        <v>Wage increase %</v>
      </c>
    </row>
    <row r="1042" spans="1:19" ht="12.75" customHeight="1" x14ac:dyDescent="0.2">
      <c r="B1042" s="9" t="str">
        <f>'(FnCalls 1)'!F41</f>
        <v>MMM 2010</v>
      </c>
      <c r="C1042" s="10" t="str">
        <f>'(FnCalls 1)'!F42</f>
        <v>MMM 2010</v>
      </c>
      <c r="D1042" s="10" t="str">
        <f>'(FnCalls 1)'!F43</f>
        <v>MMM 2010</v>
      </c>
      <c r="E1042" s="10" t="str">
        <f>'(FnCalls 1)'!F44</f>
        <v>MMM 2010</v>
      </c>
      <c r="F1042" s="10" t="str">
        <f>'(FnCalls 1)'!F45</f>
        <v>MMM 2010</v>
      </c>
      <c r="G1042" s="10" t="str">
        <f>'(FnCalls 1)'!F46</f>
        <v>MMM 2010</v>
      </c>
      <c r="H1042" s="10" t="str">
        <f>'(FnCalls 1)'!F47</f>
        <v>MMM 2010</v>
      </c>
      <c r="I1042" s="10" t="str">
        <f>'(FnCalls 1)'!F48</f>
        <v>MMM 2010</v>
      </c>
      <c r="J1042" s="10" t="str">
        <f>'(FnCalls 1)'!F49</f>
        <v>MMM 2010</v>
      </c>
      <c r="K1042" s="10" t="str">
        <f>'(FnCalls 1)'!F50</f>
        <v>MMM 2010</v>
      </c>
      <c r="L1042" s="10" t="str">
        <f>'(FnCalls 1)'!F51</f>
        <v>MMM 2010</v>
      </c>
      <c r="M1042" s="10" t="str">
        <f>'(FnCalls 1)'!F52</f>
        <v>MMM 2010</v>
      </c>
      <c r="N1042" s="10" t="str">
        <f>'(FnCalls 1)'!F53</f>
        <v>MMM 2011</v>
      </c>
      <c r="O1042" s="10" t="str">
        <f>'(FnCalls 1)'!F54</f>
        <v>MMM 2011</v>
      </c>
      <c r="P1042" s="10" t="str">
        <f>'(FnCalls 1)'!F55</f>
        <v>MMM 2011</v>
      </c>
      <c r="Q1042" s="10" t="str">
        <f>'(FnCalls 1)'!F56</f>
        <v>MMM 2011</v>
      </c>
      <c r="R1042" s="10" t="str">
        <f>'(FnCalls 1)'!F57</f>
        <v>MMM 2011</v>
      </c>
      <c r="S1042" s="11" t="str">
        <f>'(FnCalls 1)'!F58</f>
        <v>MMM 2011</v>
      </c>
    </row>
    <row r="1043" spans="1:19" ht="12.75" customHeight="1" x14ac:dyDescent="0.2">
      <c r="A1043" s="182" t="str">
        <f>Labels!B393</f>
        <v>Manager</v>
      </c>
      <c r="B1043" s="207">
        <f>Inputs!F230</f>
        <v>0.03</v>
      </c>
      <c r="C1043" s="207">
        <f>Inputs!G230</f>
        <v>0.03</v>
      </c>
      <c r="D1043" s="207">
        <f>Inputs!H230</f>
        <v>0.03</v>
      </c>
      <c r="E1043" s="207">
        <f>Inputs!I230</f>
        <v>0.03</v>
      </c>
      <c r="F1043" s="207">
        <f>Inputs!J230</f>
        <v>0.03</v>
      </c>
      <c r="G1043" s="207">
        <f>Inputs!K230</f>
        <v>0.03</v>
      </c>
      <c r="H1043" s="207">
        <f>Inputs!L230</f>
        <v>0.03</v>
      </c>
      <c r="I1043" s="207">
        <f>Inputs!M230</f>
        <v>0.03</v>
      </c>
      <c r="J1043" s="207">
        <f>Inputs!N230</f>
        <v>0.03</v>
      </c>
      <c r="K1043" s="207">
        <f>Inputs!O230</f>
        <v>0.03</v>
      </c>
      <c r="L1043" s="207">
        <f>Inputs!P230</f>
        <v>0.03</v>
      </c>
      <c r="M1043" s="207">
        <f>Inputs!Q230</f>
        <v>0.03</v>
      </c>
      <c r="N1043" s="207">
        <f>Inputs!R230</f>
        <v>0.03</v>
      </c>
      <c r="O1043" s="207">
        <f>Inputs!S230</f>
        <v>0.03</v>
      </c>
      <c r="P1043" s="207">
        <f>Inputs!T230</f>
        <v>0.03</v>
      </c>
      <c r="Q1043" s="207">
        <f>Inputs!U230</f>
        <v>0.03</v>
      </c>
      <c r="R1043" s="207">
        <f>Inputs!V230</f>
        <v>0.03</v>
      </c>
      <c r="S1043" s="391">
        <f>Inputs!W230</f>
        <v>0.03</v>
      </c>
    </row>
    <row r="1044" spans="1:19" ht="12.75" customHeight="1" x14ac:dyDescent="0.2">
      <c r="A1044" s="191" t="str">
        <f>Labels!B394</f>
        <v>Contributor</v>
      </c>
      <c r="B1044" s="211">
        <f>Inputs!F231</f>
        <v>0.03</v>
      </c>
      <c r="C1044" s="211">
        <f>Inputs!G231</f>
        <v>0.03</v>
      </c>
      <c r="D1044" s="211">
        <f>Inputs!H231</f>
        <v>0.03</v>
      </c>
      <c r="E1044" s="211">
        <f>Inputs!I231</f>
        <v>0.03</v>
      </c>
      <c r="F1044" s="211">
        <f>Inputs!J231</f>
        <v>0.03</v>
      </c>
      <c r="G1044" s="211">
        <f>Inputs!K231</f>
        <v>0.03</v>
      </c>
      <c r="H1044" s="211">
        <f>Inputs!L231</f>
        <v>0.03</v>
      </c>
      <c r="I1044" s="211">
        <f>Inputs!M231</f>
        <v>0.03</v>
      </c>
      <c r="J1044" s="211">
        <f>Inputs!N231</f>
        <v>0.03</v>
      </c>
      <c r="K1044" s="211">
        <f>Inputs!O231</f>
        <v>0.03</v>
      </c>
      <c r="L1044" s="211">
        <f>Inputs!P231</f>
        <v>0.03</v>
      </c>
      <c r="M1044" s="211">
        <f>Inputs!Q231</f>
        <v>0.03</v>
      </c>
      <c r="N1044" s="211">
        <f>Inputs!R231</f>
        <v>0.03</v>
      </c>
      <c r="O1044" s="211">
        <f>Inputs!S231</f>
        <v>0.03</v>
      </c>
      <c r="P1044" s="211">
        <f>Inputs!T231</f>
        <v>0.03</v>
      </c>
      <c r="Q1044" s="211">
        <f>Inputs!U231</f>
        <v>0.03</v>
      </c>
      <c r="R1044" s="211">
        <f>Inputs!V231</f>
        <v>0.03</v>
      </c>
      <c r="S1044" s="395">
        <f>Inputs!W231</f>
        <v>0.03</v>
      </c>
    </row>
    <row r="1045" spans="1:19" ht="12.75" customHeight="1" x14ac:dyDescent="0.2">
      <c r="A1045" s="97" t="str">
        <f>Labels!C392</f>
        <v>Total</v>
      </c>
      <c r="B1045" s="379">
        <f t="shared" ref="B1045:S1045" si="575">AVERAGE(B1043:B1044)</f>
        <v>0.03</v>
      </c>
      <c r="C1045" s="379">
        <f t="shared" si="575"/>
        <v>0.03</v>
      </c>
      <c r="D1045" s="379">
        <f t="shared" si="575"/>
        <v>0.03</v>
      </c>
      <c r="E1045" s="379">
        <f t="shared" si="575"/>
        <v>0.03</v>
      </c>
      <c r="F1045" s="379">
        <f t="shared" si="575"/>
        <v>0.03</v>
      </c>
      <c r="G1045" s="379">
        <f t="shared" si="575"/>
        <v>0.03</v>
      </c>
      <c r="H1045" s="379">
        <f t="shared" si="575"/>
        <v>0.03</v>
      </c>
      <c r="I1045" s="379">
        <f t="shared" si="575"/>
        <v>0.03</v>
      </c>
      <c r="J1045" s="379">
        <f t="shared" si="575"/>
        <v>0.03</v>
      </c>
      <c r="K1045" s="379">
        <f t="shared" si="575"/>
        <v>0.03</v>
      </c>
      <c r="L1045" s="379">
        <f t="shared" si="575"/>
        <v>0.03</v>
      </c>
      <c r="M1045" s="379">
        <f t="shared" si="575"/>
        <v>0.03</v>
      </c>
      <c r="N1045" s="379">
        <f t="shared" si="575"/>
        <v>0.03</v>
      </c>
      <c r="O1045" s="379">
        <f t="shared" si="575"/>
        <v>0.03</v>
      </c>
      <c r="P1045" s="379">
        <f t="shared" si="575"/>
        <v>0.03</v>
      </c>
      <c r="Q1045" s="379">
        <f t="shared" si="575"/>
        <v>0.03</v>
      </c>
      <c r="R1045" s="379">
        <f t="shared" si="575"/>
        <v>0.03</v>
      </c>
      <c r="S1045" s="396">
        <f t="shared" si="575"/>
        <v>0.03</v>
      </c>
    </row>
    <row r="1046" spans="1:19" ht="12.75" customHeight="1" x14ac:dyDescent="0.2">
      <c r="A1046" s="1" t="str">
        <f>Labels!B248</f>
        <v>Support Staff  Bonus %</v>
      </c>
    </row>
    <row r="1047" spans="1:19" ht="12.75" customHeight="1" x14ac:dyDescent="0.2">
      <c r="B1047" s="9" t="str">
        <f>'(FnCalls 1)'!F41</f>
        <v>MMM 2010</v>
      </c>
      <c r="C1047" s="10" t="str">
        <f>'(FnCalls 1)'!F42</f>
        <v>MMM 2010</v>
      </c>
      <c r="D1047" s="10" t="str">
        <f>'(FnCalls 1)'!F43</f>
        <v>MMM 2010</v>
      </c>
      <c r="E1047" s="10" t="str">
        <f>'(FnCalls 1)'!F44</f>
        <v>MMM 2010</v>
      </c>
      <c r="F1047" s="10" t="str">
        <f>'(FnCalls 1)'!F45</f>
        <v>MMM 2010</v>
      </c>
      <c r="G1047" s="10" t="str">
        <f>'(FnCalls 1)'!F46</f>
        <v>MMM 2010</v>
      </c>
      <c r="H1047" s="10" t="str">
        <f>'(FnCalls 1)'!F47</f>
        <v>MMM 2010</v>
      </c>
      <c r="I1047" s="10" t="str">
        <f>'(FnCalls 1)'!F48</f>
        <v>MMM 2010</v>
      </c>
      <c r="J1047" s="10" t="str">
        <f>'(FnCalls 1)'!F49</f>
        <v>MMM 2010</v>
      </c>
      <c r="K1047" s="10" t="str">
        <f>'(FnCalls 1)'!F50</f>
        <v>MMM 2010</v>
      </c>
      <c r="L1047" s="10" t="str">
        <f>'(FnCalls 1)'!F51</f>
        <v>MMM 2010</v>
      </c>
      <c r="M1047" s="10" t="str">
        <f>'(FnCalls 1)'!F52</f>
        <v>MMM 2010</v>
      </c>
      <c r="N1047" s="10" t="str">
        <f>'(FnCalls 1)'!F53</f>
        <v>MMM 2011</v>
      </c>
      <c r="O1047" s="10" t="str">
        <f>'(FnCalls 1)'!F54</f>
        <v>MMM 2011</v>
      </c>
      <c r="P1047" s="10" t="str">
        <f>'(FnCalls 1)'!F55</f>
        <v>MMM 2011</v>
      </c>
      <c r="Q1047" s="10" t="str">
        <f>'(FnCalls 1)'!F56</f>
        <v>MMM 2011</v>
      </c>
      <c r="R1047" s="10" t="str">
        <f>'(FnCalls 1)'!F57</f>
        <v>MMM 2011</v>
      </c>
      <c r="S1047" s="11" t="str">
        <f>'(FnCalls 1)'!F58</f>
        <v>MMM 2011</v>
      </c>
    </row>
    <row r="1048" spans="1:19" ht="12.75" customHeight="1" x14ac:dyDescent="0.2">
      <c r="A1048" s="182" t="str">
        <f>Labels!B321</f>
        <v>Marketing</v>
      </c>
      <c r="B1048" s="207"/>
      <c r="C1048" s="207"/>
      <c r="D1048" s="207"/>
      <c r="E1048" s="207"/>
      <c r="F1048" s="207"/>
      <c r="G1048" s="207"/>
      <c r="H1048" s="207"/>
      <c r="I1048" s="207"/>
      <c r="J1048" s="207"/>
      <c r="K1048" s="207"/>
      <c r="L1048" s="207"/>
      <c r="M1048" s="207"/>
      <c r="N1048" s="207"/>
      <c r="O1048" s="207"/>
      <c r="P1048" s="207"/>
      <c r="Q1048" s="207"/>
      <c r="R1048" s="207"/>
      <c r="S1048" s="391"/>
    </row>
    <row r="1049" spans="1:19" ht="12.75" customHeight="1" x14ac:dyDescent="0.2">
      <c r="A1049" s="188" t="str">
        <f>"   "&amp;Labels!B393</f>
        <v xml:space="preserve">   Manager</v>
      </c>
      <c r="B1049" s="218">
        <f>Inputs!F233</f>
        <v>0</v>
      </c>
      <c r="C1049" s="218">
        <f>Inputs!G233</f>
        <v>0</v>
      </c>
      <c r="D1049" s="218">
        <f>Inputs!H233</f>
        <v>0</v>
      </c>
      <c r="E1049" s="218">
        <f>Inputs!I233</f>
        <v>0</v>
      </c>
      <c r="F1049" s="218">
        <f>Inputs!J233</f>
        <v>0</v>
      </c>
      <c r="G1049" s="218">
        <f>Inputs!K233</f>
        <v>0</v>
      </c>
      <c r="H1049" s="218">
        <f>Inputs!L233</f>
        <v>0</v>
      </c>
      <c r="I1049" s="218">
        <f>Inputs!M233</f>
        <v>0</v>
      </c>
      <c r="J1049" s="218">
        <f>Inputs!N233</f>
        <v>0</v>
      </c>
      <c r="K1049" s="218">
        <f>Inputs!O233</f>
        <v>0</v>
      </c>
      <c r="L1049" s="218">
        <f>Inputs!P233</f>
        <v>0</v>
      </c>
      <c r="M1049" s="218">
        <f>Inputs!Q233</f>
        <v>0</v>
      </c>
      <c r="N1049" s="218">
        <f>Inputs!R233</f>
        <v>0</v>
      </c>
      <c r="O1049" s="218">
        <f>Inputs!S233</f>
        <v>0</v>
      </c>
      <c r="P1049" s="218">
        <f>Inputs!T233</f>
        <v>0</v>
      </c>
      <c r="Q1049" s="218">
        <f>Inputs!U233</f>
        <v>0</v>
      </c>
      <c r="R1049" s="218">
        <f>Inputs!V233</f>
        <v>0</v>
      </c>
      <c r="S1049" s="392">
        <f>Inputs!W233</f>
        <v>0</v>
      </c>
    </row>
    <row r="1050" spans="1:19" ht="12.75" customHeight="1" x14ac:dyDescent="0.2">
      <c r="A1050" s="188" t="str">
        <f>"   "&amp;Labels!B394</f>
        <v xml:space="preserve">   Contributor</v>
      </c>
      <c r="B1050" s="218">
        <f>Inputs!F234</f>
        <v>0</v>
      </c>
      <c r="C1050" s="218">
        <f>Inputs!G234</f>
        <v>0</v>
      </c>
      <c r="D1050" s="218">
        <f>Inputs!H234</f>
        <v>0</v>
      </c>
      <c r="E1050" s="218">
        <f>Inputs!I234</f>
        <v>0</v>
      </c>
      <c r="F1050" s="218">
        <f>Inputs!J234</f>
        <v>0</v>
      </c>
      <c r="G1050" s="218">
        <f>Inputs!K234</f>
        <v>0</v>
      </c>
      <c r="H1050" s="218">
        <f>Inputs!L234</f>
        <v>0</v>
      </c>
      <c r="I1050" s="218">
        <f>Inputs!M234</f>
        <v>0</v>
      </c>
      <c r="J1050" s="218">
        <f>Inputs!N234</f>
        <v>0</v>
      </c>
      <c r="K1050" s="218">
        <f>Inputs!O234</f>
        <v>0</v>
      </c>
      <c r="L1050" s="218">
        <f>Inputs!P234</f>
        <v>0</v>
      </c>
      <c r="M1050" s="218">
        <f>Inputs!Q234</f>
        <v>0</v>
      </c>
      <c r="N1050" s="218">
        <f>Inputs!R234</f>
        <v>0</v>
      </c>
      <c r="O1050" s="218">
        <f>Inputs!S234</f>
        <v>0</v>
      </c>
      <c r="P1050" s="218">
        <f>Inputs!T234</f>
        <v>0</v>
      </c>
      <c r="Q1050" s="218">
        <f>Inputs!U234</f>
        <v>0</v>
      </c>
      <c r="R1050" s="218">
        <f>Inputs!V234</f>
        <v>0</v>
      </c>
      <c r="S1050" s="392">
        <f>Inputs!W234</f>
        <v>0</v>
      </c>
    </row>
    <row r="1051" spans="1:19" ht="12.75" customHeight="1" x14ac:dyDescent="0.2">
      <c r="A1051" s="191" t="str">
        <f>"   "&amp;Labels!C392</f>
        <v xml:space="preserve">   Total</v>
      </c>
      <c r="B1051" s="211">
        <f t="shared" ref="B1051:S1051" si="576">AVERAGE(B1049:B1050)</f>
        <v>0</v>
      </c>
      <c r="C1051" s="211">
        <f t="shared" si="576"/>
        <v>0</v>
      </c>
      <c r="D1051" s="211">
        <f t="shared" si="576"/>
        <v>0</v>
      </c>
      <c r="E1051" s="211">
        <f t="shared" si="576"/>
        <v>0</v>
      </c>
      <c r="F1051" s="211">
        <f t="shared" si="576"/>
        <v>0</v>
      </c>
      <c r="G1051" s="211">
        <f t="shared" si="576"/>
        <v>0</v>
      </c>
      <c r="H1051" s="211">
        <f t="shared" si="576"/>
        <v>0</v>
      </c>
      <c r="I1051" s="211">
        <f t="shared" si="576"/>
        <v>0</v>
      </c>
      <c r="J1051" s="211">
        <f t="shared" si="576"/>
        <v>0</v>
      </c>
      <c r="K1051" s="211">
        <f t="shared" si="576"/>
        <v>0</v>
      </c>
      <c r="L1051" s="211">
        <f t="shared" si="576"/>
        <v>0</v>
      </c>
      <c r="M1051" s="211">
        <f t="shared" si="576"/>
        <v>0</v>
      </c>
      <c r="N1051" s="211">
        <f t="shared" si="576"/>
        <v>0</v>
      </c>
      <c r="O1051" s="211">
        <f t="shared" si="576"/>
        <v>0</v>
      </c>
      <c r="P1051" s="211">
        <f t="shared" si="576"/>
        <v>0</v>
      </c>
      <c r="Q1051" s="211">
        <f t="shared" si="576"/>
        <v>0</v>
      </c>
      <c r="R1051" s="211">
        <f t="shared" si="576"/>
        <v>0</v>
      </c>
      <c r="S1051" s="395">
        <f t="shared" si="576"/>
        <v>0</v>
      </c>
    </row>
    <row r="1052" spans="1:19" ht="12.75" customHeight="1" x14ac:dyDescent="0.2">
      <c r="A1052" s="191" t="str">
        <f>Labels!B322</f>
        <v>Sales</v>
      </c>
      <c r="B1052" s="211"/>
      <c r="C1052" s="211"/>
      <c r="D1052" s="211"/>
      <c r="E1052" s="211"/>
      <c r="F1052" s="211"/>
      <c r="G1052" s="211"/>
      <c r="H1052" s="211"/>
      <c r="I1052" s="211"/>
      <c r="J1052" s="211"/>
      <c r="K1052" s="211"/>
      <c r="L1052" s="211"/>
      <c r="M1052" s="211"/>
      <c r="N1052" s="211"/>
      <c r="O1052" s="211"/>
      <c r="P1052" s="211"/>
      <c r="Q1052" s="211"/>
      <c r="R1052" s="211"/>
      <c r="S1052" s="395"/>
    </row>
    <row r="1053" spans="1:19" ht="12.75" customHeight="1" x14ac:dyDescent="0.2">
      <c r="A1053" s="188" t="str">
        <f>"   "&amp;Labels!B393</f>
        <v xml:space="preserve">   Manager</v>
      </c>
      <c r="B1053" s="218">
        <f>Inputs!F235</f>
        <v>0</v>
      </c>
      <c r="C1053" s="218">
        <f>Inputs!G235</f>
        <v>0</v>
      </c>
      <c r="D1053" s="218">
        <f>Inputs!H235</f>
        <v>0</v>
      </c>
      <c r="E1053" s="218">
        <f>Inputs!I235</f>
        <v>0</v>
      </c>
      <c r="F1053" s="218">
        <f>Inputs!J235</f>
        <v>0</v>
      </c>
      <c r="G1053" s="218">
        <f>Inputs!K235</f>
        <v>0</v>
      </c>
      <c r="H1053" s="218">
        <f>Inputs!L235</f>
        <v>0</v>
      </c>
      <c r="I1053" s="218">
        <f>Inputs!M235</f>
        <v>0</v>
      </c>
      <c r="J1053" s="218">
        <f>Inputs!N235</f>
        <v>0</v>
      </c>
      <c r="K1053" s="218">
        <f>Inputs!O235</f>
        <v>0</v>
      </c>
      <c r="L1053" s="218">
        <f>Inputs!P235</f>
        <v>0</v>
      </c>
      <c r="M1053" s="218">
        <f>Inputs!Q235</f>
        <v>0</v>
      </c>
      <c r="N1053" s="218">
        <f>Inputs!R235</f>
        <v>0</v>
      </c>
      <c r="O1053" s="218">
        <f>Inputs!S235</f>
        <v>0</v>
      </c>
      <c r="P1053" s="218">
        <f>Inputs!T235</f>
        <v>0</v>
      </c>
      <c r="Q1053" s="218">
        <f>Inputs!U235</f>
        <v>0</v>
      </c>
      <c r="R1053" s="218">
        <f>Inputs!V235</f>
        <v>0</v>
      </c>
      <c r="S1053" s="392">
        <f>Inputs!W235</f>
        <v>0</v>
      </c>
    </row>
    <row r="1054" spans="1:19" ht="12.75" customHeight="1" x14ac:dyDescent="0.2">
      <c r="A1054" s="188" t="str">
        <f>"   "&amp;Labels!B394</f>
        <v xml:space="preserve">   Contributor</v>
      </c>
      <c r="B1054" s="218">
        <f>Inputs!F236</f>
        <v>0</v>
      </c>
      <c r="C1054" s="218">
        <f>Inputs!G236</f>
        <v>0</v>
      </c>
      <c r="D1054" s="218">
        <f>Inputs!H236</f>
        <v>0</v>
      </c>
      <c r="E1054" s="218">
        <f>Inputs!I236</f>
        <v>0</v>
      </c>
      <c r="F1054" s="218">
        <f>Inputs!J236</f>
        <v>0</v>
      </c>
      <c r="G1054" s="218">
        <f>Inputs!K236</f>
        <v>0</v>
      </c>
      <c r="H1054" s="218">
        <f>Inputs!L236</f>
        <v>0</v>
      </c>
      <c r="I1054" s="218">
        <f>Inputs!M236</f>
        <v>0</v>
      </c>
      <c r="J1054" s="218">
        <f>Inputs!N236</f>
        <v>0</v>
      </c>
      <c r="K1054" s="218">
        <f>Inputs!O236</f>
        <v>0</v>
      </c>
      <c r="L1054" s="218">
        <f>Inputs!P236</f>
        <v>0</v>
      </c>
      <c r="M1054" s="218">
        <f>Inputs!Q236</f>
        <v>0</v>
      </c>
      <c r="N1054" s="218">
        <f>Inputs!R236</f>
        <v>0</v>
      </c>
      <c r="O1054" s="218">
        <f>Inputs!S236</f>
        <v>0</v>
      </c>
      <c r="P1054" s="218">
        <f>Inputs!T236</f>
        <v>0</v>
      </c>
      <c r="Q1054" s="218">
        <f>Inputs!U236</f>
        <v>0</v>
      </c>
      <c r="R1054" s="218">
        <f>Inputs!V236</f>
        <v>0</v>
      </c>
      <c r="S1054" s="392">
        <f>Inputs!W236</f>
        <v>0</v>
      </c>
    </row>
    <row r="1055" spans="1:19" ht="12.75" customHeight="1" x14ac:dyDescent="0.2">
      <c r="A1055" s="191" t="str">
        <f>"   "&amp;Labels!C392</f>
        <v xml:space="preserve">   Total</v>
      </c>
      <c r="B1055" s="211">
        <f t="shared" ref="B1055:S1055" si="577">AVERAGE(B1053:B1054)</f>
        <v>0</v>
      </c>
      <c r="C1055" s="211">
        <f t="shared" si="577"/>
        <v>0</v>
      </c>
      <c r="D1055" s="211">
        <f t="shared" si="577"/>
        <v>0</v>
      </c>
      <c r="E1055" s="211">
        <f t="shared" si="577"/>
        <v>0</v>
      </c>
      <c r="F1055" s="211">
        <f t="shared" si="577"/>
        <v>0</v>
      </c>
      <c r="G1055" s="211">
        <f t="shared" si="577"/>
        <v>0</v>
      </c>
      <c r="H1055" s="211">
        <f t="shared" si="577"/>
        <v>0</v>
      </c>
      <c r="I1055" s="211">
        <f t="shared" si="577"/>
        <v>0</v>
      </c>
      <c r="J1055" s="211">
        <f t="shared" si="577"/>
        <v>0</v>
      </c>
      <c r="K1055" s="211">
        <f t="shared" si="577"/>
        <v>0</v>
      </c>
      <c r="L1055" s="211">
        <f t="shared" si="577"/>
        <v>0</v>
      </c>
      <c r="M1055" s="211">
        <f t="shared" si="577"/>
        <v>0</v>
      </c>
      <c r="N1055" s="211">
        <f t="shared" si="577"/>
        <v>0</v>
      </c>
      <c r="O1055" s="211">
        <f t="shared" si="577"/>
        <v>0</v>
      </c>
      <c r="P1055" s="211">
        <f t="shared" si="577"/>
        <v>0</v>
      </c>
      <c r="Q1055" s="211">
        <f t="shared" si="577"/>
        <v>0</v>
      </c>
      <c r="R1055" s="211">
        <f t="shared" si="577"/>
        <v>0</v>
      </c>
      <c r="S1055" s="395">
        <f t="shared" si="577"/>
        <v>0</v>
      </c>
    </row>
    <row r="1056" spans="1:19" ht="12.75" customHeight="1" x14ac:dyDescent="0.2">
      <c r="A1056" s="97" t="str">
        <f>Labels!C320</f>
        <v>Total</v>
      </c>
      <c r="B1056" s="379">
        <f t="shared" ref="B1056:S1056" si="578">AVERAGE(B1051,B1055)</f>
        <v>0</v>
      </c>
      <c r="C1056" s="379">
        <f t="shared" si="578"/>
        <v>0</v>
      </c>
      <c r="D1056" s="379">
        <f t="shared" si="578"/>
        <v>0</v>
      </c>
      <c r="E1056" s="379">
        <f t="shared" si="578"/>
        <v>0</v>
      </c>
      <c r="F1056" s="379">
        <f t="shared" si="578"/>
        <v>0</v>
      </c>
      <c r="G1056" s="379">
        <f t="shared" si="578"/>
        <v>0</v>
      </c>
      <c r="H1056" s="379">
        <f t="shared" si="578"/>
        <v>0</v>
      </c>
      <c r="I1056" s="379">
        <f t="shared" si="578"/>
        <v>0</v>
      </c>
      <c r="J1056" s="379">
        <f t="shared" si="578"/>
        <v>0</v>
      </c>
      <c r="K1056" s="379">
        <f t="shared" si="578"/>
        <v>0</v>
      </c>
      <c r="L1056" s="379">
        <f t="shared" si="578"/>
        <v>0</v>
      </c>
      <c r="M1056" s="379">
        <f t="shared" si="578"/>
        <v>0</v>
      </c>
      <c r="N1056" s="379">
        <f t="shared" si="578"/>
        <v>0</v>
      </c>
      <c r="O1056" s="379">
        <f t="shared" si="578"/>
        <v>0</v>
      </c>
      <c r="P1056" s="379">
        <f t="shared" si="578"/>
        <v>0</v>
      </c>
      <c r="Q1056" s="379">
        <f t="shared" si="578"/>
        <v>0</v>
      </c>
      <c r="R1056" s="379">
        <f t="shared" si="578"/>
        <v>0</v>
      </c>
      <c r="S1056" s="396">
        <f t="shared" si="578"/>
        <v>0</v>
      </c>
    </row>
    <row r="1057" spans="1:19" ht="12.75" customHeight="1" x14ac:dyDescent="0.2">
      <c r="A1057" s="188" t="str">
        <f>"   "&amp;Labels!B393</f>
        <v xml:space="preserve">   Manager</v>
      </c>
      <c r="B1057" s="218">
        <f t="shared" ref="B1057:S1057" si="579">AVERAGE(B1049,B1053)</f>
        <v>0</v>
      </c>
      <c r="C1057" s="218">
        <f t="shared" si="579"/>
        <v>0</v>
      </c>
      <c r="D1057" s="218">
        <f t="shared" si="579"/>
        <v>0</v>
      </c>
      <c r="E1057" s="218">
        <f t="shared" si="579"/>
        <v>0</v>
      </c>
      <c r="F1057" s="218">
        <f t="shared" si="579"/>
        <v>0</v>
      </c>
      <c r="G1057" s="218">
        <f t="shared" si="579"/>
        <v>0</v>
      </c>
      <c r="H1057" s="218">
        <f t="shared" si="579"/>
        <v>0</v>
      </c>
      <c r="I1057" s="218">
        <f t="shared" si="579"/>
        <v>0</v>
      </c>
      <c r="J1057" s="218">
        <f t="shared" si="579"/>
        <v>0</v>
      </c>
      <c r="K1057" s="218">
        <f t="shared" si="579"/>
        <v>0</v>
      </c>
      <c r="L1057" s="218">
        <f t="shared" si="579"/>
        <v>0</v>
      </c>
      <c r="M1057" s="218">
        <f t="shared" si="579"/>
        <v>0</v>
      </c>
      <c r="N1057" s="218">
        <f t="shared" si="579"/>
        <v>0</v>
      </c>
      <c r="O1057" s="218">
        <f t="shared" si="579"/>
        <v>0</v>
      </c>
      <c r="P1057" s="218">
        <f t="shared" si="579"/>
        <v>0</v>
      </c>
      <c r="Q1057" s="218">
        <f t="shared" si="579"/>
        <v>0</v>
      </c>
      <c r="R1057" s="218">
        <f t="shared" si="579"/>
        <v>0</v>
      </c>
      <c r="S1057" s="392">
        <f t="shared" si="579"/>
        <v>0</v>
      </c>
    </row>
    <row r="1058" spans="1:19" ht="12.75" customHeight="1" x14ac:dyDescent="0.2">
      <c r="A1058" s="188" t="str">
        <f>"   "&amp;Labels!B394</f>
        <v xml:space="preserve">   Contributor</v>
      </c>
      <c r="B1058" s="218">
        <f t="shared" ref="B1058:S1058" si="580">AVERAGE(B1050,B1054)</f>
        <v>0</v>
      </c>
      <c r="C1058" s="218">
        <f t="shared" si="580"/>
        <v>0</v>
      </c>
      <c r="D1058" s="218">
        <f t="shared" si="580"/>
        <v>0</v>
      </c>
      <c r="E1058" s="218">
        <f t="shared" si="580"/>
        <v>0</v>
      </c>
      <c r="F1058" s="218">
        <f t="shared" si="580"/>
        <v>0</v>
      </c>
      <c r="G1058" s="218">
        <f t="shared" si="580"/>
        <v>0</v>
      </c>
      <c r="H1058" s="218">
        <f t="shared" si="580"/>
        <v>0</v>
      </c>
      <c r="I1058" s="218">
        <f t="shared" si="580"/>
        <v>0</v>
      </c>
      <c r="J1058" s="218">
        <f t="shared" si="580"/>
        <v>0</v>
      </c>
      <c r="K1058" s="218">
        <f t="shared" si="580"/>
        <v>0</v>
      </c>
      <c r="L1058" s="218">
        <f t="shared" si="580"/>
        <v>0</v>
      </c>
      <c r="M1058" s="218">
        <f t="shared" si="580"/>
        <v>0</v>
      </c>
      <c r="N1058" s="218">
        <f t="shared" si="580"/>
        <v>0</v>
      </c>
      <c r="O1058" s="218">
        <f t="shared" si="580"/>
        <v>0</v>
      </c>
      <c r="P1058" s="218">
        <f t="shared" si="580"/>
        <v>0</v>
      </c>
      <c r="Q1058" s="218">
        <f t="shared" si="580"/>
        <v>0</v>
      </c>
      <c r="R1058" s="218">
        <f t="shared" si="580"/>
        <v>0</v>
      </c>
      <c r="S1058" s="392">
        <f t="shared" si="580"/>
        <v>0</v>
      </c>
    </row>
    <row r="1059" spans="1:19" ht="12.75" customHeight="1" x14ac:dyDescent="0.2">
      <c r="A1059" s="185" t="str">
        <f>"   "&amp;Labels!C392</f>
        <v xml:space="preserve">   Total</v>
      </c>
      <c r="B1059" s="186">
        <f t="shared" ref="B1059:S1059" si="581">AVERAGE(B1051,B1055)</f>
        <v>0</v>
      </c>
      <c r="C1059" s="186">
        <f t="shared" si="581"/>
        <v>0</v>
      </c>
      <c r="D1059" s="186">
        <f t="shared" si="581"/>
        <v>0</v>
      </c>
      <c r="E1059" s="186">
        <f t="shared" si="581"/>
        <v>0</v>
      </c>
      <c r="F1059" s="186">
        <f t="shared" si="581"/>
        <v>0</v>
      </c>
      <c r="G1059" s="186">
        <f t="shared" si="581"/>
        <v>0</v>
      </c>
      <c r="H1059" s="186">
        <f t="shared" si="581"/>
        <v>0</v>
      </c>
      <c r="I1059" s="186">
        <f t="shared" si="581"/>
        <v>0</v>
      </c>
      <c r="J1059" s="186">
        <f t="shared" si="581"/>
        <v>0</v>
      </c>
      <c r="K1059" s="186">
        <f t="shared" si="581"/>
        <v>0</v>
      </c>
      <c r="L1059" s="186">
        <f t="shared" si="581"/>
        <v>0</v>
      </c>
      <c r="M1059" s="186">
        <f t="shared" si="581"/>
        <v>0</v>
      </c>
      <c r="N1059" s="186">
        <f t="shared" si="581"/>
        <v>0</v>
      </c>
      <c r="O1059" s="186">
        <f t="shared" si="581"/>
        <v>0</v>
      </c>
      <c r="P1059" s="186">
        <f t="shared" si="581"/>
        <v>0</v>
      </c>
      <c r="Q1059" s="186">
        <f t="shared" si="581"/>
        <v>0</v>
      </c>
      <c r="R1059" s="186">
        <f t="shared" si="581"/>
        <v>0</v>
      </c>
      <c r="S1059" s="404">
        <f t="shared" si="581"/>
        <v>0</v>
      </c>
    </row>
    <row r="1060" spans="1:19" ht="12.75" customHeight="1" x14ac:dyDescent="0.2">
      <c r="A1060" s="1" t="str">
        <f>Labels!B208</f>
        <v>Turnover % (Yr)</v>
      </c>
    </row>
    <row r="1061" spans="1:19" ht="12.75" customHeight="1" x14ac:dyDescent="0.2">
      <c r="B1061" s="9" t="str">
        <f>Labels!B381</f>
        <v>Practice 1</v>
      </c>
      <c r="C1061" s="10" t="str">
        <f>Labels!B382</f>
        <v>Practice 2</v>
      </c>
      <c r="D1061" s="181" t="str">
        <f>Labels!C380</f>
        <v>Total</v>
      </c>
    </row>
    <row r="1062" spans="1:19" ht="12.75" customHeight="1" x14ac:dyDescent="0.2">
      <c r="A1062" s="182" t="str">
        <f>Labels!B385</f>
        <v>Prof Level 1</v>
      </c>
      <c r="B1062" s="370">
        <f>Inputs!F257</f>
        <v>0.1</v>
      </c>
      <c r="C1062" s="370">
        <f>Inputs!F259</f>
        <v>0.1</v>
      </c>
      <c r="D1062" s="405">
        <f>IF('GM CostSvcs'!X487=0,0,'GM CostSvcs'!X501*12/'GM CostSvcs'!X487)</f>
        <v>0</v>
      </c>
    </row>
    <row r="1063" spans="1:19" ht="12.75" customHeight="1" x14ac:dyDescent="0.2">
      <c r="A1063" s="191" t="str">
        <f>Labels!B386</f>
        <v>Prof Level 2</v>
      </c>
      <c r="B1063" s="300">
        <f>Inputs!F258</f>
        <v>0.1</v>
      </c>
      <c r="C1063" s="300">
        <f>Inputs!F260</f>
        <v>0.1</v>
      </c>
      <c r="D1063" s="301">
        <f>IF('GM CostSvcs'!X488=0,0,'GM CostSvcs'!X502*12/'GM CostSvcs'!X488)</f>
        <v>0</v>
      </c>
    </row>
    <row r="1064" spans="1:19" ht="12.75" customHeight="1" x14ac:dyDescent="0.2">
      <c r="A1064" s="97" t="str">
        <f>Labels!C384</f>
        <v>Total</v>
      </c>
      <c r="B1064" s="387">
        <f>IF('GM CostSvcs'!X481=0,0,'GM CostSvcs'!X495*12/'GM CostSvcs'!X481)</f>
        <v>0</v>
      </c>
      <c r="C1064" s="387">
        <f>IF('GM CostSvcs'!X485=0,0,'GM CostSvcs'!X499*12/'GM CostSvcs'!X485)</f>
        <v>0</v>
      </c>
      <c r="D1064" s="406">
        <f>IF('GM CostSvcs'!X486=0,0,'GM CostSvcs'!X500*12/'GM CostSvcs'!X486)</f>
        <v>0</v>
      </c>
    </row>
    <row r="1065" spans="1:19" ht="12.75" customHeight="1" x14ac:dyDescent="0.2">
      <c r="A1065" s="1" t="str">
        <f>Labels!B179</f>
        <v>Professional Staff Count1</v>
      </c>
    </row>
    <row r="1066" spans="1:19" ht="12.75" customHeight="1" x14ac:dyDescent="0.2">
      <c r="B1066" s="9" t="str">
        <f>'(FnCalls 1)'!F41</f>
        <v>MMM 2010</v>
      </c>
      <c r="C1066" s="10" t="str">
        <f>'(FnCalls 1)'!F42</f>
        <v>MMM 2010</v>
      </c>
      <c r="D1066" s="10" t="str">
        <f>'(FnCalls 1)'!F43</f>
        <v>MMM 2010</v>
      </c>
      <c r="E1066" s="10" t="str">
        <f>'(FnCalls 1)'!F44</f>
        <v>MMM 2010</v>
      </c>
      <c r="F1066" s="10" t="str">
        <f>'(FnCalls 1)'!F45</f>
        <v>MMM 2010</v>
      </c>
      <c r="G1066" s="10" t="str">
        <f>'(FnCalls 1)'!F46</f>
        <v>MMM 2010</v>
      </c>
      <c r="H1066" s="10" t="str">
        <f>'(FnCalls 1)'!F47</f>
        <v>MMM 2010</v>
      </c>
      <c r="I1066" s="10" t="str">
        <f>'(FnCalls 1)'!F48</f>
        <v>MMM 2010</v>
      </c>
      <c r="J1066" s="10" t="str">
        <f>'(FnCalls 1)'!F49</f>
        <v>MMM 2010</v>
      </c>
      <c r="K1066" s="10" t="str">
        <f>'(FnCalls 1)'!F50</f>
        <v>MMM 2010</v>
      </c>
      <c r="L1066" s="10" t="str">
        <f>'(FnCalls 1)'!F51</f>
        <v>MMM 2010</v>
      </c>
      <c r="M1066" s="10" t="str">
        <f>'(FnCalls 1)'!F52</f>
        <v>MMM 2010</v>
      </c>
      <c r="N1066" s="10" t="str">
        <f>'(FnCalls 1)'!F53</f>
        <v>MMM 2011</v>
      </c>
      <c r="O1066" s="10" t="str">
        <f>'(FnCalls 1)'!F54</f>
        <v>MMM 2011</v>
      </c>
      <c r="P1066" s="10" t="str">
        <f>'(FnCalls 1)'!F55</f>
        <v>MMM 2011</v>
      </c>
      <c r="Q1066" s="10" t="str">
        <f>'(FnCalls 1)'!F56</f>
        <v>MMM 2011</v>
      </c>
      <c r="R1066" s="10" t="str">
        <f>'(FnCalls 1)'!F57</f>
        <v>MMM 2011</v>
      </c>
      <c r="S1066" s="11" t="str">
        <f>'(FnCalls 1)'!F58</f>
        <v>MMM 2011</v>
      </c>
    </row>
    <row r="1067" spans="1:19" ht="12.75" customHeight="1" x14ac:dyDescent="0.2">
      <c r="A1067" s="182" t="str">
        <f>Labels!B381</f>
        <v>Practice 1</v>
      </c>
      <c r="B1067" s="223"/>
      <c r="C1067" s="223"/>
      <c r="D1067" s="223"/>
      <c r="E1067" s="223"/>
      <c r="F1067" s="223"/>
      <c r="G1067" s="223"/>
      <c r="H1067" s="223"/>
      <c r="I1067" s="223"/>
      <c r="J1067" s="223"/>
      <c r="K1067" s="223"/>
      <c r="L1067" s="223"/>
      <c r="M1067" s="223"/>
      <c r="N1067" s="223"/>
      <c r="O1067" s="223"/>
      <c r="P1067" s="223"/>
      <c r="Q1067" s="223"/>
      <c r="R1067" s="223"/>
      <c r="S1067" s="284"/>
    </row>
    <row r="1068" spans="1:19" ht="12.75" customHeight="1" x14ac:dyDescent="0.2">
      <c r="A1068" s="188" t="str">
        <f>"   "&amp;Labels!B385</f>
        <v xml:space="preserve">   Prof Level 1</v>
      </c>
      <c r="B1068" s="166">
        <f>IF(C12&lt;=Inputs!Z183/12+0.001,B987,IF(C12&lt;=(1+Inputs!Z183)/12+0.001,0.5*(B987+C1068),'GM CostSvcs'!B351/B1126*12/Inputs!F189))</f>
        <v>0</v>
      </c>
      <c r="C1068" s="166">
        <f>IF(D12&lt;=Inputs!Z183/12+0.001,C987,IF(D12&lt;=(1+Inputs!Z183)/12+0.001,0.5*(B987+D1068),'GM CostSvcs'!C351/B1126*12/Inputs!G189))</f>
        <v>0</v>
      </c>
      <c r="D1068" s="166">
        <f>IF(E12&lt;=Inputs!Z183/12+0.001,D987,IF(E12&lt;=(1+Inputs!Z183)/12+0.001,0.5*(C987+E1068),'GM CostSvcs'!D351/B1126*12/Inputs!H189))</f>
        <v>0</v>
      </c>
      <c r="E1068" s="166">
        <f>IF(F12&lt;=Inputs!Z183/12+0.001,E987,IF(F12&lt;=(1+Inputs!Z183)/12+0.001,0.5*(D987+F1068),'GM CostSvcs'!F351/B1126*12/Inputs!I189))</f>
        <v>0</v>
      </c>
      <c r="F1068" s="166">
        <f>IF(G12&lt;=Inputs!Z183/12+0.001,F987,IF(G12&lt;=(1+Inputs!Z183)/12+0.001,0.5*(E987+G1068),'GM CostSvcs'!G351/B1126*12/Inputs!J189))</f>
        <v>0</v>
      </c>
      <c r="G1068" s="166">
        <f>IF(H12&lt;=Inputs!Z183/12+0.001,G987,IF(H12&lt;=(1+Inputs!Z183)/12+0.001,0.5*(F987+H1068),'GM CostSvcs'!H351/B1126*12/Inputs!K189))</f>
        <v>0</v>
      </c>
      <c r="H1068" s="166">
        <f>IF(I12&lt;=Inputs!Z183/12+0.001,H987,IF(I12&lt;=(1+Inputs!Z183)/12+0.001,0.5*(G987+I1068),'GM CostSvcs'!J351/B1126*12/Inputs!L189))</f>
        <v>0.83333333333333326</v>
      </c>
      <c r="I1068" s="166">
        <f>IF(J12&lt;=Inputs!Z183/12+0.001,I987,IF(J12&lt;=(1+Inputs!Z183)/12+0.001,0.5*(H987+J1068),'GM CostSvcs'!K351/B1126*12/Inputs!M189))</f>
        <v>1.6666666666666665</v>
      </c>
      <c r="J1068" s="166">
        <f>IF(K12&lt;=Inputs!Z183/12+0.001,J987,IF(K12&lt;=(1+Inputs!Z183)/12+0.001,0.5*(I987+K1068),'GM CostSvcs'!L351/B1126*12/Inputs!N189))</f>
        <v>0</v>
      </c>
      <c r="K1068" s="166">
        <f>IF(L12&lt;=Inputs!Z183/12+0.001,K987,IF(L12&lt;=(1+Inputs!Z183)/12+0.001,0.5*(J987+L1068),'GM CostSvcs'!N351/B1126*12/Inputs!O189))</f>
        <v>0</v>
      </c>
      <c r="L1068" s="166">
        <f>IF(M12&lt;=Inputs!Z183/12+0.001,L987,IF(M12&lt;=(1+Inputs!Z183)/12+0.001,0.5*(K987+M1068),'GM CostSvcs'!O351/B1126*12/Inputs!P189))</f>
        <v>0</v>
      </c>
      <c r="M1068" s="166">
        <f>IF(N12&lt;=Inputs!Z183/12+0.001,M987,IF(N12&lt;=(1+Inputs!Z183)/12+0.001,0.5*(L987+N1068),'GM CostSvcs'!P351/B1126*12/Inputs!Q189))</f>
        <v>0</v>
      </c>
      <c r="N1068" s="166">
        <f>IF(O12&lt;=Inputs!Z183/12+0.001,N987,IF(O12&lt;=(1+Inputs!Z183)/12+0.001,0.5*(M987+O1068),'GM CostSvcs'!R351/B1126*12/Inputs!R189))</f>
        <v>0</v>
      </c>
      <c r="O1068" s="166">
        <f>IF(P12&lt;=Inputs!Z183/12+0.001,O987,IF(P12&lt;=(1+Inputs!Z183)/12+0.001,0.5*(N987+P1068),'GM CostSvcs'!S351/B1126*12/Inputs!S189))</f>
        <v>0</v>
      </c>
      <c r="P1068" s="166">
        <f>IF(Q12&lt;=Inputs!Z183/12+0.001,P987,IF(Q12&lt;=(1+Inputs!Z183)/12+0.001,0.5*(O987+Q1068),'GM CostSvcs'!T351/B1126*12/Inputs!T189))</f>
        <v>0</v>
      </c>
      <c r="Q1068" s="166">
        <f>IF(R12&lt;=Inputs!Z183/12+0.001,Q987,IF(R12&lt;=(1+Inputs!Z183)/12+0.001,0.5*(P987+R1068),'GM CostSvcs'!V351/B1126*12/Inputs!U189))</f>
        <v>0</v>
      </c>
      <c r="R1068" s="166">
        <f>IF(S12&lt;=Inputs!Z183/12+0.001,R987,IF(S12&lt;=(1+Inputs!Z183)/12+0.001,0.5*(Q987+S1068),'GM CostSvcs'!W351/B1126*12/Inputs!V189))</f>
        <v>0</v>
      </c>
      <c r="S1068" s="285">
        <f>IF(T12&lt;=Inputs!Z183/12+0.001,S987,IF(T12&lt;=(1+Inputs!Z183)/12+0.001,0.5*(R987+S987),'GM CostSvcs'!X351/B1126*12/Inputs!W189))</f>
        <v>0</v>
      </c>
    </row>
    <row r="1069" spans="1:19" ht="12.75" customHeight="1" x14ac:dyDescent="0.2">
      <c r="A1069" s="188" t="str">
        <f>"   "&amp;Labels!B386</f>
        <v xml:space="preserve">   Prof Level 2</v>
      </c>
      <c r="B1069" s="166">
        <f>IF(C12&lt;=Inputs!Z183/12+0.001,B988,IF(C12&lt;=(1+Inputs!Z183)/12+0.001,0.5*(B988+C1069),'GM CostSvcs'!B352/B1127*12/Inputs!F190))</f>
        <v>0</v>
      </c>
      <c r="C1069" s="166">
        <f>IF(D12&lt;=Inputs!Z183/12+0.001,C988,IF(D12&lt;=(1+Inputs!Z183)/12+0.001,0.5*(B988+D1069),'GM CostSvcs'!C352/B1127*12/Inputs!G190))</f>
        <v>0</v>
      </c>
      <c r="D1069" s="166">
        <f>IF(E12&lt;=Inputs!Z183/12+0.001,D988,IF(E12&lt;=(1+Inputs!Z183)/12+0.001,0.5*(C988+E1069),'GM CostSvcs'!D352/B1127*12/Inputs!H190))</f>
        <v>0</v>
      </c>
      <c r="E1069" s="166">
        <f>IF(F12&lt;=Inputs!Z183/12+0.001,E988,IF(F12&lt;=(1+Inputs!Z183)/12+0.001,0.5*(D988+F1069),'GM CostSvcs'!F352/B1127*12/Inputs!I190))</f>
        <v>0</v>
      </c>
      <c r="F1069" s="166">
        <f>IF(G12&lt;=Inputs!Z183/12+0.001,F988,IF(G12&lt;=(1+Inputs!Z183)/12+0.001,0.5*(E988+G1069),'GM CostSvcs'!G352/B1127*12/Inputs!J190))</f>
        <v>0</v>
      </c>
      <c r="G1069" s="166">
        <f>IF(H12&lt;=Inputs!Z183/12+0.001,G988,IF(H12&lt;=(1+Inputs!Z183)/12+0.001,0.5*(F988+H1069),'GM CostSvcs'!H352/B1127*12/Inputs!K190))</f>
        <v>0</v>
      </c>
      <c r="H1069" s="166">
        <f>IF(I12&lt;=Inputs!Z183/12+0.001,H988,IF(I12&lt;=(1+Inputs!Z183)/12+0.001,0.5*(G988+I1069),'GM CostSvcs'!J352/B1127*12/Inputs!L190))</f>
        <v>0.83333333333333326</v>
      </c>
      <c r="I1069" s="166">
        <f>IF(J12&lt;=Inputs!Z183/12+0.001,I988,IF(J12&lt;=(1+Inputs!Z183)/12+0.001,0.5*(H988+J1069),'GM CostSvcs'!K352/B1127*12/Inputs!M190))</f>
        <v>1.6666666666666665</v>
      </c>
      <c r="J1069" s="166">
        <f>IF(K12&lt;=Inputs!Z183/12+0.001,J988,IF(K12&lt;=(1+Inputs!Z183)/12+0.001,0.5*(I988+K1069),'GM CostSvcs'!L352/B1127*12/Inputs!N190))</f>
        <v>0</v>
      </c>
      <c r="K1069" s="166">
        <f>IF(L12&lt;=Inputs!Z183/12+0.001,K988,IF(L12&lt;=(1+Inputs!Z183)/12+0.001,0.5*(J988+L1069),'GM CostSvcs'!N352/B1127*12/Inputs!O190))</f>
        <v>0</v>
      </c>
      <c r="L1069" s="166">
        <f>IF(M12&lt;=Inputs!Z183/12+0.001,L988,IF(M12&lt;=(1+Inputs!Z183)/12+0.001,0.5*(K988+M1069),'GM CostSvcs'!O352/B1127*12/Inputs!P190))</f>
        <v>0</v>
      </c>
      <c r="M1069" s="166">
        <f>IF(N12&lt;=Inputs!Z183/12+0.001,M988,IF(N12&lt;=(1+Inputs!Z183)/12+0.001,0.5*(L988+N1069),'GM CostSvcs'!P352/B1127*12/Inputs!Q190))</f>
        <v>0</v>
      </c>
      <c r="N1069" s="166">
        <f>IF(O12&lt;=Inputs!Z183/12+0.001,N988,IF(O12&lt;=(1+Inputs!Z183)/12+0.001,0.5*(M988+O1069),'GM CostSvcs'!R352/B1127*12/Inputs!R190))</f>
        <v>0</v>
      </c>
      <c r="O1069" s="166">
        <f>IF(P12&lt;=Inputs!Z183/12+0.001,O988,IF(P12&lt;=(1+Inputs!Z183)/12+0.001,0.5*(N988+P1069),'GM CostSvcs'!S352/B1127*12/Inputs!S190))</f>
        <v>0</v>
      </c>
      <c r="P1069" s="166">
        <f>IF(Q12&lt;=Inputs!Z183/12+0.001,P988,IF(Q12&lt;=(1+Inputs!Z183)/12+0.001,0.5*(O988+Q1069),'GM CostSvcs'!T352/B1127*12/Inputs!T190))</f>
        <v>0</v>
      </c>
      <c r="Q1069" s="166">
        <f>IF(R12&lt;=Inputs!Z183/12+0.001,Q988,IF(R12&lt;=(1+Inputs!Z183)/12+0.001,0.5*(P988+R1069),'GM CostSvcs'!V352/B1127*12/Inputs!U190))</f>
        <v>0</v>
      </c>
      <c r="R1069" s="166">
        <f>IF(S12&lt;=Inputs!Z183/12+0.001,R988,IF(S12&lt;=(1+Inputs!Z183)/12+0.001,0.5*(Q988+S1069),'GM CostSvcs'!W352/B1127*12/Inputs!V190))</f>
        <v>0</v>
      </c>
      <c r="S1069" s="285">
        <f>IF(T12&lt;=Inputs!Z183/12+0.001,S988,IF(T12&lt;=(1+Inputs!Z183)/12+0.001,0.5*(R988+S988),'GM CostSvcs'!X352/B1127*12/Inputs!W190))</f>
        <v>0</v>
      </c>
    </row>
    <row r="1070" spans="1:19" ht="12.75" customHeight="1" x14ac:dyDescent="0.2">
      <c r="A1070" s="191" t="str">
        <f>"   "&amp;Labels!C384</f>
        <v xml:space="preserve">   Total</v>
      </c>
      <c r="B1070" s="216">
        <f t="shared" ref="B1070:S1070" si="582">SUM(B1068:B1069)</f>
        <v>0</v>
      </c>
      <c r="C1070" s="216">
        <f t="shared" si="582"/>
        <v>0</v>
      </c>
      <c r="D1070" s="216">
        <f t="shared" si="582"/>
        <v>0</v>
      </c>
      <c r="E1070" s="216">
        <f t="shared" si="582"/>
        <v>0</v>
      </c>
      <c r="F1070" s="216">
        <f t="shared" si="582"/>
        <v>0</v>
      </c>
      <c r="G1070" s="216">
        <f t="shared" si="582"/>
        <v>0</v>
      </c>
      <c r="H1070" s="216">
        <f t="shared" si="582"/>
        <v>1.6666666666666665</v>
      </c>
      <c r="I1070" s="216">
        <f t="shared" si="582"/>
        <v>3.333333333333333</v>
      </c>
      <c r="J1070" s="216">
        <f t="shared" si="582"/>
        <v>0</v>
      </c>
      <c r="K1070" s="216">
        <f t="shared" si="582"/>
        <v>0</v>
      </c>
      <c r="L1070" s="216">
        <f t="shared" si="582"/>
        <v>0</v>
      </c>
      <c r="M1070" s="216">
        <f t="shared" si="582"/>
        <v>0</v>
      </c>
      <c r="N1070" s="216">
        <f t="shared" si="582"/>
        <v>0</v>
      </c>
      <c r="O1070" s="216">
        <f t="shared" si="582"/>
        <v>0</v>
      </c>
      <c r="P1070" s="216">
        <f t="shared" si="582"/>
        <v>0</v>
      </c>
      <c r="Q1070" s="216">
        <f t="shared" si="582"/>
        <v>0</v>
      </c>
      <c r="R1070" s="216">
        <f t="shared" si="582"/>
        <v>0</v>
      </c>
      <c r="S1070" s="287">
        <f t="shared" si="582"/>
        <v>0</v>
      </c>
    </row>
    <row r="1071" spans="1:19" ht="12.75" customHeight="1" x14ac:dyDescent="0.2">
      <c r="A1071" s="191" t="str">
        <f>Labels!B382</f>
        <v>Practice 2</v>
      </c>
      <c r="B1071" s="216"/>
      <c r="C1071" s="216"/>
      <c r="D1071" s="216"/>
      <c r="E1071" s="216"/>
      <c r="F1071" s="216"/>
      <c r="G1071" s="216"/>
      <c r="H1071" s="216"/>
      <c r="I1071" s="216"/>
      <c r="J1071" s="216"/>
      <c r="K1071" s="216"/>
      <c r="L1071" s="216"/>
      <c r="M1071" s="216"/>
      <c r="N1071" s="216"/>
      <c r="O1071" s="216"/>
      <c r="P1071" s="216"/>
      <c r="Q1071" s="216"/>
      <c r="R1071" s="216"/>
      <c r="S1071" s="287"/>
    </row>
    <row r="1072" spans="1:19" ht="12.75" customHeight="1" x14ac:dyDescent="0.2">
      <c r="A1072" s="188" t="str">
        <f>"   "&amp;Labels!B385</f>
        <v xml:space="preserve">   Prof Level 1</v>
      </c>
      <c r="B1072" s="166">
        <f>IF(C12&lt;=Inputs!Z183/12+0.001,B991,IF(C12&lt;=(1+Inputs!Z183)/12+0.001,0.5*(B991+C1072),'GM CostSvcs'!B355/C1126*12/Inputs!F191))</f>
        <v>0</v>
      </c>
      <c r="C1072" s="166">
        <f>IF(D12&lt;=Inputs!Z183/12+0.001,C991,IF(D12&lt;=(1+Inputs!Z183)/12+0.001,0.5*(B991+D1072),'GM CostSvcs'!C355/C1126*12/Inputs!G191))</f>
        <v>0</v>
      </c>
      <c r="D1072" s="166">
        <f>IF(E12&lt;=Inputs!Z183/12+0.001,D991,IF(E12&lt;=(1+Inputs!Z183)/12+0.001,0.5*(C991+E1072),'GM CostSvcs'!D355/C1126*12/Inputs!H191))</f>
        <v>0</v>
      </c>
      <c r="E1072" s="166">
        <f>IF(F12&lt;=Inputs!Z183/12+0.001,E991,IF(F12&lt;=(1+Inputs!Z183)/12+0.001,0.5*(D991+F1072),'GM CostSvcs'!F355/C1126*12/Inputs!I191))</f>
        <v>0</v>
      </c>
      <c r="F1072" s="166">
        <f>IF(G12&lt;=Inputs!Z183/12+0.001,F991,IF(G12&lt;=(1+Inputs!Z183)/12+0.001,0.5*(E991+G1072),'GM CostSvcs'!G355/C1126*12/Inputs!J191))</f>
        <v>0</v>
      </c>
      <c r="G1072" s="166">
        <f>IF(H12&lt;=Inputs!Z183/12+0.001,G991,IF(H12&lt;=(1+Inputs!Z183)/12+0.001,0.5*(F991+H1072),'GM CostSvcs'!H355/C1126*12/Inputs!K191))</f>
        <v>0</v>
      </c>
      <c r="H1072" s="166">
        <f>IF(I12&lt;=Inputs!Z183/12+0.001,H991,IF(I12&lt;=(1+Inputs!Z183)/12+0.001,0.5*(G991+I1072),'GM CostSvcs'!J355/C1126*12/Inputs!L191))</f>
        <v>0</v>
      </c>
      <c r="I1072" s="166">
        <f>IF(J12&lt;=Inputs!Z183/12+0.001,I991,IF(J12&lt;=(1+Inputs!Z183)/12+0.001,0.5*(H991+J1072),'GM CostSvcs'!K355/C1126*12/Inputs!M191))</f>
        <v>0</v>
      </c>
      <c r="J1072" s="166">
        <f>IF(K12&lt;=Inputs!Z183/12+0.001,J991,IF(K12&lt;=(1+Inputs!Z183)/12+0.001,0.5*(I991+K1072),'GM CostSvcs'!L355/C1126*12/Inputs!N191))</f>
        <v>0</v>
      </c>
      <c r="K1072" s="166">
        <f>IF(L12&lt;=Inputs!Z183/12+0.001,K991,IF(L12&lt;=(1+Inputs!Z183)/12+0.001,0.5*(J991+L1072),'GM CostSvcs'!N355/C1126*12/Inputs!O191))</f>
        <v>0</v>
      </c>
      <c r="L1072" s="166">
        <f>IF(M12&lt;=Inputs!Z183/12+0.001,L991,IF(M12&lt;=(1+Inputs!Z183)/12+0.001,0.5*(K991+M1072),'GM CostSvcs'!O355/C1126*12/Inputs!P191))</f>
        <v>0</v>
      </c>
      <c r="M1072" s="166">
        <f>IF(N12&lt;=Inputs!Z183/12+0.001,M991,IF(N12&lt;=(1+Inputs!Z183)/12+0.001,0.5*(L991+N1072),'GM CostSvcs'!P355/C1126*12/Inputs!Q191))</f>
        <v>0</v>
      </c>
      <c r="N1072" s="166">
        <f>IF(O12&lt;=Inputs!Z183/12+0.001,N991,IF(O12&lt;=(1+Inputs!Z183)/12+0.001,0.5*(M991+O1072),'GM CostSvcs'!R355/C1126*12/Inputs!R191))</f>
        <v>0</v>
      </c>
      <c r="O1072" s="166">
        <f>IF(P12&lt;=Inputs!Z183/12+0.001,O991,IF(P12&lt;=(1+Inputs!Z183)/12+0.001,0.5*(N991+P1072),'GM CostSvcs'!S355/C1126*12/Inputs!S191))</f>
        <v>0</v>
      </c>
      <c r="P1072" s="166">
        <f>IF(Q12&lt;=Inputs!Z183/12+0.001,P991,IF(Q12&lt;=(1+Inputs!Z183)/12+0.001,0.5*(O991+Q1072),'GM CostSvcs'!T355/C1126*12/Inputs!T191))</f>
        <v>0</v>
      </c>
      <c r="Q1072" s="166">
        <f>IF(R12&lt;=Inputs!Z183/12+0.001,Q991,IF(R12&lt;=(1+Inputs!Z183)/12+0.001,0.5*(P991+R1072),'GM CostSvcs'!V355/C1126*12/Inputs!U191))</f>
        <v>0</v>
      </c>
      <c r="R1072" s="166">
        <f>IF(S12&lt;=Inputs!Z183/12+0.001,R991,IF(S12&lt;=(1+Inputs!Z183)/12+0.001,0.5*(Q991+S1072),'GM CostSvcs'!W355/C1126*12/Inputs!V191))</f>
        <v>0</v>
      </c>
      <c r="S1072" s="285">
        <f>IF(T12&lt;=Inputs!Z183/12+0.001,S991,IF(T12&lt;=(1+Inputs!Z183)/12+0.001,0.5*(R991+S991),'GM CostSvcs'!X355/C1126*12/Inputs!W191))</f>
        <v>0</v>
      </c>
    </row>
    <row r="1073" spans="1:19" ht="12.75" customHeight="1" x14ac:dyDescent="0.2">
      <c r="A1073" s="188" t="str">
        <f>"   "&amp;Labels!B386</f>
        <v xml:space="preserve">   Prof Level 2</v>
      </c>
      <c r="B1073" s="166">
        <f>IF(C12&lt;=Inputs!Z183/12+0.001,B992,IF(C12&lt;=(1+Inputs!Z183)/12+0.001,0.5*(B992+C1073),'GM CostSvcs'!B356/C1127*12/Inputs!F192))</f>
        <v>0</v>
      </c>
      <c r="C1073" s="166">
        <f>IF(D12&lt;=Inputs!Z183/12+0.001,C992,IF(D12&lt;=(1+Inputs!Z183)/12+0.001,0.5*(B992+D1073),'GM CostSvcs'!C356/C1127*12/Inputs!G192))</f>
        <v>0</v>
      </c>
      <c r="D1073" s="166">
        <f>IF(E12&lt;=Inputs!Z183/12+0.001,D992,IF(E12&lt;=(1+Inputs!Z183)/12+0.001,0.5*(C992+E1073),'GM CostSvcs'!D356/C1127*12/Inputs!H192))</f>
        <v>0</v>
      </c>
      <c r="E1073" s="166">
        <f>IF(F12&lt;=Inputs!Z183/12+0.001,E992,IF(F12&lt;=(1+Inputs!Z183)/12+0.001,0.5*(D992+F1073),'GM CostSvcs'!F356/C1127*12/Inputs!I192))</f>
        <v>0</v>
      </c>
      <c r="F1073" s="166">
        <f>IF(G12&lt;=Inputs!Z183/12+0.001,F992,IF(G12&lt;=(1+Inputs!Z183)/12+0.001,0.5*(E992+G1073),'GM CostSvcs'!G356/C1127*12/Inputs!J192))</f>
        <v>0</v>
      </c>
      <c r="G1073" s="166">
        <f>IF(H12&lt;=Inputs!Z183/12+0.001,G992,IF(H12&lt;=(1+Inputs!Z183)/12+0.001,0.5*(F992+H1073),'GM CostSvcs'!H356/C1127*12/Inputs!K192))</f>
        <v>0</v>
      </c>
      <c r="H1073" s="166">
        <f>IF(I12&lt;=Inputs!Z183/12+0.001,H992,IF(I12&lt;=(1+Inputs!Z183)/12+0.001,0.5*(G992+I1073),'GM CostSvcs'!J356/C1127*12/Inputs!L192))</f>
        <v>0</v>
      </c>
      <c r="I1073" s="166">
        <f>IF(J12&lt;=Inputs!Z183/12+0.001,I992,IF(J12&lt;=(1+Inputs!Z183)/12+0.001,0.5*(H992+J1073),'GM CostSvcs'!K356/C1127*12/Inputs!M192))</f>
        <v>0</v>
      </c>
      <c r="J1073" s="166">
        <f>IF(K12&lt;=Inputs!Z183/12+0.001,J992,IF(K12&lt;=(1+Inputs!Z183)/12+0.001,0.5*(I992+K1073),'GM CostSvcs'!L356/C1127*12/Inputs!N192))</f>
        <v>0</v>
      </c>
      <c r="K1073" s="166">
        <f>IF(L12&lt;=Inputs!Z183/12+0.001,K992,IF(L12&lt;=(1+Inputs!Z183)/12+0.001,0.5*(J992+L1073),'GM CostSvcs'!N356/C1127*12/Inputs!O192))</f>
        <v>0</v>
      </c>
      <c r="L1073" s="166">
        <f>IF(M12&lt;=Inputs!Z183/12+0.001,L992,IF(M12&lt;=(1+Inputs!Z183)/12+0.001,0.5*(K992+M1073),'GM CostSvcs'!O356/C1127*12/Inputs!P192))</f>
        <v>0</v>
      </c>
      <c r="M1073" s="166">
        <f>IF(N12&lt;=Inputs!Z183/12+0.001,M992,IF(N12&lt;=(1+Inputs!Z183)/12+0.001,0.5*(L992+N1073),'GM CostSvcs'!P356/C1127*12/Inputs!Q192))</f>
        <v>0</v>
      </c>
      <c r="N1073" s="166">
        <f>IF(O12&lt;=Inputs!Z183/12+0.001,N992,IF(O12&lt;=(1+Inputs!Z183)/12+0.001,0.5*(M992+O1073),'GM CostSvcs'!R356/C1127*12/Inputs!R192))</f>
        <v>0</v>
      </c>
      <c r="O1073" s="166">
        <f>IF(P12&lt;=Inputs!Z183/12+0.001,O992,IF(P12&lt;=(1+Inputs!Z183)/12+0.001,0.5*(N992+P1073),'GM CostSvcs'!S356/C1127*12/Inputs!S192))</f>
        <v>0</v>
      </c>
      <c r="P1073" s="166">
        <f>IF(Q12&lt;=Inputs!Z183/12+0.001,P992,IF(Q12&lt;=(1+Inputs!Z183)/12+0.001,0.5*(O992+Q1073),'GM CostSvcs'!T356/C1127*12/Inputs!T192))</f>
        <v>0</v>
      </c>
      <c r="Q1073" s="166">
        <f>IF(R12&lt;=Inputs!Z183/12+0.001,Q992,IF(R12&lt;=(1+Inputs!Z183)/12+0.001,0.5*(P992+R1073),'GM CostSvcs'!V356/C1127*12/Inputs!U192))</f>
        <v>0</v>
      </c>
      <c r="R1073" s="166">
        <f>IF(S12&lt;=Inputs!Z183/12+0.001,R992,IF(S12&lt;=(1+Inputs!Z183)/12+0.001,0.5*(Q992+S1073),'GM CostSvcs'!W356/C1127*12/Inputs!V192))</f>
        <v>0</v>
      </c>
      <c r="S1073" s="285">
        <f>IF(T12&lt;=Inputs!Z183/12+0.001,S992,IF(T12&lt;=(1+Inputs!Z183)/12+0.001,0.5*(R992+S992),'GM CostSvcs'!X356/C1127*12/Inputs!W192))</f>
        <v>0</v>
      </c>
    </row>
    <row r="1074" spans="1:19" ht="12.75" customHeight="1" x14ac:dyDescent="0.2">
      <c r="A1074" s="191" t="str">
        <f>"   "&amp;Labels!C384</f>
        <v xml:space="preserve">   Total</v>
      </c>
      <c r="B1074" s="216">
        <f t="shared" ref="B1074:S1074" si="583">SUM(B1072:B1073)</f>
        <v>0</v>
      </c>
      <c r="C1074" s="216">
        <f t="shared" si="583"/>
        <v>0</v>
      </c>
      <c r="D1074" s="216">
        <f t="shared" si="583"/>
        <v>0</v>
      </c>
      <c r="E1074" s="216">
        <f t="shared" si="583"/>
        <v>0</v>
      </c>
      <c r="F1074" s="216">
        <f t="shared" si="583"/>
        <v>0</v>
      </c>
      <c r="G1074" s="216">
        <f t="shared" si="583"/>
        <v>0</v>
      </c>
      <c r="H1074" s="216">
        <f t="shared" si="583"/>
        <v>0</v>
      </c>
      <c r="I1074" s="216">
        <f t="shared" si="583"/>
        <v>0</v>
      </c>
      <c r="J1074" s="216">
        <f t="shared" si="583"/>
        <v>0</v>
      </c>
      <c r="K1074" s="216">
        <f t="shared" si="583"/>
        <v>0</v>
      </c>
      <c r="L1074" s="216">
        <f t="shared" si="583"/>
        <v>0</v>
      </c>
      <c r="M1074" s="216">
        <f t="shared" si="583"/>
        <v>0</v>
      </c>
      <c r="N1074" s="216">
        <f t="shared" si="583"/>
        <v>0</v>
      </c>
      <c r="O1074" s="216">
        <f t="shared" si="583"/>
        <v>0</v>
      </c>
      <c r="P1074" s="216">
        <f t="shared" si="583"/>
        <v>0</v>
      </c>
      <c r="Q1074" s="216">
        <f t="shared" si="583"/>
        <v>0</v>
      </c>
      <c r="R1074" s="216">
        <f t="shared" si="583"/>
        <v>0</v>
      </c>
      <c r="S1074" s="287">
        <f t="shared" si="583"/>
        <v>0</v>
      </c>
    </row>
    <row r="1075" spans="1:19" ht="12.75" customHeight="1" x14ac:dyDescent="0.2">
      <c r="A1075" s="97" t="str">
        <f>Labels!C380</f>
        <v>Total</v>
      </c>
      <c r="B1075" s="374">
        <f t="shared" ref="B1075:S1075" si="584">SUM(B1070,B1074)</f>
        <v>0</v>
      </c>
      <c r="C1075" s="374">
        <f t="shared" si="584"/>
        <v>0</v>
      </c>
      <c r="D1075" s="374">
        <f t="shared" si="584"/>
        <v>0</v>
      </c>
      <c r="E1075" s="374">
        <f t="shared" si="584"/>
        <v>0</v>
      </c>
      <c r="F1075" s="374">
        <f t="shared" si="584"/>
        <v>0</v>
      </c>
      <c r="G1075" s="374">
        <f t="shared" si="584"/>
        <v>0</v>
      </c>
      <c r="H1075" s="374">
        <f t="shared" si="584"/>
        <v>1.6666666666666665</v>
      </c>
      <c r="I1075" s="374">
        <f t="shared" si="584"/>
        <v>3.333333333333333</v>
      </c>
      <c r="J1075" s="374">
        <f t="shared" si="584"/>
        <v>0</v>
      </c>
      <c r="K1075" s="374">
        <f t="shared" si="584"/>
        <v>0</v>
      </c>
      <c r="L1075" s="374">
        <f t="shared" si="584"/>
        <v>0</v>
      </c>
      <c r="M1075" s="374">
        <f t="shared" si="584"/>
        <v>0</v>
      </c>
      <c r="N1075" s="374">
        <f t="shared" si="584"/>
        <v>0</v>
      </c>
      <c r="O1075" s="374">
        <f t="shared" si="584"/>
        <v>0</v>
      </c>
      <c r="P1075" s="374">
        <f t="shared" si="584"/>
        <v>0</v>
      </c>
      <c r="Q1075" s="374">
        <f t="shared" si="584"/>
        <v>0</v>
      </c>
      <c r="R1075" s="374">
        <f t="shared" si="584"/>
        <v>0</v>
      </c>
      <c r="S1075" s="403">
        <f t="shared" si="584"/>
        <v>0</v>
      </c>
    </row>
    <row r="1076" spans="1:19" ht="12.75" customHeight="1" x14ac:dyDescent="0.2">
      <c r="A1076" s="188" t="str">
        <f>"   "&amp;Labels!B385</f>
        <v xml:space="preserve">   Prof Level 1</v>
      </c>
      <c r="B1076" s="166">
        <f t="shared" ref="B1076:S1076" si="585">SUM(B1068,B1072)</f>
        <v>0</v>
      </c>
      <c r="C1076" s="166">
        <f t="shared" si="585"/>
        <v>0</v>
      </c>
      <c r="D1076" s="166">
        <f t="shared" si="585"/>
        <v>0</v>
      </c>
      <c r="E1076" s="166">
        <f t="shared" si="585"/>
        <v>0</v>
      </c>
      <c r="F1076" s="166">
        <f t="shared" si="585"/>
        <v>0</v>
      </c>
      <c r="G1076" s="166">
        <f t="shared" si="585"/>
        <v>0</v>
      </c>
      <c r="H1076" s="166">
        <f t="shared" si="585"/>
        <v>0.83333333333333326</v>
      </c>
      <c r="I1076" s="166">
        <f t="shared" si="585"/>
        <v>1.6666666666666665</v>
      </c>
      <c r="J1076" s="166">
        <f t="shared" si="585"/>
        <v>0</v>
      </c>
      <c r="K1076" s="166">
        <f t="shared" si="585"/>
        <v>0</v>
      </c>
      <c r="L1076" s="166">
        <f t="shared" si="585"/>
        <v>0</v>
      </c>
      <c r="M1076" s="166">
        <f t="shared" si="585"/>
        <v>0</v>
      </c>
      <c r="N1076" s="166">
        <f t="shared" si="585"/>
        <v>0</v>
      </c>
      <c r="O1076" s="166">
        <f t="shared" si="585"/>
        <v>0</v>
      </c>
      <c r="P1076" s="166">
        <f t="shared" si="585"/>
        <v>0</v>
      </c>
      <c r="Q1076" s="166">
        <f t="shared" si="585"/>
        <v>0</v>
      </c>
      <c r="R1076" s="166">
        <f t="shared" si="585"/>
        <v>0</v>
      </c>
      <c r="S1076" s="285">
        <f t="shared" si="585"/>
        <v>0</v>
      </c>
    </row>
    <row r="1077" spans="1:19" ht="12.75" customHeight="1" x14ac:dyDescent="0.2">
      <c r="A1077" s="188" t="str">
        <f>"   "&amp;Labels!B386</f>
        <v xml:space="preserve">   Prof Level 2</v>
      </c>
      <c r="B1077" s="166">
        <f t="shared" ref="B1077:S1077" si="586">SUM(B1069,B1073)</f>
        <v>0</v>
      </c>
      <c r="C1077" s="166">
        <f t="shared" si="586"/>
        <v>0</v>
      </c>
      <c r="D1077" s="166">
        <f t="shared" si="586"/>
        <v>0</v>
      </c>
      <c r="E1077" s="166">
        <f t="shared" si="586"/>
        <v>0</v>
      </c>
      <c r="F1077" s="166">
        <f t="shared" si="586"/>
        <v>0</v>
      </c>
      <c r="G1077" s="166">
        <f t="shared" si="586"/>
        <v>0</v>
      </c>
      <c r="H1077" s="166">
        <f t="shared" si="586"/>
        <v>0.83333333333333326</v>
      </c>
      <c r="I1077" s="166">
        <f t="shared" si="586"/>
        <v>1.6666666666666665</v>
      </c>
      <c r="J1077" s="166">
        <f t="shared" si="586"/>
        <v>0</v>
      </c>
      <c r="K1077" s="166">
        <f t="shared" si="586"/>
        <v>0</v>
      </c>
      <c r="L1077" s="166">
        <f t="shared" si="586"/>
        <v>0</v>
      </c>
      <c r="M1077" s="166">
        <f t="shared" si="586"/>
        <v>0</v>
      </c>
      <c r="N1077" s="166">
        <f t="shared" si="586"/>
        <v>0</v>
      </c>
      <c r="O1077" s="166">
        <f t="shared" si="586"/>
        <v>0</v>
      </c>
      <c r="P1077" s="166">
        <f t="shared" si="586"/>
        <v>0</v>
      </c>
      <c r="Q1077" s="166">
        <f t="shared" si="586"/>
        <v>0</v>
      </c>
      <c r="R1077" s="166">
        <f t="shared" si="586"/>
        <v>0</v>
      </c>
      <c r="S1077" s="285">
        <f t="shared" si="586"/>
        <v>0</v>
      </c>
    </row>
    <row r="1078" spans="1:19" ht="12.75" customHeight="1" x14ac:dyDescent="0.2">
      <c r="A1078" s="185" t="str">
        <f>"   "&amp;Labels!C384</f>
        <v xml:space="preserve">   Total</v>
      </c>
      <c r="B1078" s="297">
        <f t="shared" ref="B1078:S1078" si="587">SUM(B1070,B1074)</f>
        <v>0</v>
      </c>
      <c r="C1078" s="297">
        <f t="shared" si="587"/>
        <v>0</v>
      </c>
      <c r="D1078" s="297">
        <f t="shared" si="587"/>
        <v>0</v>
      </c>
      <c r="E1078" s="297">
        <f t="shared" si="587"/>
        <v>0</v>
      </c>
      <c r="F1078" s="297">
        <f t="shared" si="587"/>
        <v>0</v>
      </c>
      <c r="G1078" s="297">
        <f t="shared" si="587"/>
        <v>0</v>
      </c>
      <c r="H1078" s="297">
        <f t="shared" si="587"/>
        <v>1.6666666666666665</v>
      </c>
      <c r="I1078" s="297">
        <f t="shared" si="587"/>
        <v>3.333333333333333</v>
      </c>
      <c r="J1078" s="297">
        <f t="shared" si="587"/>
        <v>0</v>
      </c>
      <c r="K1078" s="297">
        <f t="shared" si="587"/>
        <v>0</v>
      </c>
      <c r="L1078" s="297">
        <f t="shared" si="587"/>
        <v>0</v>
      </c>
      <c r="M1078" s="297">
        <f t="shared" si="587"/>
        <v>0</v>
      </c>
      <c r="N1078" s="297">
        <f t="shared" si="587"/>
        <v>0</v>
      </c>
      <c r="O1078" s="297">
        <f t="shared" si="587"/>
        <v>0</v>
      </c>
      <c r="P1078" s="297">
        <f t="shared" si="587"/>
        <v>0</v>
      </c>
      <c r="Q1078" s="297">
        <f t="shared" si="587"/>
        <v>0</v>
      </c>
      <c r="R1078" s="297">
        <f t="shared" si="587"/>
        <v>0</v>
      </c>
      <c r="S1078" s="350">
        <f t="shared" si="587"/>
        <v>0</v>
      </c>
    </row>
    <row r="1079" spans="1:19" ht="12.75" customHeight="1" x14ac:dyDescent="0.2">
      <c r="A1079" s="1" t="str">
        <f>Labels!B192</f>
        <v>Prof Staff Hrs Engagements</v>
      </c>
    </row>
    <row r="1080" spans="1:19" ht="12.75" customHeight="1" x14ac:dyDescent="0.2">
      <c r="B1080" s="9" t="str">
        <f>'(FnCalls 1)'!F41</f>
        <v>MMM 2010</v>
      </c>
      <c r="C1080" s="10" t="str">
        <f>'(FnCalls 1)'!F42</f>
        <v>MMM 2010</v>
      </c>
      <c r="D1080" s="10" t="str">
        <f>'(FnCalls 1)'!F43</f>
        <v>MMM 2010</v>
      </c>
      <c r="E1080" s="10" t="str">
        <f>'(FnCalls 1)'!F44</f>
        <v>MMM 2010</v>
      </c>
      <c r="F1080" s="10" t="str">
        <f>'(FnCalls 1)'!F45</f>
        <v>MMM 2010</v>
      </c>
      <c r="G1080" s="10" t="str">
        <f>'(FnCalls 1)'!F46</f>
        <v>MMM 2010</v>
      </c>
      <c r="H1080" s="10" t="str">
        <f>'(FnCalls 1)'!F47</f>
        <v>MMM 2010</v>
      </c>
      <c r="I1080" s="10" t="str">
        <f>'(FnCalls 1)'!F48</f>
        <v>MMM 2010</v>
      </c>
      <c r="J1080" s="10" t="str">
        <f>'(FnCalls 1)'!F49</f>
        <v>MMM 2010</v>
      </c>
      <c r="K1080" s="10" t="str">
        <f>'(FnCalls 1)'!F50</f>
        <v>MMM 2010</v>
      </c>
      <c r="L1080" s="10" t="str">
        <f>'(FnCalls 1)'!F51</f>
        <v>MMM 2010</v>
      </c>
      <c r="M1080" s="10" t="str">
        <f>'(FnCalls 1)'!F52</f>
        <v>MMM 2010</v>
      </c>
      <c r="N1080" s="10" t="str">
        <f>'(FnCalls 1)'!F53</f>
        <v>MMM 2011</v>
      </c>
      <c r="O1080" s="10" t="str">
        <f>'(FnCalls 1)'!F54</f>
        <v>MMM 2011</v>
      </c>
      <c r="P1080" s="10" t="str">
        <f>'(FnCalls 1)'!F55</f>
        <v>MMM 2011</v>
      </c>
      <c r="Q1080" s="10" t="str">
        <f>'(FnCalls 1)'!F56</f>
        <v>MMM 2011</v>
      </c>
      <c r="R1080" s="10" t="str">
        <f>'(FnCalls 1)'!F57</f>
        <v>MMM 2011</v>
      </c>
      <c r="S1080" s="11" t="str">
        <f>'(FnCalls 1)'!F58</f>
        <v>MMM 2011</v>
      </c>
    </row>
    <row r="1081" spans="1:19" ht="12.75" customHeight="1" x14ac:dyDescent="0.2">
      <c r="A1081" s="182" t="str">
        <f>Labels!B381</f>
        <v>Practice 1</v>
      </c>
      <c r="B1081" s="254"/>
      <c r="C1081" s="254"/>
      <c r="D1081" s="254"/>
      <c r="E1081" s="254"/>
      <c r="F1081" s="254"/>
      <c r="G1081" s="254"/>
      <c r="H1081" s="254"/>
      <c r="I1081" s="254"/>
      <c r="J1081" s="254"/>
      <c r="K1081" s="254"/>
      <c r="L1081" s="254"/>
      <c r="M1081" s="254"/>
      <c r="N1081" s="254"/>
      <c r="O1081" s="254"/>
      <c r="P1081" s="254"/>
      <c r="Q1081" s="254"/>
      <c r="R1081" s="254"/>
      <c r="S1081" s="150"/>
    </row>
    <row r="1082" spans="1:19" ht="12.75" customHeight="1" x14ac:dyDescent="0.2">
      <c r="A1082" s="188" t="str">
        <f>"   "&amp;Labels!B385</f>
        <v xml:space="preserve">   Prof Level 1</v>
      </c>
      <c r="B1082" s="256"/>
      <c r="C1082" s="256"/>
      <c r="D1082" s="256"/>
      <c r="E1082" s="256"/>
      <c r="F1082" s="256"/>
      <c r="G1082" s="256"/>
      <c r="H1082" s="256"/>
      <c r="I1082" s="256"/>
      <c r="J1082" s="256"/>
      <c r="K1082" s="256"/>
      <c r="L1082" s="256"/>
      <c r="M1082" s="256"/>
      <c r="N1082" s="256"/>
      <c r="O1082" s="256"/>
      <c r="P1082" s="256"/>
      <c r="Q1082" s="256"/>
      <c r="R1082" s="256"/>
      <c r="S1082" s="290"/>
    </row>
    <row r="1083" spans="1:19" ht="12.75" customHeight="1" x14ac:dyDescent="0.2">
      <c r="A1083" s="198" t="str">
        <f>"      "&amp;Labels!B317</f>
        <v xml:space="preserve">      Channels 1</v>
      </c>
      <c r="B1083" s="258">
        <f>B1122*B410*Engage!B163+B1123*B411*Engage!B167+Engage!B254</f>
        <v>0</v>
      </c>
      <c r="C1083" s="258">
        <f>B1122*B410*Engage!C163+B1123*B411*Engage!C167+Engage!C254</f>
        <v>0</v>
      </c>
      <c r="D1083" s="258">
        <f>B1122*B410*Engage!D163+B1123*B411*Engage!D167+Engage!D254</f>
        <v>275</v>
      </c>
      <c r="E1083" s="258">
        <f>B1122*B410*Engage!E163+B1123*B411*Engage!E167+Engage!E254</f>
        <v>275</v>
      </c>
      <c r="F1083" s="258">
        <f>B1122*B410*Engage!F163+B1123*B411*Engage!F167+Engage!F254</f>
        <v>0</v>
      </c>
      <c r="G1083" s="258">
        <f>B1122*B410*Engage!G163+B1123*B411*Engage!G167+Engage!G254</f>
        <v>200</v>
      </c>
      <c r="H1083" s="258">
        <f>B1122*B410*Engage!H163+B1123*B411*Engage!H167+Engage!H254</f>
        <v>200</v>
      </c>
      <c r="I1083" s="258">
        <f>B1122*B410*Engage!I163+B1123*B411*Engage!I167+Engage!I254</f>
        <v>200</v>
      </c>
      <c r="J1083" s="258">
        <f>B1122*B410*Engage!J163+B1123*B411*Engage!J167+Engage!J254</f>
        <v>0</v>
      </c>
      <c r="K1083" s="258">
        <f>B1122*B410*Engage!K163+B1123*B411*Engage!K167+Engage!K254</f>
        <v>0</v>
      </c>
      <c r="L1083" s="258">
        <f>B1122*B410*Engage!L163+B1123*B411*Engage!L167+Engage!L254</f>
        <v>0</v>
      </c>
      <c r="M1083" s="258">
        <f>B1122*B410*Engage!M163+B1123*B411*Engage!M167+Engage!M254</f>
        <v>0</v>
      </c>
      <c r="N1083" s="258">
        <f>B1122*B410*Engage!N163+B1123*B411*Engage!N167+Engage!N254</f>
        <v>0</v>
      </c>
      <c r="O1083" s="258">
        <f>B1122*B410*Engage!O163+B1123*B411*Engage!O167+Engage!O254</f>
        <v>0</v>
      </c>
      <c r="P1083" s="258">
        <f>B1122*B410*Engage!P163+B1123*B411*Engage!P167+Engage!P254</f>
        <v>0</v>
      </c>
      <c r="Q1083" s="258">
        <f>B1122*B410*Engage!Q163+B1123*B411*Engage!Q167+Engage!Q254</f>
        <v>0</v>
      </c>
      <c r="R1083" s="258">
        <f>B1122*B410*Engage!R163+B1123*B411*Engage!R167+Engage!R254</f>
        <v>0</v>
      </c>
      <c r="S1083" s="291">
        <f>B1122*B410*Engage!S163+B1123*B411*Engage!S167+Engage!S254</f>
        <v>0</v>
      </c>
    </row>
    <row r="1084" spans="1:19" ht="12.75" customHeight="1" x14ac:dyDescent="0.2">
      <c r="A1084" s="198" t="str">
        <f>"      "&amp;Labels!B318</f>
        <v xml:space="preserve">      Channels 2</v>
      </c>
      <c r="B1084" s="258">
        <f>C1122*B410*Engage!B163+C1123*B411*Engage!B167+Engage!B255</f>
        <v>0</v>
      </c>
      <c r="C1084" s="258">
        <f>C1122*B410*Engage!C163+C1123*B411*Engage!C167+Engage!C255</f>
        <v>0</v>
      </c>
      <c r="D1084" s="258">
        <f>C1122*B410*Engage!D163+C1123*B411*Engage!D167+Engage!D255</f>
        <v>0</v>
      </c>
      <c r="E1084" s="258">
        <f>C1122*B410*Engage!E163+C1123*B411*Engage!E167+Engage!E255</f>
        <v>0</v>
      </c>
      <c r="F1084" s="258">
        <f>C1122*B410*Engage!F163+C1123*B411*Engage!F167+Engage!F255</f>
        <v>0</v>
      </c>
      <c r="G1084" s="258">
        <f>C1122*B410*Engage!G163+C1123*B411*Engage!G167+Engage!G255</f>
        <v>0</v>
      </c>
      <c r="H1084" s="258">
        <f>C1122*B410*Engage!H163+C1123*B411*Engage!H167+Engage!H255</f>
        <v>0</v>
      </c>
      <c r="I1084" s="258">
        <f>C1122*B410*Engage!I163+C1123*B411*Engage!I167+Engage!I255</f>
        <v>0</v>
      </c>
      <c r="J1084" s="258">
        <f>C1122*B410*Engage!J163+C1123*B411*Engage!J167+Engage!J255</f>
        <v>0</v>
      </c>
      <c r="K1084" s="258">
        <f>C1122*B410*Engage!K163+C1123*B411*Engage!K167+Engage!K255</f>
        <v>0</v>
      </c>
      <c r="L1084" s="258">
        <f>C1122*B410*Engage!L163+C1123*B411*Engage!L167+Engage!L255</f>
        <v>0</v>
      </c>
      <c r="M1084" s="258">
        <f>C1122*B410*Engage!M163+C1123*B411*Engage!M167+Engage!M255</f>
        <v>0</v>
      </c>
      <c r="N1084" s="258">
        <f>C1122*B410*Engage!N163+C1123*B411*Engage!N167+Engage!N255</f>
        <v>0</v>
      </c>
      <c r="O1084" s="258">
        <f>C1122*B410*Engage!O163+C1123*B411*Engage!O167+Engage!O255</f>
        <v>0</v>
      </c>
      <c r="P1084" s="258">
        <f>C1122*B410*Engage!P163+C1123*B411*Engage!P167+Engage!P255</f>
        <v>0</v>
      </c>
      <c r="Q1084" s="258">
        <f>C1122*B410*Engage!Q163+C1123*B411*Engage!Q167+Engage!Q255</f>
        <v>0</v>
      </c>
      <c r="R1084" s="258">
        <f>C1122*B410*Engage!R163+C1123*B411*Engage!R167+Engage!R255</f>
        <v>0</v>
      </c>
      <c r="S1084" s="291">
        <f>C1122*B410*Engage!S163+C1123*B411*Engage!S167+Engage!S255</f>
        <v>0</v>
      </c>
    </row>
    <row r="1085" spans="1:19" ht="12.75" customHeight="1" x14ac:dyDescent="0.2">
      <c r="A1085" s="188" t="str">
        <f>"      "&amp;Labels!C316</f>
        <v xml:space="preserve">      Total</v>
      </c>
      <c r="B1085" s="256">
        <f t="shared" ref="B1085:S1085" si="588">SUM(B1083:B1084)</f>
        <v>0</v>
      </c>
      <c r="C1085" s="256">
        <f t="shared" si="588"/>
        <v>0</v>
      </c>
      <c r="D1085" s="256">
        <f t="shared" si="588"/>
        <v>275</v>
      </c>
      <c r="E1085" s="256">
        <f t="shared" si="588"/>
        <v>275</v>
      </c>
      <c r="F1085" s="256">
        <f t="shared" si="588"/>
        <v>0</v>
      </c>
      <c r="G1085" s="256">
        <f t="shared" si="588"/>
        <v>200</v>
      </c>
      <c r="H1085" s="256">
        <f t="shared" si="588"/>
        <v>200</v>
      </c>
      <c r="I1085" s="256">
        <f t="shared" si="588"/>
        <v>200</v>
      </c>
      <c r="J1085" s="256">
        <f t="shared" si="588"/>
        <v>0</v>
      </c>
      <c r="K1085" s="256">
        <f t="shared" si="588"/>
        <v>0</v>
      </c>
      <c r="L1085" s="256">
        <f t="shared" si="588"/>
        <v>0</v>
      </c>
      <c r="M1085" s="256">
        <f t="shared" si="588"/>
        <v>0</v>
      </c>
      <c r="N1085" s="256">
        <f t="shared" si="588"/>
        <v>0</v>
      </c>
      <c r="O1085" s="256">
        <f t="shared" si="588"/>
        <v>0</v>
      </c>
      <c r="P1085" s="256">
        <f t="shared" si="588"/>
        <v>0</v>
      </c>
      <c r="Q1085" s="256">
        <f t="shared" si="588"/>
        <v>0</v>
      </c>
      <c r="R1085" s="256">
        <f t="shared" si="588"/>
        <v>0</v>
      </c>
      <c r="S1085" s="290">
        <f t="shared" si="588"/>
        <v>0</v>
      </c>
    </row>
    <row r="1086" spans="1:19" ht="12.75" customHeight="1" x14ac:dyDescent="0.2">
      <c r="A1086" s="188" t="str">
        <f>"   "&amp;Labels!B386</f>
        <v xml:space="preserve">   Prof Level 2</v>
      </c>
      <c r="B1086" s="256"/>
      <c r="C1086" s="256"/>
      <c r="D1086" s="256"/>
      <c r="E1086" s="256"/>
      <c r="F1086" s="256"/>
      <c r="G1086" s="256"/>
      <c r="H1086" s="256"/>
      <c r="I1086" s="256"/>
      <c r="J1086" s="256"/>
      <c r="K1086" s="256"/>
      <c r="L1086" s="256"/>
      <c r="M1086" s="256"/>
      <c r="N1086" s="256"/>
      <c r="O1086" s="256"/>
      <c r="P1086" s="256"/>
      <c r="Q1086" s="256"/>
      <c r="R1086" s="256"/>
      <c r="S1086" s="290"/>
    </row>
    <row r="1087" spans="1:19" ht="12.75" customHeight="1" x14ac:dyDescent="0.2">
      <c r="A1087" s="198" t="str">
        <f>"      "&amp;Labels!B317</f>
        <v xml:space="preserve">      Channels 1</v>
      </c>
      <c r="B1087" s="258">
        <f>B1122*B410*Engage!B164+B1123*B411*Engage!B168+Engage!B258</f>
        <v>0</v>
      </c>
      <c r="C1087" s="258">
        <f>B1122*B410*Engage!C164+B1123*B411*Engage!C168+Engage!C258</f>
        <v>0</v>
      </c>
      <c r="D1087" s="258">
        <f>B1122*B410*Engage!D164+B1123*B411*Engage!D168+Engage!D258</f>
        <v>275</v>
      </c>
      <c r="E1087" s="258">
        <f>B1122*B410*Engage!E164+B1123*B411*Engage!E168+Engage!E258</f>
        <v>275</v>
      </c>
      <c r="F1087" s="258">
        <f>B1122*B410*Engage!F164+B1123*B411*Engage!F168+Engage!F258</f>
        <v>0</v>
      </c>
      <c r="G1087" s="258">
        <f>B1122*B410*Engage!G164+B1123*B411*Engage!G168+Engage!G258</f>
        <v>200</v>
      </c>
      <c r="H1087" s="258">
        <f>B1122*B410*Engage!H164+B1123*B411*Engage!H168+Engage!H258</f>
        <v>200</v>
      </c>
      <c r="I1087" s="258">
        <f>B1122*B410*Engage!I164+B1123*B411*Engage!I168+Engage!I258</f>
        <v>200</v>
      </c>
      <c r="J1087" s="258">
        <f>B1122*B410*Engage!J164+B1123*B411*Engage!J168+Engage!J258</f>
        <v>0</v>
      </c>
      <c r="K1087" s="258">
        <f>B1122*B410*Engage!K164+B1123*B411*Engage!K168+Engage!K258</f>
        <v>0</v>
      </c>
      <c r="L1087" s="258">
        <f>B1122*B410*Engage!L164+B1123*B411*Engage!L168+Engage!L258</f>
        <v>0</v>
      </c>
      <c r="M1087" s="258">
        <f>B1122*B410*Engage!M164+B1123*B411*Engage!M168+Engage!M258</f>
        <v>0</v>
      </c>
      <c r="N1087" s="258">
        <f>B1122*B410*Engage!N164+B1123*B411*Engage!N168+Engage!N258</f>
        <v>0</v>
      </c>
      <c r="O1087" s="258">
        <f>B1122*B410*Engage!O164+B1123*B411*Engage!O168+Engage!O258</f>
        <v>0</v>
      </c>
      <c r="P1087" s="258">
        <f>B1122*B410*Engage!P164+B1123*B411*Engage!P168+Engage!P258</f>
        <v>0</v>
      </c>
      <c r="Q1087" s="258">
        <f>B1122*B410*Engage!Q164+B1123*B411*Engage!Q168+Engage!Q258</f>
        <v>0</v>
      </c>
      <c r="R1087" s="258">
        <f>B1122*B410*Engage!R164+B1123*B411*Engage!R168+Engage!R258</f>
        <v>0</v>
      </c>
      <c r="S1087" s="291">
        <f>B1122*B410*Engage!S164+B1123*B411*Engage!S168+Engage!S258</f>
        <v>0</v>
      </c>
    </row>
    <row r="1088" spans="1:19" ht="12.75" customHeight="1" x14ac:dyDescent="0.2">
      <c r="A1088" s="198" t="str">
        <f>"      "&amp;Labels!B318</f>
        <v xml:space="preserve">      Channels 2</v>
      </c>
      <c r="B1088" s="258">
        <f>C1122*B410*Engage!B164+C1123*B411*Engage!B168+Engage!B259</f>
        <v>0</v>
      </c>
      <c r="C1088" s="258">
        <f>C1122*B410*Engage!C164+C1123*B411*Engage!C168+Engage!C259</f>
        <v>0</v>
      </c>
      <c r="D1088" s="258">
        <f>C1122*B410*Engage!D164+C1123*B411*Engage!D168+Engage!D259</f>
        <v>0</v>
      </c>
      <c r="E1088" s="258">
        <f>C1122*B410*Engage!E164+C1123*B411*Engage!E168+Engage!E259</f>
        <v>0</v>
      </c>
      <c r="F1088" s="258">
        <f>C1122*B410*Engage!F164+C1123*B411*Engage!F168+Engage!F259</f>
        <v>0</v>
      </c>
      <c r="G1088" s="258">
        <f>C1122*B410*Engage!G164+C1123*B411*Engage!G168+Engage!G259</f>
        <v>0</v>
      </c>
      <c r="H1088" s="258">
        <f>C1122*B410*Engage!H164+C1123*B411*Engage!H168+Engage!H259</f>
        <v>0</v>
      </c>
      <c r="I1088" s="258">
        <f>C1122*B410*Engage!I164+C1123*B411*Engage!I168+Engage!I259</f>
        <v>0</v>
      </c>
      <c r="J1088" s="258">
        <f>C1122*B410*Engage!J164+C1123*B411*Engage!J168+Engage!J259</f>
        <v>0</v>
      </c>
      <c r="K1088" s="258">
        <f>C1122*B410*Engage!K164+C1123*B411*Engage!K168+Engage!K259</f>
        <v>0</v>
      </c>
      <c r="L1088" s="258">
        <f>C1122*B410*Engage!L164+C1123*B411*Engage!L168+Engage!L259</f>
        <v>0</v>
      </c>
      <c r="M1088" s="258">
        <f>C1122*B410*Engage!M164+C1123*B411*Engage!M168+Engage!M259</f>
        <v>0</v>
      </c>
      <c r="N1088" s="258">
        <f>C1122*B410*Engage!N164+C1123*B411*Engage!N168+Engage!N259</f>
        <v>0</v>
      </c>
      <c r="O1088" s="258">
        <f>C1122*B410*Engage!O164+C1123*B411*Engage!O168+Engage!O259</f>
        <v>0</v>
      </c>
      <c r="P1088" s="258">
        <f>C1122*B410*Engage!P164+C1123*B411*Engage!P168+Engage!P259</f>
        <v>0</v>
      </c>
      <c r="Q1088" s="258">
        <f>C1122*B410*Engage!Q164+C1123*B411*Engage!Q168+Engage!Q259</f>
        <v>0</v>
      </c>
      <c r="R1088" s="258">
        <f>C1122*B410*Engage!R164+C1123*B411*Engage!R168+Engage!R259</f>
        <v>0</v>
      </c>
      <c r="S1088" s="291">
        <f>C1122*B410*Engage!S164+C1123*B411*Engage!S168+Engage!S259</f>
        <v>0</v>
      </c>
    </row>
    <row r="1089" spans="1:19" ht="12.75" customHeight="1" x14ac:dyDescent="0.2">
      <c r="A1089" s="188" t="str">
        <f>"      "&amp;Labels!C316</f>
        <v xml:space="preserve">      Total</v>
      </c>
      <c r="B1089" s="256">
        <f t="shared" ref="B1089:S1089" si="589">SUM(B1087:B1088)</f>
        <v>0</v>
      </c>
      <c r="C1089" s="256">
        <f t="shared" si="589"/>
        <v>0</v>
      </c>
      <c r="D1089" s="256">
        <f t="shared" si="589"/>
        <v>275</v>
      </c>
      <c r="E1089" s="256">
        <f t="shared" si="589"/>
        <v>275</v>
      </c>
      <c r="F1089" s="256">
        <f t="shared" si="589"/>
        <v>0</v>
      </c>
      <c r="G1089" s="256">
        <f t="shared" si="589"/>
        <v>200</v>
      </c>
      <c r="H1089" s="256">
        <f t="shared" si="589"/>
        <v>200</v>
      </c>
      <c r="I1089" s="256">
        <f t="shared" si="589"/>
        <v>200</v>
      </c>
      <c r="J1089" s="256">
        <f t="shared" si="589"/>
        <v>0</v>
      </c>
      <c r="K1089" s="256">
        <f t="shared" si="589"/>
        <v>0</v>
      </c>
      <c r="L1089" s="256">
        <f t="shared" si="589"/>
        <v>0</v>
      </c>
      <c r="M1089" s="256">
        <f t="shared" si="589"/>
        <v>0</v>
      </c>
      <c r="N1089" s="256">
        <f t="shared" si="589"/>
        <v>0</v>
      </c>
      <c r="O1089" s="256">
        <f t="shared" si="589"/>
        <v>0</v>
      </c>
      <c r="P1089" s="256">
        <f t="shared" si="589"/>
        <v>0</v>
      </c>
      <c r="Q1089" s="256">
        <f t="shared" si="589"/>
        <v>0</v>
      </c>
      <c r="R1089" s="256">
        <f t="shared" si="589"/>
        <v>0</v>
      </c>
      <c r="S1089" s="290">
        <f t="shared" si="589"/>
        <v>0</v>
      </c>
    </row>
    <row r="1090" spans="1:19" ht="12.75" customHeight="1" x14ac:dyDescent="0.2">
      <c r="A1090" s="191" t="str">
        <f>"   "&amp;Labels!C384</f>
        <v xml:space="preserve">   Total</v>
      </c>
      <c r="B1090" s="260">
        <f t="shared" ref="B1090:S1090" si="590">SUM(B1085,B1089)</f>
        <v>0</v>
      </c>
      <c r="C1090" s="260">
        <f t="shared" si="590"/>
        <v>0</v>
      </c>
      <c r="D1090" s="260">
        <f t="shared" si="590"/>
        <v>550</v>
      </c>
      <c r="E1090" s="260">
        <f t="shared" si="590"/>
        <v>550</v>
      </c>
      <c r="F1090" s="260">
        <f t="shared" si="590"/>
        <v>0</v>
      </c>
      <c r="G1090" s="260">
        <f t="shared" si="590"/>
        <v>400</v>
      </c>
      <c r="H1090" s="260">
        <f t="shared" si="590"/>
        <v>400</v>
      </c>
      <c r="I1090" s="260">
        <f t="shared" si="590"/>
        <v>400</v>
      </c>
      <c r="J1090" s="260">
        <f t="shared" si="590"/>
        <v>0</v>
      </c>
      <c r="K1090" s="260">
        <f t="shared" si="590"/>
        <v>0</v>
      </c>
      <c r="L1090" s="260">
        <f t="shared" si="590"/>
        <v>0</v>
      </c>
      <c r="M1090" s="260">
        <f t="shared" si="590"/>
        <v>0</v>
      </c>
      <c r="N1090" s="260">
        <f t="shared" si="590"/>
        <v>0</v>
      </c>
      <c r="O1090" s="260">
        <f t="shared" si="590"/>
        <v>0</v>
      </c>
      <c r="P1090" s="260">
        <f t="shared" si="590"/>
        <v>0</v>
      </c>
      <c r="Q1090" s="260">
        <f t="shared" si="590"/>
        <v>0</v>
      </c>
      <c r="R1090" s="260">
        <f t="shared" si="590"/>
        <v>0</v>
      </c>
      <c r="S1090" s="289">
        <f t="shared" si="590"/>
        <v>0</v>
      </c>
    </row>
    <row r="1091" spans="1:19" ht="12.75" customHeight="1" x14ac:dyDescent="0.2">
      <c r="A1091" s="198" t="str">
        <f>"      "&amp;Labels!B317</f>
        <v xml:space="preserve">      Channels 1</v>
      </c>
      <c r="B1091" s="258">
        <f t="shared" ref="B1091:S1091" si="591">SUM(B1083,B1087)</f>
        <v>0</v>
      </c>
      <c r="C1091" s="258">
        <f t="shared" si="591"/>
        <v>0</v>
      </c>
      <c r="D1091" s="258">
        <f t="shared" si="591"/>
        <v>550</v>
      </c>
      <c r="E1091" s="258">
        <f t="shared" si="591"/>
        <v>550</v>
      </c>
      <c r="F1091" s="258">
        <f t="shared" si="591"/>
        <v>0</v>
      </c>
      <c r="G1091" s="258">
        <f t="shared" si="591"/>
        <v>400</v>
      </c>
      <c r="H1091" s="258">
        <f t="shared" si="591"/>
        <v>400</v>
      </c>
      <c r="I1091" s="258">
        <f t="shared" si="591"/>
        <v>400</v>
      </c>
      <c r="J1091" s="258">
        <f t="shared" si="591"/>
        <v>0</v>
      </c>
      <c r="K1091" s="258">
        <f t="shared" si="591"/>
        <v>0</v>
      </c>
      <c r="L1091" s="258">
        <f t="shared" si="591"/>
        <v>0</v>
      </c>
      <c r="M1091" s="258">
        <f t="shared" si="591"/>
        <v>0</v>
      </c>
      <c r="N1091" s="258">
        <f t="shared" si="591"/>
        <v>0</v>
      </c>
      <c r="O1091" s="258">
        <f t="shared" si="591"/>
        <v>0</v>
      </c>
      <c r="P1091" s="258">
        <f t="shared" si="591"/>
        <v>0</v>
      </c>
      <c r="Q1091" s="258">
        <f t="shared" si="591"/>
        <v>0</v>
      </c>
      <c r="R1091" s="258">
        <f t="shared" si="591"/>
        <v>0</v>
      </c>
      <c r="S1091" s="291">
        <f t="shared" si="591"/>
        <v>0</v>
      </c>
    </row>
    <row r="1092" spans="1:19" ht="12.75" customHeight="1" x14ac:dyDescent="0.2">
      <c r="A1092" s="198" t="str">
        <f>"      "&amp;Labels!B318</f>
        <v xml:space="preserve">      Channels 2</v>
      </c>
      <c r="B1092" s="258">
        <f t="shared" ref="B1092:S1092" si="592">SUM(B1084,B1088)</f>
        <v>0</v>
      </c>
      <c r="C1092" s="258">
        <f t="shared" si="592"/>
        <v>0</v>
      </c>
      <c r="D1092" s="258">
        <f t="shared" si="592"/>
        <v>0</v>
      </c>
      <c r="E1092" s="258">
        <f t="shared" si="592"/>
        <v>0</v>
      </c>
      <c r="F1092" s="258">
        <f t="shared" si="592"/>
        <v>0</v>
      </c>
      <c r="G1092" s="258">
        <f t="shared" si="592"/>
        <v>0</v>
      </c>
      <c r="H1092" s="258">
        <f t="shared" si="592"/>
        <v>0</v>
      </c>
      <c r="I1092" s="258">
        <f t="shared" si="592"/>
        <v>0</v>
      </c>
      <c r="J1092" s="258">
        <f t="shared" si="592"/>
        <v>0</v>
      </c>
      <c r="K1092" s="258">
        <f t="shared" si="592"/>
        <v>0</v>
      </c>
      <c r="L1092" s="258">
        <f t="shared" si="592"/>
        <v>0</v>
      </c>
      <c r="M1092" s="258">
        <f t="shared" si="592"/>
        <v>0</v>
      </c>
      <c r="N1092" s="258">
        <f t="shared" si="592"/>
        <v>0</v>
      </c>
      <c r="O1092" s="258">
        <f t="shared" si="592"/>
        <v>0</v>
      </c>
      <c r="P1092" s="258">
        <f t="shared" si="592"/>
        <v>0</v>
      </c>
      <c r="Q1092" s="258">
        <f t="shared" si="592"/>
        <v>0</v>
      </c>
      <c r="R1092" s="258">
        <f t="shared" si="592"/>
        <v>0</v>
      </c>
      <c r="S1092" s="291">
        <f t="shared" si="592"/>
        <v>0</v>
      </c>
    </row>
    <row r="1093" spans="1:19" ht="12.75" customHeight="1" x14ac:dyDescent="0.2">
      <c r="A1093" s="188" t="str">
        <f>"      "&amp;Labels!C316</f>
        <v xml:space="preserve">      Total</v>
      </c>
      <c r="B1093" s="256">
        <f t="shared" ref="B1093:S1093" si="593">SUM(B1085,B1089)</f>
        <v>0</v>
      </c>
      <c r="C1093" s="256">
        <f t="shared" si="593"/>
        <v>0</v>
      </c>
      <c r="D1093" s="256">
        <f t="shared" si="593"/>
        <v>550</v>
      </c>
      <c r="E1093" s="256">
        <f t="shared" si="593"/>
        <v>550</v>
      </c>
      <c r="F1093" s="256">
        <f t="shared" si="593"/>
        <v>0</v>
      </c>
      <c r="G1093" s="256">
        <f t="shared" si="593"/>
        <v>400</v>
      </c>
      <c r="H1093" s="256">
        <f t="shared" si="593"/>
        <v>400</v>
      </c>
      <c r="I1093" s="256">
        <f t="shared" si="593"/>
        <v>400</v>
      </c>
      <c r="J1093" s="256">
        <f t="shared" si="593"/>
        <v>0</v>
      </c>
      <c r="K1093" s="256">
        <f t="shared" si="593"/>
        <v>0</v>
      </c>
      <c r="L1093" s="256">
        <f t="shared" si="593"/>
        <v>0</v>
      </c>
      <c r="M1093" s="256">
        <f t="shared" si="593"/>
        <v>0</v>
      </c>
      <c r="N1093" s="256">
        <f t="shared" si="593"/>
        <v>0</v>
      </c>
      <c r="O1093" s="256">
        <f t="shared" si="593"/>
        <v>0</v>
      </c>
      <c r="P1093" s="256">
        <f t="shared" si="593"/>
        <v>0</v>
      </c>
      <c r="Q1093" s="256">
        <f t="shared" si="593"/>
        <v>0</v>
      </c>
      <c r="R1093" s="256">
        <f t="shared" si="593"/>
        <v>0</v>
      </c>
      <c r="S1093" s="290">
        <f t="shared" si="593"/>
        <v>0</v>
      </c>
    </row>
    <row r="1094" spans="1:19" ht="12.75" customHeight="1" x14ac:dyDescent="0.2">
      <c r="A1094" s="191" t="str">
        <f>Labels!B382</f>
        <v>Practice 2</v>
      </c>
      <c r="B1094" s="260"/>
      <c r="C1094" s="260"/>
      <c r="D1094" s="260"/>
      <c r="E1094" s="260"/>
      <c r="F1094" s="260"/>
      <c r="G1094" s="260"/>
      <c r="H1094" s="260"/>
      <c r="I1094" s="260"/>
      <c r="J1094" s="260"/>
      <c r="K1094" s="260"/>
      <c r="L1094" s="260"/>
      <c r="M1094" s="260"/>
      <c r="N1094" s="260"/>
      <c r="O1094" s="260"/>
      <c r="P1094" s="260"/>
      <c r="Q1094" s="260"/>
      <c r="R1094" s="260"/>
      <c r="S1094" s="289"/>
    </row>
    <row r="1095" spans="1:19" ht="12.75" customHeight="1" x14ac:dyDescent="0.2">
      <c r="A1095" s="188" t="str">
        <f>"   "&amp;Labels!B385</f>
        <v xml:space="preserve">   Prof Level 1</v>
      </c>
      <c r="B1095" s="256"/>
      <c r="C1095" s="256"/>
      <c r="D1095" s="256"/>
      <c r="E1095" s="256"/>
      <c r="F1095" s="256"/>
      <c r="G1095" s="256"/>
      <c r="H1095" s="256"/>
      <c r="I1095" s="256"/>
      <c r="J1095" s="256"/>
      <c r="K1095" s="256"/>
      <c r="L1095" s="256"/>
      <c r="M1095" s="256"/>
      <c r="N1095" s="256"/>
      <c r="O1095" s="256"/>
      <c r="P1095" s="256"/>
      <c r="Q1095" s="256"/>
      <c r="R1095" s="256"/>
      <c r="S1095" s="290"/>
    </row>
    <row r="1096" spans="1:19" ht="12.75" customHeight="1" x14ac:dyDescent="0.2">
      <c r="A1096" s="198" t="str">
        <f>"      "&amp;Labels!B317</f>
        <v xml:space="preserve">      Channels 1</v>
      </c>
      <c r="B1096" s="258">
        <f>B1122*C410*Engage!B163+B1123*C411*Engage!B167+Engage!B267</f>
        <v>0</v>
      </c>
      <c r="C1096" s="258">
        <f>B1122*C410*Engage!C163+B1123*C411*Engage!C167+Engage!C267</f>
        <v>0</v>
      </c>
      <c r="D1096" s="258">
        <f>B1122*C410*Engage!D163+B1123*C411*Engage!D167+Engage!D267</f>
        <v>0</v>
      </c>
      <c r="E1096" s="258">
        <f>B1122*C410*Engage!E163+B1123*C411*Engage!E167+Engage!E267</f>
        <v>0</v>
      </c>
      <c r="F1096" s="258">
        <f>B1122*C410*Engage!F163+B1123*C411*Engage!F167+Engage!F267</f>
        <v>0</v>
      </c>
      <c r="G1096" s="258">
        <f>B1122*C410*Engage!G163+B1123*C411*Engage!G167+Engage!G267</f>
        <v>0</v>
      </c>
      <c r="H1096" s="258">
        <f>B1122*C410*Engage!H163+B1123*C411*Engage!H167+Engage!H267</f>
        <v>0</v>
      </c>
      <c r="I1096" s="258">
        <f>B1122*C410*Engage!I163+B1123*C411*Engage!I167+Engage!I267</f>
        <v>0</v>
      </c>
      <c r="J1096" s="258">
        <f>B1122*C410*Engage!J163+B1123*C411*Engage!J167+Engage!J267</f>
        <v>0</v>
      </c>
      <c r="K1096" s="258">
        <f>B1122*C410*Engage!K163+B1123*C411*Engage!K167+Engage!K267</f>
        <v>0</v>
      </c>
      <c r="L1096" s="258">
        <f>B1122*C410*Engage!L163+B1123*C411*Engage!L167+Engage!L267</f>
        <v>0</v>
      </c>
      <c r="M1096" s="258">
        <f>B1122*C410*Engage!M163+B1123*C411*Engage!M167+Engage!M267</f>
        <v>0</v>
      </c>
      <c r="N1096" s="258">
        <f>B1122*C410*Engage!N163+B1123*C411*Engage!N167+Engage!N267</f>
        <v>0</v>
      </c>
      <c r="O1096" s="258">
        <f>B1122*C410*Engage!O163+B1123*C411*Engage!O167+Engage!O267</f>
        <v>0</v>
      </c>
      <c r="P1096" s="258">
        <f>B1122*C410*Engage!P163+B1123*C411*Engage!P167+Engage!P267</f>
        <v>0</v>
      </c>
      <c r="Q1096" s="258">
        <f>B1122*C410*Engage!Q163+B1123*C411*Engage!Q167+Engage!Q267</f>
        <v>0</v>
      </c>
      <c r="R1096" s="258">
        <f>B1122*C410*Engage!R163+B1123*C411*Engage!R167+Engage!R267</f>
        <v>0</v>
      </c>
      <c r="S1096" s="291">
        <f>B1122*C410*Engage!S163+B1123*C411*Engage!S167+Engage!S267</f>
        <v>0</v>
      </c>
    </row>
    <row r="1097" spans="1:19" ht="12.75" customHeight="1" x14ac:dyDescent="0.2">
      <c r="A1097" s="198" t="str">
        <f>"      "&amp;Labels!B318</f>
        <v xml:space="preserve">      Channels 2</v>
      </c>
      <c r="B1097" s="258">
        <f>C1122*C410*Engage!B163+C1123*C411*Engage!B167+Engage!B268</f>
        <v>0</v>
      </c>
      <c r="C1097" s="258">
        <f>C1122*C410*Engage!C163+C1123*C411*Engage!C167+Engage!C268</f>
        <v>0</v>
      </c>
      <c r="D1097" s="258">
        <f>C1122*C410*Engage!D163+C1123*C411*Engage!D167+Engage!D268</f>
        <v>0</v>
      </c>
      <c r="E1097" s="258">
        <f>C1122*C410*Engage!E163+C1123*C411*Engage!E167+Engage!E268</f>
        <v>0</v>
      </c>
      <c r="F1097" s="258">
        <f>C1122*C410*Engage!F163+C1123*C411*Engage!F167+Engage!F268</f>
        <v>0</v>
      </c>
      <c r="G1097" s="258">
        <f>C1122*C410*Engage!G163+C1123*C411*Engage!G167+Engage!G268</f>
        <v>0</v>
      </c>
      <c r="H1097" s="258">
        <f>C1122*C410*Engage!H163+C1123*C411*Engage!H167+Engage!H268</f>
        <v>0</v>
      </c>
      <c r="I1097" s="258">
        <f>C1122*C410*Engage!I163+C1123*C411*Engage!I167+Engage!I268</f>
        <v>0</v>
      </c>
      <c r="J1097" s="258">
        <f>C1122*C410*Engage!J163+C1123*C411*Engage!J167+Engage!J268</f>
        <v>0</v>
      </c>
      <c r="K1097" s="258">
        <f>C1122*C410*Engage!K163+C1123*C411*Engage!K167+Engage!K268</f>
        <v>0</v>
      </c>
      <c r="L1097" s="258">
        <f>C1122*C410*Engage!L163+C1123*C411*Engage!L167+Engage!L268</f>
        <v>0</v>
      </c>
      <c r="M1097" s="258">
        <f>C1122*C410*Engage!M163+C1123*C411*Engage!M167+Engage!M268</f>
        <v>0</v>
      </c>
      <c r="N1097" s="258">
        <f>C1122*C410*Engage!N163+C1123*C411*Engage!N167+Engage!N268</f>
        <v>0</v>
      </c>
      <c r="O1097" s="258">
        <f>C1122*C410*Engage!O163+C1123*C411*Engage!O167+Engage!O268</f>
        <v>0</v>
      </c>
      <c r="P1097" s="258">
        <f>C1122*C410*Engage!P163+C1123*C411*Engage!P167+Engage!P268</f>
        <v>0</v>
      </c>
      <c r="Q1097" s="258">
        <f>C1122*C410*Engage!Q163+C1123*C411*Engage!Q167+Engage!Q268</f>
        <v>0</v>
      </c>
      <c r="R1097" s="258">
        <f>C1122*C410*Engage!R163+C1123*C411*Engage!R167+Engage!R268</f>
        <v>0</v>
      </c>
      <c r="S1097" s="291">
        <f>C1122*C410*Engage!S163+C1123*C411*Engage!S167+Engage!S268</f>
        <v>0</v>
      </c>
    </row>
    <row r="1098" spans="1:19" ht="12.75" customHeight="1" x14ac:dyDescent="0.2">
      <c r="A1098" s="188" t="str">
        <f>"      "&amp;Labels!C316</f>
        <v xml:space="preserve">      Total</v>
      </c>
      <c r="B1098" s="256">
        <f t="shared" ref="B1098:S1098" si="594">SUM(B1096:B1097)</f>
        <v>0</v>
      </c>
      <c r="C1098" s="256">
        <f t="shared" si="594"/>
        <v>0</v>
      </c>
      <c r="D1098" s="256">
        <f t="shared" si="594"/>
        <v>0</v>
      </c>
      <c r="E1098" s="256">
        <f t="shared" si="594"/>
        <v>0</v>
      </c>
      <c r="F1098" s="256">
        <f t="shared" si="594"/>
        <v>0</v>
      </c>
      <c r="G1098" s="256">
        <f t="shared" si="594"/>
        <v>0</v>
      </c>
      <c r="H1098" s="256">
        <f t="shared" si="594"/>
        <v>0</v>
      </c>
      <c r="I1098" s="256">
        <f t="shared" si="594"/>
        <v>0</v>
      </c>
      <c r="J1098" s="256">
        <f t="shared" si="594"/>
        <v>0</v>
      </c>
      <c r="K1098" s="256">
        <f t="shared" si="594"/>
        <v>0</v>
      </c>
      <c r="L1098" s="256">
        <f t="shared" si="594"/>
        <v>0</v>
      </c>
      <c r="M1098" s="256">
        <f t="shared" si="594"/>
        <v>0</v>
      </c>
      <c r="N1098" s="256">
        <f t="shared" si="594"/>
        <v>0</v>
      </c>
      <c r="O1098" s="256">
        <f t="shared" si="594"/>
        <v>0</v>
      </c>
      <c r="P1098" s="256">
        <f t="shared" si="594"/>
        <v>0</v>
      </c>
      <c r="Q1098" s="256">
        <f t="shared" si="594"/>
        <v>0</v>
      </c>
      <c r="R1098" s="256">
        <f t="shared" si="594"/>
        <v>0</v>
      </c>
      <c r="S1098" s="290">
        <f t="shared" si="594"/>
        <v>0</v>
      </c>
    </row>
    <row r="1099" spans="1:19" ht="12.75" customHeight="1" x14ac:dyDescent="0.2">
      <c r="A1099" s="188" t="str">
        <f>"   "&amp;Labels!B386</f>
        <v xml:space="preserve">   Prof Level 2</v>
      </c>
      <c r="B1099" s="256"/>
      <c r="C1099" s="256"/>
      <c r="D1099" s="256"/>
      <c r="E1099" s="256"/>
      <c r="F1099" s="256"/>
      <c r="G1099" s="256"/>
      <c r="H1099" s="256"/>
      <c r="I1099" s="256"/>
      <c r="J1099" s="256"/>
      <c r="K1099" s="256"/>
      <c r="L1099" s="256"/>
      <c r="M1099" s="256"/>
      <c r="N1099" s="256"/>
      <c r="O1099" s="256"/>
      <c r="P1099" s="256"/>
      <c r="Q1099" s="256"/>
      <c r="R1099" s="256"/>
      <c r="S1099" s="290"/>
    </row>
    <row r="1100" spans="1:19" ht="12.75" customHeight="1" x14ac:dyDescent="0.2">
      <c r="A1100" s="198" t="str">
        <f>"      "&amp;Labels!B317</f>
        <v xml:space="preserve">      Channels 1</v>
      </c>
      <c r="B1100" s="258">
        <f>B1122*C410*Engage!B164+B1123*C411*Engage!B168+Engage!B271</f>
        <v>0</v>
      </c>
      <c r="C1100" s="258">
        <f>B1122*C410*Engage!C164+B1123*C411*Engage!C168+Engage!C271</f>
        <v>0</v>
      </c>
      <c r="D1100" s="258">
        <f>B1122*C410*Engage!D164+B1123*C411*Engage!D168+Engage!D271</f>
        <v>0</v>
      </c>
      <c r="E1100" s="258">
        <f>B1122*C410*Engage!E164+B1123*C411*Engage!E168+Engage!E271</f>
        <v>0</v>
      </c>
      <c r="F1100" s="258">
        <f>B1122*C410*Engage!F164+B1123*C411*Engage!F168+Engage!F271</f>
        <v>0</v>
      </c>
      <c r="G1100" s="258">
        <f>B1122*C410*Engage!G164+B1123*C411*Engage!G168+Engage!G271</f>
        <v>0</v>
      </c>
      <c r="H1100" s="258">
        <f>B1122*C410*Engage!H164+B1123*C411*Engage!H168+Engage!H271</f>
        <v>0</v>
      </c>
      <c r="I1100" s="258">
        <f>B1122*C410*Engage!I164+B1123*C411*Engage!I168+Engage!I271</f>
        <v>0</v>
      </c>
      <c r="J1100" s="258">
        <f>B1122*C410*Engage!J164+B1123*C411*Engage!J168+Engage!J271</f>
        <v>0</v>
      </c>
      <c r="K1100" s="258">
        <f>B1122*C410*Engage!K164+B1123*C411*Engage!K168+Engage!K271</f>
        <v>0</v>
      </c>
      <c r="L1100" s="258">
        <f>B1122*C410*Engage!L164+B1123*C411*Engage!L168+Engage!L271</f>
        <v>0</v>
      </c>
      <c r="M1100" s="258">
        <f>B1122*C410*Engage!M164+B1123*C411*Engage!M168+Engage!M271</f>
        <v>0</v>
      </c>
      <c r="N1100" s="258">
        <f>B1122*C410*Engage!N164+B1123*C411*Engage!N168+Engage!N271</f>
        <v>0</v>
      </c>
      <c r="O1100" s="258">
        <f>B1122*C410*Engage!O164+B1123*C411*Engage!O168+Engage!O271</f>
        <v>0</v>
      </c>
      <c r="P1100" s="258">
        <f>B1122*C410*Engage!P164+B1123*C411*Engage!P168+Engage!P271</f>
        <v>0</v>
      </c>
      <c r="Q1100" s="258">
        <f>B1122*C410*Engage!Q164+B1123*C411*Engage!Q168+Engage!Q271</f>
        <v>0</v>
      </c>
      <c r="R1100" s="258">
        <f>B1122*C410*Engage!R164+B1123*C411*Engage!R168+Engage!R271</f>
        <v>0</v>
      </c>
      <c r="S1100" s="291">
        <f>B1122*C410*Engage!S164+B1123*C411*Engage!S168+Engage!S271</f>
        <v>0</v>
      </c>
    </row>
    <row r="1101" spans="1:19" ht="12.75" customHeight="1" x14ac:dyDescent="0.2">
      <c r="A1101" s="198" t="str">
        <f>"      "&amp;Labels!B318</f>
        <v xml:space="preserve">      Channels 2</v>
      </c>
      <c r="B1101" s="258">
        <f>C1122*C410*Engage!B164+C1123*C411*Engage!B168+Engage!B272</f>
        <v>0</v>
      </c>
      <c r="C1101" s="258">
        <f>C1122*C410*Engage!C164+C1123*C411*Engage!C168+Engage!C272</f>
        <v>0</v>
      </c>
      <c r="D1101" s="258">
        <f>C1122*C410*Engage!D164+C1123*C411*Engage!D168+Engage!D272</f>
        <v>0</v>
      </c>
      <c r="E1101" s="258">
        <f>C1122*C410*Engage!E164+C1123*C411*Engage!E168+Engage!E272</f>
        <v>0</v>
      </c>
      <c r="F1101" s="258">
        <f>C1122*C410*Engage!F164+C1123*C411*Engage!F168+Engage!F272</f>
        <v>0</v>
      </c>
      <c r="G1101" s="258">
        <f>C1122*C410*Engage!G164+C1123*C411*Engage!G168+Engage!G272</f>
        <v>0</v>
      </c>
      <c r="H1101" s="258">
        <f>C1122*C410*Engage!H164+C1123*C411*Engage!H168+Engage!H272</f>
        <v>0</v>
      </c>
      <c r="I1101" s="258">
        <f>C1122*C410*Engage!I164+C1123*C411*Engage!I168+Engage!I272</f>
        <v>0</v>
      </c>
      <c r="J1101" s="258">
        <f>C1122*C410*Engage!J164+C1123*C411*Engage!J168+Engage!J272</f>
        <v>0</v>
      </c>
      <c r="K1101" s="258">
        <f>C1122*C410*Engage!K164+C1123*C411*Engage!K168+Engage!K272</f>
        <v>0</v>
      </c>
      <c r="L1101" s="258">
        <f>C1122*C410*Engage!L164+C1123*C411*Engage!L168+Engage!L272</f>
        <v>0</v>
      </c>
      <c r="M1101" s="258">
        <f>C1122*C410*Engage!M164+C1123*C411*Engage!M168+Engage!M272</f>
        <v>0</v>
      </c>
      <c r="N1101" s="258">
        <f>C1122*C410*Engage!N164+C1123*C411*Engage!N168+Engage!N272</f>
        <v>0</v>
      </c>
      <c r="O1101" s="258">
        <f>C1122*C410*Engage!O164+C1123*C411*Engage!O168+Engage!O272</f>
        <v>0</v>
      </c>
      <c r="P1101" s="258">
        <f>C1122*C410*Engage!P164+C1123*C411*Engage!P168+Engage!P272</f>
        <v>0</v>
      </c>
      <c r="Q1101" s="258">
        <f>C1122*C410*Engage!Q164+C1123*C411*Engage!Q168+Engage!Q272</f>
        <v>0</v>
      </c>
      <c r="R1101" s="258">
        <f>C1122*C410*Engage!R164+C1123*C411*Engage!R168+Engage!R272</f>
        <v>0</v>
      </c>
      <c r="S1101" s="291">
        <f>C1122*C410*Engage!S164+C1123*C411*Engage!S168+Engage!S272</f>
        <v>0</v>
      </c>
    </row>
    <row r="1102" spans="1:19" ht="12.75" customHeight="1" x14ac:dyDescent="0.2">
      <c r="A1102" s="188" t="str">
        <f>"      "&amp;Labels!C316</f>
        <v xml:space="preserve">      Total</v>
      </c>
      <c r="B1102" s="256">
        <f t="shared" ref="B1102:S1102" si="595">SUM(B1100:B1101)</f>
        <v>0</v>
      </c>
      <c r="C1102" s="256">
        <f t="shared" si="595"/>
        <v>0</v>
      </c>
      <c r="D1102" s="256">
        <f t="shared" si="595"/>
        <v>0</v>
      </c>
      <c r="E1102" s="256">
        <f t="shared" si="595"/>
        <v>0</v>
      </c>
      <c r="F1102" s="256">
        <f t="shared" si="595"/>
        <v>0</v>
      </c>
      <c r="G1102" s="256">
        <f t="shared" si="595"/>
        <v>0</v>
      </c>
      <c r="H1102" s="256">
        <f t="shared" si="595"/>
        <v>0</v>
      </c>
      <c r="I1102" s="256">
        <f t="shared" si="595"/>
        <v>0</v>
      </c>
      <c r="J1102" s="256">
        <f t="shared" si="595"/>
        <v>0</v>
      </c>
      <c r="K1102" s="256">
        <f t="shared" si="595"/>
        <v>0</v>
      </c>
      <c r="L1102" s="256">
        <f t="shared" si="595"/>
        <v>0</v>
      </c>
      <c r="M1102" s="256">
        <f t="shared" si="595"/>
        <v>0</v>
      </c>
      <c r="N1102" s="256">
        <f t="shared" si="595"/>
        <v>0</v>
      </c>
      <c r="O1102" s="256">
        <f t="shared" si="595"/>
        <v>0</v>
      </c>
      <c r="P1102" s="256">
        <f t="shared" si="595"/>
        <v>0</v>
      </c>
      <c r="Q1102" s="256">
        <f t="shared" si="595"/>
        <v>0</v>
      </c>
      <c r="R1102" s="256">
        <f t="shared" si="595"/>
        <v>0</v>
      </c>
      <c r="S1102" s="290">
        <f t="shared" si="595"/>
        <v>0</v>
      </c>
    </row>
    <row r="1103" spans="1:19" ht="12.75" customHeight="1" x14ac:dyDescent="0.2">
      <c r="A1103" s="191" t="str">
        <f>"   "&amp;Labels!C384</f>
        <v xml:space="preserve">   Total</v>
      </c>
      <c r="B1103" s="260">
        <f t="shared" ref="B1103:S1103" si="596">SUM(B1098,B1102)</f>
        <v>0</v>
      </c>
      <c r="C1103" s="260">
        <f t="shared" si="596"/>
        <v>0</v>
      </c>
      <c r="D1103" s="260">
        <f t="shared" si="596"/>
        <v>0</v>
      </c>
      <c r="E1103" s="260">
        <f t="shared" si="596"/>
        <v>0</v>
      </c>
      <c r="F1103" s="260">
        <f t="shared" si="596"/>
        <v>0</v>
      </c>
      <c r="G1103" s="260">
        <f t="shared" si="596"/>
        <v>0</v>
      </c>
      <c r="H1103" s="260">
        <f t="shared" si="596"/>
        <v>0</v>
      </c>
      <c r="I1103" s="260">
        <f t="shared" si="596"/>
        <v>0</v>
      </c>
      <c r="J1103" s="260">
        <f t="shared" si="596"/>
        <v>0</v>
      </c>
      <c r="K1103" s="260">
        <f t="shared" si="596"/>
        <v>0</v>
      </c>
      <c r="L1103" s="260">
        <f t="shared" si="596"/>
        <v>0</v>
      </c>
      <c r="M1103" s="260">
        <f t="shared" si="596"/>
        <v>0</v>
      </c>
      <c r="N1103" s="260">
        <f t="shared" si="596"/>
        <v>0</v>
      </c>
      <c r="O1103" s="260">
        <f t="shared" si="596"/>
        <v>0</v>
      </c>
      <c r="P1103" s="260">
        <f t="shared" si="596"/>
        <v>0</v>
      </c>
      <c r="Q1103" s="260">
        <f t="shared" si="596"/>
        <v>0</v>
      </c>
      <c r="R1103" s="260">
        <f t="shared" si="596"/>
        <v>0</v>
      </c>
      <c r="S1103" s="289">
        <f t="shared" si="596"/>
        <v>0</v>
      </c>
    </row>
    <row r="1104" spans="1:19" ht="12.75" customHeight="1" x14ac:dyDescent="0.2">
      <c r="A1104" s="198" t="str">
        <f>"      "&amp;Labels!B317</f>
        <v xml:space="preserve">      Channels 1</v>
      </c>
      <c r="B1104" s="258">
        <f t="shared" ref="B1104:S1104" si="597">SUM(B1096,B1100)</f>
        <v>0</v>
      </c>
      <c r="C1104" s="258">
        <f t="shared" si="597"/>
        <v>0</v>
      </c>
      <c r="D1104" s="258">
        <f t="shared" si="597"/>
        <v>0</v>
      </c>
      <c r="E1104" s="258">
        <f t="shared" si="597"/>
        <v>0</v>
      </c>
      <c r="F1104" s="258">
        <f t="shared" si="597"/>
        <v>0</v>
      </c>
      <c r="G1104" s="258">
        <f t="shared" si="597"/>
        <v>0</v>
      </c>
      <c r="H1104" s="258">
        <f t="shared" si="597"/>
        <v>0</v>
      </c>
      <c r="I1104" s="258">
        <f t="shared" si="597"/>
        <v>0</v>
      </c>
      <c r="J1104" s="258">
        <f t="shared" si="597"/>
        <v>0</v>
      </c>
      <c r="K1104" s="258">
        <f t="shared" si="597"/>
        <v>0</v>
      </c>
      <c r="L1104" s="258">
        <f t="shared" si="597"/>
        <v>0</v>
      </c>
      <c r="M1104" s="258">
        <f t="shared" si="597"/>
        <v>0</v>
      </c>
      <c r="N1104" s="258">
        <f t="shared" si="597"/>
        <v>0</v>
      </c>
      <c r="O1104" s="258">
        <f t="shared" si="597"/>
        <v>0</v>
      </c>
      <c r="P1104" s="258">
        <f t="shared" si="597"/>
        <v>0</v>
      </c>
      <c r="Q1104" s="258">
        <f t="shared" si="597"/>
        <v>0</v>
      </c>
      <c r="R1104" s="258">
        <f t="shared" si="597"/>
        <v>0</v>
      </c>
      <c r="S1104" s="291">
        <f t="shared" si="597"/>
        <v>0</v>
      </c>
    </row>
    <row r="1105" spans="1:19" ht="12.75" customHeight="1" x14ac:dyDescent="0.2">
      <c r="A1105" s="198" t="str">
        <f>"      "&amp;Labels!B318</f>
        <v xml:space="preserve">      Channels 2</v>
      </c>
      <c r="B1105" s="258">
        <f t="shared" ref="B1105:S1105" si="598">SUM(B1097,B1101)</f>
        <v>0</v>
      </c>
      <c r="C1105" s="258">
        <f t="shared" si="598"/>
        <v>0</v>
      </c>
      <c r="D1105" s="258">
        <f t="shared" si="598"/>
        <v>0</v>
      </c>
      <c r="E1105" s="258">
        <f t="shared" si="598"/>
        <v>0</v>
      </c>
      <c r="F1105" s="258">
        <f t="shared" si="598"/>
        <v>0</v>
      </c>
      <c r="G1105" s="258">
        <f t="shared" si="598"/>
        <v>0</v>
      </c>
      <c r="H1105" s="258">
        <f t="shared" si="598"/>
        <v>0</v>
      </c>
      <c r="I1105" s="258">
        <f t="shared" si="598"/>
        <v>0</v>
      </c>
      <c r="J1105" s="258">
        <f t="shared" si="598"/>
        <v>0</v>
      </c>
      <c r="K1105" s="258">
        <f t="shared" si="598"/>
        <v>0</v>
      </c>
      <c r="L1105" s="258">
        <f t="shared" si="598"/>
        <v>0</v>
      </c>
      <c r="M1105" s="258">
        <f t="shared" si="598"/>
        <v>0</v>
      </c>
      <c r="N1105" s="258">
        <f t="shared" si="598"/>
        <v>0</v>
      </c>
      <c r="O1105" s="258">
        <f t="shared" si="598"/>
        <v>0</v>
      </c>
      <c r="P1105" s="258">
        <f t="shared" si="598"/>
        <v>0</v>
      </c>
      <c r="Q1105" s="258">
        <f t="shared" si="598"/>
        <v>0</v>
      </c>
      <c r="R1105" s="258">
        <f t="shared" si="598"/>
        <v>0</v>
      </c>
      <c r="S1105" s="291">
        <f t="shared" si="598"/>
        <v>0</v>
      </c>
    </row>
    <row r="1106" spans="1:19" ht="12.75" customHeight="1" x14ac:dyDescent="0.2">
      <c r="A1106" s="188" t="str">
        <f>"      "&amp;Labels!C316</f>
        <v xml:space="preserve">      Total</v>
      </c>
      <c r="B1106" s="256">
        <f t="shared" ref="B1106:S1106" si="599">SUM(B1098,B1102)</f>
        <v>0</v>
      </c>
      <c r="C1106" s="256">
        <f t="shared" si="599"/>
        <v>0</v>
      </c>
      <c r="D1106" s="256">
        <f t="shared" si="599"/>
        <v>0</v>
      </c>
      <c r="E1106" s="256">
        <f t="shared" si="599"/>
        <v>0</v>
      </c>
      <c r="F1106" s="256">
        <f t="shared" si="599"/>
        <v>0</v>
      </c>
      <c r="G1106" s="256">
        <f t="shared" si="599"/>
        <v>0</v>
      </c>
      <c r="H1106" s="256">
        <f t="shared" si="599"/>
        <v>0</v>
      </c>
      <c r="I1106" s="256">
        <f t="shared" si="599"/>
        <v>0</v>
      </c>
      <c r="J1106" s="256">
        <f t="shared" si="599"/>
        <v>0</v>
      </c>
      <c r="K1106" s="256">
        <f t="shared" si="599"/>
        <v>0</v>
      </c>
      <c r="L1106" s="256">
        <f t="shared" si="599"/>
        <v>0</v>
      </c>
      <c r="M1106" s="256">
        <f t="shared" si="599"/>
        <v>0</v>
      </c>
      <c r="N1106" s="256">
        <f t="shared" si="599"/>
        <v>0</v>
      </c>
      <c r="O1106" s="256">
        <f t="shared" si="599"/>
        <v>0</v>
      </c>
      <c r="P1106" s="256">
        <f t="shared" si="599"/>
        <v>0</v>
      </c>
      <c r="Q1106" s="256">
        <f t="shared" si="599"/>
        <v>0</v>
      </c>
      <c r="R1106" s="256">
        <f t="shared" si="599"/>
        <v>0</v>
      </c>
      <c r="S1106" s="290">
        <f t="shared" si="599"/>
        <v>0</v>
      </c>
    </row>
    <row r="1107" spans="1:19" ht="12.75" customHeight="1" x14ac:dyDescent="0.2">
      <c r="A1107" s="97" t="str">
        <f>Labels!C380</f>
        <v>Total</v>
      </c>
      <c r="B1107" s="360">
        <f t="shared" ref="B1107:S1107" si="600">SUM(B1090,B1103)</f>
        <v>0</v>
      </c>
      <c r="C1107" s="360">
        <f t="shared" si="600"/>
        <v>0</v>
      </c>
      <c r="D1107" s="360">
        <f t="shared" si="600"/>
        <v>550</v>
      </c>
      <c r="E1107" s="360">
        <f t="shared" si="600"/>
        <v>550</v>
      </c>
      <c r="F1107" s="360">
        <f t="shared" si="600"/>
        <v>0</v>
      </c>
      <c r="G1107" s="360">
        <f t="shared" si="600"/>
        <v>400</v>
      </c>
      <c r="H1107" s="360">
        <f t="shared" si="600"/>
        <v>400</v>
      </c>
      <c r="I1107" s="360">
        <f t="shared" si="600"/>
        <v>400</v>
      </c>
      <c r="J1107" s="360">
        <f t="shared" si="600"/>
        <v>0</v>
      </c>
      <c r="K1107" s="360">
        <f t="shared" si="600"/>
        <v>0</v>
      </c>
      <c r="L1107" s="360">
        <f t="shared" si="600"/>
        <v>0</v>
      </c>
      <c r="M1107" s="360">
        <f t="shared" si="600"/>
        <v>0</v>
      </c>
      <c r="N1107" s="360">
        <f t="shared" si="600"/>
        <v>0</v>
      </c>
      <c r="O1107" s="360">
        <f t="shared" si="600"/>
        <v>0</v>
      </c>
      <c r="P1107" s="360">
        <f t="shared" si="600"/>
        <v>0</v>
      </c>
      <c r="Q1107" s="360">
        <f t="shared" si="600"/>
        <v>0</v>
      </c>
      <c r="R1107" s="360">
        <f t="shared" si="600"/>
        <v>0</v>
      </c>
      <c r="S1107" s="361">
        <f t="shared" si="600"/>
        <v>0</v>
      </c>
    </row>
    <row r="1108" spans="1:19" ht="12.75" customHeight="1" x14ac:dyDescent="0.2">
      <c r="A1108" s="188" t="str">
        <f>"   "&amp;Labels!B385</f>
        <v xml:space="preserve">   Prof Level 1</v>
      </c>
      <c r="B1108" s="256"/>
      <c r="C1108" s="256"/>
      <c r="D1108" s="256"/>
      <c r="E1108" s="256"/>
      <c r="F1108" s="256"/>
      <c r="G1108" s="256"/>
      <c r="H1108" s="256"/>
      <c r="I1108" s="256"/>
      <c r="J1108" s="256"/>
      <c r="K1108" s="256"/>
      <c r="L1108" s="256"/>
      <c r="M1108" s="256"/>
      <c r="N1108" s="256"/>
      <c r="O1108" s="256"/>
      <c r="P1108" s="256"/>
      <c r="Q1108" s="256"/>
      <c r="R1108" s="256"/>
      <c r="S1108" s="290"/>
    </row>
    <row r="1109" spans="1:19" ht="12.75" customHeight="1" x14ac:dyDescent="0.2">
      <c r="A1109" s="198" t="str">
        <f>"      "&amp;Labels!B317</f>
        <v xml:space="preserve">      Channels 1</v>
      </c>
      <c r="B1109" s="258">
        <f t="shared" ref="B1109:S1109" si="601">SUM(B1083,B1096)</f>
        <v>0</v>
      </c>
      <c r="C1109" s="258">
        <f t="shared" si="601"/>
        <v>0</v>
      </c>
      <c r="D1109" s="258">
        <f t="shared" si="601"/>
        <v>275</v>
      </c>
      <c r="E1109" s="258">
        <f t="shared" si="601"/>
        <v>275</v>
      </c>
      <c r="F1109" s="258">
        <f t="shared" si="601"/>
        <v>0</v>
      </c>
      <c r="G1109" s="258">
        <f t="shared" si="601"/>
        <v>200</v>
      </c>
      <c r="H1109" s="258">
        <f t="shared" si="601"/>
        <v>200</v>
      </c>
      <c r="I1109" s="258">
        <f t="shared" si="601"/>
        <v>200</v>
      </c>
      <c r="J1109" s="258">
        <f t="shared" si="601"/>
        <v>0</v>
      </c>
      <c r="K1109" s="258">
        <f t="shared" si="601"/>
        <v>0</v>
      </c>
      <c r="L1109" s="258">
        <f t="shared" si="601"/>
        <v>0</v>
      </c>
      <c r="M1109" s="258">
        <f t="shared" si="601"/>
        <v>0</v>
      </c>
      <c r="N1109" s="258">
        <f t="shared" si="601"/>
        <v>0</v>
      </c>
      <c r="O1109" s="258">
        <f t="shared" si="601"/>
        <v>0</v>
      </c>
      <c r="P1109" s="258">
        <f t="shared" si="601"/>
        <v>0</v>
      </c>
      <c r="Q1109" s="258">
        <f t="shared" si="601"/>
        <v>0</v>
      </c>
      <c r="R1109" s="258">
        <f t="shared" si="601"/>
        <v>0</v>
      </c>
      <c r="S1109" s="291">
        <f t="shared" si="601"/>
        <v>0</v>
      </c>
    </row>
    <row r="1110" spans="1:19" ht="12.75" customHeight="1" x14ac:dyDescent="0.2">
      <c r="A1110" s="198" t="str">
        <f>"      "&amp;Labels!B318</f>
        <v xml:space="preserve">      Channels 2</v>
      </c>
      <c r="B1110" s="258">
        <f t="shared" ref="B1110:S1110" si="602">SUM(B1084,B1097)</f>
        <v>0</v>
      </c>
      <c r="C1110" s="258">
        <f t="shared" si="602"/>
        <v>0</v>
      </c>
      <c r="D1110" s="258">
        <f t="shared" si="602"/>
        <v>0</v>
      </c>
      <c r="E1110" s="258">
        <f t="shared" si="602"/>
        <v>0</v>
      </c>
      <c r="F1110" s="258">
        <f t="shared" si="602"/>
        <v>0</v>
      </c>
      <c r="G1110" s="258">
        <f t="shared" si="602"/>
        <v>0</v>
      </c>
      <c r="H1110" s="258">
        <f t="shared" si="602"/>
        <v>0</v>
      </c>
      <c r="I1110" s="258">
        <f t="shared" si="602"/>
        <v>0</v>
      </c>
      <c r="J1110" s="258">
        <f t="shared" si="602"/>
        <v>0</v>
      </c>
      <c r="K1110" s="258">
        <f t="shared" si="602"/>
        <v>0</v>
      </c>
      <c r="L1110" s="258">
        <f t="shared" si="602"/>
        <v>0</v>
      </c>
      <c r="M1110" s="258">
        <f t="shared" si="602"/>
        <v>0</v>
      </c>
      <c r="N1110" s="258">
        <f t="shared" si="602"/>
        <v>0</v>
      </c>
      <c r="O1110" s="258">
        <f t="shared" si="602"/>
        <v>0</v>
      </c>
      <c r="P1110" s="258">
        <f t="shared" si="602"/>
        <v>0</v>
      </c>
      <c r="Q1110" s="258">
        <f t="shared" si="602"/>
        <v>0</v>
      </c>
      <c r="R1110" s="258">
        <f t="shared" si="602"/>
        <v>0</v>
      </c>
      <c r="S1110" s="291">
        <f t="shared" si="602"/>
        <v>0</v>
      </c>
    </row>
    <row r="1111" spans="1:19" ht="12.75" customHeight="1" x14ac:dyDescent="0.2">
      <c r="A1111" s="188" t="str">
        <f>"      "&amp;Labels!C316</f>
        <v xml:space="preserve">      Total</v>
      </c>
      <c r="B1111" s="256">
        <f t="shared" ref="B1111:S1111" si="603">SUM(B1085,B1098)</f>
        <v>0</v>
      </c>
      <c r="C1111" s="256">
        <f t="shared" si="603"/>
        <v>0</v>
      </c>
      <c r="D1111" s="256">
        <f t="shared" si="603"/>
        <v>275</v>
      </c>
      <c r="E1111" s="256">
        <f t="shared" si="603"/>
        <v>275</v>
      </c>
      <c r="F1111" s="256">
        <f t="shared" si="603"/>
        <v>0</v>
      </c>
      <c r="G1111" s="256">
        <f t="shared" si="603"/>
        <v>200</v>
      </c>
      <c r="H1111" s="256">
        <f t="shared" si="603"/>
        <v>200</v>
      </c>
      <c r="I1111" s="256">
        <f t="shared" si="603"/>
        <v>200</v>
      </c>
      <c r="J1111" s="256">
        <f t="shared" si="603"/>
        <v>0</v>
      </c>
      <c r="K1111" s="256">
        <f t="shared" si="603"/>
        <v>0</v>
      </c>
      <c r="L1111" s="256">
        <f t="shared" si="603"/>
        <v>0</v>
      </c>
      <c r="M1111" s="256">
        <f t="shared" si="603"/>
        <v>0</v>
      </c>
      <c r="N1111" s="256">
        <f t="shared" si="603"/>
        <v>0</v>
      </c>
      <c r="O1111" s="256">
        <f t="shared" si="603"/>
        <v>0</v>
      </c>
      <c r="P1111" s="256">
        <f t="shared" si="603"/>
        <v>0</v>
      </c>
      <c r="Q1111" s="256">
        <f t="shared" si="603"/>
        <v>0</v>
      </c>
      <c r="R1111" s="256">
        <f t="shared" si="603"/>
        <v>0</v>
      </c>
      <c r="S1111" s="290">
        <f t="shared" si="603"/>
        <v>0</v>
      </c>
    </row>
    <row r="1112" spans="1:19" ht="12.75" customHeight="1" x14ac:dyDescent="0.2">
      <c r="A1112" s="188" t="str">
        <f>"   "&amp;Labels!B386</f>
        <v xml:space="preserve">   Prof Level 2</v>
      </c>
      <c r="B1112" s="256"/>
      <c r="C1112" s="256"/>
      <c r="D1112" s="256"/>
      <c r="E1112" s="256"/>
      <c r="F1112" s="256"/>
      <c r="G1112" s="256"/>
      <c r="H1112" s="256"/>
      <c r="I1112" s="256"/>
      <c r="J1112" s="256"/>
      <c r="K1112" s="256"/>
      <c r="L1112" s="256"/>
      <c r="M1112" s="256"/>
      <c r="N1112" s="256"/>
      <c r="O1112" s="256"/>
      <c r="P1112" s="256"/>
      <c r="Q1112" s="256"/>
      <c r="R1112" s="256"/>
      <c r="S1112" s="290"/>
    </row>
    <row r="1113" spans="1:19" ht="12.75" customHeight="1" x14ac:dyDescent="0.2">
      <c r="A1113" s="198" t="str">
        <f>"      "&amp;Labels!B317</f>
        <v xml:space="preserve">      Channels 1</v>
      </c>
      <c r="B1113" s="258">
        <f t="shared" ref="B1113:S1113" si="604">SUM(B1087,B1100)</f>
        <v>0</v>
      </c>
      <c r="C1113" s="258">
        <f t="shared" si="604"/>
        <v>0</v>
      </c>
      <c r="D1113" s="258">
        <f t="shared" si="604"/>
        <v>275</v>
      </c>
      <c r="E1113" s="258">
        <f t="shared" si="604"/>
        <v>275</v>
      </c>
      <c r="F1113" s="258">
        <f t="shared" si="604"/>
        <v>0</v>
      </c>
      <c r="G1113" s="258">
        <f t="shared" si="604"/>
        <v>200</v>
      </c>
      <c r="H1113" s="258">
        <f t="shared" si="604"/>
        <v>200</v>
      </c>
      <c r="I1113" s="258">
        <f t="shared" si="604"/>
        <v>200</v>
      </c>
      <c r="J1113" s="258">
        <f t="shared" si="604"/>
        <v>0</v>
      </c>
      <c r="K1113" s="258">
        <f t="shared" si="604"/>
        <v>0</v>
      </c>
      <c r="L1113" s="258">
        <f t="shared" si="604"/>
        <v>0</v>
      </c>
      <c r="M1113" s="258">
        <f t="shared" si="604"/>
        <v>0</v>
      </c>
      <c r="N1113" s="258">
        <f t="shared" si="604"/>
        <v>0</v>
      </c>
      <c r="O1113" s="258">
        <f t="shared" si="604"/>
        <v>0</v>
      </c>
      <c r="P1113" s="258">
        <f t="shared" si="604"/>
        <v>0</v>
      </c>
      <c r="Q1113" s="258">
        <f t="shared" si="604"/>
        <v>0</v>
      </c>
      <c r="R1113" s="258">
        <f t="shared" si="604"/>
        <v>0</v>
      </c>
      <c r="S1113" s="291">
        <f t="shared" si="604"/>
        <v>0</v>
      </c>
    </row>
    <row r="1114" spans="1:19" ht="12.75" customHeight="1" x14ac:dyDescent="0.2">
      <c r="A1114" s="198" t="str">
        <f>"      "&amp;Labels!B318</f>
        <v xml:space="preserve">      Channels 2</v>
      </c>
      <c r="B1114" s="258">
        <f t="shared" ref="B1114:S1114" si="605">SUM(B1088,B1101)</f>
        <v>0</v>
      </c>
      <c r="C1114" s="258">
        <f t="shared" si="605"/>
        <v>0</v>
      </c>
      <c r="D1114" s="258">
        <f t="shared" si="605"/>
        <v>0</v>
      </c>
      <c r="E1114" s="258">
        <f t="shared" si="605"/>
        <v>0</v>
      </c>
      <c r="F1114" s="258">
        <f t="shared" si="605"/>
        <v>0</v>
      </c>
      <c r="G1114" s="258">
        <f t="shared" si="605"/>
        <v>0</v>
      </c>
      <c r="H1114" s="258">
        <f t="shared" si="605"/>
        <v>0</v>
      </c>
      <c r="I1114" s="258">
        <f t="shared" si="605"/>
        <v>0</v>
      </c>
      <c r="J1114" s="258">
        <f t="shared" si="605"/>
        <v>0</v>
      </c>
      <c r="K1114" s="258">
        <f t="shared" si="605"/>
        <v>0</v>
      </c>
      <c r="L1114" s="258">
        <f t="shared" si="605"/>
        <v>0</v>
      </c>
      <c r="M1114" s="258">
        <f t="shared" si="605"/>
        <v>0</v>
      </c>
      <c r="N1114" s="258">
        <f t="shared" si="605"/>
        <v>0</v>
      </c>
      <c r="O1114" s="258">
        <f t="shared" si="605"/>
        <v>0</v>
      </c>
      <c r="P1114" s="258">
        <f t="shared" si="605"/>
        <v>0</v>
      </c>
      <c r="Q1114" s="258">
        <f t="shared" si="605"/>
        <v>0</v>
      </c>
      <c r="R1114" s="258">
        <f t="shared" si="605"/>
        <v>0</v>
      </c>
      <c r="S1114" s="291">
        <f t="shared" si="605"/>
        <v>0</v>
      </c>
    </row>
    <row r="1115" spans="1:19" ht="12.75" customHeight="1" x14ac:dyDescent="0.2">
      <c r="A1115" s="188" t="str">
        <f>"      "&amp;Labels!C316</f>
        <v xml:space="preserve">      Total</v>
      </c>
      <c r="B1115" s="256">
        <f t="shared" ref="B1115:S1115" si="606">SUM(B1089,B1102)</f>
        <v>0</v>
      </c>
      <c r="C1115" s="256">
        <f t="shared" si="606"/>
        <v>0</v>
      </c>
      <c r="D1115" s="256">
        <f t="shared" si="606"/>
        <v>275</v>
      </c>
      <c r="E1115" s="256">
        <f t="shared" si="606"/>
        <v>275</v>
      </c>
      <c r="F1115" s="256">
        <f t="shared" si="606"/>
        <v>0</v>
      </c>
      <c r="G1115" s="256">
        <f t="shared" si="606"/>
        <v>200</v>
      </c>
      <c r="H1115" s="256">
        <f t="shared" si="606"/>
        <v>200</v>
      </c>
      <c r="I1115" s="256">
        <f t="shared" si="606"/>
        <v>200</v>
      </c>
      <c r="J1115" s="256">
        <f t="shared" si="606"/>
        <v>0</v>
      </c>
      <c r="K1115" s="256">
        <f t="shared" si="606"/>
        <v>0</v>
      </c>
      <c r="L1115" s="256">
        <f t="shared" si="606"/>
        <v>0</v>
      </c>
      <c r="M1115" s="256">
        <f t="shared" si="606"/>
        <v>0</v>
      </c>
      <c r="N1115" s="256">
        <f t="shared" si="606"/>
        <v>0</v>
      </c>
      <c r="O1115" s="256">
        <f t="shared" si="606"/>
        <v>0</v>
      </c>
      <c r="P1115" s="256">
        <f t="shared" si="606"/>
        <v>0</v>
      </c>
      <c r="Q1115" s="256">
        <f t="shared" si="606"/>
        <v>0</v>
      </c>
      <c r="R1115" s="256">
        <f t="shared" si="606"/>
        <v>0</v>
      </c>
      <c r="S1115" s="290">
        <f t="shared" si="606"/>
        <v>0</v>
      </c>
    </row>
    <row r="1116" spans="1:19" ht="12.75" customHeight="1" x14ac:dyDescent="0.2">
      <c r="A1116" s="191" t="str">
        <f>"   "&amp;Labels!C384</f>
        <v xml:space="preserve">   Total</v>
      </c>
      <c r="B1116" s="260">
        <f t="shared" ref="B1116:S1116" si="607">SUM(B1090,B1103)</f>
        <v>0</v>
      </c>
      <c r="C1116" s="260">
        <f t="shared" si="607"/>
        <v>0</v>
      </c>
      <c r="D1116" s="260">
        <f t="shared" si="607"/>
        <v>550</v>
      </c>
      <c r="E1116" s="260">
        <f t="shared" si="607"/>
        <v>550</v>
      </c>
      <c r="F1116" s="260">
        <f t="shared" si="607"/>
        <v>0</v>
      </c>
      <c r="G1116" s="260">
        <f t="shared" si="607"/>
        <v>400</v>
      </c>
      <c r="H1116" s="260">
        <f t="shared" si="607"/>
        <v>400</v>
      </c>
      <c r="I1116" s="260">
        <f t="shared" si="607"/>
        <v>400</v>
      </c>
      <c r="J1116" s="260">
        <f t="shared" si="607"/>
        <v>0</v>
      </c>
      <c r="K1116" s="260">
        <f t="shared" si="607"/>
        <v>0</v>
      </c>
      <c r="L1116" s="260">
        <f t="shared" si="607"/>
        <v>0</v>
      </c>
      <c r="M1116" s="260">
        <f t="shared" si="607"/>
        <v>0</v>
      </c>
      <c r="N1116" s="260">
        <f t="shared" si="607"/>
        <v>0</v>
      </c>
      <c r="O1116" s="260">
        <f t="shared" si="607"/>
        <v>0</v>
      </c>
      <c r="P1116" s="260">
        <f t="shared" si="607"/>
        <v>0</v>
      </c>
      <c r="Q1116" s="260">
        <f t="shared" si="607"/>
        <v>0</v>
      </c>
      <c r="R1116" s="260">
        <f t="shared" si="607"/>
        <v>0</v>
      </c>
      <c r="S1116" s="289">
        <f t="shared" si="607"/>
        <v>0</v>
      </c>
    </row>
    <row r="1117" spans="1:19" ht="12.75" customHeight="1" x14ac:dyDescent="0.2">
      <c r="A1117" s="198" t="str">
        <f>"      "&amp;Labels!B317</f>
        <v xml:space="preserve">      Channels 1</v>
      </c>
      <c r="B1117" s="258">
        <f t="shared" ref="B1117:S1117" si="608">SUM(B1091,B1104)</f>
        <v>0</v>
      </c>
      <c r="C1117" s="258">
        <f t="shared" si="608"/>
        <v>0</v>
      </c>
      <c r="D1117" s="258">
        <f t="shared" si="608"/>
        <v>550</v>
      </c>
      <c r="E1117" s="258">
        <f t="shared" si="608"/>
        <v>550</v>
      </c>
      <c r="F1117" s="258">
        <f t="shared" si="608"/>
        <v>0</v>
      </c>
      <c r="G1117" s="258">
        <f t="shared" si="608"/>
        <v>400</v>
      </c>
      <c r="H1117" s="258">
        <f t="shared" si="608"/>
        <v>400</v>
      </c>
      <c r="I1117" s="258">
        <f t="shared" si="608"/>
        <v>400</v>
      </c>
      <c r="J1117" s="258">
        <f t="shared" si="608"/>
        <v>0</v>
      </c>
      <c r="K1117" s="258">
        <f t="shared" si="608"/>
        <v>0</v>
      </c>
      <c r="L1117" s="258">
        <f t="shared" si="608"/>
        <v>0</v>
      </c>
      <c r="M1117" s="258">
        <f t="shared" si="608"/>
        <v>0</v>
      </c>
      <c r="N1117" s="258">
        <f t="shared" si="608"/>
        <v>0</v>
      </c>
      <c r="O1117" s="258">
        <f t="shared" si="608"/>
        <v>0</v>
      </c>
      <c r="P1117" s="258">
        <f t="shared" si="608"/>
        <v>0</v>
      </c>
      <c r="Q1117" s="258">
        <f t="shared" si="608"/>
        <v>0</v>
      </c>
      <c r="R1117" s="258">
        <f t="shared" si="608"/>
        <v>0</v>
      </c>
      <c r="S1117" s="291">
        <f t="shared" si="608"/>
        <v>0</v>
      </c>
    </row>
    <row r="1118" spans="1:19" ht="12.75" customHeight="1" x14ac:dyDescent="0.2">
      <c r="A1118" s="198" t="str">
        <f>"      "&amp;Labels!B318</f>
        <v xml:space="preserve">      Channels 2</v>
      </c>
      <c r="B1118" s="258">
        <f t="shared" ref="B1118:S1118" si="609">SUM(B1092,B1105)</f>
        <v>0</v>
      </c>
      <c r="C1118" s="258">
        <f t="shared" si="609"/>
        <v>0</v>
      </c>
      <c r="D1118" s="258">
        <f t="shared" si="609"/>
        <v>0</v>
      </c>
      <c r="E1118" s="258">
        <f t="shared" si="609"/>
        <v>0</v>
      </c>
      <c r="F1118" s="258">
        <f t="shared" si="609"/>
        <v>0</v>
      </c>
      <c r="G1118" s="258">
        <f t="shared" si="609"/>
        <v>0</v>
      </c>
      <c r="H1118" s="258">
        <f t="shared" si="609"/>
        <v>0</v>
      </c>
      <c r="I1118" s="258">
        <f t="shared" si="609"/>
        <v>0</v>
      </c>
      <c r="J1118" s="258">
        <f t="shared" si="609"/>
        <v>0</v>
      </c>
      <c r="K1118" s="258">
        <f t="shared" si="609"/>
        <v>0</v>
      </c>
      <c r="L1118" s="258">
        <f t="shared" si="609"/>
        <v>0</v>
      </c>
      <c r="M1118" s="258">
        <f t="shared" si="609"/>
        <v>0</v>
      </c>
      <c r="N1118" s="258">
        <f t="shared" si="609"/>
        <v>0</v>
      </c>
      <c r="O1118" s="258">
        <f t="shared" si="609"/>
        <v>0</v>
      </c>
      <c r="P1118" s="258">
        <f t="shared" si="609"/>
        <v>0</v>
      </c>
      <c r="Q1118" s="258">
        <f t="shared" si="609"/>
        <v>0</v>
      </c>
      <c r="R1118" s="258">
        <f t="shared" si="609"/>
        <v>0</v>
      </c>
      <c r="S1118" s="291">
        <f t="shared" si="609"/>
        <v>0</v>
      </c>
    </row>
    <row r="1119" spans="1:19" ht="12.75" customHeight="1" x14ac:dyDescent="0.2">
      <c r="A1119" s="220" t="str">
        <f>"      "&amp;Labels!C316</f>
        <v xml:space="preserve">      Total</v>
      </c>
      <c r="B1119" s="362">
        <f t="shared" ref="B1119:S1119" si="610">SUM(B1090,B1103)</f>
        <v>0</v>
      </c>
      <c r="C1119" s="362">
        <f t="shared" si="610"/>
        <v>0</v>
      </c>
      <c r="D1119" s="362">
        <f t="shared" si="610"/>
        <v>550</v>
      </c>
      <c r="E1119" s="362">
        <f t="shared" si="610"/>
        <v>550</v>
      </c>
      <c r="F1119" s="362">
        <f t="shared" si="610"/>
        <v>0</v>
      </c>
      <c r="G1119" s="362">
        <f t="shared" si="610"/>
        <v>400</v>
      </c>
      <c r="H1119" s="362">
        <f t="shared" si="610"/>
        <v>400</v>
      </c>
      <c r="I1119" s="362">
        <f t="shared" si="610"/>
        <v>400</v>
      </c>
      <c r="J1119" s="362">
        <f t="shared" si="610"/>
        <v>0</v>
      </c>
      <c r="K1119" s="362">
        <f t="shared" si="610"/>
        <v>0</v>
      </c>
      <c r="L1119" s="362">
        <f t="shared" si="610"/>
        <v>0</v>
      </c>
      <c r="M1119" s="362">
        <f t="shared" si="610"/>
        <v>0</v>
      </c>
      <c r="N1119" s="362">
        <f t="shared" si="610"/>
        <v>0</v>
      </c>
      <c r="O1119" s="362">
        <f t="shared" si="610"/>
        <v>0</v>
      </c>
      <c r="P1119" s="362">
        <f t="shared" si="610"/>
        <v>0</v>
      </c>
      <c r="Q1119" s="362">
        <f t="shared" si="610"/>
        <v>0</v>
      </c>
      <c r="R1119" s="362">
        <f t="shared" si="610"/>
        <v>0</v>
      </c>
      <c r="S1119" s="363">
        <f t="shared" si="610"/>
        <v>0</v>
      </c>
    </row>
    <row r="1120" spans="1:19" ht="12.75" customHeight="1" x14ac:dyDescent="0.2">
      <c r="A1120" s="1" t="str">
        <f>Labels!B102</f>
        <v>Ident Engage Channel</v>
      </c>
    </row>
    <row r="1121" spans="1:4" ht="12.75" customHeight="1" x14ac:dyDescent="0.2">
      <c r="B1121" s="9" t="str">
        <f>Labels!B317</f>
        <v>Channels 1</v>
      </c>
      <c r="C1121" s="11" t="str">
        <f>Labels!B318</f>
        <v>Channels 2</v>
      </c>
    </row>
    <row r="1122" spans="1:4" ht="12.75" customHeight="1" x14ac:dyDescent="0.2">
      <c r="A1122" s="182" t="str">
        <f>Labels!B345</f>
        <v>Engage 1</v>
      </c>
      <c r="B1122" s="333">
        <f>IF(Labels!B317=INDEX(Inputs!G13:G14,1),1,0)</f>
        <v>1</v>
      </c>
      <c r="C1122" s="366">
        <f>IF(Labels!B318=INDEX(Inputs!G13:G14,1),1,0)</f>
        <v>0</v>
      </c>
    </row>
    <row r="1123" spans="1:4" ht="12.75" customHeight="1" x14ac:dyDescent="0.2">
      <c r="A1123" s="185" t="str">
        <f>Labels!B346</f>
        <v>Engage 2</v>
      </c>
      <c r="B1123" s="336">
        <f>IF(Labels!B317=INDEX(Inputs!G13:G14,2),1,0)</f>
        <v>1</v>
      </c>
      <c r="C1123" s="367">
        <f>IF(Labels!B318=INDEX(Inputs!G13:G14,2),1,0)</f>
        <v>0</v>
      </c>
    </row>
    <row r="1124" spans="1:4" ht="12.75" customHeight="1" x14ac:dyDescent="0.2">
      <c r="A1124" s="1" t="str">
        <f>Labels!B205</f>
        <v>Prof Staff Targ Hrs/ HC (Yr)</v>
      </c>
    </row>
    <row r="1125" spans="1:4" ht="12.75" customHeight="1" x14ac:dyDescent="0.2">
      <c r="B1125" s="9" t="str">
        <f>Labels!B381</f>
        <v>Practice 1</v>
      </c>
      <c r="C1125" s="10" t="str">
        <f>Labels!B382</f>
        <v>Practice 2</v>
      </c>
      <c r="D1125" s="181" t="str">
        <f>Labels!C380</f>
        <v>Total</v>
      </c>
    </row>
    <row r="1126" spans="1:4" ht="12.75" customHeight="1" x14ac:dyDescent="0.2">
      <c r="A1126" s="182" t="str">
        <f>Labels!B385</f>
        <v>Prof Level 1</v>
      </c>
      <c r="B1126" s="254">
        <f>1800</f>
        <v>1800</v>
      </c>
      <c r="C1126" s="254">
        <f>1800</f>
        <v>1800</v>
      </c>
      <c r="D1126" s="255">
        <f>AVERAGE(B1126:C1126)</f>
        <v>1800</v>
      </c>
    </row>
    <row r="1127" spans="1:4" ht="12.75" customHeight="1" x14ac:dyDescent="0.2">
      <c r="A1127" s="191" t="str">
        <f>Labels!B386</f>
        <v>Prof Level 2</v>
      </c>
      <c r="B1127" s="260">
        <f>1800</f>
        <v>1800</v>
      </c>
      <c r="C1127" s="260">
        <f>1800</f>
        <v>1800</v>
      </c>
      <c r="D1127" s="261">
        <f>AVERAGE(B1127:C1127)</f>
        <v>1800</v>
      </c>
    </row>
    <row r="1128" spans="1:4" ht="12.75" customHeight="1" x14ac:dyDescent="0.2">
      <c r="A1128" s="97" t="str">
        <f>Labels!C384</f>
        <v>Total</v>
      </c>
      <c r="B1128" s="360">
        <f>AVERAGE(B1126:B1127)</f>
        <v>1800</v>
      </c>
      <c r="C1128" s="360">
        <f>AVERAGE(C1126:C1127)</f>
        <v>1800</v>
      </c>
      <c r="D1128" s="381">
        <f>AVERAGE(B1128:C1128)</f>
        <v>1800</v>
      </c>
    </row>
    <row r="1129" spans="1:4" ht="12.75" customHeight="1" x14ac:dyDescent="0.2">
      <c r="A1129" s="1" t="str">
        <f>Labels!B218</f>
        <v>Initial Recruit %</v>
      </c>
    </row>
    <row r="1130" spans="1:4" ht="12.75" customHeight="1" x14ac:dyDescent="0.2">
      <c r="B1130" s="9" t="str">
        <f>Labels!B381</f>
        <v>Practice 1</v>
      </c>
      <c r="C1130" s="10" t="str">
        <f>Labels!B382</f>
        <v>Practice 2</v>
      </c>
      <c r="D1130" s="181" t="str">
        <f>Labels!C380</f>
        <v>Total</v>
      </c>
    </row>
    <row r="1131" spans="1:4" ht="12.75" customHeight="1" x14ac:dyDescent="0.2">
      <c r="A1131" s="182" t="str">
        <f>Labels!B385</f>
        <v>Prof Level 1</v>
      </c>
      <c r="B1131" s="370">
        <f>Inputs!G257</f>
        <v>0.15</v>
      </c>
      <c r="C1131" s="370">
        <f>Inputs!G259</f>
        <v>0.15</v>
      </c>
      <c r="D1131" s="405">
        <f>AVERAGE(B1131:C1131)</f>
        <v>0.15</v>
      </c>
    </row>
    <row r="1132" spans="1:4" ht="12.75" customHeight="1" x14ac:dyDescent="0.2">
      <c r="A1132" s="191" t="str">
        <f>Labels!B386</f>
        <v>Prof Level 2</v>
      </c>
      <c r="B1132" s="300">
        <f>Inputs!G258</f>
        <v>0.15</v>
      </c>
      <c r="C1132" s="300">
        <f>Inputs!G260</f>
        <v>0.15</v>
      </c>
      <c r="D1132" s="301">
        <f>AVERAGE(B1132:C1132)</f>
        <v>0.15</v>
      </c>
    </row>
    <row r="1133" spans="1:4" ht="12.75" customHeight="1" x14ac:dyDescent="0.2">
      <c r="A1133" s="97" t="str">
        <f>Labels!C384</f>
        <v>Total</v>
      </c>
      <c r="B1133" s="387">
        <f>AVERAGE(B1131:B1132)</f>
        <v>0.15</v>
      </c>
      <c r="C1133" s="387">
        <f>AVERAGE(C1131:C1132)</f>
        <v>0.15</v>
      </c>
      <c r="D1133" s="406">
        <f>AVERAGE(B1133:C1133)</f>
        <v>0.15</v>
      </c>
    </row>
    <row r="1134" spans="1:4" ht="12.75" customHeight="1" x14ac:dyDescent="0.2">
      <c r="A1134" s="1" t="str">
        <f>Labels!B220</f>
        <v>Recruit % Positions</v>
      </c>
    </row>
    <row r="1135" spans="1:4" ht="12.75" customHeight="1" x14ac:dyDescent="0.2">
      <c r="B1135" s="9" t="str">
        <f>Labels!B381</f>
        <v>Practice 1</v>
      </c>
      <c r="C1135" s="10" t="str">
        <f>Labels!B382</f>
        <v>Practice 2</v>
      </c>
      <c r="D1135" s="181" t="str">
        <f>Labels!C380</f>
        <v>Total</v>
      </c>
    </row>
    <row r="1136" spans="1:4" ht="12.75" customHeight="1" x14ac:dyDescent="0.2">
      <c r="A1136" s="182" t="str">
        <f>Labels!B385</f>
        <v>Prof Level 1</v>
      </c>
      <c r="B1136" s="370">
        <f>Inputs!H257</f>
        <v>0</v>
      </c>
      <c r="C1136" s="370">
        <f>Inputs!H259</f>
        <v>0</v>
      </c>
      <c r="D1136" s="405">
        <f>IF(SUM(C1150:S1150)=0,0,SUM(C1164:S1164)/SUM(C1150:S1150))</f>
        <v>0</v>
      </c>
    </row>
    <row r="1137" spans="1:19" ht="12.75" customHeight="1" x14ac:dyDescent="0.2">
      <c r="A1137" s="191" t="str">
        <f>Labels!B386</f>
        <v>Prof Level 2</v>
      </c>
      <c r="B1137" s="300">
        <f>Inputs!H258</f>
        <v>0</v>
      </c>
      <c r="C1137" s="300">
        <f>Inputs!H260</f>
        <v>0</v>
      </c>
      <c r="D1137" s="301">
        <f>IF(SUM(C1151:S1151)=0,0,SUM(C1165:S1165)/SUM(C1151:S1151))</f>
        <v>0</v>
      </c>
    </row>
    <row r="1138" spans="1:19" ht="12.75" customHeight="1" x14ac:dyDescent="0.2">
      <c r="A1138" s="97" t="str">
        <f>Labels!C384</f>
        <v>Total</v>
      </c>
      <c r="B1138" s="387">
        <f>IF(SUM(C1144:S1144)=0,0,SUM(C1158:S1158)/SUM(C1144:S1144))</f>
        <v>0</v>
      </c>
      <c r="C1138" s="387">
        <f>IF(SUM(C1148:S1148)=0,0,SUM(C1162:S1162)/SUM(C1148:S1148))</f>
        <v>0</v>
      </c>
      <c r="D1138" s="406">
        <f>IF(SUM(C1149:S1149)=0,0,SUM(C1163:S1163)/SUM(C1149:S1149))</f>
        <v>0</v>
      </c>
    </row>
    <row r="1139" spans="1:19" ht="12.75" customHeight="1" x14ac:dyDescent="0.2">
      <c r="A1139" s="1" t="str">
        <f>Labels!B196</f>
        <v>Prof Staff Open Positions</v>
      </c>
    </row>
    <row r="1140" spans="1:19" ht="12.75" customHeight="1" x14ac:dyDescent="0.2">
      <c r="B1140" s="9" t="str">
        <f>'(FnCalls 1)'!F41</f>
        <v>MMM 2010</v>
      </c>
      <c r="C1140" s="10" t="str">
        <f>'(FnCalls 1)'!F42</f>
        <v>MMM 2010</v>
      </c>
      <c r="D1140" s="10" t="str">
        <f>'(FnCalls 1)'!F43</f>
        <v>MMM 2010</v>
      </c>
      <c r="E1140" s="10" t="str">
        <f>'(FnCalls 1)'!F44</f>
        <v>MMM 2010</v>
      </c>
      <c r="F1140" s="10" t="str">
        <f>'(FnCalls 1)'!F45</f>
        <v>MMM 2010</v>
      </c>
      <c r="G1140" s="10" t="str">
        <f>'(FnCalls 1)'!F46</f>
        <v>MMM 2010</v>
      </c>
      <c r="H1140" s="10" t="str">
        <f>'(FnCalls 1)'!F47</f>
        <v>MMM 2010</v>
      </c>
      <c r="I1140" s="10" t="str">
        <f>'(FnCalls 1)'!F48</f>
        <v>MMM 2010</v>
      </c>
      <c r="J1140" s="10" t="str">
        <f>'(FnCalls 1)'!F49</f>
        <v>MMM 2010</v>
      </c>
      <c r="K1140" s="10" t="str">
        <f>'(FnCalls 1)'!F50</f>
        <v>MMM 2010</v>
      </c>
      <c r="L1140" s="10" t="str">
        <f>'(FnCalls 1)'!F51</f>
        <v>MMM 2010</v>
      </c>
      <c r="M1140" s="10" t="str">
        <f>'(FnCalls 1)'!F52</f>
        <v>MMM 2010</v>
      </c>
      <c r="N1140" s="10" t="str">
        <f>'(FnCalls 1)'!F53</f>
        <v>MMM 2011</v>
      </c>
      <c r="O1140" s="10" t="str">
        <f>'(FnCalls 1)'!F54</f>
        <v>MMM 2011</v>
      </c>
      <c r="P1140" s="10" t="str">
        <f>'(FnCalls 1)'!F55</f>
        <v>MMM 2011</v>
      </c>
      <c r="Q1140" s="10" t="str">
        <f>'(FnCalls 1)'!F56</f>
        <v>MMM 2011</v>
      </c>
      <c r="R1140" s="10" t="str">
        <f>'(FnCalls 1)'!F57</f>
        <v>MMM 2011</v>
      </c>
      <c r="S1140" s="11" t="str">
        <f>'(FnCalls 1)'!F58</f>
        <v>MMM 2011</v>
      </c>
    </row>
    <row r="1141" spans="1:19" ht="12.75" customHeight="1" x14ac:dyDescent="0.2">
      <c r="A1141" s="182" t="str">
        <f>Labels!B381</f>
        <v>Practice 1</v>
      </c>
      <c r="B1141" s="212"/>
      <c r="C1141" s="212"/>
      <c r="D1141" s="212"/>
      <c r="E1141" s="212"/>
      <c r="F1141" s="212"/>
      <c r="G1141" s="212"/>
      <c r="H1141" s="212"/>
      <c r="I1141" s="212"/>
      <c r="J1141" s="212"/>
      <c r="K1141" s="212"/>
      <c r="L1141" s="212"/>
      <c r="M1141" s="212"/>
      <c r="N1141" s="212"/>
      <c r="O1141" s="212"/>
      <c r="P1141" s="212"/>
      <c r="Q1141" s="212"/>
      <c r="R1141" s="212"/>
      <c r="S1141" s="376"/>
    </row>
    <row r="1142" spans="1:19" ht="12.75" customHeight="1" x14ac:dyDescent="0.2">
      <c r="A1142" s="188" t="str">
        <f>"   "&amp;Labels!B385</f>
        <v xml:space="preserve">   Prof Level 1</v>
      </c>
      <c r="B1142" s="316">
        <f>IF(C12&lt;0.001+1/12,'GM CostSvcs'!B479+'GM CostSvcs'!B493,MAX(0,'GM CostSvcs'!B479-0+'GM CostSvcs'!B493))</f>
        <v>0</v>
      </c>
      <c r="C1142" s="316">
        <f>IF(D12&lt;0.001+1/12,'GM CostSvcs'!C479+'GM CostSvcs'!C493,MAX(0,'GM CostSvcs'!C479-'GM CostSvcs'!B479+'GM CostSvcs'!C493))</f>
        <v>0</v>
      </c>
      <c r="D1142" s="316">
        <f>IF(E12&lt;0.001+1/12,'GM CostSvcs'!D479+'GM CostSvcs'!D493,MAX(0,'GM CostSvcs'!D479-'GM CostSvcs'!C479+'GM CostSvcs'!D493))</f>
        <v>0</v>
      </c>
      <c r="E1142" s="316">
        <f>IF(F12&lt;0.001+1/12,'GM CostSvcs'!F479+'GM CostSvcs'!F493,MAX(0,'GM CostSvcs'!F479-'GM CostSvcs'!D479+'GM CostSvcs'!F493))</f>
        <v>0</v>
      </c>
      <c r="F1142" s="316">
        <f>IF(G12&lt;0.001+1/12,'GM CostSvcs'!G479+'GM CostSvcs'!G493,MAX(0,'GM CostSvcs'!G479-'GM CostSvcs'!F479+'GM CostSvcs'!G493))</f>
        <v>0</v>
      </c>
      <c r="G1142" s="316">
        <f>IF(H12&lt;0.001+1/12,'GM CostSvcs'!H479+'GM CostSvcs'!H493,MAX(0,'GM CostSvcs'!H479-'GM CostSvcs'!G479+'GM CostSvcs'!H493))</f>
        <v>0</v>
      </c>
      <c r="H1142" s="316">
        <f>IF(I12&lt;0.001+1/12,'GM CostSvcs'!J479+'GM CostSvcs'!J493,MAX(0,'GM CostSvcs'!J479-'GM CostSvcs'!H479+'GM CostSvcs'!J493))</f>
        <v>1.0083333333333333</v>
      </c>
      <c r="I1142" s="316">
        <f>IF(J12&lt;0.001+1/12,'GM CostSvcs'!K479+'GM CostSvcs'!K493,MAX(0,'GM CostSvcs'!K479-'GM CostSvcs'!J479+'GM CostSvcs'!K493))</f>
        <v>1.0166666666666666</v>
      </c>
      <c r="J1142" s="316">
        <f>IF(K12&lt;0.001+1/12,'GM CostSvcs'!L479+'GM CostSvcs'!L493,MAX(0,'GM CostSvcs'!L479-'GM CostSvcs'!K479+'GM CostSvcs'!L493))</f>
        <v>0</v>
      </c>
      <c r="K1142" s="316">
        <f>IF(L12&lt;0.001+1/12,'GM CostSvcs'!N479+'GM CostSvcs'!N493,MAX(0,'GM CostSvcs'!N479-'GM CostSvcs'!L479+'GM CostSvcs'!N493))</f>
        <v>0</v>
      </c>
      <c r="L1142" s="316">
        <f>IF(M12&lt;0.001+1/12,'GM CostSvcs'!O479+'GM CostSvcs'!O493,MAX(0,'GM CostSvcs'!O479-'GM CostSvcs'!N479+'GM CostSvcs'!O493))</f>
        <v>0</v>
      </c>
      <c r="M1142" s="316">
        <f>IF(N12&lt;0.001+1/12,'GM CostSvcs'!P479+'GM CostSvcs'!P493,MAX(0,'GM CostSvcs'!P479-'GM CostSvcs'!O479+'GM CostSvcs'!P493))</f>
        <v>0</v>
      </c>
      <c r="N1142" s="316">
        <f>IF(O12&lt;0.001+1/12,'GM CostSvcs'!R479+'GM CostSvcs'!R493,MAX(0,'GM CostSvcs'!R479-'GM CostSvcs'!P479+'GM CostSvcs'!R493))</f>
        <v>0</v>
      </c>
      <c r="O1142" s="316">
        <f>IF(P12&lt;0.001+1/12,'GM CostSvcs'!S479+'GM CostSvcs'!S493,MAX(0,'GM CostSvcs'!S479-'GM CostSvcs'!R479+'GM CostSvcs'!S493))</f>
        <v>0</v>
      </c>
      <c r="P1142" s="316">
        <f>IF(Q12&lt;0.001+1/12,'GM CostSvcs'!T479+'GM CostSvcs'!T493,MAX(0,'GM CostSvcs'!T479-'GM CostSvcs'!S479+'GM CostSvcs'!T493))</f>
        <v>0</v>
      </c>
      <c r="Q1142" s="316">
        <f>IF(R12&lt;0.001+1/12,'GM CostSvcs'!V479+'GM CostSvcs'!V493,MAX(0,'GM CostSvcs'!V479-'GM CostSvcs'!T479+'GM CostSvcs'!V493))</f>
        <v>0</v>
      </c>
      <c r="R1142" s="316">
        <f>IF(S12&lt;0.001+1/12,'GM CostSvcs'!W479+'GM CostSvcs'!W493,MAX(0,'GM CostSvcs'!W479-'GM CostSvcs'!V479+'GM CostSvcs'!W493))</f>
        <v>0</v>
      </c>
      <c r="S1142" s="407">
        <f>IF(T12&lt;0.001+1/12,'GM CostSvcs'!X479+'GM CostSvcs'!X493,MAX(0,'GM CostSvcs'!X479-'GM CostSvcs'!W479+'GM CostSvcs'!X493))</f>
        <v>0</v>
      </c>
    </row>
    <row r="1143" spans="1:19" ht="12.75" customHeight="1" x14ac:dyDescent="0.2">
      <c r="A1143" s="188" t="str">
        <f>"   "&amp;Labels!B386</f>
        <v xml:space="preserve">   Prof Level 2</v>
      </c>
      <c r="B1143" s="316">
        <f>IF(C12&lt;0.001+1/12,'GM CostSvcs'!B480+'GM CostSvcs'!B494,MAX(0,'GM CostSvcs'!B480-0+'GM CostSvcs'!B494))</f>
        <v>0</v>
      </c>
      <c r="C1143" s="316">
        <f>IF(D12&lt;0.001+1/12,'GM CostSvcs'!C480+'GM CostSvcs'!C494,MAX(0,'GM CostSvcs'!C480-'GM CostSvcs'!B480+'GM CostSvcs'!C494))</f>
        <v>0</v>
      </c>
      <c r="D1143" s="316">
        <f>IF(E12&lt;0.001+1/12,'GM CostSvcs'!D480+'GM CostSvcs'!D494,MAX(0,'GM CostSvcs'!D480-'GM CostSvcs'!C480+'GM CostSvcs'!D494))</f>
        <v>0</v>
      </c>
      <c r="E1143" s="316">
        <f>IF(F12&lt;0.001+1/12,'GM CostSvcs'!F480+'GM CostSvcs'!F494,MAX(0,'GM CostSvcs'!F480-'GM CostSvcs'!D480+'GM CostSvcs'!F494))</f>
        <v>0</v>
      </c>
      <c r="F1143" s="316">
        <f>IF(G12&lt;0.001+1/12,'GM CostSvcs'!G480+'GM CostSvcs'!G494,MAX(0,'GM CostSvcs'!G480-'GM CostSvcs'!F480+'GM CostSvcs'!G494))</f>
        <v>0</v>
      </c>
      <c r="G1143" s="316">
        <f>IF(H12&lt;0.001+1/12,'GM CostSvcs'!H480+'GM CostSvcs'!H494,MAX(0,'GM CostSvcs'!H480-'GM CostSvcs'!G480+'GM CostSvcs'!H494))</f>
        <v>0</v>
      </c>
      <c r="H1143" s="316">
        <f>IF(I12&lt;0.001+1/12,'GM CostSvcs'!J480+'GM CostSvcs'!J494,MAX(0,'GM CostSvcs'!J480-'GM CostSvcs'!H480+'GM CostSvcs'!J494))</f>
        <v>1.0083333333333333</v>
      </c>
      <c r="I1143" s="316">
        <f>IF(J12&lt;0.001+1/12,'GM CostSvcs'!K480+'GM CostSvcs'!K494,MAX(0,'GM CostSvcs'!K480-'GM CostSvcs'!J480+'GM CostSvcs'!K494))</f>
        <v>1.0166666666666666</v>
      </c>
      <c r="J1143" s="316">
        <f>IF(K12&lt;0.001+1/12,'GM CostSvcs'!L480+'GM CostSvcs'!L494,MAX(0,'GM CostSvcs'!L480-'GM CostSvcs'!K480+'GM CostSvcs'!L494))</f>
        <v>0</v>
      </c>
      <c r="K1143" s="316">
        <f>IF(L12&lt;0.001+1/12,'GM CostSvcs'!N480+'GM CostSvcs'!N494,MAX(0,'GM CostSvcs'!N480-'GM CostSvcs'!L480+'GM CostSvcs'!N494))</f>
        <v>0</v>
      </c>
      <c r="L1143" s="316">
        <f>IF(M12&lt;0.001+1/12,'GM CostSvcs'!O480+'GM CostSvcs'!O494,MAX(0,'GM CostSvcs'!O480-'GM CostSvcs'!N480+'GM CostSvcs'!O494))</f>
        <v>0</v>
      </c>
      <c r="M1143" s="316">
        <f>IF(N12&lt;0.001+1/12,'GM CostSvcs'!P480+'GM CostSvcs'!P494,MAX(0,'GM CostSvcs'!P480-'GM CostSvcs'!O480+'GM CostSvcs'!P494))</f>
        <v>0</v>
      </c>
      <c r="N1143" s="316">
        <f>IF(O12&lt;0.001+1/12,'GM CostSvcs'!R480+'GM CostSvcs'!R494,MAX(0,'GM CostSvcs'!R480-'GM CostSvcs'!P480+'GM CostSvcs'!R494))</f>
        <v>0</v>
      </c>
      <c r="O1143" s="316">
        <f>IF(P12&lt;0.001+1/12,'GM CostSvcs'!S480+'GM CostSvcs'!S494,MAX(0,'GM CostSvcs'!S480-'GM CostSvcs'!R480+'GM CostSvcs'!S494))</f>
        <v>0</v>
      </c>
      <c r="P1143" s="316">
        <f>IF(Q12&lt;0.001+1/12,'GM CostSvcs'!T480+'GM CostSvcs'!T494,MAX(0,'GM CostSvcs'!T480-'GM CostSvcs'!S480+'GM CostSvcs'!T494))</f>
        <v>0</v>
      </c>
      <c r="Q1143" s="316">
        <f>IF(R12&lt;0.001+1/12,'GM CostSvcs'!V480+'GM CostSvcs'!V494,MAX(0,'GM CostSvcs'!V480-'GM CostSvcs'!T480+'GM CostSvcs'!V494))</f>
        <v>0</v>
      </c>
      <c r="R1143" s="316">
        <f>IF(S12&lt;0.001+1/12,'GM CostSvcs'!W480+'GM CostSvcs'!W494,MAX(0,'GM CostSvcs'!W480-'GM CostSvcs'!V480+'GM CostSvcs'!W494))</f>
        <v>0</v>
      </c>
      <c r="S1143" s="407">
        <f>IF(T12&lt;0.001+1/12,'GM CostSvcs'!X480+'GM CostSvcs'!X494,MAX(0,'GM CostSvcs'!X480-'GM CostSvcs'!W480+'GM CostSvcs'!X494))</f>
        <v>0</v>
      </c>
    </row>
    <row r="1144" spans="1:19" ht="12.75" customHeight="1" x14ac:dyDescent="0.2">
      <c r="A1144" s="191" t="str">
        <f>"   "&amp;Labels!C384</f>
        <v xml:space="preserve">   Total</v>
      </c>
      <c r="B1144" s="314">
        <f t="shared" ref="B1144:S1144" si="611">SUM(B1142:B1143)</f>
        <v>0</v>
      </c>
      <c r="C1144" s="314">
        <f t="shared" si="611"/>
        <v>0</v>
      </c>
      <c r="D1144" s="314">
        <f t="shared" si="611"/>
        <v>0</v>
      </c>
      <c r="E1144" s="314">
        <f t="shared" si="611"/>
        <v>0</v>
      </c>
      <c r="F1144" s="314">
        <f t="shared" si="611"/>
        <v>0</v>
      </c>
      <c r="G1144" s="314">
        <f t="shared" si="611"/>
        <v>0</v>
      </c>
      <c r="H1144" s="314">
        <f t="shared" si="611"/>
        <v>2.0166666666666666</v>
      </c>
      <c r="I1144" s="314">
        <f t="shared" si="611"/>
        <v>2.0333333333333332</v>
      </c>
      <c r="J1144" s="314">
        <f t="shared" si="611"/>
        <v>0</v>
      </c>
      <c r="K1144" s="314">
        <f t="shared" si="611"/>
        <v>0</v>
      </c>
      <c r="L1144" s="314">
        <f t="shared" si="611"/>
        <v>0</v>
      </c>
      <c r="M1144" s="314">
        <f t="shared" si="611"/>
        <v>0</v>
      </c>
      <c r="N1144" s="314">
        <f t="shared" si="611"/>
        <v>0</v>
      </c>
      <c r="O1144" s="314">
        <f t="shared" si="611"/>
        <v>0</v>
      </c>
      <c r="P1144" s="314">
        <f t="shared" si="611"/>
        <v>0</v>
      </c>
      <c r="Q1144" s="314">
        <f t="shared" si="611"/>
        <v>0</v>
      </c>
      <c r="R1144" s="314">
        <f t="shared" si="611"/>
        <v>0</v>
      </c>
      <c r="S1144" s="377">
        <f t="shared" si="611"/>
        <v>0</v>
      </c>
    </row>
    <row r="1145" spans="1:19" ht="12.75" customHeight="1" x14ac:dyDescent="0.2">
      <c r="A1145" s="191" t="str">
        <f>Labels!B382</f>
        <v>Practice 2</v>
      </c>
      <c r="B1145" s="314"/>
      <c r="C1145" s="314"/>
      <c r="D1145" s="314"/>
      <c r="E1145" s="314"/>
      <c r="F1145" s="314"/>
      <c r="G1145" s="314"/>
      <c r="H1145" s="314"/>
      <c r="I1145" s="314"/>
      <c r="J1145" s="314"/>
      <c r="K1145" s="314"/>
      <c r="L1145" s="314"/>
      <c r="M1145" s="314"/>
      <c r="N1145" s="314"/>
      <c r="O1145" s="314"/>
      <c r="P1145" s="314"/>
      <c r="Q1145" s="314"/>
      <c r="R1145" s="314"/>
      <c r="S1145" s="377"/>
    </row>
    <row r="1146" spans="1:19" ht="12.75" customHeight="1" x14ac:dyDescent="0.2">
      <c r="A1146" s="188" t="str">
        <f>"   "&amp;Labels!B385</f>
        <v xml:space="preserve">   Prof Level 1</v>
      </c>
      <c r="B1146" s="316">
        <f>IF(C12&lt;0.001+1/12,'GM CostSvcs'!B483+'GM CostSvcs'!B497,MAX(0,'GM CostSvcs'!B483-0+'GM CostSvcs'!B497))</f>
        <v>0</v>
      </c>
      <c r="C1146" s="316">
        <f>IF(D12&lt;0.001+1/12,'GM CostSvcs'!C483+'GM CostSvcs'!C497,MAX(0,'GM CostSvcs'!C483-'GM CostSvcs'!B483+'GM CostSvcs'!C497))</f>
        <v>0</v>
      </c>
      <c r="D1146" s="316">
        <f>IF(E12&lt;0.001+1/12,'GM CostSvcs'!D483+'GM CostSvcs'!D497,MAX(0,'GM CostSvcs'!D483-'GM CostSvcs'!C483+'GM CostSvcs'!D497))</f>
        <v>0</v>
      </c>
      <c r="E1146" s="316">
        <f>IF(F12&lt;0.001+1/12,'GM CostSvcs'!F483+'GM CostSvcs'!F497,MAX(0,'GM CostSvcs'!F483-'GM CostSvcs'!D483+'GM CostSvcs'!F497))</f>
        <v>0</v>
      </c>
      <c r="F1146" s="316">
        <f>IF(G12&lt;0.001+1/12,'GM CostSvcs'!G483+'GM CostSvcs'!G497,MAX(0,'GM CostSvcs'!G483-'GM CostSvcs'!F483+'GM CostSvcs'!G497))</f>
        <v>0</v>
      </c>
      <c r="G1146" s="316">
        <f>IF(H12&lt;0.001+1/12,'GM CostSvcs'!H483+'GM CostSvcs'!H497,MAX(0,'GM CostSvcs'!H483-'GM CostSvcs'!G483+'GM CostSvcs'!H497))</f>
        <v>0</v>
      </c>
      <c r="H1146" s="316">
        <f>IF(I12&lt;0.001+1/12,'GM CostSvcs'!J483+'GM CostSvcs'!J497,MAX(0,'GM CostSvcs'!J483-'GM CostSvcs'!H483+'GM CostSvcs'!J497))</f>
        <v>0</v>
      </c>
      <c r="I1146" s="316">
        <f>IF(J12&lt;0.001+1/12,'GM CostSvcs'!K483+'GM CostSvcs'!K497,MAX(0,'GM CostSvcs'!K483-'GM CostSvcs'!J483+'GM CostSvcs'!K497))</f>
        <v>0</v>
      </c>
      <c r="J1146" s="316">
        <f>IF(K12&lt;0.001+1/12,'GM CostSvcs'!L483+'GM CostSvcs'!L497,MAX(0,'GM CostSvcs'!L483-'GM CostSvcs'!K483+'GM CostSvcs'!L497))</f>
        <v>0</v>
      </c>
      <c r="K1146" s="316">
        <f>IF(L12&lt;0.001+1/12,'GM CostSvcs'!N483+'GM CostSvcs'!N497,MAX(0,'GM CostSvcs'!N483-'GM CostSvcs'!L483+'GM CostSvcs'!N497))</f>
        <v>0</v>
      </c>
      <c r="L1146" s="316">
        <f>IF(M12&lt;0.001+1/12,'GM CostSvcs'!O483+'GM CostSvcs'!O497,MAX(0,'GM CostSvcs'!O483-'GM CostSvcs'!N483+'GM CostSvcs'!O497))</f>
        <v>0</v>
      </c>
      <c r="M1146" s="316">
        <f>IF(N12&lt;0.001+1/12,'GM CostSvcs'!P483+'GM CostSvcs'!P497,MAX(0,'GM CostSvcs'!P483-'GM CostSvcs'!O483+'GM CostSvcs'!P497))</f>
        <v>0</v>
      </c>
      <c r="N1146" s="316">
        <f>IF(O12&lt;0.001+1/12,'GM CostSvcs'!R483+'GM CostSvcs'!R497,MAX(0,'GM CostSvcs'!R483-'GM CostSvcs'!P483+'GM CostSvcs'!R497))</f>
        <v>0</v>
      </c>
      <c r="O1146" s="316">
        <f>IF(P12&lt;0.001+1/12,'GM CostSvcs'!S483+'GM CostSvcs'!S497,MAX(0,'GM CostSvcs'!S483-'GM CostSvcs'!R483+'GM CostSvcs'!S497))</f>
        <v>0</v>
      </c>
      <c r="P1146" s="316">
        <f>IF(Q12&lt;0.001+1/12,'GM CostSvcs'!T483+'GM CostSvcs'!T497,MAX(0,'GM CostSvcs'!T483-'GM CostSvcs'!S483+'GM CostSvcs'!T497))</f>
        <v>0</v>
      </c>
      <c r="Q1146" s="316">
        <f>IF(R12&lt;0.001+1/12,'GM CostSvcs'!V483+'GM CostSvcs'!V497,MAX(0,'GM CostSvcs'!V483-'GM CostSvcs'!T483+'GM CostSvcs'!V497))</f>
        <v>0</v>
      </c>
      <c r="R1146" s="316">
        <f>IF(S12&lt;0.001+1/12,'GM CostSvcs'!W483+'GM CostSvcs'!W497,MAX(0,'GM CostSvcs'!W483-'GM CostSvcs'!V483+'GM CostSvcs'!W497))</f>
        <v>0</v>
      </c>
      <c r="S1146" s="407">
        <f>IF(T12&lt;0.001+1/12,'GM CostSvcs'!X483+'GM CostSvcs'!X497,MAX(0,'GM CostSvcs'!X483-'GM CostSvcs'!W483+'GM CostSvcs'!X497))</f>
        <v>0</v>
      </c>
    </row>
    <row r="1147" spans="1:19" ht="12.75" customHeight="1" x14ac:dyDescent="0.2">
      <c r="A1147" s="188" t="str">
        <f>"   "&amp;Labels!B386</f>
        <v xml:space="preserve">   Prof Level 2</v>
      </c>
      <c r="B1147" s="316">
        <f>IF(C12&lt;0.001+1/12,'GM CostSvcs'!B484+'GM CostSvcs'!B498,MAX(0,'GM CostSvcs'!B484-0+'GM CostSvcs'!B498))</f>
        <v>0</v>
      </c>
      <c r="C1147" s="316">
        <f>IF(D12&lt;0.001+1/12,'GM CostSvcs'!C484+'GM CostSvcs'!C498,MAX(0,'GM CostSvcs'!C484-'GM CostSvcs'!B484+'GM CostSvcs'!C498))</f>
        <v>0</v>
      </c>
      <c r="D1147" s="316">
        <f>IF(E12&lt;0.001+1/12,'GM CostSvcs'!D484+'GM CostSvcs'!D498,MAX(0,'GM CostSvcs'!D484-'GM CostSvcs'!C484+'GM CostSvcs'!D498))</f>
        <v>0</v>
      </c>
      <c r="E1147" s="316">
        <f>IF(F12&lt;0.001+1/12,'GM CostSvcs'!F484+'GM CostSvcs'!F498,MAX(0,'GM CostSvcs'!F484-'GM CostSvcs'!D484+'GM CostSvcs'!F498))</f>
        <v>0</v>
      </c>
      <c r="F1147" s="316">
        <f>IF(G12&lt;0.001+1/12,'GM CostSvcs'!G484+'GM CostSvcs'!G498,MAX(0,'GM CostSvcs'!G484-'GM CostSvcs'!F484+'GM CostSvcs'!G498))</f>
        <v>0</v>
      </c>
      <c r="G1147" s="316">
        <f>IF(H12&lt;0.001+1/12,'GM CostSvcs'!H484+'GM CostSvcs'!H498,MAX(0,'GM CostSvcs'!H484-'GM CostSvcs'!G484+'GM CostSvcs'!H498))</f>
        <v>0</v>
      </c>
      <c r="H1147" s="316">
        <f>IF(I12&lt;0.001+1/12,'GM CostSvcs'!J484+'GM CostSvcs'!J498,MAX(0,'GM CostSvcs'!J484-'GM CostSvcs'!H484+'GM CostSvcs'!J498))</f>
        <v>0</v>
      </c>
      <c r="I1147" s="316">
        <f>IF(J12&lt;0.001+1/12,'GM CostSvcs'!K484+'GM CostSvcs'!K498,MAX(0,'GM CostSvcs'!K484-'GM CostSvcs'!J484+'GM CostSvcs'!K498))</f>
        <v>0</v>
      </c>
      <c r="J1147" s="316">
        <f>IF(K12&lt;0.001+1/12,'GM CostSvcs'!L484+'GM CostSvcs'!L498,MAX(0,'GM CostSvcs'!L484-'GM CostSvcs'!K484+'GM CostSvcs'!L498))</f>
        <v>0</v>
      </c>
      <c r="K1147" s="316">
        <f>IF(L12&lt;0.001+1/12,'GM CostSvcs'!N484+'GM CostSvcs'!N498,MAX(0,'GM CostSvcs'!N484-'GM CostSvcs'!L484+'GM CostSvcs'!N498))</f>
        <v>0</v>
      </c>
      <c r="L1147" s="316">
        <f>IF(M12&lt;0.001+1/12,'GM CostSvcs'!O484+'GM CostSvcs'!O498,MAX(0,'GM CostSvcs'!O484-'GM CostSvcs'!N484+'GM CostSvcs'!O498))</f>
        <v>0</v>
      </c>
      <c r="M1147" s="316">
        <f>IF(N12&lt;0.001+1/12,'GM CostSvcs'!P484+'GM CostSvcs'!P498,MAX(0,'GM CostSvcs'!P484-'GM CostSvcs'!O484+'GM CostSvcs'!P498))</f>
        <v>0</v>
      </c>
      <c r="N1147" s="316">
        <f>IF(O12&lt;0.001+1/12,'GM CostSvcs'!R484+'GM CostSvcs'!R498,MAX(0,'GM CostSvcs'!R484-'GM CostSvcs'!P484+'GM CostSvcs'!R498))</f>
        <v>0</v>
      </c>
      <c r="O1147" s="316">
        <f>IF(P12&lt;0.001+1/12,'GM CostSvcs'!S484+'GM CostSvcs'!S498,MAX(0,'GM CostSvcs'!S484-'GM CostSvcs'!R484+'GM CostSvcs'!S498))</f>
        <v>0</v>
      </c>
      <c r="P1147" s="316">
        <f>IF(Q12&lt;0.001+1/12,'GM CostSvcs'!T484+'GM CostSvcs'!T498,MAX(0,'GM CostSvcs'!T484-'GM CostSvcs'!S484+'GM CostSvcs'!T498))</f>
        <v>0</v>
      </c>
      <c r="Q1147" s="316">
        <f>IF(R12&lt;0.001+1/12,'GM CostSvcs'!V484+'GM CostSvcs'!V498,MAX(0,'GM CostSvcs'!V484-'GM CostSvcs'!T484+'GM CostSvcs'!V498))</f>
        <v>0</v>
      </c>
      <c r="R1147" s="316">
        <f>IF(S12&lt;0.001+1/12,'GM CostSvcs'!W484+'GM CostSvcs'!W498,MAX(0,'GM CostSvcs'!W484-'GM CostSvcs'!V484+'GM CostSvcs'!W498))</f>
        <v>0</v>
      </c>
      <c r="S1147" s="407">
        <f>IF(T12&lt;0.001+1/12,'GM CostSvcs'!X484+'GM CostSvcs'!X498,MAX(0,'GM CostSvcs'!X484-'GM CostSvcs'!W484+'GM CostSvcs'!X498))</f>
        <v>0</v>
      </c>
    </row>
    <row r="1148" spans="1:19" ht="12.75" customHeight="1" x14ac:dyDescent="0.2">
      <c r="A1148" s="191" t="str">
        <f>"   "&amp;Labels!C384</f>
        <v xml:space="preserve">   Total</v>
      </c>
      <c r="B1148" s="314">
        <f t="shared" ref="B1148:S1148" si="612">SUM(B1146:B1147)</f>
        <v>0</v>
      </c>
      <c r="C1148" s="314">
        <f t="shared" si="612"/>
        <v>0</v>
      </c>
      <c r="D1148" s="314">
        <f t="shared" si="612"/>
        <v>0</v>
      </c>
      <c r="E1148" s="314">
        <f t="shared" si="612"/>
        <v>0</v>
      </c>
      <c r="F1148" s="314">
        <f t="shared" si="612"/>
        <v>0</v>
      </c>
      <c r="G1148" s="314">
        <f t="shared" si="612"/>
        <v>0</v>
      </c>
      <c r="H1148" s="314">
        <f t="shared" si="612"/>
        <v>0</v>
      </c>
      <c r="I1148" s="314">
        <f t="shared" si="612"/>
        <v>0</v>
      </c>
      <c r="J1148" s="314">
        <f t="shared" si="612"/>
        <v>0</v>
      </c>
      <c r="K1148" s="314">
        <f t="shared" si="612"/>
        <v>0</v>
      </c>
      <c r="L1148" s="314">
        <f t="shared" si="612"/>
        <v>0</v>
      </c>
      <c r="M1148" s="314">
        <f t="shared" si="612"/>
        <v>0</v>
      </c>
      <c r="N1148" s="314">
        <f t="shared" si="612"/>
        <v>0</v>
      </c>
      <c r="O1148" s="314">
        <f t="shared" si="612"/>
        <v>0</v>
      </c>
      <c r="P1148" s="314">
        <f t="shared" si="612"/>
        <v>0</v>
      </c>
      <c r="Q1148" s="314">
        <f t="shared" si="612"/>
        <v>0</v>
      </c>
      <c r="R1148" s="314">
        <f t="shared" si="612"/>
        <v>0</v>
      </c>
      <c r="S1148" s="377">
        <f t="shared" si="612"/>
        <v>0</v>
      </c>
    </row>
    <row r="1149" spans="1:19" ht="12.75" customHeight="1" x14ac:dyDescent="0.2">
      <c r="A1149" s="97" t="str">
        <f>Labels!C380</f>
        <v>Total</v>
      </c>
      <c r="B1149" s="368">
        <f t="shared" ref="B1149:S1149" si="613">SUM(B1144,B1148)</f>
        <v>0</v>
      </c>
      <c r="C1149" s="368">
        <f t="shared" si="613"/>
        <v>0</v>
      </c>
      <c r="D1149" s="368">
        <f t="shared" si="613"/>
        <v>0</v>
      </c>
      <c r="E1149" s="368">
        <f t="shared" si="613"/>
        <v>0</v>
      </c>
      <c r="F1149" s="368">
        <f t="shared" si="613"/>
        <v>0</v>
      </c>
      <c r="G1149" s="368">
        <f t="shared" si="613"/>
        <v>0</v>
      </c>
      <c r="H1149" s="368">
        <f t="shared" si="613"/>
        <v>2.0166666666666666</v>
      </c>
      <c r="I1149" s="368">
        <f t="shared" si="613"/>
        <v>2.0333333333333332</v>
      </c>
      <c r="J1149" s="368">
        <f t="shared" si="613"/>
        <v>0</v>
      </c>
      <c r="K1149" s="368">
        <f t="shared" si="613"/>
        <v>0</v>
      </c>
      <c r="L1149" s="368">
        <f t="shared" si="613"/>
        <v>0</v>
      </c>
      <c r="M1149" s="368">
        <f t="shared" si="613"/>
        <v>0</v>
      </c>
      <c r="N1149" s="368">
        <f t="shared" si="613"/>
        <v>0</v>
      </c>
      <c r="O1149" s="368">
        <f t="shared" si="613"/>
        <v>0</v>
      </c>
      <c r="P1149" s="368">
        <f t="shared" si="613"/>
        <v>0</v>
      </c>
      <c r="Q1149" s="368">
        <f t="shared" si="613"/>
        <v>0</v>
      </c>
      <c r="R1149" s="368">
        <f t="shared" si="613"/>
        <v>0</v>
      </c>
      <c r="S1149" s="369">
        <f t="shared" si="613"/>
        <v>0</v>
      </c>
    </row>
    <row r="1150" spans="1:19" ht="12.75" customHeight="1" x14ac:dyDescent="0.2">
      <c r="A1150" s="188" t="str">
        <f>"   "&amp;Labels!B385</f>
        <v xml:space="preserve">   Prof Level 1</v>
      </c>
      <c r="B1150" s="316">
        <f t="shared" ref="B1150:S1150" si="614">SUM(B1142,B1146)</f>
        <v>0</v>
      </c>
      <c r="C1150" s="316">
        <f t="shared" si="614"/>
        <v>0</v>
      </c>
      <c r="D1150" s="316">
        <f t="shared" si="614"/>
        <v>0</v>
      </c>
      <c r="E1150" s="316">
        <f t="shared" si="614"/>
        <v>0</v>
      </c>
      <c r="F1150" s="316">
        <f t="shared" si="614"/>
        <v>0</v>
      </c>
      <c r="G1150" s="316">
        <f t="shared" si="614"/>
        <v>0</v>
      </c>
      <c r="H1150" s="316">
        <f t="shared" si="614"/>
        <v>1.0083333333333333</v>
      </c>
      <c r="I1150" s="316">
        <f t="shared" si="614"/>
        <v>1.0166666666666666</v>
      </c>
      <c r="J1150" s="316">
        <f t="shared" si="614"/>
        <v>0</v>
      </c>
      <c r="K1150" s="316">
        <f t="shared" si="614"/>
        <v>0</v>
      </c>
      <c r="L1150" s="316">
        <f t="shared" si="614"/>
        <v>0</v>
      </c>
      <c r="M1150" s="316">
        <f t="shared" si="614"/>
        <v>0</v>
      </c>
      <c r="N1150" s="316">
        <f t="shared" si="614"/>
        <v>0</v>
      </c>
      <c r="O1150" s="316">
        <f t="shared" si="614"/>
        <v>0</v>
      </c>
      <c r="P1150" s="316">
        <f t="shared" si="614"/>
        <v>0</v>
      </c>
      <c r="Q1150" s="316">
        <f t="shared" si="614"/>
        <v>0</v>
      </c>
      <c r="R1150" s="316">
        <f t="shared" si="614"/>
        <v>0</v>
      </c>
      <c r="S1150" s="407">
        <f t="shared" si="614"/>
        <v>0</v>
      </c>
    </row>
    <row r="1151" spans="1:19" ht="12.75" customHeight="1" x14ac:dyDescent="0.2">
      <c r="A1151" s="188" t="str">
        <f>"   "&amp;Labels!B386</f>
        <v xml:space="preserve">   Prof Level 2</v>
      </c>
      <c r="B1151" s="316">
        <f t="shared" ref="B1151:S1151" si="615">SUM(B1143,B1147)</f>
        <v>0</v>
      </c>
      <c r="C1151" s="316">
        <f t="shared" si="615"/>
        <v>0</v>
      </c>
      <c r="D1151" s="316">
        <f t="shared" si="615"/>
        <v>0</v>
      </c>
      <c r="E1151" s="316">
        <f t="shared" si="615"/>
        <v>0</v>
      </c>
      <c r="F1151" s="316">
        <f t="shared" si="615"/>
        <v>0</v>
      </c>
      <c r="G1151" s="316">
        <f t="shared" si="615"/>
        <v>0</v>
      </c>
      <c r="H1151" s="316">
        <f t="shared" si="615"/>
        <v>1.0083333333333333</v>
      </c>
      <c r="I1151" s="316">
        <f t="shared" si="615"/>
        <v>1.0166666666666666</v>
      </c>
      <c r="J1151" s="316">
        <f t="shared" si="615"/>
        <v>0</v>
      </c>
      <c r="K1151" s="316">
        <f t="shared" si="615"/>
        <v>0</v>
      </c>
      <c r="L1151" s="316">
        <f t="shared" si="615"/>
        <v>0</v>
      </c>
      <c r="M1151" s="316">
        <f t="shared" si="615"/>
        <v>0</v>
      </c>
      <c r="N1151" s="316">
        <f t="shared" si="615"/>
        <v>0</v>
      </c>
      <c r="O1151" s="316">
        <f t="shared" si="615"/>
        <v>0</v>
      </c>
      <c r="P1151" s="316">
        <f t="shared" si="615"/>
        <v>0</v>
      </c>
      <c r="Q1151" s="316">
        <f t="shared" si="615"/>
        <v>0</v>
      </c>
      <c r="R1151" s="316">
        <f t="shared" si="615"/>
        <v>0</v>
      </c>
      <c r="S1151" s="407">
        <f t="shared" si="615"/>
        <v>0</v>
      </c>
    </row>
    <row r="1152" spans="1:19" ht="12.75" customHeight="1" x14ac:dyDescent="0.2">
      <c r="A1152" s="185" t="str">
        <f>"   "&amp;Labels!C384</f>
        <v xml:space="preserve">   Total</v>
      </c>
      <c r="B1152" s="214">
        <f t="shared" ref="B1152:S1152" si="616">SUM(B1144,B1148)</f>
        <v>0</v>
      </c>
      <c r="C1152" s="214">
        <f t="shared" si="616"/>
        <v>0</v>
      </c>
      <c r="D1152" s="214">
        <f t="shared" si="616"/>
        <v>0</v>
      </c>
      <c r="E1152" s="214">
        <f t="shared" si="616"/>
        <v>0</v>
      </c>
      <c r="F1152" s="214">
        <f t="shared" si="616"/>
        <v>0</v>
      </c>
      <c r="G1152" s="214">
        <f t="shared" si="616"/>
        <v>0</v>
      </c>
      <c r="H1152" s="214">
        <f t="shared" si="616"/>
        <v>2.0166666666666666</v>
      </c>
      <c r="I1152" s="214">
        <f t="shared" si="616"/>
        <v>2.0333333333333332</v>
      </c>
      <c r="J1152" s="214">
        <f t="shared" si="616"/>
        <v>0</v>
      </c>
      <c r="K1152" s="214">
        <f t="shared" si="616"/>
        <v>0</v>
      </c>
      <c r="L1152" s="214">
        <f t="shared" si="616"/>
        <v>0</v>
      </c>
      <c r="M1152" s="214">
        <f t="shared" si="616"/>
        <v>0</v>
      </c>
      <c r="N1152" s="214">
        <f t="shared" si="616"/>
        <v>0</v>
      </c>
      <c r="O1152" s="214">
        <f t="shared" si="616"/>
        <v>0</v>
      </c>
      <c r="P1152" s="214">
        <f t="shared" si="616"/>
        <v>0</v>
      </c>
      <c r="Q1152" s="214">
        <f t="shared" si="616"/>
        <v>0</v>
      </c>
      <c r="R1152" s="214">
        <f t="shared" si="616"/>
        <v>0</v>
      </c>
      <c r="S1152" s="378">
        <f t="shared" si="616"/>
        <v>0</v>
      </c>
    </row>
    <row r="1153" spans="1:19" ht="12.75" customHeight="1" x14ac:dyDescent="0.2">
      <c r="A1153" s="1" t="str">
        <f>Labels!B198</f>
        <v>Prof Staff Recruited</v>
      </c>
    </row>
    <row r="1154" spans="1:19" ht="12.75" customHeight="1" x14ac:dyDescent="0.2">
      <c r="B1154" s="9" t="str">
        <f>'(FnCalls 1)'!F41</f>
        <v>MMM 2010</v>
      </c>
      <c r="C1154" s="10" t="str">
        <f>'(FnCalls 1)'!F42</f>
        <v>MMM 2010</v>
      </c>
      <c r="D1154" s="10" t="str">
        <f>'(FnCalls 1)'!F43</f>
        <v>MMM 2010</v>
      </c>
      <c r="E1154" s="10" t="str">
        <f>'(FnCalls 1)'!F44</f>
        <v>MMM 2010</v>
      </c>
      <c r="F1154" s="10" t="str">
        <f>'(FnCalls 1)'!F45</f>
        <v>MMM 2010</v>
      </c>
      <c r="G1154" s="10" t="str">
        <f>'(FnCalls 1)'!F46</f>
        <v>MMM 2010</v>
      </c>
      <c r="H1154" s="10" t="str">
        <f>'(FnCalls 1)'!F47</f>
        <v>MMM 2010</v>
      </c>
      <c r="I1154" s="10" t="str">
        <f>'(FnCalls 1)'!F48</f>
        <v>MMM 2010</v>
      </c>
      <c r="J1154" s="10" t="str">
        <f>'(FnCalls 1)'!F49</f>
        <v>MMM 2010</v>
      </c>
      <c r="K1154" s="10" t="str">
        <f>'(FnCalls 1)'!F50</f>
        <v>MMM 2010</v>
      </c>
      <c r="L1154" s="10" t="str">
        <f>'(FnCalls 1)'!F51</f>
        <v>MMM 2010</v>
      </c>
      <c r="M1154" s="10" t="str">
        <f>'(FnCalls 1)'!F52</f>
        <v>MMM 2010</v>
      </c>
      <c r="N1154" s="10" t="str">
        <f>'(FnCalls 1)'!F53</f>
        <v>MMM 2011</v>
      </c>
      <c r="O1154" s="10" t="str">
        <f>'(FnCalls 1)'!F54</f>
        <v>MMM 2011</v>
      </c>
      <c r="P1154" s="10" t="str">
        <f>'(FnCalls 1)'!F55</f>
        <v>MMM 2011</v>
      </c>
      <c r="Q1154" s="10" t="str">
        <f>'(FnCalls 1)'!F56</f>
        <v>MMM 2011</v>
      </c>
      <c r="R1154" s="10" t="str">
        <f>'(FnCalls 1)'!F57</f>
        <v>MMM 2011</v>
      </c>
      <c r="S1154" s="11" t="str">
        <f>'(FnCalls 1)'!F58</f>
        <v>MMM 2011</v>
      </c>
    </row>
    <row r="1155" spans="1:19" ht="12.75" customHeight="1" x14ac:dyDescent="0.2">
      <c r="A1155" s="182" t="str">
        <f>Labels!B381</f>
        <v>Practice 1</v>
      </c>
      <c r="B1155" s="212"/>
      <c r="C1155" s="212"/>
      <c r="D1155" s="212"/>
      <c r="E1155" s="212"/>
      <c r="F1155" s="212"/>
      <c r="G1155" s="212"/>
      <c r="H1155" s="212"/>
      <c r="I1155" s="212"/>
      <c r="J1155" s="212"/>
      <c r="K1155" s="212"/>
      <c r="L1155" s="212"/>
      <c r="M1155" s="212"/>
      <c r="N1155" s="212"/>
      <c r="O1155" s="212"/>
      <c r="P1155" s="212"/>
      <c r="Q1155" s="212"/>
      <c r="R1155" s="212"/>
      <c r="S1155" s="376"/>
    </row>
    <row r="1156" spans="1:19" ht="12.75" customHeight="1" x14ac:dyDescent="0.2">
      <c r="A1156" s="188" t="str">
        <f>"   "&amp;Labels!B385</f>
        <v xml:space="preserve">   Prof Level 1</v>
      </c>
      <c r="B1156" s="316">
        <f>IF(C12&lt;0.001+1/12,B1131*B1142,B1136*B1142)</f>
        <v>0</v>
      </c>
      <c r="C1156" s="316">
        <f>IF(D12&lt;0.001+1/12,B1131*C1142,B1136*C1142)</f>
        <v>0</v>
      </c>
      <c r="D1156" s="316">
        <f>IF(E12&lt;0.001+1/12,B1131*D1142,B1136*D1142)</f>
        <v>0</v>
      </c>
      <c r="E1156" s="316">
        <f>IF(F12&lt;0.001+1/12,B1131*E1142,B1136*E1142)</f>
        <v>0</v>
      </c>
      <c r="F1156" s="316">
        <f>IF(G12&lt;0.001+1/12,B1131*F1142,B1136*F1142)</f>
        <v>0</v>
      </c>
      <c r="G1156" s="316">
        <f>IF(H12&lt;0.001+1/12,B1131*G1142,B1136*G1142)</f>
        <v>0</v>
      </c>
      <c r="H1156" s="316">
        <f>IF(I12&lt;0.001+1/12,B1131*H1142,B1136*H1142)</f>
        <v>0</v>
      </c>
      <c r="I1156" s="316">
        <f>IF(J12&lt;0.001+1/12,B1131*I1142,B1136*I1142)</f>
        <v>0</v>
      </c>
      <c r="J1156" s="316">
        <f>IF(K12&lt;0.001+1/12,B1131*J1142,B1136*J1142)</f>
        <v>0</v>
      </c>
      <c r="K1156" s="316">
        <f>IF(L12&lt;0.001+1/12,B1131*K1142,B1136*K1142)</f>
        <v>0</v>
      </c>
      <c r="L1156" s="316">
        <f>IF(M12&lt;0.001+1/12,B1131*L1142,B1136*L1142)</f>
        <v>0</v>
      </c>
      <c r="M1156" s="316">
        <f>IF(N12&lt;0.001+1/12,B1131*M1142,B1136*M1142)</f>
        <v>0</v>
      </c>
      <c r="N1156" s="316">
        <f>IF(O12&lt;0.001+1/12,B1131*N1142,B1136*N1142)</f>
        <v>0</v>
      </c>
      <c r="O1156" s="316">
        <f>IF(P12&lt;0.001+1/12,B1131*O1142,B1136*O1142)</f>
        <v>0</v>
      </c>
      <c r="P1156" s="316">
        <f>IF(Q12&lt;0.001+1/12,B1131*P1142,B1136*P1142)</f>
        <v>0</v>
      </c>
      <c r="Q1156" s="316">
        <f>IF(R12&lt;0.001+1/12,B1131*Q1142,B1136*Q1142)</f>
        <v>0</v>
      </c>
      <c r="R1156" s="316">
        <f>IF(S12&lt;0.001+1/12,B1131*R1142,B1136*R1142)</f>
        <v>0</v>
      </c>
      <c r="S1156" s="407">
        <f>IF(T12&lt;0.001+1/12,B1131*S1142,B1136*S1142)</f>
        <v>0</v>
      </c>
    </row>
    <row r="1157" spans="1:19" ht="12.75" customHeight="1" x14ac:dyDescent="0.2">
      <c r="A1157" s="188" t="str">
        <f>"   "&amp;Labels!B386</f>
        <v xml:space="preserve">   Prof Level 2</v>
      </c>
      <c r="B1157" s="316">
        <f>IF(C12&lt;0.001+1/12,B1132*B1143,B1137*B1143)</f>
        <v>0</v>
      </c>
      <c r="C1157" s="316">
        <f>IF(D12&lt;0.001+1/12,B1132*C1143,B1137*C1143)</f>
        <v>0</v>
      </c>
      <c r="D1157" s="316">
        <f>IF(E12&lt;0.001+1/12,B1132*D1143,B1137*D1143)</f>
        <v>0</v>
      </c>
      <c r="E1157" s="316">
        <f>IF(F12&lt;0.001+1/12,B1132*E1143,B1137*E1143)</f>
        <v>0</v>
      </c>
      <c r="F1157" s="316">
        <f>IF(G12&lt;0.001+1/12,B1132*F1143,B1137*F1143)</f>
        <v>0</v>
      </c>
      <c r="G1157" s="316">
        <f>IF(H12&lt;0.001+1/12,B1132*G1143,B1137*G1143)</f>
        <v>0</v>
      </c>
      <c r="H1157" s="316">
        <f>IF(I12&lt;0.001+1/12,B1132*H1143,B1137*H1143)</f>
        <v>0</v>
      </c>
      <c r="I1157" s="316">
        <f>IF(J12&lt;0.001+1/12,B1132*I1143,B1137*I1143)</f>
        <v>0</v>
      </c>
      <c r="J1157" s="316">
        <f>IF(K12&lt;0.001+1/12,B1132*J1143,B1137*J1143)</f>
        <v>0</v>
      </c>
      <c r="K1157" s="316">
        <f>IF(L12&lt;0.001+1/12,B1132*K1143,B1137*K1143)</f>
        <v>0</v>
      </c>
      <c r="L1157" s="316">
        <f>IF(M12&lt;0.001+1/12,B1132*L1143,B1137*L1143)</f>
        <v>0</v>
      </c>
      <c r="M1157" s="316">
        <f>IF(N12&lt;0.001+1/12,B1132*M1143,B1137*M1143)</f>
        <v>0</v>
      </c>
      <c r="N1157" s="316">
        <f>IF(O12&lt;0.001+1/12,B1132*N1143,B1137*N1143)</f>
        <v>0</v>
      </c>
      <c r="O1157" s="316">
        <f>IF(P12&lt;0.001+1/12,B1132*O1143,B1137*O1143)</f>
        <v>0</v>
      </c>
      <c r="P1157" s="316">
        <f>IF(Q12&lt;0.001+1/12,B1132*P1143,B1137*P1143)</f>
        <v>0</v>
      </c>
      <c r="Q1157" s="316">
        <f>IF(R12&lt;0.001+1/12,B1132*Q1143,B1137*Q1143)</f>
        <v>0</v>
      </c>
      <c r="R1157" s="316">
        <f>IF(S12&lt;0.001+1/12,B1132*R1143,B1137*R1143)</f>
        <v>0</v>
      </c>
      <c r="S1157" s="407">
        <f>IF(T12&lt;0.001+1/12,B1132*S1143,B1137*S1143)</f>
        <v>0</v>
      </c>
    </row>
    <row r="1158" spans="1:19" ht="12.75" customHeight="1" x14ac:dyDescent="0.2">
      <c r="A1158" s="191" t="str">
        <f>"   "&amp;Labels!C384</f>
        <v xml:space="preserve">   Total</v>
      </c>
      <c r="B1158" s="314">
        <f t="shared" ref="B1158:S1158" si="617">SUM(B1156:B1157)</f>
        <v>0</v>
      </c>
      <c r="C1158" s="314">
        <f t="shared" si="617"/>
        <v>0</v>
      </c>
      <c r="D1158" s="314">
        <f t="shared" si="617"/>
        <v>0</v>
      </c>
      <c r="E1158" s="314">
        <f t="shared" si="617"/>
        <v>0</v>
      </c>
      <c r="F1158" s="314">
        <f t="shared" si="617"/>
        <v>0</v>
      </c>
      <c r="G1158" s="314">
        <f t="shared" si="617"/>
        <v>0</v>
      </c>
      <c r="H1158" s="314">
        <f t="shared" si="617"/>
        <v>0</v>
      </c>
      <c r="I1158" s="314">
        <f t="shared" si="617"/>
        <v>0</v>
      </c>
      <c r="J1158" s="314">
        <f t="shared" si="617"/>
        <v>0</v>
      </c>
      <c r="K1158" s="314">
        <f t="shared" si="617"/>
        <v>0</v>
      </c>
      <c r="L1158" s="314">
        <f t="shared" si="617"/>
        <v>0</v>
      </c>
      <c r="M1158" s="314">
        <f t="shared" si="617"/>
        <v>0</v>
      </c>
      <c r="N1158" s="314">
        <f t="shared" si="617"/>
        <v>0</v>
      </c>
      <c r="O1158" s="314">
        <f t="shared" si="617"/>
        <v>0</v>
      </c>
      <c r="P1158" s="314">
        <f t="shared" si="617"/>
        <v>0</v>
      </c>
      <c r="Q1158" s="314">
        <f t="shared" si="617"/>
        <v>0</v>
      </c>
      <c r="R1158" s="314">
        <f t="shared" si="617"/>
        <v>0</v>
      </c>
      <c r="S1158" s="377">
        <f t="shared" si="617"/>
        <v>0</v>
      </c>
    </row>
    <row r="1159" spans="1:19" ht="12.75" customHeight="1" x14ac:dyDescent="0.2">
      <c r="A1159" s="191" t="str">
        <f>Labels!B382</f>
        <v>Practice 2</v>
      </c>
      <c r="B1159" s="314"/>
      <c r="C1159" s="314"/>
      <c r="D1159" s="314"/>
      <c r="E1159" s="314"/>
      <c r="F1159" s="314"/>
      <c r="G1159" s="314"/>
      <c r="H1159" s="314"/>
      <c r="I1159" s="314"/>
      <c r="J1159" s="314"/>
      <c r="K1159" s="314"/>
      <c r="L1159" s="314"/>
      <c r="M1159" s="314"/>
      <c r="N1159" s="314"/>
      <c r="O1159" s="314"/>
      <c r="P1159" s="314"/>
      <c r="Q1159" s="314"/>
      <c r="R1159" s="314"/>
      <c r="S1159" s="377"/>
    </row>
    <row r="1160" spans="1:19" ht="12.75" customHeight="1" x14ac:dyDescent="0.2">
      <c r="A1160" s="188" t="str">
        <f>"   "&amp;Labels!B385</f>
        <v xml:space="preserve">   Prof Level 1</v>
      </c>
      <c r="B1160" s="316">
        <f>IF(C12&lt;0.001+1/12,C1131*B1146,C1136*B1146)</f>
        <v>0</v>
      </c>
      <c r="C1160" s="316">
        <f>IF(D12&lt;0.001+1/12,C1131*C1146,C1136*C1146)</f>
        <v>0</v>
      </c>
      <c r="D1160" s="316">
        <f>IF(E12&lt;0.001+1/12,C1131*D1146,C1136*D1146)</f>
        <v>0</v>
      </c>
      <c r="E1160" s="316">
        <f>IF(F12&lt;0.001+1/12,C1131*E1146,C1136*E1146)</f>
        <v>0</v>
      </c>
      <c r="F1160" s="316">
        <f>IF(G12&lt;0.001+1/12,C1131*F1146,C1136*F1146)</f>
        <v>0</v>
      </c>
      <c r="G1160" s="316">
        <f>IF(H12&lt;0.001+1/12,C1131*G1146,C1136*G1146)</f>
        <v>0</v>
      </c>
      <c r="H1160" s="316">
        <f>IF(I12&lt;0.001+1/12,C1131*H1146,C1136*H1146)</f>
        <v>0</v>
      </c>
      <c r="I1160" s="316">
        <f>IF(J12&lt;0.001+1/12,C1131*I1146,C1136*I1146)</f>
        <v>0</v>
      </c>
      <c r="J1160" s="316">
        <f>IF(K12&lt;0.001+1/12,C1131*J1146,C1136*J1146)</f>
        <v>0</v>
      </c>
      <c r="K1160" s="316">
        <f>IF(L12&lt;0.001+1/12,C1131*K1146,C1136*K1146)</f>
        <v>0</v>
      </c>
      <c r="L1160" s="316">
        <f>IF(M12&lt;0.001+1/12,C1131*L1146,C1136*L1146)</f>
        <v>0</v>
      </c>
      <c r="M1160" s="316">
        <f>IF(N12&lt;0.001+1/12,C1131*M1146,C1136*M1146)</f>
        <v>0</v>
      </c>
      <c r="N1160" s="316">
        <f>IF(O12&lt;0.001+1/12,C1131*N1146,C1136*N1146)</f>
        <v>0</v>
      </c>
      <c r="O1160" s="316">
        <f>IF(P12&lt;0.001+1/12,C1131*O1146,C1136*O1146)</f>
        <v>0</v>
      </c>
      <c r="P1160" s="316">
        <f>IF(Q12&lt;0.001+1/12,C1131*P1146,C1136*P1146)</f>
        <v>0</v>
      </c>
      <c r="Q1160" s="316">
        <f>IF(R12&lt;0.001+1/12,C1131*Q1146,C1136*Q1146)</f>
        <v>0</v>
      </c>
      <c r="R1160" s="316">
        <f>IF(S12&lt;0.001+1/12,C1131*R1146,C1136*R1146)</f>
        <v>0</v>
      </c>
      <c r="S1160" s="407">
        <f>IF(T12&lt;0.001+1/12,C1131*S1146,C1136*S1146)</f>
        <v>0</v>
      </c>
    </row>
    <row r="1161" spans="1:19" ht="12.75" customHeight="1" x14ac:dyDescent="0.2">
      <c r="A1161" s="188" t="str">
        <f>"   "&amp;Labels!B386</f>
        <v xml:space="preserve">   Prof Level 2</v>
      </c>
      <c r="B1161" s="316">
        <f>IF(C12&lt;0.001+1/12,C1132*B1147,C1137*B1147)</f>
        <v>0</v>
      </c>
      <c r="C1161" s="316">
        <f>IF(D12&lt;0.001+1/12,C1132*C1147,C1137*C1147)</f>
        <v>0</v>
      </c>
      <c r="D1161" s="316">
        <f>IF(E12&lt;0.001+1/12,C1132*D1147,C1137*D1147)</f>
        <v>0</v>
      </c>
      <c r="E1161" s="316">
        <f>IF(F12&lt;0.001+1/12,C1132*E1147,C1137*E1147)</f>
        <v>0</v>
      </c>
      <c r="F1161" s="316">
        <f>IF(G12&lt;0.001+1/12,C1132*F1147,C1137*F1147)</f>
        <v>0</v>
      </c>
      <c r="G1161" s="316">
        <f>IF(H12&lt;0.001+1/12,C1132*G1147,C1137*G1147)</f>
        <v>0</v>
      </c>
      <c r="H1161" s="316">
        <f>IF(I12&lt;0.001+1/12,C1132*H1147,C1137*H1147)</f>
        <v>0</v>
      </c>
      <c r="I1161" s="316">
        <f>IF(J12&lt;0.001+1/12,C1132*I1147,C1137*I1147)</f>
        <v>0</v>
      </c>
      <c r="J1161" s="316">
        <f>IF(K12&lt;0.001+1/12,C1132*J1147,C1137*J1147)</f>
        <v>0</v>
      </c>
      <c r="K1161" s="316">
        <f>IF(L12&lt;0.001+1/12,C1132*K1147,C1137*K1147)</f>
        <v>0</v>
      </c>
      <c r="L1161" s="316">
        <f>IF(M12&lt;0.001+1/12,C1132*L1147,C1137*L1147)</f>
        <v>0</v>
      </c>
      <c r="M1161" s="316">
        <f>IF(N12&lt;0.001+1/12,C1132*M1147,C1137*M1147)</f>
        <v>0</v>
      </c>
      <c r="N1161" s="316">
        <f>IF(O12&lt;0.001+1/12,C1132*N1147,C1137*N1147)</f>
        <v>0</v>
      </c>
      <c r="O1161" s="316">
        <f>IF(P12&lt;0.001+1/12,C1132*O1147,C1137*O1147)</f>
        <v>0</v>
      </c>
      <c r="P1161" s="316">
        <f>IF(Q12&lt;0.001+1/12,C1132*P1147,C1137*P1147)</f>
        <v>0</v>
      </c>
      <c r="Q1161" s="316">
        <f>IF(R12&lt;0.001+1/12,C1132*Q1147,C1137*Q1147)</f>
        <v>0</v>
      </c>
      <c r="R1161" s="316">
        <f>IF(S12&lt;0.001+1/12,C1132*R1147,C1137*R1147)</f>
        <v>0</v>
      </c>
      <c r="S1161" s="407">
        <f>IF(T12&lt;0.001+1/12,C1132*S1147,C1137*S1147)</f>
        <v>0</v>
      </c>
    </row>
    <row r="1162" spans="1:19" ht="12.75" customHeight="1" x14ac:dyDescent="0.2">
      <c r="A1162" s="191" t="str">
        <f>"   "&amp;Labels!C384</f>
        <v xml:space="preserve">   Total</v>
      </c>
      <c r="B1162" s="314">
        <f t="shared" ref="B1162:S1162" si="618">SUM(B1160:B1161)</f>
        <v>0</v>
      </c>
      <c r="C1162" s="314">
        <f t="shared" si="618"/>
        <v>0</v>
      </c>
      <c r="D1162" s="314">
        <f t="shared" si="618"/>
        <v>0</v>
      </c>
      <c r="E1162" s="314">
        <f t="shared" si="618"/>
        <v>0</v>
      </c>
      <c r="F1162" s="314">
        <f t="shared" si="618"/>
        <v>0</v>
      </c>
      <c r="G1162" s="314">
        <f t="shared" si="618"/>
        <v>0</v>
      </c>
      <c r="H1162" s="314">
        <f t="shared" si="618"/>
        <v>0</v>
      </c>
      <c r="I1162" s="314">
        <f t="shared" si="618"/>
        <v>0</v>
      </c>
      <c r="J1162" s="314">
        <f t="shared" si="618"/>
        <v>0</v>
      </c>
      <c r="K1162" s="314">
        <f t="shared" si="618"/>
        <v>0</v>
      </c>
      <c r="L1162" s="314">
        <f t="shared" si="618"/>
        <v>0</v>
      </c>
      <c r="M1162" s="314">
        <f t="shared" si="618"/>
        <v>0</v>
      </c>
      <c r="N1162" s="314">
        <f t="shared" si="618"/>
        <v>0</v>
      </c>
      <c r="O1162" s="314">
        <f t="shared" si="618"/>
        <v>0</v>
      </c>
      <c r="P1162" s="314">
        <f t="shared" si="618"/>
        <v>0</v>
      </c>
      <c r="Q1162" s="314">
        <f t="shared" si="618"/>
        <v>0</v>
      </c>
      <c r="R1162" s="314">
        <f t="shared" si="618"/>
        <v>0</v>
      </c>
      <c r="S1162" s="377">
        <f t="shared" si="618"/>
        <v>0</v>
      </c>
    </row>
    <row r="1163" spans="1:19" ht="12.75" customHeight="1" x14ac:dyDescent="0.2">
      <c r="A1163" s="97" t="str">
        <f>Labels!C380</f>
        <v>Total</v>
      </c>
      <c r="B1163" s="368">
        <f t="shared" ref="B1163:S1163" si="619">SUM(B1158,B1162)</f>
        <v>0</v>
      </c>
      <c r="C1163" s="368">
        <f t="shared" si="619"/>
        <v>0</v>
      </c>
      <c r="D1163" s="368">
        <f t="shared" si="619"/>
        <v>0</v>
      </c>
      <c r="E1163" s="368">
        <f t="shared" si="619"/>
        <v>0</v>
      </c>
      <c r="F1163" s="368">
        <f t="shared" si="619"/>
        <v>0</v>
      </c>
      <c r="G1163" s="368">
        <f t="shared" si="619"/>
        <v>0</v>
      </c>
      <c r="H1163" s="368">
        <f t="shared" si="619"/>
        <v>0</v>
      </c>
      <c r="I1163" s="368">
        <f t="shared" si="619"/>
        <v>0</v>
      </c>
      <c r="J1163" s="368">
        <f t="shared" si="619"/>
        <v>0</v>
      </c>
      <c r="K1163" s="368">
        <f t="shared" si="619"/>
        <v>0</v>
      </c>
      <c r="L1163" s="368">
        <f t="shared" si="619"/>
        <v>0</v>
      </c>
      <c r="M1163" s="368">
        <f t="shared" si="619"/>
        <v>0</v>
      </c>
      <c r="N1163" s="368">
        <f t="shared" si="619"/>
        <v>0</v>
      </c>
      <c r="O1163" s="368">
        <f t="shared" si="619"/>
        <v>0</v>
      </c>
      <c r="P1163" s="368">
        <f t="shared" si="619"/>
        <v>0</v>
      </c>
      <c r="Q1163" s="368">
        <f t="shared" si="619"/>
        <v>0</v>
      </c>
      <c r="R1163" s="368">
        <f t="shared" si="619"/>
        <v>0</v>
      </c>
      <c r="S1163" s="369">
        <f t="shared" si="619"/>
        <v>0</v>
      </c>
    </row>
    <row r="1164" spans="1:19" ht="12.75" customHeight="1" x14ac:dyDescent="0.2">
      <c r="A1164" s="188" t="str">
        <f>"   "&amp;Labels!B385</f>
        <v xml:space="preserve">   Prof Level 1</v>
      </c>
      <c r="B1164" s="316">
        <f t="shared" ref="B1164:S1164" si="620">SUM(B1156,B1160)</f>
        <v>0</v>
      </c>
      <c r="C1164" s="316">
        <f t="shared" si="620"/>
        <v>0</v>
      </c>
      <c r="D1164" s="316">
        <f t="shared" si="620"/>
        <v>0</v>
      </c>
      <c r="E1164" s="316">
        <f t="shared" si="620"/>
        <v>0</v>
      </c>
      <c r="F1164" s="316">
        <f t="shared" si="620"/>
        <v>0</v>
      </c>
      <c r="G1164" s="316">
        <f t="shared" si="620"/>
        <v>0</v>
      </c>
      <c r="H1164" s="316">
        <f t="shared" si="620"/>
        <v>0</v>
      </c>
      <c r="I1164" s="316">
        <f t="shared" si="620"/>
        <v>0</v>
      </c>
      <c r="J1164" s="316">
        <f t="shared" si="620"/>
        <v>0</v>
      </c>
      <c r="K1164" s="316">
        <f t="shared" si="620"/>
        <v>0</v>
      </c>
      <c r="L1164" s="316">
        <f t="shared" si="620"/>
        <v>0</v>
      </c>
      <c r="M1164" s="316">
        <f t="shared" si="620"/>
        <v>0</v>
      </c>
      <c r="N1164" s="316">
        <f t="shared" si="620"/>
        <v>0</v>
      </c>
      <c r="O1164" s="316">
        <f t="shared" si="620"/>
        <v>0</v>
      </c>
      <c r="P1164" s="316">
        <f t="shared" si="620"/>
        <v>0</v>
      </c>
      <c r="Q1164" s="316">
        <f t="shared" si="620"/>
        <v>0</v>
      </c>
      <c r="R1164" s="316">
        <f t="shared" si="620"/>
        <v>0</v>
      </c>
      <c r="S1164" s="407">
        <f t="shared" si="620"/>
        <v>0</v>
      </c>
    </row>
    <row r="1165" spans="1:19" ht="12.75" customHeight="1" x14ac:dyDescent="0.2">
      <c r="A1165" s="188" t="str">
        <f>"   "&amp;Labels!B386</f>
        <v xml:space="preserve">   Prof Level 2</v>
      </c>
      <c r="B1165" s="316">
        <f t="shared" ref="B1165:S1165" si="621">SUM(B1157,B1161)</f>
        <v>0</v>
      </c>
      <c r="C1165" s="316">
        <f t="shared" si="621"/>
        <v>0</v>
      </c>
      <c r="D1165" s="316">
        <f t="shared" si="621"/>
        <v>0</v>
      </c>
      <c r="E1165" s="316">
        <f t="shared" si="621"/>
        <v>0</v>
      </c>
      <c r="F1165" s="316">
        <f t="shared" si="621"/>
        <v>0</v>
      </c>
      <c r="G1165" s="316">
        <f t="shared" si="621"/>
        <v>0</v>
      </c>
      <c r="H1165" s="316">
        <f t="shared" si="621"/>
        <v>0</v>
      </c>
      <c r="I1165" s="316">
        <f t="shared" si="621"/>
        <v>0</v>
      </c>
      <c r="J1165" s="316">
        <f t="shared" si="621"/>
        <v>0</v>
      </c>
      <c r="K1165" s="316">
        <f t="shared" si="621"/>
        <v>0</v>
      </c>
      <c r="L1165" s="316">
        <f t="shared" si="621"/>
        <v>0</v>
      </c>
      <c r="M1165" s="316">
        <f t="shared" si="621"/>
        <v>0</v>
      </c>
      <c r="N1165" s="316">
        <f t="shared" si="621"/>
        <v>0</v>
      </c>
      <c r="O1165" s="316">
        <f t="shared" si="621"/>
        <v>0</v>
      </c>
      <c r="P1165" s="316">
        <f t="shared" si="621"/>
        <v>0</v>
      </c>
      <c r="Q1165" s="316">
        <f t="shared" si="621"/>
        <v>0</v>
      </c>
      <c r="R1165" s="316">
        <f t="shared" si="621"/>
        <v>0</v>
      </c>
      <c r="S1165" s="407">
        <f t="shared" si="621"/>
        <v>0</v>
      </c>
    </row>
    <row r="1166" spans="1:19" ht="12.75" customHeight="1" x14ac:dyDescent="0.2">
      <c r="A1166" s="185" t="str">
        <f>"   "&amp;Labels!C384</f>
        <v xml:space="preserve">   Total</v>
      </c>
      <c r="B1166" s="214">
        <f t="shared" ref="B1166:S1166" si="622">SUM(B1158,B1162)</f>
        <v>0</v>
      </c>
      <c r="C1166" s="214">
        <f t="shared" si="622"/>
        <v>0</v>
      </c>
      <c r="D1166" s="214">
        <f t="shared" si="622"/>
        <v>0</v>
      </c>
      <c r="E1166" s="214">
        <f t="shared" si="622"/>
        <v>0</v>
      </c>
      <c r="F1166" s="214">
        <f t="shared" si="622"/>
        <v>0</v>
      </c>
      <c r="G1166" s="214">
        <f t="shared" si="622"/>
        <v>0</v>
      </c>
      <c r="H1166" s="214">
        <f t="shared" si="622"/>
        <v>0</v>
      </c>
      <c r="I1166" s="214">
        <f t="shared" si="622"/>
        <v>0</v>
      </c>
      <c r="J1166" s="214">
        <f t="shared" si="622"/>
        <v>0</v>
      </c>
      <c r="K1166" s="214">
        <f t="shared" si="622"/>
        <v>0</v>
      </c>
      <c r="L1166" s="214">
        <f t="shared" si="622"/>
        <v>0</v>
      </c>
      <c r="M1166" s="214">
        <f t="shared" si="622"/>
        <v>0</v>
      </c>
      <c r="N1166" s="214">
        <f t="shared" si="622"/>
        <v>0</v>
      </c>
      <c r="O1166" s="214">
        <f t="shared" si="622"/>
        <v>0</v>
      </c>
      <c r="P1166" s="214">
        <f t="shared" si="622"/>
        <v>0</v>
      </c>
      <c r="Q1166" s="214">
        <f t="shared" si="622"/>
        <v>0</v>
      </c>
      <c r="R1166" s="214">
        <f t="shared" si="622"/>
        <v>0</v>
      </c>
      <c r="S1166" s="378">
        <f t="shared" si="622"/>
        <v>0</v>
      </c>
    </row>
    <row r="1167" spans="1:19" ht="12.75" customHeight="1" x14ac:dyDescent="0.2">
      <c r="A1167" s="1" t="str">
        <f>Labels!B213</f>
        <v>Expense % Comp</v>
      </c>
    </row>
    <row r="1168" spans="1:19" ht="12.75" customHeight="1" x14ac:dyDescent="0.2">
      <c r="B1168" s="9" t="str">
        <f>Labels!B381</f>
        <v>Practice 1</v>
      </c>
      <c r="C1168" s="10" t="str">
        <f>Labels!B382</f>
        <v>Practice 2</v>
      </c>
      <c r="D1168" s="181" t="str">
        <f>Labels!C380</f>
        <v>Total</v>
      </c>
    </row>
    <row r="1169" spans="1:19" ht="12.75" customHeight="1" x14ac:dyDescent="0.2">
      <c r="A1169" s="182" t="str">
        <f>Labels!B385</f>
        <v>Prof Level 1</v>
      </c>
      <c r="B1169" s="370">
        <f>Inputs!I257</f>
        <v>0</v>
      </c>
      <c r="C1169" s="370">
        <f>Inputs!I259</f>
        <v>0</v>
      </c>
      <c r="D1169" s="405">
        <f>IF(AVERAGE(C1183:S1183)*SUM(C1164:S1164)=0,0,SUM(OpExp!C200:D200,OpExp!F200:H200,OpExp!J200:L200,OpExp!N200:P200,OpExp!R200:T200,OpExp!V200:X200)/(AVERAGE(C1183:S1183)*SUM(C1164:S1164)))</f>
        <v>0</v>
      </c>
    </row>
    <row r="1170" spans="1:19" ht="12.75" customHeight="1" x14ac:dyDescent="0.2">
      <c r="A1170" s="191" t="str">
        <f>Labels!B386</f>
        <v>Prof Level 2</v>
      </c>
      <c r="B1170" s="300">
        <f>Inputs!I258</f>
        <v>0</v>
      </c>
      <c r="C1170" s="300">
        <f>Inputs!I260</f>
        <v>0</v>
      </c>
      <c r="D1170" s="301">
        <f>IF(AVERAGE(C1184:S1184)*SUM(C1165:S1165)=0,0,SUM(OpExp!C201:D201,OpExp!F201:H201,OpExp!J201:L201,OpExp!N201:P201,OpExp!R201:T201,OpExp!V201:X201)/(AVERAGE(C1184:S1184)*SUM(C1165:S1165)))</f>
        <v>0</v>
      </c>
    </row>
    <row r="1171" spans="1:19" ht="12.75" customHeight="1" x14ac:dyDescent="0.2">
      <c r="A1171" s="97" t="str">
        <f>Labels!C384</f>
        <v>Total</v>
      </c>
      <c r="B1171" s="387">
        <f>IF(AVERAGE(C1177:S1177)*SUM(C1158:S1158)=0,0,SUM(OpExp!C194:D194,OpExp!F194:H194,OpExp!J194:L194,OpExp!N194:P194,OpExp!R194:T194,OpExp!V194:X194)/(AVERAGE(C1177:S1177)*SUM(C1158:S1158)))</f>
        <v>0</v>
      </c>
      <c r="C1171" s="387">
        <f>IF(AVERAGE(C1181:S1181)*SUM(C1162:S1162)=0,0,SUM(OpExp!C198:D198,OpExp!F198:H198,OpExp!J198:L198,OpExp!N198:P198,OpExp!R198:T198,OpExp!V198:X198)/(AVERAGE(C1181:S1181)*SUM(C1162:S1162)))</f>
        <v>0</v>
      </c>
      <c r="D1171" s="406">
        <f>IF(AVERAGE(C1182:S1182)*SUM(C1163:S1163)=0,0,SUM(OpExp!C199:D199,OpExp!F199:H199,OpExp!J199:L199,OpExp!N199:P199,OpExp!R199:T199,OpExp!V199:X199)/(AVERAGE(C1182:S1182)*SUM(C1163:S1163)))</f>
        <v>0</v>
      </c>
    </row>
    <row r="1172" spans="1:19" ht="12.75" customHeight="1" x14ac:dyDescent="0.2">
      <c r="A1172" s="1" t="str">
        <f>Labels!B201</f>
        <v>Professional Staff Salary (Yr)</v>
      </c>
    </row>
    <row r="1173" spans="1:19" ht="12.75" customHeight="1" x14ac:dyDescent="0.2">
      <c r="B1173" s="9" t="str">
        <f>'(FnCalls 1)'!F41</f>
        <v>MMM 2010</v>
      </c>
      <c r="C1173" s="10" t="str">
        <f>'(FnCalls 1)'!F42</f>
        <v>MMM 2010</v>
      </c>
      <c r="D1173" s="10" t="str">
        <f>'(FnCalls 1)'!F43</f>
        <v>MMM 2010</v>
      </c>
      <c r="E1173" s="10" t="str">
        <f>'(FnCalls 1)'!F44</f>
        <v>MMM 2010</v>
      </c>
      <c r="F1173" s="10" t="str">
        <f>'(FnCalls 1)'!F45</f>
        <v>MMM 2010</v>
      </c>
      <c r="G1173" s="10" t="str">
        <f>'(FnCalls 1)'!F46</f>
        <v>MMM 2010</v>
      </c>
      <c r="H1173" s="10" t="str">
        <f>'(FnCalls 1)'!F47</f>
        <v>MMM 2010</v>
      </c>
      <c r="I1173" s="10" t="str">
        <f>'(FnCalls 1)'!F48</f>
        <v>MMM 2010</v>
      </c>
      <c r="J1173" s="10" t="str">
        <f>'(FnCalls 1)'!F49</f>
        <v>MMM 2010</v>
      </c>
      <c r="K1173" s="10" t="str">
        <f>'(FnCalls 1)'!F50</f>
        <v>MMM 2010</v>
      </c>
      <c r="L1173" s="10" t="str">
        <f>'(FnCalls 1)'!F51</f>
        <v>MMM 2010</v>
      </c>
      <c r="M1173" s="10" t="str">
        <f>'(FnCalls 1)'!F52</f>
        <v>MMM 2010</v>
      </c>
      <c r="N1173" s="10" t="str">
        <f>'(FnCalls 1)'!F53</f>
        <v>MMM 2011</v>
      </c>
      <c r="O1173" s="10" t="str">
        <f>'(FnCalls 1)'!F54</f>
        <v>MMM 2011</v>
      </c>
      <c r="P1173" s="10" t="str">
        <f>'(FnCalls 1)'!F55</f>
        <v>MMM 2011</v>
      </c>
      <c r="Q1173" s="10" t="str">
        <f>'(FnCalls 1)'!F56</f>
        <v>MMM 2011</v>
      </c>
      <c r="R1173" s="10" t="str">
        <f>'(FnCalls 1)'!F57</f>
        <v>MMM 2011</v>
      </c>
      <c r="S1173" s="11" t="str">
        <f>'(FnCalls 1)'!F58</f>
        <v>MMM 2011</v>
      </c>
    </row>
    <row r="1174" spans="1:19" ht="12.75" customHeight="1" x14ac:dyDescent="0.2">
      <c r="A1174" s="182" t="str">
        <f>Labels!B381</f>
        <v>Practice 1</v>
      </c>
      <c r="B1174" s="183"/>
      <c r="C1174" s="183"/>
      <c r="D1174" s="183"/>
      <c r="E1174" s="183"/>
      <c r="F1174" s="183"/>
      <c r="G1174" s="183"/>
      <c r="H1174" s="183"/>
      <c r="I1174" s="183"/>
      <c r="J1174" s="183"/>
      <c r="K1174" s="183"/>
      <c r="L1174" s="183"/>
      <c r="M1174" s="183"/>
      <c r="N1174" s="183"/>
      <c r="O1174" s="183"/>
      <c r="P1174" s="183"/>
      <c r="Q1174" s="183"/>
      <c r="R1174" s="183"/>
      <c r="S1174" s="266"/>
    </row>
    <row r="1175" spans="1:19" ht="12.75" customHeight="1" x14ac:dyDescent="0.2">
      <c r="A1175" s="188" t="str">
        <f>"   "&amp;Labels!B385</f>
        <v xml:space="preserve">   Prof Level 1</v>
      </c>
      <c r="B1175" s="196">
        <f>B1014*(1+B1188)</f>
        <v>100246.62697723036</v>
      </c>
      <c r="C1175" s="196">
        <f t="shared" ref="C1175:S1175" si="623">B1175*(1+C1188)</f>
        <v>100493.86220311972</v>
      </c>
      <c r="D1175" s="196">
        <f t="shared" si="623"/>
        <v>100741.70717777332</v>
      </c>
      <c r="E1175" s="196">
        <f t="shared" si="623"/>
        <v>100990.16340499613</v>
      </c>
      <c r="F1175" s="196">
        <f t="shared" si="623"/>
        <v>101239.23239230188</v>
      </c>
      <c r="G1175" s="196">
        <f t="shared" si="623"/>
        <v>101488.91565092225</v>
      </c>
      <c r="H1175" s="196">
        <f t="shared" si="623"/>
        <v>101739.214695816</v>
      </c>
      <c r="I1175" s="196">
        <f t="shared" si="623"/>
        <v>101990.13104567821</v>
      </c>
      <c r="J1175" s="196">
        <f t="shared" si="623"/>
        <v>102241.66622294945</v>
      </c>
      <c r="K1175" s="196">
        <f t="shared" si="623"/>
        <v>102493.82175382508</v>
      </c>
      <c r="L1175" s="196">
        <f t="shared" si="623"/>
        <v>102746.59916826442</v>
      </c>
      <c r="M1175" s="196">
        <f t="shared" si="623"/>
        <v>103000.00000000012</v>
      </c>
      <c r="N1175" s="196">
        <f t="shared" si="623"/>
        <v>103254.0257865474</v>
      </c>
      <c r="O1175" s="196">
        <f t="shared" si="623"/>
        <v>103508.67806921342</v>
      </c>
      <c r="P1175" s="196">
        <f t="shared" si="623"/>
        <v>103763.95839310663</v>
      </c>
      <c r="Q1175" s="196">
        <f t="shared" si="623"/>
        <v>104019.86830714613</v>
      </c>
      <c r="R1175" s="196">
        <f t="shared" si="623"/>
        <v>104276.40936407105</v>
      </c>
      <c r="S1175" s="267">
        <f t="shared" si="623"/>
        <v>104533.58312045003</v>
      </c>
    </row>
    <row r="1176" spans="1:19" ht="12.75" customHeight="1" x14ac:dyDescent="0.2">
      <c r="A1176" s="188" t="str">
        <f>"   "&amp;Labels!B386</f>
        <v xml:space="preserve">   Prof Level 2</v>
      </c>
      <c r="B1176" s="196">
        <f>B1015*(1+B1189)</f>
        <v>100246.62697723036</v>
      </c>
      <c r="C1176" s="196">
        <f t="shared" ref="C1176:S1176" si="624">B1176*(1+C1189)</f>
        <v>100493.86220311972</v>
      </c>
      <c r="D1176" s="196">
        <f t="shared" si="624"/>
        <v>100741.70717777332</v>
      </c>
      <c r="E1176" s="196">
        <f t="shared" si="624"/>
        <v>100990.16340499613</v>
      </c>
      <c r="F1176" s="196">
        <f t="shared" si="624"/>
        <v>101239.23239230188</v>
      </c>
      <c r="G1176" s="196">
        <f t="shared" si="624"/>
        <v>101488.91565092225</v>
      </c>
      <c r="H1176" s="196">
        <f t="shared" si="624"/>
        <v>101739.214695816</v>
      </c>
      <c r="I1176" s="196">
        <f t="shared" si="624"/>
        <v>101990.13104567821</v>
      </c>
      <c r="J1176" s="196">
        <f t="shared" si="624"/>
        <v>102241.66622294945</v>
      </c>
      <c r="K1176" s="196">
        <f t="shared" si="624"/>
        <v>102493.82175382508</v>
      </c>
      <c r="L1176" s="196">
        <f t="shared" si="624"/>
        <v>102746.59916826442</v>
      </c>
      <c r="M1176" s="196">
        <f t="shared" si="624"/>
        <v>103000.00000000012</v>
      </c>
      <c r="N1176" s="196">
        <f t="shared" si="624"/>
        <v>103254.0257865474</v>
      </c>
      <c r="O1176" s="196">
        <f t="shared" si="624"/>
        <v>103508.67806921342</v>
      </c>
      <c r="P1176" s="196">
        <f t="shared" si="624"/>
        <v>103763.95839310663</v>
      </c>
      <c r="Q1176" s="196">
        <f t="shared" si="624"/>
        <v>104019.86830714613</v>
      </c>
      <c r="R1176" s="196">
        <f t="shared" si="624"/>
        <v>104276.40936407105</v>
      </c>
      <c r="S1176" s="267">
        <f t="shared" si="624"/>
        <v>104533.58312045003</v>
      </c>
    </row>
    <row r="1177" spans="1:19" ht="12.75" customHeight="1" x14ac:dyDescent="0.2">
      <c r="A1177" s="191" t="str">
        <f>"   "&amp;Labels!C384</f>
        <v xml:space="preserve">   Total</v>
      </c>
      <c r="B1177" s="192">
        <f>IF('GM CostSvcs'!B481=0,0,B1196*12/'GM CostSvcs'!B481)</f>
        <v>0</v>
      </c>
      <c r="C1177" s="192">
        <f>IF('GM CostSvcs'!C481=0,0,C1196*12/'GM CostSvcs'!C481)</f>
        <v>0</v>
      </c>
      <c r="D1177" s="192">
        <f>IF('GM CostSvcs'!D481=0,0,D1196*12/'GM CostSvcs'!D481)</f>
        <v>0</v>
      </c>
      <c r="E1177" s="192">
        <f>IF('GM CostSvcs'!F481=0,0,E1196*12/'GM CostSvcs'!F481)</f>
        <v>0</v>
      </c>
      <c r="F1177" s="192">
        <f>IF('GM CostSvcs'!G481=0,0,F1196*12/'GM CostSvcs'!G481)</f>
        <v>0</v>
      </c>
      <c r="G1177" s="192">
        <f>IF('GM CostSvcs'!H481=0,0,G1196*12/'GM CostSvcs'!H481)</f>
        <v>0</v>
      </c>
      <c r="H1177" s="192">
        <f>IF('GM CostSvcs'!J481=0,0,H1196*12/'GM CostSvcs'!J481)</f>
        <v>101739.21469581602</v>
      </c>
      <c r="I1177" s="192">
        <f>IF('GM CostSvcs'!K481=0,0,I1196*12/'GM CostSvcs'!K481)</f>
        <v>101990.13104567822</v>
      </c>
      <c r="J1177" s="192">
        <f>IF('GM CostSvcs'!L481=0,0,J1196*12/'GM CostSvcs'!L481)</f>
        <v>0</v>
      </c>
      <c r="K1177" s="192">
        <f>IF('GM CostSvcs'!N481=0,0,K1196*12/'GM CostSvcs'!N481)</f>
        <v>0</v>
      </c>
      <c r="L1177" s="192">
        <f>IF('GM CostSvcs'!O481=0,0,L1196*12/'GM CostSvcs'!O481)</f>
        <v>0</v>
      </c>
      <c r="M1177" s="192">
        <f>IF('GM CostSvcs'!P481=0,0,M1196*12/'GM CostSvcs'!P481)</f>
        <v>0</v>
      </c>
      <c r="N1177" s="192">
        <f>IF('GM CostSvcs'!R481=0,0,N1196*12/'GM CostSvcs'!R481)</f>
        <v>0</v>
      </c>
      <c r="O1177" s="192">
        <f>IF('GM CostSvcs'!S481=0,0,O1196*12/'GM CostSvcs'!S481)</f>
        <v>0</v>
      </c>
      <c r="P1177" s="192">
        <f>IF('GM CostSvcs'!T481=0,0,P1196*12/'GM CostSvcs'!T481)</f>
        <v>0</v>
      </c>
      <c r="Q1177" s="192">
        <f>IF('GM CostSvcs'!V481=0,0,Q1196*12/'GM CostSvcs'!V481)</f>
        <v>0</v>
      </c>
      <c r="R1177" s="192">
        <f>IF('GM CostSvcs'!W481=0,0,R1196*12/'GM CostSvcs'!W481)</f>
        <v>0</v>
      </c>
      <c r="S1177" s="280">
        <f>IF('GM CostSvcs'!X481=0,0,S1196*12/'GM CostSvcs'!X481)</f>
        <v>0</v>
      </c>
    </row>
    <row r="1178" spans="1:19" ht="12.75" customHeight="1" x14ac:dyDescent="0.2">
      <c r="A1178" s="191" t="str">
        <f>Labels!B382</f>
        <v>Practice 2</v>
      </c>
      <c r="B1178" s="192"/>
      <c r="C1178" s="192"/>
      <c r="D1178" s="192"/>
      <c r="E1178" s="192"/>
      <c r="F1178" s="192"/>
      <c r="G1178" s="192"/>
      <c r="H1178" s="192"/>
      <c r="I1178" s="192"/>
      <c r="J1178" s="192"/>
      <c r="K1178" s="192"/>
      <c r="L1178" s="192"/>
      <c r="M1178" s="192"/>
      <c r="N1178" s="192"/>
      <c r="O1178" s="192"/>
      <c r="P1178" s="192"/>
      <c r="Q1178" s="192"/>
      <c r="R1178" s="192"/>
      <c r="S1178" s="280"/>
    </row>
    <row r="1179" spans="1:19" ht="12.75" customHeight="1" x14ac:dyDescent="0.2">
      <c r="A1179" s="188" t="str">
        <f>"   "&amp;Labels!B385</f>
        <v xml:space="preserve">   Prof Level 1</v>
      </c>
      <c r="B1179" s="196">
        <f>C1014*(1+B1188)</f>
        <v>100246.62697723036</v>
      </c>
      <c r="C1179" s="196">
        <f t="shared" ref="C1179:S1179" si="625">B1179*(1+C1188)</f>
        <v>100493.86220311972</v>
      </c>
      <c r="D1179" s="196">
        <f t="shared" si="625"/>
        <v>100741.70717777332</v>
      </c>
      <c r="E1179" s="196">
        <f t="shared" si="625"/>
        <v>100990.16340499613</v>
      </c>
      <c r="F1179" s="196">
        <f t="shared" si="625"/>
        <v>101239.23239230188</v>
      </c>
      <c r="G1179" s="196">
        <f t="shared" si="625"/>
        <v>101488.91565092225</v>
      </c>
      <c r="H1179" s="196">
        <f t="shared" si="625"/>
        <v>101739.214695816</v>
      </c>
      <c r="I1179" s="196">
        <f t="shared" si="625"/>
        <v>101990.13104567821</v>
      </c>
      <c r="J1179" s="196">
        <f t="shared" si="625"/>
        <v>102241.66622294945</v>
      </c>
      <c r="K1179" s="196">
        <f t="shared" si="625"/>
        <v>102493.82175382508</v>
      </c>
      <c r="L1179" s="196">
        <f t="shared" si="625"/>
        <v>102746.59916826442</v>
      </c>
      <c r="M1179" s="196">
        <f t="shared" si="625"/>
        <v>103000.00000000012</v>
      </c>
      <c r="N1179" s="196">
        <f t="shared" si="625"/>
        <v>103254.0257865474</v>
      </c>
      <c r="O1179" s="196">
        <f t="shared" si="625"/>
        <v>103508.67806921342</v>
      </c>
      <c r="P1179" s="196">
        <f t="shared" si="625"/>
        <v>103763.95839310663</v>
      </c>
      <c r="Q1179" s="196">
        <f t="shared" si="625"/>
        <v>104019.86830714613</v>
      </c>
      <c r="R1179" s="196">
        <f t="shared" si="625"/>
        <v>104276.40936407105</v>
      </c>
      <c r="S1179" s="267">
        <f t="shared" si="625"/>
        <v>104533.58312045003</v>
      </c>
    </row>
    <row r="1180" spans="1:19" ht="12.75" customHeight="1" x14ac:dyDescent="0.2">
      <c r="A1180" s="188" t="str">
        <f>"   "&amp;Labels!B386</f>
        <v xml:space="preserve">   Prof Level 2</v>
      </c>
      <c r="B1180" s="196">
        <f>C1015*(1+B1189)</f>
        <v>100246.62697723036</v>
      </c>
      <c r="C1180" s="196">
        <f t="shared" ref="C1180:S1180" si="626">B1180*(1+C1189)</f>
        <v>100493.86220311972</v>
      </c>
      <c r="D1180" s="196">
        <f t="shared" si="626"/>
        <v>100741.70717777332</v>
      </c>
      <c r="E1180" s="196">
        <f t="shared" si="626"/>
        <v>100990.16340499613</v>
      </c>
      <c r="F1180" s="196">
        <f t="shared" si="626"/>
        <v>101239.23239230188</v>
      </c>
      <c r="G1180" s="196">
        <f t="shared" si="626"/>
        <v>101488.91565092225</v>
      </c>
      <c r="H1180" s="196">
        <f t="shared" si="626"/>
        <v>101739.214695816</v>
      </c>
      <c r="I1180" s="196">
        <f t="shared" si="626"/>
        <v>101990.13104567821</v>
      </c>
      <c r="J1180" s="196">
        <f t="shared" si="626"/>
        <v>102241.66622294945</v>
      </c>
      <c r="K1180" s="196">
        <f t="shared" si="626"/>
        <v>102493.82175382508</v>
      </c>
      <c r="L1180" s="196">
        <f t="shared" si="626"/>
        <v>102746.59916826442</v>
      </c>
      <c r="M1180" s="196">
        <f t="shared" si="626"/>
        <v>103000.00000000012</v>
      </c>
      <c r="N1180" s="196">
        <f t="shared" si="626"/>
        <v>103254.0257865474</v>
      </c>
      <c r="O1180" s="196">
        <f t="shared" si="626"/>
        <v>103508.67806921342</v>
      </c>
      <c r="P1180" s="196">
        <f t="shared" si="626"/>
        <v>103763.95839310663</v>
      </c>
      <c r="Q1180" s="196">
        <f t="shared" si="626"/>
        <v>104019.86830714613</v>
      </c>
      <c r="R1180" s="196">
        <f t="shared" si="626"/>
        <v>104276.40936407105</v>
      </c>
      <c r="S1180" s="267">
        <f t="shared" si="626"/>
        <v>104533.58312045003</v>
      </c>
    </row>
    <row r="1181" spans="1:19" ht="12.75" customHeight="1" x14ac:dyDescent="0.2">
      <c r="A1181" s="191" t="str">
        <f>"   "&amp;Labels!C384</f>
        <v xml:space="preserve">   Total</v>
      </c>
      <c r="B1181" s="192">
        <f>IF('GM CostSvcs'!B485=0,0,B1200*12/'GM CostSvcs'!B485)</f>
        <v>0</v>
      </c>
      <c r="C1181" s="192">
        <f>IF('GM CostSvcs'!C485=0,0,C1200*12/'GM CostSvcs'!C485)</f>
        <v>0</v>
      </c>
      <c r="D1181" s="192">
        <f>IF('GM CostSvcs'!D485=0,0,D1200*12/'GM CostSvcs'!D485)</f>
        <v>0</v>
      </c>
      <c r="E1181" s="192">
        <f>IF('GM CostSvcs'!F485=0,0,E1200*12/'GM CostSvcs'!F485)</f>
        <v>0</v>
      </c>
      <c r="F1181" s="192">
        <f>IF('GM CostSvcs'!G485=0,0,F1200*12/'GM CostSvcs'!G485)</f>
        <v>0</v>
      </c>
      <c r="G1181" s="192">
        <f>IF('GM CostSvcs'!H485=0,0,G1200*12/'GM CostSvcs'!H485)</f>
        <v>0</v>
      </c>
      <c r="H1181" s="192">
        <f>IF('GM CostSvcs'!J485=0,0,H1200*12/'GM CostSvcs'!J485)</f>
        <v>0</v>
      </c>
      <c r="I1181" s="192">
        <f>IF('GM CostSvcs'!K485=0,0,I1200*12/'GM CostSvcs'!K485)</f>
        <v>0</v>
      </c>
      <c r="J1181" s="192">
        <f>IF('GM CostSvcs'!L485=0,0,J1200*12/'GM CostSvcs'!L485)</f>
        <v>0</v>
      </c>
      <c r="K1181" s="192">
        <f>IF('GM CostSvcs'!N485=0,0,K1200*12/'GM CostSvcs'!N485)</f>
        <v>0</v>
      </c>
      <c r="L1181" s="192">
        <f>IF('GM CostSvcs'!O485=0,0,L1200*12/'GM CostSvcs'!O485)</f>
        <v>0</v>
      </c>
      <c r="M1181" s="192">
        <f>IF('GM CostSvcs'!P485=0,0,M1200*12/'GM CostSvcs'!P485)</f>
        <v>0</v>
      </c>
      <c r="N1181" s="192">
        <f>IF('GM CostSvcs'!R485=0,0,N1200*12/'GM CostSvcs'!R485)</f>
        <v>0</v>
      </c>
      <c r="O1181" s="192">
        <f>IF('GM CostSvcs'!S485=0,0,O1200*12/'GM CostSvcs'!S485)</f>
        <v>0</v>
      </c>
      <c r="P1181" s="192">
        <f>IF('GM CostSvcs'!T485=0,0,P1200*12/'GM CostSvcs'!T485)</f>
        <v>0</v>
      </c>
      <c r="Q1181" s="192">
        <f>IF('GM CostSvcs'!V485=0,0,Q1200*12/'GM CostSvcs'!V485)</f>
        <v>0</v>
      </c>
      <c r="R1181" s="192">
        <f>IF('GM CostSvcs'!W485=0,0,R1200*12/'GM CostSvcs'!W485)</f>
        <v>0</v>
      </c>
      <c r="S1181" s="280">
        <f>IF('GM CostSvcs'!X485=0,0,S1200*12/'GM CostSvcs'!X485)</f>
        <v>0</v>
      </c>
    </row>
    <row r="1182" spans="1:19" ht="12.75" customHeight="1" x14ac:dyDescent="0.2">
      <c r="A1182" s="97" t="str">
        <f>Labels!C380</f>
        <v>Total</v>
      </c>
      <c r="B1182" s="194">
        <f>IF('GM CostSvcs'!B486=0,0,B1201*12/'GM CostSvcs'!B486)</f>
        <v>0</v>
      </c>
      <c r="C1182" s="194">
        <f>IF('GM CostSvcs'!C486=0,0,C1201*12/'GM CostSvcs'!C486)</f>
        <v>0</v>
      </c>
      <c r="D1182" s="194">
        <f>IF('GM CostSvcs'!D486=0,0,D1201*12/'GM CostSvcs'!D486)</f>
        <v>0</v>
      </c>
      <c r="E1182" s="194">
        <f>IF('GM CostSvcs'!F486=0,0,E1201*12/'GM CostSvcs'!F486)</f>
        <v>0</v>
      </c>
      <c r="F1182" s="194">
        <f>IF('GM CostSvcs'!G486=0,0,F1201*12/'GM CostSvcs'!G486)</f>
        <v>0</v>
      </c>
      <c r="G1182" s="194">
        <f>IF('GM CostSvcs'!H486=0,0,G1201*12/'GM CostSvcs'!H486)</f>
        <v>0</v>
      </c>
      <c r="H1182" s="194">
        <f>IF('GM CostSvcs'!J486=0,0,H1201*12/'GM CostSvcs'!J486)</f>
        <v>101739.21469581602</v>
      </c>
      <c r="I1182" s="194">
        <f>IF('GM CostSvcs'!K486=0,0,I1201*12/'GM CostSvcs'!K486)</f>
        <v>101990.13104567822</v>
      </c>
      <c r="J1182" s="194">
        <f>IF('GM CostSvcs'!L486=0,0,J1201*12/'GM CostSvcs'!L486)</f>
        <v>0</v>
      </c>
      <c r="K1182" s="194">
        <f>IF('GM CostSvcs'!N486=0,0,K1201*12/'GM CostSvcs'!N486)</f>
        <v>0</v>
      </c>
      <c r="L1182" s="194">
        <f>IF('GM CostSvcs'!O486=0,0,L1201*12/'GM CostSvcs'!O486)</f>
        <v>0</v>
      </c>
      <c r="M1182" s="194">
        <f>IF('GM CostSvcs'!P486=0,0,M1201*12/'GM CostSvcs'!P486)</f>
        <v>0</v>
      </c>
      <c r="N1182" s="194">
        <f>IF('GM CostSvcs'!R486=0,0,N1201*12/'GM CostSvcs'!R486)</f>
        <v>0</v>
      </c>
      <c r="O1182" s="194">
        <f>IF('GM CostSvcs'!S486=0,0,O1201*12/'GM CostSvcs'!S486)</f>
        <v>0</v>
      </c>
      <c r="P1182" s="194">
        <f>IF('GM CostSvcs'!T486=0,0,P1201*12/'GM CostSvcs'!T486)</f>
        <v>0</v>
      </c>
      <c r="Q1182" s="194">
        <f>IF('GM CostSvcs'!V486=0,0,Q1201*12/'GM CostSvcs'!V486)</f>
        <v>0</v>
      </c>
      <c r="R1182" s="194">
        <f>IF('GM CostSvcs'!W486=0,0,R1201*12/'GM CostSvcs'!W486)</f>
        <v>0</v>
      </c>
      <c r="S1182" s="351">
        <f>IF('GM CostSvcs'!X486=0,0,S1201*12/'GM CostSvcs'!X486)</f>
        <v>0</v>
      </c>
    </row>
    <row r="1183" spans="1:19" ht="12.75" customHeight="1" x14ac:dyDescent="0.2">
      <c r="A1183" s="188" t="str">
        <f>"   "&amp;Labels!B385</f>
        <v xml:space="preserve">   Prof Level 1</v>
      </c>
      <c r="B1183" s="196">
        <f>IF('GM CostSvcs'!B487=0,0,B1202*12/'GM CostSvcs'!B487)</f>
        <v>0</v>
      </c>
      <c r="C1183" s="196">
        <f>IF('GM CostSvcs'!C487=0,0,C1202*12/'GM CostSvcs'!C487)</f>
        <v>0</v>
      </c>
      <c r="D1183" s="196">
        <f>IF('GM CostSvcs'!D487=0,0,D1202*12/'GM CostSvcs'!D487)</f>
        <v>0</v>
      </c>
      <c r="E1183" s="196">
        <f>IF('GM CostSvcs'!F487=0,0,E1202*12/'GM CostSvcs'!F487)</f>
        <v>0</v>
      </c>
      <c r="F1183" s="196">
        <f>IF('GM CostSvcs'!G487=0,0,F1202*12/'GM CostSvcs'!G487)</f>
        <v>0</v>
      </c>
      <c r="G1183" s="196">
        <f>IF('GM CostSvcs'!H487=0,0,G1202*12/'GM CostSvcs'!H487)</f>
        <v>0</v>
      </c>
      <c r="H1183" s="196">
        <f>IF('GM CostSvcs'!J487=0,0,H1202*12/'GM CostSvcs'!J487)</f>
        <v>101739.21469581602</v>
      </c>
      <c r="I1183" s="196">
        <f>IF('GM CostSvcs'!K487=0,0,I1202*12/'GM CostSvcs'!K487)</f>
        <v>101990.13104567822</v>
      </c>
      <c r="J1183" s="196">
        <f>IF('GM CostSvcs'!L487=0,0,J1202*12/'GM CostSvcs'!L487)</f>
        <v>0</v>
      </c>
      <c r="K1183" s="196">
        <f>IF('GM CostSvcs'!N487=0,0,K1202*12/'GM CostSvcs'!N487)</f>
        <v>0</v>
      </c>
      <c r="L1183" s="196">
        <f>IF('GM CostSvcs'!O487=0,0,L1202*12/'GM CostSvcs'!O487)</f>
        <v>0</v>
      </c>
      <c r="M1183" s="196">
        <f>IF('GM CostSvcs'!P487=0,0,M1202*12/'GM CostSvcs'!P487)</f>
        <v>0</v>
      </c>
      <c r="N1183" s="196">
        <f>IF('GM CostSvcs'!R487=0,0,N1202*12/'GM CostSvcs'!R487)</f>
        <v>0</v>
      </c>
      <c r="O1183" s="196">
        <f>IF('GM CostSvcs'!S487=0,0,O1202*12/'GM CostSvcs'!S487)</f>
        <v>0</v>
      </c>
      <c r="P1183" s="196">
        <f>IF('GM CostSvcs'!T487=0,0,P1202*12/'GM CostSvcs'!T487)</f>
        <v>0</v>
      </c>
      <c r="Q1183" s="196">
        <f>IF('GM CostSvcs'!V487=0,0,Q1202*12/'GM CostSvcs'!V487)</f>
        <v>0</v>
      </c>
      <c r="R1183" s="196">
        <f>IF('GM CostSvcs'!W487=0,0,R1202*12/'GM CostSvcs'!W487)</f>
        <v>0</v>
      </c>
      <c r="S1183" s="267">
        <f>IF('GM CostSvcs'!X487=0,0,S1202*12/'GM CostSvcs'!X487)</f>
        <v>0</v>
      </c>
    </row>
    <row r="1184" spans="1:19" ht="12.75" customHeight="1" x14ac:dyDescent="0.2">
      <c r="A1184" s="188" t="str">
        <f>"   "&amp;Labels!B386</f>
        <v xml:space="preserve">   Prof Level 2</v>
      </c>
      <c r="B1184" s="196">
        <f>IF('GM CostSvcs'!B488=0,0,B1203*12/'GM CostSvcs'!B488)</f>
        <v>0</v>
      </c>
      <c r="C1184" s="196">
        <f>IF('GM CostSvcs'!C488=0,0,C1203*12/'GM CostSvcs'!C488)</f>
        <v>0</v>
      </c>
      <c r="D1184" s="196">
        <f>IF('GM CostSvcs'!D488=0,0,D1203*12/'GM CostSvcs'!D488)</f>
        <v>0</v>
      </c>
      <c r="E1184" s="196">
        <f>IF('GM CostSvcs'!F488=0,0,E1203*12/'GM CostSvcs'!F488)</f>
        <v>0</v>
      </c>
      <c r="F1184" s="196">
        <f>IF('GM CostSvcs'!G488=0,0,F1203*12/'GM CostSvcs'!G488)</f>
        <v>0</v>
      </c>
      <c r="G1184" s="196">
        <f>IF('GM CostSvcs'!H488=0,0,G1203*12/'GM CostSvcs'!H488)</f>
        <v>0</v>
      </c>
      <c r="H1184" s="196">
        <f>IF('GM CostSvcs'!J488=0,0,H1203*12/'GM CostSvcs'!J488)</f>
        <v>101739.21469581602</v>
      </c>
      <c r="I1184" s="196">
        <f>IF('GM CostSvcs'!K488=0,0,I1203*12/'GM CostSvcs'!K488)</f>
        <v>101990.13104567822</v>
      </c>
      <c r="J1184" s="196">
        <f>IF('GM CostSvcs'!L488=0,0,J1203*12/'GM CostSvcs'!L488)</f>
        <v>0</v>
      </c>
      <c r="K1184" s="196">
        <f>IF('GM CostSvcs'!N488=0,0,K1203*12/'GM CostSvcs'!N488)</f>
        <v>0</v>
      </c>
      <c r="L1184" s="196">
        <f>IF('GM CostSvcs'!O488=0,0,L1203*12/'GM CostSvcs'!O488)</f>
        <v>0</v>
      </c>
      <c r="M1184" s="196">
        <f>IF('GM CostSvcs'!P488=0,0,M1203*12/'GM CostSvcs'!P488)</f>
        <v>0</v>
      </c>
      <c r="N1184" s="196">
        <f>IF('GM CostSvcs'!R488=0,0,N1203*12/'GM CostSvcs'!R488)</f>
        <v>0</v>
      </c>
      <c r="O1184" s="196">
        <f>IF('GM CostSvcs'!S488=0,0,O1203*12/'GM CostSvcs'!S488)</f>
        <v>0</v>
      </c>
      <c r="P1184" s="196">
        <f>IF('GM CostSvcs'!T488=0,0,P1203*12/'GM CostSvcs'!T488)</f>
        <v>0</v>
      </c>
      <c r="Q1184" s="196">
        <f>IF('GM CostSvcs'!V488=0,0,Q1203*12/'GM CostSvcs'!V488)</f>
        <v>0</v>
      </c>
      <c r="R1184" s="196">
        <f>IF('GM CostSvcs'!W488=0,0,R1203*12/'GM CostSvcs'!W488)</f>
        <v>0</v>
      </c>
      <c r="S1184" s="267">
        <f>IF('GM CostSvcs'!X488=0,0,S1203*12/'GM CostSvcs'!X488)</f>
        <v>0</v>
      </c>
    </row>
    <row r="1185" spans="1:19" ht="12.75" customHeight="1" x14ac:dyDescent="0.2">
      <c r="A1185" s="185" t="str">
        <f>"   "&amp;Labels!C384</f>
        <v xml:space="preserve">   Total</v>
      </c>
      <c r="B1185" s="176">
        <f>IF('GM CostSvcs'!B486=0,0,B1201*12/'GM CostSvcs'!B486)</f>
        <v>0</v>
      </c>
      <c r="C1185" s="176">
        <f>IF('GM CostSvcs'!C486=0,0,C1201*12/'GM CostSvcs'!C486)</f>
        <v>0</v>
      </c>
      <c r="D1185" s="176">
        <f>IF('GM CostSvcs'!D486=0,0,D1201*12/'GM CostSvcs'!D486)</f>
        <v>0</v>
      </c>
      <c r="E1185" s="176">
        <f>IF('GM CostSvcs'!F486=0,0,E1201*12/'GM CostSvcs'!F486)</f>
        <v>0</v>
      </c>
      <c r="F1185" s="176">
        <f>IF('GM CostSvcs'!G486=0,0,F1201*12/'GM CostSvcs'!G486)</f>
        <v>0</v>
      </c>
      <c r="G1185" s="176">
        <f>IF('GM CostSvcs'!H486=0,0,G1201*12/'GM CostSvcs'!H486)</f>
        <v>0</v>
      </c>
      <c r="H1185" s="176">
        <f>IF('GM CostSvcs'!J486=0,0,H1201*12/'GM CostSvcs'!J486)</f>
        <v>101739.21469581602</v>
      </c>
      <c r="I1185" s="176">
        <f>IF('GM CostSvcs'!K486=0,0,I1201*12/'GM CostSvcs'!K486)</f>
        <v>101990.13104567822</v>
      </c>
      <c r="J1185" s="176">
        <f>IF('GM CostSvcs'!L486=0,0,J1201*12/'GM CostSvcs'!L486)</f>
        <v>0</v>
      </c>
      <c r="K1185" s="176">
        <f>IF('GM CostSvcs'!N486=0,0,K1201*12/'GM CostSvcs'!N486)</f>
        <v>0</v>
      </c>
      <c r="L1185" s="176">
        <f>IF('GM CostSvcs'!O486=0,0,L1201*12/'GM CostSvcs'!O486)</f>
        <v>0</v>
      </c>
      <c r="M1185" s="176">
        <f>IF('GM CostSvcs'!P486=0,0,M1201*12/'GM CostSvcs'!P486)</f>
        <v>0</v>
      </c>
      <c r="N1185" s="176">
        <f>IF('GM CostSvcs'!R486=0,0,N1201*12/'GM CostSvcs'!R486)</f>
        <v>0</v>
      </c>
      <c r="O1185" s="176">
        <f>IF('GM CostSvcs'!S486=0,0,O1201*12/'GM CostSvcs'!S486)</f>
        <v>0</v>
      </c>
      <c r="P1185" s="176">
        <f>IF('GM CostSvcs'!T486=0,0,P1201*12/'GM CostSvcs'!T486)</f>
        <v>0</v>
      </c>
      <c r="Q1185" s="176">
        <f>IF('GM CostSvcs'!V486=0,0,Q1201*12/'GM CostSvcs'!V486)</f>
        <v>0</v>
      </c>
      <c r="R1185" s="176">
        <f>IF('GM CostSvcs'!W486=0,0,R1201*12/'GM CostSvcs'!W486)</f>
        <v>0</v>
      </c>
      <c r="S1185" s="268">
        <f>IF('GM CostSvcs'!X486=0,0,S1201*12/'GM CostSvcs'!X486)</f>
        <v>0</v>
      </c>
    </row>
    <row r="1186" spans="1:19" ht="12.75" customHeight="1" x14ac:dyDescent="0.2">
      <c r="A1186" s="1" t="str">
        <f>Labels!B204</f>
        <v>Prof Salary increase period %</v>
      </c>
    </row>
    <row r="1187" spans="1:19" ht="12.75" customHeight="1" x14ac:dyDescent="0.2">
      <c r="B1187" s="9" t="str">
        <f>'(FnCalls 1)'!F41</f>
        <v>MMM 2010</v>
      </c>
      <c r="C1187" s="10" t="str">
        <f>'(FnCalls 1)'!F42</f>
        <v>MMM 2010</v>
      </c>
      <c r="D1187" s="10" t="str">
        <f>'(FnCalls 1)'!F43</f>
        <v>MMM 2010</v>
      </c>
      <c r="E1187" s="10" t="str">
        <f>'(FnCalls 1)'!F44</f>
        <v>MMM 2010</v>
      </c>
      <c r="F1187" s="10" t="str">
        <f>'(FnCalls 1)'!F45</f>
        <v>MMM 2010</v>
      </c>
      <c r="G1187" s="10" t="str">
        <f>'(FnCalls 1)'!F46</f>
        <v>MMM 2010</v>
      </c>
      <c r="H1187" s="10" t="str">
        <f>'(FnCalls 1)'!F47</f>
        <v>MMM 2010</v>
      </c>
      <c r="I1187" s="10" t="str">
        <f>'(FnCalls 1)'!F48</f>
        <v>MMM 2010</v>
      </c>
      <c r="J1187" s="10" t="str">
        <f>'(FnCalls 1)'!F49</f>
        <v>MMM 2010</v>
      </c>
      <c r="K1187" s="10" t="str">
        <f>'(FnCalls 1)'!F50</f>
        <v>MMM 2010</v>
      </c>
      <c r="L1187" s="10" t="str">
        <f>'(FnCalls 1)'!F51</f>
        <v>MMM 2010</v>
      </c>
      <c r="M1187" s="10" t="str">
        <f>'(FnCalls 1)'!F52</f>
        <v>MMM 2010</v>
      </c>
      <c r="N1187" s="10" t="str">
        <f>'(FnCalls 1)'!F53</f>
        <v>MMM 2011</v>
      </c>
      <c r="O1187" s="10" t="str">
        <f>'(FnCalls 1)'!F54</f>
        <v>MMM 2011</v>
      </c>
      <c r="P1187" s="10" t="str">
        <f>'(FnCalls 1)'!F55</f>
        <v>MMM 2011</v>
      </c>
      <c r="Q1187" s="10" t="str">
        <f>'(FnCalls 1)'!F56</f>
        <v>MMM 2011</v>
      </c>
      <c r="R1187" s="10" t="str">
        <f>'(FnCalls 1)'!F57</f>
        <v>MMM 2011</v>
      </c>
      <c r="S1187" s="11" t="str">
        <f>'(FnCalls 1)'!F58</f>
        <v>MMM 2011</v>
      </c>
    </row>
    <row r="1188" spans="1:19" ht="12.75" customHeight="1" x14ac:dyDescent="0.2">
      <c r="A1188" s="182" t="str">
        <f>Labels!B385</f>
        <v>Prof Level 1</v>
      </c>
      <c r="B1188" s="207">
        <f>IF(Inputs!F241,(1+Inputs!F212)^(1/12)-1,Inputs!F212)</f>
        <v>2.4662697723036864E-3</v>
      </c>
      <c r="C1188" s="207">
        <f>IF(Inputs!F241,(1+Inputs!G212)^(1/12)-1,Inputs!G212)</f>
        <v>2.4662697723036864E-3</v>
      </c>
      <c r="D1188" s="207">
        <f>IF(Inputs!F241,(1+Inputs!H212)^(1/12)-1,Inputs!H212)</f>
        <v>2.4662697723036864E-3</v>
      </c>
      <c r="E1188" s="207">
        <f>IF(Inputs!F241,(1+Inputs!I212)^(1/12)-1,Inputs!I212)</f>
        <v>2.4662697723036864E-3</v>
      </c>
      <c r="F1188" s="207">
        <f>IF(Inputs!F241,(1+Inputs!J212)^(1/12)-1,Inputs!J212)</f>
        <v>2.4662697723036864E-3</v>
      </c>
      <c r="G1188" s="207">
        <f>IF(Inputs!F241,(1+Inputs!K212)^(1/12)-1,Inputs!K212)</f>
        <v>2.4662697723036864E-3</v>
      </c>
      <c r="H1188" s="207">
        <f>IF(Inputs!F241,(1+Inputs!L212)^(1/12)-1,Inputs!L212)</f>
        <v>2.4662697723036864E-3</v>
      </c>
      <c r="I1188" s="207">
        <f>IF(Inputs!F241,(1+Inputs!M212)^(1/12)-1,Inputs!M212)</f>
        <v>2.4662697723036864E-3</v>
      </c>
      <c r="J1188" s="207">
        <f>IF(Inputs!F241,(1+Inputs!N212)^(1/12)-1,Inputs!N212)</f>
        <v>2.4662697723036864E-3</v>
      </c>
      <c r="K1188" s="207">
        <f>IF(Inputs!F241,(1+Inputs!O212)^(1/12)-1,Inputs!O212)</f>
        <v>2.4662697723036864E-3</v>
      </c>
      <c r="L1188" s="207">
        <f>IF(Inputs!F241,(1+Inputs!P212)^(1/12)-1,Inputs!P212)</f>
        <v>2.4662697723036864E-3</v>
      </c>
      <c r="M1188" s="207">
        <f>IF(Inputs!F241,(1+Inputs!Q212)^(1/12)-1,Inputs!Q212)</f>
        <v>2.4662697723036864E-3</v>
      </c>
      <c r="N1188" s="207">
        <f>IF(Inputs!F241,(1+Inputs!R212)^(1/12)-1,Inputs!R212)</f>
        <v>2.4662697723036864E-3</v>
      </c>
      <c r="O1188" s="207">
        <f>IF(Inputs!F241,(1+Inputs!S212)^(1/12)-1,Inputs!S212)</f>
        <v>2.4662697723036864E-3</v>
      </c>
      <c r="P1188" s="207">
        <f>IF(Inputs!F241,(1+Inputs!T212)^(1/12)-1,Inputs!T212)</f>
        <v>2.4662697723036864E-3</v>
      </c>
      <c r="Q1188" s="207">
        <f>IF(Inputs!F241,(1+Inputs!U212)^(1/12)-1,Inputs!U212)</f>
        <v>2.4662697723036864E-3</v>
      </c>
      <c r="R1188" s="207">
        <f>IF(Inputs!F241,(1+Inputs!V212)^(1/12)-1,Inputs!V212)</f>
        <v>2.4662697723036864E-3</v>
      </c>
      <c r="S1188" s="391">
        <f>IF(Inputs!F241,(1+Inputs!W212)^(1/12)-1,Inputs!W212)</f>
        <v>2.4662697723036864E-3</v>
      </c>
    </row>
    <row r="1189" spans="1:19" ht="12.75" customHeight="1" x14ac:dyDescent="0.2">
      <c r="A1189" s="191" t="str">
        <f>Labels!B386</f>
        <v>Prof Level 2</v>
      </c>
      <c r="B1189" s="211">
        <f>IF(Inputs!F241,(1+Inputs!F213)^(1/12)-1,Inputs!F213)</f>
        <v>2.4662697723036864E-3</v>
      </c>
      <c r="C1189" s="211">
        <f>IF(Inputs!F241,(1+Inputs!G213)^(1/12)-1,Inputs!G213)</f>
        <v>2.4662697723036864E-3</v>
      </c>
      <c r="D1189" s="211">
        <f>IF(Inputs!F241,(1+Inputs!H213)^(1/12)-1,Inputs!H213)</f>
        <v>2.4662697723036864E-3</v>
      </c>
      <c r="E1189" s="211">
        <f>IF(Inputs!F241,(1+Inputs!I213)^(1/12)-1,Inputs!I213)</f>
        <v>2.4662697723036864E-3</v>
      </c>
      <c r="F1189" s="211">
        <f>IF(Inputs!F241,(1+Inputs!J213)^(1/12)-1,Inputs!J213)</f>
        <v>2.4662697723036864E-3</v>
      </c>
      <c r="G1189" s="211">
        <f>IF(Inputs!F241,(1+Inputs!K213)^(1/12)-1,Inputs!K213)</f>
        <v>2.4662697723036864E-3</v>
      </c>
      <c r="H1189" s="211">
        <f>IF(Inputs!F241,(1+Inputs!L213)^(1/12)-1,Inputs!L213)</f>
        <v>2.4662697723036864E-3</v>
      </c>
      <c r="I1189" s="211">
        <f>IF(Inputs!F241,(1+Inputs!M213)^(1/12)-1,Inputs!M213)</f>
        <v>2.4662697723036864E-3</v>
      </c>
      <c r="J1189" s="211">
        <f>IF(Inputs!F241,(1+Inputs!N213)^(1/12)-1,Inputs!N213)</f>
        <v>2.4662697723036864E-3</v>
      </c>
      <c r="K1189" s="211">
        <f>IF(Inputs!F241,(1+Inputs!O213)^(1/12)-1,Inputs!O213)</f>
        <v>2.4662697723036864E-3</v>
      </c>
      <c r="L1189" s="211">
        <f>IF(Inputs!F241,(1+Inputs!P213)^(1/12)-1,Inputs!P213)</f>
        <v>2.4662697723036864E-3</v>
      </c>
      <c r="M1189" s="211">
        <f>IF(Inputs!F241,(1+Inputs!Q213)^(1/12)-1,Inputs!Q213)</f>
        <v>2.4662697723036864E-3</v>
      </c>
      <c r="N1189" s="211">
        <f>IF(Inputs!F241,(1+Inputs!R213)^(1/12)-1,Inputs!R213)</f>
        <v>2.4662697723036864E-3</v>
      </c>
      <c r="O1189" s="211">
        <f>IF(Inputs!F241,(1+Inputs!S213)^(1/12)-1,Inputs!S213)</f>
        <v>2.4662697723036864E-3</v>
      </c>
      <c r="P1189" s="211">
        <f>IF(Inputs!F241,(1+Inputs!T213)^(1/12)-1,Inputs!T213)</f>
        <v>2.4662697723036864E-3</v>
      </c>
      <c r="Q1189" s="211">
        <f>IF(Inputs!F241,(1+Inputs!U213)^(1/12)-1,Inputs!U213)</f>
        <v>2.4662697723036864E-3</v>
      </c>
      <c r="R1189" s="211">
        <f>IF(Inputs!F241,(1+Inputs!V213)^(1/12)-1,Inputs!V213)</f>
        <v>2.4662697723036864E-3</v>
      </c>
      <c r="S1189" s="395">
        <f>IF(Inputs!F241,(1+Inputs!W213)^(1/12)-1,Inputs!W213)</f>
        <v>2.4662697723036864E-3</v>
      </c>
    </row>
    <row r="1190" spans="1:19" ht="12.75" customHeight="1" x14ac:dyDescent="0.2">
      <c r="A1190" s="97" t="str">
        <f>Labels!C384</f>
        <v>Total</v>
      </c>
      <c r="B1190" s="379">
        <f t="shared" ref="B1190:S1190" si="627">AVERAGE(B1188:B1189)</f>
        <v>2.4662697723036864E-3</v>
      </c>
      <c r="C1190" s="379">
        <f t="shared" si="627"/>
        <v>2.4662697723036864E-3</v>
      </c>
      <c r="D1190" s="379">
        <f t="shared" si="627"/>
        <v>2.4662697723036864E-3</v>
      </c>
      <c r="E1190" s="379">
        <f t="shared" si="627"/>
        <v>2.4662697723036864E-3</v>
      </c>
      <c r="F1190" s="379">
        <f t="shared" si="627"/>
        <v>2.4662697723036864E-3</v>
      </c>
      <c r="G1190" s="379">
        <f t="shared" si="627"/>
        <v>2.4662697723036864E-3</v>
      </c>
      <c r="H1190" s="379">
        <f t="shared" si="627"/>
        <v>2.4662697723036864E-3</v>
      </c>
      <c r="I1190" s="379">
        <f t="shared" si="627"/>
        <v>2.4662697723036864E-3</v>
      </c>
      <c r="J1190" s="379">
        <f t="shared" si="627"/>
        <v>2.4662697723036864E-3</v>
      </c>
      <c r="K1190" s="379">
        <f t="shared" si="627"/>
        <v>2.4662697723036864E-3</v>
      </c>
      <c r="L1190" s="379">
        <f t="shared" si="627"/>
        <v>2.4662697723036864E-3</v>
      </c>
      <c r="M1190" s="379">
        <f t="shared" si="627"/>
        <v>2.4662697723036864E-3</v>
      </c>
      <c r="N1190" s="379">
        <f t="shared" si="627"/>
        <v>2.4662697723036864E-3</v>
      </c>
      <c r="O1190" s="379">
        <f t="shared" si="627"/>
        <v>2.4662697723036864E-3</v>
      </c>
      <c r="P1190" s="379">
        <f t="shared" si="627"/>
        <v>2.4662697723036864E-3</v>
      </c>
      <c r="Q1190" s="379">
        <f t="shared" si="627"/>
        <v>2.4662697723036864E-3</v>
      </c>
      <c r="R1190" s="379">
        <f t="shared" si="627"/>
        <v>2.4662697723036864E-3</v>
      </c>
      <c r="S1190" s="396">
        <f t="shared" si="627"/>
        <v>2.4662697723036864E-3</v>
      </c>
    </row>
    <row r="1191" spans="1:19" ht="12.75" customHeight="1" x14ac:dyDescent="0.2">
      <c r="A1191" s="1" t="str">
        <f>Labels!B202</f>
        <v>Prof Staff Salary Cost</v>
      </c>
    </row>
    <row r="1192" spans="1:19" ht="12.75" customHeight="1" x14ac:dyDescent="0.2">
      <c r="B1192" s="9" t="str">
        <f>'(FnCalls 1)'!F41</f>
        <v>MMM 2010</v>
      </c>
      <c r="C1192" s="10" t="str">
        <f>'(FnCalls 1)'!F42</f>
        <v>MMM 2010</v>
      </c>
      <c r="D1192" s="10" t="str">
        <f>'(FnCalls 1)'!F43</f>
        <v>MMM 2010</v>
      </c>
      <c r="E1192" s="10" t="str">
        <f>'(FnCalls 1)'!F44</f>
        <v>MMM 2010</v>
      </c>
      <c r="F1192" s="10" t="str">
        <f>'(FnCalls 1)'!F45</f>
        <v>MMM 2010</v>
      </c>
      <c r="G1192" s="10" t="str">
        <f>'(FnCalls 1)'!F46</f>
        <v>MMM 2010</v>
      </c>
      <c r="H1192" s="10" t="str">
        <f>'(FnCalls 1)'!F47</f>
        <v>MMM 2010</v>
      </c>
      <c r="I1192" s="10" t="str">
        <f>'(FnCalls 1)'!F48</f>
        <v>MMM 2010</v>
      </c>
      <c r="J1192" s="10" t="str">
        <f>'(FnCalls 1)'!F49</f>
        <v>MMM 2010</v>
      </c>
      <c r="K1192" s="10" t="str">
        <f>'(FnCalls 1)'!F50</f>
        <v>MMM 2010</v>
      </c>
      <c r="L1192" s="10" t="str">
        <f>'(FnCalls 1)'!F51</f>
        <v>MMM 2010</v>
      </c>
      <c r="M1192" s="10" t="str">
        <f>'(FnCalls 1)'!F52</f>
        <v>MMM 2010</v>
      </c>
      <c r="N1192" s="10" t="str">
        <f>'(FnCalls 1)'!F53</f>
        <v>MMM 2011</v>
      </c>
      <c r="O1192" s="10" t="str">
        <f>'(FnCalls 1)'!F54</f>
        <v>MMM 2011</v>
      </c>
      <c r="P1192" s="10" t="str">
        <f>'(FnCalls 1)'!F55</f>
        <v>MMM 2011</v>
      </c>
      <c r="Q1192" s="10" t="str">
        <f>'(FnCalls 1)'!F56</f>
        <v>MMM 2011</v>
      </c>
      <c r="R1192" s="10" t="str">
        <f>'(FnCalls 1)'!F57</f>
        <v>MMM 2011</v>
      </c>
      <c r="S1192" s="11" t="str">
        <f>'(FnCalls 1)'!F58</f>
        <v>MMM 2011</v>
      </c>
    </row>
    <row r="1193" spans="1:19" ht="12.75" customHeight="1" x14ac:dyDescent="0.2">
      <c r="A1193" s="182" t="str">
        <f>Labels!B381</f>
        <v>Practice 1</v>
      </c>
      <c r="B1193" s="183"/>
      <c r="C1193" s="183"/>
      <c r="D1193" s="183"/>
      <c r="E1193" s="183"/>
      <c r="F1193" s="183"/>
      <c r="G1193" s="183"/>
      <c r="H1193" s="183"/>
      <c r="I1193" s="183"/>
      <c r="J1193" s="183"/>
      <c r="K1193" s="183"/>
      <c r="L1193" s="183"/>
      <c r="M1193" s="183"/>
      <c r="N1193" s="183"/>
      <c r="O1193" s="183"/>
      <c r="P1193" s="183"/>
      <c r="Q1193" s="183"/>
      <c r="R1193" s="183"/>
      <c r="S1193" s="266"/>
    </row>
    <row r="1194" spans="1:19" ht="12.75" customHeight="1" x14ac:dyDescent="0.2">
      <c r="A1194" s="188" t="str">
        <f>"   "&amp;Labels!B385</f>
        <v xml:space="preserve">   Prof Level 1</v>
      </c>
      <c r="B1194" s="196">
        <f>'GM CostSvcs'!B479*B1175/12</f>
        <v>0</v>
      </c>
      <c r="C1194" s="196">
        <f>'GM CostSvcs'!C479*C1175/12</f>
        <v>0</v>
      </c>
      <c r="D1194" s="196">
        <f>'GM CostSvcs'!D479*D1175/12</f>
        <v>0</v>
      </c>
      <c r="E1194" s="196">
        <f>'GM CostSvcs'!F479*E1175/12</f>
        <v>0</v>
      </c>
      <c r="F1194" s="196">
        <f>'GM CostSvcs'!G479*F1175/12</f>
        <v>0</v>
      </c>
      <c r="G1194" s="196">
        <f>'GM CostSvcs'!H479*G1175/12</f>
        <v>0</v>
      </c>
      <c r="H1194" s="196">
        <f>'GM CostSvcs'!J479*H1175/12</f>
        <v>8478.2678913180007</v>
      </c>
      <c r="I1194" s="196">
        <f>'GM CostSvcs'!K479*I1175/12</f>
        <v>16998.355174279703</v>
      </c>
      <c r="J1194" s="196">
        <f>'GM CostSvcs'!L479*J1175/12</f>
        <v>0</v>
      </c>
      <c r="K1194" s="196">
        <f>'GM CostSvcs'!N479*K1175/12</f>
        <v>0</v>
      </c>
      <c r="L1194" s="196">
        <f>'GM CostSvcs'!O479*L1175/12</f>
        <v>0</v>
      </c>
      <c r="M1194" s="196">
        <f>'GM CostSvcs'!P479*M1175/12</f>
        <v>0</v>
      </c>
      <c r="N1194" s="196">
        <f>'GM CostSvcs'!R479*N1175/12</f>
        <v>0</v>
      </c>
      <c r="O1194" s="196">
        <f>'GM CostSvcs'!S479*O1175/12</f>
        <v>0</v>
      </c>
      <c r="P1194" s="196">
        <f>'GM CostSvcs'!T479*P1175/12</f>
        <v>0</v>
      </c>
      <c r="Q1194" s="196">
        <f>'GM CostSvcs'!V479*Q1175/12</f>
        <v>0</v>
      </c>
      <c r="R1194" s="196">
        <f>'GM CostSvcs'!W479*R1175/12</f>
        <v>0</v>
      </c>
      <c r="S1194" s="267">
        <f>'GM CostSvcs'!X479*S1175/12</f>
        <v>0</v>
      </c>
    </row>
    <row r="1195" spans="1:19" ht="12.75" customHeight="1" x14ac:dyDescent="0.2">
      <c r="A1195" s="188" t="str">
        <f>"   "&amp;Labels!B386</f>
        <v xml:space="preserve">   Prof Level 2</v>
      </c>
      <c r="B1195" s="196">
        <f>'GM CostSvcs'!B480*B1176/12</f>
        <v>0</v>
      </c>
      <c r="C1195" s="196">
        <f>'GM CostSvcs'!C480*C1176/12</f>
        <v>0</v>
      </c>
      <c r="D1195" s="196">
        <f>'GM CostSvcs'!D480*D1176/12</f>
        <v>0</v>
      </c>
      <c r="E1195" s="196">
        <f>'GM CostSvcs'!F480*E1176/12</f>
        <v>0</v>
      </c>
      <c r="F1195" s="196">
        <f>'GM CostSvcs'!G480*F1176/12</f>
        <v>0</v>
      </c>
      <c r="G1195" s="196">
        <f>'GM CostSvcs'!H480*G1176/12</f>
        <v>0</v>
      </c>
      <c r="H1195" s="196">
        <f>'GM CostSvcs'!J480*H1176/12</f>
        <v>8478.2678913180007</v>
      </c>
      <c r="I1195" s="196">
        <f>'GM CostSvcs'!K480*I1176/12</f>
        <v>16998.355174279703</v>
      </c>
      <c r="J1195" s="196">
        <f>'GM CostSvcs'!L480*J1176/12</f>
        <v>0</v>
      </c>
      <c r="K1195" s="196">
        <f>'GM CostSvcs'!N480*K1176/12</f>
        <v>0</v>
      </c>
      <c r="L1195" s="196">
        <f>'GM CostSvcs'!O480*L1176/12</f>
        <v>0</v>
      </c>
      <c r="M1195" s="196">
        <f>'GM CostSvcs'!P480*M1176/12</f>
        <v>0</v>
      </c>
      <c r="N1195" s="196">
        <f>'GM CostSvcs'!R480*N1176/12</f>
        <v>0</v>
      </c>
      <c r="O1195" s="196">
        <f>'GM CostSvcs'!S480*O1176/12</f>
        <v>0</v>
      </c>
      <c r="P1195" s="196">
        <f>'GM CostSvcs'!T480*P1176/12</f>
        <v>0</v>
      </c>
      <c r="Q1195" s="196">
        <f>'GM CostSvcs'!V480*Q1176/12</f>
        <v>0</v>
      </c>
      <c r="R1195" s="196">
        <f>'GM CostSvcs'!W480*R1176/12</f>
        <v>0</v>
      </c>
      <c r="S1195" s="267">
        <f>'GM CostSvcs'!X480*S1176/12</f>
        <v>0</v>
      </c>
    </row>
    <row r="1196" spans="1:19" ht="12.75" customHeight="1" x14ac:dyDescent="0.2">
      <c r="A1196" s="191" t="str">
        <f>"   "&amp;Labels!C384</f>
        <v xml:space="preserve">   Total</v>
      </c>
      <c r="B1196" s="192">
        <f t="shared" ref="B1196:S1196" si="628">SUM(B1194:B1195)</f>
        <v>0</v>
      </c>
      <c r="C1196" s="192">
        <f t="shared" si="628"/>
        <v>0</v>
      </c>
      <c r="D1196" s="192">
        <f t="shared" si="628"/>
        <v>0</v>
      </c>
      <c r="E1196" s="192">
        <f t="shared" si="628"/>
        <v>0</v>
      </c>
      <c r="F1196" s="192">
        <f t="shared" si="628"/>
        <v>0</v>
      </c>
      <c r="G1196" s="192">
        <f t="shared" si="628"/>
        <v>0</v>
      </c>
      <c r="H1196" s="192">
        <f t="shared" si="628"/>
        <v>16956.535782636001</v>
      </c>
      <c r="I1196" s="192">
        <f t="shared" si="628"/>
        <v>33996.710348559405</v>
      </c>
      <c r="J1196" s="192">
        <f t="shared" si="628"/>
        <v>0</v>
      </c>
      <c r="K1196" s="192">
        <f t="shared" si="628"/>
        <v>0</v>
      </c>
      <c r="L1196" s="192">
        <f t="shared" si="628"/>
        <v>0</v>
      </c>
      <c r="M1196" s="192">
        <f t="shared" si="628"/>
        <v>0</v>
      </c>
      <c r="N1196" s="192">
        <f t="shared" si="628"/>
        <v>0</v>
      </c>
      <c r="O1196" s="192">
        <f t="shared" si="628"/>
        <v>0</v>
      </c>
      <c r="P1196" s="192">
        <f t="shared" si="628"/>
        <v>0</v>
      </c>
      <c r="Q1196" s="192">
        <f t="shared" si="628"/>
        <v>0</v>
      </c>
      <c r="R1196" s="192">
        <f t="shared" si="628"/>
        <v>0</v>
      </c>
      <c r="S1196" s="280">
        <f t="shared" si="628"/>
        <v>0</v>
      </c>
    </row>
    <row r="1197" spans="1:19" ht="12.75" customHeight="1" x14ac:dyDescent="0.2">
      <c r="A1197" s="191" t="str">
        <f>Labels!B382</f>
        <v>Practice 2</v>
      </c>
      <c r="B1197" s="192"/>
      <c r="C1197" s="192"/>
      <c r="D1197" s="192"/>
      <c r="E1197" s="192"/>
      <c r="F1197" s="192"/>
      <c r="G1197" s="192"/>
      <c r="H1197" s="192"/>
      <c r="I1197" s="192"/>
      <c r="J1197" s="192"/>
      <c r="K1197" s="192"/>
      <c r="L1197" s="192"/>
      <c r="M1197" s="192"/>
      <c r="N1197" s="192"/>
      <c r="O1197" s="192"/>
      <c r="P1197" s="192"/>
      <c r="Q1197" s="192"/>
      <c r="R1197" s="192"/>
      <c r="S1197" s="280"/>
    </row>
    <row r="1198" spans="1:19" ht="12.75" customHeight="1" x14ac:dyDescent="0.2">
      <c r="A1198" s="188" t="str">
        <f>"   "&amp;Labels!B385</f>
        <v xml:space="preserve">   Prof Level 1</v>
      </c>
      <c r="B1198" s="196">
        <f>'GM CostSvcs'!B483*B1179/12</f>
        <v>0</v>
      </c>
      <c r="C1198" s="196">
        <f>'GM CostSvcs'!C483*C1179/12</f>
        <v>0</v>
      </c>
      <c r="D1198" s="196">
        <f>'GM CostSvcs'!D483*D1179/12</f>
        <v>0</v>
      </c>
      <c r="E1198" s="196">
        <f>'GM CostSvcs'!F483*E1179/12</f>
        <v>0</v>
      </c>
      <c r="F1198" s="196">
        <f>'GM CostSvcs'!G483*F1179/12</f>
        <v>0</v>
      </c>
      <c r="G1198" s="196">
        <f>'GM CostSvcs'!H483*G1179/12</f>
        <v>0</v>
      </c>
      <c r="H1198" s="196">
        <f>'GM CostSvcs'!J483*H1179/12</f>
        <v>0</v>
      </c>
      <c r="I1198" s="196">
        <f>'GM CostSvcs'!K483*I1179/12</f>
        <v>0</v>
      </c>
      <c r="J1198" s="196">
        <f>'GM CostSvcs'!L483*J1179/12</f>
        <v>0</v>
      </c>
      <c r="K1198" s="196">
        <f>'GM CostSvcs'!N483*K1179/12</f>
        <v>0</v>
      </c>
      <c r="L1198" s="196">
        <f>'GM CostSvcs'!O483*L1179/12</f>
        <v>0</v>
      </c>
      <c r="M1198" s="196">
        <f>'GM CostSvcs'!P483*M1179/12</f>
        <v>0</v>
      </c>
      <c r="N1198" s="196">
        <f>'GM CostSvcs'!R483*N1179/12</f>
        <v>0</v>
      </c>
      <c r="O1198" s="196">
        <f>'GM CostSvcs'!S483*O1179/12</f>
        <v>0</v>
      </c>
      <c r="P1198" s="196">
        <f>'GM CostSvcs'!T483*P1179/12</f>
        <v>0</v>
      </c>
      <c r="Q1198" s="196">
        <f>'GM CostSvcs'!V483*Q1179/12</f>
        <v>0</v>
      </c>
      <c r="R1198" s="196">
        <f>'GM CostSvcs'!W483*R1179/12</f>
        <v>0</v>
      </c>
      <c r="S1198" s="267">
        <f>'GM CostSvcs'!X483*S1179/12</f>
        <v>0</v>
      </c>
    </row>
    <row r="1199" spans="1:19" ht="12.75" customHeight="1" x14ac:dyDescent="0.2">
      <c r="A1199" s="188" t="str">
        <f>"   "&amp;Labels!B386</f>
        <v xml:space="preserve">   Prof Level 2</v>
      </c>
      <c r="B1199" s="196">
        <f>'GM CostSvcs'!B484*B1180/12</f>
        <v>0</v>
      </c>
      <c r="C1199" s="196">
        <f>'GM CostSvcs'!C484*C1180/12</f>
        <v>0</v>
      </c>
      <c r="D1199" s="196">
        <f>'GM CostSvcs'!D484*D1180/12</f>
        <v>0</v>
      </c>
      <c r="E1199" s="196">
        <f>'GM CostSvcs'!F484*E1180/12</f>
        <v>0</v>
      </c>
      <c r="F1199" s="196">
        <f>'GM CostSvcs'!G484*F1180/12</f>
        <v>0</v>
      </c>
      <c r="G1199" s="196">
        <f>'GM CostSvcs'!H484*G1180/12</f>
        <v>0</v>
      </c>
      <c r="H1199" s="196">
        <f>'GM CostSvcs'!J484*H1180/12</f>
        <v>0</v>
      </c>
      <c r="I1199" s="196">
        <f>'GM CostSvcs'!K484*I1180/12</f>
        <v>0</v>
      </c>
      <c r="J1199" s="196">
        <f>'GM CostSvcs'!L484*J1180/12</f>
        <v>0</v>
      </c>
      <c r="K1199" s="196">
        <f>'GM CostSvcs'!N484*K1180/12</f>
        <v>0</v>
      </c>
      <c r="L1199" s="196">
        <f>'GM CostSvcs'!O484*L1180/12</f>
        <v>0</v>
      </c>
      <c r="M1199" s="196">
        <f>'GM CostSvcs'!P484*M1180/12</f>
        <v>0</v>
      </c>
      <c r="N1199" s="196">
        <f>'GM CostSvcs'!R484*N1180/12</f>
        <v>0</v>
      </c>
      <c r="O1199" s="196">
        <f>'GM CostSvcs'!S484*O1180/12</f>
        <v>0</v>
      </c>
      <c r="P1199" s="196">
        <f>'GM CostSvcs'!T484*P1180/12</f>
        <v>0</v>
      </c>
      <c r="Q1199" s="196">
        <f>'GM CostSvcs'!V484*Q1180/12</f>
        <v>0</v>
      </c>
      <c r="R1199" s="196">
        <f>'GM CostSvcs'!W484*R1180/12</f>
        <v>0</v>
      </c>
      <c r="S1199" s="267">
        <f>'GM CostSvcs'!X484*S1180/12</f>
        <v>0</v>
      </c>
    </row>
    <row r="1200" spans="1:19" ht="12.75" customHeight="1" x14ac:dyDescent="0.2">
      <c r="A1200" s="191" t="str">
        <f>"   "&amp;Labels!C384</f>
        <v xml:space="preserve">   Total</v>
      </c>
      <c r="B1200" s="192">
        <f t="shared" ref="B1200:S1200" si="629">SUM(B1198:B1199)</f>
        <v>0</v>
      </c>
      <c r="C1200" s="192">
        <f t="shared" si="629"/>
        <v>0</v>
      </c>
      <c r="D1200" s="192">
        <f t="shared" si="629"/>
        <v>0</v>
      </c>
      <c r="E1200" s="192">
        <f t="shared" si="629"/>
        <v>0</v>
      </c>
      <c r="F1200" s="192">
        <f t="shared" si="629"/>
        <v>0</v>
      </c>
      <c r="G1200" s="192">
        <f t="shared" si="629"/>
        <v>0</v>
      </c>
      <c r="H1200" s="192">
        <f t="shared" si="629"/>
        <v>0</v>
      </c>
      <c r="I1200" s="192">
        <f t="shared" si="629"/>
        <v>0</v>
      </c>
      <c r="J1200" s="192">
        <f t="shared" si="629"/>
        <v>0</v>
      </c>
      <c r="K1200" s="192">
        <f t="shared" si="629"/>
        <v>0</v>
      </c>
      <c r="L1200" s="192">
        <f t="shared" si="629"/>
        <v>0</v>
      </c>
      <c r="M1200" s="192">
        <f t="shared" si="629"/>
        <v>0</v>
      </c>
      <c r="N1200" s="192">
        <f t="shared" si="629"/>
        <v>0</v>
      </c>
      <c r="O1200" s="192">
        <f t="shared" si="629"/>
        <v>0</v>
      </c>
      <c r="P1200" s="192">
        <f t="shared" si="629"/>
        <v>0</v>
      </c>
      <c r="Q1200" s="192">
        <f t="shared" si="629"/>
        <v>0</v>
      </c>
      <c r="R1200" s="192">
        <f t="shared" si="629"/>
        <v>0</v>
      </c>
      <c r="S1200" s="280">
        <f t="shared" si="629"/>
        <v>0</v>
      </c>
    </row>
    <row r="1201" spans="1:19" ht="12.75" customHeight="1" x14ac:dyDescent="0.2">
      <c r="A1201" s="97" t="str">
        <f>Labels!C380</f>
        <v>Total</v>
      </c>
      <c r="B1201" s="194">
        <f t="shared" ref="B1201:S1201" si="630">SUM(B1196,B1200)</f>
        <v>0</v>
      </c>
      <c r="C1201" s="194">
        <f t="shared" si="630"/>
        <v>0</v>
      </c>
      <c r="D1201" s="194">
        <f t="shared" si="630"/>
        <v>0</v>
      </c>
      <c r="E1201" s="194">
        <f t="shared" si="630"/>
        <v>0</v>
      </c>
      <c r="F1201" s="194">
        <f t="shared" si="630"/>
        <v>0</v>
      </c>
      <c r="G1201" s="194">
        <f t="shared" si="630"/>
        <v>0</v>
      </c>
      <c r="H1201" s="194">
        <f t="shared" si="630"/>
        <v>16956.535782636001</v>
      </c>
      <c r="I1201" s="194">
        <f t="shared" si="630"/>
        <v>33996.710348559405</v>
      </c>
      <c r="J1201" s="194">
        <f t="shared" si="630"/>
        <v>0</v>
      </c>
      <c r="K1201" s="194">
        <f t="shared" si="630"/>
        <v>0</v>
      </c>
      <c r="L1201" s="194">
        <f t="shared" si="630"/>
        <v>0</v>
      </c>
      <c r="M1201" s="194">
        <f t="shared" si="630"/>
        <v>0</v>
      </c>
      <c r="N1201" s="194">
        <f t="shared" si="630"/>
        <v>0</v>
      </c>
      <c r="O1201" s="194">
        <f t="shared" si="630"/>
        <v>0</v>
      </c>
      <c r="P1201" s="194">
        <f t="shared" si="630"/>
        <v>0</v>
      </c>
      <c r="Q1201" s="194">
        <f t="shared" si="630"/>
        <v>0</v>
      </c>
      <c r="R1201" s="194">
        <f t="shared" si="630"/>
        <v>0</v>
      </c>
      <c r="S1201" s="351">
        <f t="shared" si="630"/>
        <v>0</v>
      </c>
    </row>
    <row r="1202" spans="1:19" ht="12.75" customHeight="1" x14ac:dyDescent="0.2">
      <c r="A1202" s="188" t="str">
        <f>"   "&amp;Labels!B385</f>
        <v xml:space="preserve">   Prof Level 1</v>
      </c>
      <c r="B1202" s="196">
        <f t="shared" ref="B1202:S1202" si="631">SUM(B1194,B1198)</f>
        <v>0</v>
      </c>
      <c r="C1202" s="196">
        <f t="shared" si="631"/>
        <v>0</v>
      </c>
      <c r="D1202" s="196">
        <f t="shared" si="631"/>
        <v>0</v>
      </c>
      <c r="E1202" s="196">
        <f t="shared" si="631"/>
        <v>0</v>
      </c>
      <c r="F1202" s="196">
        <f t="shared" si="631"/>
        <v>0</v>
      </c>
      <c r="G1202" s="196">
        <f t="shared" si="631"/>
        <v>0</v>
      </c>
      <c r="H1202" s="196">
        <f t="shared" si="631"/>
        <v>8478.2678913180007</v>
      </c>
      <c r="I1202" s="196">
        <f t="shared" si="631"/>
        <v>16998.355174279703</v>
      </c>
      <c r="J1202" s="196">
        <f t="shared" si="631"/>
        <v>0</v>
      </c>
      <c r="K1202" s="196">
        <f t="shared" si="631"/>
        <v>0</v>
      </c>
      <c r="L1202" s="196">
        <f t="shared" si="631"/>
        <v>0</v>
      </c>
      <c r="M1202" s="196">
        <f t="shared" si="631"/>
        <v>0</v>
      </c>
      <c r="N1202" s="196">
        <f t="shared" si="631"/>
        <v>0</v>
      </c>
      <c r="O1202" s="196">
        <f t="shared" si="631"/>
        <v>0</v>
      </c>
      <c r="P1202" s="196">
        <f t="shared" si="631"/>
        <v>0</v>
      </c>
      <c r="Q1202" s="196">
        <f t="shared" si="631"/>
        <v>0</v>
      </c>
      <c r="R1202" s="196">
        <f t="shared" si="631"/>
        <v>0</v>
      </c>
      <c r="S1202" s="267">
        <f t="shared" si="631"/>
        <v>0</v>
      </c>
    </row>
    <row r="1203" spans="1:19" ht="12.75" customHeight="1" x14ac:dyDescent="0.2">
      <c r="A1203" s="188" t="str">
        <f>"   "&amp;Labels!B386</f>
        <v xml:space="preserve">   Prof Level 2</v>
      </c>
      <c r="B1203" s="196">
        <f t="shared" ref="B1203:S1203" si="632">SUM(B1195,B1199)</f>
        <v>0</v>
      </c>
      <c r="C1203" s="196">
        <f t="shared" si="632"/>
        <v>0</v>
      </c>
      <c r="D1203" s="196">
        <f t="shared" si="632"/>
        <v>0</v>
      </c>
      <c r="E1203" s="196">
        <f t="shared" si="632"/>
        <v>0</v>
      </c>
      <c r="F1203" s="196">
        <f t="shared" si="632"/>
        <v>0</v>
      </c>
      <c r="G1203" s="196">
        <f t="shared" si="632"/>
        <v>0</v>
      </c>
      <c r="H1203" s="196">
        <f t="shared" si="632"/>
        <v>8478.2678913180007</v>
      </c>
      <c r="I1203" s="196">
        <f t="shared" si="632"/>
        <v>16998.355174279703</v>
      </c>
      <c r="J1203" s="196">
        <f t="shared" si="632"/>
        <v>0</v>
      </c>
      <c r="K1203" s="196">
        <f t="shared" si="632"/>
        <v>0</v>
      </c>
      <c r="L1203" s="196">
        <f t="shared" si="632"/>
        <v>0</v>
      </c>
      <c r="M1203" s="196">
        <f t="shared" si="632"/>
        <v>0</v>
      </c>
      <c r="N1203" s="196">
        <f t="shared" si="632"/>
        <v>0</v>
      </c>
      <c r="O1203" s="196">
        <f t="shared" si="632"/>
        <v>0</v>
      </c>
      <c r="P1203" s="196">
        <f t="shared" si="632"/>
        <v>0</v>
      </c>
      <c r="Q1203" s="196">
        <f t="shared" si="632"/>
        <v>0</v>
      </c>
      <c r="R1203" s="196">
        <f t="shared" si="632"/>
        <v>0</v>
      </c>
      <c r="S1203" s="267">
        <f t="shared" si="632"/>
        <v>0</v>
      </c>
    </row>
    <row r="1204" spans="1:19" ht="12.75" customHeight="1" x14ac:dyDescent="0.2">
      <c r="A1204" s="185" t="str">
        <f>"   "&amp;Labels!C384</f>
        <v xml:space="preserve">   Total</v>
      </c>
      <c r="B1204" s="176">
        <f t="shared" ref="B1204:S1204" si="633">SUM(B1196,B1200)</f>
        <v>0</v>
      </c>
      <c r="C1204" s="176">
        <f t="shared" si="633"/>
        <v>0</v>
      </c>
      <c r="D1204" s="176">
        <f t="shared" si="633"/>
        <v>0</v>
      </c>
      <c r="E1204" s="176">
        <f t="shared" si="633"/>
        <v>0</v>
      </c>
      <c r="F1204" s="176">
        <f t="shared" si="633"/>
        <v>0</v>
      </c>
      <c r="G1204" s="176">
        <f t="shared" si="633"/>
        <v>0</v>
      </c>
      <c r="H1204" s="176">
        <f t="shared" si="633"/>
        <v>16956.535782636001</v>
      </c>
      <c r="I1204" s="176">
        <f t="shared" si="633"/>
        <v>33996.710348559405</v>
      </c>
      <c r="J1204" s="176">
        <f t="shared" si="633"/>
        <v>0</v>
      </c>
      <c r="K1204" s="176">
        <f t="shared" si="633"/>
        <v>0</v>
      </c>
      <c r="L1204" s="176">
        <f t="shared" si="633"/>
        <v>0</v>
      </c>
      <c r="M1204" s="176">
        <f t="shared" si="633"/>
        <v>0</v>
      </c>
      <c r="N1204" s="176">
        <f t="shared" si="633"/>
        <v>0</v>
      </c>
      <c r="O1204" s="176">
        <f t="shared" si="633"/>
        <v>0</v>
      </c>
      <c r="P1204" s="176">
        <f t="shared" si="633"/>
        <v>0</v>
      </c>
      <c r="Q1204" s="176">
        <f t="shared" si="633"/>
        <v>0</v>
      </c>
      <c r="R1204" s="176">
        <f t="shared" si="633"/>
        <v>0</v>
      </c>
      <c r="S1204" s="268">
        <f t="shared" si="633"/>
        <v>0</v>
      </c>
    </row>
    <row r="1205" spans="1:19" ht="12.75" customHeight="1" x14ac:dyDescent="0.2">
      <c r="A1205" s="1" t="str">
        <f>Labels!B260</f>
        <v>Turnover % (Yr)</v>
      </c>
    </row>
    <row r="1206" spans="1:19" ht="12.75" customHeight="1" x14ac:dyDescent="0.2">
      <c r="B1206" s="9" t="str">
        <f>Labels!B321</f>
        <v>Marketing</v>
      </c>
      <c r="C1206" s="10" t="str">
        <f>Labels!B322</f>
        <v>Sales</v>
      </c>
      <c r="D1206" s="181" t="str">
        <f>Labels!C320</f>
        <v>Total</v>
      </c>
    </row>
    <row r="1207" spans="1:19" ht="12.75" customHeight="1" x14ac:dyDescent="0.2">
      <c r="A1207" s="182" t="str">
        <f>Labels!B393</f>
        <v>Manager</v>
      </c>
      <c r="B1207" s="370">
        <f>Inputs!F265</f>
        <v>0</v>
      </c>
      <c r="C1207" s="370">
        <f>Inputs!F267</f>
        <v>0</v>
      </c>
      <c r="D1207" s="405">
        <f>IF('Sup Staff'!X31=0,0,'Sup Staff'!X45*12/'Sup Staff'!X31)</f>
        <v>0</v>
      </c>
    </row>
    <row r="1208" spans="1:19" ht="12.75" customHeight="1" x14ac:dyDescent="0.2">
      <c r="A1208" s="191" t="str">
        <f>Labels!B394</f>
        <v>Contributor</v>
      </c>
      <c r="B1208" s="300">
        <f>Inputs!F266</f>
        <v>0</v>
      </c>
      <c r="C1208" s="300">
        <f>Inputs!F268</f>
        <v>0</v>
      </c>
      <c r="D1208" s="301">
        <f>IF('Sup Staff'!X32=0,0,'Sup Staff'!X46*12/'Sup Staff'!X32)</f>
        <v>0</v>
      </c>
    </row>
    <row r="1209" spans="1:19" ht="12.75" customHeight="1" x14ac:dyDescent="0.2">
      <c r="A1209" s="97" t="str">
        <f>Labels!C392</f>
        <v>Total</v>
      </c>
      <c r="B1209" s="387">
        <f>IF('Sup Staff'!X8=0,0,'Sup Staff'!X39*12/'Sup Staff'!X8)</f>
        <v>0</v>
      </c>
      <c r="C1209" s="387">
        <f>IF('Sup Staff'!X9=0,0,'Sup Staff'!X43*12/'Sup Staff'!X9)</f>
        <v>0</v>
      </c>
      <c r="D1209" s="406">
        <f>IF('Sup Staff'!X10=0,0,'Sup Staff'!X44*12/'Sup Staff'!X10)</f>
        <v>0</v>
      </c>
    </row>
    <row r="1210" spans="1:19" ht="12.75" customHeight="1" x14ac:dyDescent="0.2">
      <c r="A1210" s="1" t="str">
        <f>Labels!B253</f>
        <v>Support Staff Count1</v>
      </c>
    </row>
    <row r="1211" spans="1:19" ht="12.75" customHeight="1" x14ac:dyDescent="0.2">
      <c r="B1211" s="9" t="str">
        <f>'(FnCalls 1)'!F41</f>
        <v>MMM 2010</v>
      </c>
      <c r="C1211" s="10" t="str">
        <f>'(FnCalls 1)'!F42</f>
        <v>MMM 2010</v>
      </c>
      <c r="D1211" s="10" t="str">
        <f>'(FnCalls 1)'!F43</f>
        <v>MMM 2010</v>
      </c>
      <c r="E1211" s="10" t="str">
        <f>'(FnCalls 1)'!F44</f>
        <v>MMM 2010</v>
      </c>
      <c r="F1211" s="10" t="str">
        <f>'(FnCalls 1)'!F45</f>
        <v>MMM 2010</v>
      </c>
      <c r="G1211" s="10" t="str">
        <f>'(FnCalls 1)'!F46</f>
        <v>MMM 2010</v>
      </c>
      <c r="H1211" s="10" t="str">
        <f>'(FnCalls 1)'!F47</f>
        <v>MMM 2010</v>
      </c>
      <c r="I1211" s="10" t="str">
        <f>'(FnCalls 1)'!F48</f>
        <v>MMM 2010</v>
      </c>
      <c r="J1211" s="10" t="str">
        <f>'(FnCalls 1)'!F49</f>
        <v>MMM 2010</v>
      </c>
      <c r="K1211" s="10" t="str">
        <f>'(FnCalls 1)'!F50</f>
        <v>MMM 2010</v>
      </c>
      <c r="L1211" s="10" t="str">
        <f>'(FnCalls 1)'!F51</f>
        <v>MMM 2010</v>
      </c>
      <c r="M1211" s="10" t="str">
        <f>'(FnCalls 1)'!F52</f>
        <v>MMM 2010</v>
      </c>
      <c r="N1211" s="10" t="str">
        <f>'(FnCalls 1)'!F53</f>
        <v>MMM 2011</v>
      </c>
      <c r="O1211" s="10" t="str">
        <f>'(FnCalls 1)'!F54</f>
        <v>MMM 2011</v>
      </c>
      <c r="P1211" s="10" t="str">
        <f>'(FnCalls 1)'!F55</f>
        <v>MMM 2011</v>
      </c>
      <c r="Q1211" s="10" t="str">
        <f>'(FnCalls 1)'!F56</f>
        <v>MMM 2011</v>
      </c>
      <c r="R1211" s="10" t="str">
        <f>'(FnCalls 1)'!F57</f>
        <v>MMM 2011</v>
      </c>
      <c r="S1211" s="11" t="str">
        <f>'(FnCalls 1)'!F58</f>
        <v>MMM 2011</v>
      </c>
    </row>
    <row r="1212" spans="1:19" ht="12.75" customHeight="1" x14ac:dyDescent="0.2">
      <c r="A1212" s="182" t="str">
        <f>Labels!B321</f>
        <v>Marketing</v>
      </c>
      <c r="B1212" s="223"/>
      <c r="C1212" s="223"/>
      <c r="D1212" s="223"/>
      <c r="E1212" s="223"/>
      <c r="F1212" s="223"/>
      <c r="G1212" s="223"/>
      <c r="H1212" s="223"/>
      <c r="I1212" s="223"/>
      <c r="J1212" s="223"/>
      <c r="K1212" s="223"/>
      <c r="L1212" s="223"/>
      <c r="M1212" s="223"/>
      <c r="N1212" s="223"/>
      <c r="O1212" s="223"/>
      <c r="P1212" s="223"/>
      <c r="Q1212" s="223"/>
      <c r="R1212" s="223"/>
      <c r="S1212" s="284"/>
    </row>
    <row r="1213" spans="1:19" ht="12.75" customHeight="1" x14ac:dyDescent="0.2">
      <c r="A1213" s="188" t="str">
        <f>"   "&amp;Labels!B393</f>
        <v xml:space="preserve">   Manager</v>
      </c>
      <c r="B1213" s="166">
        <f>IF(C12&lt;=Inputs!AB202/12+0.001,B1001,IF(C12&lt;=(1+Inputs!AB202)/12+0.001,0.5*(B1001+C1213),Inputs!AB197+Inputs!AC197*(12*IncStmt!B6/1000000)^Inputs!AD197))</f>
        <v>0</v>
      </c>
      <c r="C1213" s="166">
        <f>IF(D12&lt;=Inputs!AB202/12+0.001,C1001,IF(D12&lt;=(1+Inputs!AB202)/12+0.001,0.5*(B1001+D1213),Inputs!AB197+Inputs!AC197*(12*IncStmt!C6/1000000)^Inputs!AD197))</f>
        <v>0</v>
      </c>
      <c r="D1213" s="166">
        <f>IF(E12&lt;=Inputs!AB202/12+0.001,D1001,IF(E12&lt;=(1+Inputs!AB202)/12+0.001,0.5*(C1001+E1213),Inputs!AB197+Inputs!AC197*(12*IncStmt!D6/1000000)^Inputs!AD197))</f>
        <v>0</v>
      </c>
      <c r="E1213" s="166">
        <f>IF(F12&lt;=Inputs!AB202/12+0.001,E1001,IF(F12&lt;=(1+Inputs!AB202)/12+0.001,0.5*(D1001+F1213),Inputs!AB197+Inputs!AC197*(12*IncStmt!F6/1000000)^Inputs!AD197))</f>
        <v>0</v>
      </c>
      <c r="F1213" s="166">
        <f>IF(G12&lt;=Inputs!AB202/12+0.001,F1001,IF(G12&lt;=(1+Inputs!AB202)/12+0.001,0.5*(E1001+G1213),Inputs!AB197+Inputs!AC197*(12*IncStmt!G6/1000000)^Inputs!AD197))</f>
        <v>0</v>
      </c>
      <c r="G1213" s="166">
        <f>IF(H12&lt;=Inputs!AB202/12+0.001,G1001,IF(H12&lt;=(1+Inputs!AB202)/12+0.001,0.5*(F1001+H1213),Inputs!AB197+Inputs!AC197*(12*IncStmt!H6/1000000)^Inputs!AD197))</f>
        <v>0</v>
      </c>
      <c r="H1213" s="166">
        <f>IF(I12&lt;=Inputs!AB202/12+0.001,H1001,IF(I12&lt;=(1+Inputs!AB202)/12+0.001,0.5*(G1001+I1213),Inputs!AB197+Inputs!AC197*(12*IncStmt!J6/1000000)^Inputs!AD197))</f>
        <v>0</v>
      </c>
      <c r="I1213" s="166">
        <f>IF(J12&lt;=Inputs!AB202/12+0.001,I1001,IF(J12&lt;=(1+Inputs!AB202)/12+0.001,0.5*(H1001+J1213),Inputs!AB197+Inputs!AC197*(12*IncStmt!K6/1000000)^Inputs!AD197))</f>
        <v>0</v>
      </c>
      <c r="J1213" s="166">
        <f>IF(K12&lt;=Inputs!AB202/12+0.001,J1001,IF(K12&lt;=(1+Inputs!AB202)/12+0.001,0.5*(I1001+K1213),Inputs!AB197+Inputs!AC197*(12*IncStmt!L6/1000000)^Inputs!AD197))</f>
        <v>0</v>
      </c>
      <c r="K1213" s="166">
        <f>IF(L12&lt;=Inputs!AB202/12+0.001,K1001,IF(L12&lt;=(1+Inputs!AB202)/12+0.001,0.5*(J1001+L1213),Inputs!AB197+Inputs!AC197*(12*IncStmt!N6/1000000)^Inputs!AD197))</f>
        <v>0</v>
      </c>
      <c r="L1213" s="166">
        <f>IF(M12&lt;=Inputs!AB202/12+0.001,L1001,IF(M12&lt;=(1+Inputs!AB202)/12+0.001,0.5*(K1001+M1213),Inputs!AB197+Inputs!AC197*(12*IncStmt!O6/1000000)^Inputs!AD197))</f>
        <v>0</v>
      </c>
      <c r="M1213" s="166">
        <f>IF(N12&lt;=Inputs!AB202/12+0.001,M1001,IF(N12&lt;=(1+Inputs!AB202)/12+0.001,0.5*(L1001+N1213),Inputs!AB197+Inputs!AC197*(12*IncStmt!P6/1000000)^Inputs!AD197))</f>
        <v>0</v>
      </c>
      <c r="N1213" s="166">
        <f>IF(O12&lt;=Inputs!AB202/12+0.001,N1001,IF(O12&lt;=(1+Inputs!AB202)/12+0.001,0.5*(M1001+O1213),Inputs!AB197+Inputs!AC197*(12*IncStmt!R6/1000000)^Inputs!AD197))</f>
        <v>0</v>
      </c>
      <c r="O1213" s="166">
        <f>IF(P12&lt;=Inputs!AB202/12+0.001,O1001,IF(P12&lt;=(1+Inputs!AB202)/12+0.001,0.5*(N1001+P1213),Inputs!AB197+Inputs!AC197*(12*IncStmt!S6/1000000)^Inputs!AD197))</f>
        <v>0</v>
      </c>
      <c r="P1213" s="166">
        <f>IF(Q12&lt;=Inputs!AB202/12+0.001,P1001,IF(Q12&lt;=(1+Inputs!AB202)/12+0.001,0.5*(O1001+Q1213),Inputs!AB197+Inputs!AC197*(12*IncStmt!T6/1000000)^Inputs!AD197))</f>
        <v>0</v>
      </c>
      <c r="Q1213" s="166">
        <f>IF(R12&lt;=Inputs!AB202/12+0.001,Q1001,IF(R12&lt;=(1+Inputs!AB202)/12+0.001,0.5*(P1001+R1213),Inputs!AB197+Inputs!AC197*(12*IncStmt!V6/1000000)^Inputs!AD197))</f>
        <v>0</v>
      </c>
      <c r="R1213" s="166">
        <f>IF(S12&lt;=Inputs!AB202/12+0.001,R1001,IF(S12&lt;=(1+Inputs!AB202)/12+0.001,0.5*(Q1001+S1213),Inputs!AB197+Inputs!AC197*(12*IncStmt!W6/1000000)^Inputs!AD197))</f>
        <v>0</v>
      </c>
      <c r="S1213" s="285">
        <f>IF(T12&lt;=Inputs!AB202/12+0.001,S1001,IF(T12&lt;=(1+Inputs!AB202)/12+0.001,0.5*(R1001+S1001),Inputs!AB197+Inputs!AC197*(12*IncStmt!X6/1000000)^Inputs!AD197))</f>
        <v>0</v>
      </c>
    </row>
    <row r="1214" spans="1:19" ht="12.75" customHeight="1" x14ac:dyDescent="0.2">
      <c r="A1214" s="188" t="str">
        <f>"   "&amp;Labels!B394</f>
        <v xml:space="preserve">   Contributor</v>
      </c>
      <c r="B1214" s="166">
        <f>IF(C12&lt;=Inputs!AB202/12+0.001,B1002,IF(C12&lt;=(1+Inputs!AB202)/12+0.001,0.5*(B1002+C1214),Inputs!AB198+Inputs!AC198*(12*IncStmt!B6/1000000)^Inputs!AD198))</f>
        <v>0</v>
      </c>
      <c r="C1214" s="166">
        <f>IF(D12&lt;=Inputs!AB202/12+0.001,C1002,IF(D12&lt;=(1+Inputs!AB202)/12+0.001,0.5*(B1002+D1214),Inputs!AB198+Inputs!AC198*(12*IncStmt!C6/1000000)^Inputs!AD198))</f>
        <v>0</v>
      </c>
      <c r="D1214" s="166">
        <f>IF(E12&lt;=Inputs!AB202/12+0.001,D1002,IF(E12&lt;=(1+Inputs!AB202)/12+0.001,0.5*(C1002+E1214),Inputs!AB198+Inputs!AC198*(12*IncStmt!D6/1000000)^Inputs!AD198))</f>
        <v>0</v>
      </c>
      <c r="E1214" s="166">
        <f>IF(F12&lt;=Inputs!AB202/12+0.001,E1002,IF(F12&lt;=(1+Inputs!AB202)/12+0.001,0.5*(D1002+F1214),Inputs!AB198+Inputs!AC198*(12*IncStmt!F6/1000000)^Inputs!AD198))</f>
        <v>0</v>
      </c>
      <c r="F1214" s="166">
        <f>IF(G12&lt;=Inputs!AB202/12+0.001,F1002,IF(G12&lt;=(1+Inputs!AB202)/12+0.001,0.5*(E1002+G1214),Inputs!AB198+Inputs!AC198*(12*IncStmt!G6/1000000)^Inputs!AD198))</f>
        <v>0</v>
      </c>
      <c r="G1214" s="166">
        <f>IF(H12&lt;=Inputs!AB202/12+0.001,G1002,IF(H12&lt;=(1+Inputs!AB202)/12+0.001,0.5*(F1002+H1214),Inputs!AB198+Inputs!AC198*(12*IncStmt!H6/1000000)^Inputs!AD198))</f>
        <v>0</v>
      </c>
      <c r="H1214" s="166">
        <f>IF(I12&lt;=Inputs!AB202/12+0.001,H1002,IF(I12&lt;=(1+Inputs!AB202)/12+0.001,0.5*(G1002+I1214),Inputs!AB198+Inputs!AC198*(12*IncStmt!J6/1000000)^Inputs!AD198))</f>
        <v>0</v>
      </c>
      <c r="I1214" s="166">
        <f>IF(J12&lt;=Inputs!AB202/12+0.001,I1002,IF(J12&lt;=(1+Inputs!AB202)/12+0.001,0.5*(H1002+J1214),Inputs!AB198+Inputs!AC198*(12*IncStmt!K6/1000000)^Inputs!AD198))</f>
        <v>0</v>
      </c>
      <c r="J1214" s="166">
        <f>IF(K12&lt;=Inputs!AB202/12+0.001,J1002,IF(K12&lt;=(1+Inputs!AB202)/12+0.001,0.5*(I1002+K1214),Inputs!AB198+Inputs!AC198*(12*IncStmt!L6/1000000)^Inputs!AD198))</f>
        <v>0</v>
      </c>
      <c r="K1214" s="166">
        <f>IF(L12&lt;=Inputs!AB202/12+0.001,K1002,IF(L12&lt;=(1+Inputs!AB202)/12+0.001,0.5*(J1002+L1214),Inputs!AB198+Inputs!AC198*(12*IncStmt!N6/1000000)^Inputs!AD198))</f>
        <v>0</v>
      </c>
      <c r="L1214" s="166">
        <f>IF(M12&lt;=Inputs!AB202/12+0.001,L1002,IF(M12&lt;=(1+Inputs!AB202)/12+0.001,0.5*(K1002+M1214),Inputs!AB198+Inputs!AC198*(12*IncStmt!O6/1000000)^Inputs!AD198))</f>
        <v>0</v>
      </c>
      <c r="M1214" s="166">
        <f>IF(N12&lt;=Inputs!AB202/12+0.001,M1002,IF(N12&lt;=(1+Inputs!AB202)/12+0.001,0.5*(L1002+N1214),Inputs!AB198+Inputs!AC198*(12*IncStmt!P6/1000000)^Inputs!AD198))</f>
        <v>0</v>
      </c>
      <c r="N1214" s="166">
        <f>IF(O12&lt;=Inputs!AB202/12+0.001,N1002,IF(O12&lt;=(1+Inputs!AB202)/12+0.001,0.5*(M1002+O1214),Inputs!AB198+Inputs!AC198*(12*IncStmt!R6/1000000)^Inputs!AD198))</f>
        <v>0</v>
      </c>
      <c r="O1214" s="166">
        <f>IF(P12&lt;=Inputs!AB202/12+0.001,O1002,IF(P12&lt;=(1+Inputs!AB202)/12+0.001,0.5*(N1002+P1214),Inputs!AB198+Inputs!AC198*(12*IncStmt!S6/1000000)^Inputs!AD198))</f>
        <v>0</v>
      </c>
      <c r="P1214" s="166">
        <f>IF(Q12&lt;=Inputs!AB202/12+0.001,P1002,IF(Q12&lt;=(1+Inputs!AB202)/12+0.001,0.5*(O1002+Q1214),Inputs!AB198+Inputs!AC198*(12*IncStmt!T6/1000000)^Inputs!AD198))</f>
        <v>0</v>
      </c>
      <c r="Q1214" s="166">
        <f>IF(R12&lt;=Inputs!AB202/12+0.001,Q1002,IF(R12&lt;=(1+Inputs!AB202)/12+0.001,0.5*(P1002+R1214),Inputs!AB198+Inputs!AC198*(12*IncStmt!V6/1000000)^Inputs!AD198))</f>
        <v>0</v>
      </c>
      <c r="R1214" s="166">
        <f>IF(S12&lt;=Inputs!AB202/12+0.001,R1002,IF(S12&lt;=(1+Inputs!AB202)/12+0.001,0.5*(Q1002+S1214),Inputs!AB198+Inputs!AC198*(12*IncStmt!W6/1000000)^Inputs!AD198))</f>
        <v>0</v>
      </c>
      <c r="S1214" s="285">
        <f>IF(T12&lt;=Inputs!AB202/12+0.001,S1002,IF(T12&lt;=(1+Inputs!AB202)/12+0.001,0.5*(R1002+S1002),Inputs!AB198+Inputs!AC198*(12*IncStmt!X6/1000000)^Inputs!AD198))</f>
        <v>0</v>
      </c>
    </row>
    <row r="1215" spans="1:19" ht="12.75" customHeight="1" x14ac:dyDescent="0.2">
      <c r="A1215" s="191" t="str">
        <f>"   "&amp;Labels!C392</f>
        <v xml:space="preserve">   Total</v>
      </c>
      <c r="B1215" s="216">
        <f t="shared" ref="B1215:S1215" si="634">SUM(B1213:B1214)</f>
        <v>0</v>
      </c>
      <c r="C1215" s="216">
        <f t="shared" si="634"/>
        <v>0</v>
      </c>
      <c r="D1215" s="216">
        <f t="shared" si="634"/>
        <v>0</v>
      </c>
      <c r="E1215" s="216">
        <f t="shared" si="634"/>
        <v>0</v>
      </c>
      <c r="F1215" s="216">
        <f t="shared" si="634"/>
        <v>0</v>
      </c>
      <c r="G1215" s="216">
        <f t="shared" si="634"/>
        <v>0</v>
      </c>
      <c r="H1215" s="216">
        <f t="shared" si="634"/>
        <v>0</v>
      </c>
      <c r="I1215" s="216">
        <f t="shared" si="634"/>
        <v>0</v>
      </c>
      <c r="J1215" s="216">
        <f t="shared" si="634"/>
        <v>0</v>
      </c>
      <c r="K1215" s="216">
        <f t="shared" si="634"/>
        <v>0</v>
      </c>
      <c r="L1215" s="216">
        <f t="shared" si="634"/>
        <v>0</v>
      </c>
      <c r="M1215" s="216">
        <f t="shared" si="634"/>
        <v>0</v>
      </c>
      <c r="N1215" s="216">
        <f t="shared" si="634"/>
        <v>0</v>
      </c>
      <c r="O1215" s="216">
        <f t="shared" si="634"/>
        <v>0</v>
      </c>
      <c r="P1215" s="216">
        <f t="shared" si="634"/>
        <v>0</v>
      </c>
      <c r="Q1215" s="216">
        <f t="shared" si="634"/>
        <v>0</v>
      </c>
      <c r="R1215" s="216">
        <f t="shared" si="634"/>
        <v>0</v>
      </c>
      <c r="S1215" s="287">
        <f t="shared" si="634"/>
        <v>0</v>
      </c>
    </row>
    <row r="1216" spans="1:19" ht="12.75" customHeight="1" x14ac:dyDescent="0.2">
      <c r="A1216" s="191" t="str">
        <f>Labels!B322</f>
        <v>Sales</v>
      </c>
      <c r="B1216" s="216"/>
      <c r="C1216" s="216"/>
      <c r="D1216" s="216"/>
      <c r="E1216" s="216"/>
      <c r="F1216" s="216"/>
      <c r="G1216" s="216"/>
      <c r="H1216" s="216"/>
      <c r="I1216" s="216"/>
      <c r="J1216" s="216"/>
      <c r="K1216" s="216"/>
      <c r="L1216" s="216"/>
      <c r="M1216" s="216"/>
      <c r="N1216" s="216"/>
      <c r="O1216" s="216"/>
      <c r="P1216" s="216"/>
      <c r="Q1216" s="216"/>
      <c r="R1216" s="216"/>
      <c r="S1216" s="287"/>
    </row>
    <row r="1217" spans="1:19" ht="12.75" customHeight="1" x14ac:dyDescent="0.2">
      <c r="A1217" s="188" t="str">
        <f>"   "&amp;Labels!B393</f>
        <v xml:space="preserve">   Manager</v>
      </c>
      <c r="B1217" s="166">
        <f>IF(C12&lt;=Inputs!AB202/12+0.001,B1005,IF(C12&lt;=(1+Inputs!AB202)/12+0.001,0.5*(B1005+C1217),Inputs!AB199+Inputs!AC199*(12*IncStmt!B6/1000000)^Inputs!AD199))</f>
        <v>0</v>
      </c>
      <c r="C1217" s="166">
        <f>IF(D12&lt;=Inputs!AB202/12+0.001,C1005,IF(D12&lt;=(1+Inputs!AB202)/12+0.001,0.5*(B1005+D1217),Inputs!AB199+Inputs!AC199*(12*IncStmt!C6/1000000)^Inputs!AD199))</f>
        <v>0</v>
      </c>
      <c r="D1217" s="166">
        <f>IF(E12&lt;=Inputs!AB202/12+0.001,D1005,IF(E12&lt;=(1+Inputs!AB202)/12+0.001,0.5*(C1005+E1217),Inputs!AB199+Inputs!AC199*(12*IncStmt!D6/1000000)^Inputs!AD199))</f>
        <v>0</v>
      </c>
      <c r="E1217" s="166">
        <f>IF(F12&lt;=Inputs!AB202/12+0.001,E1005,IF(F12&lt;=(1+Inputs!AB202)/12+0.001,0.5*(D1005+F1217),Inputs!AB199+Inputs!AC199*(12*IncStmt!F6/1000000)^Inputs!AD199))</f>
        <v>0</v>
      </c>
      <c r="F1217" s="166">
        <f>IF(G12&lt;=Inputs!AB202/12+0.001,F1005,IF(G12&lt;=(1+Inputs!AB202)/12+0.001,0.5*(E1005+G1217),Inputs!AB199+Inputs!AC199*(12*IncStmt!G6/1000000)^Inputs!AD199))</f>
        <v>0</v>
      </c>
      <c r="G1217" s="166">
        <f>IF(H12&lt;=Inputs!AB202/12+0.001,G1005,IF(H12&lt;=(1+Inputs!AB202)/12+0.001,0.5*(F1005+H1217),Inputs!AB199+Inputs!AC199*(12*IncStmt!H6/1000000)^Inputs!AD199))</f>
        <v>0</v>
      </c>
      <c r="H1217" s="166">
        <f>IF(I12&lt;=Inputs!AB202/12+0.001,H1005,IF(I12&lt;=(1+Inputs!AB202)/12+0.001,0.5*(G1005+I1217),Inputs!AB199+Inputs!AC199*(12*IncStmt!J6/1000000)^Inputs!AD199))</f>
        <v>0</v>
      </c>
      <c r="I1217" s="166">
        <f>IF(J12&lt;=Inputs!AB202/12+0.001,I1005,IF(J12&lt;=(1+Inputs!AB202)/12+0.001,0.5*(H1005+J1217),Inputs!AB199+Inputs!AC199*(12*IncStmt!K6/1000000)^Inputs!AD199))</f>
        <v>0</v>
      </c>
      <c r="J1217" s="166">
        <f>IF(K12&lt;=Inputs!AB202/12+0.001,J1005,IF(K12&lt;=(1+Inputs!AB202)/12+0.001,0.5*(I1005+K1217),Inputs!AB199+Inputs!AC199*(12*IncStmt!L6/1000000)^Inputs!AD199))</f>
        <v>0</v>
      </c>
      <c r="K1217" s="166">
        <f>IF(L12&lt;=Inputs!AB202/12+0.001,K1005,IF(L12&lt;=(1+Inputs!AB202)/12+0.001,0.5*(J1005+L1217),Inputs!AB199+Inputs!AC199*(12*IncStmt!N6/1000000)^Inputs!AD199))</f>
        <v>0</v>
      </c>
      <c r="L1217" s="166">
        <f>IF(M12&lt;=Inputs!AB202/12+0.001,L1005,IF(M12&lt;=(1+Inputs!AB202)/12+0.001,0.5*(K1005+M1217),Inputs!AB199+Inputs!AC199*(12*IncStmt!O6/1000000)^Inputs!AD199))</f>
        <v>0</v>
      </c>
      <c r="M1217" s="166">
        <f>IF(N12&lt;=Inputs!AB202/12+0.001,M1005,IF(N12&lt;=(1+Inputs!AB202)/12+0.001,0.5*(L1005+N1217),Inputs!AB199+Inputs!AC199*(12*IncStmt!P6/1000000)^Inputs!AD199))</f>
        <v>0</v>
      </c>
      <c r="N1217" s="166">
        <f>IF(O12&lt;=Inputs!AB202/12+0.001,N1005,IF(O12&lt;=(1+Inputs!AB202)/12+0.001,0.5*(M1005+O1217),Inputs!AB199+Inputs!AC199*(12*IncStmt!R6/1000000)^Inputs!AD199))</f>
        <v>0</v>
      </c>
      <c r="O1217" s="166">
        <f>IF(P12&lt;=Inputs!AB202/12+0.001,O1005,IF(P12&lt;=(1+Inputs!AB202)/12+0.001,0.5*(N1005+P1217),Inputs!AB199+Inputs!AC199*(12*IncStmt!S6/1000000)^Inputs!AD199))</f>
        <v>0</v>
      </c>
      <c r="P1217" s="166">
        <f>IF(Q12&lt;=Inputs!AB202/12+0.001,P1005,IF(Q12&lt;=(1+Inputs!AB202)/12+0.001,0.5*(O1005+Q1217),Inputs!AB199+Inputs!AC199*(12*IncStmt!T6/1000000)^Inputs!AD199))</f>
        <v>0</v>
      </c>
      <c r="Q1217" s="166">
        <f>IF(R12&lt;=Inputs!AB202/12+0.001,Q1005,IF(R12&lt;=(1+Inputs!AB202)/12+0.001,0.5*(P1005+R1217),Inputs!AB199+Inputs!AC199*(12*IncStmt!V6/1000000)^Inputs!AD199))</f>
        <v>0</v>
      </c>
      <c r="R1217" s="166">
        <f>IF(S12&lt;=Inputs!AB202/12+0.001,R1005,IF(S12&lt;=(1+Inputs!AB202)/12+0.001,0.5*(Q1005+S1217),Inputs!AB199+Inputs!AC199*(12*IncStmt!W6/1000000)^Inputs!AD199))</f>
        <v>0</v>
      </c>
      <c r="S1217" s="285">
        <f>IF(T12&lt;=Inputs!AB202/12+0.001,S1005,IF(T12&lt;=(1+Inputs!AB202)/12+0.001,0.5*(R1005+S1005),Inputs!AB199+Inputs!AC199*(12*IncStmt!X6/1000000)^Inputs!AD199))</f>
        <v>0</v>
      </c>
    </row>
    <row r="1218" spans="1:19" ht="12.75" customHeight="1" x14ac:dyDescent="0.2">
      <c r="A1218" s="188" t="str">
        <f>"   "&amp;Labels!B394</f>
        <v xml:space="preserve">   Contributor</v>
      </c>
      <c r="B1218" s="166">
        <f>IF(C12&lt;=Inputs!AB202/12+0.001,B1006,IF(C12&lt;=(1+Inputs!AB202)/12+0.001,0.5*(B1006+C1218),Inputs!AB200+Inputs!AC200*(12*IncStmt!B6/1000000)^Inputs!AD200))</f>
        <v>0</v>
      </c>
      <c r="C1218" s="166">
        <f>IF(D12&lt;=Inputs!AB202/12+0.001,C1006,IF(D12&lt;=(1+Inputs!AB202)/12+0.001,0.5*(B1006+D1218),Inputs!AB200+Inputs!AC200*(12*IncStmt!C6/1000000)^Inputs!AD200))</f>
        <v>0</v>
      </c>
      <c r="D1218" s="166">
        <f>IF(E12&lt;=Inputs!AB202/12+0.001,D1006,IF(E12&lt;=(1+Inputs!AB202)/12+0.001,0.5*(C1006+E1218),Inputs!AB200+Inputs!AC200*(12*IncStmt!D6/1000000)^Inputs!AD200))</f>
        <v>0</v>
      </c>
      <c r="E1218" s="166">
        <f>IF(F12&lt;=Inputs!AB202/12+0.001,E1006,IF(F12&lt;=(1+Inputs!AB202)/12+0.001,0.5*(D1006+F1218),Inputs!AB200+Inputs!AC200*(12*IncStmt!F6/1000000)^Inputs!AD200))</f>
        <v>0</v>
      </c>
      <c r="F1218" s="166">
        <f>IF(G12&lt;=Inputs!AB202/12+0.001,F1006,IF(G12&lt;=(1+Inputs!AB202)/12+0.001,0.5*(E1006+G1218),Inputs!AB200+Inputs!AC200*(12*IncStmt!G6/1000000)^Inputs!AD200))</f>
        <v>0</v>
      </c>
      <c r="G1218" s="166">
        <f>IF(H12&lt;=Inputs!AB202/12+0.001,G1006,IF(H12&lt;=(1+Inputs!AB202)/12+0.001,0.5*(F1006+H1218),Inputs!AB200+Inputs!AC200*(12*IncStmt!H6/1000000)^Inputs!AD200))</f>
        <v>0</v>
      </c>
      <c r="H1218" s="166">
        <f>IF(I12&lt;=Inputs!AB202/12+0.001,H1006,IF(I12&lt;=(1+Inputs!AB202)/12+0.001,0.5*(G1006+I1218),Inputs!AB200+Inputs!AC200*(12*IncStmt!J6/1000000)^Inputs!AD200))</f>
        <v>0</v>
      </c>
      <c r="I1218" s="166">
        <f>IF(J12&lt;=Inputs!AB202/12+0.001,I1006,IF(J12&lt;=(1+Inputs!AB202)/12+0.001,0.5*(H1006+J1218),Inputs!AB200+Inputs!AC200*(12*IncStmt!K6/1000000)^Inputs!AD200))</f>
        <v>0</v>
      </c>
      <c r="J1218" s="166">
        <f>IF(K12&lt;=Inputs!AB202/12+0.001,J1006,IF(K12&lt;=(1+Inputs!AB202)/12+0.001,0.5*(I1006+K1218),Inputs!AB200+Inputs!AC200*(12*IncStmt!L6/1000000)^Inputs!AD200))</f>
        <v>0</v>
      </c>
      <c r="K1218" s="166">
        <f>IF(L12&lt;=Inputs!AB202/12+0.001,K1006,IF(L12&lt;=(1+Inputs!AB202)/12+0.001,0.5*(J1006+L1218),Inputs!AB200+Inputs!AC200*(12*IncStmt!N6/1000000)^Inputs!AD200))</f>
        <v>0</v>
      </c>
      <c r="L1218" s="166">
        <f>IF(M12&lt;=Inputs!AB202/12+0.001,L1006,IF(M12&lt;=(1+Inputs!AB202)/12+0.001,0.5*(K1006+M1218),Inputs!AB200+Inputs!AC200*(12*IncStmt!O6/1000000)^Inputs!AD200))</f>
        <v>0</v>
      </c>
      <c r="M1218" s="166">
        <f>IF(N12&lt;=Inputs!AB202/12+0.001,M1006,IF(N12&lt;=(1+Inputs!AB202)/12+0.001,0.5*(L1006+N1218),Inputs!AB200+Inputs!AC200*(12*IncStmt!P6/1000000)^Inputs!AD200))</f>
        <v>0</v>
      </c>
      <c r="N1218" s="166">
        <f>IF(O12&lt;=Inputs!AB202/12+0.001,N1006,IF(O12&lt;=(1+Inputs!AB202)/12+0.001,0.5*(M1006+O1218),Inputs!AB200+Inputs!AC200*(12*IncStmt!R6/1000000)^Inputs!AD200))</f>
        <v>0</v>
      </c>
      <c r="O1218" s="166">
        <f>IF(P12&lt;=Inputs!AB202/12+0.001,O1006,IF(P12&lt;=(1+Inputs!AB202)/12+0.001,0.5*(N1006+P1218),Inputs!AB200+Inputs!AC200*(12*IncStmt!S6/1000000)^Inputs!AD200))</f>
        <v>0</v>
      </c>
      <c r="P1218" s="166">
        <f>IF(Q12&lt;=Inputs!AB202/12+0.001,P1006,IF(Q12&lt;=(1+Inputs!AB202)/12+0.001,0.5*(O1006+Q1218),Inputs!AB200+Inputs!AC200*(12*IncStmt!T6/1000000)^Inputs!AD200))</f>
        <v>0</v>
      </c>
      <c r="Q1218" s="166">
        <f>IF(R12&lt;=Inputs!AB202/12+0.001,Q1006,IF(R12&lt;=(1+Inputs!AB202)/12+0.001,0.5*(P1006+R1218),Inputs!AB200+Inputs!AC200*(12*IncStmt!V6/1000000)^Inputs!AD200))</f>
        <v>0</v>
      </c>
      <c r="R1218" s="166">
        <f>IF(S12&lt;=Inputs!AB202/12+0.001,R1006,IF(S12&lt;=(1+Inputs!AB202)/12+0.001,0.5*(Q1006+S1218),Inputs!AB200+Inputs!AC200*(12*IncStmt!W6/1000000)^Inputs!AD200))</f>
        <v>0</v>
      </c>
      <c r="S1218" s="285">
        <f>IF(T12&lt;=Inputs!AB202/12+0.001,S1006,IF(T12&lt;=(1+Inputs!AB202)/12+0.001,0.5*(R1006+S1006),Inputs!AB200+Inputs!AC200*(12*IncStmt!X6/1000000)^Inputs!AD200))</f>
        <v>0</v>
      </c>
    </row>
    <row r="1219" spans="1:19" ht="12.75" customHeight="1" x14ac:dyDescent="0.2">
      <c r="A1219" s="191" t="str">
        <f>"   "&amp;Labels!C392</f>
        <v xml:space="preserve">   Total</v>
      </c>
      <c r="B1219" s="216">
        <f t="shared" ref="B1219:S1219" si="635">SUM(B1217:B1218)</f>
        <v>0</v>
      </c>
      <c r="C1219" s="216">
        <f t="shared" si="635"/>
        <v>0</v>
      </c>
      <c r="D1219" s="216">
        <f t="shared" si="635"/>
        <v>0</v>
      </c>
      <c r="E1219" s="216">
        <f t="shared" si="635"/>
        <v>0</v>
      </c>
      <c r="F1219" s="216">
        <f t="shared" si="635"/>
        <v>0</v>
      </c>
      <c r="G1219" s="216">
        <f t="shared" si="635"/>
        <v>0</v>
      </c>
      <c r="H1219" s="216">
        <f t="shared" si="635"/>
        <v>0</v>
      </c>
      <c r="I1219" s="216">
        <f t="shared" si="635"/>
        <v>0</v>
      </c>
      <c r="J1219" s="216">
        <f t="shared" si="635"/>
        <v>0</v>
      </c>
      <c r="K1219" s="216">
        <f t="shared" si="635"/>
        <v>0</v>
      </c>
      <c r="L1219" s="216">
        <f t="shared" si="635"/>
        <v>0</v>
      </c>
      <c r="M1219" s="216">
        <f t="shared" si="635"/>
        <v>0</v>
      </c>
      <c r="N1219" s="216">
        <f t="shared" si="635"/>
        <v>0</v>
      </c>
      <c r="O1219" s="216">
        <f t="shared" si="635"/>
        <v>0</v>
      </c>
      <c r="P1219" s="216">
        <f t="shared" si="635"/>
        <v>0</v>
      </c>
      <c r="Q1219" s="216">
        <f t="shared" si="635"/>
        <v>0</v>
      </c>
      <c r="R1219" s="216">
        <f t="shared" si="635"/>
        <v>0</v>
      </c>
      <c r="S1219" s="287">
        <f t="shared" si="635"/>
        <v>0</v>
      </c>
    </row>
    <row r="1220" spans="1:19" ht="12.75" customHeight="1" x14ac:dyDescent="0.2">
      <c r="A1220" s="97" t="str">
        <f>Labels!C320</f>
        <v>Total</v>
      </c>
      <c r="B1220" s="374">
        <f t="shared" ref="B1220:S1220" si="636">SUM(B1215,B1219)</f>
        <v>0</v>
      </c>
      <c r="C1220" s="374">
        <f t="shared" si="636"/>
        <v>0</v>
      </c>
      <c r="D1220" s="374">
        <f t="shared" si="636"/>
        <v>0</v>
      </c>
      <c r="E1220" s="374">
        <f t="shared" si="636"/>
        <v>0</v>
      </c>
      <c r="F1220" s="374">
        <f t="shared" si="636"/>
        <v>0</v>
      </c>
      <c r="G1220" s="374">
        <f t="shared" si="636"/>
        <v>0</v>
      </c>
      <c r="H1220" s="374">
        <f t="shared" si="636"/>
        <v>0</v>
      </c>
      <c r="I1220" s="374">
        <f t="shared" si="636"/>
        <v>0</v>
      </c>
      <c r="J1220" s="374">
        <f t="shared" si="636"/>
        <v>0</v>
      </c>
      <c r="K1220" s="374">
        <f t="shared" si="636"/>
        <v>0</v>
      </c>
      <c r="L1220" s="374">
        <f t="shared" si="636"/>
        <v>0</v>
      </c>
      <c r="M1220" s="374">
        <f t="shared" si="636"/>
        <v>0</v>
      </c>
      <c r="N1220" s="374">
        <f t="shared" si="636"/>
        <v>0</v>
      </c>
      <c r="O1220" s="374">
        <f t="shared" si="636"/>
        <v>0</v>
      </c>
      <c r="P1220" s="374">
        <f t="shared" si="636"/>
        <v>0</v>
      </c>
      <c r="Q1220" s="374">
        <f t="shared" si="636"/>
        <v>0</v>
      </c>
      <c r="R1220" s="374">
        <f t="shared" si="636"/>
        <v>0</v>
      </c>
      <c r="S1220" s="403">
        <f t="shared" si="636"/>
        <v>0</v>
      </c>
    </row>
    <row r="1221" spans="1:19" ht="12.75" customHeight="1" x14ac:dyDescent="0.2">
      <c r="A1221" s="188" t="str">
        <f>"   "&amp;Labels!B393</f>
        <v xml:space="preserve">   Manager</v>
      </c>
      <c r="B1221" s="166">
        <f t="shared" ref="B1221:S1221" si="637">SUM(B1213,B1217)</f>
        <v>0</v>
      </c>
      <c r="C1221" s="166">
        <f t="shared" si="637"/>
        <v>0</v>
      </c>
      <c r="D1221" s="166">
        <f t="shared" si="637"/>
        <v>0</v>
      </c>
      <c r="E1221" s="166">
        <f t="shared" si="637"/>
        <v>0</v>
      </c>
      <c r="F1221" s="166">
        <f t="shared" si="637"/>
        <v>0</v>
      </c>
      <c r="G1221" s="166">
        <f t="shared" si="637"/>
        <v>0</v>
      </c>
      <c r="H1221" s="166">
        <f t="shared" si="637"/>
        <v>0</v>
      </c>
      <c r="I1221" s="166">
        <f t="shared" si="637"/>
        <v>0</v>
      </c>
      <c r="J1221" s="166">
        <f t="shared" si="637"/>
        <v>0</v>
      </c>
      <c r="K1221" s="166">
        <f t="shared" si="637"/>
        <v>0</v>
      </c>
      <c r="L1221" s="166">
        <f t="shared" si="637"/>
        <v>0</v>
      </c>
      <c r="M1221" s="166">
        <f t="shared" si="637"/>
        <v>0</v>
      </c>
      <c r="N1221" s="166">
        <f t="shared" si="637"/>
        <v>0</v>
      </c>
      <c r="O1221" s="166">
        <f t="shared" si="637"/>
        <v>0</v>
      </c>
      <c r="P1221" s="166">
        <f t="shared" si="637"/>
        <v>0</v>
      </c>
      <c r="Q1221" s="166">
        <f t="shared" si="637"/>
        <v>0</v>
      </c>
      <c r="R1221" s="166">
        <f t="shared" si="637"/>
        <v>0</v>
      </c>
      <c r="S1221" s="285">
        <f t="shared" si="637"/>
        <v>0</v>
      </c>
    </row>
    <row r="1222" spans="1:19" ht="12.75" customHeight="1" x14ac:dyDescent="0.2">
      <c r="A1222" s="188" t="str">
        <f>"   "&amp;Labels!B394</f>
        <v xml:space="preserve">   Contributor</v>
      </c>
      <c r="B1222" s="166">
        <f t="shared" ref="B1222:S1222" si="638">SUM(B1214,B1218)</f>
        <v>0</v>
      </c>
      <c r="C1222" s="166">
        <f t="shared" si="638"/>
        <v>0</v>
      </c>
      <c r="D1222" s="166">
        <f t="shared" si="638"/>
        <v>0</v>
      </c>
      <c r="E1222" s="166">
        <f t="shared" si="638"/>
        <v>0</v>
      </c>
      <c r="F1222" s="166">
        <f t="shared" si="638"/>
        <v>0</v>
      </c>
      <c r="G1222" s="166">
        <f t="shared" si="638"/>
        <v>0</v>
      </c>
      <c r="H1222" s="166">
        <f t="shared" si="638"/>
        <v>0</v>
      </c>
      <c r="I1222" s="166">
        <f t="shared" si="638"/>
        <v>0</v>
      </c>
      <c r="J1222" s="166">
        <f t="shared" si="638"/>
        <v>0</v>
      </c>
      <c r="K1222" s="166">
        <f t="shared" si="638"/>
        <v>0</v>
      </c>
      <c r="L1222" s="166">
        <f t="shared" si="638"/>
        <v>0</v>
      </c>
      <c r="M1222" s="166">
        <f t="shared" si="638"/>
        <v>0</v>
      </c>
      <c r="N1222" s="166">
        <f t="shared" si="638"/>
        <v>0</v>
      </c>
      <c r="O1222" s="166">
        <f t="shared" si="638"/>
        <v>0</v>
      </c>
      <c r="P1222" s="166">
        <f t="shared" si="638"/>
        <v>0</v>
      </c>
      <c r="Q1222" s="166">
        <f t="shared" si="638"/>
        <v>0</v>
      </c>
      <c r="R1222" s="166">
        <f t="shared" si="638"/>
        <v>0</v>
      </c>
      <c r="S1222" s="285">
        <f t="shared" si="638"/>
        <v>0</v>
      </c>
    </row>
    <row r="1223" spans="1:19" ht="12.75" customHeight="1" x14ac:dyDescent="0.2">
      <c r="A1223" s="185" t="str">
        <f>"   "&amp;Labels!C392</f>
        <v xml:space="preserve">   Total</v>
      </c>
      <c r="B1223" s="297">
        <f t="shared" ref="B1223:S1223" si="639">SUM(B1215,B1219)</f>
        <v>0</v>
      </c>
      <c r="C1223" s="297">
        <f t="shared" si="639"/>
        <v>0</v>
      </c>
      <c r="D1223" s="297">
        <f t="shared" si="639"/>
        <v>0</v>
      </c>
      <c r="E1223" s="297">
        <f t="shared" si="639"/>
        <v>0</v>
      </c>
      <c r="F1223" s="297">
        <f t="shared" si="639"/>
        <v>0</v>
      </c>
      <c r="G1223" s="297">
        <f t="shared" si="639"/>
        <v>0</v>
      </c>
      <c r="H1223" s="297">
        <f t="shared" si="639"/>
        <v>0</v>
      </c>
      <c r="I1223" s="297">
        <f t="shared" si="639"/>
        <v>0</v>
      </c>
      <c r="J1223" s="297">
        <f t="shared" si="639"/>
        <v>0</v>
      </c>
      <c r="K1223" s="297">
        <f t="shared" si="639"/>
        <v>0</v>
      </c>
      <c r="L1223" s="297">
        <f t="shared" si="639"/>
        <v>0</v>
      </c>
      <c r="M1223" s="297">
        <f t="shared" si="639"/>
        <v>0</v>
      </c>
      <c r="N1223" s="297">
        <f t="shared" si="639"/>
        <v>0</v>
      </c>
      <c r="O1223" s="297">
        <f t="shared" si="639"/>
        <v>0</v>
      </c>
      <c r="P1223" s="297">
        <f t="shared" si="639"/>
        <v>0</v>
      </c>
      <c r="Q1223" s="297">
        <f t="shared" si="639"/>
        <v>0</v>
      </c>
      <c r="R1223" s="297">
        <f t="shared" si="639"/>
        <v>0</v>
      </c>
      <c r="S1223" s="350">
        <f t="shared" si="639"/>
        <v>0</v>
      </c>
    </row>
    <row r="1224" spans="1:19" ht="12.75" customHeight="1" x14ac:dyDescent="0.2">
      <c r="A1224" s="1" t="str">
        <f>Labels!B219</f>
        <v>Initial Recruit %</v>
      </c>
    </row>
    <row r="1225" spans="1:19" ht="12.75" customHeight="1" x14ac:dyDescent="0.2">
      <c r="B1225" s="9" t="str">
        <f>Labels!B321</f>
        <v>Marketing</v>
      </c>
      <c r="C1225" s="10" t="str">
        <f>Labels!B322</f>
        <v>Sales</v>
      </c>
      <c r="D1225" s="181" t="str">
        <f>Labels!C320</f>
        <v>Total</v>
      </c>
    </row>
    <row r="1226" spans="1:19" ht="12.75" customHeight="1" x14ac:dyDescent="0.2">
      <c r="A1226" s="182" t="str">
        <f>Labels!B393</f>
        <v>Manager</v>
      </c>
      <c r="B1226" s="370">
        <f>Inputs!G265</f>
        <v>0.15</v>
      </c>
      <c r="C1226" s="370">
        <f>Inputs!G267</f>
        <v>0.15</v>
      </c>
      <c r="D1226" s="405">
        <f>AVERAGE(B1226:C1226)</f>
        <v>0.15</v>
      </c>
    </row>
    <row r="1227" spans="1:19" ht="12.75" customHeight="1" x14ac:dyDescent="0.2">
      <c r="A1227" s="191" t="str">
        <f>Labels!B394</f>
        <v>Contributor</v>
      </c>
      <c r="B1227" s="300">
        <f>Inputs!G266</f>
        <v>0.15</v>
      </c>
      <c r="C1227" s="300">
        <f>Inputs!G268</f>
        <v>0.15</v>
      </c>
      <c r="D1227" s="301">
        <f>AVERAGE(B1227:C1227)</f>
        <v>0.15</v>
      </c>
    </row>
    <row r="1228" spans="1:19" ht="12.75" customHeight="1" x14ac:dyDescent="0.2">
      <c r="A1228" s="97" t="str">
        <f>Labels!C392</f>
        <v>Total</v>
      </c>
      <c r="B1228" s="387">
        <f>AVERAGE(B1226:B1227)</f>
        <v>0.15</v>
      </c>
      <c r="C1228" s="387">
        <f>AVERAGE(C1226:C1227)</f>
        <v>0.15</v>
      </c>
      <c r="D1228" s="406">
        <f>AVERAGE(B1228:C1228)</f>
        <v>0.15</v>
      </c>
    </row>
    <row r="1229" spans="1:19" ht="12.75" customHeight="1" x14ac:dyDescent="0.2">
      <c r="A1229" s="1" t="str">
        <f>Labels!B221</f>
        <v>Recruit % Positions</v>
      </c>
    </row>
    <row r="1230" spans="1:19" ht="12.75" customHeight="1" x14ac:dyDescent="0.2">
      <c r="B1230" s="9" t="str">
        <f>Labels!B321</f>
        <v>Marketing</v>
      </c>
      <c r="C1230" s="10" t="str">
        <f>Labels!B322</f>
        <v>Sales</v>
      </c>
      <c r="D1230" s="181" t="str">
        <f>Labels!C320</f>
        <v>Total</v>
      </c>
    </row>
    <row r="1231" spans="1:19" ht="12.75" customHeight="1" x14ac:dyDescent="0.2">
      <c r="A1231" s="182" t="str">
        <f>Labels!B393</f>
        <v>Manager</v>
      </c>
      <c r="B1231" s="370">
        <f>Inputs!H265</f>
        <v>0</v>
      </c>
      <c r="C1231" s="370">
        <f>Inputs!H267</f>
        <v>0</v>
      </c>
      <c r="D1231" s="405">
        <f>IF(SUM(C1245:S1245)=0,0,SUM('Sup Staff'!C59:D59,'Sup Staff'!F59:H59,'Sup Staff'!J59:L59,'Sup Staff'!N59:P59,'Sup Staff'!R59:T59,'Sup Staff'!V59:X59)/SUM(C1245:S1245))</f>
        <v>0</v>
      </c>
    </row>
    <row r="1232" spans="1:19" ht="12.75" customHeight="1" x14ac:dyDescent="0.2">
      <c r="A1232" s="191" t="str">
        <f>Labels!B394</f>
        <v>Contributor</v>
      </c>
      <c r="B1232" s="300">
        <f>Inputs!H266</f>
        <v>0</v>
      </c>
      <c r="C1232" s="300">
        <f>Inputs!H268</f>
        <v>0</v>
      </c>
      <c r="D1232" s="301">
        <f>IF(SUM(C1246:S1246)=0,0,SUM('Sup Staff'!C60:D60,'Sup Staff'!F60:H60,'Sup Staff'!J60:L60,'Sup Staff'!N60:P60,'Sup Staff'!R60:T60,'Sup Staff'!V60:X60)/SUM(C1246:S1246))</f>
        <v>0</v>
      </c>
    </row>
    <row r="1233" spans="1:19" ht="12.75" customHeight="1" x14ac:dyDescent="0.2">
      <c r="A1233" s="97" t="str">
        <f>Labels!C392</f>
        <v>Total</v>
      </c>
      <c r="B1233" s="387">
        <f>IF(SUM(C1239:S1239)=0,0,SUM('Sup Staff'!C53:D53,'Sup Staff'!F53:H53,'Sup Staff'!J53:L53,'Sup Staff'!N53:P53,'Sup Staff'!R53:T53,'Sup Staff'!V53:X53)/SUM(C1239:S1239))</f>
        <v>0</v>
      </c>
      <c r="C1233" s="387">
        <f>IF(SUM(C1243:S1243)=0,0,SUM('Sup Staff'!C57:D57,'Sup Staff'!F57:H57,'Sup Staff'!J57:L57,'Sup Staff'!N57:P57,'Sup Staff'!R57:T57,'Sup Staff'!V57:X57)/SUM(C1243:S1243))</f>
        <v>0</v>
      </c>
      <c r="D1233" s="406">
        <f>IF(SUM(C1244:S1244)=0,0,SUM('Sup Staff'!C58:D58,'Sup Staff'!F58:H58,'Sup Staff'!J58:L58,'Sup Staff'!N58:P58,'Sup Staff'!R58:T58,'Sup Staff'!V58:X58)/SUM(C1244:S1244))</f>
        <v>0</v>
      </c>
    </row>
    <row r="1234" spans="1:19" ht="12.75" customHeight="1" x14ac:dyDescent="0.2">
      <c r="A1234" s="1" t="str">
        <f>Labels!B255</f>
        <v>Support Staff Open Positions</v>
      </c>
    </row>
    <row r="1235" spans="1:19" ht="12.75" customHeight="1" x14ac:dyDescent="0.2">
      <c r="B1235" s="9" t="str">
        <f>'(FnCalls 1)'!F41</f>
        <v>MMM 2010</v>
      </c>
      <c r="C1235" s="10" t="str">
        <f>'(FnCalls 1)'!F42</f>
        <v>MMM 2010</v>
      </c>
      <c r="D1235" s="10" t="str">
        <f>'(FnCalls 1)'!F43</f>
        <v>MMM 2010</v>
      </c>
      <c r="E1235" s="10" t="str">
        <f>'(FnCalls 1)'!F44</f>
        <v>MMM 2010</v>
      </c>
      <c r="F1235" s="10" t="str">
        <f>'(FnCalls 1)'!F45</f>
        <v>MMM 2010</v>
      </c>
      <c r="G1235" s="10" t="str">
        <f>'(FnCalls 1)'!F46</f>
        <v>MMM 2010</v>
      </c>
      <c r="H1235" s="10" t="str">
        <f>'(FnCalls 1)'!F47</f>
        <v>MMM 2010</v>
      </c>
      <c r="I1235" s="10" t="str">
        <f>'(FnCalls 1)'!F48</f>
        <v>MMM 2010</v>
      </c>
      <c r="J1235" s="10" t="str">
        <f>'(FnCalls 1)'!F49</f>
        <v>MMM 2010</v>
      </c>
      <c r="K1235" s="10" t="str">
        <f>'(FnCalls 1)'!F50</f>
        <v>MMM 2010</v>
      </c>
      <c r="L1235" s="10" t="str">
        <f>'(FnCalls 1)'!F51</f>
        <v>MMM 2010</v>
      </c>
      <c r="M1235" s="10" t="str">
        <f>'(FnCalls 1)'!F52</f>
        <v>MMM 2010</v>
      </c>
      <c r="N1235" s="10" t="str">
        <f>'(FnCalls 1)'!F53</f>
        <v>MMM 2011</v>
      </c>
      <c r="O1235" s="10" t="str">
        <f>'(FnCalls 1)'!F54</f>
        <v>MMM 2011</v>
      </c>
      <c r="P1235" s="10" t="str">
        <f>'(FnCalls 1)'!F55</f>
        <v>MMM 2011</v>
      </c>
      <c r="Q1235" s="10" t="str">
        <f>'(FnCalls 1)'!F56</f>
        <v>MMM 2011</v>
      </c>
      <c r="R1235" s="10" t="str">
        <f>'(FnCalls 1)'!F57</f>
        <v>MMM 2011</v>
      </c>
      <c r="S1235" s="11" t="str">
        <f>'(FnCalls 1)'!F58</f>
        <v>MMM 2011</v>
      </c>
    </row>
    <row r="1236" spans="1:19" ht="12.75" customHeight="1" x14ac:dyDescent="0.2">
      <c r="A1236" s="182" t="str">
        <f>Labels!B321</f>
        <v>Marketing</v>
      </c>
      <c r="B1236" s="223"/>
      <c r="C1236" s="223"/>
      <c r="D1236" s="223"/>
      <c r="E1236" s="223"/>
      <c r="F1236" s="223"/>
      <c r="G1236" s="223"/>
      <c r="H1236" s="223"/>
      <c r="I1236" s="223"/>
      <c r="J1236" s="223"/>
      <c r="K1236" s="223"/>
      <c r="L1236" s="223"/>
      <c r="M1236" s="223"/>
      <c r="N1236" s="223"/>
      <c r="O1236" s="223"/>
      <c r="P1236" s="223"/>
      <c r="Q1236" s="223"/>
      <c r="R1236" s="223"/>
      <c r="S1236" s="284"/>
    </row>
    <row r="1237" spans="1:19" ht="12.75" customHeight="1" x14ac:dyDescent="0.2">
      <c r="A1237" s="188" t="str">
        <f>"   "&amp;Labels!B393</f>
        <v xml:space="preserve">   Manager</v>
      </c>
      <c r="B1237" s="166">
        <f>IF(C12&lt;0.001+1/12,'Sup Staff'!B23+'Sup Staff'!B37,MAX(0,'Sup Staff'!B23-0+'Sup Staff'!B37))</f>
        <v>0</v>
      </c>
      <c r="C1237" s="166">
        <f>IF(D12&lt;0.001+1/12,'Sup Staff'!C23+'Sup Staff'!C37,MAX(0,'Sup Staff'!C23-'Sup Staff'!B23+'Sup Staff'!C37))</f>
        <v>0</v>
      </c>
      <c r="D1237" s="166">
        <f>IF(E12&lt;0.001+1/12,'Sup Staff'!D23+'Sup Staff'!D37,MAX(0,'Sup Staff'!D23-'Sup Staff'!C23+'Sup Staff'!D37))</f>
        <v>0</v>
      </c>
      <c r="E1237" s="166">
        <f>IF(F12&lt;0.001+1/12,'Sup Staff'!F23+'Sup Staff'!F37,MAX(0,'Sup Staff'!F23-'Sup Staff'!D23+'Sup Staff'!F37))</f>
        <v>0</v>
      </c>
      <c r="F1237" s="166">
        <f>IF(G12&lt;0.001+1/12,'Sup Staff'!G23+'Sup Staff'!G37,MAX(0,'Sup Staff'!G23-'Sup Staff'!F23+'Sup Staff'!G37))</f>
        <v>0</v>
      </c>
      <c r="G1237" s="166">
        <f>IF(H12&lt;0.001+1/12,'Sup Staff'!H23+'Sup Staff'!H37,MAX(0,'Sup Staff'!H23-'Sup Staff'!G23+'Sup Staff'!H37))</f>
        <v>0</v>
      </c>
      <c r="H1237" s="166">
        <f>IF(I12&lt;0.001+1/12,'Sup Staff'!J23+'Sup Staff'!J37,MAX(0,'Sup Staff'!J23-'Sup Staff'!H23+'Sup Staff'!J37))</f>
        <v>0</v>
      </c>
      <c r="I1237" s="166">
        <f>IF(J12&lt;0.001+1/12,'Sup Staff'!K23+'Sup Staff'!K37,MAX(0,'Sup Staff'!K23-'Sup Staff'!J23+'Sup Staff'!K37))</f>
        <v>0</v>
      </c>
      <c r="J1237" s="166">
        <f>IF(K12&lt;0.001+1/12,'Sup Staff'!L23+'Sup Staff'!L37,MAX(0,'Sup Staff'!L23-'Sup Staff'!K23+'Sup Staff'!L37))</f>
        <v>0</v>
      </c>
      <c r="K1237" s="166">
        <f>IF(L12&lt;0.001+1/12,'Sup Staff'!N23+'Sup Staff'!N37,MAX(0,'Sup Staff'!N23-'Sup Staff'!L23+'Sup Staff'!N37))</f>
        <v>0</v>
      </c>
      <c r="L1237" s="166">
        <f>IF(M12&lt;0.001+1/12,'Sup Staff'!O23+'Sup Staff'!O37,MAX(0,'Sup Staff'!O23-'Sup Staff'!N23+'Sup Staff'!O37))</f>
        <v>0</v>
      </c>
      <c r="M1237" s="166">
        <f>IF(N12&lt;0.001+1/12,'Sup Staff'!P23+'Sup Staff'!P37,MAX(0,'Sup Staff'!P23-'Sup Staff'!O23+'Sup Staff'!P37))</f>
        <v>0</v>
      </c>
      <c r="N1237" s="166">
        <f>IF(O12&lt;0.001+1/12,'Sup Staff'!R23+'Sup Staff'!R37,MAX(0,'Sup Staff'!R23-'Sup Staff'!P23+'Sup Staff'!R37))</f>
        <v>0</v>
      </c>
      <c r="O1237" s="166">
        <f>IF(P12&lt;0.001+1/12,'Sup Staff'!S23+'Sup Staff'!S37,MAX(0,'Sup Staff'!S23-'Sup Staff'!R23+'Sup Staff'!S37))</f>
        <v>0</v>
      </c>
      <c r="P1237" s="166">
        <f>IF(Q12&lt;0.001+1/12,'Sup Staff'!T23+'Sup Staff'!T37,MAX(0,'Sup Staff'!T23-'Sup Staff'!S23+'Sup Staff'!T37))</f>
        <v>0</v>
      </c>
      <c r="Q1237" s="166">
        <f>IF(R12&lt;0.001+1/12,'Sup Staff'!V23+'Sup Staff'!V37,MAX(0,'Sup Staff'!V23-'Sup Staff'!T23+'Sup Staff'!V37))</f>
        <v>0</v>
      </c>
      <c r="R1237" s="166">
        <f>IF(S12&lt;0.001+1/12,'Sup Staff'!W23+'Sup Staff'!W37,MAX(0,'Sup Staff'!W23-'Sup Staff'!V23+'Sup Staff'!W37))</f>
        <v>0</v>
      </c>
      <c r="S1237" s="285">
        <f>IF(T12&lt;0.001+1/12,'Sup Staff'!X23+'Sup Staff'!X37,MAX(0,'Sup Staff'!X23-'Sup Staff'!W23+'Sup Staff'!X37))</f>
        <v>0</v>
      </c>
    </row>
    <row r="1238" spans="1:19" ht="12.75" customHeight="1" x14ac:dyDescent="0.2">
      <c r="A1238" s="188" t="str">
        <f>"   "&amp;Labels!B394</f>
        <v xml:space="preserve">   Contributor</v>
      </c>
      <c r="B1238" s="166">
        <f>IF(C12&lt;0.001+1/12,'Sup Staff'!B24+'Sup Staff'!B38,MAX(0,'Sup Staff'!B24-0+'Sup Staff'!B38))</f>
        <v>0</v>
      </c>
      <c r="C1238" s="166">
        <f>IF(D12&lt;0.001+1/12,'Sup Staff'!C24+'Sup Staff'!C38,MAX(0,'Sup Staff'!C24-'Sup Staff'!B24+'Sup Staff'!C38))</f>
        <v>0</v>
      </c>
      <c r="D1238" s="166">
        <f>IF(E12&lt;0.001+1/12,'Sup Staff'!D24+'Sup Staff'!D38,MAX(0,'Sup Staff'!D24-'Sup Staff'!C24+'Sup Staff'!D38))</f>
        <v>0</v>
      </c>
      <c r="E1238" s="166">
        <f>IF(F12&lt;0.001+1/12,'Sup Staff'!F24+'Sup Staff'!F38,MAX(0,'Sup Staff'!F24-'Sup Staff'!D24+'Sup Staff'!F38))</f>
        <v>0</v>
      </c>
      <c r="F1238" s="166">
        <f>IF(G12&lt;0.001+1/12,'Sup Staff'!G24+'Sup Staff'!G38,MAX(0,'Sup Staff'!G24-'Sup Staff'!F24+'Sup Staff'!G38))</f>
        <v>0</v>
      </c>
      <c r="G1238" s="166">
        <f>IF(H12&lt;0.001+1/12,'Sup Staff'!H24+'Sup Staff'!H38,MAX(0,'Sup Staff'!H24-'Sup Staff'!G24+'Sup Staff'!H38))</f>
        <v>0</v>
      </c>
      <c r="H1238" s="166">
        <f>IF(I12&lt;0.001+1/12,'Sup Staff'!J24+'Sup Staff'!J38,MAX(0,'Sup Staff'!J24-'Sup Staff'!H24+'Sup Staff'!J38))</f>
        <v>0</v>
      </c>
      <c r="I1238" s="166">
        <f>IF(J12&lt;0.001+1/12,'Sup Staff'!K24+'Sup Staff'!K38,MAX(0,'Sup Staff'!K24-'Sup Staff'!J24+'Sup Staff'!K38))</f>
        <v>0</v>
      </c>
      <c r="J1238" s="166">
        <f>IF(K12&lt;0.001+1/12,'Sup Staff'!L24+'Sup Staff'!L38,MAX(0,'Sup Staff'!L24-'Sup Staff'!K24+'Sup Staff'!L38))</f>
        <v>0</v>
      </c>
      <c r="K1238" s="166">
        <f>IF(L12&lt;0.001+1/12,'Sup Staff'!N24+'Sup Staff'!N38,MAX(0,'Sup Staff'!N24-'Sup Staff'!L24+'Sup Staff'!N38))</f>
        <v>0</v>
      </c>
      <c r="L1238" s="166">
        <f>IF(M12&lt;0.001+1/12,'Sup Staff'!O24+'Sup Staff'!O38,MAX(0,'Sup Staff'!O24-'Sup Staff'!N24+'Sup Staff'!O38))</f>
        <v>0</v>
      </c>
      <c r="M1238" s="166">
        <f>IF(N12&lt;0.001+1/12,'Sup Staff'!P24+'Sup Staff'!P38,MAX(0,'Sup Staff'!P24-'Sup Staff'!O24+'Sup Staff'!P38))</f>
        <v>0</v>
      </c>
      <c r="N1238" s="166">
        <f>IF(O12&lt;0.001+1/12,'Sup Staff'!R24+'Sup Staff'!R38,MAX(0,'Sup Staff'!R24-'Sup Staff'!P24+'Sup Staff'!R38))</f>
        <v>0</v>
      </c>
      <c r="O1238" s="166">
        <f>IF(P12&lt;0.001+1/12,'Sup Staff'!S24+'Sup Staff'!S38,MAX(0,'Sup Staff'!S24-'Sup Staff'!R24+'Sup Staff'!S38))</f>
        <v>0</v>
      </c>
      <c r="P1238" s="166">
        <f>IF(Q12&lt;0.001+1/12,'Sup Staff'!T24+'Sup Staff'!T38,MAX(0,'Sup Staff'!T24-'Sup Staff'!S24+'Sup Staff'!T38))</f>
        <v>0</v>
      </c>
      <c r="Q1238" s="166">
        <f>IF(R12&lt;0.001+1/12,'Sup Staff'!V24+'Sup Staff'!V38,MAX(0,'Sup Staff'!V24-'Sup Staff'!T24+'Sup Staff'!V38))</f>
        <v>0</v>
      </c>
      <c r="R1238" s="166">
        <f>IF(S12&lt;0.001+1/12,'Sup Staff'!W24+'Sup Staff'!W38,MAX(0,'Sup Staff'!W24-'Sup Staff'!V24+'Sup Staff'!W38))</f>
        <v>0</v>
      </c>
      <c r="S1238" s="285">
        <f>IF(T12&lt;0.001+1/12,'Sup Staff'!X24+'Sup Staff'!X38,MAX(0,'Sup Staff'!X24-'Sup Staff'!W24+'Sup Staff'!X38))</f>
        <v>0</v>
      </c>
    </row>
    <row r="1239" spans="1:19" ht="12.75" customHeight="1" x14ac:dyDescent="0.2">
      <c r="A1239" s="191" t="str">
        <f>"   "&amp;Labels!C392</f>
        <v xml:space="preserve">   Total</v>
      </c>
      <c r="B1239" s="216">
        <f t="shared" ref="B1239:S1239" si="640">SUM(B1237:B1238)</f>
        <v>0</v>
      </c>
      <c r="C1239" s="216">
        <f t="shared" si="640"/>
        <v>0</v>
      </c>
      <c r="D1239" s="216">
        <f t="shared" si="640"/>
        <v>0</v>
      </c>
      <c r="E1239" s="216">
        <f t="shared" si="640"/>
        <v>0</v>
      </c>
      <c r="F1239" s="216">
        <f t="shared" si="640"/>
        <v>0</v>
      </c>
      <c r="G1239" s="216">
        <f t="shared" si="640"/>
        <v>0</v>
      </c>
      <c r="H1239" s="216">
        <f t="shared" si="640"/>
        <v>0</v>
      </c>
      <c r="I1239" s="216">
        <f t="shared" si="640"/>
        <v>0</v>
      </c>
      <c r="J1239" s="216">
        <f t="shared" si="640"/>
        <v>0</v>
      </c>
      <c r="K1239" s="216">
        <f t="shared" si="640"/>
        <v>0</v>
      </c>
      <c r="L1239" s="216">
        <f t="shared" si="640"/>
        <v>0</v>
      </c>
      <c r="M1239" s="216">
        <f t="shared" si="640"/>
        <v>0</v>
      </c>
      <c r="N1239" s="216">
        <f t="shared" si="640"/>
        <v>0</v>
      </c>
      <c r="O1239" s="216">
        <f t="shared" si="640"/>
        <v>0</v>
      </c>
      <c r="P1239" s="216">
        <f t="shared" si="640"/>
        <v>0</v>
      </c>
      <c r="Q1239" s="216">
        <f t="shared" si="640"/>
        <v>0</v>
      </c>
      <c r="R1239" s="216">
        <f t="shared" si="640"/>
        <v>0</v>
      </c>
      <c r="S1239" s="287">
        <f t="shared" si="640"/>
        <v>0</v>
      </c>
    </row>
    <row r="1240" spans="1:19" ht="12.75" customHeight="1" x14ac:dyDescent="0.2">
      <c r="A1240" s="191" t="str">
        <f>Labels!B322</f>
        <v>Sales</v>
      </c>
      <c r="B1240" s="216"/>
      <c r="C1240" s="216"/>
      <c r="D1240" s="216"/>
      <c r="E1240" s="216"/>
      <c r="F1240" s="216"/>
      <c r="G1240" s="216"/>
      <c r="H1240" s="216"/>
      <c r="I1240" s="216"/>
      <c r="J1240" s="216"/>
      <c r="K1240" s="216"/>
      <c r="L1240" s="216"/>
      <c r="M1240" s="216"/>
      <c r="N1240" s="216"/>
      <c r="O1240" s="216"/>
      <c r="P1240" s="216"/>
      <c r="Q1240" s="216"/>
      <c r="R1240" s="216"/>
      <c r="S1240" s="287"/>
    </row>
    <row r="1241" spans="1:19" ht="12.75" customHeight="1" x14ac:dyDescent="0.2">
      <c r="A1241" s="188" t="str">
        <f>"   "&amp;Labels!B393</f>
        <v xml:space="preserve">   Manager</v>
      </c>
      <c r="B1241" s="166">
        <f>IF(C12&lt;0.001+1/12,'Sup Staff'!B27+'Sup Staff'!B41,MAX(0,'Sup Staff'!B27-0+'Sup Staff'!B41))</f>
        <v>0</v>
      </c>
      <c r="C1241" s="166">
        <f>IF(D12&lt;0.001+1/12,'Sup Staff'!C27+'Sup Staff'!C41,MAX(0,'Sup Staff'!C27-'Sup Staff'!B27+'Sup Staff'!C41))</f>
        <v>0</v>
      </c>
      <c r="D1241" s="166">
        <f>IF(E12&lt;0.001+1/12,'Sup Staff'!D27+'Sup Staff'!D41,MAX(0,'Sup Staff'!D27-'Sup Staff'!C27+'Sup Staff'!D41))</f>
        <v>0</v>
      </c>
      <c r="E1241" s="166">
        <f>IF(F12&lt;0.001+1/12,'Sup Staff'!F27+'Sup Staff'!F41,MAX(0,'Sup Staff'!F27-'Sup Staff'!D27+'Sup Staff'!F41))</f>
        <v>0</v>
      </c>
      <c r="F1241" s="166">
        <f>IF(G12&lt;0.001+1/12,'Sup Staff'!G27+'Sup Staff'!G41,MAX(0,'Sup Staff'!G27-'Sup Staff'!F27+'Sup Staff'!G41))</f>
        <v>0</v>
      </c>
      <c r="G1241" s="166">
        <f>IF(H12&lt;0.001+1/12,'Sup Staff'!H27+'Sup Staff'!H41,MAX(0,'Sup Staff'!H27-'Sup Staff'!G27+'Sup Staff'!H41))</f>
        <v>0</v>
      </c>
      <c r="H1241" s="166">
        <f>IF(I12&lt;0.001+1/12,'Sup Staff'!J27+'Sup Staff'!J41,MAX(0,'Sup Staff'!J27-'Sup Staff'!H27+'Sup Staff'!J41))</f>
        <v>0</v>
      </c>
      <c r="I1241" s="166">
        <f>IF(J12&lt;0.001+1/12,'Sup Staff'!K27+'Sup Staff'!K41,MAX(0,'Sup Staff'!K27-'Sup Staff'!J27+'Sup Staff'!K41))</f>
        <v>0</v>
      </c>
      <c r="J1241" s="166">
        <f>IF(K12&lt;0.001+1/12,'Sup Staff'!L27+'Sup Staff'!L41,MAX(0,'Sup Staff'!L27-'Sup Staff'!K27+'Sup Staff'!L41))</f>
        <v>0</v>
      </c>
      <c r="K1241" s="166">
        <f>IF(L12&lt;0.001+1/12,'Sup Staff'!N27+'Sup Staff'!N41,MAX(0,'Sup Staff'!N27-'Sup Staff'!L27+'Sup Staff'!N41))</f>
        <v>0</v>
      </c>
      <c r="L1241" s="166">
        <f>IF(M12&lt;0.001+1/12,'Sup Staff'!O27+'Sup Staff'!O41,MAX(0,'Sup Staff'!O27-'Sup Staff'!N27+'Sup Staff'!O41))</f>
        <v>0</v>
      </c>
      <c r="M1241" s="166">
        <f>IF(N12&lt;0.001+1/12,'Sup Staff'!P27+'Sup Staff'!P41,MAX(0,'Sup Staff'!P27-'Sup Staff'!O27+'Sup Staff'!P41))</f>
        <v>0</v>
      </c>
      <c r="N1241" s="166">
        <f>IF(O12&lt;0.001+1/12,'Sup Staff'!R27+'Sup Staff'!R41,MAX(0,'Sup Staff'!R27-'Sup Staff'!P27+'Sup Staff'!R41))</f>
        <v>0</v>
      </c>
      <c r="O1241" s="166">
        <f>IF(P12&lt;0.001+1/12,'Sup Staff'!S27+'Sup Staff'!S41,MAX(0,'Sup Staff'!S27-'Sup Staff'!R27+'Sup Staff'!S41))</f>
        <v>0</v>
      </c>
      <c r="P1241" s="166">
        <f>IF(Q12&lt;0.001+1/12,'Sup Staff'!T27+'Sup Staff'!T41,MAX(0,'Sup Staff'!T27-'Sup Staff'!S27+'Sup Staff'!T41))</f>
        <v>0</v>
      </c>
      <c r="Q1241" s="166">
        <f>IF(R12&lt;0.001+1/12,'Sup Staff'!V27+'Sup Staff'!V41,MAX(0,'Sup Staff'!V27-'Sup Staff'!T27+'Sup Staff'!V41))</f>
        <v>0</v>
      </c>
      <c r="R1241" s="166">
        <f>IF(S12&lt;0.001+1/12,'Sup Staff'!W27+'Sup Staff'!W41,MAX(0,'Sup Staff'!W27-'Sup Staff'!V27+'Sup Staff'!W41))</f>
        <v>0</v>
      </c>
      <c r="S1241" s="285">
        <f>IF(T12&lt;0.001+1/12,'Sup Staff'!X27+'Sup Staff'!X41,MAX(0,'Sup Staff'!X27-'Sup Staff'!W27+'Sup Staff'!X41))</f>
        <v>0</v>
      </c>
    </row>
    <row r="1242" spans="1:19" ht="12.75" customHeight="1" x14ac:dyDescent="0.2">
      <c r="A1242" s="188" t="str">
        <f>"   "&amp;Labels!B394</f>
        <v xml:space="preserve">   Contributor</v>
      </c>
      <c r="B1242" s="166">
        <f>IF(C12&lt;0.001+1/12,'Sup Staff'!B28+'Sup Staff'!B42,MAX(0,'Sup Staff'!B28-0+'Sup Staff'!B42))</f>
        <v>0</v>
      </c>
      <c r="C1242" s="166">
        <f>IF(D12&lt;0.001+1/12,'Sup Staff'!C28+'Sup Staff'!C42,MAX(0,'Sup Staff'!C28-'Sup Staff'!B28+'Sup Staff'!C42))</f>
        <v>0</v>
      </c>
      <c r="D1242" s="166">
        <f>IF(E12&lt;0.001+1/12,'Sup Staff'!D28+'Sup Staff'!D42,MAX(0,'Sup Staff'!D28-'Sup Staff'!C28+'Sup Staff'!D42))</f>
        <v>0</v>
      </c>
      <c r="E1242" s="166">
        <f>IF(F12&lt;0.001+1/12,'Sup Staff'!F28+'Sup Staff'!F42,MAX(0,'Sup Staff'!F28-'Sup Staff'!D28+'Sup Staff'!F42))</f>
        <v>0</v>
      </c>
      <c r="F1242" s="166">
        <f>IF(G12&lt;0.001+1/12,'Sup Staff'!G28+'Sup Staff'!G42,MAX(0,'Sup Staff'!G28-'Sup Staff'!F28+'Sup Staff'!G42))</f>
        <v>0</v>
      </c>
      <c r="G1242" s="166">
        <f>IF(H12&lt;0.001+1/12,'Sup Staff'!H28+'Sup Staff'!H42,MAX(0,'Sup Staff'!H28-'Sup Staff'!G28+'Sup Staff'!H42))</f>
        <v>0</v>
      </c>
      <c r="H1242" s="166">
        <f>IF(I12&lt;0.001+1/12,'Sup Staff'!J28+'Sup Staff'!J42,MAX(0,'Sup Staff'!J28-'Sup Staff'!H28+'Sup Staff'!J42))</f>
        <v>0</v>
      </c>
      <c r="I1242" s="166">
        <f>IF(J12&lt;0.001+1/12,'Sup Staff'!K28+'Sup Staff'!K42,MAX(0,'Sup Staff'!K28-'Sup Staff'!J28+'Sup Staff'!K42))</f>
        <v>0</v>
      </c>
      <c r="J1242" s="166">
        <f>IF(K12&lt;0.001+1/12,'Sup Staff'!L28+'Sup Staff'!L42,MAX(0,'Sup Staff'!L28-'Sup Staff'!K28+'Sup Staff'!L42))</f>
        <v>0</v>
      </c>
      <c r="K1242" s="166">
        <f>IF(L12&lt;0.001+1/12,'Sup Staff'!N28+'Sup Staff'!N42,MAX(0,'Sup Staff'!N28-'Sup Staff'!L28+'Sup Staff'!N42))</f>
        <v>0</v>
      </c>
      <c r="L1242" s="166">
        <f>IF(M12&lt;0.001+1/12,'Sup Staff'!O28+'Sup Staff'!O42,MAX(0,'Sup Staff'!O28-'Sup Staff'!N28+'Sup Staff'!O42))</f>
        <v>0</v>
      </c>
      <c r="M1242" s="166">
        <f>IF(N12&lt;0.001+1/12,'Sup Staff'!P28+'Sup Staff'!P42,MAX(0,'Sup Staff'!P28-'Sup Staff'!O28+'Sup Staff'!P42))</f>
        <v>0</v>
      </c>
      <c r="N1242" s="166">
        <f>IF(O12&lt;0.001+1/12,'Sup Staff'!R28+'Sup Staff'!R42,MAX(0,'Sup Staff'!R28-'Sup Staff'!P28+'Sup Staff'!R42))</f>
        <v>0</v>
      </c>
      <c r="O1242" s="166">
        <f>IF(P12&lt;0.001+1/12,'Sup Staff'!S28+'Sup Staff'!S42,MAX(0,'Sup Staff'!S28-'Sup Staff'!R28+'Sup Staff'!S42))</f>
        <v>0</v>
      </c>
      <c r="P1242" s="166">
        <f>IF(Q12&lt;0.001+1/12,'Sup Staff'!T28+'Sup Staff'!T42,MAX(0,'Sup Staff'!T28-'Sup Staff'!S28+'Sup Staff'!T42))</f>
        <v>0</v>
      </c>
      <c r="Q1242" s="166">
        <f>IF(R12&lt;0.001+1/12,'Sup Staff'!V28+'Sup Staff'!V42,MAX(0,'Sup Staff'!V28-'Sup Staff'!T28+'Sup Staff'!V42))</f>
        <v>0</v>
      </c>
      <c r="R1242" s="166">
        <f>IF(S12&lt;0.001+1/12,'Sup Staff'!W28+'Sup Staff'!W42,MAX(0,'Sup Staff'!W28-'Sup Staff'!V28+'Sup Staff'!W42))</f>
        <v>0</v>
      </c>
      <c r="S1242" s="285">
        <f>IF(T12&lt;0.001+1/12,'Sup Staff'!X28+'Sup Staff'!X42,MAX(0,'Sup Staff'!X28-'Sup Staff'!W28+'Sup Staff'!X42))</f>
        <v>0</v>
      </c>
    </row>
    <row r="1243" spans="1:19" ht="12.75" customHeight="1" x14ac:dyDescent="0.2">
      <c r="A1243" s="191" t="str">
        <f>"   "&amp;Labels!C392</f>
        <v xml:space="preserve">   Total</v>
      </c>
      <c r="B1243" s="216">
        <f t="shared" ref="B1243:S1243" si="641">SUM(B1241:B1242)</f>
        <v>0</v>
      </c>
      <c r="C1243" s="216">
        <f t="shared" si="641"/>
        <v>0</v>
      </c>
      <c r="D1243" s="216">
        <f t="shared" si="641"/>
        <v>0</v>
      </c>
      <c r="E1243" s="216">
        <f t="shared" si="641"/>
        <v>0</v>
      </c>
      <c r="F1243" s="216">
        <f t="shared" si="641"/>
        <v>0</v>
      </c>
      <c r="G1243" s="216">
        <f t="shared" si="641"/>
        <v>0</v>
      </c>
      <c r="H1243" s="216">
        <f t="shared" si="641"/>
        <v>0</v>
      </c>
      <c r="I1243" s="216">
        <f t="shared" si="641"/>
        <v>0</v>
      </c>
      <c r="J1243" s="216">
        <f t="shared" si="641"/>
        <v>0</v>
      </c>
      <c r="K1243" s="216">
        <f t="shared" si="641"/>
        <v>0</v>
      </c>
      <c r="L1243" s="216">
        <f t="shared" si="641"/>
        <v>0</v>
      </c>
      <c r="M1243" s="216">
        <f t="shared" si="641"/>
        <v>0</v>
      </c>
      <c r="N1243" s="216">
        <f t="shared" si="641"/>
        <v>0</v>
      </c>
      <c r="O1243" s="216">
        <f t="shared" si="641"/>
        <v>0</v>
      </c>
      <c r="P1243" s="216">
        <f t="shared" si="641"/>
        <v>0</v>
      </c>
      <c r="Q1243" s="216">
        <f t="shared" si="641"/>
        <v>0</v>
      </c>
      <c r="R1243" s="216">
        <f t="shared" si="641"/>
        <v>0</v>
      </c>
      <c r="S1243" s="287">
        <f t="shared" si="641"/>
        <v>0</v>
      </c>
    </row>
    <row r="1244" spans="1:19" ht="12.75" customHeight="1" x14ac:dyDescent="0.2">
      <c r="A1244" s="97" t="str">
        <f>Labels!C320</f>
        <v>Total</v>
      </c>
      <c r="B1244" s="374">
        <f t="shared" ref="B1244:S1244" si="642">SUM(B1239,B1243)</f>
        <v>0</v>
      </c>
      <c r="C1244" s="374">
        <f t="shared" si="642"/>
        <v>0</v>
      </c>
      <c r="D1244" s="374">
        <f t="shared" si="642"/>
        <v>0</v>
      </c>
      <c r="E1244" s="374">
        <f t="shared" si="642"/>
        <v>0</v>
      </c>
      <c r="F1244" s="374">
        <f t="shared" si="642"/>
        <v>0</v>
      </c>
      <c r="G1244" s="374">
        <f t="shared" si="642"/>
        <v>0</v>
      </c>
      <c r="H1244" s="374">
        <f t="shared" si="642"/>
        <v>0</v>
      </c>
      <c r="I1244" s="374">
        <f t="shared" si="642"/>
        <v>0</v>
      </c>
      <c r="J1244" s="374">
        <f t="shared" si="642"/>
        <v>0</v>
      </c>
      <c r="K1244" s="374">
        <f t="shared" si="642"/>
        <v>0</v>
      </c>
      <c r="L1244" s="374">
        <f t="shared" si="642"/>
        <v>0</v>
      </c>
      <c r="M1244" s="374">
        <f t="shared" si="642"/>
        <v>0</v>
      </c>
      <c r="N1244" s="374">
        <f t="shared" si="642"/>
        <v>0</v>
      </c>
      <c r="O1244" s="374">
        <f t="shared" si="642"/>
        <v>0</v>
      </c>
      <c r="P1244" s="374">
        <f t="shared" si="642"/>
        <v>0</v>
      </c>
      <c r="Q1244" s="374">
        <f t="shared" si="642"/>
        <v>0</v>
      </c>
      <c r="R1244" s="374">
        <f t="shared" si="642"/>
        <v>0</v>
      </c>
      <c r="S1244" s="403">
        <f t="shared" si="642"/>
        <v>0</v>
      </c>
    </row>
    <row r="1245" spans="1:19" ht="12.75" customHeight="1" x14ac:dyDescent="0.2">
      <c r="A1245" s="188" t="str">
        <f>"   "&amp;Labels!B393</f>
        <v xml:space="preserve">   Manager</v>
      </c>
      <c r="B1245" s="166">
        <f t="shared" ref="B1245:S1245" si="643">SUM(B1237,B1241)</f>
        <v>0</v>
      </c>
      <c r="C1245" s="166">
        <f t="shared" si="643"/>
        <v>0</v>
      </c>
      <c r="D1245" s="166">
        <f t="shared" si="643"/>
        <v>0</v>
      </c>
      <c r="E1245" s="166">
        <f t="shared" si="643"/>
        <v>0</v>
      </c>
      <c r="F1245" s="166">
        <f t="shared" si="643"/>
        <v>0</v>
      </c>
      <c r="G1245" s="166">
        <f t="shared" si="643"/>
        <v>0</v>
      </c>
      <c r="H1245" s="166">
        <f t="shared" si="643"/>
        <v>0</v>
      </c>
      <c r="I1245" s="166">
        <f t="shared" si="643"/>
        <v>0</v>
      </c>
      <c r="J1245" s="166">
        <f t="shared" si="643"/>
        <v>0</v>
      </c>
      <c r="K1245" s="166">
        <f t="shared" si="643"/>
        <v>0</v>
      </c>
      <c r="L1245" s="166">
        <f t="shared" si="643"/>
        <v>0</v>
      </c>
      <c r="M1245" s="166">
        <f t="shared" si="643"/>
        <v>0</v>
      </c>
      <c r="N1245" s="166">
        <f t="shared" si="643"/>
        <v>0</v>
      </c>
      <c r="O1245" s="166">
        <f t="shared" si="643"/>
        <v>0</v>
      </c>
      <c r="P1245" s="166">
        <f t="shared" si="643"/>
        <v>0</v>
      </c>
      <c r="Q1245" s="166">
        <f t="shared" si="643"/>
        <v>0</v>
      </c>
      <c r="R1245" s="166">
        <f t="shared" si="643"/>
        <v>0</v>
      </c>
      <c r="S1245" s="285">
        <f t="shared" si="643"/>
        <v>0</v>
      </c>
    </row>
    <row r="1246" spans="1:19" ht="12.75" customHeight="1" x14ac:dyDescent="0.2">
      <c r="A1246" s="188" t="str">
        <f>"   "&amp;Labels!B394</f>
        <v xml:space="preserve">   Contributor</v>
      </c>
      <c r="B1246" s="166">
        <f t="shared" ref="B1246:S1246" si="644">SUM(B1238,B1242)</f>
        <v>0</v>
      </c>
      <c r="C1246" s="166">
        <f t="shared" si="644"/>
        <v>0</v>
      </c>
      <c r="D1246" s="166">
        <f t="shared" si="644"/>
        <v>0</v>
      </c>
      <c r="E1246" s="166">
        <f t="shared" si="644"/>
        <v>0</v>
      </c>
      <c r="F1246" s="166">
        <f t="shared" si="644"/>
        <v>0</v>
      </c>
      <c r="G1246" s="166">
        <f t="shared" si="644"/>
        <v>0</v>
      </c>
      <c r="H1246" s="166">
        <f t="shared" si="644"/>
        <v>0</v>
      </c>
      <c r="I1246" s="166">
        <f t="shared" si="644"/>
        <v>0</v>
      </c>
      <c r="J1246" s="166">
        <f t="shared" si="644"/>
        <v>0</v>
      </c>
      <c r="K1246" s="166">
        <f t="shared" si="644"/>
        <v>0</v>
      </c>
      <c r="L1246" s="166">
        <f t="shared" si="644"/>
        <v>0</v>
      </c>
      <c r="M1246" s="166">
        <f t="shared" si="644"/>
        <v>0</v>
      </c>
      <c r="N1246" s="166">
        <f t="shared" si="644"/>
        <v>0</v>
      </c>
      <c r="O1246" s="166">
        <f t="shared" si="644"/>
        <v>0</v>
      </c>
      <c r="P1246" s="166">
        <f t="shared" si="644"/>
        <v>0</v>
      </c>
      <c r="Q1246" s="166">
        <f t="shared" si="644"/>
        <v>0</v>
      </c>
      <c r="R1246" s="166">
        <f t="shared" si="644"/>
        <v>0</v>
      </c>
      <c r="S1246" s="285">
        <f t="shared" si="644"/>
        <v>0</v>
      </c>
    </row>
    <row r="1247" spans="1:19" ht="12.75" customHeight="1" x14ac:dyDescent="0.2">
      <c r="A1247" s="185" t="str">
        <f>"   "&amp;Labels!C392</f>
        <v xml:space="preserve">   Total</v>
      </c>
      <c r="B1247" s="297">
        <f t="shared" ref="B1247:S1247" si="645">SUM(B1239,B1243)</f>
        <v>0</v>
      </c>
      <c r="C1247" s="297">
        <f t="shared" si="645"/>
        <v>0</v>
      </c>
      <c r="D1247" s="297">
        <f t="shared" si="645"/>
        <v>0</v>
      </c>
      <c r="E1247" s="297">
        <f t="shared" si="645"/>
        <v>0</v>
      </c>
      <c r="F1247" s="297">
        <f t="shared" si="645"/>
        <v>0</v>
      </c>
      <c r="G1247" s="297">
        <f t="shared" si="645"/>
        <v>0</v>
      </c>
      <c r="H1247" s="297">
        <f t="shared" si="645"/>
        <v>0</v>
      </c>
      <c r="I1247" s="297">
        <f t="shared" si="645"/>
        <v>0</v>
      </c>
      <c r="J1247" s="297">
        <f t="shared" si="645"/>
        <v>0</v>
      </c>
      <c r="K1247" s="297">
        <f t="shared" si="645"/>
        <v>0</v>
      </c>
      <c r="L1247" s="297">
        <f t="shared" si="645"/>
        <v>0</v>
      </c>
      <c r="M1247" s="297">
        <f t="shared" si="645"/>
        <v>0</v>
      </c>
      <c r="N1247" s="297">
        <f t="shared" si="645"/>
        <v>0</v>
      </c>
      <c r="O1247" s="297">
        <f t="shared" si="645"/>
        <v>0</v>
      </c>
      <c r="P1247" s="297">
        <f t="shared" si="645"/>
        <v>0</v>
      </c>
      <c r="Q1247" s="297">
        <f t="shared" si="645"/>
        <v>0</v>
      </c>
      <c r="R1247" s="297">
        <f t="shared" si="645"/>
        <v>0</v>
      </c>
      <c r="S1247" s="350">
        <f t="shared" si="645"/>
        <v>0</v>
      </c>
    </row>
    <row r="1248" spans="1:19" ht="12.75" customHeight="1" x14ac:dyDescent="0.2">
      <c r="A1248" s="1" t="str">
        <f>Labels!B214</f>
        <v>Expense % Comp</v>
      </c>
    </row>
    <row r="1249" spans="1:19" ht="12.75" customHeight="1" x14ac:dyDescent="0.2">
      <c r="B1249" s="9" t="str">
        <f>Labels!B321</f>
        <v>Marketing</v>
      </c>
      <c r="C1249" s="10" t="str">
        <f>Labels!B322</f>
        <v>Sales</v>
      </c>
      <c r="D1249" s="181" t="str">
        <f>Labels!C320</f>
        <v>Total</v>
      </c>
    </row>
    <row r="1250" spans="1:19" ht="12.75" customHeight="1" x14ac:dyDescent="0.2">
      <c r="A1250" s="182" t="str">
        <f>Labels!B393</f>
        <v>Manager</v>
      </c>
      <c r="B1250" s="370">
        <f>Inputs!I265</f>
        <v>0</v>
      </c>
      <c r="C1250" s="370">
        <f>Inputs!I267</f>
        <v>0</v>
      </c>
      <c r="D1250" s="405">
        <f>IF(AVERAGE('Sup Staff'!C103:D103,'Sup Staff'!F103:H103,'Sup Staff'!J103:L103,'Sup Staff'!N103:P103,'Sup Staff'!R103:T103,'Sup Staff'!V103:X103)*SUM('Sup Staff'!C59:D59,'Sup Staff'!F59:H59,'Sup Staff'!J59:L59,'Sup Staff'!N59:P59,'Sup Staff'!R59:T59,'Sup Staff'!V59:X59)=0,0,SUM(OpExp!C217:D217,OpExp!F217:H217,OpExp!J217:L217,OpExp!N217:P217,OpExp!R217:T217,OpExp!V217:X217)/(AVERAGE('Sup Staff'!C103:D103,'Sup Staff'!F103:H103,'Sup Staff'!J103:L103,'Sup Staff'!N103:P103,'Sup Staff'!R103:T103,'Sup Staff'!V103:X103)*12*SUM('Sup Staff'!C59:D59,'Sup Staff'!F59:H59,'Sup Staff'!J59:L59,'Sup Staff'!N59:P59,'Sup Staff'!R59:T59,'Sup Staff'!V59:X59)))</f>
        <v>0</v>
      </c>
    </row>
    <row r="1251" spans="1:19" ht="12.75" customHeight="1" x14ac:dyDescent="0.2">
      <c r="A1251" s="191" t="str">
        <f>Labels!B394</f>
        <v>Contributor</v>
      </c>
      <c r="B1251" s="300">
        <f>Inputs!I266</f>
        <v>0</v>
      </c>
      <c r="C1251" s="300">
        <f>Inputs!I268</f>
        <v>0</v>
      </c>
      <c r="D1251" s="301">
        <f>IF(AVERAGE('Sup Staff'!C104:D104,'Sup Staff'!F104:H104,'Sup Staff'!J104:L104,'Sup Staff'!N104:P104,'Sup Staff'!R104:T104,'Sup Staff'!V104:X104)*SUM('Sup Staff'!C60:D60,'Sup Staff'!F60:H60,'Sup Staff'!J60:L60,'Sup Staff'!N60:P60,'Sup Staff'!R60:T60,'Sup Staff'!V60:X60)=0,0,SUM(OpExp!C218:D218,OpExp!F218:H218,OpExp!J218:L218,OpExp!N218:P218,OpExp!R218:T218,OpExp!V218:X218)/(AVERAGE('Sup Staff'!C104:D104,'Sup Staff'!F104:H104,'Sup Staff'!J104:L104,'Sup Staff'!N104:P104,'Sup Staff'!R104:T104,'Sup Staff'!V104:X104)*12*SUM('Sup Staff'!C60:D60,'Sup Staff'!F60:H60,'Sup Staff'!J60:L60,'Sup Staff'!N60:P60,'Sup Staff'!R60:T60,'Sup Staff'!V60:X60)))</f>
        <v>0</v>
      </c>
    </row>
    <row r="1252" spans="1:19" ht="12.75" customHeight="1" x14ac:dyDescent="0.2">
      <c r="A1252" s="97" t="str">
        <f>Labels!C392</f>
        <v>Total</v>
      </c>
      <c r="B1252" s="387">
        <f>IF(AVERAGE('Sup Staff'!C97:D97,'Sup Staff'!F97:H97,'Sup Staff'!J97:L97,'Sup Staff'!N97:P97,'Sup Staff'!R97:T97,'Sup Staff'!V97:X97)*SUM('Sup Staff'!C53:D53,'Sup Staff'!F53:H53,'Sup Staff'!J53:L53,'Sup Staff'!N53:P53,'Sup Staff'!R53:T53,'Sup Staff'!V53:X53)=0,0,SUM(OpExp!C211:D211,OpExp!F211:H211,OpExp!J211:L211,OpExp!N211:P211,OpExp!R211:T211,OpExp!V211:X211)/(AVERAGE('Sup Staff'!C97:D97,'Sup Staff'!F97:H97,'Sup Staff'!J97:L97,'Sup Staff'!N97:P97,'Sup Staff'!R97:T97,'Sup Staff'!V97:X97)*12*SUM('Sup Staff'!C53:D53,'Sup Staff'!F53:H53,'Sup Staff'!J53:L53,'Sup Staff'!N53:P53,'Sup Staff'!R53:T53,'Sup Staff'!V53:X53)))</f>
        <v>0</v>
      </c>
      <c r="C1252" s="387">
        <f>IF(AVERAGE('Sup Staff'!C101:D101,'Sup Staff'!F101:H101,'Sup Staff'!J101:L101,'Sup Staff'!N101:P101,'Sup Staff'!R101:T101,'Sup Staff'!V101:X101)*SUM('Sup Staff'!C57:D57,'Sup Staff'!F57:H57,'Sup Staff'!J57:L57,'Sup Staff'!N57:P57,'Sup Staff'!R57:T57,'Sup Staff'!V57:X57)=0,0,SUM(OpExp!C215:D215,OpExp!F215:H215,OpExp!J215:L215,OpExp!N215:P215,OpExp!R215:T215,OpExp!V215:X215)/(AVERAGE('Sup Staff'!C101:D101,'Sup Staff'!F101:H101,'Sup Staff'!J101:L101,'Sup Staff'!N101:P101,'Sup Staff'!R101:T101,'Sup Staff'!V101:X101)*12*SUM('Sup Staff'!C57:D57,'Sup Staff'!F57:H57,'Sup Staff'!J57:L57,'Sup Staff'!N57:P57,'Sup Staff'!R57:T57,'Sup Staff'!V57:X57)))</f>
        <v>0</v>
      </c>
      <c r="D1252" s="406">
        <f>IF(AVERAGE('Sup Staff'!C102:D102,'Sup Staff'!F102:H102,'Sup Staff'!J102:L102,'Sup Staff'!N102:P102,'Sup Staff'!R102:T102,'Sup Staff'!V102:X102)*SUM('Sup Staff'!C58:D58,'Sup Staff'!F58:H58,'Sup Staff'!J58:L58,'Sup Staff'!N58:P58,'Sup Staff'!R58:T58,'Sup Staff'!V58:X58)=0,0,SUM(OpExp!C216:D216,OpExp!F216:H216,OpExp!J216:L216,OpExp!N216:P216,OpExp!R216:T216,OpExp!V216:X216)/(AVERAGE('Sup Staff'!C102:D102,'Sup Staff'!F102:H102,'Sup Staff'!J102:L102,'Sup Staff'!N102:P102,'Sup Staff'!R102:T102,'Sup Staff'!V102:X102)*12*SUM('Sup Staff'!C58:D58,'Sup Staff'!F58:H58,'Sup Staff'!J58:L58,'Sup Staff'!N58:P58,'Sup Staff'!R58:T58,'Sup Staff'!V58:X58)))</f>
        <v>0</v>
      </c>
    </row>
    <row r="1253" spans="1:19" ht="12.75" customHeight="1" x14ac:dyDescent="0.2">
      <c r="A1253" s="1" t="str">
        <f>Labels!B265</f>
        <v>Wage increase period %</v>
      </c>
    </row>
    <row r="1254" spans="1:19" ht="12.75" customHeight="1" x14ac:dyDescent="0.2">
      <c r="B1254" s="9" t="str">
        <f>'(FnCalls 1)'!F41</f>
        <v>MMM 2010</v>
      </c>
      <c r="C1254" s="10" t="str">
        <f>'(FnCalls 1)'!F42</f>
        <v>MMM 2010</v>
      </c>
      <c r="D1254" s="10" t="str">
        <f>'(FnCalls 1)'!F43</f>
        <v>MMM 2010</v>
      </c>
      <c r="E1254" s="10" t="str">
        <f>'(FnCalls 1)'!F44</f>
        <v>MMM 2010</v>
      </c>
      <c r="F1254" s="10" t="str">
        <f>'(FnCalls 1)'!F45</f>
        <v>MMM 2010</v>
      </c>
      <c r="G1254" s="10" t="str">
        <f>'(FnCalls 1)'!F46</f>
        <v>MMM 2010</v>
      </c>
      <c r="H1254" s="10" t="str">
        <f>'(FnCalls 1)'!F47</f>
        <v>MMM 2010</v>
      </c>
      <c r="I1254" s="10" t="str">
        <f>'(FnCalls 1)'!F48</f>
        <v>MMM 2010</v>
      </c>
      <c r="J1254" s="10" t="str">
        <f>'(FnCalls 1)'!F49</f>
        <v>MMM 2010</v>
      </c>
      <c r="K1254" s="10" t="str">
        <f>'(FnCalls 1)'!F50</f>
        <v>MMM 2010</v>
      </c>
      <c r="L1254" s="10" t="str">
        <f>'(FnCalls 1)'!F51</f>
        <v>MMM 2010</v>
      </c>
      <c r="M1254" s="10" t="str">
        <f>'(FnCalls 1)'!F52</f>
        <v>MMM 2010</v>
      </c>
      <c r="N1254" s="10" t="str">
        <f>'(FnCalls 1)'!F53</f>
        <v>MMM 2011</v>
      </c>
      <c r="O1254" s="10" t="str">
        <f>'(FnCalls 1)'!F54</f>
        <v>MMM 2011</v>
      </c>
      <c r="P1254" s="10" t="str">
        <f>'(FnCalls 1)'!F55</f>
        <v>MMM 2011</v>
      </c>
      <c r="Q1254" s="10" t="str">
        <f>'(FnCalls 1)'!F56</f>
        <v>MMM 2011</v>
      </c>
      <c r="R1254" s="10" t="str">
        <f>'(FnCalls 1)'!F57</f>
        <v>MMM 2011</v>
      </c>
      <c r="S1254" s="11" t="str">
        <f>'(FnCalls 1)'!F58</f>
        <v>MMM 2011</v>
      </c>
    </row>
    <row r="1255" spans="1:19" ht="12.75" customHeight="1" x14ac:dyDescent="0.2">
      <c r="A1255" s="182" t="str">
        <f>Labels!B393</f>
        <v>Manager</v>
      </c>
      <c r="B1255" s="207">
        <f>IF(Inputs!F241,(1+B1043)^(1/12)-1,B1043)</f>
        <v>2.4662697723036864E-3</v>
      </c>
      <c r="C1255" s="207">
        <f>IF(Inputs!F241,(1+C1043)^(1/12)-1,C1043)</f>
        <v>2.4662697723036864E-3</v>
      </c>
      <c r="D1255" s="207">
        <f>IF(Inputs!F241,(1+D1043)^(1/12)-1,D1043)</f>
        <v>2.4662697723036864E-3</v>
      </c>
      <c r="E1255" s="207">
        <f>IF(Inputs!F241,(1+E1043)^(1/12)-1,E1043)</f>
        <v>2.4662697723036864E-3</v>
      </c>
      <c r="F1255" s="207">
        <f>IF(Inputs!F241,(1+F1043)^(1/12)-1,F1043)</f>
        <v>2.4662697723036864E-3</v>
      </c>
      <c r="G1255" s="207">
        <f>IF(Inputs!F241,(1+G1043)^(1/12)-1,G1043)</f>
        <v>2.4662697723036864E-3</v>
      </c>
      <c r="H1255" s="207">
        <f>IF(Inputs!F241,(1+H1043)^(1/12)-1,H1043)</f>
        <v>2.4662697723036864E-3</v>
      </c>
      <c r="I1255" s="207">
        <f>IF(Inputs!F241,(1+I1043)^(1/12)-1,I1043)</f>
        <v>2.4662697723036864E-3</v>
      </c>
      <c r="J1255" s="207">
        <f>IF(Inputs!F241,(1+J1043)^(1/12)-1,J1043)</f>
        <v>2.4662697723036864E-3</v>
      </c>
      <c r="K1255" s="207">
        <f>IF(Inputs!F241,(1+K1043)^(1/12)-1,K1043)</f>
        <v>2.4662697723036864E-3</v>
      </c>
      <c r="L1255" s="207">
        <f>IF(Inputs!F241,(1+L1043)^(1/12)-1,L1043)</f>
        <v>2.4662697723036864E-3</v>
      </c>
      <c r="M1255" s="207">
        <f>IF(Inputs!F241,(1+M1043)^(1/12)-1,M1043)</f>
        <v>2.4662697723036864E-3</v>
      </c>
      <c r="N1255" s="207">
        <f>IF(Inputs!F241,(1+N1043)^(1/12)-1,N1043)</f>
        <v>2.4662697723036864E-3</v>
      </c>
      <c r="O1255" s="207">
        <f>IF(Inputs!F241,(1+O1043)^(1/12)-1,O1043)</f>
        <v>2.4662697723036864E-3</v>
      </c>
      <c r="P1255" s="207">
        <f>IF(Inputs!F241,(1+P1043)^(1/12)-1,P1043)</f>
        <v>2.4662697723036864E-3</v>
      </c>
      <c r="Q1255" s="207">
        <f>IF(Inputs!F241,(1+Q1043)^(1/12)-1,Q1043)</f>
        <v>2.4662697723036864E-3</v>
      </c>
      <c r="R1255" s="207">
        <f>IF(Inputs!F241,(1+R1043)^(1/12)-1,R1043)</f>
        <v>2.4662697723036864E-3</v>
      </c>
      <c r="S1255" s="391">
        <f>IF(Inputs!F241,(1+S1043)^(1/12)-1,S1043)</f>
        <v>2.4662697723036864E-3</v>
      </c>
    </row>
    <row r="1256" spans="1:19" ht="12.75" customHeight="1" x14ac:dyDescent="0.2">
      <c r="A1256" s="191" t="str">
        <f>Labels!B394</f>
        <v>Contributor</v>
      </c>
      <c r="B1256" s="211">
        <f>IF(Inputs!F241,(1+B1044)^(1/12)-1,B1044)</f>
        <v>2.4662697723036864E-3</v>
      </c>
      <c r="C1256" s="211">
        <f>IF(Inputs!F241,(1+C1044)^(1/12)-1,C1044)</f>
        <v>2.4662697723036864E-3</v>
      </c>
      <c r="D1256" s="211">
        <f>IF(Inputs!F241,(1+D1044)^(1/12)-1,D1044)</f>
        <v>2.4662697723036864E-3</v>
      </c>
      <c r="E1256" s="211">
        <f>IF(Inputs!F241,(1+E1044)^(1/12)-1,E1044)</f>
        <v>2.4662697723036864E-3</v>
      </c>
      <c r="F1256" s="211">
        <f>IF(Inputs!F241,(1+F1044)^(1/12)-1,F1044)</f>
        <v>2.4662697723036864E-3</v>
      </c>
      <c r="G1256" s="211">
        <f>IF(Inputs!F241,(1+G1044)^(1/12)-1,G1044)</f>
        <v>2.4662697723036864E-3</v>
      </c>
      <c r="H1256" s="211">
        <f>IF(Inputs!F241,(1+H1044)^(1/12)-1,H1044)</f>
        <v>2.4662697723036864E-3</v>
      </c>
      <c r="I1256" s="211">
        <f>IF(Inputs!F241,(1+I1044)^(1/12)-1,I1044)</f>
        <v>2.4662697723036864E-3</v>
      </c>
      <c r="J1256" s="211">
        <f>IF(Inputs!F241,(1+J1044)^(1/12)-1,J1044)</f>
        <v>2.4662697723036864E-3</v>
      </c>
      <c r="K1256" s="211">
        <f>IF(Inputs!F241,(1+K1044)^(1/12)-1,K1044)</f>
        <v>2.4662697723036864E-3</v>
      </c>
      <c r="L1256" s="211">
        <f>IF(Inputs!F241,(1+L1044)^(1/12)-1,L1044)</f>
        <v>2.4662697723036864E-3</v>
      </c>
      <c r="M1256" s="211">
        <f>IF(Inputs!F241,(1+M1044)^(1/12)-1,M1044)</f>
        <v>2.4662697723036864E-3</v>
      </c>
      <c r="N1256" s="211">
        <f>IF(Inputs!F241,(1+N1044)^(1/12)-1,N1044)</f>
        <v>2.4662697723036864E-3</v>
      </c>
      <c r="O1256" s="211">
        <f>IF(Inputs!F241,(1+O1044)^(1/12)-1,O1044)</f>
        <v>2.4662697723036864E-3</v>
      </c>
      <c r="P1256" s="211">
        <f>IF(Inputs!F241,(1+P1044)^(1/12)-1,P1044)</f>
        <v>2.4662697723036864E-3</v>
      </c>
      <c r="Q1256" s="211">
        <f>IF(Inputs!F241,(1+Q1044)^(1/12)-1,Q1044)</f>
        <v>2.4662697723036864E-3</v>
      </c>
      <c r="R1256" s="211">
        <f>IF(Inputs!F241,(1+R1044)^(1/12)-1,R1044)</f>
        <v>2.4662697723036864E-3</v>
      </c>
      <c r="S1256" s="395">
        <f>IF(Inputs!F241,(1+S1044)^(1/12)-1,S1044)</f>
        <v>2.4662697723036864E-3</v>
      </c>
    </row>
    <row r="1257" spans="1:19" ht="12.75" customHeight="1" x14ac:dyDescent="0.2">
      <c r="A1257" s="97" t="str">
        <f>Labels!C392</f>
        <v>Total</v>
      </c>
      <c r="B1257" s="379">
        <f t="shared" ref="B1257:S1257" si="646">AVERAGE(B1255:B1256)</f>
        <v>2.4662697723036864E-3</v>
      </c>
      <c r="C1257" s="379">
        <f t="shared" si="646"/>
        <v>2.4662697723036864E-3</v>
      </c>
      <c r="D1257" s="379">
        <f t="shared" si="646"/>
        <v>2.4662697723036864E-3</v>
      </c>
      <c r="E1257" s="379">
        <f t="shared" si="646"/>
        <v>2.4662697723036864E-3</v>
      </c>
      <c r="F1257" s="379">
        <f t="shared" si="646"/>
        <v>2.4662697723036864E-3</v>
      </c>
      <c r="G1257" s="379">
        <f t="shared" si="646"/>
        <v>2.4662697723036864E-3</v>
      </c>
      <c r="H1257" s="379">
        <f t="shared" si="646"/>
        <v>2.4662697723036864E-3</v>
      </c>
      <c r="I1257" s="379">
        <f t="shared" si="646"/>
        <v>2.4662697723036864E-3</v>
      </c>
      <c r="J1257" s="379">
        <f t="shared" si="646"/>
        <v>2.4662697723036864E-3</v>
      </c>
      <c r="K1257" s="379">
        <f t="shared" si="646"/>
        <v>2.4662697723036864E-3</v>
      </c>
      <c r="L1257" s="379">
        <f t="shared" si="646"/>
        <v>2.4662697723036864E-3</v>
      </c>
      <c r="M1257" s="379">
        <f t="shared" si="646"/>
        <v>2.4662697723036864E-3</v>
      </c>
      <c r="N1257" s="379">
        <f t="shared" si="646"/>
        <v>2.4662697723036864E-3</v>
      </c>
      <c r="O1257" s="379">
        <f t="shared" si="646"/>
        <v>2.4662697723036864E-3</v>
      </c>
      <c r="P1257" s="379">
        <f t="shared" si="646"/>
        <v>2.4662697723036864E-3</v>
      </c>
      <c r="Q1257" s="379">
        <f t="shared" si="646"/>
        <v>2.4662697723036864E-3</v>
      </c>
      <c r="R1257" s="379">
        <f t="shared" si="646"/>
        <v>2.4662697723036864E-3</v>
      </c>
      <c r="S1257" s="396">
        <f t="shared" si="646"/>
        <v>2.4662697723036864E-3</v>
      </c>
    </row>
    <row r="1258" spans="1:19" ht="12.75" customHeight="1" x14ac:dyDescent="0.2">
      <c r="A1258" s="1" t="str">
        <f>Labels!B125</f>
        <v>Mktg Pgms Exp Early</v>
      </c>
    </row>
    <row r="1259" spans="1:19" ht="12.75" customHeight="1" x14ac:dyDescent="0.2">
      <c r="B1259" s="9" t="str">
        <f>'(FnCalls 1)'!F41</f>
        <v>MMM 2010</v>
      </c>
      <c r="C1259" s="10" t="str">
        <f>'(FnCalls 1)'!F42</f>
        <v>MMM 2010</v>
      </c>
      <c r="D1259" s="10" t="str">
        <f>'(FnCalls 1)'!F43</f>
        <v>MMM 2010</v>
      </c>
      <c r="E1259" s="10" t="str">
        <f>'(FnCalls 1)'!F44</f>
        <v>MMM 2010</v>
      </c>
      <c r="F1259" s="10" t="str">
        <f>'(FnCalls 1)'!F45</f>
        <v>MMM 2010</v>
      </c>
      <c r="G1259" s="10" t="str">
        <f>'(FnCalls 1)'!F46</f>
        <v>MMM 2010</v>
      </c>
      <c r="H1259" s="10" t="str">
        <f>'(FnCalls 1)'!F47</f>
        <v>MMM 2010</v>
      </c>
      <c r="I1259" s="10" t="str">
        <f>'(FnCalls 1)'!F48</f>
        <v>MMM 2010</v>
      </c>
      <c r="J1259" s="10" t="str">
        <f>'(FnCalls 1)'!F49</f>
        <v>MMM 2010</v>
      </c>
      <c r="K1259" s="10" t="str">
        <f>'(FnCalls 1)'!F50</f>
        <v>MMM 2010</v>
      </c>
      <c r="L1259" s="10" t="str">
        <f>'(FnCalls 1)'!F51</f>
        <v>MMM 2010</v>
      </c>
      <c r="M1259" s="10" t="str">
        <f>'(FnCalls 1)'!F52</f>
        <v>MMM 2010</v>
      </c>
      <c r="N1259" s="10" t="str">
        <f>'(FnCalls 1)'!F53</f>
        <v>MMM 2011</v>
      </c>
      <c r="O1259" s="10" t="str">
        <f>'(FnCalls 1)'!F54</f>
        <v>MMM 2011</v>
      </c>
      <c r="P1259" s="10" t="str">
        <f>'(FnCalls 1)'!F55</f>
        <v>MMM 2011</v>
      </c>
      <c r="Q1259" s="10" t="str">
        <f>'(FnCalls 1)'!F56</f>
        <v>MMM 2011</v>
      </c>
      <c r="R1259" s="10" t="str">
        <f>'(FnCalls 1)'!F57</f>
        <v>MMM 2011</v>
      </c>
      <c r="S1259" s="11" t="str">
        <f>'(FnCalls 1)'!F58</f>
        <v>MMM 2011</v>
      </c>
    </row>
    <row r="1260" spans="1:19" ht="12.75" customHeight="1" x14ac:dyDescent="0.2">
      <c r="A1260" s="182" t="str">
        <f>Labels!B369</f>
        <v>Seminars</v>
      </c>
      <c r="B1260" s="239"/>
      <c r="C1260" s="239"/>
      <c r="D1260" s="239"/>
      <c r="E1260" s="239"/>
      <c r="F1260" s="239"/>
      <c r="G1260" s="239"/>
      <c r="H1260" s="239"/>
      <c r="I1260" s="239"/>
      <c r="J1260" s="239"/>
      <c r="K1260" s="239"/>
      <c r="L1260" s="239"/>
      <c r="M1260" s="239"/>
      <c r="N1260" s="239"/>
      <c r="O1260" s="239"/>
      <c r="P1260" s="239"/>
      <c r="Q1260" s="239"/>
      <c r="R1260" s="239"/>
      <c r="S1260" s="335"/>
    </row>
    <row r="1261" spans="1:19" ht="12.75" customHeight="1" x14ac:dyDescent="0.2">
      <c r="A1261" s="188" t="str">
        <f>"   "&amp;Labels!B381</f>
        <v xml:space="preserve">   Practice 1</v>
      </c>
      <c r="B1261" s="241">
        <f>Inputs!F276</f>
        <v>0</v>
      </c>
      <c r="C1261" s="241">
        <f>Inputs!G276</f>
        <v>0</v>
      </c>
      <c r="D1261" s="241">
        <f>Inputs!H276</f>
        <v>0</v>
      </c>
      <c r="E1261" s="241">
        <f>Inputs!I276</f>
        <v>0</v>
      </c>
      <c r="F1261" s="241">
        <f>Inputs!J276</f>
        <v>0</v>
      </c>
      <c r="G1261" s="241">
        <f>Inputs!K276</f>
        <v>0</v>
      </c>
      <c r="H1261" s="241">
        <f>Inputs!L276</f>
        <v>0</v>
      </c>
      <c r="I1261" s="241">
        <f>Inputs!M276</f>
        <v>0</v>
      </c>
      <c r="J1261" s="241">
        <f>Inputs!N276</f>
        <v>0</v>
      </c>
      <c r="K1261" s="241">
        <f>Inputs!O276</f>
        <v>0</v>
      </c>
      <c r="L1261" s="241">
        <f>Inputs!P276</f>
        <v>0</v>
      </c>
      <c r="M1261" s="241">
        <f>Inputs!Q276</f>
        <v>0</v>
      </c>
      <c r="N1261" s="241">
        <f>Inputs!R276</f>
        <v>0</v>
      </c>
      <c r="O1261" s="241">
        <f>Inputs!S276</f>
        <v>0</v>
      </c>
      <c r="P1261" s="241">
        <f>Inputs!T276</f>
        <v>0</v>
      </c>
      <c r="Q1261" s="241">
        <f>Inputs!U276</f>
        <v>0</v>
      </c>
      <c r="R1261" s="241">
        <f>Inputs!V276</f>
        <v>0</v>
      </c>
      <c r="S1261" s="352">
        <f>Inputs!W276</f>
        <v>0</v>
      </c>
    </row>
    <row r="1262" spans="1:19" ht="12.75" customHeight="1" x14ac:dyDescent="0.2">
      <c r="A1262" s="188" t="str">
        <f>"   "&amp;Labels!B382</f>
        <v xml:space="preserve">   Practice 2</v>
      </c>
      <c r="B1262" s="241">
        <f>Inputs!F277</f>
        <v>0</v>
      </c>
      <c r="C1262" s="241">
        <f>Inputs!G277</f>
        <v>0</v>
      </c>
      <c r="D1262" s="241">
        <f>Inputs!H277</f>
        <v>0</v>
      </c>
      <c r="E1262" s="241">
        <f>Inputs!I277</f>
        <v>0</v>
      </c>
      <c r="F1262" s="241">
        <f>Inputs!J277</f>
        <v>0</v>
      </c>
      <c r="G1262" s="241">
        <f>Inputs!K277</f>
        <v>0</v>
      </c>
      <c r="H1262" s="241">
        <f>Inputs!L277</f>
        <v>0</v>
      </c>
      <c r="I1262" s="241">
        <f>Inputs!M277</f>
        <v>0</v>
      </c>
      <c r="J1262" s="241">
        <f>Inputs!N277</f>
        <v>0</v>
      </c>
      <c r="K1262" s="241">
        <f>Inputs!O277</f>
        <v>0</v>
      </c>
      <c r="L1262" s="241">
        <f>Inputs!P277</f>
        <v>0</v>
      </c>
      <c r="M1262" s="241">
        <f>Inputs!Q277</f>
        <v>0</v>
      </c>
      <c r="N1262" s="241">
        <f>Inputs!R277</f>
        <v>0</v>
      </c>
      <c r="O1262" s="241">
        <f>Inputs!S277</f>
        <v>0</v>
      </c>
      <c r="P1262" s="241">
        <f>Inputs!T277</f>
        <v>0</v>
      </c>
      <c r="Q1262" s="241">
        <f>Inputs!U277</f>
        <v>0</v>
      </c>
      <c r="R1262" s="241">
        <f>Inputs!V277</f>
        <v>0</v>
      </c>
      <c r="S1262" s="352">
        <f>Inputs!W277</f>
        <v>0</v>
      </c>
    </row>
    <row r="1263" spans="1:19" ht="12.75" customHeight="1" x14ac:dyDescent="0.2">
      <c r="A1263" s="191" t="str">
        <f>"   "&amp;Labels!C380</f>
        <v xml:space="preserve">   Total</v>
      </c>
      <c r="B1263" s="245">
        <f t="shared" ref="B1263:S1263" si="647">SUM(B1261:B1262)</f>
        <v>0</v>
      </c>
      <c r="C1263" s="245">
        <f t="shared" si="647"/>
        <v>0</v>
      </c>
      <c r="D1263" s="245">
        <f t="shared" si="647"/>
        <v>0</v>
      </c>
      <c r="E1263" s="245">
        <f t="shared" si="647"/>
        <v>0</v>
      </c>
      <c r="F1263" s="245">
        <f t="shared" si="647"/>
        <v>0</v>
      </c>
      <c r="G1263" s="245">
        <f t="shared" si="647"/>
        <v>0</v>
      </c>
      <c r="H1263" s="245">
        <f t="shared" si="647"/>
        <v>0</v>
      </c>
      <c r="I1263" s="245">
        <f t="shared" si="647"/>
        <v>0</v>
      </c>
      <c r="J1263" s="245">
        <f t="shared" si="647"/>
        <v>0</v>
      </c>
      <c r="K1263" s="245">
        <f t="shared" si="647"/>
        <v>0</v>
      </c>
      <c r="L1263" s="245">
        <f t="shared" si="647"/>
        <v>0</v>
      </c>
      <c r="M1263" s="245">
        <f t="shared" si="647"/>
        <v>0</v>
      </c>
      <c r="N1263" s="245">
        <f t="shared" si="647"/>
        <v>0</v>
      </c>
      <c r="O1263" s="245">
        <f t="shared" si="647"/>
        <v>0</v>
      </c>
      <c r="P1263" s="245">
        <f t="shared" si="647"/>
        <v>0</v>
      </c>
      <c r="Q1263" s="245">
        <f t="shared" si="647"/>
        <v>0</v>
      </c>
      <c r="R1263" s="245">
        <f t="shared" si="647"/>
        <v>0</v>
      </c>
      <c r="S1263" s="353">
        <f t="shared" si="647"/>
        <v>0</v>
      </c>
    </row>
    <row r="1264" spans="1:19" ht="12.75" customHeight="1" x14ac:dyDescent="0.2">
      <c r="A1264" s="191" t="str">
        <f>Labels!B370</f>
        <v>Publications</v>
      </c>
      <c r="B1264" s="245"/>
      <c r="C1264" s="245"/>
      <c r="D1264" s="245"/>
      <c r="E1264" s="245"/>
      <c r="F1264" s="245"/>
      <c r="G1264" s="245"/>
      <c r="H1264" s="245"/>
      <c r="I1264" s="245"/>
      <c r="J1264" s="245"/>
      <c r="K1264" s="245"/>
      <c r="L1264" s="245"/>
      <c r="M1264" s="245"/>
      <c r="N1264" s="245"/>
      <c r="O1264" s="245"/>
      <c r="P1264" s="245"/>
      <c r="Q1264" s="245"/>
      <c r="R1264" s="245"/>
      <c r="S1264" s="353"/>
    </row>
    <row r="1265" spans="1:19" ht="12.75" customHeight="1" x14ac:dyDescent="0.2">
      <c r="A1265" s="188" t="str">
        <f>"   "&amp;Labels!B381</f>
        <v xml:space="preserve">   Practice 1</v>
      </c>
      <c r="B1265" s="241">
        <f>Inputs!F278</f>
        <v>0</v>
      </c>
      <c r="C1265" s="241">
        <f>Inputs!G278</f>
        <v>0</v>
      </c>
      <c r="D1265" s="241">
        <f>Inputs!H278</f>
        <v>0</v>
      </c>
      <c r="E1265" s="241">
        <f>Inputs!I278</f>
        <v>0</v>
      </c>
      <c r="F1265" s="241">
        <f>Inputs!J278</f>
        <v>0</v>
      </c>
      <c r="G1265" s="241">
        <f>Inputs!K278</f>
        <v>0</v>
      </c>
      <c r="H1265" s="241">
        <f>Inputs!L278</f>
        <v>0</v>
      </c>
      <c r="I1265" s="241">
        <f>Inputs!M278</f>
        <v>0</v>
      </c>
      <c r="J1265" s="241">
        <f>Inputs!N278</f>
        <v>0</v>
      </c>
      <c r="K1265" s="241">
        <f>Inputs!O278</f>
        <v>0</v>
      </c>
      <c r="L1265" s="241">
        <f>Inputs!P278</f>
        <v>0</v>
      </c>
      <c r="M1265" s="241">
        <f>Inputs!Q278</f>
        <v>0</v>
      </c>
      <c r="N1265" s="241">
        <f>Inputs!R278</f>
        <v>0</v>
      </c>
      <c r="O1265" s="241">
        <f>Inputs!S278</f>
        <v>0</v>
      </c>
      <c r="P1265" s="241">
        <f>Inputs!T278</f>
        <v>0</v>
      </c>
      <c r="Q1265" s="241">
        <f>Inputs!U278</f>
        <v>0</v>
      </c>
      <c r="R1265" s="241">
        <f>Inputs!V278</f>
        <v>0</v>
      </c>
      <c r="S1265" s="352">
        <f>Inputs!W278</f>
        <v>0</v>
      </c>
    </row>
    <row r="1266" spans="1:19" ht="12.75" customHeight="1" x14ac:dyDescent="0.2">
      <c r="A1266" s="188" t="str">
        <f>"   "&amp;Labels!B382</f>
        <v xml:space="preserve">   Practice 2</v>
      </c>
      <c r="B1266" s="241">
        <f>Inputs!F279</f>
        <v>0</v>
      </c>
      <c r="C1266" s="241">
        <f>Inputs!G279</f>
        <v>0</v>
      </c>
      <c r="D1266" s="241">
        <f>Inputs!H279</f>
        <v>0</v>
      </c>
      <c r="E1266" s="241">
        <f>Inputs!I279</f>
        <v>0</v>
      </c>
      <c r="F1266" s="241">
        <f>Inputs!J279</f>
        <v>0</v>
      </c>
      <c r="G1266" s="241">
        <f>Inputs!K279</f>
        <v>0</v>
      </c>
      <c r="H1266" s="241">
        <f>Inputs!L279</f>
        <v>0</v>
      </c>
      <c r="I1266" s="241">
        <f>Inputs!M279</f>
        <v>0</v>
      </c>
      <c r="J1266" s="241">
        <f>Inputs!N279</f>
        <v>0</v>
      </c>
      <c r="K1266" s="241">
        <f>Inputs!O279</f>
        <v>0</v>
      </c>
      <c r="L1266" s="241">
        <f>Inputs!P279</f>
        <v>0</v>
      </c>
      <c r="M1266" s="241">
        <f>Inputs!Q279</f>
        <v>0</v>
      </c>
      <c r="N1266" s="241">
        <f>Inputs!R279</f>
        <v>0</v>
      </c>
      <c r="O1266" s="241">
        <f>Inputs!S279</f>
        <v>0</v>
      </c>
      <c r="P1266" s="241">
        <f>Inputs!T279</f>
        <v>0</v>
      </c>
      <c r="Q1266" s="241">
        <f>Inputs!U279</f>
        <v>0</v>
      </c>
      <c r="R1266" s="241">
        <f>Inputs!V279</f>
        <v>0</v>
      </c>
      <c r="S1266" s="352">
        <f>Inputs!W279</f>
        <v>0</v>
      </c>
    </row>
    <row r="1267" spans="1:19" ht="12.75" customHeight="1" x14ac:dyDescent="0.2">
      <c r="A1267" s="191" t="str">
        <f>"   "&amp;Labels!C380</f>
        <v xml:space="preserve">   Total</v>
      </c>
      <c r="B1267" s="245">
        <f t="shared" ref="B1267:S1267" si="648">SUM(B1265:B1266)</f>
        <v>0</v>
      </c>
      <c r="C1267" s="245">
        <f t="shared" si="648"/>
        <v>0</v>
      </c>
      <c r="D1267" s="245">
        <f t="shared" si="648"/>
        <v>0</v>
      </c>
      <c r="E1267" s="245">
        <f t="shared" si="648"/>
        <v>0</v>
      </c>
      <c r="F1267" s="245">
        <f t="shared" si="648"/>
        <v>0</v>
      </c>
      <c r="G1267" s="245">
        <f t="shared" si="648"/>
        <v>0</v>
      </c>
      <c r="H1267" s="245">
        <f t="shared" si="648"/>
        <v>0</v>
      </c>
      <c r="I1267" s="245">
        <f t="shared" si="648"/>
        <v>0</v>
      </c>
      <c r="J1267" s="245">
        <f t="shared" si="648"/>
        <v>0</v>
      </c>
      <c r="K1267" s="245">
        <f t="shared" si="648"/>
        <v>0</v>
      </c>
      <c r="L1267" s="245">
        <f t="shared" si="648"/>
        <v>0</v>
      </c>
      <c r="M1267" s="245">
        <f t="shared" si="648"/>
        <v>0</v>
      </c>
      <c r="N1267" s="245">
        <f t="shared" si="648"/>
        <v>0</v>
      </c>
      <c r="O1267" s="245">
        <f t="shared" si="648"/>
        <v>0</v>
      </c>
      <c r="P1267" s="245">
        <f t="shared" si="648"/>
        <v>0</v>
      </c>
      <c r="Q1267" s="245">
        <f t="shared" si="648"/>
        <v>0</v>
      </c>
      <c r="R1267" s="245">
        <f t="shared" si="648"/>
        <v>0</v>
      </c>
      <c r="S1267" s="353">
        <f t="shared" si="648"/>
        <v>0</v>
      </c>
    </row>
    <row r="1268" spans="1:19" ht="12.75" customHeight="1" x14ac:dyDescent="0.2">
      <c r="A1268" s="97" t="str">
        <f>Labels!C368</f>
        <v>Total</v>
      </c>
      <c r="B1268" s="199">
        <f t="shared" ref="B1268:S1268" si="649">SUM(B1263,B1267)</f>
        <v>0</v>
      </c>
      <c r="C1268" s="199">
        <f t="shared" si="649"/>
        <v>0</v>
      </c>
      <c r="D1268" s="199">
        <f t="shared" si="649"/>
        <v>0</v>
      </c>
      <c r="E1268" s="199">
        <f t="shared" si="649"/>
        <v>0</v>
      </c>
      <c r="F1268" s="199">
        <f t="shared" si="649"/>
        <v>0</v>
      </c>
      <c r="G1268" s="199">
        <f t="shared" si="649"/>
        <v>0</v>
      </c>
      <c r="H1268" s="199">
        <f t="shared" si="649"/>
        <v>0</v>
      </c>
      <c r="I1268" s="199">
        <f t="shared" si="649"/>
        <v>0</v>
      </c>
      <c r="J1268" s="199">
        <f t="shared" si="649"/>
        <v>0</v>
      </c>
      <c r="K1268" s="199">
        <f t="shared" si="649"/>
        <v>0</v>
      </c>
      <c r="L1268" s="199">
        <f t="shared" si="649"/>
        <v>0</v>
      </c>
      <c r="M1268" s="199">
        <f t="shared" si="649"/>
        <v>0</v>
      </c>
      <c r="N1268" s="199">
        <f t="shared" si="649"/>
        <v>0</v>
      </c>
      <c r="O1268" s="199">
        <f t="shared" si="649"/>
        <v>0</v>
      </c>
      <c r="P1268" s="199">
        <f t="shared" si="649"/>
        <v>0</v>
      </c>
      <c r="Q1268" s="199">
        <f t="shared" si="649"/>
        <v>0</v>
      </c>
      <c r="R1268" s="199">
        <f t="shared" si="649"/>
        <v>0</v>
      </c>
      <c r="S1268" s="354">
        <f t="shared" si="649"/>
        <v>0</v>
      </c>
    </row>
    <row r="1269" spans="1:19" ht="12.75" customHeight="1" x14ac:dyDescent="0.2">
      <c r="A1269" s="188" t="str">
        <f>"   "&amp;Labels!B381</f>
        <v xml:space="preserve">   Practice 1</v>
      </c>
      <c r="B1269" s="241">
        <f t="shared" ref="B1269:S1269" si="650">SUM(B1261,B1265)</f>
        <v>0</v>
      </c>
      <c r="C1269" s="241">
        <f t="shared" si="650"/>
        <v>0</v>
      </c>
      <c r="D1269" s="241">
        <f t="shared" si="650"/>
        <v>0</v>
      </c>
      <c r="E1269" s="241">
        <f t="shared" si="650"/>
        <v>0</v>
      </c>
      <c r="F1269" s="241">
        <f t="shared" si="650"/>
        <v>0</v>
      </c>
      <c r="G1269" s="241">
        <f t="shared" si="650"/>
        <v>0</v>
      </c>
      <c r="H1269" s="241">
        <f t="shared" si="650"/>
        <v>0</v>
      </c>
      <c r="I1269" s="241">
        <f t="shared" si="650"/>
        <v>0</v>
      </c>
      <c r="J1269" s="241">
        <f t="shared" si="650"/>
        <v>0</v>
      </c>
      <c r="K1269" s="241">
        <f t="shared" si="650"/>
        <v>0</v>
      </c>
      <c r="L1269" s="241">
        <f t="shared" si="650"/>
        <v>0</v>
      </c>
      <c r="M1269" s="241">
        <f t="shared" si="650"/>
        <v>0</v>
      </c>
      <c r="N1269" s="241">
        <f t="shared" si="650"/>
        <v>0</v>
      </c>
      <c r="O1269" s="241">
        <f t="shared" si="650"/>
        <v>0</v>
      </c>
      <c r="P1269" s="241">
        <f t="shared" si="650"/>
        <v>0</v>
      </c>
      <c r="Q1269" s="241">
        <f t="shared" si="650"/>
        <v>0</v>
      </c>
      <c r="R1269" s="241">
        <f t="shared" si="650"/>
        <v>0</v>
      </c>
      <c r="S1269" s="352">
        <f t="shared" si="650"/>
        <v>0</v>
      </c>
    </row>
    <row r="1270" spans="1:19" ht="12.75" customHeight="1" x14ac:dyDescent="0.2">
      <c r="A1270" s="188" t="str">
        <f>"   "&amp;Labels!B382</f>
        <v xml:space="preserve">   Practice 2</v>
      </c>
      <c r="B1270" s="241">
        <f t="shared" ref="B1270:S1270" si="651">SUM(B1262,B1266)</f>
        <v>0</v>
      </c>
      <c r="C1270" s="241">
        <f t="shared" si="651"/>
        <v>0</v>
      </c>
      <c r="D1270" s="241">
        <f t="shared" si="651"/>
        <v>0</v>
      </c>
      <c r="E1270" s="241">
        <f t="shared" si="651"/>
        <v>0</v>
      </c>
      <c r="F1270" s="241">
        <f t="shared" si="651"/>
        <v>0</v>
      </c>
      <c r="G1270" s="241">
        <f t="shared" si="651"/>
        <v>0</v>
      </c>
      <c r="H1270" s="241">
        <f t="shared" si="651"/>
        <v>0</v>
      </c>
      <c r="I1270" s="241">
        <f t="shared" si="651"/>
        <v>0</v>
      </c>
      <c r="J1270" s="241">
        <f t="shared" si="651"/>
        <v>0</v>
      </c>
      <c r="K1270" s="241">
        <f t="shared" si="651"/>
        <v>0</v>
      </c>
      <c r="L1270" s="241">
        <f t="shared" si="651"/>
        <v>0</v>
      </c>
      <c r="M1270" s="241">
        <f t="shared" si="651"/>
        <v>0</v>
      </c>
      <c r="N1270" s="241">
        <f t="shared" si="651"/>
        <v>0</v>
      </c>
      <c r="O1270" s="241">
        <f t="shared" si="651"/>
        <v>0</v>
      </c>
      <c r="P1270" s="241">
        <f t="shared" si="651"/>
        <v>0</v>
      </c>
      <c r="Q1270" s="241">
        <f t="shared" si="651"/>
        <v>0</v>
      </c>
      <c r="R1270" s="241">
        <f t="shared" si="651"/>
        <v>0</v>
      </c>
      <c r="S1270" s="352">
        <f t="shared" si="651"/>
        <v>0</v>
      </c>
    </row>
    <row r="1271" spans="1:19" ht="12.75" customHeight="1" x14ac:dyDescent="0.2">
      <c r="A1271" s="185" t="str">
        <f>"   "&amp;Labels!C380</f>
        <v xml:space="preserve">   Total</v>
      </c>
      <c r="B1271" s="338">
        <f t="shared" ref="B1271:S1271" si="652">SUM(B1263,B1267)</f>
        <v>0</v>
      </c>
      <c r="C1271" s="338">
        <f t="shared" si="652"/>
        <v>0</v>
      </c>
      <c r="D1271" s="338">
        <f t="shared" si="652"/>
        <v>0</v>
      </c>
      <c r="E1271" s="338">
        <f t="shared" si="652"/>
        <v>0</v>
      </c>
      <c r="F1271" s="338">
        <f t="shared" si="652"/>
        <v>0</v>
      </c>
      <c r="G1271" s="338">
        <f t="shared" si="652"/>
        <v>0</v>
      </c>
      <c r="H1271" s="338">
        <f t="shared" si="652"/>
        <v>0</v>
      </c>
      <c r="I1271" s="338">
        <f t="shared" si="652"/>
        <v>0</v>
      </c>
      <c r="J1271" s="338">
        <f t="shared" si="652"/>
        <v>0</v>
      </c>
      <c r="K1271" s="338">
        <f t="shared" si="652"/>
        <v>0</v>
      </c>
      <c r="L1271" s="338">
        <f t="shared" si="652"/>
        <v>0</v>
      </c>
      <c r="M1271" s="338">
        <f t="shared" si="652"/>
        <v>0</v>
      </c>
      <c r="N1271" s="338">
        <f t="shared" si="652"/>
        <v>0</v>
      </c>
      <c r="O1271" s="338">
        <f t="shared" si="652"/>
        <v>0</v>
      </c>
      <c r="P1271" s="338">
        <f t="shared" si="652"/>
        <v>0</v>
      </c>
      <c r="Q1271" s="338">
        <f t="shared" si="652"/>
        <v>0</v>
      </c>
      <c r="R1271" s="338">
        <f t="shared" si="652"/>
        <v>0</v>
      </c>
      <c r="S1271" s="339">
        <f t="shared" si="652"/>
        <v>0</v>
      </c>
    </row>
    <row r="1272" spans="1:19" ht="12.75" customHeight="1" x14ac:dyDescent="0.2">
      <c r="A1272" s="1" t="str">
        <f>Labels!B147</f>
        <v>Per Prof Staff Exp (Yr)</v>
      </c>
    </row>
    <row r="1273" spans="1:19" ht="12.75" customHeight="1" x14ac:dyDescent="0.2">
      <c r="B1273" s="9" t="str">
        <f>'(FnCalls 1)'!F41</f>
        <v>MMM 2010</v>
      </c>
      <c r="C1273" s="10" t="str">
        <f>'(FnCalls 1)'!F42</f>
        <v>MMM 2010</v>
      </c>
      <c r="D1273" s="10" t="str">
        <f>'(FnCalls 1)'!F43</f>
        <v>MMM 2010</v>
      </c>
      <c r="E1273" s="10" t="str">
        <f>'(FnCalls 1)'!F44</f>
        <v>MMM 2010</v>
      </c>
      <c r="F1273" s="10" t="str">
        <f>'(FnCalls 1)'!F45</f>
        <v>MMM 2010</v>
      </c>
      <c r="G1273" s="10" t="str">
        <f>'(FnCalls 1)'!F46</f>
        <v>MMM 2010</v>
      </c>
      <c r="H1273" s="10" t="str">
        <f>'(FnCalls 1)'!F47</f>
        <v>MMM 2010</v>
      </c>
      <c r="I1273" s="10" t="str">
        <f>'(FnCalls 1)'!F48</f>
        <v>MMM 2010</v>
      </c>
      <c r="J1273" s="10" t="str">
        <f>'(FnCalls 1)'!F49</f>
        <v>MMM 2010</v>
      </c>
      <c r="K1273" s="10" t="str">
        <f>'(FnCalls 1)'!F50</f>
        <v>MMM 2010</v>
      </c>
      <c r="L1273" s="10" t="str">
        <f>'(FnCalls 1)'!F51</f>
        <v>MMM 2010</v>
      </c>
      <c r="M1273" s="10" t="str">
        <f>'(FnCalls 1)'!F52</f>
        <v>MMM 2010</v>
      </c>
      <c r="N1273" s="10" t="str">
        <f>'(FnCalls 1)'!F53</f>
        <v>MMM 2011</v>
      </c>
      <c r="O1273" s="10" t="str">
        <f>'(FnCalls 1)'!F54</f>
        <v>MMM 2011</v>
      </c>
      <c r="P1273" s="10" t="str">
        <f>'(FnCalls 1)'!F55</f>
        <v>MMM 2011</v>
      </c>
      <c r="Q1273" s="10" t="str">
        <f>'(FnCalls 1)'!F56</f>
        <v>MMM 2011</v>
      </c>
      <c r="R1273" s="10" t="str">
        <f>'(FnCalls 1)'!F57</f>
        <v>MMM 2011</v>
      </c>
      <c r="S1273" s="11" t="str">
        <f>'(FnCalls 1)'!F58</f>
        <v>MMM 2011</v>
      </c>
    </row>
    <row r="1274" spans="1:19" ht="12.75" customHeight="1" x14ac:dyDescent="0.2">
      <c r="A1274" s="182" t="str">
        <f>Labels!B385</f>
        <v>Prof Level 1</v>
      </c>
      <c r="B1274" s="183"/>
      <c r="C1274" s="183"/>
      <c r="D1274" s="183"/>
      <c r="E1274" s="183"/>
      <c r="F1274" s="183"/>
      <c r="G1274" s="183"/>
      <c r="H1274" s="183"/>
      <c r="I1274" s="183"/>
      <c r="J1274" s="183"/>
      <c r="K1274" s="183"/>
      <c r="L1274" s="183"/>
      <c r="M1274" s="183"/>
      <c r="N1274" s="183"/>
      <c r="O1274" s="183"/>
      <c r="P1274" s="183"/>
      <c r="Q1274" s="183"/>
      <c r="R1274" s="183"/>
      <c r="S1274" s="266"/>
    </row>
    <row r="1275" spans="1:19" ht="12.75" customHeight="1" x14ac:dyDescent="0.2">
      <c r="A1275" s="188" t="str">
        <f>"   "&amp;Labels!B330</f>
        <v xml:space="preserve">   Supplies</v>
      </c>
      <c r="B1275" s="196">
        <f>Inputs!F319</f>
        <v>0</v>
      </c>
      <c r="C1275" s="196">
        <f>Inputs!G319</f>
        <v>0</v>
      </c>
      <c r="D1275" s="196">
        <f>Inputs!H319</f>
        <v>0</v>
      </c>
      <c r="E1275" s="196">
        <f>Inputs!I319</f>
        <v>0</v>
      </c>
      <c r="F1275" s="196">
        <f>Inputs!J319</f>
        <v>0</v>
      </c>
      <c r="G1275" s="196">
        <f>Inputs!K319</f>
        <v>0</v>
      </c>
      <c r="H1275" s="196">
        <f>Inputs!L319</f>
        <v>0</v>
      </c>
      <c r="I1275" s="196">
        <f>Inputs!M319</f>
        <v>0</v>
      </c>
      <c r="J1275" s="196">
        <f>Inputs!N319</f>
        <v>0</v>
      </c>
      <c r="K1275" s="196">
        <f>Inputs!O319</f>
        <v>0</v>
      </c>
      <c r="L1275" s="196">
        <f>Inputs!P319</f>
        <v>0</v>
      </c>
      <c r="M1275" s="196">
        <f>Inputs!Q319</f>
        <v>0</v>
      </c>
      <c r="N1275" s="196">
        <f>Inputs!R319</f>
        <v>0</v>
      </c>
      <c r="O1275" s="196">
        <f>Inputs!S319</f>
        <v>0</v>
      </c>
      <c r="P1275" s="196">
        <f>Inputs!T319</f>
        <v>0</v>
      </c>
      <c r="Q1275" s="196">
        <f>Inputs!U319</f>
        <v>0</v>
      </c>
      <c r="R1275" s="196">
        <f>Inputs!V319</f>
        <v>0</v>
      </c>
      <c r="S1275" s="267">
        <f>Inputs!W319</f>
        <v>0</v>
      </c>
    </row>
    <row r="1276" spans="1:19" ht="12.75" customHeight="1" x14ac:dyDescent="0.2">
      <c r="A1276" s="188" t="str">
        <f>"   "&amp;Labels!B331</f>
        <v xml:space="preserve">   Travel Entertain</v>
      </c>
      <c r="B1276" s="196">
        <f>Inputs!F320</f>
        <v>0</v>
      </c>
      <c r="C1276" s="196">
        <f>Inputs!G320</f>
        <v>0</v>
      </c>
      <c r="D1276" s="196">
        <f>Inputs!H320</f>
        <v>0</v>
      </c>
      <c r="E1276" s="196">
        <f>Inputs!I320</f>
        <v>0</v>
      </c>
      <c r="F1276" s="196">
        <f>Inputs!J320</f>
        <v>0</v>
      </c>
      <c r="G1276" s="196">
        <f>Inputs!K320</f>
        <v>0</v>
      </c>
      <c r="H1276" s="196">
        <f>Inputs!L320</f>
        <v>0</v>
      </c>
      <c r="I1276" s="196">
        <f>Inputs!M320</f>
        <v>0</v>
      </c>
      <c r="J1276" s="196">
        <f>Inputs!N320</f>
        <v>0</v>
      </c>
      <c r="K1276" s="196">
        <f>Inputs!O320</f>
        <v>0</v>
      </c>
      <c r="L1276" s="196">
        <f>Inputs!P320</f>
        <v>0</v>
      </c>
      <c r="M1276" s="196">
        <f>Inputs!Q320</f>
        <v>0</v>
      </c>
      <c r="N1276" s="196">
        <f>Inputs!R320</f>
        <v>0</v>
      </c>
      <c r="O1276" s="196">
        <f>Inputs!S320</f>
        <v>0</v>
      </c>
      <c r="P1276" s="196">
        <f>Inputs!T320</f>
        <v>0</v>
      </c>
      <c r="Q1276" s="196">
        <f>Inputs!U320</f>
        <v>0</v>
      </c>
      <c r="R1276" s="196">
        <f>Inputs!V320</f>
        <v>0</v>
      </c>
      <c r="S1276" s="267">
        <f>Inputs!W320</f>
        <v>0</v>
      </c>
    </row>
    <row r="1277" spans="1:19" ht="12.75" customHeight="1" x14ac:dyDescent="0.2">
      <c r="A1277" s="188" t="str">
        <f>"   "&amp;Labels!B332</f>
        <v xml:space="preserve">   Other</v>
      </c>
      <c r="B1277" s="196">
        <f>Inputs!F321</f>
        <v>0</v>
      </c>
      <c r="C1277" s="196">
        <f>Inputs!G321</f>
        <v>0</v>
      </c>
      <c r="D1277" s="196">
        <f>Inputs!H321</f>
        <v>0</v>
      </c>
      <c r="E1277" s="196">
        <f>Inputs!I321</f>
        <v>0</v>
      </c>
      <c r="F1277" s="196">
        <f>Inputs!J321</f>
        <v>0</v>
      </c>
      <c r="G1277" s="196">
        <f>Inputs!K321</f>
        <v>0</v>
      </c>
      <c r="H1277" s="196">
        <f>Inputs!L321</f>
        <v>0</v>
      </c>
      <c r="I1277" s="196">
        <f>Inputs!M321</f>
        <v>0</v>
      </c>
      <c r="J1277" s="196">
        <f>Inputs!N321</f>
        <v>0</v>
      </c>
      <c r="K1277" s="196">
        <f>Inputs!O321</f>
        <v>0</v>
      </c>
      <c r="L1277" s="196">
        <f>Inputs!P321</f>
        <v>0</v>
      </c>
      <c r="M1277" s="196">
        <f>Inputs!Q321</f>
        <v>0</v>
      </c>
      <c r="N1277" s="196">
        <f>Inputs!R321</f>
        <v>0</v>
      </c>
      <c r="O1277" s="196">
        <f>Inputs!S321</f>
        <v>0</v>
      </c>
      <c r="P1277" s="196">
        <f>Inputs!T321</f>
        <v>0</v>
      </c>
      <c r="Q1277" s="196">
        <f>Inputs!U321</f>
        <v>0</v>
      </c>
      <c r="R1277" s="196">
        <f>Inputs!V321</f>
        <v>0</v>
      </c>
      <c r="S1277" s="267">
        <f>Inputs!W321</f>
        <v>0</v>
      </c>
    </row>
    <row r="1278" spans="1:19" ht="12.75" customHeight="1" x14ac:dyDescent="0.2">
      <c r="A1278" s="191" t="str">
        <f>"   "&amp;Labels!C329</f>
        <v xml:space="preserve">   Total</v>
      </c>
      <c r="B1278" s="192">
        <f t="shared" ref="B1278:S1278" si="653">SUM(B1275:B1277)</f>
        <v>0</v>
      </c>
      <c r="C1278" s="192">
        <f t="shared" si="653"/>
        <v>0</v>
      </c>
      <c r="D1278" s="192">
        <f t="shared" si="653"/>
        <v>0</v>
      </c>
      <c r="E1278" s="192">
        <f t="shared" si="653"/>
        <v>0</v>
      </c>
      <c r="F1278" s="192">
        <f t="shared" si="653"/>
        <v>0</v>
      </c>
      <c r="G1278" s="192">
        <f t="shared" si="653"/>
        <v>0</v>
      </c>
      <c r="H1278" s="192">
        <f t="shared" si="653"/>
        <v>0</v>
      </c>
      <c r="I1278" s="192">
        <f t="shared" si="653"/>
        <v>0</v>
      </c>
      <c r="J1278" s="192">
        <f t="shared" si="653"/>
        <v>0</v>
      </c>
      <c r="K1278" s="192">
        <f t="shared" si="653"/>
        <v>0</v>
      </c>
      <c r="L1278" s="192">
        <f t="shared" si="653"/>
        <v>0</v>
      </c>
      <c r="M1278" s="192">
        <f t="shared" si="653"/>
        <v>0</v>
      </c>
      <c r="N1278" s="192">
        <f t="shared" si="653"/>
        <v>0</v>
      </c>
      <c r="O1278" s="192">
        <f t="shared" si="653"/>
        <v>0</v>
      </c>
      <c r="P1278" s="192">
        <f t="shared" si="653"/>
        <v>0</v>
      </c>
      <c r="Q1278" s="192">
        <f t="shared" si="653"/>
        <v>0</v>
      </c>
      <c r="R1278" s="192">
        <f t="shared" si="653"/>
        <v>0</v>
      </c>
      <c r="S1278" s="280">
        <f t="shared" si="653"/>
        <v>0</v>
      </c>
    </row>
    <row r="1279" spans="1:19" ht="12.75" customHeight="1" x14ac:dyDescent="0.2">
      <c r="A1279" s="191" t="str">
        <f>Labels!B386</f>
        <v>Prof Level 2</v>
      </c>
      <c r="B1279" s="192"/>
      <c r="C1279" s="192"/>
      <c r="D1279" s="192"/>
      <c r="E1279" s="192"/>
      <c r="F1279" s="192"/>
      <c r="G1279" s="192"/>
      <c r="H1279" s="192"/>
      <c r="I1279" s="192"/>
      <c r="J1279" s="192"/>
      <c r="K1279" s="192"/>
      <c r="L1279" s="192"/>
      <c r="M1279" s="192"/>
      <c r="N1279" s="192"/>
      <c r="O1279" s="192"/>
      <c r="P1279" s="192"/>
      <c r="Q1279" s="192"/>
      <c r="R1279" s="192"/>
      <c r="S1279" s="280"/>
    </row>
    <row r="1280" spans="1:19" ht="12.75" customHeight="1" x14ac:dyDescent="0.2">
      <c r="A1280" s="188" t="str">
        <f>"   "&amp;Labels!B330</f>
        <v xml:space="preserve">   Supplies</v>
      </c>
      <c r="B1280" s="196">
        <f>Inputs!F322</f>
        <v>0</v>
      </c>
      <c r="C1280" s="196">
        <f>Inputs!G322</f>
        <v>0</v>
      </c>
      <c r="D1280" s="196">
        <f>Inputs!H322</f>
        <v>0</v>
      </c>
      <c r="E1280" s="196">
        <f>Inputs!I322</f>
        <v>0</v>
      </c>
      <c r="F1280" s="196">
        <f>Inputs!J322</f>
        <v>0</v>
      </c>
      <c r="G1280" s="196">
        <f>Inputs!K322</f>
        <v>0</v>
      </c>
      <c r="H1280" s="196">
        <f>Inputs!L322</f>
        <v>0</v>
      </c>
      <c r="I1280" s="196">
        <f>Inputs!M322</f>
        <v>0</v>
      </c>
      <c r="J1280" s="196">
        <f>Inputs!N322</f>
        <v>0</v>
      </c>
      <c r="K1280" s="196">
        <f>Inputs!O322</f>
        <v>0</v>
      </c>
      <c r="L1280" s="196">
        <f>Inputs!P322</f>
        <v>0</v>
      </c>
      <c r="M1280" s="196">
        <f>Inputs!Q322</f>
        <v>0</v>
      </c>
      <c r="N1280" s="196">
        <f>Inputs!R322</f>
        <v>0</v>
      </c>
      <c r="O1280" s="196">
        <f>Inputs!S322</f>
        <v>0</v>
      </c>
      <c r="P1280" s="196">
        <f>Inputs!T322</f>
        <v>0</v>
      </c>
      <c r="Q1280" s="196">
        <f>Inputs!U322</f>
        <v>0</v>
      </c>
      <c r="R1280" s="196">
        <f>Inputs!V322</f>
        <v>0</v>
      </c>
      <c r="S1280" s="267">
        <f>Inputs!W322</f>
        <v>0</v>
      </c>
    </row>
    <row r="1281" spans="1:19" ht="12.75" customHeight="1" x14ac:dyDescent="0.2">
      <c r="A1281" s="188" t="str">
        <f>"   "&amp;Labels!B331</f>
        <v xml:space="preserve">   Travel Entertain</v>
      </c>
      <c r="B1281" s="196">
        <f>Inputs!F323</f>
        <v>0</v>
      </c>
      <c r="C1281" s="196">
        <f>Inputs!G323</f>
        <v>0</v>
      </c>
      <c r="D1281" s="196">
        <f>Inputs!H323</f>
        <v>0</v>
      </c>
      <c r="E1281" s="196">
        <f>Inputs!I323</f>
        <v>0</v>
      </c>
      <c r="F1281" s="196">
        <f>Inputs!J323</f>
        <v>0</v>
      </c>
      <c r="G1281" s="196">
        <f>Inputs!K323</f>
        <v>0</v>
      </c>
      <c r="H1281" s="196">
        <f>Inputs!L323</f>
        <v>0</v>
      </c>
      <c r="I1281" s="196">
        <f>Inputs!M323</f>
        <v>0</v>
      </c>
      <c r="J1281" s="196">
        <f>Inputs!N323</f>
        <v>0</v>
      </c>
      <c r="K1281" s="196">
        <f>Inputs!O323</f>
        <v>0</v>
      </c>
      <c r="L1281" s="196">
        <f>Inputs!P323</f>
        <v>0</v>
      </c>
      <c r="M1281" s="196">
        <f>Inputs!Q323</f>
        <v>0</v>
      </c>
      <c r="N1281" s="196">
        <f>Inputs!R323</f>
        <v>0</v>
      </c>
      <c r="O1281" s="196">
        <f>Inputs!S323</f>
        <v>0</v>
      </c>
      <c r="P1281" s="196">
        <f>Inputs!T323</f>
        <v>0</v>
      </c>
      <c r="Q1281" s="196">
        <f>Inputs!U323</f>
        <v>0</v>
      </c>
      <c r="R1281" s="196">
        <f>Inputs!V323</f>
        <v>0</v>
      </c>
      <c r="S1281" s="267">
        <f>Inputs!W323</f>
        <v>0</v>
      </c>
    </row>
    <row r="1282" spans="1:19" ht="12.75" customHeight="1" x14ac:dyDescent="0.2">
      <c r="A1282" s="188" t="str">
        <f>"   "&amp;Labels!B332</f>
        <v xml:space="preserve">   Other</v>
      </c>
      <c r="B1282" s="196">
        <f>Inputs!F324</f>
        <v>0</v>
      </c>
      <c r="C1282" s="196">
        <f>Inputs!G324</f>
        <v>0</v>
      </c>
      <c r="D1282" s="196">
        <f>Inputs!H324</f>
        <v>0</v>
      </c>
      <c r="E1282" s="196">
        <f>Inputs!I324</f>
        <v>0</v>
      </c>
      <c r="F1282" s="196">
        <f>Inputs!J324</f>
        <v>0</v>
      </c>
      <c r="G1282" s="196">
        <f>Inputs!K324</f>
        <v>0</v>
      </c>
      <c r="H1282" s="196">
        <f>Inputs!L324</f>
        <v>0</v>
      </c>
      <c r="I1282" s="196">
        <f>Inputs!M324</f>
        <v>0</v>
      </c>
      <c r="J1282" s="196">
        <f>Inputs!N324</f>
        <v>0</v>
      </c>
      <c r="K1282" s="196">
        <f>Inputs!O324</f>
        <v>0</v>
      </c>
      <c r="L1282" s="196">
        <f>Inputs!P324</f>
        <v>0</v>
      </c>
      <c r="M1282" s="196">
        <f>Inputs!Q324</f>
        <v>0</v>
      </c>
      <c r="N1282" s="196">
        <f>Inputs!R324</f>
        <v>0</v>
      </c>
      <c r="O1282" s="196">
        <f>Inputs!S324</f>
        <v>0</v>
      </c>
      <c r="P1282" s="196">
        <f>Inputs!T324</f>
        <v>0</v>
      </c>
      <c r="Q1282" s="196">
        <f>Inputs!U324</f>
        <v>0</v>
      </c>
      <c r="R1282" s="196">
        <f>Inputs!V324</f>
        <v>0</v>
      </c>
      <c r="S1282" s="267">
        <f>Inputs!W324</f>
        <v>0</v>
      </c>
    </row>
    <row r="1283" spans="1:19" ht="12.75" customHeight="1" x14ac:dyDescent="0.2">
      <c r="A1283" s="191" t="str">
        <f>"   "&amp;Labels!C329</f>
        <v xml:space="preserve">   Total</v>
      </c>
      <c r="B1283" s="192">
        <f t="shared" ref="B1283:S1283" si="654">SUM(B1280:B1282)</f>
        <v>0</v>
      </c>
      <c r="C1283" s="192">
        <f t="shared" si="654"/>
        <v>0</v>
      </c>
      <c r="D1283" s="192">
        <f t="shared" si="654"/>
        <v>0</v>
      </c>
      <c r="E1283" s="192">
        <f t="shared" si="654"/>
        <v>0</v>
      </c>
      <c r="F1283" s="192">
        <f t="shared" si="654"/>
        <v>0</v>
      </c>
      <c r="G1283" s="192">
        <f t="shared" si="654"/>
        <v>0</v>
      </c>
      <c r="H1283" s="192">
        <f t="shared" si="654"/>
        <v>0</v>
      </c>
      <c r="I1283" s="192">
        <f t="shared" si="654"/>
        <v>0</v>
      </c>
      <c r="J1283" s="192">
        <f t="shared" si="654"/>
        <v>0</v>
      </c>
      <c r="K1283" s="192">
        <f t="shared" si="654"/>
        <v>0</v>
      </c>
      <c r="L1283" s="192">
        <f t="shared" si="654"/>
        <v>0</v>
      </c>
      <c r="M1283" s="192">
        <f t="shared" si="654"/>
        <v>0</v>
      </c>
      <c r="N1283" s="192">
        <f t="shared" si="654"/>
        <v>0</v>
      </c>
      <c r="O1283" s="192">
        <f t="shared" si="654"/>
        <v>0</v>
      </c>
      <c r="P1283" s="192">
        <f t="shared" si="654"/>
        <v>0</v>
      </c>
      <c r="Q1283" s="192">
        <f t="shared" si="654"/>
        <v>0</v>
      </c>
      <c r="R1283" s="192">
        <f t="shared" si="654"/>
        <v>0</v>
      </c>
      <c r="S1283" s="280">
        <f t="shared" si="654"/>
        <v>0</v>
      </c>
    </row>
    <row r="1284" spans="1:19" ht="12.75" customHeight="1" x14ac:dyDescent="0.2">
      <c r="A1284" s="97" t="str">
        <f>Labels!C384</f>
        <v>Total</v>
      </c>
      <c r="B1284" s="194">
        <f>IF('GM CostSvcs'!B486=0,AVERAGE(B1278,B1283),OpExp!B129*12/'GM CostSvcs'!B486)</f>
        <v>0</v>
      </c>
      <c r="C1284" s="194">
        <f>IF('GM CostSvcs'!C486=0,AVERAGE(C1278,C1283),OpExp!C129*12/'GM CostSvcs'!C486)</f>
        <v>0</v>
      </c>
      <c r="D1284" s="194">
        <f>IF('GM CostSvcs'!D486=0,AVERAGE(D1278,D1283),OpExp!D129*12/'GM CostSvcs'!D486)</f>
        <v>0</v>
      </c>
      <c r="E1284" s="194">
        <f>IF('GM CostSvcs'!F486=0,AVERAGE(E1278,E1283),OpExp!F129*12/'GM CostSvcs'!F486)</f>
        <v>0</v>
      </c>
      <c r="F1284" s="194">
        <f>IF('GM CostSvcs'!G486=0,AVERAGE(F1278,F1283),OpExp!G129*12/'GM CostSvcs'!G486)</f>
        <v>0</v>
      </c>
      <c r="G1284" s="194">
        <f>IF('GM CostSvcs'!H486=0,AVERAGE(G1278,G1283),OpExp!H129*12/'GM CostSvcs'!H486)</f>
        <v>0</v>
      </c>
      <c r="H1284" s="194">
        <f>IF('GM CostSvcs'!J486=0,AVERAGE(H1278,H1283),OpExp!J129*12/'GM CostSvcs'!J486)</f>
        <v>0</v>
      </c>
      <c r="I1284" s="194">
        <f>IF('GM CostSvcs'!K486=0,AVERAGE(I1278,I1283),OpExp!K129*12/'GM CostSvcs'!K486)</f>
        <v>0</v>
      </c>
      <c r="J1284" s="194">
        <f>IF('GM CostSvcs'!L486=0,AVERAGE(J1278,J1283),OpExp!L129*12/'GM CostSvcs'!L486)</f>
        <v>0</v>
      </c>
      <c r="K1284" s="194">
        <f>IF('GM CostSvcs'!N486=0,AVERAGE(K1278,K1283),OpExp!N129*12/'GM CostSvcs'!N486)</f>
        <v>0</v>
      </c>
      <c r="L1284" s="194">
        <f>IF('GM CostSvcs'!O486=0,AVERAGE(L1278,L1283),OpExp!O129*12/'GM CostSvcs'!O486)</f>
        <v>0</v>
      </c>
      <c r="M1284" s="194">
        <f>IF('GM CostSvcs'!P486=0,AVERAGE(M1278,M1283),OpExp!P129*12/'GM CostSvcs'!P486)</f>
        <v>0</v>
      </c>
      <c r="N1284" s="194">
        <f>IF('GM CostSvcs'!R486=0,AVERAGE(N1278,N1283),OpExp!R129*12/'GM CostSvcs'!R486)</f>
        <v>0</v>
      </c>
      <c r="O1284" s="194">
        <f>IF('GM CostSvcs'!S486=0,AVERAGE(O1278,O1283),OpExp!S129*12/'GM CostSvcs'!S486)</f>
        <v>0</v>
      </c>
      <c r="P1284" s="194">
        <f>IF('GM CostSvcs'!T486=0,AVERAGE(P1278,P1283),OpExp!T129*12/'GM CostSvcs'!T486)</f>
        <v>0</v>
      </c>
      <c r="Q1284" s="194">
        <f>IF('GM CostSvcs'!V486=0,AVERAGE(Q1278,Q1283),OpExp!V129*12/'GM CostSvcs'!V486)</f>
        <v>0</v>
      </c>
      <c r="R1284" s="194">
        <f>IF('GM CostSvcs'!W486=0,AVERAGE(R1278,R1283),OpExp!W129*12/'GM CostSvcs'!W486)</f>
        <v>0</v>
      </c>
      <c r="S1284" s="351">
        <f>IF('GM CostSvcs'!X486=0,AVERAGE(S1278,S1283),OpExp!X129*12/'GM CostSvcs'!X486)</f>
        <v>0</v>
      </c>
    </row>
    <row r="1285" spans="1:19" ht="12.75" customHeight="1" x14ac:dyDescent="0.2">
      <c r="A1285" s="188" t="str">
        <f>"   "&amp;Labels!B330</f>
        <v xml:space="preserve">   Supplies</v>
      </c>
      <c r="B1285" s="196">
        <f>IF('GM CostSvcs'!B486=0,AVERAGE(B1275,B1280),OpExp!B141*12/'GM CostSvcs'!B486)</f>
        <v>0</v>
      </c>
      <c r="C1285" s="196">
        <f>IF('GM CostSvcs'!C486=0,AVERAGE(C1275,C1280),OpExp!C141*12/'GM CostSvcs'!C486)</f>
        <v>0</v>
      </c>
      <c r="D1285" s="196">
        <f>IF('GM CostSvcs'!D486=0,AVERAGE(D1275,D1280),OpExp!D141*12/'GM CostSvcs'!D486)</f>
        <v>0</v>
      </c>
      <c r="E1285" s="196">
        <f>IF('GM CostSvcs'!F486=0,AVERAGE(E1275,E1280),OpExp!F141*12/'GM CostSvcs'!F486)</f>
        <v>0</v>
      </c>
      <c r="F1285" s="196">
        <f>IF('GM CostSvcs'!G486=0,AVERAGE(F1275,F1280),OpExp!G141*12/'GM CostSvcs'!G486)</f>
        <v>0</v>
      </c>
      <c r="G1285" s="196">
        <f>IF('GM CostSvcs'!H486=0,AVERAGE(G1275,G1280),OpExp!H141*12/'GM CostSvcs'!H486)</f>
        <v>0</v>
      </c>
      <c r="H1285" s="196">
        <f>IF('GM CostSvcs'!J486=0,AVERAGE(H1275,H1280),OpExp!J141*12/'GM CostSvcs'!J486)</f>
        <v>0</v>
      </c>
      <c r="I1285" s="196">
        <f>IF('GM CostSvcs'!K486=0,AVERAGE(I1275,I1280),OpExp!K141*12/'GM CostSvcs'!K486)</f>
        <v>0</v>
      </c>
      <c r="J1285" s="196">
        <f>IF('GM CostSvcs'!L486=0,AVERAGE(J1275,J1280),OpExp!L141*12/'GM CostSvcs'!L486)</f>
        <v>0</v>
      </c>
      <c r="K1285" s="196">
        <f>IF('GM CostSvcs'!N486=0,AVERAGE(K1275,K1280),OpExp!N141*12/'GM CostSvcs'!N486)</f>
        <v>0</v>
      </c>
      <c r="L1285" s="196">
        <f>IF('GM CostSvcs'!O486=0,AVERAGE(L1275,L1280),OpExp!O141*12/'GM CostSvcs'!O486)</f>
        <v>0</v>
      </c>
      <c r="M1285" s="196">
        <f>IF('GM CostSvcs'!P486=0,AVERAGE(M1275,M1280),OpExp!P141*12/'GM CostSvcs'!P486)</f>
        <v>0</v>
      </c>
      <c r="N1285" s="196">
        <f>IF('GM CostSvcs'!R486=0,AVERAGE(N1275,N1280),OpExp!R141*12/'GM CostSvcs'!R486)</f>
        <v>0</v>
      </c>
      <c r="O1285" s="196">
        <f>IF('GM CostSvcs'!S486=0,AVERAGE(O1275,O1280),OpExp!S141*12/'GM CostSvcs'!S486)</f>
        <v>0</v>
      </c>
      <c r="P1285" s="196">
        <f>IF('GM CostSvcs'!T486=0,AVERAGE(P1275,P1280),OpExp!T141*12/'GM CostSvcs'!T486)</f>
        <v>0</v>
      </c>
      <c r="Q1285" s="196">
        <f>IF('GM CostSvcs'!V486=0,AVERAGE(Q1275,Q1280),OpExp!V141*12/'GM CostSvcs'!V486)</f>
        <v>0</v>
      </c>
      <c r="R1285" s="196">
        <f>IF('GM CostSvcs'!W486=0,AVERAGE(R1275,R1280),OpExp!W141*12/'GM CostSvcs'!W486)</f>
        <v>0</v>
      </c>
      <c r="S1285" s="267">
        <f>IF('GM CostSvcs'!X486=0,AVERAGE(S1275,S1280),OpExp!X141*12/'GM CostSvcs'!X486)</f>
        <v>0</v>
      </c>
    </row>
    <row r="1286" spans="1:19" ht="12.75" customHeight="1" x14ac:dyDescent="0.2">
      <c r="A1286" s="188" t="str">
        <f>"   "&amp;Labels!B331</f>
        <v xml:space="preserve">   Travel Entertain</v>
      </c>
      <c r="B1286" s="196">
        <f>IF('GM CostSvcs'!B486=0,AVERAGE(B1276,B1281),OpExp!B142*12/'GM CostSvcs'!B486)</f>
        <v>0</v>
      </c>
      <c r="C1286" s="196">
        <f>IF('GM CostSvcs'!C486=0,AVERAGE(C1276,C1281),OpExp!C142*12/'GM CostSvcs'!C486)</f>
        <v>0</v>
      </c>
      <c r="D1286" s="196">
        <f>IF('GM CostSvcs'!D486=0,AVERAGE(D1276,D1281),OpExp!D142*12/'GM CostSvcs'!D486)</f>
        <v>0</v>
      </c>
      <c r="E1286" s="196">
        <f>IF('GM CostSvcs'!F486=0,AVERAGE(E1276,E1281),OpExp!F142*12/'GM CostSvcs'!F486)</f>
        <v>0</v>
      </c>
      <c r="F1286" s="196">
        <f>IF('GM CostSvcs'!G486=0,AVERAGE(F1276,F1281),OpExp!G142*12/'GM CostSvcs'!G486)</f>
        <v>0</v>
      </c>
      <c r="G1286" s="196">
        <f>IF('GM CostSvcs'!H486=0,AVERAGE(G1276,G1281),OpExp!H142*12/'GM CostSvcs'!H486)</f>
        <v>0</v>
      </c>
      <c r="H1286" s="196">
        <f>IF('GM CostSvcs'!J486=0,AVERAGE(H1276,H1281),OpExp!J142*12/'GM CostSvcs'!J486)</f>
        <v>0</v>
      </c>
      <c r="I1286" s="196">
        <f>IF('GM CostSvcs'!K486=0,AVERAGE(I1276,I1281),OpExp!K142*12/'GM CostSvcs'!K486)</f>
        <v>0</v>
      </c>
      <c r="J1286" s="196">
        <f>IF('GM CostSvcs'!L486=0,AVERAGE(J1276,J1281),OpExp!L142*12/'GM CostSvcs'!L486)</f>
        <v>0</v>
      </c>
      <c r="K1286" s="196">
        <f>IF('GM CostSvcs'!N486=0,AVERAGE(K1276,K1281),OpExp!N142*12/'GM CostSvcs'!N486)</f>
        <v>0</v>
      </c>
      <c r="L1286" s="196">
        <f>IF('GM CostSvcs'!O486=0,AVERAGE(L1276,L1281),OpExp!O142*12/'GM CostSvcs'!O486)</f>
        <v>0</v>
      </c>
      <c r="M1286" s="196">
        <f>IF('GM CostSvcs'!P486=0,AVERAGE(M1276,M1281),OpExp!P142*12/'GM CostSvcs'!P486)</f>
        <v>0</v>
      </c>
      <c r="N1286" s="196">
        <f>IF('GM CostSvcs'!R486=0,AVERAGE(N1276,N1281),OpExp!R142*12/'GM CostSvcs'!R486)</f>
        <v>0</v>
      </c>
      <c r="O1286" s="196">
        <f>IF('GM CostSvcs'!S486=0,AVERAGE(O1276,O1281),OpExp!S142*12/'GM CostSvcs'!S486)</f>
        <v>0</v>
      </c>
      <c r="P1286" s="196">
        <f>IF('GM CostSvcs'!T486=0,AVERAGE(P1276,P1281),OpExp!T142*12/'GM CostSvcs'!T486)</f>
        <v>0</v>
      </c>
      <c r="Q1286" s="196">
        <f>IF('GM CostSvcs'!V486=0,AVERAGE(Q1276,Q1281),OpExp!V142*12/'GM CostSvcs'!V486)</f>
        <v>0</v>
      </c>
      <c r="R1286" s="196">
        <f>IF('GM CostSvcs'!W486=0,AVERAGE(R1276,R1281),OpExp!W142*12/'GM CostSvcs'!W486)</f>
        <v>0</v>
      </c>
      <c r="S1286" s="267">
        <f>IF('GM CostSvcs'!X486=0,AVERAGE(S1276,S1281),OpExp!X142*12/'GM CostSvcs'!X486)</f>
        <v>0</v>
      </c>
    </row>
    <row r="1287" spans="1:19" ht="12.75" customHeight="1" x14ac:dyDescent="0.2">
      <c r="A1287" s="188" t="str">
        <f>"   "&amp;Labels!B332</f>
        <v xml:space="preserve">   Other</v>
      </c>
      <c r="B1287" s="196">
        <f>IF('GM CostSvcs'!B486=0,AVERAGE(B1277,B1282),OpExp!B143*12/'GM CostSvcs'!B486)</f>
        <v>0</v>
      </c>
      <c r="C1287" s="196">
        <f>IF('GM CostSvcs'!C486=0,AVERAGE(C1277,C1282),OpExp!C143*12/'GM CostSvcs'!C486)</f>
        <v>0</v>
      </c>
      <c r="D1287" s="196">
        <f>IF('GM CostSvcs'!D486=0,AVERAGE(D1277,D1282),OpExp!D143*12/'GM CostSvcs'!D486)</f>
        <v>0</v>
      </c>
      <c r="E1287" s="196">
        <f>IF('GM CostSvcs'!F486=0,AVERAGE(E1277,E1282),OpExp!F143*12/'GM CostSvcs'!F486)</f>
        <v>0</v>
      </c>
      <c r="F1287" s="196">
        <f>IF('GM CostSvcs'!G486=0,AVERAGE(F1277,F1282),OpExp!G143*12/'GM CostSvcs'!G486)</f>
        <v>0</v>
      </c>
      <c r="G1287" s="196">
        <f>IF('GM CostSvcs'!H486=0,AVERAGE(G1277,G1282),OpExp!H143*12/'GM CostSvcs'!H486)</f>
        <v>0</v>
      </c>
      <c r="H1287" s="196">
        <f>IF('GM CostSvcs'!J486=0,AVERAGE(H1277,H1282),OpExp!J143*12/'GM CostSvcs'!J486)</f>
        <v>0</v>
      </c>
      <c r="I1287" s="196">
        <f>IF('GM CostSvcs'!K486=0,AVERAGE(I1277,I1282),OpExp!K143*12/'GM CostSvcs'!K486)</f>
        <v>0</v>
      </c>
      <c r="J1287" s="196">
        <f>IF('GM CostSvcs'!L486=0,AVERAGE(J1277,J1282),OpExp!L143*12/'GM CostSvcs'!L486)</f>
        <v>0</v>
      </c>
      <c r="K1287" s="196">
        <f>IF('GM CostSvcs'!N486=0,AVERAGE(K1277,K1282),OpExp!N143*12/'GM CostSvcs'!N486)</f>
        <v>0</v>
      </c>
      <c r="L1287" s="196">
        <f>IF('GM CostSvcs'!O486=0,AVERAGE(L1277,L1282),OpExp!O143*12/'GM CostSvcs'!O486)</f>
        <v>0</v>
      </c>
      <c r="M1287" s="196">
        <f>IF('GM CostSvcs'!P486=0,AVERAGE(M1277,M1282),OpExp!P143*12/'GM CostSvcs'!P486)</f>
        <v>0</v>
      </c>
      <c r="N1287" s="196">
        <f>IF('GM CostSvcs'!R486=0,AVERAGE(N1277,N1282),OpExp!R143*12/'GM CostSvcs'!R486)</f>
        <v>0</v>
      </c>
      <c r="O1287" s="196">
        <f>IF('GM CostSvcs'!S486=0,AVERAGE(O1277,O1282),OpExp!S143*12/'GM CostSvcs'!S486)</f>
        <v>0</v>
      </c>
      <c r="P1287" s="196">
        <f>IF('GM CostSvcs'!T486=0,AVERAGE(P1277,P1282),OpExp!T143*12/'GM CostSvcs'!T486)</f>
        <v>0</v>
      </c>
      <c r="Q1287" s="196">
        <f>IF('GM CostSvcs'!V486=0,AVERAGE(Q1277,Q1282),OpExp!V143*12/'GM CostSvcs'!V486)</f>
        <v>0</v>
      </c>
      <c r="R1287" s="196">
        <f>IF('GM CostSvcs'!W486=0,AVERAGE(R1277,R1282),OpExp!W143*12/'GM CostSvcs'!W486)</f>
        <v>0</v>
      </c>
      <c r="S1287" s="267">
        <f>IF('GM CostSvcs'!X486=0,AVERAGE(S1277,S1282),OpExp!X143*12/'GM CostSvcs'!X486)</f>
        <v>0</v>
      </c>
    </row>
    <row r="1288" spans="1:19" ht="12.75" customHeight="1" x14ac:dyDescent="0.2">
      <c r="A1288" s="185" t="str">
        <f>"   "&amp;Labels!C329</f>
        <v xml:space="preserve">   Total</v>
      </c>
      <c r="B1288" s="176">
        <f>IF('GM CostSvcs'!B486=0,AVERAGE(B1278,B1283),OpExp!B129*12/'GM CostSvcs'!B486)</f>
        <v>0</v>
      </c>
      <c r="C1288" s="176">
        <f>IF('GM CostSvcs'!C486=0,AVERAGE(C1278,C1283),OpExp!C129*12/'GM CostSvcs'!C486)</f>
        <v>0</v>
      </c>
      <c r="D1288" s="176">
        <f>IF('GM CostSvcs'!D486=0,AVERAGE(D1278,D1283),OpExp!D129*12/'GM CostSvcs'!D486)</f>
        <v>0</v>
      </c>
      <c r="E1288" s="176">
        <f>IF('GM CostSvcs'!F486=0,AVERAGE(E1278,E1283),OpExp!F129*12/'GM CostSvcs'!F486)</f>
        <v>0</v>
      </c>
      <c r="F1288" s="176">
        <f>IF('GM CostSvcs'!G486=0,AVERAGE(F1278,F1283),OpExp!G129*12/'GM CostSvcs'!G486)</f>
        <v>0</v>
      </c>
      <c r="G1288" s="176">
        <f>IF('GM CostSvcs'!H486=0,AVERAGE(G1278,G1283),OpExp!H129*12/'GM CostSvcs'!H486)</f>
        <v>0</v>
      </c>
      <c r="H1288" s="176">
        <f>IF('GM CostSvcs'!J486=0,AVERAGE(H1278,H1283),OpExp!J129*12/'GM CostSvcs'!J486)</f>
        <v>0</v>
      </c>
      <c r="I1288" s="176">
        <f>IF('GM CostSvcs'!K486=0,AVERAGE(I1278,I1283),OpExp!K129*12/'GM CostSvcs'!K486)</f>
        <v>0</v>
      </c>
      <c r="J1288" s="176">
        <f>IF('GM CostSvcs'!L486=0,AVERAGE(J1278,J1283),OpExp!L129*12/'GM CostSvcs'!L486)</f>
        <v>0</v>
      </c>
      <c r="K1288" s="176">
        <f>IF('GM CostSvcs'!N486=0,AVERAGE(K1278,K1283),OpExp!N129*12/'GM CostSvcs'!N486)</f>
        <v>0</v>
      </c>
      <c r="L1288" s="176">
        <f>IF('GM CostSvcs'!O486=0,AVERAGE(L1278,L1283),OpExp!O129*12/'GM CostSvcs'!O486)</f>
        <v>0</v>
      </c>
      <c r="M1288" s="176">
        <f>IF('GM CostSvcs'!P486=0,AVERAGE(M1278,M1283),OpExp!P129*12/'GM CostSvcs'!P486)</f>
        <v>0</v>
      </c>
      <c r="N1288" s="176">
        <f>IF('GM CostSvcs'!R486=0,AVERAGE(N1278,N1283),OpExp!R129*12/'GM CostSvcs'!R486)</f>
        <v>0</v>
      </c>
      <c r="O1288" s="176">
        <f>IF('GM CostSvcs'!S486=0,AVERAGE(O1278,O1283),OpExp!S129*12/'GM CostSvcs'!S486)</f>
        <v>0</v>
      </c>
      <c r="P1288" s="176">
        <f>IF('GM CostSvcs'!T486=0,AVERAGE(P1278,P1283),OpExp!T129*12/'GM CostSvcs'!T486)</f>
        <v>0</v>
      </c>
      <c r="Q1288" s="176">
        <f>IF('GM CostSvcs'!V486=0,AVERAGE(Q1278,Q1283),OpExp!V129*12/'GM CostSvcs'!V486)</f>
        <v>0</v>
      </c>
      <c r="R1288" s="176">
        <f>IF('GM CostSvcs'!W486=0,AVERAGE(R1278,R1283),OpExp!W129*12/'GM CostSvcs'!W486)</f>
        <v>0</v>
      </c>
      <c r="S1288" s="268">
        <f>IF('GM CostSvcs'!X486=0,AVERAGE(S1278,S1283),OpExp!X129*12/'GM CostSvcs'!X486)</f>
        <v>0</v>
      </c>
    </row>
    <row r="1289" spans="1:19" ht="12.75" customHeight="1" x14ac:dyDescent="0.2">
      <c r="A1289" s="1" t="str">
        <f>Labels!B148</f>
        <v>Per Sup Staff Exp (Yr)</v>
      </c>
    </row>
    <row r="1290" spans="1:19" ht="12.75" customHeight="1" x14ac:dyDescent="0.2">
      <c r="B1290" s="9" t="str">
        <f>'(FnCalls 1)'!F41</f>
        <v>MMM 2010</v>
      </c>
      <c r="C1290" s="10" t="str">
        <f>'(FnCalls 1)'!F42</f>
        <v>MMM 2010</v>
      </c>
      <c r="D1290" s="10" t="str">
        <f>'(FnCalls 1)'!F43</f>
        <v>MMM 2010</v>
      </c>
      <c r="E1290" s="10" t="str">
        <f>'(FnCalls 1)'!F44</f>
        <v>MMM 2010</v>
      </c>
      <c r="F1290" s="10" t="str">
        <f>'(FnCalls 1)'!F45</f>
        <v>MMM 2010</v>
      </c>
      <c r="G1290" s="10" t="str">
        <f>'(FnCalls 1)'!F46</f>
        <v>MMM 2010</v>
      </c>
      <c r="H1290" s="10" t="str">
        <f>'(FnCalls 1)'!F47</f>
        <v>MMM 2010</v>
      </c>
      <c r="I1290" s="10" t="str">
        <f>'(FnCalls 1)'!F48</f>
        <v>MMM 2010</v>
      </c>
      <c r="J1290" s="10" t="str">
        <f>'(FnCalls 1)'!F49</f>
        <v>MMM 2010</v>
      </c>
      <c r="K1290" s="10" t="str">
        <f>'(FnCalls 1)'!F50</f>
        <v>MMM 2010</v>
      </c>
      <c r="L1290" s="10" t="str">
        <f>'(FnCalls 1)'!F51</f>
        <v>MMM 2010</v>
      </c>
      <c r="M1290" s="10" t="str">
        <f>'(FnCalls 1)'!F52</f>
        <v>MMM 2010</v>
      </c>
      <c r="N1290" s="10" t="str">
        <f>'(FnCalls 1)'!F53</f>
        <v>MMM 2011</v>
      </c>
      <c r="O1290" s="10" t="str">
        <f>'(FnCalls 1)'!F54</f>
        <v>MMM 2011</v>
      </c>
      <c r="P1290" s="10" t="str">
        <f>'(FnCalls 1)'!F55</f>
        <v>MMM 2011</v>
      </c>
      <c r="Q1290" s="10" t="str">
        <f>'(FnCalls 1)'!F56</f>
        <v>MMM 2011</v>
      </c>
      <c r="R1290" s="10" t="str">
        <f>'(FnCalls 1)'!F57</f>
        <v>MMM 2011</v>
      </c>
      <c r="S1290" s="11" t="str">
        <f>'(FnCalls 1)'!F58</f>
        <v>MMM 2011</v>
      </c>
    </row>
    <row r="1291" spans="1:19" ht="12.75" customHeight="1" x14ac:dyDescent="0.2">
      <c r="A1291" s="182" t="str">
        <f>Labels!B321</f>
        <v>Marketing</v>
      </c>
      <c r="B1291" s="183"/>
      <c r="C1291" s="183"/>
      <c r="D1291" s="183"/>
      <c r="E1291" s="183"/>
      <c r="F1291" s="183"/>
      <c r="G1291" s="183"/>
      <c r="H1291" s="183"/>
      <c r="I1291" s="183"/>
      <c r="J1291" s="183"/>
      <c r="K1291" s="183"/>
      <c r="L1291" s="183"/>
      <c r="M1291" s="183"/>
      <c r="N1291" s="183"/>
      <c r="O1291" s="183"/>
      <c r="P1291" s="183"/>
      <c r="Q1291" s="183"/>
      <c r="R1291" s="183"/>
      <c r="S1291" s="266"/>
    </row>
    <row r="1292" spans="1:19" ht="12.75" customHeight="1" x14ac:dyDescent="0.2">
      <c r="A1292" s="188" t="str">
        <f>"   "&amp;Labels!B330</f>
        <v xml:space="preserve">   Supplies</v>
      </c>
      <c r="B1292" s="196">
        <f>Inputs!F326</f>
        <v>0</v>
      </c>
      <c r="C1292" s="196">
        <f>Inputs!G326</f>
        <v>0</v>
      </c>
      <c r="D1292" s="196">
        <f>Inputs!H326</f>
        <v>0</v>
      </c>
      <c r="E1292" s="196">
        <f>Inputs!I326</f>
        <v>0</v>
      </c>
      <c r="F1292" s="196">
        <f>Inputs!J326</f>
        <v>0</v>
      </c>
      <c r="G1292" s="196">
        <f>Inputs!K326</f>
        <v>0</v>
      </c>
      <c r="H1292" s="196">
        <f>Inputs!L326</f>
        <v>0</v>
      </c>
      <c r="I1292" s="196">
        <f>Inputs!M326</f>
        <v>0</v>
      </c>
      <c r="J1292" s="196">
        <f>Inputs!N326</f>
        <v>0</v>
      </c>
      <c r="K1292" s="196">
        <f>Inputs!O326</f>
        <v>0</v>
      </c>
      <c r="L1292" s="196">
        <f>Inputs!P326</f>
        <v>0</v>
      </c>
      <c r="M1292" s="196">
        <f>Inputs!Q326</f>
        <v>0</v>
      </c>
      <c r="N1292" s="196">
        <f>Inputs!R326</f>
        <v>0</v>
      </c>
      <c r="O1292" s="196">
        <f>Inputs!S326</f>
        <v>0</v>
      </c>
      <c r="P1292" s="196">
        <f>Inputs!T326</f>
        <v>0</v>
      </c>
      <c r="Q1292" s="196">
        <f>Inputs!U326</f>
        <v>0</v>
      </c>
      <c r="R1292" s="196">
        <f>Inputs!V326</f>
        <v>0</v>
      </c>
      <c r="S1292" s="267">
        <f>Inputs!W326</f>
        <v>0</v>
      </c>
    </row>
    <row r="1293" spans="1:19" ht="12.75" customHeight="1" x14ac:dyDescent="0.2">
      <c r="A1293" s="188" t="str">
        <f>"   "&amp;Labels!B331</f>
        <v xml:space="preserve">   Travel Entertain</v>
      </c>
      <c r="B1293" s="196">
        <f>Inputs!F327</f>
        <v>0</v>
      </c>
      <c r="C1293" s="196">
        <f>Inputs!G327</f>
        <v>0</v>
      </c>
      <c r="D1293" s="196">
        <f>Inputs!H327</f>
        <v>0</v>
      </c>
      <c r="E1293" s="196">
        <f>Inputs!I327</f>
        <v>0</v>
      </c>
      <c r="F1293" s="196">
        <f>Inputs!J327</f>
        <v>0</v>
      </c>
      <c r="G1293" s="196">
        <f>Inputs!K327</f>
        <v>0</v>
      </c>
      <c r="H1293" s="196">
        <f>Inputs!L327</f>
        <v>0</v>
      </c>
      <c r="I1293" s="196">
        <f>Inputs!M327</f>
        <v>0</v>
      </c>
      <c r="J1293" s="196">
        <f>Inputs!N327</f>
        <v>0</v>
      </c>
      <c r="K1293" s="196">
        <f>Inputs!O327</f>
        <v>0</v>
      </c>
      <c r="L1293" s="196">
        <f>Inputs!P327</f>
        <v>0</v>
      </c>
      <c r="M1293" s="196">
        <f>Inputs!Q327</f>
        <v>0</v>
      </c>
      <c r="N1293" s="196">
        <f>Inputs!R327</f>
        <v>0</v>
      </c>
      <c r="O1293" s="196">
        <f>Inputs!S327</f>
        <v>0</v>
      </c>
      <c r="P1293" s="196">
        <f>Inputs!T327</f>
        <v>0</v>
      </c>
      <c r="Q1293" s="196">
        <f>Inputs!U327</f>
        <v>0</v>
      </c>
      <c r="R1293" s="196">
        <f>Inputs!V327</f>
        <v>0</v>
      </c>
      <c r="S1293" s="267">
        <f>Inputs!W327</f>
        <v>0</v>
      </c>
    </row>
    <row r="1294" spans="1:19" ht="12.75" customHeight="1" x14ac:dyDescent="0.2">
      <c r="A1294" s="188" t="str">
        <f>"   "&amp;Labels!B332</f>
        <v xml:space="preserve">   Other</v>
      </c>
      <c r="B1294" s="196">
        <f>Inputs!F328</f>
        <v>0</v>
      </c>
      <c r="C1294" s="196">
        <f>Inputs!G328</f>
        <v>0</v>
      </c>
      <c r="D1294" s="196">
        <f>Inputs!H328</f>
        <v>0</v>
      </c>
      <c r="E1294" s="196">
        <f>Inputs!I328</f>
        <v>0</v>
      </c>
      <c r="F1294" s="196">
        <f>Inputs!J328</f>
        <v>0</v>
      </c>
      <c r="G1294" s="196">
        <f>Inputs!K328</f>
        <v>0</v>
      </c>
      <c r="H1294" s="196">
        <f>Inputs!L328</f>
        <v>0</v>
      </c>
      <c r="I1294" s="196">
        <f>Inputs!M328</f>
        <v>0</v>
      </c>
      <c r="J1294" s="196">
        <f>Inputs!N328</f>
        <v>0</v>
      </c>
      <c r="K1294" s="196">
        <f>Inputs!O328</f>
        <v>0</v>
      </c>
      <c r="L1294" s="196">
        <f>Inputs!P328</f>
        <v>0</v>
      </c>
      <c r="M1294" s="196">
        <f>Inputs!Q328</f>
        <v>0</v>
      </c>
      <c r="N1294" s="196">
        <f>Inputs!R328</f>
        <v>0</v>
      </c>
      <c r="O1294" s="196">
        <f>Inputs!S328</f>
        <v>0</v>
      </c>
      <c r="P1294" s="196">
        <f>Inputs!T328</f>
        <v>0</v>
      </c>
      <c r="Q1294" s="196">
        <f>Inputs!U328</f>
        <v>0</v>
      </c>
      <c r="R1294" s="196">
        <f>Inputs!V328</f>
        <v>0</v>
      </c>
      <c r="S1294" s="267">
        <f>Inputs!W328</f>
        <v>0</v>
      </c>
    </row>
    <row r="1295" spans="1:19" ht="12.75" customHeight="1" x14ac:dyDescent="0.2">
      <c r="A1295" s="191" t="str">
        <f>"   "&amp;Labels!C329</f>
        <v xml:space="preserve">   Total</v>
      </c>
      <c r="B1295" s="192">
        <f t="shared" ref="B1295:S1295" si="655">SUM(B1292:B1294)</f>
        <v>0</v>
      </c>
      <c r="C1295" s="192">
        <f t="shared" si="655"/>
        <v>0</v>
      </c>
      <c r="D1295" s="192">
        <f t="shared" si="655"/>
        <v>0</v>
      </c>
      <c r="E1295" s="192">
        <f t="shared" si="655"/>
        <v>0</v>
      </c>
      <c r="F1295" s="192">
        <f t="shared" si="655"/>
        <v>0</v>
      </c>
      <c r="G1295" s="192">
        <f t="shared" si="655"/>
        <v>0</v>
      </c>
      <c r="H1295" s="192">
        <f t="shared" si="655"/>
        <v>0</v>
      </c>
      <c r="I1295" s="192">
        <f t="shared" si="655"/>
        <v>0</v>
      </c>
      <c r="J1295" s="192">
        <f t="shared" si="655"/>
        <v>0</v>
      </c>
      <c r="K1295" s="192">
        <f t="shared" si="655"/>
        <v>0</v>
      </c>
      <c r="L1295" s="192">
        <f t="shared" si="655"/>
        <v>0</v>
      </c>
      <c r="M1295" s="192">
        <f t="shared" si="655"/>
        <v>0</v>
      </c>
      <c r="N1295" s="192">
        <f t="shared" si="655"/>
        <v>0</v>
      </c>
      <c r="O1295" s="192">
        <f t="shared" si="655"/>
        <v>0</v>
      </c>
      <c r="P1295" s="192">
        <f t="shared" si="655"/>
        <v>0</v>
      </c>
      <c r="Q1295" s="192">
        <f t="shared" si="655"/>
        <v>0</v>
      </c>
      <c r="R1295" s="192">
        <f t="shared" si="655"/>
        <v>0</v>
      </c>
      <c r="S1295" s="280">
        <f t="shared" si="655"/>
        <v>0</v>
      </c>
    </row>
    <row r="1296" spans="1:19" ht="12.75" customHeight="1" x14ac:dyDescent="0.2">
      <c r="A1296" s="191" t="str">
        <f>Labels!B322</f>
        <v>Sales</v>
      </c>
      <c r="B1296" s="192"/>
      <c r="C1296" s="192"/>
      <c r="D1296" s="192"/>
      <c r="E1296" s="192"/>
      <c r="F1296" s="192"/>
      <c r="G1296" s="192"/>
      <c r="H1296" s="192"/>
      <c r="I1296" s="192"/>
      <c r="J1296" s="192"/>
      <c r="K1296" s="192"/>
      <c r="L1296" s="192"/>
      <c r="M1296" s="192"/>
      <c r="N1296" s="192"/>
      <c r="O1296" s="192"/>
      <c r="P1296" s="192"/>
      <c r="Q1296" s="192"/>
      <c r="R1296" s="192"/>
      <c r="S1296" s="280"/>
    </row>
    <row r="1297" spans="1:19" ht="12.75" customHeight="1" x14ac:dyDescent="0.2">
      <c r="A1297" s="188" t="str">
        <f>"   "&amp;Labels!B330</f>
        <v xml:space="preserve">   Supplies</v>
      </c>
      <c r="B1297" s="196">
        <f>Inputs!F329</f>
        <v>0</v>
      </c>
      <c r="C1297" s="196">
        <f>Inputs!G329</f>
        <v>0</v>
      </c>
      <c r="D1297" s="196">
        <f>Inputs!H329</f>
        <v>0</v>
      </c>
      <c r="E1297" s="196">
        <f>Inputs!I329</f>
        <v>0</v>
      </c>
      <c r="F1297" s="196">
        <f>Inputs!J329</f>
        <v>0</v>
      </c>
      <c r="G1297" s="196">
        <f>Inputs!K329</f>
        <v>0</v>
      </c>
      <c r="H1297" s="196">
        <f>Inputs!L329</f>
        <v>0</v>
      </c>
      <c r="I1297" s="196">
        <f>Inputs!M329</f>
        <v>0</v>
      </c>
      <c r="J1297" s="196">
        <f>Inputs!N329</f>
        <v>0</v>
      </c>
      <c r="K1297" s="196">
        <f>Inputs!O329</f>
        <v>0</v>
      </c>
      <c r="L1297" s="196">
        <f>Inputs!P329</f>
        <v>0</v>
      </c>
      <c r="M1297" s="196">
        <f>Inputs!Q329</f>
        <v>0</v>
      </c>
      <c r="N1297" s="196">
        <f>Inputs!R329</f>
        <v>0</v>
      </c>
      <c r="O1297" s="196">
        <f>Inputs!S329</f>
        <v>0</v>
      </c>
      <c r="P1297" s="196">
        <f>Inputs!T329</f>
        <v>0</v>
      </c>
      <c r="Q1297" s="196">
        <f>Inputs!U329</f>
        <v>0</v>
      </c>
      <c r="R1297" s="196">
        <f>Inputs!V329</f>
        <v>0</v>
      </c>
      <c r="S1297" s="267">
        <f>Inputs!W329</f>
        <v>0</v>
      </c>
    </row>
    <row r="1298" spans="1:19" ht="12.75" customHeight="1" x14ac:dyDescent="0.2">
      <c r="A1298" s="188" t="str">
        <f>"   "&amp;Labels!B331</f>
        <v xml:space="preserve">   Travel Entertain</v>
      </c>
      <c r="B1298" s="196">
        <f>Inputs!F330</f>
        <v>0</v>
      </c>
      <c r="C1298" s="196">
        <f>Inputs!G330</f>
        <v>0</v>
      </c>
      <c r="D1298" s="196">
        <f>Inputs!H330</f>
        <v>0</v>
      </c>
      <c r="E1298" s="196">
        <f>Inputs!I330</f>
        <v>0</v>
      </c>
      <c r="F1298" s="196">
        <f>Inputs!J330</f>
        <v>0</v>
      </c>
      <c r="G1298" s="196">
        <f>Inputs!K330</f>
        <v>0</v>
      </c>
      <c r="H1298" s="196">
        <f>Inputs!L330</f>
        <v>0</v>
      </c>
      <c r="I1298" s="196">
        <f>Inputs!M330</f>
        <v>0</v>
      </c>
      <c r="J1298" s="196">
        <f>Inputs!N330</f>
        <v>0</v>
      </c>
      <c r="K1298" s="196">
        <f>Inputs!O330</f>
        <v>0</v>
      </c>
      <c r="L1298" s="196">
        <f>Inputs!P330</f>
        <v>0</v>
      </c>
      <c r="M1298" s="196">
        <f>Inputs!Q330</f>
        <v>0</v>
      </c>
      <c r="N1298" s="196">
        <f>Inputs!R330</f>
        <v>0</v>
      </c>
      <c r="O1298" s="196">
        <f>Inputs!S330</f>
        <v>0</v>
      </c>
      <c r="P1298" s="196">
        <f>Inputs!T330</f>
        <v>0</v>
      </c>
      <c r="Q1298" s="196">
        <f>Inputs!U330</f>
        <v>0</v>
      </c>
      <c r="R1298" s="196">
        <f>Inputs!V330</f>
        <v>0</v>
      </c>
      <c r="S1298" s="267">
        <f>Inputs!W330</f>
        <v>0</v>
      </c>
    </row>
    <row r="1299" spans="1:19" ht="12.75" customHeight="1" x14ac:dyDescent="0.2">
      <c r="A1299" s="188" t="str">
        <f>"   "&amp;Labels!B332</f>
        <v xml:space="preserve">   Other</v>
      </c>
      <c r="B1299" s="196">
        <f>Inputs!F331</f>
        <v>0</v>
      </c>
      <c r="C1299" s="196">
        <f>Inputs!G331</f>
        <v>0</v>
      </c>
      <c r="D1299" s="196">
        <f>Inputs!H331</f>
        <v>0</v>
      </c>
      <c r="E1299" s="196">
        <f>Inputs!I331</f>
        <v>0</v>
      </c>
      <c r="F1299" s="196">
        <f>Inputs!J331</f>
        <v>0</v>
      </c>
      <c r="G1299" s="196">
        <f>Inputs!K331</f>
        <v>0</v>
      </c>
      <c r="H1299" s="196">
        <f>Inputs!L331</f>
        <v>0</v>
      </c>
      <c r="I1299" s="196">
        <f>Inputs!M331</f>
        <v>0</v>
      </c>
      <c r="J1299" s="196">
        <f>Inputs!N331</f>
        <v>0</v>
      </c>
      <c r="K1299" s="196">
        <f>Inputs!O331</f>
        <v>0</v>
      </c>
      <c r="L1299" s="196">
        <f>Inputs!P331</f>
        <v>0</v>
      </c>
      <c r="M1299" s="196">
        <f>Inputs!Q331</f>
        <v>0</v>
      </c>
      <c r="N1299" s="196">
        <f>Inputs!R331</f>
        <v>0</v>
      </c>
      <c r="O1299" s="196">
        <f>Inputs!S331</f>
        <v>0</v>
      </c>
      <c r="P1299" s="196">
        <f>Inputs!T331</f>
        <v>0</v>
      </c>
      <c r="Q1299" s="196">
        <f>Inputs!U331</f>
        <v>0</v>
      </c>
      <c r="R1299" s="196">
        <f>Inputs!V331</f>
        <v>0</v>
      </c>
      <c r="S1299" s="267">
        <f>Inputs!W331</f>
        <v>0</v>
      </c>
    </row>
    <row r="1300" spans="1:19" ht="12.75" customHeight="1" x14ac:dyDescent="0.2">
      <c r="A1300" s="191" t="str">
        <f>"   "&amp;Labels!C329</f>
        <v xml:space="preserve">   Total</v>
      </c>
      <c r="B1300" s="192">
        <f t="shared" ref="B1300:S1300" si="656">SUM(B1297:B1299)</f>
        <v>0</v>
      </c>
      <c r="C1300" s="192">
        <f t="shared" si="656"/>
        <v>0</v>
      </c>
      <c r="D1300" s="192">
        <f t="shared" si="656"/>
        <v>0</v>
      </c>
      <c r="E1300" s="192">
        <f t="shared" si="656"/>
        <v>0</v>
      </c>
      <c r="F1300" s="192">
        <f t="shared" si="656"/>
        <v>0</v>
      </c>
      <c r="G1300" s="192">
        <f t="shared" si="656"/>
        <v>0</v>
      </c>
      <c r="H1300" s="192">
        <f t="shared" si="656"/>
        <v>0</v>
      </c>
      <c r="I1300" s="192">
        <f t="shared" si="656"/>
        <v>0</v>
      </c>
      <c r="J1300" s="192">
        <f t="shared" si="656"/>
        <v>0</v>
      </c>
      <c r="K1300" s="192">
        <f t="shared" si="656"/>
        <v>0</v>
      </c>
      <c r="L1300" s="192">
        <f t="shared" si="656"/>
        <v>0</v>
      </c>
      <c r="M1300" s="192">
        <f t="shared" si="656"/>
        <v>0</v>
      </c>
      <c r="N1300" s="192">
        <f t="shared" si="656"/>
        <v>0</v>
      </c>
      <c r="O1300" s="192">
        <f t="shared" si="656"/>
        <v>0</v>
      </c>
      <c r="P1300" s="192">
        <f t="shared" si="656"/>
        <v>0</v>
      </c>
      <c r="Q1300" s="192">
        <f t="shared" si="656"/>
        <v>0</v>
      </c>
      <c r="R1300" s="192">
        <f t="shared" si="656"/>
        <v>0</v>
      </c>
      <c r="S1300" s="280">
        <f t="shared" si="656"/>
        <v>0</v>
      </c>
    </row>
    <row r="1301" spans="1:19" ht="12.75" customHeight="1" x14ac:dyDescent="0.2">
      <c r="A1301" s="97" t="str">
        <f>Labels!C320</f>
        <v>Total</v>
      </c>
      <c r="B1301" s="194">
        <f>IF('Sup Staff'!B10=0,AVERAGE(B1295,B1300),OpExp!B157*12/'Sup Staff'!B10)</f>
        <v>0</v>
      </c>
      <c r="C1301" s="194">
        <f>IF('Sup Staff'!C10=0,AVERAGE(C1295,C1300),OpExp!C157*12/'Sup Staff'!C10)</f>
        <v>0</v>
      </c>
      <c r="D1301" s="194">
        <f>IF('Sup Staff'!D10=0,AVERAGE(D1295,D1300),OpExp!D157*12/'Sup Staff'!D10)</f>
        <v>0</v>
      </c>
      <c r="E1301" s="194">
        <f>IF('Sup Staff'!F10=0,AVERAGE(E1295,E1300),OpExp!F157*12/'Sup Staff'!F10)</f>
        <v>0</v>
      </c>
      <c r="F1301" s="194">
        <f>IF('Sup Staff'!G10=0,AVERAGE(F1295,F1300),OpExp!G157*12/'Sup Staff'!G10)</f>
        <v>0</v>
      </c>
      <c r="G1301" s="194">
        <f>IF('Sup Staff'!H10=0,AVERAGE(G1295,G1300),OpExp!H157*12/'Sup Staff'!H10)</f>
        <v>0</v>
      </c>
      <c r="H1301" s="194">
        <f>IF('Sup Staff'!J10=0,AVERAGE(H1295,H1300),OpExp!J157*12/'Sup Staff'!J10)</f>
        <v>0</v>
      </c>
      <c r="I1301" s="194">
        <f>IF('Sup Staff'!K10=0,AVERAGE(I1295,I1300),OpExp!K157*12/'Sup Staff'!K10)</f>
        <v>0</v>
      </c>
      <c r="J1301" s="194">
        <f>IF('Sup Staff'!L10=0,AVERAGE(J1295,J1300),OpExp!L157*12/'Sup Staff'!L10)</f>
        <v>0</v>
      </c>
      <c r="K1301" s="194">
        <f>IF('Sup Staff'!N10=0,AVERAGE(K1295,K1300),OpExp!N157*12/'Sup Staff'!N10)</f>
        <v>0</v>
      </c>
      <c r="L1301" s="194">
        <f>IF('Sup Staff'!O10=0,AVERAGE(L1295,L1300),OpExp!O157*12/'Sup Staff'!O10)</f>
        <v>0</v>
      </c>
      <c r="M1301" s="194">
        <f>IF('Sup Staff'!P10=0,AVERAGE(M1295,M1300),OpExp!P157*12/'Sup Staff'!P10)</f>
        <v>0</v>
      </c>
      <c r="N1301" s="194">
        <f>IF('Sup Staff'!R10=0,AVERAGE(N1295,N1300),OpExp!R157*12/'Sup Staff'!R10)</f>
        <v>0</v>
      </c>
      <c r="O1301" s="194">
        <f>IF('Sup Staff'!S10=0,AVERAGE(O1295,O1300),OpExp!S157*12/'Sup Staff'!S10)</f>
        <v>0</v>
      </c>
      <c r="P1301" s="194">
        <f>IF('Sup Staff'!T10=0,AVERAGE(P1295,P1300),OpExp!T157*12/'Sup Staff'!T10)</f>
        <v>0</v>
      </c>
      <c r="Q1301" s="194">
        <f>IF('Sup Staff'!V10=0,AVERAGE(Q1295,Q1300),OpExp!V157*12/'Sup Staff'!V10)</f>
        <v>0</v>
      </c>
      <c r="R1301" s="194">
        <f>IF('Sup Staff'!W10=0,AVERAGE(R1295,R1300),OpExp!W157*12/'Sup Staff'!W10)</f>
        <v>0</v>
      </c>
      <c r="S1301" s="351">
        <f>IF('Sup Staff'!X10=0,AVERAGE(S1295,S1300),OpExp!X157*12/'Sup Staff'!X10)</f>
        <v>0</v>
      </c>
    </row>
    <row r="1302" spans="1:19" ht="12.75" customHeight="1" x14ac:dyDescent="0.2">
      <c r="A1302" s="188" t="str">
        <f>"   "&amp;Labels!B330</f>
        <v xml:space="preserve">   Supplies</v>
      </c>
      <c r="B1302" s="196">
        <f>IF('Sup Staff'!B10=0,AVERAGE(B1292,B1297),OpExp!B158*12/'Sup Staff'!B10)</f>
        <v>0</v>
      </c>
      <c r="C1302" s="196">
        <f>IF('Sup Staff'!C10=0,AVERAGE(C1292,C1297),OpExp!C158*12/'Sup Staff'!C10)</f>
        <v>0</v>
      </c>
      <c r="D1302" s="196">
        <f>IF('Sup Staff'!D10=0,AVERAGE(D1292,D1297),OpExp!D158*12/'Sup Staff'!D10)</f>
        <v>0</v>
      </c>
      <c r="E1302" s="196">
        <f>IF('Sup Staff'!F10=0,AVERAGE(E1292,E1297),OpExp!F158*12/'Sup Staff'!F10)</f>
        <v>0</v>
      </c>
      <c r="F1302" s="196">
        <f>IF('Sup Staff'!G10=0,AVERAGE(F1292,F1297),OpExp!G158*12/'Sup Staff'!G10)</f>
        <v>0</v>
      </c>
      <c r="G1302" s="196">
        <f>IF('Sup Staff'!H10=0,AVERAGE(G1292,G1297),OpExp!H158*12/'Sup Staff'!H10)</f>
        <v>0</v>
      </c>
      <c r="H1302" s="196">
        <f>IF('Sup Staff'!J10=0,AVERAGE(H1292,H1297),OpExp!J158*12/'Sup Staff'!J10)</f>
        <v>0</v>
      </c>
      <c r="I1302" s="196">
        <f>IF('Sup Staff'!K10=0,AVERAGE(I1292,I1297),OpExp!K158*12/'Sup Staff'!K10)</f>
        <v>0</v>
      </c>
      <c r="J1302" s="196">
        <f>IF('Sup Staff'!L10=0,AVERAGE(J1292,J1297),OpExp!L158*12/'Sup Staff'!L10)</f>
        <v>0</v>
      </c>
      <c r="K1302" s="196">
        <f>IF('Sup Staff'!N10=0,AVERAGE(K1292,K1297),OpExp!N158*12/'Sup Staff'!N10)</f>
        <v>0</v>
      </c>
      <c r="L1302" s="196">
        <f>IF('Sup Staff'!O10=0,AVERAGE(L1292,L1297),OpExp!O158*12/'Sup Staff'!O10)</f>
        <v>0</v>
      </c>
      <c r="M1302" s="196">
        <f>IF('Sup Staff'!P10=0,AVERAGE(M1292,M1297),OpExp!P158*12/'Sup Staff'!P10)</f>
        <v>0</v>
      </c>
      <c r="N1302" s="196">
        <f>IF('Sup Staff'!R10=0,AVERAGE(N1292,N1297),OpExp!R158*12/'Sup Staff'!R10)</f>
        <v>0</v>
      </c>
      <c r="O1302" s="196">
        <f>IF('Sup Staff'!S10=0,AVERAGE(O1292,O1297),OpExp!S158*12/'Sup Staff'!S10)</f>
        <v>0</v>
      </c>
      <c r="P1302" s="196">
        <f>IF('Sup Staff'!T10=0,AVERAGE(P1292,P1297),OpExp!T158*12/'Sup Staff'!T10)</f>
        <v>0</v>
      </c>
      <c r="Q1302" s="196">
        <f>IF('Sup Staff'!V10=0,AVERAGE(Q1292,Q1297),OpExp!V158*12/'Sup Staff'!V10)</f>
        <v>0</v>
      </c>
      <c r="R1302" s="196">
        <f>IF('Sup Staff'!W10=0,AVERAGE(R1292,R1297),OpExp!W158*12/'Sup Staff'!W10)</f>
        <v>0</v>
      </c>
      <c r="S1302" s="267">
        <f>IF('Sup Staff'!X10=0,AVERAGE(S1292,S1297),OpExp!X158*12/'Sup Staff'!X10)</f>
        <v>0</v>
      </c>
    </row>
    <row r="1303" spans="1:19" ht="12.75" customHeight="1" x14ac:dyDescent="0.2">
      <c r="A1303" s="188" t="str">
        <f>"   "&amp;Labels!B331</f>
        <v xml:space="preserve">   Travel Entertain</v>
      </c>
      <c r="B1303" s="196">
        <f>IF('Sup Staff'!B10=0,AVERAGE(B1293,B1298),OpExp!B159*12/'Sup Staff'!B10)</f>
        <v>0</v>
      </c>
      <c r="C1303" s="196">
        <f>IF('Sup Staff'!C10=0,AVERAGE(C1293,C1298),OpExp!C159*12/'Sup Staff'!C10)</f>
        <v>0</v>
      </c>
      <c r="D1303" s="196">
        <f>IF('Sup Staff'!D10=0,AVERAGE(D1293,D1298),OpExp!D159*12/'Sup Staff'!D10)</f>
        <v>0</v>
      </c>
      <c r="E1303" s="196">
        <f>IF('Sup Staff'!F10=0,AVERAGE(E1293,E1298),OpExp!F159*12/'Sup Staff'!F10)</f>
        <v>0</v>
      </c>
      <c r="F1303" s="196">
        <f>IF('Sup Staff'!G10=0,AVERAGE(F1293,F1298),OpExp!G159*12/'Sup Staff'!G10)</f>
        <v>0</v>
      </c>
      <c r="G1303" s="196">
        <f>IF('Sup Staff'!H10=0,AVERAGE(G1293,G1298),OpExp!H159*12/'Sup Staff'!H10)</f>
        <v>0</v>
      </c>
      <c r="H1303" s="196">
        <f>IF('Sup Staff'!J10=0,AVERAGE(H1293,H1298),OpExp!J159*12/'Sup Staff'!J10)</f>
        <v>0</v>
      </c>
      <c r="I1303" s="196">
        <f>IF('Sup Staff'!K10=0,AVERAGE(I1293,I1298),OpExp!K159*12/'Sup Staff'!K10)</f>
        <v>0</v>
      </c>
      <c r="J1303" s="196">
        <f>IF('Sup Staff'!L10=0,AVERAGE(J1293,J1298),OpExp!L159*12/'Sup Staff'!L10)</f>
        <v>0</v>
      </c>
      <c r="K1303" s="196">
        <f>IF('Sup Staff'!N10=0,AVERAGE(K1293,K1298),OpExp!N159*12/'Sup Staff'!N10)</f>
        <v>0</v>
      </c>
      <c r="L1303" s="196">
        <f>IF('Sup Staff'!O10=0,AVERAGE(L1293,L1298),OpExp!O159*12/'Sup Staff'!O10)</f>
        <v>0</v>
      </c>
      <c r="M1303" s="196">
        <f>IF('Sup Staff'!P10=0,AVERAGE(M1293,M1298),OpExp!P159*12/'Sup Staff'!P10)</f>
        <v>0</v>
      </c>
      <c r="N1303" s="196">
        <f>IF('Sup Staff'!R10=0,AVERAGE(N1293,N1298),OpExp!R159*12/'Sup Staff'!R10)</f>
        <v>0</v>
      </c>
      <c r="O1303" s="196">
        <f>IF('Sup Staff'!S10=0,AVERAGE(O1293,O1298),OpExp!S159*12/'Sup Staff'!S10)</f>
        <v>0</v>
      </c>
      <c r="P1303" s="196">
        <f>IF('Sup Staff'!T10=0,AVERAGE(P1293,P1298),OpExp!T159*12/'Sup Staff'!T10)</f>
        <v>0</v>
      </c>
      <c r="Q1303" s="196">
        <f>IF('Sup Staff'!V10=0,AVERAGE(Q1293,Q1298),OpExp!V159*12/'Sup Staff'!V10)</f>
        <v>0</v>
      </c>
      <c r="R1303" s="196">
        <f>IF('Sup Staff'!W10=0,AVERAGE(R1293,R1298),OpExp!W159*12/'Sup Staff'!W10)</f>
        <v>0</v>
      </c>
      <c r="S1303" s="267">
        <f>IF('Sup Staff'!X10=0,AVERAGE(S1293,S1298),OpExp!X159*12/'Sup Staff'!X10)</f>
        <v>0</v>
      </c>
    </row>
    <row r="1304" spans="1:19" ht="12.75" customHeight="1" x14ac:dyDescent="0.2">
      <c r="A1304" s="188" t="str">
        <f>"   "&amp;Labels!B332</f>
        <v xml:space="preserve">   Other</v>
      </c>
      <c r="B1304" s="196">
        <f>IF('Sup Staff'!B10=0,AVERAGE(B1294,B1299),OpExp!B160*12/'Sup Staff'!B10)</f>
        <v>0</v>
      </c>
      <c r="C1304" s="196">
        <f>IF('Sup Staff'!C10=0,AVERAGE(C1294,C1299),OpExp!C160*12/'Sup Staff'!C10)</f>
        <v>0</v>
      </c>
      <c r="D1304" s="196">
        <f>IF('Sup Staff'!D10=0,AVERAGE(D1294,D1299),OpExp!D160*12/'Sup Staff'!D10)</f>
        <v>0</v>
      </c>
      <c r="E1304" s="196">
        <f>IF('Sup Staff'!F10=0,AVERAGE(E1294,E1299),OpExp!F160*12/'Sup Staff'!F10)</f>
        <v>0</v>
      </c>
      <c r="F1304" s="196">
        <f>IF('Sup Staff'!G10=0,AVERAGE(F1294,F1299),OpExp!G160*12/'Sup Staff'!G10)</f>
        <v>0</v>
      </c>
      <c r="G1304" s="196">
        <f>IF('Sup Staff'!H10=0,AVERAGE(G1294,G1299),OpExp!H160*12/'Sup Staff'!H10)</f>
        <v>0</v>
      </c>
      <c r="H1304" s="196">
        <f>IF('Sup Staff'!J10=0,AVERAGE(H1294,H1299),OpExp!J160*12/'Sup Staff'!J10)</f>
        <v>0</v>
      </c>
      <c r="I1304" s="196">
        <f>IF('Sup Staff'!K10=0,AVERAGE(I1294,I1299),OpExp!K160*12/'Sup Staff'!K10)</f>
        <v>0</v>
      </c>
      <c r="J1304" s="196">
        <f>IF('Sup Staff'!L10=0,AVERAGE(J1294,J1299),OpExp!L160*12/'Sup Staff'!L10)</f>
        <v>0</v>
      </c>
      <c r="K1304" s="196">
        <f>IF('Sup Staff'!N10=0,AVERAGE(K1294,K1299),OpExp!N160*12/'Sup Staff'!N10)</f>
        <v>0</v>
      </c>
      <c r="L1304" s="196">
        <f>IF('Sup Staff'!O10=0,AVERAGE(L1294,L1299),OpExp!O160*12/'Sup Staff'!O10)</f>
        <v>0</v>
      </c>
      <c r="M1304" s="196">
        <f>IF('Sup Staff'!P10=0,AVERAGE(M1294,M1299),OpExp!P160*12/'Sup Staff'!P10)</f>
        <v>0</v>
      </c>
      <c r="N1304" s="196">
        <f>IF('Sup Staff'!R10=0,AVERAGE(N1294,N1299),OpExp!R160*12/'Sup Staff'!R10)</f>
        <v>0</v>
      </c>
      <c r="O1304" s="196">
        <f>IF('Sup Staff'!S10=0,AVERAGE(O1294,O1299),OpExp!S160*12/'Sup Staff'!S10)</f>
        <v>0</v>
      </c>
      <c r="P1304" s="196">
        <f>IF('Sup Staff'!T10=0,AVERAGE(P1294,P1299),OpExp!T160*12/'Sup Staff'!T10)</f>
        <v>0</v>
      </c>
      <c r="Q1304" s="196">
        <f>IF('Sup Staff'!V10=0,AVERAGE(Q1294,Q1299),OpExp!V160*12/'Sup Staff'!V10)</f>
        <v>0</v>
      </c>
      <c r="R1304" s="196">
        <f>IF('Sup Staff'!W10=0,AVERAGE(R1294,R1299),OpExp!W160*12/'Sup Staff'!W10)</f>
        <v>0</v>
      </c>
      <c r="S1304" s="267">
        <f>IF('Sup Staff'!X10=0,AVERAGE(S1294,S1299),OpExp!X160*12/'Sup Staff'!X10)</f>
        <v>0</v>
      </c>
    </row>
    <row r="1305" spans="1:19" ht="12.75" customHeight="1" x14ac:dyDescent="0.2">
      <c r="A1305" s="185" t="str">
        <f>"   "&amp;Labels!C329</f>
        <v xml:space="preserve">   Total</v>
      </c>
      <c r="B1305" s="176">
        <f>IF('Sup Staff'!B10=0,AVERAGE(B1295,B1300),OpExp!B157*12/'Sup Staff'!B10)</f>
        <v>0</v>
      </c>
      <c r="C1305" s="176">
        <f>IF('Sup Staff'!C10=0,AVERAGE(C1295,C1300),OpExp!C157*12/'Sup Staff'!C10)</f>
        <v>0</v>
      </c>
      <c r="D1305" s="176">
        <f>IF('Sup Staff'!D10=0,AVERAGE(D1295,D1300),OpExp!D157*12/'Sup Staff'!D10)</f>
        <v>0</v>
      </c>
      <c r="E1305" s="176">
        <f>IF('Sup Staff'!F10=0,AVERAGE(E1295,E1300),OpExp!F157*12/'Sup Staff'!F10)</f>
        <v>0</v>
      </c>
      <c r="F1305" s="176">
        <f>IF('Sup Staff'!G10=0,AVERAGE(F1295,F1300),OpExp!G157*12/'Sup Staff'!G10)</f>
        <v>0</v>
      </c>
      <c r="G1305" s="176">
        <f>IF('Sup Staff'!H10=0,AVERAGE(G1295,G1300),OpExp!H157*12/'Sup Staff'!H10)</f>
        <v>0</v>
      </c>
      <c r="H1305" s="176">
        <f>IF('Sup Staff'!J10=0,AVERAGE(H1295,H1300),OpExp!J157*12/'Sup Staff'!J10)</f>
        <v>0</v>
      </c>
      <c r="I1305" s="176">
        <f>IF('Sup Staff'!K10=0,AVERAGE(I1295,I1300),OpExp!K157*12/'Sup Staff'!K10)</f>
        <v>0</v>
      </c>
      <c r="J1305" s="176">
        <f>IF('Sup Staff'!L10=0,AVERAGE(J1295,J1300),OpExp!L157*12/'Sup Staff'!L10)</f>
        <v>0</v>
      </c>
      <c r="K1305" s="176">
        <f>IF('Sup Staff'!N10=0,AVERAGE(K1295,K1300),OpExp!N157*12/'Sup Staff'!N10)</f>
        <v>0</v>
      </c>
      <c r="L1305" s="176">
        <f>IF('Sup Staff'!O10=0,AVERAGE(L1295,L1300),OpExp!O157*12/'Sup Staff'!O10)</f>
        <v>0</v>
      </c>
      <c r="M1305" s="176">
        <f>IF('Sup Staff'!P10=0,AVERAGE(M1295,M1300),OpExp!P157*12/'Sup Staff'!P10)</f>
        <v>0</v>
      </c>
      <c r="N1305" s="176">
        <f>IF('Sup Staff'!R10=0,AVERAGE(N1295,N1300),OpExp!R157*12/'Sup Staff'!R10)</f>
        <v>0</v>
      </c>
      <c r="O1305" s="176">
        <f>IF('Sup Staff'!S10=0,AVERAGE(O1295,O1300),OpExp!S157*12/'Sup Staff'!S10)</f>
        <v>0</v>
      </c>
      <c r="P1305" s="176">
        <f>IF('Sup Staff'!T10=0,AVERAGE(P1295,P1300),OpExp!T157*12/'Sup Staff'!T10)</f>
        <v>0</v>
      </c>
      <c r="Q1305" s="176">
        <f>IF('Sup Staff'!V10=0,AVERAGE(Q1295,Q1300),OpExp!V157*12/'Sup Staff'!V10)</f>
        <v>0</v>
      </c>
      <c r="R1305" s="176">
        <f>IF('Sup Staff'!W10=0,AVERAGE(R1295,R1300),OpExp!W157*12/'Sup Staff'!W10)</f>
        <v>0</v>
      </c>
      <c r="S1305" s="268">
        <f>IF('Sup Staff'!X10=0,AVERAGE(S1295,S1300),OpExp!X157*12/'Sup Staff'!X10)</f>
        <v>0</v>
      </c>
    </row>
    <row r="1306" spans="1:19" ht="12.75" customHeight="1" x14ac:dyDescent="0.2">
      <c r="A1306" s="1" t="str">
        <f>Labels!B269</f>
        <v>Initial Value</v>
      </c>
    </row>
    <row r="1307" spans="1:19" ht="12.75" customHeight="1" x14ac:dyDescent="0.2">
      <c r="B1307" s="181"/>
    </row>
    <row r="1308" spans="1:19" ht="12.75" customHeight="1" x14ac:dyDescent="0.2">
      <c r="A1308" s="182" t="str">
        <f>Labels!B306</f>
        <v>Building A</v>
      </c>
      <c r="B1308" s="335">
        <f>Inputs!H373</f>
        <v>0</v>
      </c>
    </row>
    <row r="1309" spans="1:19" ht="12.75" customHeight="1" x14ac:dyDescent="0.2">
      <c r="A1309" s="191" t="str">
        <f>Labels!B307</f>
        <v>Building B</v>
      </c>
      <c r="B1309" s="353">
        <f>Inputs!H374</f>
        <v>0</v>
      </c>
    </row>
    <row r="1310" spans="1:19" ht="12.75" customHeight="1" x14ac:dyDescent="0.2">
      <c r="A1310" s="97" t="str">
        <f>Labels!C305</f>
        <v>Total</v>
      </c>
      <c r="B1310" s="354">
        <f>SUM(B1308:B1309)</f>
        <v>0</v>
      </c>
    </row>
    <row r="1311" spans="1:19" ht="12.75" customHeight="1" x14ac:dyDescent="0.2">
      <c r="A1311" s="1" t="str">
        <f>Labels!B271</f>
        <v>Depr Life (Yr)</v>
      </c>
    </row>
    <row r="1312" spans="1:19" ht="12.75" customHeight="1" x14ac:dyDescent="0.2">
      <c r="B1312" s="181"/>
    </row>
    <row r="1313" spans="1:2" ht="12.75" customHeight="1" x14ac:dyDescent="0.2">
      <c r="A1313" s="182" t="str">
        <f>Labels!B306</f>
        <v>Building A</v>
      </c>
      <c r="B1313" s="376">
        <f>Inputs!J373</f>
        <v>10</v>
      </c>
    </row>
    <row r="1314" spans="1:2" ht="12.75" customHeight="1" x14ac:dyDescent="0.2">
      <c r="A1314" s="191" t="str">
        <f>Labels!B307</f>
        <v>Building B</v>
      </c>
      <c r="B1314" s="377">
        <f>Inputs!J374</f>
        <v>10</v>
      </c>
    </row>
    <row r="1315" spans="1:2" ht="12.75" customHeight="1" x14ac:dyDescent="0.2">
      <c r="A1315" s="97" t="str">
        <f>Labels!C305</f>
        <v>Total</v>
      </c>
      <c r="B1315" s="369">
        <f>AVERAGE(B1313:B1314)</f>
        <v>10</v>
      </c>
    </row>
    <row r="1316" spans="1:2" ht="12.75" customHeight="1" x14ac:dyDescent="0.2">
      <c r="A1316" s="1" t="str">
        <f>Labels!B273</f>
        <v>Physical Life (Yr)</v>
      </c>
    </row>
    <row r="1317" spans="1:2" ht="12.75" customHeight="1" x14ac:dyDescent="0.2">
      <c r="B1317" s="181"/>
    </row>
    <row r="1318" spans="1:2" ht="12.75" customHeight="1" x14ac:dyDescent="0.2">
      <c r="A1318" s="182" t="str">
        <f>Labels!B306</f>
        <v>Building A</v>
      </c>
      <c r="B1318" s="376">
        <f>Inputs!K373</f>
        <v>10</v>
      </c>
    </row>
    <row r="1319" spans="1:2" ht="12.75" customHeight="1" x14ac:dyDescent="0.2">
      <c r="A1319" s="191" t="str">
        <f>Labels!B307</f>
        <v>Building B</v>
      </c>
      <c r="B1319" s="377">
        <f>Inputs!K374</f>
        <v>10</v>
      </c>
    </row>
    <row r="1320" spans="1:2" ht="12.75" customHeight="1" x14ac:dyDescent="0.2">
      <c r="A1320" s="97" t="str">
        <f>Labels!C305</f>
        <v>Total</v>
      </c>
      <c r="B1320" s="369">
        <f>AVERAGE(B1318:B1319)</f>
        <v>10</v>
      </c>
    </row>
    <row r="1321" spans="1:2" ht="12.75" customHeight="1" x14ac:dyDescent="0.2">
      <c r="A1321" s="1" t="str">
        <f>Labels!B278</f>
        <v>Salvage Value</v>
      </c>
    </row>
    <row r="1322" spans="1:2" ht="12.75" customHeight="1" x14ac:dyDescent="0.2">
      <c r="B1322" s="181"/>
    </row>
    <row r="1323" spans="1:2" ht="12.75" customHeight="1" x14ac:dyDescent="0.2">
      <c r="A1323" s="182" t="str">
        <f>Labels!B306</f>
        <v>Building A</v>
      </c>
      <c r="B1323" s="335">
        <f>Inputs!L373</f>
        <v>0</v>
      </c>
    </row>
    <row r="1324" spans="1:2" ht="12.75" customHeight="1" x14ac:dyDescent="0.2">
      <c r="A1324" s="191" t="str">
        <f>Labels!B307</f>
        <v>Building B</v>
      </c>
      <c r="B1324" s="353">
        <f>Inputs!L374</f>
        <v>0</v>
      </c>
    </row>
    <row r="1325" spans="1:2" ht="12.75" customHeight="1" x14ac:dyDescent="0.2">
      <c r="A1325" s="97" t="str">
        <f>Labels!C305</f>
        <v>Total</v>
      </c>
      <c r="B1325" s="354">
        <f>SUM(B1323:B1324)</f>
        <v>0</v>
      </c>
    </row>
    <row r="1326" spans="1:2" ht="12.75" customHeight="1" x14ac:dyDescent="0.2">
      <c r="A1326" s="1" t="str">
        <f>Labels!B289</f>
        <v>Deprec Life (Yrs)</v>
      </c>
    </row>
    <row r="1327" spans="1:2" ht="12.75" customHeight="1" x14ac:dyDescent="0.2">
      <c r="B1327" s="181"/>
    </row>
    <row r="1328" spans="1:2" ht="12.75" customHeight="1" x14ac:dyDescent="0.2">
      <c r="A1328" s="182" t="str">
        <f>Labels!B408</f>
        <v>Furniture</v>
      </c>
      <c r="B1328" s="16">
        <f>9</f>
        <v>9</v>
      </c>
    </row>
    <row r="1329" spans="1:4" ht="12.75" customHeight="1" x14ac:dyDescent="0.2">
      <c r="A1329" s="191" t="str">
        <f>Labels!B409</f>
        <v>Office Equip</v>
      </c>
      <c r="B1329" s="408">
        <f>9</f>
        <v>9</v>
      </c>
    </row>
    <row r="1330" spans="1:4" ht="12.75" customHeight="1" x14ac:dyDescent="0.2">
      <c r="A1330" s="97" t="str">
        <f>Labels!C407</f>
        <v>Total</v>
      </c>
      <c r="B1330" s="361">
        <f>AVERAGE(B1328:B1329)</f>
        <v>9</v>
      </c>
    </row>
    <row r="1331" spans="1:4" ht="12.75" customHeight="1" x14ac:dyDescent="0.2">
      <c r="A1331" s="1" t="str">
        <f>Labels!B293</f>
        <v>Untagged Asset Purch Parameters</v>
      </c>
    </row>
    <row r="1332" spans="1:4" ht="12.75" customHeight="1" x14ac:dyDescent="0.2">
      <c r="B1332" s="9" t="str">
        <f>Labels!B408</f>
        <v>Furniture</v>
      </c>
      <c r="C1332" s="10" t="str">
        <f>Labels!B409</f>
        <v>Office Equip</v>
      </c>
      <c r="D1332" s="181" t="str">
        <f>Labels!C407</f>
        <v>Total</v>
      </c>
    </row>
    <row r="1333" spans="1:4" ht="12.75" customHeight="1" x14ac:dyDescent="0.2">
      <c r="A1333" s="182" t="str">
        <f>Labels!B401</f>
        <v>Initial Purchase</v>
      </c>
      <c r="B1333" s="239">
        <f>Inputs!F383</f>
        <v>0</v>
      </c>
      <c r="C1333" s="239">
        <f>Inputs!G383</f>
        <v>0</v>
      </c>
      <c r="D1333" s="240">
        <f>SUM(B1333:C1333)</f>
        <v>0</v>
      </c>
    </row>
    <row r="1334" spans="1:4" ht="12.75" customHeight="1" x14ac:dyDescent="0.2">
      <c r="A1334" s="191" t="str">
        <f>Labels!B402</f>
        <v>Per New Sup Staff</v>
      </c>
      <c r="B1334" s="245">
        <f>Inputs!F384</f>
        <v>0</v>
      </c>
      <c r="C1334" s="245">
        <f>Inputs!G384</f>
        <v>0</v>
      </c>
      <c r="D1334" s="246">
        <f>SUM(B1334:C1334)</f>
        <v>0</v>
      </c>
    </row>
    <row r="1335" spans="1:4" ht="12.75" customHeight="1" x14ac:dyDescent="0.2">
      <c r="A1335" s="191" t="str">
        <f>Labels!B403</f>
        <v>Per New Prof Staff</v>
      </c>
      <c r="B1335" s="245">
        <f>Inputs!F385</f>
        <v>0</v>
      </c>
      <c r="C1335" s="245">
        <f>Inputs!G385</f>
        <v>0</v>
      </c>
      <c r="D1335" s="246">
        <f>SUM(B1335:C1335)</f>
        <v>0</v>
      </c>
    </row>
    <row r="1336" spans="1:4" ht="12.75" customHeight="1" x14ac:dyDescent="0.2">
      <c r="A1336" s="191" t="str">
        <f>Labels!B404</f>
        <v>Per Old Sup Staff</v>
      </c>
      <c r="B1336" s="245">
        <f>Inputs!F386</f>
        <v>0</v>
      </c>
      <c r="C1336" s="245">
        <f>Inputs!G386</f>
        <v>0</v>
      </c>
      <c r="D1336" s="246">
        <f>SUM(B1336:C1336)</f>
        <v>0</v>
      </c>
    </row>
    <row r="1337" spans="1:4" ht="12.75" customHeight="1" x14ac:dyDescent="0.2">
      <c r="A1337" s="185" t="str">
        <f>Labels!B405</f>
        <v>Per Old Prof Staff</v>
      </c>
      <c r="B1337" s="338">
        <f>Inputs!F387</f>
        <v>0</v>
      </c>
      <c r="C1337" s="338">
        <f>Inputs!G387</f>
        <v>0</v>
      </c>
      <c r="D1337" s="409">
        <f>SUM(B1337:C1337)</f>
        <v>0</v>
      </c>
    </row>
    <row r="1338" spans="1:4" ht="12.75" customHeight="1" x14ac:dyDescent="0.2">
      <c r="A1338" s="1" t="str">
        <f>Labels!B57</f>
        <v>Initial Cap'd Development</v>
      </c>
    </row>
    <row r="1339" spans="1:4" ht="12.75" customHeight="1" x14ac:dyDescent="0.2">
      <c r="B1339" s="181"/>
    </row>
    <row r="1340" spans="1:4" ht="12.75" customHeight="1" x14ac:dyDescent="0.2">
      <c r="A1340" s="182" t="str">
        <f>Labels!B381</f>
        <v>Practice 1</v>
      </c>
      <c r="B1340" s="266">
        <f>Inputs!F391</f>
        <v>0</v>
      </c>
    </row>
    <row r="1341" spans="1:4" ht="12.75" customHeight="1" x14ac:dyDescent="0.2">
      <c r="A1341" s="191" t="str">
        <f>Labels!B382</f>
        <v>Practice 2</v>
      </c>
      <c r="B1341" s="280">
        <f>Inputs!F392</f>
        <v>0</v>
      </c>
    </row>
    <row r="1342" spans="1:4" ht="12.75" customHeight="1" x14ac:dyDescent="0.2">
      <c r="A1342" s="97" t="str">
        <f>Labels!C380</f>
        <v>Total</v>
      </c>
      <c r="B1342" s="351">
        <f>SUM(B1340:B1341)</f>
        <v>0</v>
      </c>
    </row>
    <row r="1343" spans="1:4" ht="12.75" customHeight="1" x14ac:dyDescent="0.2">
      <c r="A1343" s="1" t="str">
        <f>Labels!B58</f>
        <v>Cap'd Dev Life (Yrs)</v>
      </c>
    </row>
    <row r="1344" spans="1:4" ht="12.75" customHeight="1" x14ac:dyDescent="0.2">
      <c r="B1344" s="181"/>
    </row>
    <row r="1345" spans="1:19" ht="12.75" customHeight="1" x14ac:dyDescent="0.2">
      <c r="A1345" s="182" t="str">
        <f>Labels!B381</f>
        <v>Practice 1</v>
      </c>
      <c r="B1345" s="150">
        <f>Inputs!J391</f>
        <v>2</v>
      </c>
    </row>
    <row r="1346" spans="1:19" ht="12.75" customHeight="1" x14ac:dyDescent="0.2">
      <c r="A1346" s="191" t="str">
        <f>Labels!B382</f>
        <v>Practice 2</v>
      </c>
      <c r="B1346" s="289">
        <f>Inputs!J392</f>
        <v>2</v>
      </c>
    </row>
    <row r="1347" spans="1:19" ht="12.75" customHeight="1" x14ac:dyDescent="0.2">
      <c r="A1347" s="97" t="str">
        <f>Labels!C380</f>
        <v>Total</v>
      </c>
      <c r="B1347" s="361">
        <f>AVERAGE(B1345:B1346)</f>
        <v>2</v>
      </c>
    </row>
    <row r="1348" spans="1:19" ht="12.75" customHeight="1" x14ac:dyDescent="0.2">
      <c r="A1348" s="1" t="str">
        <f>Labels!B150</f>
        <v>Practice Dev % Capitalized</v>
      </c>
    </row>
    <row r="1349" spans="1:19" ht="12.75" customHeight="1" x14ac:dyDescent="0.2">
      <c r="B1349" s="9" t="str">
        <f>'(FnCalls 1)'!F41</f>
        <v>MMM 2010</v>
      </c>
      <c r="C1349" s="10" t="str">
        <f>'(FnCalls 1)'!F42</f>
        <v>MMM 2010</v>
      </c>
      <c r="D1349" s="10" t="str">
        <f>'(FnCalls 1)'!F43</f>
        <v>MMM 2010</v>
      </c>
      <c r="E1349" s="10" t="str">
        <f>'(FnCalls 1)'!F44</f>
        <v>MMM 2010</v>
      </c>
      <c r="F1349" s="10" t="str">
        <f>'(FnCalls 1)'!F45</f>
        <v>MMM 2010</v>
      </c>
      <c r="G1349" s="10" t="str">
        <f>'(FnCalls 1)'!F46</f>
        <v>MMM 2010</v>
      </c>
      <c r="H1349" s="10" t="str">
        <f>'(FnCalls 1)'!F47</f>
        <v>MMM 2010</v>
      </c>
      <c r="I1349" s="10" t="str">
        <f>'(FnCalls 1)'!F48</f>
        <v>MMM 2010</v>
      </c>
      <c r="J1349" s="10" t="str">
        <f>'(FnCalls 1)'!F49</f>
        <v>MMM 2010</v>
      </c>
      <c r="K1349" s="10" t="str">
        <f>'(FnCalls 1)'!F50</f>
        <v>MMM 2010</v>
      </c>
      <c r="L1349" s="10" t="str">
        <f>'(FnCalls 1)'!F51</f>
        <v>MMM 2010</v>
      </c>
      <c r="M1349" s="10" t="str">
        <f>'(FnCalls 1)'!F52</f>
        <v>MMM 2010</v>
      </c>
      <c r="N1349" s="10" t="str">
        <f>'(FnCalls 1)'!F53</f>
        <v>MMM 2011</v>
      </c>
      <c r="O1349" s="10" t="str">
        <f>'(FnCalls 1)'!F54</f>
        <v>MMM 2011</v>
      </c>
      <c r="P1349" s="10" t="str">
        <f>'(FnCalls 1)'!F55</f>
        <v>MMM 2011</v>
      </c>
      <c r="Q1349" s="10" t="str">
        <f>'(FnCalls 1)'!F56</f>
        <v>MMM 2011</v>
      </c>
      <c r="R1349" s="10" t="str">
        <f>'(FnCalls 1)'!F57</f>
        <v>MMM 2011</v>
      </c>
      <c r="S1349" s="11" t="str">
        <f>'(FnCalls 1)'!F58</f>
        <v>MMM 2011</v>
      </c>
    </row>
    <row r="1350" spans="1:19" ht="12.75" customHeight="1" x14ac:dyDescent="0.2">
      <c r="A1350" s="182" t="str">
        <f>Labels!B381</f>
        <v>Practice 1</v>
      </c>
      <c r="B1350" s="370">
        <f>Inputs!F395</f>
        <v>0</v>
      </c>
      <c r="C1350" s="370">
        <f>Inputs!G395</f>
        <v>0</v>
      </c>
      <c r="D1350" s="370">
        <f>Inputs!H395</f>
        <v>0</v>
      </c>
      <c r="E1350" s="370">
        <f>Inputs!I395</f>
        <v>0</v>
      </c>
      <c r="F1350" s="370">
        <f>Inputs!J395</f>
        <v>0</v>
      </c>
      <c r="G1350" s="370">
        <f>Inputs!K395</f>
        <v>0</v>
      </c>
      <c r="H1350" s="370">
        <f>Inputs!L395</f>
        <v>0</v>
      </c>
      <c r="I1350" s="370">
        <f>Inputs!M395</f>
        <v>0</v>
      </c>
      <c r="J1350" s="370">
        <f>Inputs!N395</f>
        <v>0</v>
      </c>
      <c r="K1350" s="370">
        <f>Inputs!O395</f>
        <v>0</v>
      </c>
      <c r="L1350" s="370">
        <f>Inputs!P395</f>
        <v>0</v>
      </c>
      <c r="M1350" s="370">
        <f>Inputs!Q395</f>
        <v>0</v>
      </c>
      <c r="N1350" s="370">
        <f>Inputs!R395</f>
        <v>0</v>
      </c>
      <c r="O1350" s="370">
        <f>Inputs!S395</f>
        <v>0</v>
      </c>
      <c r="P1350" s="370">
        <f>Inputs!T395</f>
        <v>0</v>
      </c>
      <c r="Q1350" s="370">
        <f>Inputs!U395</f>
        <v>0</v>
      </c>
      <c r="R1350" s="370">
        <f>Inputs!V395</f>
        <v>0</v>
      </c>
      <c r="S1350" s="371">
        <f>Inputs!W395</f>
        <v>0</v>
      </c>
    </row>
    <row r="1351" spans="1:19" ht="12.75" customHeight="1" x14ac:dyDescent="0.2">
      <c r="A1351" s="191" t="str">
        <f>Labels!B382</f>
        <v>Practice 2</v>
      </c>
      <c r="B1351" s="300">
        <f>Inputs!F396</f>
        <v>0</v>
      </c>
      <c r="C1351" s="300">
        <f>Inputs!G396</f>
        <v>0</v>
      </c>
      <c r="D1351" s="300">
        <f>Inputs!H396</f>
        <v>0</v>
      </c>
      <c r="E1351" s="300">
        <f>Inputs!I396</f>
        <v>0</v>
      </c>
      <c r="F1351" s="300">
        <f>Inputs!J396</f>
        <v>0</v>
      </c>
      <c r="G1351" s="300">
        <f>Inputs!K396</f>
        <v>0</v>
      </c>
      <c r="H1351" s="300">
        <f>Inputs!L396</f>
        <v>0</v>
      </c>
      <c r="I1351" s="300">
        <f>Inputs!M396</f>
        <v>0</v>
      </c>
      <c r="J1351" s="300">
        <f>Inputs!N396</f>
        <v>0</v>
      </c>
      <c r="K1351" s="300">
        <f>Inputs!O396</f>
        <v>0</v>
      </c>
      <c r="L1351" s="300">
        <f>Inputs!P396</f>
        <v>0</v>
      </c>
      <c r="M1351" s="300">
        <f>Inputs!Q396</f>
        <v>0</v>
      </c>
      <c r="N1351" s="300">
        <f>Inputs!R396</f>
        <v>0</v>
      </c>
      <c r="O1351" s="300">
        <f>Inputs!S396</f>
        <v>0</v>
      </c>
      <c r="P1351" s="300">
        <f>Inputs!T396</f>
        <v>0</v>
      </c>
      <c r="Q1351" s="300">
        <f>Inputs!U396</f>
        <v>0</v>
      </c>
      <c r="R1351" s="300">
        <f>Inputs!V396</f>
        <v>0</v>
      </c>
      <c r="S1351" s="386">
        <f>Inputs!W396</f>
        <v>0</v>
      </c>
    </row>
    <row r="1352" spans="1:19" ht="12.75" customHeight="1" x14ac:dyDescent="0.2">
      <c r="A1352" s="97" t="str">
        <f>Labels!C380</f>
        <v>Total</v>
      </c>
      <c r="B1352" s="387">
        <f t="shared" ref="B1352:S1352" si="657">AVERAGE(B1350:B1351)</f>
        <v>0</v>
      </c>
      <c r="C1352" s="387">
        <f t="shared" si="657"/>
        <v>0</v>
      </c>
      <c r="D1352" s="387">
        <f t="shared" si="657"/>
        <v>0</v>
      </c>
      <c r="E1352" s="387">
        <f t="shared" si="657"/>
        <v>0</v>
      </c>
      <c r="F1352" s="387">
        <f t="shared" si="657"/>
        <v>0</v>
      </c>
      <c r="G1352" s="387">
        <f t="shared" si="657"/>
        <v>0</v>
      </c>
      <c r="H1352" s="387">
        <f t="shared" si="657"/>
        <v>0</v>
      </c>
      <c r="I1352" s="387">
        <f t="shared" si="657"/>
        <v>0</v>
      </c>
      <c r="J1352" s="387">
        <f t="shared" si="657"/>
        <v>0</v>
      </c>
      <c r="K1352" s="387">
        <f t="shared" si="657"/>
        <v>0</v>
      </c>
      <c r="L1352" s="387">
        <f t="shared" si="657"/>
        <v>0</v>
      </c>
      <c r="M1352" s="387">
        <f t="shared" si="657"/>
        <v>0</v>
      </c>
      <c r="N1352" s="387">
        <f t="shared" si="657"/>
        <v>0</v>
      </c>
      <c r="O1352" s="387">
        <f t="shared" si="657"/>
        <v>0</v>
      </c>
      <c r="P1352" s="387">
        <f t="shared" si="657"/>
        <v>0</v>
      </c>
      <c r="Q1352" s="387">
        <f t="shared" si="657"/>
        <v>0</v>
      </c>
      <c r="R1352" s="387">
        <f t="shared" si="657"/>
        <v>0</v>
      </c>
      <c r="S1352" s="388">
        <f t="shared" si="657"/>
        <v>0</v>
      </c>
    </row>
    <row r="1353" spans="1:19" ht="12.75" customHeight="1" x14ac:dyDescent="0.2">
      <c r="A1353" s="1" t="str">
        <f>Labels!B9</f>
        <v>Initial Accts Payable</v>
      </c>
    </row>
    <row r="1354" spans="1:19" ht="12.75" customHeight="1" x14ac:dyDescent="0.2">
      <c r="B1354" s="181"/>
    </row>
    <row r="1355" spans="1:19" ht="12.75" customHeight="1" x14ac:dyDescent="0.2">
      <c r="A1355" s="182" t="str">
        <f>Labels!B301</f>
        <v>Vendor Payables</v>
      </c>
      <c r="B1355" s="335">
        <f>Inputs!F406</f>
        <v>0</v>
      </c>
    </row>
    <row r="1356" spans="1:19" ht="12.75" customHeight="1" x14ac:dyDescent="0.2">
      <c r="A1356" s="191" t="str">
        <f>Labels!B302</f>
        <v>Payroll Payables</v>
      </c>
      <c r="B1356" s="353">
        <f>Inputs!F407</f>
        <v>0</v>
      </c>
    </row>
    <row r="1357" spans="1:19" ht="12.75" customHeight="1" x14ac:dyDescent="0.2">
      <c r="A1357" s="191" t="str">
        <f>Labels!B303</f>
        <v>Taxes Payable</v>
      </c>
      <c r="B1357" s="353">
        <f>Inputs!F408</f>
        <v>0</v>
      </c>
    </row>
    <row r="1358" spans="1:19" ht="12.75" customHeight="1" x14ac:dyDescent="0.2">
      <c r="A1358" s="97" t="str">
        <f>Labels!C300</f>
        <v>Total</v>
      </c>
      <c r="B1358" s="354">
        <f>SUM(B1355:B1357)</f>
        <v>0</v>
      </c>
    </row>
    <row r="1359" spans="1:19" ht="12.75" customHeight="1" x14ac:dyDescent="0.2">
      <c r="A1359" s="1" t="str">
        <f>Labels!B7</f>
        <v>Accts Pay Targ Days</v>
      </c>
    </row>
    <row r="1360" spans="1:19" ht="12.75" customHeight="1" x14ac:dyDescent="0.2">
      <c r="B1360" s="9" t="str">
        <f>'(FnCalls 1)'!F41</f>
        <v>MMM 2010</v>
      </c>
      <c r="C1360" s="10" t="str">
        <f>'(FnCalls 1)'!F42</f>
        <v>MMM 2010</v>
      </c>
      <c r="D1360" s="10" t="str">
        <f>'(FnCalls 1)'!F43</f>
        <v>MMM 2010</v>
      </c>
      <c r="E1360" s="10" t="str">
        <f>'(FnCalls 1)'!F44</f>
        <v>MMM 2010</v>
      </c>
      <c r="F1360" s="10" t="str">
        <f>'(FnCalls 1)'!F45</f>
        <v>MMM 2010</v>
      </c>
      <c r="G1360" s="10" t="str">
        <f>'(FnCalls 1)'!F46</f>
        <v>MMM 2010</v>
      </c>
      <c r="H1360" s="10" t="str">
        <f>'(FnCalls 1)'!F47</f>
        <v>MMM 2010</v>
      </c>
      <c r="I1360" s="10" t="str">
        <f>'(FnCalls 1)'!F48</f>
        <v>MMM 2010</v>
      </c>
      <c r="J1360" s="10" t="str">
        <f>'(FnCalls 1)'!F49</f>
        <v>MMM 2010</v>
      </c>
      <c r="K1360" s="10" t="str">
        <f>'(FnCalls 1)'!F50</f>
        <v>MMM 2010</v>
      </c>
      <c r="L1360" s="10" t="str">
        <f>'(FnCalls 1)'!F51</f>
        <v>MMM 2010</v>
      </c>
      <c r="M1360" s="10" t="str">
        <f>'(FnCalls 1)'!F52</f>
        <v>MMM 2010</v>
      </c>
      <c r="N1360" s="10" t="str">
        <f>'(FnCalls 1)'!F53</f>
        <v>MMM 2011</v>
      </c>
      <c r="O1360" s="10" t="str">
        <f>'(FnCalls 1)'!F54</f>
        <v>MMM 2011</v>
      </c>
      <c r="P1360" s="10" t="str">
        <f>'(FnCalls 1)'!F55</f>
        <v>MMM 2011</v>
      </c>
      <c r="Q1360" s="10" t="str">
        <f>'(FnCalls 1)'!F56</f>
        <v>MMM 2011</v>
      </c>
      <c r="R1360" s="10" t="str">
        <f>'(FnCalls 1)'!F57</f>
        <v>MMM 2011</v>
      </c>
      <c r="S1360" s="11" t="str">
        <f>'(FnCalls 1)'!F58</f>
        <v>MMM 2011</v>
      </c>
    </row>
    <row r="1361" spans="1:20" ht="12.75" customHeight="1" x14ac:dyDescent="0.2">
      <c r="A1361" s="182" t="str">
        <f>Labels!B301</f>
        <v>Vendor Payables</v>
      </c>
      <c r="B1361" s="223">
        <f>Inputs!G410</f>
        <v>30</v>
      </c>
      <c r="C1361" s="223">
        <f>Inputs!H410</f>
        <v>30</v>
      </c>
      <c r="D1361" s="223">
        <f>Inputs!I410</f>
        <v>30</v>
      </c>
      <c r="E1361" s="223">
        <f>Inputs!J410</f>
        <v>30</v>
      </c>
      <c r="F1361" s="223">
        <f>Inputs!K410</f>
        <v>30</v>
      </c>
      <c r="G1361" s="223">
        <f>Inputs!L410</f>
        <v>30</v>
      </c>
      <c r="H1361" s="223">
        <f>Inputs!M410</f>
        <v>30</v>
      </c>
      <c r="I1361" s="223">
        <f>Inputs!N410</f>
        <v>30</v>
      </c>
      <c r="J1361" s="223">
        <f>Inputs!O410</f>
        <v>30</v>
      </c>
      <c r="K1361" s="223">
        <f>Inputs!P410</f>
        <v>30</v>
      </c>
      <c r="L1361" s="223">
        <f>Inputs!Q410</f>
        <v>30</v>
      </c>
      <c r="M1361" s="223">
        <f>Inputs!R410</f>
        <v>30</v>
      </c>
      <c r="N1361" s="223">
        <f>Inputs!S410</f>
        <v>30</v>
      </c>
      <c r="O1361" s="223">
        <f>Inputs!T410</f>
        <v>30</v>
      </c>
      <c r="P1361" s="223">
        <f>Inputs!U410</f>
        <v>30</v>
      </c>
      <c r="Q1361" s="223">
        <f>Inputs!V410</f>
        <v>30</v>
      </c>
      <c r="R1361" s="223">
        <f>Inputs!W410</f>
        <v>30</v>
      </c>
      <c r="S1361" s="284">
        <f>Inputs!X410</f>
        <v>30</v>
      </c>
    </row>
    <row r="1362" spans="1:20" ht="12.75" customHeight="1" x14ac:dyDescent="0.2">
      <c r="A1362" s="191" t="str">
        <f>Labels!B302</f>
        <v>Payroll Payables</v>
      </c>
      <c r="B1362" s="216">
        <f>Inputs!G411</f>
        <v>30</v>
      </c>
      <c r="C1362" s="216">
        <f>Inputs!H411</f>
        <v>30</v>
      </c>
      <c r="D1362" s="216">
        <f>Inputs!I411</f>
        <v>30</v>
      </c>
      <c r="E1362" s="216">
        <f>Inputs!J411</f>
        <v>30</v>
      </c>
      <c r="F1362" s="216">
        <f>Inputs!K411</f>
        <v>30</v>
      </c>
      <c r="G1362" s="216">
        <f>Inputs!L411</f>
        <v>30</v>
      </c>
      <c r="H1362" s="216">
        <f>Inputs!M411</f>
        <v>30</v>
      </c>
      <c r="I1362" s="216">
        <f>Inputs!N411</f>
        <v>30</v>
      </c>
      <c r="J1362" s="216">
        <f>Inputs!O411</f>
        <v>30</v>
      </c>
      <c r="K1362" s="216">
        <f>Inputs!P411</f>
        <v>30</v>
      </c>
      <c r="L1362" s="216">
        <f>Inputs!Q411</f>
        <v>30</v>
      </c>
      <c r="M1362" s="216">
        <f>Inputs!R411</f>
        <v>30</v>
      </c>
      <c r="N1362" s="216">
        <f>Inputs!S411</f>
        <v>30</v>
      </c>
      <c r="O1362" s="216">
        <f>Inputs!T411</f>
        <v>30</v>
      </c>
      <c r="P1362" s="216">
        <f>Inputs!U411</f>
        <v>30</v>
      </c>
      <c r="Q1362" s="216">
        <f>Inputs!V411</f>
        <v>30</v>
      </c>
      <c r="R1362" s="216">
        <f>Inputs!W411</f>
        <v>30</v>
      </c>
      <c r="S1362" s="287">
        <f>Inputs!X411</f>
        <v>30</v>
      </c>
    </row>
    <row r="1363" spans="1:20" ht="12.75" customHeight="1" x14ac:dyDescent="0.2">
      <c r="A1363" s="191" t="str">
        <f>Labels!B303</f>
        <v>Taxes Payable</v>
      </c>
      <c r="B1363" s="216">
        <f>Inputs!G412</f>
        <v>30</v>
      </c>
      <c r="C1363" s="216">
        <f>Inputs!H412</f>
        <v>30</v>
      </c>
      <c r="D1363" s="216">
        <f>Inputs!I412</f>
        <v>30</v>
      </c>
      <c r="E1363" s="216">
        <f>Inputs!J412</f>
        <v>30</v>
      </c>
      <c r="F1363" s="216">
        <f>Inputs!K412</f>
        <v>30</v>
      </c>
      <c r="G1363" s="216">
        <f>Inputs!L412</f>
        <v>30</v>
      </c>
      <c r="H1363" s="216">
        <f>Inputs!M412</f>
        <v>30</v>
      </c>
      <c r="I1363" s="216">
        <f>Inputs!N412</f>
        <v>30</v>
      </c>
      <c r="J1363" s="216">
        <f>Inputs!O412</f>
        <v>30</v>
      </c>
      <c r="K1363" s="216">
        <f>Inputs!P412</f>
        <v>30</v>
      </c>
      <c r="L1363" s="216">
        <f>Inputs!Q412</f>
        <v>30</v>
      </c>
      <c r="M1363" s="216">
        <f>Inputs!R412</f>
        <v>30</v>
      </c>
      <c r="N1363" s="216">
        <f>Inputs!S412</f>
        <v>30</v>
      </c>
      <c r="O1363" s="216">
        <f>Inputs!T412</f>
        <v>30</v>
      </c>
      <c r="P1363" s="216">
        <f>Inputs!U412</f>
        <v>30</v>
      </c>
      <c r="Q1363" s="216">
        <f>Inputs!V412</f>
        <v>30</v>
      </c>
      <c r="R1363" s="216">
        <f>Inputs!W412</f>
        <v>30</v>
      </c>
      <c r="S1363" s="287">
        <f>Inputs!X412</f>
        <v>30</v>
      </c>
    </row>
    <row r="1364" spans="1:20" ht="12.75" customHeight="1" x14ac:dyDescent="0.2">
      <c r="A1364" s="97" t="str">
        <f>Labels!C300</f>
        <v>Total</v>
      </c>
      <c r="B1364" s="374">
        <f t="shared" ref="B1364:S1364" si="658">AVERAGE(B1361:B1363)</f>
        <v>30</v>
      </c>
      <c r="C1364" s="374">
        <f t="shared" si="658"/>
        <v>30</v>
      </c>
      <c r="D1364" s="374">
        <f t="shared" si="658"/>
        <v>30</v>
      </c>
      <c r="E1364" s="374">
        <f t="shared" si="658"/>
        <v>30</v>
      </c>
      <c r="F1364" s="374">
        <f t="shared" si="658"/>
        <v>30</v>
      </c>
      <c r="G1364" s="374">
        <f t="shared" si="658"/>
        <v>30</v>
      </c>
      <c r="H1364" s="374">
        <f t="shared" si="658"/>
        <v>30</v>
      </c>
      <c r="I1364" s="374">
        <f t="shared" si="658"/>
        <v>30</v>
      </c>
      <c r="J1364" s="374">
        <f t="shared" si="658"/>
        <v>30</v>
      </c>
      <c r="K1364" s="374">
        <f t="shared" si="658"/>
        <v>30</v>
      </c>
      <c r="L1364" s="374">
        <f t="shared" si="658"/>
        <v>30</v>
      </c>
      <c r="M1364" s="374">
        <f t="shared" si="658"/>
        <v>30</v>
      </c>
      <c r="N1364" s="374">
        <f t="shared" si="658"/>
        <v>30</v>
      </c>
      <c r="O1364" s="374">
        <f t="shared" si="658"/>
        <v>30</v>
      </c>
      <c r="P1364" s="374">
        <f t="shared" si="658"/>
        <v>30</v>
      </c>
      <c r="Q1364" s="374">
        <f t="shared" si="658"/>
        <v>30</v>
      </c>
      <c r="R1364" s="374">
        <f t="shared" si="658"/>
        <v>30</v>
      </c>
      <c r="S1364" s="403">
        <f t="shared" si="658"/>
        <v>30</v>
      </c>
    </row>
    <row r="1365" spans="1:20" ht="12.75" customHeight="1" x14ac:dyDescent="0.2">
      <c r="A1365" s="1" t="str">
        <f>Labels!B28</f>
        <v>Cash No Short Debt</v>
      </c>
    </row>
    <row r="1366" spans="1:20" ht="12.75" customHeight="1" x14ac:dyDescent="0.2">
      <c r="B1366" s="9" t="str">
        <f>'(FnCalls 1)'!F40</f>
        <v>MMM 2009</v>
      </c>
      <c r="C1366" s="10" t="str">
        <f>'(FnCalls 1)'!F41</f>
        <v>MMM 2010</v>
      </c>
      <c r="D1366" s="10" t="str">
        <f>'(FnCalls 1)'!F42</f>
        <v>MMM 2010</v>
      </c>
      <c r="E1366" s="10" t="str">
        <f>'(FnCalls 1)'!F43</f>
        <v>MMM 2010</v>
      </c>
      <c r="F1366" s="10" t="str">
        <f>'(FnCalls 1)'!F44</f>
        <v>MMM 2010</v>
      </c>
      <c r="G1366" s="10" t="str">
        <f>'(FnCalls 1)'!F45</f>
        <v>MMM 2010</v>
      </c>
      <c r="H1366" s="10" t="str">
        <f>'(FnCalls 1)'!F46</f>
        <v>MMM 2010</v>
      </c>
      <c r="I1366" s="10" t="str">
        <f>'(FnCalls 1)'!F47</f>
        <v>MMM 2010</v>
      </c>
      <c r="J1366" s="10" t="str">
        <f>'(FnCalls 1)'!F48</f>
        <v>MMM 2010</v>
      </c>
      <c r="K1366" s="10" t="str">
        <f>'(FnCalls 1)'!F49</f>
        <v>MMM 2010</v>
      </c>
      <c r="L1366" s="10" t="str">
        <f>'(FnCalls 1)'!F50</f>
        <v>MMM 2010</v>
      </c>
      <c r="M1366" s="10" t="str">
        <f>'(FnCalls 1)'!F51</f>
        <v>MMM 2010</v>
      </c>
      <c r="N1366" s="10" t="str">
        <f>'(FnCalls 1)'!F52</f>
        <v>MMM 2010</v>
      </c>
      <c r="O1366" s="10" t="str">
        <f>'(FnCalls 1)'!F53</f>
        <v>MMM 2011</v>
      </c>
      <c r="P1366" s="10" t="str">
        <f>'(FnCalls 1)'!F54</f>
        <v>MMM 2011</v>
      </c>
      <c r="Q1366" s="10" t="str">
        <f>'(FnCalls 1)'!F55</f>
        <v>MMM 2011</v>
      </c>
      <c r="R1366" s="10" t="str">
        <f>'(FnCalls 1)'!F56</f>
        <v>MMM 2011</v>
      </c>
      <c r="S1366" s="10" t="str">
        <f>'(FnCalls 1)'!F57</f>
        <v>MMM 2011</v>
      </c>
      <c r="T1366" s="11" t="str">
        <f>'(FnCalls 1)'!F58</f>
        <v>MMM 2011</v>
      </c>
    </row>
    <row r="1367" spans="1:20" ht="12.75" customHeight="1" x14ac:dyDescent="0.2">
      <c r="A1367" s="97"/>
      <c r="B1367" s="194">
        <f>Inputs!F357-Inputs!F414</f>
        <v>0</v>
      </c>
      <c r="C1367" s="194">
        <f>Assets!B9+IncStmt!B6+CFStmt!B10+AL1414+CFStmt!B13+0+Inputs!G430-Inputs!F414-IncStmt!B13-IncStmt!B19-IncStmt!B14-IncStmt!B23-IncStmt!B25-'(Compute)'!C720-CFStmt!B19-CFStmt!B20-Inputs!G432-CFStmt!B21-CFStmt!B22</f>
        <v>0</v>
      </c>
      <c r="D1367" s="194">
        <f>CFStmt!B26+IncStmt!C6+CFStmt!C10+AM1414+CFStmt!C13+0+Inputs!H430-Inputs!G414-IncStmt!C13-IncStmt!C19-IncStmt!C14-IncStmt!C23-IncStmt!C25-'(Compute)'!D720-CFStmt!C19-CFStmt!C20-Inputs!H432-CFStmt!C21-CFStmt!C22</f>
        <v>0</v>
      </c>
      <c r="E1367" s="194">
        <f>CFStmt!C26+IncStmt!D6+CFStmt!D10+AN1414+CFStmt!D13+0+Inputs!I430-Inputs!H414-IncStmt!D13-IncStmt!D19-IncStmt!D14-IncStmt!D23-IncStmt!D25-'(Compute)'!E720-CFStmt!D19-CFStmt!D20-Inputs!I432-CFStmt!D21-CFStmt!D22</f>
        <v>-108225.80645161291</v>
      </c>
      <c r="F1367" s="194">
        <f>CFStmt!D26+IncStmt!F6+CFStmt!F10+AO1414+CFStmt!F13+0+Inputs!J430-Inputs!I414-IncStmt!F13-IncStmt!F19-IncStmt!F14-IncStmt!F23-IncStmt!F25-'(Compute)'!F720-CFStmt!F19-CFStmt!F20-Inputs!J432-CFStmt!F21-CFStmt!F22</f>
        <v>-5500</v>
      </c>
      <c r="G1367" s="194">
        <f>CFStmt!F26+IncStmt!G6+CFStmt!G10+AP1414+CFStmt!G13+0+Inputs!K430-Inputs!J414-IncStmt!G13-IncStmt!G19-IncStmt!G14-IncStmt!G23-IncStmt!G25-'(Compute)'!G720-CFStmt!G19-CFStmt!G20-Inputs!K432-CFStmt!G21-CFStmt!G22</f>
        <v>220000</v>
      </c>
      <c r="H1367" s="194">
        <f>CFStmt!G26+IncStmt!H6+CFStmt!H10+AQ1414+CFStmt!H13+0+Inputs!L430-Inputs!K414-IncStmt!H13-IncStmt!H19-IncStmt!H14-IncStmt!H23-IncStmt!H25-'(Compute)'!H720-CFStmt!H19-CFStmt!H20-Inputs!L432-CFStmt!H21-CFStmt!H22</f>
        <v>136000</v>
      </c>
      <c r="I1367" s="194">
        <f>CFStmt!H26+IncStmt!J6+CFStmt!J10+AR1414+CFStmt!J13+0+Inputs!M430-Inputs!L414-IncStmt!J13-IncStmt!J19-IncStmt!J14-IncStmt!J23-IncStmt!J25-'(Compute)'!I720-CFStmt!J19-CFStmt!J20-Inputs!M432-CFStmt!J21-CFStmt!J22</f>
        <v>193029.42960958515</v>
      </c>
      <c r="J1367" s="194">
        <f>CFStmt!J26+IncStmt!K6+CFStmt!K10+AS1414+CFStmt!K13+0+Inputs!N430-Inputs!M414-IncStmt!K13-IncStmt!K19-IncStmt!K14-IncStmt!K23-IncStmt!K25-'(Compute)'!J720-CFStmt!K19-CFStmt!K20-Inputs!N432-CFStmt!K21-CFStmt!K22</f>
        <v>230533.54167388589</v>
      </c>
      <c r="K1367" s="194">
        <f>CFStmt!K26+IncStmt!L6+CFStmt!L10+AT1414+CFStmt!L13+0+Inputs!O430-Inputs!N414-IncStmt!L13-IncStmt!L19-IncStmt!L14-IncStmt!L23-IncStmt!L25-'(Compute)'!K720-CFStmt!L19-CFStmt!L20-Inputs!O432-CFStmt!L21-CFStmt!L22</f>
        <v>389243.21909324074</v>
      </c>
      <c r="L1367" s="194">
        <f>CFStmt!L26+IncStmt!N6+CFStmt!N10+AU1414+CFStmt!N13+0+Inputs!P430-Inputs!O414-IncStmt!N13-IncStmt!N19-IncStmt!N14-IncStmt!N23-IncStmt!N25-'(Compute)'!L720-CFStmt!N19-CFStmt!N20-Inputs!P432-CFStmt!N21-CFStmt!N22</f>
        <v>389243.21909324074</v>
      </c>
      <c r="M1367" s="194">
        <f>CFStmt!N26+IncStmt!O6+CFStmt!O10+AV1414+CFStmt!O13+0+Inputs!Q430-Inputs!P414-IncStmt!O13-IncStmt!O19-IncStmt!O14-IncStmt!O23-IncStmt!O25-'(Compute)'!M720-CFStmt!O19-CFStmt!O20-Inputs!Q432-CFStmt!O21-CFStmt!O22</f>
        <v>389243.21909324074</v>
      </c>
      <c r="N1367" s="194">
        <f>CFStmt!O26+IncStmt!P6+CFStmt!P10+AW1414+CFStmt!P13+0+Inputs!R430-Inputs!Q414-IncStmt!P13-IncStmt!P19-IncStmt!P14-IncStmt!P23-IncStmt!P25-'(Compute)'!N720-CFStmt!P19-CFStmt!P20-Inputs!R432-CFStmt!P21-CFStmt!P22</f>
        <v>389243.21909324074</v>
      </c>
      <c r="O1367" s="194">
        <f>CFStmt!P26+IncStmt!R6+CFStmt!R10+AX1414+CFStmt!R13+0+Inputs!S430-Inputs!R414-IncStmt!R13-IncStmt!R19-IncStmt!R14-IncStmt!R23-IncStmt!R25-'(Compute)'!O720-CFStmt!R19-CFStmt!R20-Inputs!S432-CFStmt!R21-CFStmt!R22</f>
        <v>389243.21909324074</v>
      </c>
      <c r="P1367" s="194">
        <f>CFStmt!R26+IncStmt!S6+CFStmt!S10+AY1414+CFStmt!S13+0+Inputs!T430-Inputs!S414-IncStmt!S13-IncStmt!S19-IncStmt!S14-IncStmt!S23-IncStmt!S25-'(Compute)'!P720-CFStmt!S19-CFStmt!S20-Inputs!T432-CFStmt!S21-CFStmt!S22</f>
        <v>389243.21909324074</v>
      </c>
      <c r="Q1367" s="194">
        <f>CFStmt!S26+IncStmt!T6+CFStmt!T10+AZ1414+CFStmt!T13+0+Inputs!U430-Inputs!T414-IncStmt!T13-IncStmt!T19-IncStmt!T14-IncStmt!T23-IncStmt!T25-'(Compute)'!Q720-CFStmt!T19-CFStmt!T20-Inputs!U432-CFStmt!T21-CFStmt!T22</f>
        <v>389243.21909324074</v>
      </c>
      <c r="R1367" s="194">
        <f>CFStmt!T26+IncStmt!V6+CFStmt!V10+BA1414+CFStmt!V13+0+Inputs!V430-Inputs!U414-IncStmt!V13-IncStmt!V19-IncStmt!V14-IncStmt!V23-IncStmt!V25-'(Compute)'!R720-CFStmt!V19-CFStmt!V20-Inputs!V432-CFStmt!V21-CFStmt!V22</f>
        <v>389243.21909324074</v>
      </c>
      <c r="S1367" s="194">
        <f>CFStmt!V26+IncStmt!W6+CFStmt!W10+BB1414+CFStmt!W13+0+Inputs!W430-Inputs!V414-IncStmt!W13-IncStmt!W19-IncStmt!W14-IncStmt!W23-IncStmt!W25-'(Compute)'!S720-CFStmt!W19-CFStmt!W20-Inputs!W432-CFStmt!W21-CFStmt!W22</f>
        <v>389243.21909324074</v>
      </c>
      <c r="T1367" s="351">
        <f>CFStmt!W26+IncStmt!X6+CFStmt!X10+BC1414+CFStmt!X13+0+Inputs!X430-Inputs!W414-IncStmt!X13-IncStmt!X19-IncStmt!X14-IncStmt!X23-IncStmt!X25-'(Compute)'!T720-CFStmt!X19-CFStmt!X20-Inputs!X432-CFStmt!X21-CFStmt!X22</f>
        <v>389243.21909324074</v>
      </c>
    </row>
    <row r="1368" spans="1:20" ht="12.75" customHeight="1" x14ac:dyDescent="0.2">
      <c r="A1368" s="1" t="str">
        <f>Labels!B167</f>
        <v>Professional Staff Bonus</v>
      </c>
    </row>
    <row r="1369" spans="1:20" ht="12.75" customHeight="1" x14ac:dyDescent="0.2">
      <c r="B1369" s="9" t="str">
        <f>'(FnCalls 1)'!F41</f>
        <v>MMM 2010</v>
      </c>
      <c r="C1369" s="10" t="str">
        <f>'(FnCalls 1)'!F42</f>
        <v>MMM 2010</v>
      </c>
      <c r="D1369" s="10" t="str">
        <f>'(FnCalls 1)'!F43</f>
        <v>MMM 2010</v>
      </c>
      <c r="E1369" s="10" t="str">
        <f>'(FnCalls 1)'!F44</f>
        <v>MMM 2010</v>
      </c>
      <c r="F1369" s="10" t="str">
        <f>'(FnCalls 1)'!F45</f>
        <v>MMM 2010</v>
      </c>
      <c r="G1369" s="10" t="str">
        <f>'(FnCalls 1)'!F46</f>
        <v>MMM 2010</v>
      </c>
      <c r="H1369" s="10" t="str">
        <f>'(FnCalls 1)'!F47</f>
        <v>MMM 2010</v>
      </c>
      <c r="I1369" s="10" t="str">
        <f>'(FnCalls 1)'!F48</f>
        <v>MMM 2010</v>
      </c>
      <c r="J1369" s="10" t="str">
        <f>'(FnCalls 1)'!F49</f>
        <v>MMM 2010</v>
      </c>
      <c r="K1369" s="10" t="str">
        <f>'(FnCalls 1)'!F50</f>
        <v>MMM 2010</v>
      </c>
      <c r="L1369" s="10" t="str">
        <f>'(FnCalls 1)'!F51</f>
        <v>MMM 2010</v>
      </c>
      <c r="M1369" s="10" t="str">
        <f>'(FnCalls 1)'!F52</f>
        <v>MMM 2010</v>
      </c>
      <c r="N1369" s="10" t="str">
        <f>'(FnCalls 1)'!F53</f>
        <v>MMM 2011</v>
      </c>
      <c r="O1369" s="10" t="str">
        <f>'(FnCalls 1)'!F54</f>
        <v>MMM 2011</v>
      </c>
      <c r="P1369" s="10" t="str">
        <f>'(FnCalls 1)'!F55</f>
        <v>MMM 2011</v>
      </c>
      <c r="Q1369" s="10" t="str">
        <f>'(FnCalls 1)'!F56</f>
        <v>MMM 2011</v>
      </c>
      <c r="R1369" s="10" t="str">
        <f>'(FnCalls 1)'!F57</f>
        <v>MMM 2011</v>
      </c>
      <c r="S1369" s="11" t="str">
        <f>'(FnCalls 1)'!F58</f>
        <v>MMM 2011</v>
      </c>
    </row>
    <row r="1370" spans="1:20" ht="12.75" customHeight="1" x14ac:dyDescent="0.2">
      <c r="A1370" s="182" t="str">
        <f>Labels!B381</f>
        <v>Practice 1</v>
      </c>
      <c r="B1370" s="269"/>
      <c r="C1370" s="269"/>
      <c r="D1370" s="269"/>
      <c r="E1370" s="269"/>
      <c r="F1370" s="269"/>
      <c r="G1370" s="269"/>
      <c r="H1370" s="269"/>
      <c r="I1370" s="269"/>
      <c r="J1370" s="269"/>
      <c r="K1370" s="269"/>
      <c r="L1370" s="269"/>
      <c r="M1370" s="269"/>
      <c r="N1370" s="269"/>
      <c r="O1370" s="269"/>
      <c r="P1370" s="269"/>
      <c r="Q1370" s="269"/>
      <c r="R1370" s="269"/>
      <c r="S1370" s="270"/>
    </row>
    <row r="1371" spans="1:20" ht="12.75" customHeight="1" x14ac:dyDescent="0.2">
      <c r="A1371" s="188" t="str">
        <f>"   "&amp;Labels!B385</f>
        <v xml:space="preserve">   Prof Level 1</v>
      </c>
      <c r="B1371" s="248">
        <f t="shared" ref="B1371:S1371" si="659">B1020*B1194</f>
        <v>0</v>
      </c>
      <c r="C1371" s="248">
        <f t="shared" si="659"/>
        <v>0</v>
      </c>
      <c r="D1371" s="248">
        <f t="shared" si="659"/>
        <v>0</v>
      </c>
      <c r="E1371" s="248">
        <f t="shared" si="659"/>
        <v>0</v>
      </c>
      <c r="F1371" s="248">
        <f t="shared" si="659"/>
        <v>0</v>
      </c>
      <c r="G1371" s="248">
        <f t="shared" si="659"/>
        <v>0</v>
      </c>
      <c r="H1371" s="248">
        <f t="shared" si="659"/>
        <v>0</v>
      </c>
      <c r="I1371" s="248">
        <f t="shared" si="659"/>
        <v>0</v>
      </c>
      <c r="J1371" s="248">
        <f t="shared" si="659"/>
        <v>0</v>
      </c>
      <c r="K1371" s="248">
        <f t="shared" si="659"/>
        <v>0</v>
      </c>
      <c r="L1371" s="248">
        <f t="shared" si="659"/>
        <v>0</v>
      </c>
      <c r="M1371" s="248">
        <f t="shared" si="659"/>
        <v>0</v>
      </c>
      <c r="N1371" s="248">
        <f t="shared" si="659"/>
        <v>0</v>
      </c>
      <c r="O1371" s="248">
        <f t="shared" si="659"/>
        <v>0</v>
      </c>
      <c r="P1371" s="248">
        <f t="shared" si="659"/>
        <v>0</v>
      </c>
      <c r="Q1371" s="248">
        <f t="shared" si="659"/>
        <v>0</v>
      </c>
      <c r="R1371" s="248">
        <f t="shared" si="659"/>
        <v>0</v>
      </c>
      <c r="S1371" s="271">
        <f t="shared" si="659"/>
        <v>0</v>
      </c>
    </row>
    <row r="1372" spans="1:20" ht="12.75" customHeight="1" x14ac:dyDescent="0.2">
      <c r="A1372" s="188" t="str">
        <f>"   "&amp;Labels!B386</f>
        <v xml:space="preserve">   Prof Level 2</v>
      </c>
      <c r="B1372" s="248">
        <f t="shared" ref="B1372:S1372" si="660">B1021*B1195</f>
        <v>0</v>
      </c>
      <c r="C1372" s="248">
        <f t="shared" si="660"/>
        <v>0</v>
      </c>
      <c r="D1372" s="248">
        <f t="shared" si="660"/>
        <v>0</v>
      </c>
      <c r="E1372" s="248">
        <f t="shared" si="660"/>
        <v>0</v>
      </c>
      <c r="F1372" s="248">
        <f t="shared" si="660"/>
        <v>0</v>
      </c>
      <c r="G1372" s="248">
        <f t="shared" si="660"/>
        <v>0</v>
      </c>
      <c r="H1372" s="248">
        <f t="shared" si="660"/>
        <v>0</v>
      </c>
      <c r="I1372" s="248">
        <f t="shared" si="660"/>
        <v>0</v>
      </c>
      <c r="J1372" s="248">
        <f t="shared" si="660"/>
        <v>0</v>
      </c>
      <c r="K1372" s="248">
        <f t="shared" si="660"/>
        <v>0</v>
      </c>
      <c r="L1372" s="248">
        <f t="shared" si="660"/>
        <v>0</v>
      </c>
      <c r="M1372" s="248">
        <f t="shared" si="660"/>
        <v>0</v>
      </c>
      <c r="N1372" s="248">
        <f t="shared" si="660"/>
        <v>0</v>
      </c>
      <c r="O1372" s="248">
        <f t="shared" si="660"/>
        <v>0</v>
      </c>
      <c r="P1372" s="248">
        <f t="shared" si="660"/>
        <v>0</v>
      </c>
      <c r="Q1372" s="248">
        <f t="shared" si="660"/>
        <v>0</v>
      </c>
      <c r="R1372" s="248">
        <f t="shared" si="660"/>
        <v>0</v>
      </c>
      <c r="S1372" s="271">
        <f t="shared" si="660"/>
        <v>0</v>
      </c>
    </row>
    <row r="1373" spans="1:20" ht="12.75" customHeight="1" x14ac:dyDescent="0.2">
      <c r="A1373" s="191" t="str">
        <f>"   "&amp;Labels!C384</f>
        <v xml:space="preserve">   Total</v>
      </c>
      <c r="B1373" s="247">
        <f t="shared" ref="B1373:S1373" si="661">SUM(B1371:B1372)</f>
        <v>0</v>
      </c>
      <c r="C1373" s="247">
        <f t="shared" si="661"/>
        <v>0</v>
      </c>
      <c r="D1373" s="247">
        <f t="shared" si="661"/>
        <v>0</v>
      </c>
      <c r="E1373" s="247">
        <f t="shared" si="661"/>
        <v>0</v>
      </c>
      <c r="F1373" s="247">
        <f t="shared" si="661"/>
        <v>0</v>
      </c>
      <c r="G1373" s="247">
        <f t="shared" si="661"/>
        <v>0</v>
      </c>
      <c r="H1373" s="247">
        <f t="shared" si="661"/>
        <v>0</v>
      </c>
      <c r="I1373" s="247">
        <f t="shared" si="661"/>
        <v>0</v>
      </c>
      <c r="J1373" s="247">
        <f t="shared" si="661"/>
        <v>0</v>
      </c>
      <c r="K1373" s="247">
        <f t="shared" si="661"/>
        <v>0</v>
      </c>
      <c r="L1373" s="247">
        <f t="shared" si="661"/>
        <v>0</v>
      </c>
      <c r="M1373" s="247">
        <f t="shared" si="661"/>
        <v>0</v>
      </c>
      <c r="N1373" s="247">
        <f t="shared" si="661"/>
        <v>0</v>
      </c>
      <c r="O1373" s="247">
        <f t="shared" si="661"/>
        <v>0</v>
      </c>
      <c r="P1373" s="247">
        <f t="shared" si="661"/>
        <v>0</v>
      </c>
      <c r="Q1373" s="247">
        <f t="shared" si="661"/>
        <v>0</v>
      </c>
      <c r="R1373" s="247">
        <f t="shared" si="661"/>
        <v>0</v>
      </c>
      <c r="S1373" s="272">
        <f t="shared" si="661"/>
        <v>0</v>
      </c>
    </row>
    <row r="1374" spans="1:20" ht="12.75" customHeight="1" x14ac:dyDescent="0.2">
      <c r="A1374" s="191" t="str">
        <f>Labels!B382</f>
        <v>Practice 2</v>
      </c>
      <c r="B1374" s="247"/>
      <c r="C1374" s="247"/>
      <c r="D1374" s="247"/>
      <c r="E1374" s="247"/>
      <c r="F1374" s="247"/>
      <c r="G1374" s="247"/>
      <c r="H1374" s="247"/>
      <c r="I1374" s="247"/>
      <c r="J1374" s="247"/>
      <c r="K1374" s="247"/>
      <c r="L1374" s="247"/>
      <c r="M1374" s="247"/>
      <c r="N1374" s="247"/>
      <c r="O1374" s="247"/>
      <c r="P1374" s="247"/>
      <c r="Q1374" s="247"/>
      <c r="R1374" s="247"/>
      <c r="S1374" s="272"/>
    </row>
    <row r="1375" spans="1:20" ht="12.75" customHeight="1" x14ac:dyDescent="0.2">
      <c r="A1375" s="188" t="str">
        <f>"   "&amp;Labels!B385</f>
        <v xml:space="preserve">   Prof Level 1</v>
      </c>
      <c r="B1375" s="248">
        <f t="shared" ref="B1375:S1375" si="662">B1024*B1198</f>
        <v>0</v>
      </c>
      <c r="C1375" s="248">
        <f t="shared" si="662"/>
        <v>0</v>
      </c>
      <c r="D1375" s="248">
        <f t="shared" si="662"/>
        <v>0</v>
      </c>
      <c r="E1375" s="248">
        <f t="shared" si="662"/>
        <v>0</v>
      </c>
      <c r="F1375" s="248">
        <f t="shared" si="662"/>
        <v>0</v>
      </c>
      <c r="G1375" s="248">
        <f t="shared" si="662"/>
        <v>0</v>
      </c>
      <c r="H1375" s="248">
        <f t="shared" si="662"/>
        <v>0</v>
      </c>
      <c r="I1375" s="248">
        <f t="shared" si="662"/>
        <v>0</v>
      </c>
      <c r="J1375" s="248">
        <f t="shared" si="662"/>
        <v>0</v>
      </c>
      <c r="K1375" s="248">
        <f t="shared" si="662"/>
        <v>0</v>
      </c>
      <c r="L1375" s="248">
        <f t="shared" si="662"/>
        <v>0</v>
      </c>
      <c r="M1375" s="248">
        <f t="shared" si="662"/>
        <v>0</v>
      </c>
      <c r="N1375" s="248">
        <f t="shared" si="662"/>
        <v>0</v>
      </c>
      <c r="O1375" s="248">
        <f t="shared" si="662"/>
        <v>0</v>
      </c>
      <c r="P1375" s="248">
        <f t="shared" si="662"/>
        <v>0</v>
      </c>
      <c r="Q1375" s="248">
        <f t="shared" si="662"/>
        <v>0</v>
      </c>
      <c r="R1375" s="248">
        <f t="shared" si="662"/>
        <v>0</v>
      </c>
      <c r="S1375" s="271">
        <f t="shared" si="662"/>
        <v>0</v>
      </c>
    </row>
    <row r="1376" spans="1:20" ht="12.75" customHeight="1" x14ac:dyDescent="0.2">
      <c r="A1376" s="188" t="str">
        <f>"   "&amp;Labels!B386</f>
        <v xml:space="preserve">   Prof Level 2</v>
      </c>
      <c r="B1376" s="248">
        <f t="shared" ref="B1376:S1376" si="663">B1025*B1199</f>
        <v>0</v>
      </c>
      <c r="C1376" s="248">
        <f t="shared" si="663"/>
        <v>0</v>
      </c>
      <c r="D1376" s="248">
        <f t="shared" si="663"/>
        <v>0</v>
      </c>
      <c r="E1376" s="248">
        <f t="shared" si="663"/>
        <v>0</v>
      </c>
      <c r="F1376" s="248">
        <f t="shared" si="663"/>
        <v>0</v>
      </c>
      <c r="G1376" s="248">
        <f t="shared" si="663"/>
        <v>0</v>
      </c>
      <c r="H1376" s="248">
        <f t="shared" si="663"/>
        <v>0</v>
      </c>
      <c r="I1376" s="248">
        <f t="shared" si="663"/>
        <v>0</v>
      </c>
      <c r="J1376" s="248">
        <f t="shared" si="663"/>
        <v>0</v>
      </c>
      <c r="K1376" s="248">
        <f t="shared" si="663"/>
        <v>0</v>
      </c>
      <c r="L1376" s="248">
        <f t="shared" si="663"/>
        <v>0</v>
      </c>
      <c r="M1376" s="248">
        <f t="shared" si="663"/>
        <v>0</v>
      </c>
      <c r="N1376" s="248">
        <f t="shared" si="663"/>
        <v>0</v>
      </c>
      <c r="O1376" s="248">
        <f t="shared" si="663"/>
        <v>0</v>
      </c>
      <c r="P1376" s="248">
        <f t="shared" si="663"/>
        <v>0</v>
      </c>
      <c r="Q1376" s="248">
        <f t="shared" si="663"/>
        <v>0</v>
      </c>
      <c r="R1376" s="248">
        <f t="shared" si="663"/>
        <v>0</v>
      </c>
      <c r="S1376" s="271">
        <f t="shared" si="663"/>
        <v>0</v>
      </c>
    </row>
    <row r="1377" spans="1:55" ht="12.75" customHeight="1" x14ac:dyDescent="0.2">
      <c r="A1377" s="191" t="str">
        <f>"   "&amp;Labels!C384</f>
        <v xml:space="preserve">   Total</v>
      </c>
      <c r="B1377" s="247">
        <f t="shared" ref="B1377:S1377" si="664">SUM(B1375:B1376)</f>
        <v>0</v>
      </c>
      <c r="C1377" s="247">
        <f t="shared" si="664"/>
        <v>0</v>
      </c>
      <c r="D1377" s="247">
        <f t="shared" si="664"/>
        <v>0</v>
      </c>
      <c r="E1377" s="247">
        <f t="shared" si="664"/>
        <v>0</v>
      </c>
      <c r="F1377" s="247">
        <f t="shared" si="664"/>
        <v>0</v>
      </c>
      <c r="G1377" s="247">
        <f t="shared" si="664"/>
        <v>0</v>
      </c>
      <c r="H1377" s="247">
        <f t="shared" si="664"/>
        <v>0</v>
      </c>
      <c r="I1377" s="247">
        <f t="shared" si="664"/>
        <v>0</v>
      </c>
      <c r="J1377" s="247">
        <f t="shared" si="664"/>
        <v>0</v>
      </c>
      <c r="K1377" s="247">
        <f t="shared" si="664"/>
        <v>0</v>
      </c>
      <c r="L1377" s="247">
        <f t="shared" si="664"/>
        <v>0</v>
      </c>
      <c r="M1377" s="247">
        <f t="shared" si="664"/>
        <v>0</v>
      </c>
      <c r="N1377" s="247">
        <f t="shared" si="664"/>
        <v>0</v>
      </c>
      <c r="O1377" s="247">
        <f t="shared" si="664"/>
        <v>0</v>
      </c>
      <c r="P1377" s="247">
        <f t="shared" si="664"/>
        <v>0</v>
      </c>
      <c r="Q1377" s="247">
        <f t="shared" si="664"/>
        <v>0</v>
      </c>
      <c r="R1377" s="247">
        <f t="shared" si="664"/>
        <v>0</v>
      </c>
      <c r="S1377" s="272">
        <f t="shared" si="664"/>
        <v>0</v>
      </c>
    </row>
    <row r="1378" spans="1:55" ht="12.75" customHeight="1" x14ac:dyDescent="0.2">
      <c r="A1378" s="97" t="str">
        <f>Labels!C380</f>
        <v>Total</v>
      </c>
      <c r="B1378" s="355">
        <f t="shared" ref="B1378:S1378" si="665">SUM(B1373,B1377)</f>
        <v>0</v>
      </c>
      <c r="C1378" s="355">
        <f t="shared" si="665"/>
        <v>0</v>
      </c>
      <c r="D1378" s="355">
        <f t="shared" si="665"/>
        <v>0</v>
      </c>
      <c r="E1378" s="355">
        <f t="shared" si="665"/>
        <v>0</v>
      </c>
      <c r="F1378" s="355">
        <f t="shared" si="665"/>
        <v>0</v>
      </c>
      <c r="G1378" s="355">
        <f t="shared" si="665"/>
        <v>0</v>
      </c>
      <c r="H1378" s="355">
        <f t="shared" si="665"/>
        <v>0</v>
      </c>
      <c r="I1378" s="355">
        <f t="shared" si="665"/>
        <v>0</v>
      </c>
      <c r="J1378" s="355">
        <f t="shared" si="665"/>
        <v>0</v>
      </c>
      <c r="K1378" s="355">
        <f t="shared" si="665"/>
        <v>0</v>
      </c>
      <c r="L1378" s="355">
        <f t="shared" si="665"/>
        <v>0</v>
      </c>
      <c r="M1378" s="355">
        <f t="shared" si="665"/>
        <v>0</v>
      </c>
      <c r="N1378" s="355">
        <f t="shared" si="665"/>
        <v>0</v>
      </c>
      <c r="O1378" s="355">
        <f t="shared" si="665"/>
        <v>0</v>
      </c>
      <c r="P1378" s="355">
        <f t="shared" si="665"/>
        <v>0</v>
      </c>
      <c r="Q1378" s="355">
        <f t="shared" si="665"/>
        <v>0</v>
      </c>
      <c r="R1378" s="355">
        <f t="shared" si="665"/>
        <v>0</v>
      </c>
      <c r="S1378" s="356">
        <f t="shared" si="665"/>
        <v>0</v>
      </c>
    </row>
    <row r="1379" spans="1:55" ht="12.75" customHeight="1" x14ac:dyDescent="0.2">
      <c r="A1379" s="188" t="str">
        <f>"   "&amp;Labels!B385</f>
        <v xml:space="preserve">   Prof Level 1</v>
      </c>
      <c r="B1379" s="248">
        <f t="shared" ref="B1379:S1379" si="666">SUM(B1371,B1375)</f>
        <v>0</v>
      </c>
      <c r="C1379" s="248">
        <f t="shared" si="666"/>
        <v>0</v>
      </c>
      <c r="D1379" s="248">
        <f t="shared" si="666"/>
        <v>0</v>
      </c>
      <c r="E1379" s="248">
        <f t="shared" si="666"/>
        <v>0</v>
      </c>
      <c r="F1379" s="248">
        <f t="shared" si="666"/>
        <v>0</v>
      </c>
      <c r="G1379" s="248">
        <f t="shared" si="666"/>
        <v>0</v>
      </c>
      <c r="H1379" s="248">
        <f t="shared" si="666"/>
        <v>0</v>
      </c>
      <c r="I1379" s="248">
        <f t="shared" si="666"/>
        <v>0</v>
      </c>
      <c r="J1379" s="248">
        <f t="shared" si="666"/>
        <v>0</v>
      </c>
      <c r="K1379" s="248">
        <f t="shared" si="666"/>
        <v>0</v>
      </c>
      <c r="L1379" s="248">
        <f t="shared" si="666"/>
        <v>0</v>
      </c>
      <c r="M1379" s="248">
        <f t="shared" si="666"/>
        <v>0</v>
      </c>
      <c r="N1379" s="248">
        <f t="shared" si="666"/>
        <v>0</v>
      </c>
      <c r="O1379" s="248">
        <f t="shared" si="666"/>
        <v>0</v>
      </c>
      <c r="P1379" s="248">
        <f t="shared" si="666"/>
        <v>0</v>
      </c>
      <c r="Q1379" s="248">
        <f t="shared" si="666"/>
        <v>0</v>
      </c>
      <c r="R1379" s="248">
        <f t="shared" si="666"/>
        <v>0</v>
      </c>
      <c r="S1379" s="271">
        <f t="shared" si="666"/>
        <v>0</v>
      </c>
    </row>
    <row r="1380" spans="1:55" ht="12.75" customHeight="1" x14ac:dyDescent="0.2">
      <c r="A1380" s="188" t="str">
        <f>"   "&amp;Labels!B386</f>
        <v xml:space="preserve">   Prof Level 2</v>
      </c>
      <c r="B1380" s="248">
        <f t="shared" ref="B1380:S1380" si="667">SUM(B1372,B1376)</f>
        <v>0</v>
      </c>
      <c r="C1380" s="248">
        <f t="shared" si="667"/>
        <v>0</v>
      </c>
      <c r="D1380" s="248">
        <f t="shared" si="667"/>
        <v>0</v>
      </c>
      <c r="E1380" s="248">
        <f t="shared" si="667"/>
        <v>0</v>
      </c>
      <c r="F1380" s="248">
        <f t="shared" si="667"/>
        <v>0</v>
      </c>
      <c r="G1380" s="248">
        <f t="shared" si="667"/>
        <v>0</v>
      </c>
      <c r="H1380" s="248">
        <f t="shared" si="667"/>
        <v>0</v>
      </c>
      <c r="I1380" s="248">
        <f t="shared" si="667"/>
        <v>0</v>
      </c>
      <c r="J1380" s="248">
        <f t="shared" si="667"/>
        <v>0</v>
      </c>
      <c r="K1380" s="248">
        <f t="shared" si="667"/>
        <v>0</v>
      </c>
      <c r="L1380" s="248">
        <f t="shared" si="667"/>
        <v>0</v>
      </c>
      <c r="M1380" s="248">
        <f t="shared" si="667"/>
        <v>0</v>
      </c>
      <c r="N1380" s="248">
        <f t="shared" si="667"/>
        <v>0</v>
      </c>
      <c r="O1380" s="248">
        <f t="shared" si="667"/>
        <v>0</v>
      </c>
      <c r="P1380" s="248">
        <f t="shared" si="667"/>
        <v>0</v>
      </c>
      <c r="Q1380" s="248">
        <f t="shared" si="667"/>
        <v>0</v>
      </c>
      <c r="R1380" s="248">
        <f t="shared" si="667"/>
        <v>0</v>
      </c>
      <c r="S1380" s="271">
        <f t="shared" si="667"/>
        <v>0</v>
      </c>
    </row>
    <row r="1381" spans="1:55" ht="12.75" customHeight="1" x14ac:dyDescent="0.2">
      <c r="A1381" s="185" t="str">
        <f>"   "&amp;Labels!C384</f>
        <v xml:space="preserve">   Total</v>
      </c>
      <c r="B1381" s="273">
        <f t="shared" ref="B1381:S1381" si="668">SUM(B1373,B1377)</f>
        <v>0</v>
      </c>
      <c r="C1381" s="273">
        <f t="shared" si="668"/>
        <v>0</v>
      </c>
      <c r="D1381" s="273">
        <f t="shared" si="668"/>
        <v>0</v>
      </c>
      <c r="E1381" s="273">
        <f t="shared" si="668"/>
        <v>0</v>
      </c>
      <c r="F1381" s="273">
        <f t="shared" si="668"/>
        <v>0</v>
      </c>
      <c r="G1381" s="273">
        <f t="shared" si="668"/>
        <v>0</v>
      </c>
      <c r="H1381" s="273">
        <f t="shared" si="668"/>
        <v>0</v>
      </c>
      <c r="I1381" s="273">
        <f t="shared" si="668"/>
        <v>0</v>
      </c>
      <c r="J1381" s="273">
        <f t="shared" si="668"/>
        <v>0</v>
      </c>
      <c r="K1381" s="273">
        <f t="shared" si="668"/>
        <v>0</v>
      </c>
      <c r="L1381" s="273">
        <f t="shared" si="668"/>
        <v>0</v>
      </c>
      <c r="M1381" s="273">
        <f t="shared" si="668"/>
        <v>0</v>
      </c>
      <c r="N1381" s="273">
        <f t="shared" si="668"/>
        <v>0</v>
      </c>
      <c r="O1381" s="273">
        <f t="shared" si="668"/>
        <v>0</v>
      </c>
      <c r="P1381" s="273">
        <f t="shared" si="668"/>
        <v>0</v>
      </c>
      <c r="Q1381" s="273">
        <f t="shared" si="668"/>
        <v>0</v>
      </c>
      <c r="R1381" s="273">
        <f t="shared" si="668"/>
        <v>0</v>
      </c>
      <c r="S1381" s="274">
        <f t="shared" si="668"/>
        <v>0</v>
      </c>
    </row>
    <row r="1382" spans="1:55" ht="12.75" customHeight="1" x14ac:dyDescent="0.2">
      <c r="A1382" s="1" t="str">
        <f>Labels!B234</f>
        <v>Sales Commission</v>
      </c>
    </row>
    <row r="1383" spans="1:55" ht="12.75" customHeight="1" x14ac:dyDescent="0.2">
      <c r="B1383" s="9" t="str">
        <f>'(FnCalls 1)'!F41</f>
        <v>MMM 2010</v>
      </c>
      <c r="C1383" s="10" t="str">
        <f>'(FnCalls 1)'!F42</f>
        <v>MMM 2010</v>
      </c>
      <c r="D1383" s="10" t="str">
        <f>'(FnCalls 1)'!F43</f>
        <v>MMM 2010</v>
      </c>
      <c r="E1383" s="10" t="str">
        <f>'(FnCalls 1)'!F44</f>
        <v>MMM 2010</v>
      </c>
      <c r="F1383" s="10" t="str">
        <f>'(FnCalls 1)'!F45</f>
        <v>MMM 2010</v>
      </c>
      <c r="G1383" s="10" t="str">
        <f>'(FnCalls 1)'!F46</f>
        <v>MMM 2010</v>
      </c>
      <c r="H1383" s="10" t="str">
        <f>'(FnCalls 1)'!F47</f>
        <v>MMM 2010</v>
      </c>
      <c r="I1383" s="10" t="str">
        <f>'(FnCalls 1)'!F48</f>
        <v>MMM 2010</v>
      </c>
      <c r="J1383" s="10" t="str">
        <f>'(FnCalls 1)'!F49</f>
        <v>MMM 2010</v>
      </c>
      <c r="K1383" s="10" t="str">
        <f>'(FnCalls 1)'!F50</f>
        <v>MMM 2010</v>
      </c>
      <c r="L1383" s="10" t="str">
        <f>'(FnCalls 1)'!F51</f>
        <v>MMM 2010</v>
      </c>
      <c r="M1383" s="10" t="str">
        <f>'(FnCalls 1)'!F52</f>
        <v>MMM 2010</v>
      </c>
      <c r="N1383" s="10" t="str">
        <f>'(FnCalls 1)'!F53</f>
        <v>MMM 2011</v>
      </c>
      <c r="O1383" s="10" t="str">
        <f>'(FnCalls 1)'!F54</f>
        <v>MMM 2011</v>
      </c>
      <c r="P1383" s="10" t="str">
        <f>'(FnCalls 1)'!F55</f>
        <v>MMM 2011</v>
      </c>
      <c r="Q1383" s="10" t="str">
        <f>'(FnCalls 1)'!F56</f>
        <v>MMM 2011</v>
      </c>
      <c r="R1383" s="10" t="str">
        <f>'(FnCalls 1)'!F57</f>
        <v>MMM 2011</v>
      </c>
      <c r="S1383" s="11" t="str">
        <f>'(FnCalls 1)'!F58</f>
        <v>MMM 2011</v>
      </c>
    </row>
    <row r="1384" spans="1:55" ht="12.75" customHeight="1" x14ac:dyDescent="0.2">
      <c r="A1384" s="97"/>
      <c r="B1384" s="355">
        <f>'(Compute)'!B413</f>
        <v>0</v>
      </c>
      <c r="C1384" s="355">
        <f>'(Compute)'!C413</f>
        <v>0</v>
      </c>
      <c r="D1384" s="355">
        <f>'(Compute)'!D413</f>
        <v>0</v>
      </c>
      <c r="E1384" s="355">
        <f>'(Compute)'!E413</f>
        <v>0</v>
      </c>
      <c r="F1384" s="355">
        <f>'(Compute)'!F413</f>
        <v>0</v>
      </c>
      <c r="G1384" s="355">
        <f>'(Compute)'!G413</f>
        <v>0</v>
      </c>
      <c r="H1384" s="355">
        <f>'(Compute)'!H413</f>
        <v>0</v>
      </c>
      <c r="I1384" s="355">
        <f>'(Compute)'!I413</f>
        <v>0</v>
      </c>
      <c r="J1384" s="355">
        <f>'(Compute)'!J413</f>
        <v>0</v>
      </c>
      <c r="K1384" s="355">
        <f>'(Compute)'!K413</f>
        <v>0</v>
      </c>
      <c r="L1384" s="355">
        <f>'(Compute)'!L413</f>
        <v>0</v>
      </c>
      <c r="M1384" s="355">
        <f>'(Compute)'!M413</f>
        <v>0</v>
      </c>
      <c r="N1384" s="355">
        <f>'(Compute)'!N413</f>
        <v>0</v>
      </c>
      <c r="O1384" s="355">
        <f>'(Compute)'!O413</f>
        <v>0</v>
      </c>
      <c r="P1384" s="355">
        <f>'(Compute)'!P413</f>
        <v>0</v>
      </c>
      <c r="Q1384" s="355">
        <f>'(Compute)'!Q413</f>
        <v>0</v>
      </c>
      <c r="R1384" s="355">
        <f>'(Compute)'!R413</f>
        <v>0</v>
      </c>
      <c r="S1384" s="356">
        <f>'(Compute)'!S413</f>
        <v>0</v>
      </c>
    </row>
    <row r="1385" spans="1:55" ht="12.75" customHeight="1" x14ac:dyDescent="0.2">
      <c r="A1385" s="1" t="str">
        <f>Labels!B292</f>
        <v>Untagged Asset Purch Lagged</v>
      </c>
    </row>
    <row r="1386" spans="1:55" ht="12.75" customHeight="1" x14ac:dyDescent="0.2">
      <c r="B1386" s="9" t="str">
        <f>'(FnCalls 1)'!F41</f>
        <v>MMM 2010</v>
      </c>
      <c r="C1386" s="10" t="str">
        <f>'(FnCalls 1)'!F42</f>
        <v>MMM 2010</v>
      </c>
      <c r="D1386" s="10" t="str">
        <f>'(FnCalls 1)'!F43</f>
        <v>MMM 2010</v>
      </c>
      <c r="E1386" s="10" t="str">
        <f>'(FnCalls 1)'!F44</f>
        <v>MMM 2010</v>
      </c>
      <c r="F1386" s="10" t="str">
        <f>'(FnCalls 1)'!F45</f>
        <v>MMM 2010</v>
      </c>
      <c r="G1386" s="10" t="str">
        <f>'(FnCalls 1)'!F46</f>
        <v>MMM 2010</v>
      </c>
      <c r="H1386" s="10" t="str">
        <f>'(FnCalls 1)'!F47</f>
        <v>MMM 2010</v>
      </c>
      <c r="I1386" s="10" t="str">
        <f>'(FnCalls 1)'!F48</f>
        <v>MMM 2010</v>
      </c>
      <c r="J1386" s="10" t="str">
        <f>'(FnCalls 1)'!F49</f>
        <v>MMM 2010</v>
      </c>
      <c r="K1386" s="10" t="str">
        <f>'(FnCalls 1)'!F50</f>
        <v>MMM 2010</v>
      </c>
      <c r="L1386" s="10" t="str">
        <f>'(FnCalls 1)'!F51</f>
        <v>MMM 2010</v>
      </c>
      <c r="M1386" s="10" t="str">
        <f>'(FnCalls 1)'!F52</f>
        <v>MMM 2010</v>
      </c>
      <c r="N1386" s="10" t="str">
        <f>'(FnCalls 1)'!F53</f>
        <v>MMM 2011</v>
      </c>
      <c r="O1386" s="10" t="str">
        <f>'(FnCalls 1)'!F54</f>
        <v>MMM 2011</v>
      </c>
      <c r="P1386" s="10" t="str">
        <f>'(FnCalls 1)'!F55</f>
        <v>MMM 2011</v>
      </c>
      <c r="Q1386" s="10" t="str">
        <f>'(FnCalls 1)'!F56</f>
        <v>MMM 2011</v>
      </c>
      <c r="R1386" s="10" t="str">
        <f>'(FnCalls 1)'!F57</f>
        <v>MMM 2011</v>
      </c>
      <c r="S1386" s="11" t="str">
        <f>'(FnCalls 1)'!F58</f>
        <v>MMM 2011</v>
      </c>
    </row>
    <row r="1387" spans="1:55" ht="12.75" customHeight="1" x14ac:dyDescent="0.2">
      <c r="A1387" s="182" t="str">
        <f>Labels!B408</f>
        <v>Furniture</v>
      </c>
      <c r="B1387" s="239">
        <f>IF(ROUND(B1328,0)&lt;=8,IF(ROUND(B1328,0)&lt;=4,IF(ROUND(B1328,0)&lt;=2,IF(ROUND(B1328,0)=1,0,0),IF(ROUND(B1328,0)=3,0,0)),IF(ROUND(B1328,0)&lt;=6,IF(ROUND(B1328,0)=5,0,0),IF(ROUND(B1328,0)=7,0,0))),0)</f>
        <v>0</v>
      </c>
      <c r="C1387" s="239">
        <f>IF(ROUND(B1328,0)&lt;=8,IF(ROUND(B1328,0)&lt;=4,IF(ROUND(B1328,0)&lt;=2,IF(ROUND(B1328,0)=1,0,0),IF(ROUND(B1328,0)=3,0,0)),IF(ROUND(B1328,0)&lt;=6,IF(ROUND(B1328,0)=5,0,0),IF(ROUND(B1328,0)=7,0,0))),0)</f>
        <v>0</v>
      </c>
      <c r="D1387" s="239">
        <f>IF(ROUND(B1328,0)&lt;=8,IF(ROUND(B1328,0)&lt;=4,IF(ROUND(B1328,0)&lt;=2,IF(ROUND(B1328,0)=1,0,0),IF(ROUND(B1328,0)=3,0,0)),IF(ROUND(B1328,0)&lt;=6,IF(ROUND(B1328,0)=5,0,0),IF(ROUND(B1328,0)=7,0,0))),0)</f>
        <v>0</v>
      </c>
      <c r="E1387" s="239">
        <f>IF(ROUND(B1328,0)&lt;=8,IF(ROUND(B1328,0)&lt;=4,IF(ROUND(B1328,0)&lt;=2,IF(ROUND(B1328,0)=1,0,0),IF(ROUND(B1328,0)=3,0,0)),IF(ROUND(B1328,0)&lt;=6,IF(ROUND(B1328,0)=5,0,0),IF(ROUND(B1328,0)=7,0,0))),0)</f>
        <v>0</v>
      </c>
      <c r="F1387" s="239">
        <f>IF(ROUND(B1328,0)&lt;=8,IF(ROUND(B1328,0)&lt;=4,IF(ROUND(B1328,0)&lt;=2,IF(ROUND(B1328,0)=1,0,0),IF(ROUND(B1328,0)=3,0,0)),IF(ROUND(B1328,0)&lt;=6,IF(ROUND(B1328,0)=5,0,0),IF(ROUND(B1328,0)=7,0,0))),0)</f>
        <v>0</v>
      </c>
      <c r="G1387" s="239">
        <f>IF(ROUND(B1328,0)&lt;=8,IF(ROUND(B1328,0)&lt;=4,IF(ROUND(B1328,0)&lt;=2,IF(ROUND(B1328,0)=1,0,0),IF(ROUND(B1328,0)=3,0,0)),IF(ROUND(B1328,0)&lt;=6,IF(ROUND(B1328,0)=5,0,0),IF(ROUND(B1328,0)=7,0,0))),0)</f>
        <v>0</v>
      </c>
      <c r="H1387" s="239">
        <f>IF(ROUND(B1328,0)&lt;=8,IF(ROUND(B1328,0)&lt;=4,IF(ROUND(B1328,0)&lt;=2,IF(ROUND(B1328,0)=1,0,0),IF(ROUND(B1328,0)=3,0,0)),IF(ROUND(B1328,0)&lt;=6,IF(ROUND(B1328,0)=5,0,0),IF(ROUND(B1328,0)=7,0,0))),0)</f>
        <v>0</v>
      </c>
      <c r="I1387" s="239">
        <f>IF(ROUND(B1328,0)&lt;=8,IF(ROUND(B1328,0)&lt;=4,IF(ROUND(B1328,0)&lt;=2,IF(ROUND(B1328,0)=1,0,0),IF(ROUND(B1328,0)=3,0,0)),IF(ROUND(B1328,0)&lt;=6,IF(ROUND(B1328,0)=5,0,0),IF(ROUND(B1328,0)=7,0,0))),0)</f>
        <v>0</v>
      </c>
      <c r="J1387" s="239">
        <f>IF(ROUND(B1328,0)&lt;=8,IF(ROUND(B1328,0)&lt;=4,IF(ROUND(B1328,0)&lt;=2,IF(ROUND(B1328,0)=1,0,0),IF(ROUND(B1328,0)=3,0,0)),IF(ROUND(B1328,0)&lt;=6,IF(ROUND(B1328,0)=5,0,0),IF(ROUND(B1328,0)=7,0,0))),0)</f>
        <v>0</v>
      </c>
      <c r="K1387" s="239">
        <f>IF(ROUND(B1328,0)&lt;=8,IF(ROUND(B1328,0)&lt;=4,IF(ROUND(B1328,0)&lt;=2,IF(ROUND(B1328,0)=1,0,0),IF(ROUND(B1328,0)=3,0,0)),IF(ROUND(B1328,0)&lt;=6,IF(ROUND(B1328,0)=5,0,0),IF(ROUND(B1328,0)=7,0,0))),0)</f>
        <v>0</v>
      </c>
      <c r="L1387" s="239">
        <f>IF(ROUND(B1328,0)&lt;=8,IF(ROUND(B1328,0)&lt;=4,IF(ROUND(B1328,0)&lt;=2,IF(ROUND(B1328,0)=1,0,0),IF(ROUND(B1328,0)=3,0,0)),IF(ROUND(B1328,0)&lt;=6,IF(ROUND(B1328,0)=5,0,0),IF(ROUND(B1328,0)=7,0,0))),0)</f>
        <v>0</v>
      </c>
      <c r="M1387" s="239">
        <f>IF(ROUND(B1328,0)&lt;=8,IF(ROUND(B1328,0)&lt;=4,IF(ROUND(B1328,0)&lt;=2,IF(ROUND(B1328,0)=1,Assets!B64,0),IF(ROUND(B1328,0)=3,0,0)),IF(ROUND(B1328,0)&lt;=6,IF(ROUND(B1328,0)=5,0,0),IF(ROUND(B1328,0)=7,0,0))),0)</f>
        <v>0</v>
      </c>
      <c r="N1387" s="239">
        <f>IF(ROUND(B1328,0)&lt;=8,IF(ROUND(B1328,0)&lt;=4,IF(ROUND(B1328,0)&lt;=2,IF(ROUND(B1328,0)=1,Assets!C64,0),IF(ROUND(B1328,0)=3,0,0)),IF(ROUND(B1328,0)&lt;=6,IF(ROUND(B1328,0)=5,0,0),IF(ROUND(B1328,0)=7,0,0))),0)</f>
        <v>0</v>
      </c>
      <c r="O1387" s="239">
        <f>IF(ROUND(B1328,0)&lt;=8,IF(ROUND(B1328,0)&lt;=4,IF(ROUND(B1328,0)&lt;=2,IF(ROUND(B1328,0)=1,Assets!D64,0),IF(ROUND(B1328,0)=3,0,0)),IF(ROUND(B1328,0)&lt;=6,IF(ROUND(B1328,0)=5,0,0),IF(ROUND(B1328,0)=7,0,0))),0)</f>
        <v>0</v>
      </c>
      <c r="P1387" s="239">
        <f>IF(ROUND(B1328,0)&lt;=8,IF(ROUND(B1328,0)&lt;=4,IF(ROUND(B1328,0)&lt;=2,IF(ROUND(B1328,0)=1,Assets!E64,0),IF(ROUND(B1328,0)=3,0,0)),IF(ROUND(B1328,0)&lt;=6,IF(ROUND(B1328,0)=5,0,0),IF(ROUND(B1328,0)=7,0,0))),0)</f>
        <v>0</v>
      </c>
      <c r="Q1387" s="239">
        <f>IF(ROUND(B1328,0)&lt;=8,IF(ROUND(B1328,0)&lt;=4,IF(ROUND(B1328,0)&lt;=2,IF(ROUND(B1328,0)=1,Assets!G64,0),IF(ROUND(B1328,0)=3,0,0)),IF(ROUND(B1328,0)&lt;=6,IF(ROUND(B1328,0)=5,0,0),IF(ROUND(B1328,0)=7,0,0))),0)</f>
        <v>0</v>
      </c>
      <c r="R1387" s="239">
        <f>IF(ROUND(B1328,0)&lt;=8,IF(ROUND(B1328,0)&lt;=4,IF(ROUND(B1328,0)&lt;=2,IF(ROUND(B1328,0)=1,Assets!H64,0),IF(ROUND(B1328,0)=3,0,0)),IF(ROUND(B1328,0)&lt;=6,IF(ROUND(B1328,0)=5,0,0),IF(ROUND(B1328,0)=7,0,0))),0)</f>
        <v>0</v>
      </c>
      <c r="S1387" s="335">
        <f>IF(ROUND(B1328,0)&lt;=8,IF(ROUND(B1328,0)&lt;=4,IF(ROUND(B1328,0)&lt;=2,IF(ROUND(B1328,0)=1,Assets!I64,0),IF(ROUND(B1328,0)=3,0,0)),IF(ROUND(B1328,0)&lt;=6,IF(ROUND(B1328,0)=5,0,0),IF(ROUND(B1328,0)=7,0,0))),0)</f>
        <v>0</v>
      </c>
    </row>
    <row r="1388" spans="1:55" ht="12.75" customHeight="1" x14ac:dyDescent="0.2">
      <c r="A1388" s="191" t="str">
        <f>Labels!B409</f>
        <v>Office Equip</v>
      </c>
      <c r="B1388" s="245">
        <f>IF(ROUND(B1329,0)&lt;=8,IF(ROUND(B1329,0)&lt;=4,IF(ROUND(B1329,0)&lt;=2,IF(ROUND(B1329,0)=1,0,0),IF(ROUND(B1329,0)=3,0,0)),IF(ROUND(B1329,0)&lt;=6,IF(ROUND(B1329,0)=5,0,0),IF(ROUND(B1329,0)=7,0,0))),0)</f>
        <v>0</v>
      </c>
      <c r="C1388" s="245">
        <f>IF(ROUND(B1329,0)&lt;=8,IF(ROUND(B1329,0)&lt;=4,IF(ROUND(B1329,0)&lt;=2,IF(ROUND(B1329,0)=1,0,0),IF(ROUND(B1329,0)=3,0,0)),IF(ROUND(B1329,0)&lt;=6,IF(ROUND(B1329,0)=5,0,0),IF(ROUND(B1329,0)=7,0,0))),0)</f>
        <v>0</v>
      </c>
      <c r="D1388" s="245">
        <f>IF(ROUND(B1329,0)&lt;=8,IF(ROUND(B1329,0)&lt;=4,IF(ROUND(B1329,0)&lt;=2,IF(ROUND(B1329,0)=1,0,0),IF(ROUND(B1329,0)=3,0,0)),IF(ROUND(B1329,0)&lt;=6,IF(ROUND(B1329,0)=5,0,0),IF(ROUND(B1329,0)=7,0,0))),0)</f>
        <v>0</v>
      </c>
      <c r="E1388" s="245">
        <f>IF(ROUND(B1329,0)&lt;=8,IF(ROUND(B1329,0)&lt;=4,IF(ROUND(B1329,0)&lt;=2,IF(ROUND(B1329,0)=1,0,0),IF(ROUND(B1329,0)=3,0,0)),IF(ROUND(B1329,0)&lt;=6,IF(ROUND(B1329,0)=5,0,0),IF(ROUND(B1329,0)=7,0,0))),0)</f>
        <v>0</v>
      </c>
      <c r="F1388" s="245">
        <f>IF(ROUND(B1329,0)&lt;=8,IF(ROUND(B1329,0)&lt;=4,IF(ROUND(B1329,0)&lt;=2,IF(ROUND(B1329,0)=1,0,0),IF(ROUND(B1329,0)=3,0,0)),IF(ROUND(B1329,0)&lt;=6,IF(ROUND(B1329,0)=5,0,0),IF(ROUND(B1329,0)=7,0,0))),0)</f>
        <v>0</v>
      </c>
      <c r="G1388" s="245">
        <f>IF(ROUND(B1329,0)&lt;=8,IF(ROUND(B1329,0)&lt;=4,IF(ROUND(B1329,0)&lt;=2,IF(ROUND(B1329,0)=1,0,0),IF(ROUND(B1329,0)=3,0,0)),IF(ROUND(B1329,0)&lt;=6,IF(ROUND(B1329,0)=5,0,0),IF(ROUND(B1329,0)=7,0,0))),0)</f>
        <v>0</v>
      </c>
      <c r="H1388" s="245">
        <f>IF(ROUND(B1329,0)&lt;=8,IF(ROUND(B1329,0)&lt;=4,IF(ROUND(B1329,0)&lt;=2,IF(ROUND(B1329,0)=1,0,0),IF(ROUND(B1329,0)=3,0,0)),IF(ROUND(B1329,0)&lt;=6,IF(ROUND(B1329,0)=5,0,0),IF(ROUND(B1329,0)=7,0,0))),0)</f>
        <v>0</v>
      </c>
      <c r="I1388" s="245">
        <f>IF(ROUND(B1329,0)&lt;=8,IF(ROUND(B1329,0)&lt;=4,IF(ROUND(B1329,0)&lt;=2,IF(ROUND(B1329,0)=1,0,0),IF(ROUND(B1329,0)=3,0,0)),IF(ROUND(B1329,0)&lt;=6,IF(ROUND(B1329,0)=5,0,0),IF(ROUND(B1329,0)=7,0,0))),0)</f>
        <v>0</v>
      </c>
      <c r="J1388" s="245">
        <f>IF(ROUND(B1329,0)&lt;=8,IF(ROUND(B1329,0)&lt;=4,IF(ROUND(B1329,0)&lt;=2,IF(ROUND(B1329,0)=1,0,0),IF(ROUND(B1329,0)=3,0,0)),IF(ROUND(B1329,0)&lt;=6,IF(ROUND(B1329,0)=5,0,0),IF(ROUND(B1329,0)=7,0,0))),0)</f>
        <v>0</v>
      </c>
      <c r="K1388" s="245">
        <f>IF(ROUND(B1329,0)&lt;=8,IF(ROUND(B1329,0)&lt;=4,IF(ROUND(B1329,0)&lt;=2,IF(ROUND(B1329,0)=1,0,0),IF(ROUND(B1329,0)=3,0,0)),IF(ROUND(B1329,0)&lt;=6,IF(ROUND(B1329,0)=5,0,0),IF(ROUND(B1329,0)=7,0,0))),0)</f>
        <v>0</v>
      </c>
      <c r="L1388" s="245">
        <f>IF(ROUND(B1329,0)&lt;=8,IF(ROUND(B1329,0)&lt;=4,IF(ROUND(B1329,0)&lt;=2,IF(ROUND(B1329,0)=1,0,0),IF(ROUND(B1329,0)=3,0,0)),IF(ROUND(B1329,0)&lt;=6,IF(ROUND(B1329,0)=5,0,0),IF(ROUND(B1329,0)=7,0,0))),0)</f>
        <v>0</v>
      </c>
      <c r="M1388" s="245">
        <f>IF(ROUND(B1329,0)&lt;=8,IF(ROUND(B1329,0)&lt;=4,IF(ROUND(B1329,0)&lt;=2,IF(ROUND(B1329,0)=1,Assets!B65,0),IF(ROUND(B1329,0)=3,0,0)),IF(ROUND(B1329,0)&lt;=6,IF(ROUND(B1329,0)=5,0,0),IF(ROUND(B1329,0)=7,0,0))),0)</f>
        <v>0</v>
      </c>
      <c r="N1388" s="245">
        <f>IF(ROUND(B1329,0)&lt;=8,IF(ROUND(B1329,0)&lt;=4,IF(ROUND(B1329,0)&lt;=2,IF(ROUND(B1329,0)=1,Assets!C65,0),IF(ROUND(B1329,0)=3,0,0)),IF(ROUND(B1329,0)&lt;=6,IF(ROUND(B1329,0)=5,0,0),IF(ROUND(B1329,0)=7,0,0))),0)</f>
        <v>0</v>
      </c>
      <c r="O1388" s="245">
        <f>IF(ROUND(B1329,0)&lt;=8,IF(ROUND(B1329,0)&lt;=4,IF(ROUND(B1329,0)&lt;=2,IF(ROUND(B1329,0)=1,Assets!D65,0),IF(ROUND(B1329,0)=3,0,0)),IF(ROUND(B1329,0)&lt;=6,IF(ROUND(B1329,0)=5,0,0),IF(ROUND(B1329,0)=7,0,0))),0)</f>
        <v>0</v>
      </c>
      <c r="P1388" s="245">
        <f>IF(ROUND(B1329,0)&lt;=8,IF(ROUND(B1329,0)&lt;=4,IF(ROUND(B1329,0)&lt;=2,IF(ROUND(B1329,0)=1,Assets!E65,0),IF(ROUND(B1329,0)=3,0,0)),IF(ROUND(B1329,0)&lt;=6,IF(ROUND(B1329,0)=5,0,0),IF(ROUND(B1329,0)=7,0,0))),0)</f>
        <v>0</v>
      </c>
      <c r="Q1388" s="245">
        <f>IF(ROUND(B1329,0)&lt;=8,IF(ROUND(B1329,0)&lt;=4,IF(ROUND(B1329,0)&lt;=2,IF(ROUND(B1329,0)=1,Assets!G65,0),IF(ROUND(B1329,0)=3,0,0)),IF(ROUND(B1329,0)&lt;=6,IF(ROUND(B1329,0)=5,0,0),IF(ROUND(B1329,0)=7,0,0))),0)</f>
        <v>0</v>
      </c>
      <c r="R1388" s="245">
        <f>IF(ROUND(B1329,0)&lt;=8,IF(ROUND(B1329,0)&lt;=4,IF(ROUND(B1329,0)&lt;=2,IF(ROUND(B1329,0)=1,Assets!H65,0),IF(ROUND(B1329,0)=3,0,0)),IF(ROUND(B1329,0)&lt;=6,IF(ROUND(B1329,0)=5,0,0),IF(ROUND(B1329,0)=7,0,0))),0)</f>
        <v>0</v>
      </c>
      <c r="S1388" s="353">
        <f>IF(ROUND(B1329,0)&lt;=8,IF(ROUND(B1329,0)&lt;=4,IF(ROUND(B1329,0)&lt;=2,IF(ROUND(B1329,0)=1,Assets!I65,0),IF(ROUND(B1329,0)=3,0,0)),IF(ROUND(B1329,0)&lt;=6,IF(ROUND(B1329,0)=5,0,0),IF(ROUND(B1329,0)=7,0,0))),0)</f>
        <v>0</v>
      </c>
    </row>
    <row r="1389" spans="1:55" ht="12.75" customHeight="1" x14ac:dyDescent="0.2">
      <c r="A1389" s="97" t="str">
        <f>Labels!C407</f>
        <v>Total</v>
      </c>
      <c r="B1389" s="199">
        <f t="shared" ref="B1389:S1389" si="669">SUM(B1387:B1388)</f>
        <v>0</v>
      </c>
      <c r="C1389" s="199">
        <f t="shared" si="669"/>
        <v>0</v>
      </c>
      <c r="D1389" s="199">
        <f t="shared" si="669"/>
        <v>0</v>
      </c>
      <c r="E1389" s="199">
        <f t="shared" si="669"/>
        <v>0</v>
      </c>
      <c r="F1389" s="199">
        <f t="shared" si="669"/>
        <v>0</v>
      </c>
      <c r="G1389" s="199">
        <f t="shared" si="669"/>
        <v>0</v>
      </c>
      <c r="H1389" s="199">
        <f t="shared" si="669"/>
        <v>0</v>
      </c>
      <c r="I1389" s="199">
        <f t="shared" si="669"/>
        <v>0</v>
      </c>
      <c r="J1389" s="199">
        <f t="shared" si="669"/>
        <v>0</v>
      </c>
      <c r="K1389" s="199">
        <f t="shared" si="669"/>
        <v>0</v>
      </c>
      <c r="L1389" s="199">
        <f t="shared" si="669"/>
        <v>0</v>
      </c>
      <c r="M1389" s="199">
        <f t="shared" si="669"/>
        <v>0</v>
      </c>
      <c r="N1389" s="199">
        <f t="shared" si="669"/>
        <v>0</v>
      </c>
      <c r="O1389" s="199">
        <f t="shared" si="669"/>
        <v>0</v>
      </c>
      <c r="P1389" s="199">
        <f t="shared" si="669"/>
        <v>0</v>
      </c>
      <c r="Q1389" s="199">
        <f t="shared" si="669"/>
        <v>0</v>
      </c>
      <c r="R1389" s="199">
        <f t="shared" si="669"/>
        <v>0</v>
      </c>
      <c r="S1389" s="354">
        <f t="shared" si="669"/>
        <v>0</v>
      </c>
    </row>
    <row r="1390" spans="1:55" ht="12.75" customHeight="1" x14ac:dyDescent="0.2">
      <c r="A1390" s="1" t="str">
        <f>Labels!B266</f>
        <v>Depreciation</v>
      </c>
    </row>
    <row r="1391" spans="1:55" ht="12.75" customHeight="1" x14ac:dyDescent="0.2">
      <c r="B1391" s="9" t="str">
        <f>'(FnCalls 1)'!F5</f>
        <v>MMM 2007</v>
      </c>
      <c r="C1391" s="10" t="str">
        <f>'(FnCalls 1)'!F6</f>
        <v>MMM 2007</v>
      </c>
      <c r="D1391" s="10" t="str">
        <f>'(FnCalls 1)'!F7</f>
        <v>MMM 2007</v>
      </c>
      <c r="E1391" s="10" t="str">
        <f>'(FnCalls 1)'!F8</f>
        <v>MMM 2007</v>
      </c>
      <c r="F1391" s="10" t="str">
        <f>'(FnCalls 1)'!F9</f>
        <v>MMM 2007</v>
      </c>
      <c r="G1391" s="10" t="str">
        <f>'(FnCalls 1)'!F10</f>
        <v>MMM 2007</v>
      </c>
      <c r="H1391" s="10" t="str">
        <f>'(FnCalls 1)'!F11</f>
        <v>MMM 2007</v>
      </c>
      <c r="I1391" s="10" t="str">
        <f>'(FnCalls 1)'!F12</f>
        <v>MMM 2007</v>
      </c>
      <c r="J1391" s="10" t="str">
        <f>'(FnCalls 1)'!F13</f>
        <v>MMM 2007</v>
      </c>
      <c r="K1391" s="10" t="str">
        <f>'(FnCalls 1)'!F14</f>
        <v>MMM 2007</v>
      </c>
      <c r="L1391" s="10" t="str">
        <f>'(FnCalls 1)'!F15</f>
        <v>MMM 2007</v>
      </c>
      <c r="M1391" s="10" t="str">
        <f>'(FnCalls 1)'!F16</f>
        <v>MMM 2007</v>
      </c>
      <c r="N1391" s="10" t="str">
        <f>'(FnCalls 1)'!F17</f>
        <v>MMM 2008</v>
      </c>
      <c r="O1391" s="10" t="str">
        <f>'(FnCalls 1)'!F18</f>
        <v>MMM 2008</v>
      </c>
      <c r="P1391" s="10" t="str">
        <f>'(FnCalls 1)'!F19</f>
        <v>MMM 2008</v>
      </c>
      <c r="Q1391" s="10" t="str">
        <f>'(FnCalls 1)'!F20</f>
        <v>MMM 2008</v>
      </c>
      <c r="R1391" s="10" t="str">
        <f>'(FnCalls 1)'!F21</f>
        <v>MMM 2008</v>
      </c>
      <c r="S1391" s="10" t="str">
        <f>'(FnCalls 1)'!F22</f>
        <v>MMM 2008</v>
      </c>
      <c r="T1391" s="10" t="str">
        <f>'(FnCalls 1)'!F23</f>
        <v>MMM 2008</v>
      </c>
      <c r="U1391" s="10" t="str">
        <f>'(FnCalls 1)'!F24</f>
        <v>MMM 2008</v>
      </c>
      <c r="V1391" s="10" t="str">
        <f>'(FnCalls 1)'!F25</f>
        <v>MMM 2008</v>
      </c>
      <c r="W1391" s="10" t="str">
        <f>'(FnCalls 1)'!F26</f>
        <v>MMM 2008</v>
      </c>
      <c r="X1391" s="10" t="str">
        <f>'(FnCalls 1)'!F27</f>
        <v>MMM 2008</v>
      </c>
      <c r="Y1391" s="10" t="str">
        <f>'(FnCalls 1)'!F28</f>
        <v>MMM 2008</v>
      </c>
      <c r="Z1391" s="10" t="str">
        <f>'(FnCalls 1)'!F29</f>
        <v>MMM 2009</v>
      </c>
      <c r="AA1391" s="10" t="str">
        <f>'(FnCalls 1)'!F30</f>
        <v>MMM 2009</v>
      </c>
      <c r="AB1391" s="10" t="str">
        <f>'(FnCalls 1)'!F31</f>
        <v>MMM 2009</v>
      </c>
      <c r="AC1391" s="10" t="str">
        <f>'(FnCalls 1)'!F32</f>
        <v>MMM 2009</v>
      </c>
      <c r="AD1391" s="10" t="str">
        <f>'(FnCalls 1)'!F33</f>
        <v>MMM 2009</v>
      </c>
      <c r="AE1391" s="10" t="str">
        <f>'(FnCalls 1)'!F34</f>
        <v>MMM 2009</v>
      </c>
      <c r="AF1391" s="10" t="str">
        <f>'(FnCalls 1)'!F35</f>
        <v>MMM 2009</v>
      </c>
      <c r="AG1391" s="10" t="str">
        <f>'(FnCalls 1)'!F36</f>
        <v>MMM 2009</v>
      </c>
      <c r="AH1391" s="10" t="str">
        <f>'(FnCalls 1)'!F37</f>
        <v>MMM 2009</v>
      </c>
      <c r="AI1391" s="10" t="str">
        <f>'(FnCalls 1)'!F38</f>
        <v>MMM 2009</v>
      </c>
      <c r="AJ1391" s="10" t="str">
        <f>'(FnCalls 1)'!F39</f>
        <v>MMM 2009</v>
      </c>
      <c r="AK1391" s="10" t="str">
        <f>'(FnCalls 1)'!F40</f>
        <v>MMM 2009</v>
      </c>
      <c r="AL1391" s="10" t="str">
        <f>'(FnCalls 1)'!F41</f>
        <v>MMM 2010</v>
      </c>
      <c r="AM1391" s="10" t="str">
        <f>'(FnCalls 1)'!F42</f>
        <v>MMM 2010</v>
      </c>
      <c r="AN1391" s="10" t="str">
        <f>'(FnCalls 1)'!F43</f>
        <v>MMM 2010</v>
      </c>
      <c r="AO1391" s="10" t="str">
        <f>'(FnCalls 1)'!F44</f>
        <v>MMM 2010</v>
      </c>
      <c r="AP1391" s="10" t="str">
        <f>'(FnCalls 1)'!F45</f>
        <v>MMM 2010</v>
      </c>
      <c r="AQ1391" s="10" t="str">
        <f>'(FnCalls 1)'!F46</f>
        <v>MMM 2010</v>
      </c>
      <c r="AR1391" s="10" t="str">
        <f>'(FnCalls 1)'!F47</f>
        <v>MMM 2010</v>
      </c>
      <c r="AS1391" s="10" t="str">
        <f>'(FnCalls 1)'!F48</f>
        <v>MMM 2010</v>
      </c>
      <c r="AT1391" s="10" t="str">
        <f>'(FnCalls 1)'!F49</f>
        <v>MMM 2010</v>
      </c>
      <c r="AU1391" s="10" t="str">
        <f>'(FnCalls 1)'!F50</f>
        <v>MMM 2010</v>
      </c>
      <c r="AV1391" s="10" t="str">
        <f>'(FnCalls 1)'!F51</f>
        <v>MMM 2010</v>
      </c>
      <c r="AW1391" s="10" t="str">
        <f>'(FnCalls 1)'!F52</f>
        <v>MMM 2010</v>
      </c>
      <c r="AX1391" s="10" t="str">
        <f>'(FnCalls 1)'!F53</f>
        <v>MMM 2011</v>
      </c>
      <c r="AY1391" s="10" t="str">
        <f>'(FnCalls 1)'!F54</f>
        <v>MMM 2011</v>
      </c>
      <c r="AZ1391" s="10" t="str">
        <f>'(FnCalls 1)'!F55</f>
        <v>MMM 2011</v>
      </c>
      <c r="BA1391" s="10" t="str">
        <f>'(FnCalls 1)'!F56</f>
        <v>MMM 2011</v>
      </c>
      <c r="BB1391" s="10" t="str">
        <f>'(FnCalls 1)'!F57</f>
        <v>MMM 2011</v>
      </c>
      <c r="BC1391" s="11" t="str">
        <f>'(FnCalls 1)'!F58</f>
        <v>MMM 2011</v>
      </c>
    </row>
    <row r="1392" spans="1:55" ht="12.75" customHeight="1" x14ac:dyDescent="0.2">
      <c r="A1392" s="182" t="str">
        <f>Labels!B306</f>
        <v>Building A</v>
      </c>
      <c r="B1392" s="183">
        <f>IF(B1397&lt;=0,0,IF(Inputs!I373="None",0,IF(Inputs!I373="SYD",SYD(B1308,B1323,B1313*12,B1397),MIN(0-B1323,MAX(SLN(B1308,B1323,B1313*12))))))</f>
        <v>0</v>
      </c>
      <c r="C1392" s="183">
        <f>IF(C1397&lt;=0,0,IF(Inputs!I373="None",0,IF(Inputs!I373="SYD",SYD(B1308,B1323,B1313*12,C1397),MIN(B1407-B1323,MAX(SLN(B1308,B1323,B1313*12))))))</f>
        <v>0</v>
      </c>
      <c r="D1392" s="183">
        <f>IF(D1397&lt;=0,0,IF(Inputs!I373="None",0,IF(Inputs!I373="SYD",SYD(B1308,B1323,B1313*12,D1397),MIN(C1407-B1323,MAX(SLN(B1308,B1323,B1313*12))))))</f>
        <v>0</v>
      </c>
      <c r="E1392" s="183">
        <f>IF(E1397&lt;=0,0,IF(Inputs!I373="None",0,IF(Inputs!I373="SYD",SYD(B1308,B1323,B1313*12,E1397),MIN(D1407-B1323,MAX(SLN(B1308,B1323,B1313*12))))))</f>
        <v>0</v>
      </c>
      <c r="F1392" s="183">
        <f>IF(F1397&lt;=0,0,IF(Inputs!I373="None",0,IF(Inputs!I373="SYD",SYD(B1308,B1323,B1313*12,F1397),MIN(E1407-B1323,MAX(SLN(B1308,B1323,B1313*12))))))</f>
        <v>0</v>
      </c>
      <c r="G1392" s="183">
        <f>IF(G1397&lt;=0,0,IF(Inputs!I373="None",0,IF(Inputs!I373="SYD",SYD(B1308,B1323,B1313*12,G1397),MIN(F1407-B1323,MAX(SLN(B1308,B1323,B1313*12))))))</f>
        <v>0</v>
      </c>
      <c r="H1392" s="183">
        <f>IF(H1397&lt;=0,0,IF(Inputs!I373="None",0,IF(Inputs!I373="SYD",SYD(B1308,B1323,B1313*12,H1397),MIN(G1407-B1323,MAX(SLN(B1308,B1323,B1313*12))))))</f>
        <v>0</v>
      </c>
      <c r="I1392" s="183">
        <f>IF(I1397&lt;=0,0,IF(Inputs!I373="None",0,IF(Inputs!I373="SYD",SYD(B1308,B1323,B1313*12,I1397),MIN(H1407-B1323,MAX(SLN(B1308,B1323,B1313*12))))))</f>
        <v>0</v>
      </c>
      <c r="J1392" s="183">
        <f>IF(J1397&lt;=0,0,IF(Inputs!I373="None",0,IF(Inputs!I373="SYD",SYD(B1308,B1323,B1313*12,J1397),MIN(I1407-B1323,MAX(SLN(B1308,B1323,B1313*12))))))</f>
        <v>0</v>
      </c>
      <c r="K1392" s="183">
        <f>IF(K1397&lt;=0,0,IF(Inputs!I373="None",0,IF(Inputs!I373="SYD",SYD(B1308,B1323,B1313*12,K1397),MIN(J1407-B1323,MAX(SLN(B1308,B1323,B1313*12))))))</f>
        <v>0</v>
      </c>
      <c r="L1392" s="183">
        <f>IF(L1397&lt;=0,0,IF(Inputs!I373="None",0,IF(Inputs!I373="SYD",SYD(B1308,B1323,B1313*12,L1397),MIN(K1407-B1323,MAX(SLN(B1308,B1323,B1313*12))))))</f>
        <v>0</v>
      </c>
      <c r="M1392" s="183">
        <f>IF(M1397&lt;=0,0,IF(Inputs!I373="None",0,IF(Inputs!I373="SYD",SYD(B1308,B1323,B1313*12,M1397),MIN(L1407-B1323,MAX(SLN(B1308,B1323,B1313*12))))))</f>
        <v>0</v>
      </c>
      <c r="N1392" s="183">
        <f>IF(N1397&lt;=0,0,IF(Inputs!I373="None",0,IF(Inputs!I373="SYD",SYD(B1308,B1323,B1313*12,N1397),MIN(M1407-B1323,MAX(SLN(B1308,B1323,B1313*12))))))</f>
        <v>0</v>
      </c>
      <c r="O1392" s="183">
        <f>IF(O1397&lt;=0,0,IF(Inputs!I373="None",0,IF(Inputs!I373="SYD",SYD(B1308,B1323,B1313*12,O1397),MIN(N1407-B1323,MAX(SLN(B1308,B1323,B1313*12))))))</f>
        <v>0</v>
      </c>
      <c r="P1392" s="183">
        <f>IF(P1397&lt;=0,0,IF(Inputs!I373="None",0,IF(Inputs!I373="SYD",SYD(B1308,B1323,B1313*12,P1397),MIN(O1407-B1323,MAX(SLN(B1308,B1323,B1313*12))))))</f>
        <v>0</v>
      </c>
      <c r="Q1392" s="183">
        <f>IF(Q1397&lt;=0,0,IF(Inputs!I373="None",0,IF(Inputs!I373="SYD",SYD(B1308,B1323,B1313*12,Q1397),MIN(P1407-B1323,MAX(SLN(B1308,B1323,B1313*12))))))</f>
        <v>0</v>
      </c>
      <c r="R1392" s="183">
        <f>IF(R1397&lt;=0,0,IF(Inputs!I373="None",0,IF(Inputs!I373="SYD",SYD(B1308,B1323,B1313*12,R1397),MIN(Q1407-B1323,MAX(SLN(B1308,B1323,B1313*12))))))</f>
        <v>0</v>
      </c>
      <c r="S1392" s="183">
        <f>IF(S1397&lt;=0,0,IF(Inputs!I373="None",0,IF(Inputs!I373="SYD",SYD(B1308,B1323,B1313*12,S1397),MIN(R1407-B1323,MAX(SLN(B1308,B1323,B1313*12))))))</f>
        <v>0</v>
      </c>
      <c r="T1392" s="183">
        <f>IF(T1397&lt;=0,0,IF(Inputs!I373="None",0,IF(Inputs!I373="SYD",SYD(B1308,B1323,B1313*12,T1397),MIN(S1407-B1323,MAX(SLN(B1308,B1323,B1313*12))))))</f>
        <v>0</v>
      </c>
      <c r="U1392" s="183">
        <f>IF(U1397&lt;=0,0,IF(Inputs!I373="None",0,IF(Inputs!I373="SYD",SYD(B1308,B1323,B1313*12,U1397),MIN(T1407-B1323,MAX(SLN(B1308,B1323,B1313*12))))))</f>
        <v>0</v>
      </c>
      <c r="V1392" s="183">
        <f>IF(V1397&lt;=0,0,IF(Inputs!I373="None",0,IF(Inputs!I373="SYD",SYD(B1308,B1323,B1313*12,V1397),MIN(U1407-B1323,MAX(SLN(B1308,B1323,B1313*12))))))</f>
        <v>0</v>
      </c>
      <c r="W1392" s="183">
        <f>IF(W1397&lt;=0,0,IF(Inputs!I373="None",0,IF(Inputs!I373="SYD",SYD(B1308,B1323,B1313*12,W1397),MIN(V1407-B1323,MAX(SLN(B1308,B1323,B1313*12))))))</f>
        <v>0</v>
      </c>
      <c r="X1392" s="183">
        <f>IF(X1397&lt;=0,0,IF(Inputs!I373="None",0,IF(Inputs!I373="SYD",SYD(B1308,B1323,B1313*12,X1397),MIN(W1407-B1323,MAX(SLN(B1308,B1323,B1313*12))))))</f>
        <v>0</v>
      </c>
      <c r="Y1392" s="183">
        <f>IF(Y1397&lt;=0,0,IF(Inputs!I373="None",0,IF(Inputs!I373="SYD",SYD(B1308,B1323,B1313*12,Y1397),MIN(X1407-B1323,MAX(SLN(B1308,B1323,B1313*12))))))</f>
        <v>0</v>
      </c>
      <c r="Z1392" s="183">
        <f>IF(Z1397&lt;=0,0,IF(Inputs!I373="None",0,IF(Inputs!I373="SYD",SYD(B1308,B1323,B1313*12,Z1397),MIN(Y1407-B1323,MAX(SLN(B1308,B1323,B1313*12))))))</f>
        <v>0</v>
      </c>
      <c r="AA1392" s="183">
        <f>IF(AA1397&lt;=0,0,IF(Inputs!I373="None",0,IF(Inputs!I373="SYD",SYD(B1308,B1323,B1313*12,AA1397),MIN(Z1407-B1323,MAX(SLN(B1308,B1323,B1313*12))))))</f>
        <v>0</v>
      </c>
      <c r="AB1392" s="183">
        <f>IF(AB1397&lt;=0,0,IF(Inputs!I373="None",0,IF(Inputs!I373="SYD",SYD(B1308,B1323,B1313*12,AB1397),MIN(AA1407-B1323,MAX(SLN(B1308,B1323,B1313*12))))))</f>
        <v>0</v>
      </c>
      <c r="AC1392" s="183">
        <f>IF(AC1397&lt;=0,0,IF(Inputs!I373="None",0,IF(Inputs!I373="SYD",SYD(B1308,B1323,B1313*12,AC1397),MIN(AB1407-B1323,MAX(SLN(B1308,B1323,B1313*12))))))</f>
        <v>0</v>
      </c>
      <c r="AD1392" s="183">
        <f>IF(AD1397&lt;=0,0,IF(Inputs!I373="None",0,IF(Inputs!I373="SYD",SYD(B1308,B1323,B1313*12,AD1397),MIN(AC1407-B1323,MAX(SLN(B1308,B1323,B1313*12))))))</f>
        <v>0</v>
      </c>
      <c r="AE1392" s="183">
        <f>IF(AE1397&lt;=0,0,IF(Inputs!I373="None",0,IF(Inputs!I373="SYD",SYD(B1308,B1323,B1313*12,AE1397),MIN(AD1407-B1323,MAX(SLN(B1308,B1323,B1313*12))))))</f>
        <v>0</v>
      </c>
      <c r="AF1392" s="183">
        <f>IF(AF1397&lt;=0,0,IF(Inputs!I373="None",0,IF(Inputs!I373="SYD",SYD(B1308,B1323,B1313*12,AF1397),MIN(AE1407-B1323,MAX(SLN(B1308,B1323,B1313*12))))))</f>
        <v>0</v>
      </c>
      <c r="AG1392" s="183">
        <f>IF(AG1397&lt;=0,0,IF(Inputs!I373="None",0,IF(Inputs!I373="SYD",SYD(B1308,B1323,B1313*12,AG1397),MIN(AF1407-B1323,MAX(SLN(B1308,B1323,B1313*12))))))</f>
        <v>0</v>
      </c>
      <c r="AH1392" s="183">
        <f>IF(AH1397&lt;=0,0,IF(Inputs!I373="None",0,IF(Inputs!I373="SYD",SYD(B1308,B1323,B1313*12,AH1397),MIN(AG1407-B1323,MAX(SLN(B1308,B1323,B1313*12))))))</f>
        <v>0</v>
      </c>
      <c r="AI1392" s="183">
        <f>IF(AI1397&lt;=0,0,IF(Inputs!I373="None",0,IF(Inputs!I373="SYD",SYD(B1308,B1323,B1313*12,AI1397),MIN(AH1407-B1323,MAX(SLN(B1308,B1323,B1313*12))))))</f>
        <v>0</v>
      </c>
      <c r="AJ1392" s="183">
        <f>IF(AJ1397&lt;=0,0,IF(Inputs!I373="None",0,IF(Inputs!I373="SYD",SYD(B1308,B1323,B1313*12,AJ1397),MIN(AI1407-B1323,MAX(SLN(B1308,B1323,B1313*12))))))</f>
        <v>0</v>
      </c>
      <c r="AK1392" s="183">
        <f>Assets!B41</f>
        <v>0</v>
      </c>
      <c r="AL1392" s="183">
        <f>Assets!C41</f>
        <v>0</v>
      </c>
      <c r="AM1392" s="183">
        <f>Assets!D41</f>
        <v>0</v>
      </c>
      <c r="AN1392" s="183">
        <f>Assets!E41</f>
        <v>0</v>
      </c>
      <c r="AO1392" s="183">
        <f>Assets!G41</f>
        <v>0</v>
      </c>
      <c r="AP1392" s="183">
        <f>Assets!H41</f>
        <v>0</v>
      </c>
      <c r="AQ1392" s="183">
        <f>Assets!I41</f>
        <v>0</v>
      </c>
      <c r="AR1392" s="183">
        <f>Assets!K41</f>
        <v>0</v>
      </c>
      <c r="AS1392" s="183">
        <f>Assets!L41</f>
        <v>0</v>
      </c>
      <c r="AT1392" s="183">
        <f>Assets!M41</f>
        <v>0</v>
      </c>
      <c r="AU1392" s="183">
        <f>Assets!O41</f>
        <v>0</v>
      </c>
      <c r="AV1392" s="183">
        <f>Assets!P41</f>
        <v>0</v>
      </c>
      <c r="AW1392" s="183">
        <f>Assets!Q41</f>
        <v>0</v>
      </c>
      <c r="AX1392" s="183">
        <f>Assets!S41</f>
        <v>0</v>
      </c>
      <c r="AY1392" s="183">
        <f>Assets!T41</f>
        <v>0</v>
      </c>
      <c r="AZ1392" s="183">
        <f>Assets!U41</f>
        <v>0</v>
      </c>
      <c r="BA1392" s="183">
        <f>Assets!W41</f>
        <v>0</v>
      </c>
      <c r="BB1392" s="183">
        <f>Assets!X41</f>
        <v>0</v>
      </c>
      <c r="BC1392" s="266">
        <f>Assets!Y41</f>
        <v>0</v>
      </c>
    </row>
    <row r="1393" spans="1:55" ht="12.75" customHeight="1" x14ac:dyDescent="0.2">
      <c r="A1393" s="191" t="str">
        <f>Labels!B307</f>
        <v>Building B</v>
      </c>
      <c r="B1393" s="192">
        <f>IF(B1398&lt;=0,0,IF(Inputs!I374="None",0,IF(Inputs!I374="SYD",SYD(B1309,B1324,B1314*12,B1398),MIN(0-B1324,MAX(SLN(B1309,B1324,B1314*12))))))</f>
        <v>0</v>
      </c>
      <c r="C1393" s="192">
        <f>IF(C1398&lt;=0,0,IF(Inputs!I374="None",0,IF(Inputs!I374="SYD",SYD(B1309,B1324,B1314*12,C1398),MIN(B1408-B1324,MAX(SLN(B1309,B1324,B1314*12))))))</f>
        <v>0</v>
      </c>
      <c r="D1393" s="192">
        <f>IF(D1398&lt;=0,0,IF(Inputs!I374="None",0,IF(Inputs!I374="SYD",SYD(B1309,B1324,B1314*12,D1398),MIN(C1408-B1324,MAX(SLN(B1309,B1324,B1314*12))))))</f>
        <v>0</v>
      </c>
      <c r="E1393" s="192">
        <f>IF(E1398&lt;=0,0,IF(Inputs!I374="None",0,IF(Inputs!I374="SYD",SYD(B1309,B1324,B1314*12,E1398),MIN(D1408-B1324,MAX(SLN(B1309,B1324,B1314*12))))))</f>
        <v>0</v>
      </c>
      <c r="F1393" s="192">
        <f>IF(F1398&lt;=0,0,IF(Inputs!I374="None",0,IF(Inputs!I374="SYD",SYD(B1309,B1324,B1314*12,F1398),MIN(E1408-B1324,MAX(SLN(B1309,B1324,B1314*12))))))</f>
        <v>0</v>
      </c>
      <c r="G1393" s="192">
        <f>IF(G1398&lt;=0,0,IF(Inputs!I374="None",0,IF(Inputs!I374="SYD",SYD(B1309,B1324,B1314*12,G1398),MIN(F1408-B1324,MAX(SLN(B1309,B1324,B1314*12))))))</f>
        <v>0</v>
      </c>
      <c r="H1393" s="192">
        <f>IF(H1398&lt;=0,0,IF(Inputs!I374="None",0,IF(Inputs!I374="SYD",SYD(B1309,B1324,B1314*12,H1398),MIN(G1408-B1324,MAX(SLN(B1309,B1324,B1314*12))))))</f>
        <v>0</v>
      </c>
      <c r="I1393" s="192">
        <f>IF(I1398&lt;=0,0,IF(Inputs!I374="None",0,IF(Inputs!I374="SYD",SYD(B1309,B1324,B1314*12,I1398),MIN(H1408-B1324,MAX(SLN(B1309,B1324,B1314*12))))))</f>
        <v>0</v>
      </c>
      <c r="J1393" s="192">
        <f>IF(J1398&lt;=0,0,IF(Inputs!I374="None",0,IF(Inputs!I374="SYD",SYD(B1309,B1324,B1314*12,J1398),MIN(I1408-B1324,MAX(SLN(B1309,B1324,B1314*12))))))</f>
        <v>0</v>
      </c>
      <c r="K1393" s="192">
        <f>IF(K1398&lt;=0,0,IF(Inputs!I374="None",0,IF(Inputs!I374="SYD",SYD(B1309,B1324,B1314*12,K1398),MIN(J1408-B1324,MAX(SLN(B1309,B1324,B1314*12))))))</f>
        <v>0</v>
      </c>
      <c r="L1393" s="192">
        <f>IF(L1398&lt;=0,0,IF(Inputs!I374="None",0,IF(Inputs!I374="SYD",SYD(B1309,B1324,B1314*12,L1398),MIN(K1408-B1324,MAX(SLN(B1309,B1324,B1314*12))))))</f>
        <v>0</v>
      </c>
      <c r="M1393" s="192">
        <f>IF(M1398&lt;=0,0,IF(Inputs!I374="None",0,IF(Inputs!I374="SYD",SYD(B1309,B1324,B1314*12,M1398),MIN(L1408-B1324,MAX(SLN(B1309,B1324,B1314*12))))))</f>
        <v>0</v>
      </c>
      <c r="N1393" s="192">
        <f>IF(N1398&lt;=0,0,IF(Inputs!I374="None",0,IF(Inputs!I374="SYD",SYD(B1309,B1324,B1314*12,N1398),MIN(M1408-B1324,MAX(SLN(B1309,B1324,B1314*12))))))</f>
        <v>0</v>
      </c>
      <c r="O1393" s="192">
        <f>IF(O1398&lt;=0,0,IF(Inputs!I374="None",0,IF(Inputs!I374="SYD",SYD(B1309,B1324,B1314*12,O1398),MIN(N1408-B1324,MAX(SLN(B1309,B1324,B1314*12))))))</f>
        <v>0</v>
      </c>
      <c r="P1393" s="192">
        <f>IF(P1398&lt;=0,0,IF(Inputs!I374="None",0,IF(Inputs!I374="SYD",SYD(B1309,B1324,B1314*12,P1398),MIN(O1408-B1324,MAX(SLN(B1309,B1324,B1314*12))))))</f>
        <v>0</v>
      </c>
      <c r="Q1393" s="192">
        <f>IF(Q1398&lt;=0,0,IF(Inputs!I374="None",0,IF(Inputs!I374="SYD",SYD(B1309,B1324,B1314*12,Q1398),MIN(P1408-B1324,MAX(SLN(B1309,B1324,B1314*12))))))</f>
        <v>0</v>
      </c>
      <c r="R1393" s="192">
        <f>IF(R1398&lt;=0,0,IF(Inputs!I374="None",0,IF(Inputs!I374="SYD",SYD(B1309,B1324,B1314*12,R1398),MIN(Q1408-B1324,MAX(SLN(B1309,B1324,B1314*12))))))</f>
        <v>0</v>
      </c>
      <c r="S1393" s="192">
        <f>IF(S1398&lt;=0,0,IF(Inputs!I374="None",0,IF(Inputs!I374="SYD",SYD(B1309,B1324,B1314*12,S1398),MIN(R1408-B1324,MAX(SLN(B1309,B1324,B1314*12))))))</f>
        <v>0</v>
      </c>
      <c r="T1393" s="192">
        <f>IF(T1398&lt;=0,0,IF(Inputs!I374="None",0,IF(Inputs!I374="SYD",SYD(B1309,B1324,B1314*12,T1398),MIN(S1408-B1324,MAX(SLN(B1309,B1324,B1314*12))))))</f>
        <v>0</v>
      </c>
      <c r="U1393" s="192">
        <f>IF(U1398&lt;=0,0,IF(Inputs!I374="None",0,IF(Inputs!I374="SYD",SYD(B1309,B1324,B1314*12,U1398),MIN(T1408-B1324,MAX(SLN(B1309,B1324,B1314*12))))))</f>
        <v>0</v>
      </c>
      <c r="V1393" s="192">
        <f>IF(V1398&lt;=0,0,IF(Inputs!I374="None",0,IF(Inputs!I374="SYD",SYD(B1309,B1324,B1314*12,V1398),MIN(U1408-B1324,MAX(SLN(B1309,B1324,B1314*12))))))</f>
        <v>0</v>
      </c>
      <c r="W1393" s="192">
        <f>IF(W1398&lt;=0,0,IF(Inputs!I374="None",0,IF(Inputs!I374="SYD",SYD(B1309,B1324,B1314*12,W1398),MIN(V1408-B1324,MAX(SLN(B1309,B1324,B1314*12))))))</f>
        <v>0</v>
      </c>
      <c r="X1393" s="192">
        <f>IF(X1398&lt;=0,0,IF(Inputs!I374="None",0,IF(Inputs!I374="SYD",SYD(B1309,B1324,B1314*12,X1398),MIN(W1408-B1324,MAX(SLN(B1309,B1324,B1314*12))))))</f>
        <v>0</v>
      </c>
      <c r="Y1393" s="192">
        <f>IF(Y1398&lt;=0,0,IF(Inputs!I374="None",0,IF(Inputs!I374="SYD",SYD(B1309,B1324,B1314*12,Y1398),MIN(X1408-B1324,MAX(SLN(B1309,B1324,B1314*12))))))</f>
        <v>0</v>
      </c>
      <c r="Z1393" s="192">
        <f>IF(Z1398&lt;=0,0,IF(Inputs!I374="None",0,IF(Inputs!I374="SYD",SYD(B1309,B1324,B1314*12,Z1398),MIN(Y1408-B1324,MAX(SLN(B1309,B1324,B1314*12))))))</f>
        <v>0</v>
      </c>
      <c r="AA1393" s="192">
        <f>IF(AA1398&lt;=0,0,IF(Inputs!I374="None",0,IF(Inputs!I374="SYD",SYD(B1309,B1324,B1314*12,AA1398),MIN(Z1408-B1324,MAX(SLN(B1309,B1324,B1314*12))))))</f>
        <v>0</v>
      </c>
      <c r="AB1393" s="192">
        <f>IF(AB1398&lt;=0,0,IF(Inputs!I374="None",0,IF(Inputs!I374="SYD",SYD(B1309,B1324,B1314*12,AB1398),MIN(AA1408-B1324,MAX(SLN(B1309,B1324,B1314*12))))))</f>
        <v>0</v>
      </c>
      <c r="AC1393" s="192">
        <f>IF(AC1398&lt;=0,0,IF(Inputs!I374="None",0,IF(Inputs!I374="SYD",SYD(B1309,B1324,B1314*12,AC1398),MIN(AB1408-B1324,MAX(SLN(B1309,B1324,B1314*12))))))</f>
        <v>0</v>
      </c>
      <c r="AD1393" s="192">
        <f>IF(AD1398&lt;=0,0,IF(Inputs!I374="None",0,IF(Inputs!I374="SYD",SYD(B1309,B1324,B1314*12,AD1398),MIN(AC1408-B1324,MAX(SLN(B1309,B1324,B1314*12))))))</f>
        <v>0</v>
      </c>
      <c r="AE1393" s="192">
        <f>IF(AE1398&lt;=0,0,IF(Inputs!I374="None",0,IF(Inputs!I374="SYD",SYD(B1309,B1324,B1314*12,AE1398),MIN(AD1408-B1324,MAX(SLN(B1309,B1324,B1314*12))))))</f>
        <v>0</v>
      </c>
      <c r="AF1393" s="192">
        <f>IF(AF1398&lt;=0,0,IF(Inputs!I374="None",0,IF(Inputs!I374="SYD",SYD(B1309,B1324,B1314*12,AF1398),MIN(AE1408-B1324,MAX(SLN(B1309,B1324,B1314*12))))))</f>
        <v>0</v>
      </c>
      <c r="AG1393" s="192">
        <f>IF(AG1398&lt;=0,0,IF(Inputs!I374="None",0,IF(Inputs!I374="SYD",SYD(B1309,B1324,B1314*12,AG1398),MIN(AF1408-B1324,MAX(SLN(B1309,B1324,B1314*12))))))</f>
        <v>0</v>
      </c>
      <c r="AH1393" s="192">
        <f>IF(AH1398&lt;=0,0,IF(Inputs!I374="None",0,IF(Inputs!I374="SYD",SYD(B1309,B1324,B1314*12,AH1398),MIN(AG1408-B1324,MAX(SLN(B1309,B1324,B1314*12))))))</f>
        <v>0</v>
      </c>
      <c r="AI1393" s="192">
        <f>IF(AI1398&lt;=0,0,IF(Inputs!I374="None",0,IF(Inputs!I374="SYD",SYD(B1309,B1324,B1314*12,AI1398),MIN(AH1408-B1324,MAX(SLN(B1309,B1324,B1314*12))))))</f>
        <v>0</v>
      </c>
      <c r="AJ1393" s="192">
        <f>IF(AJ1398&lt;=0,0,IF(Inputs!I374="None",0,IF(Inputs!I374="SYD",SYD(B1309,B1324,B1314*12,AJ1398),MIN(AI1408-B1324,MAX(SLN(B1309,B1324,B1314*12))))))</f>
        <v>0</v>
      </c>
      <c r="AK1393" s="192">
        <f>Assets!B42</f>
        <v>0</v>
      </c>
      <c r="AL1393" s="192">
        <f>Assets!C42</f>
        <v>0</v>
      </c>
      <c r="AM1393" s="192">
        <f>Assets!D42</f>
        <v>0</v>
      </c>
      <c r="AN1393" s="192">
        <f>Assets!E42</f>
        <v>0</v>
      </c>
      <c r="AO1393" s="192">
        <f>Assets!G42</f>
        <v>0</v>
      </c>
      <c r="AP1393" s="192">
        <f>Assets!H42</f>
        <v>0</v>
      </c>
      <c r="AQ1393" s="192">
        <f>Assets!I42</f>
        <v>0</v>
      </c>
      <c r="AR1393" s="192">
        <f>Assets!K42</f>
        <v>0</v>
      </c>
      <c r="AS1393" s="192">
        <f>Assets!L42</f>
        <v>0</v>
      </c>
      <c r="AT1393" s="192">
        <f>Assets!M42</f>
        <v>0</v>
      </c>
      <c r="AU1393" s="192">
        <f>Assets!O42</f>
        <v>0</v>
      </c>
      <c r="AV1393" s="192">
        <f>Assets!P42</f>
        <v>0</v>
      </c>
      <c r="AW1393" s="192">
        <f>Assets!Q42</f>
        <v>0</v>
      </c>
      <c r="AX1393" s="192">
        <f>Assets!S42</f>
        <v>0</v>
      </c>
      <c r="AY1393" s="192">
        <f>Assets!T42</f>
        <v>0</v>
      </c>
      <c r="AZ1393" s="192">
        <f>Assets!U42</f>
        <v>0</v>
      </c>
      <c r="BA1393" s="192">
        <f>Assets!W42</f>
        <v>0</v>
      </c>
      <c r="BB1393" s="192">
        <f>Assets!X42</f>
        <v>0</v>
      </c>
      <c r="BC1393" s="280">
        <f>Assets!Y42</f>
        <v>0</v>
      </c>
    </row>
    <row r="1394" spans="1:55" ht="12.75" customHeight="1" x14ac:dyDescent="0.2">
      <c r="A1394" s="97" t="str">
        <f>Labels!C305</f>
        <v>Total</v>
      </c>
      <c r="B1394" s="194">
        <f t="shared" ref="B1394:AG1394" si="670">SUM(B1392:B1393)</f>
        <v>0</v>
      </c>
      <c r="C1394" s="194">
        <f t="shared" si="670"/>
        <v>0</v>
      </c>
      <c r="D1394" s="194">
        <f t="shared" si="670"/>
        <v>0</v>
      </c>
      <c r="E1394" s="194">
        <f t="shared" si="670"/>
        <v>0</v>
      </c>
      <c r="F1394" s="194">
        <f t="shared" si="670"/>
        <v>0</v>
      </c>
      <c r="G1394" s="194">
        <f t="shared" si="670"/>
        <v>0</v>
      </c>
      <c r="H1394" s="194">
        <f t="shared" si="670"/>
        <v>0</v>
      </c>
      <c r="I1394" s="194">
        <f t="shared" si="670"/>
        <v>0</v>
      </c>
      <c r="J1394" s="194">
        <f t="shared" si="670"/>
        <v>0</v>
      </c>
      <c r="K1394" s="194">
        <f t="shared" si="670"/>
        <v>0</v>
      </c>
      <c r="L1394" s="194">
        <f t="shared" si="670"/>
        <v>0</v>
      </c>
      <c r="M1394" s="194">
        <f t="shared" si="670"/>
        <v>0</v>
      </c>
      <c r="N1394" s="194">
        <f t="shared" si="670"/>
        <v>0</v>
      </c>
      <c r="O1394" s="194">
        <f t="shared" si="670"/>
        <v>0</v>
      </c>
      <c r="P1394" s="194">
        <f t="shared" si="670"/>
        <v>0</v>
      </c>
      <c r="Q1394" s="194">
        <f t="shared" si="670"/>
        <v>0</v>
      </c>
      <c r="R1394" s="194">
        <f t="shared" si="670"/>
        <v>0</v>
      </c>
      <c r="S1394" s="194">
        <f t="shared" si="670"/>
        <v>0</v>
      </c>
      <c r="T1394" s="194">
        <f t="shared" si="670"/>
        <v>0</v>
      </c>
      <c r="U1394" s="194">
        <f t="shared" si="670"/>
        <v>0</v>
      </c>
      <c r="V1394" s="194">
        <f t="shared" si="670"/>
        <v>0</v>
      </c>
      <c r="W1394" s="194">
        <f t="shared" si="670"/>
        <v>0</v>
      </c>
      <c r="X1394" s="194">
        <f t="shared" si="670"/>
        <v>0</v>
      </c>
      <c r="Y1394" s="194">
        <f t="shared" si="670"/>
        <v>0</v>
      </c>
      <c r="Z1394" s="194">
        <f t="shared" si="670"/>
        <v>0</v>
      </c>
      <c r="AA1394" s="194">
        <f t="shared" si="670"/>
        <v>0</v>
      </c>
      <c r="AB1394" s="194">
        <f t="shared" si="670"/>
        <v>0</v>
      </c>
      <c r="AC1394" s="194">
        <f t="shared" si="670"/>
        <v>0</v>
      </c>
      <c r="AD1394" s="194">
        <f t="shared" si="670"/>
        <v>0</v>
      </c>
      <c r="AE1394" s="194">
        <f t="shared" si="670"/>
        <v>0</v>
      </c>
      <c r="AF1394" s="194">
        <f t="shared" si="670"/>
        <v>0</v>
      </c>
      <c r="AG1394" s="194">
        <f t="shared" si="670"/>
        <v>0</v>
      </c>
      <c r="AH1394" s="194">
        <f t="shared" ref="AH1394:BC1394" si="671">SUM(AH1392:AH1393)</f>
        <v>0</v>
      </c>
      <c r="AI1394" s="194">
        <f t="shared" si="671"/>
        <v>0</v>
      </c>
      <c r="AJ1394" s="194">
        <f t="shared" si="671"/>
        <v>0</v>
      </c>
      <c r="AK1394" s="194">
        <f t="shared" si="671"/>
        <v>0</v>
      </c>
      <c r="AL1394" s="194">
        <f t="shared" si="671"/>
        <v>0</v>
      </c>
      <c r="AM1394" s="194">
        <f t="shared" si="671"/>
        <v>0</v>
      </c>
      <c r="AN1394" s="194">
        <f t="shared" si="671"/>
        <v>0</v>
      </c>
      <c r="AO1394" s="194">
        <f t="shared" si="671"/>
        <v>0</v>
      </c>
      <c r="AP1394" s="194">
        <f t="shared" si="671"/>
        <v>0</v>
      </c>
      <c r="AQ1394" s="194">
        <f t="shared" si="671"/>
        <v>0</v>
      </c>
      <c r="AR1394" s="194">
        <f t="shared" si="671"/>
        <v>0</v>
      </c>
      <c r="AS1394" s="194">
        <f t="shared" si="671"/>
        <v>0</v>
      </c>
      <c r="AT1394" s="194">
        <f t="shared" si="671"/>
        <v>0</v>
      </c>
      <c r="AU1394" s="194">
        <f t="shared" si="671"/>
        <v>0</v>
      </c>
      <c r="AV1394" s="194">
        <f t="shared" si="671"/>
        <v>0</v>
      </c>
      <c r="AW1394" s="194">
        <f t="shared" si="671"/>
        <v>0</v>
      </c>
      <c r="AX1394" s="194">
        <f t="shared" si="671"/>
        <v>0</v>
      </c>
      <c r="AY1394" s="194">
        <f t="shared" si="671"/>
        <v>0</v>
      </c>
      <c r="AZ1394" s="194">
        <f t="shared" si="671"/>
        <v>0</v>
      </c>
      <c r="BA1394" s="194">
        <f t="shared" si="671"/>
        <v>0</v>
      </c>
      <c r="BB1394" s="194">
        <f t="shared" si="671"/>
        <v>0</v>
      </c>
      <c r="BC1394" s="351">
        <f t="shared" si="671"/>
        <v>0</v>
      </c>
    </row>
    <row r="1395" spans="1:55" ht="12.75" customHeight="1" x14ac:dyDescent="0.2">
      <c r="A1395" s="1" t="str">
        <f>Labels!B268</f>
        <v>Deprec Period</v>
      </c>
    </row>
    <row r="1396" spans="1:55" ht="12.75" customHeight="1" x14ac:dyDescent="0.2">
      <c r="B1396" s="9" t="str">
        <f>'(FnCalls 1)'!F5</f>
        <v>MMM 2007</v>
      </c>
      <c r="C1396" s="10" t="str">
        <f>'(FnCalls 1)'!F6</f>
        <v>MMM 2007</v>
      </c>
      <c r="D1396" s="10" t="str">
        <f>'(FnCalls 1)'!F7</f>
        <v>MMM 2007</v>
      </c>
      <c r="E1396" s="10" t="str">
        <f>'(FnCalls 1)'!F8</f>
        <v>MMM 2007</v>
      </c>
      <c r="F1396" s="10" t="str">
        <f>'(FnCalls 1)'!F9</f>
        <v>MMM 2007</v>
      </c>
      <c r="G1396" s="10" t="str">
        <f>'(FnCalls 1)'!F10</f>
        <v>MMM 2007</v>
      </c>
      <c r="H1396" s="10" t="str">
        <f>'(FnCalls 1)'!F11</f>
        <v>MMM 2007</v>
      </c>
      <c r="I1396" s="10" t="str">
        <f>'(FnCalls 1)'!F12</f>
        <v>MMM 2007</v>
      </c>
      <c r="J1396" s="10" t="str">
        <f>'(FnCalls 1)'!F13</f>
        <v>MMM 2007</v>
      </c>
      <c r="K1396" s="10" t="str">
        <f>'(FnCalls 1)'!F14</f>
        <v>MMM 2007</v>
      </c>
      <c r="L1396" s="10" t="str">
        <f>'(FnCalls 1)'!F15</f>
        <v>MMM 2007</v>
      </c>
      <c r="M1396" s="10" t="str">
        <f>'(FnCalls 1)'!F16</f>
        <v>MMM 2007</v>
      </c>
      <c r="N1396" s="10" t="str">
        <f>'(FnCalls 1)'!F17</f>
        <v>MMM 2008</v>
      </c>
      <c r="O1396" s="10" t="str">
        <f>'(FnCalls 1)'!F18</f>
        <v>MMM 2008</v>
      </c>
      <c r="P1396" s="10" t="str">
        <f>'(FnCalls 1)'!F19</f>
        <v>MMM 2008</v>
      </c>
      <c r="Q1396" s="10" t="str">
        <f>'(FnCalls 1)'!F20</f>
        <v>MMM 2008</v>
      </c>
      <c r="R1396" s="10" t="str">
        <f>'(FnCalls 1)'!F21</f>
        <v>MMM 2008</v>
      </c>
      <c r="S1396" s="10" t="str">
        <f>'(FnCalls 1)'!F22</f>
        <v>MMM 2008</v>
      </c>
      <c r="T1396" s="10" t="str">
        <f>'(FnCalls 1)'!F23</f>
        <v>MMM 2008</v>
      </c>
      <c r="U1396" s="10" t="str">
        <f>'(FnCalls 1)'!F24</f>
        <v>MMM 2008</v>
      </c>
      <c r="V1396" s="10" t="str">
        <f>'(FnCalls 1)'!F25</f>
        <v>MMM 2008</v>
      </c>
      <c r="W1396" s="10" t="str">
        <f>'(FnCalls 1)'!F26</f>
        <v>MMM 2008</v>
      </c>
      <c r="X1396" s="10" t="str">
        <f>'(FnCalls 1)'!F27</f>
        <v>MMM 2008</v>
      </c>
      <c r="Y1396" s="10" t="str">
        <f>'(FnCalls 1)'!F28</f>
        <v>MMM 2008</v>
      </c>
      <c r="Z1396" s="10" t="str">
        <f>'(FnCalls 1)'!F29</f>
        <v>MMM 2009</v>
      </c>
      <c r="AA1396" s="10" t="str">
        <f>'(FnCalls 1)'!F30</f>
        <v>MMM 2009</v>
      </c>
      <c r="AB1396" s="10" t="str">
        <f>'(FnCalls 1)'!F31</f>
        <v>MMM 2009</v>
      </c>
      <c r="AC1396" s="10" t="str">
        <f>'(FnCalls 1)'!F32</f>
        <v>MMM 2009</v>
      </c>
      <c r="AD1396" s="10" t="str">
        <f>'(FnCalls 1)'!F33</f>
        <v>MMM 2009</v>
      </c>
      <c r="AE1396" s="10" t="str">
        <f>'(FnCalls 1)'!F34</f>
        <v>MMM 2009</v>
      </c>
      <c r="AF1396" s="10" t="str">
        <f>'(FnCalls 1)'!F35</f>
        <v>MMM 2009</v>
      </c>
      <c r="AG1396" s="10" t="str">
        <f>'(FnCalls 1)'!F36</f>
        <v>MMM 2009</v>
      </c>
      <c r="AH1396" s="10" t="str">
        <f>'(FnCalls 1)'!F37</f>
        <v>MMM 2009</v>
      </c>
      <c r="AI1396" s="10" t="str">
        <f>'(FnCalls 1)'!F38</f>
        <v>MMM 2009</v>
      </c>
      <c r="AJ1396" s="10" t="str">
        <f>'(FnCalls 1)'!F39</f>
        <v>MMM 2009</v>
      </c>
      <c r="AK1396" s="10" t="str">
        <f>'(FnCalls 1)'!F40</f>
        <v>MMM 2009</v>
      </c>
      <c r="AL1396" s="10" t="str">
        <f>'(FnCalls 1)'!F41</f>
        <v>MMM 2010</v>
      </c>
      <c r="AM1396" s="10" t="str">
        <f>'(FnCalls 1)'!F42</f>
        <v>MMM 2010</v>
      </c>
      <c r="AN1396" s="10" t="str">
        <f>'(FnCalls 1)'!F43</f>
        <v>MMM 2010</v>
      </c>
      <c r="AO1396" s="10" t="str">
        <f>'(FnCalls 1)'!F44</f>
        <v>MMM 2010</v>
      </c>
      <c r="AP1396" s="10" t="str">
        <f>'(FnCalls 1)'!F45</f>
        <v>MMM 2010</v>
      </c>
      <c r="AQ1396" s="10" t="str">
        <f>'(FnCalls 1)'!F46</f>
        <v>MMM 2010</v>
      </c>
      <c r="AR1396" s="10" t="str">
        <f>'(FnCalls 1)'!F47</f>
        <v>MMM 2010</v>
      </c>
      <c r="AS1396" s="10" t="str">
        <f>'(FnCalls 1)'!F48</f>
        <v>MMM 2010</v>
      </c>
      <c r="AT1396" s="10" t="str">
        <f>'(FnCalls 1)'!F49</f>
        <v>MMM 2010</v>
      </c>
      <c r="AU1396" s="10" t="str">
        <f>'(FnCalls 1)'!F50</f>
        <v>MMM 2010</v>
      </c>
      <c r="AV1396" s="10" t="str">
        <f>'(FnCalls 1)'!F51</f>
        <v>MMM 2010</v>
      </c>
      <c r="AW1396" s="10" t="str">
        <f>'(FnCalls 1)'!F52</f>
        <v>MMM 2010</v>
      </c>
      <c r="AX1396" s="10" t="str">
        <f>'(FnCalls 1)'!F53</f>
        <v>MMM 2011</v>
      </c>
      <c r="AY1396" s="10" t="str">
        <f>'(FnCalls 1)'!F54</f>
        <v>MMM 2011</v>
      </c>
      <c r="AZ1396" s="10" t="str">
        <f>'(FnCalls 1)'!F55</f>
        <v>MMM 2011</v>
      </c>
      <c r="BA1396" s="10" t="str">
        <f>'(FnCalls 1)'!F56</f>
        <v>MMM 2011</v>
      </c>
      <c r="BB1396" s="10" t="str">
        <f>'(FnCalls 1)'!F57</f>
        <v>MMM 2011</v>
      </c>
      <c r="BC1396" s="11" t="str">
        <f>'(FnCalls 1)'!F58</f>
        <v>MMM 2011</v>
      </c>
    </row>
    <row r="1397" spans="1:55" ht="12.75" customHeight="1" x14ac:dyDescent="0.2">
      <c r="A1397" s="182" t="str">
        <f>Labels!B306</f>
        <v>Building A</v>
      </c>
      <c r="B1397" s="212">
        <f>IF(Inputs!G373&lt;=DATE(YEAR('(FnCalls 1)'!A5),MONTH('(FnCalls 1)'!A5)+TRUNC((-B1402)),DAY('(FnCalls 1)'!A5)),-2,IF('(FnCalls 1)'!A5&lt;=Inputs!G373,IF(Inputs!G373&lt;='(FnCalls 1)'!A6-1,0,-1),-1+1))</f>
        <v>-1</v>
      </c>
      <c r="C1397" s="212">
        <f>IF(Inputs!G373&lt;=DATE(YEAR('(FnCalls 1)'!A6),MONTH('(FnCalls 1)'!A6)+TRUNC((-B1402)),DAY('(FnCalls 1)'!A6)),-2,IF('(FnCalls 1)'!A6&lt;=Inputs!G373,IF(Inputs!G373&lt;='(FnCalls 1)'!A7-1,0,-1),B1397+1))</f>
        <v>-1</v>
      </c>
      <c r="D1397" s="212">
        <f>IF(Inputs!G373&lt;=DATE(YEAR('(FnCalls 1)'!A7),MONTH('(FnCalls 1)'!A7)+TRUNC((-B1402)),DAY('(FnCalls 1)'!A7)),-2,IF('(FnCalls 1)'!A7&lt;=Inputs!G373,IF(Inputs!G373&lt;='(FnCalls 1)'!A8-1,0,-1),C1397+1))</f>
        <v>-1</v>
      </c>
      <c r="E1397" s="212">
        <f>IF(Inputs!G373&lt;=DATE(YEAR('(FnCalls 1)'!A8),MONTH('(FnCalls 1)'!A8)+TRUNC((-B1402)),DAY('(FnCalls 1)'!A8)),-2,IF('(FnCalls 1)'!A8&lt;=Inputs!G373,IF(Inputs!G373&lt;='(FnCalls 1)'!A9-1,0,-1),D1397+1))</f>
        <v>-1</v>
      </c>
      <c r="F1397" s="212">
        <f>IF(Inputs!G373&lt;=DATE(YEAR('(FnCalls 1)'!A9),MONTH('(FnCalls 1)'!A9)+TRUNC((-B1402)),DAY('(FnCalls 1)'!A9)),-2,IF('(FnCalls 1)'!A9&lt;=Inputs!G373,IF(Inputs!G373&lt;='(FnCalls 1)'!A10-1,0,-1),E1397+1))</f>
        <v>-1</v>
      </c>
      <c r="G1397" s="212">
        <f>IF(Inputs!G373&lt;=DATE(YEAR('(FnCalls 1)'!A10),MONTH('(FnCalls 1)'!A10)+TRUNC((-B1402)),DAY('(FnCalls 1)'!A10)),-2,IF('(FnCalls 1)'!A10&lt;=Inputs!G373,IF(Inputs!G373&lt;='(FnCalls 1)'!A11-1,0,-1),F1397+1))</f>
        <v>-1</v>
      </c>
      <c r="H1397" s="212">
        <f>IF(Inputs!G373&lt;=DATE(YEAR('(FnCalls 1)'!A11),MONTH('(FnCalls 1)'!A11)+TRUNC((-B1402)),DAY('(FnCalls 1)'!A11)),-2,IF('(FnCalls 1)'!A11&lt;=Inputs!G373,IF(Inputs!G373&lt;='(FnCalls 1)'!A12-1,0,-1),G1397+1))</f>
        <v>-1</v>
      </c>
      <c r="I1397" s="212">
        <f>IF(Inputs!G373&lt;=DATE(YEAR('(FnCalls 1)'!A12),MONTH('(FnCalls 1)'!A12)+TRUNC((-B1402)),DAY('(FnCalls 1)'!A12)),-2,IF('(FnCalls 1)'!A12&lt;=Inputs!G373,IF(Inputs!G373&lt;='(FnCalls 1)'!A13-1,0,-1),H1397+1))</f>
        <v>-1</v>
      </c>
      <c r="J1397" s="212">
        <f>IF(Inputs!G373&lt;=DATE(YEAR('(FnCalls 1)'!A13),MONTH('(FnCalls 1)'!A13)+TRUNC((-B1402)),DAY('(FnCalls 1)'!A13)),-2,IF('(FnCalls 1)'!A13&lt;=Inputs!G373,IF(Inputs!G373&lt;='(FnCalls 1)'!A14-1,0,-1),I1397+1))</f>
        <v>-1</v>
      </c>
      <c r="K1397" s="212">
        <f>IF(Inputs!G373&lt;=DATE(YEAR('(FnCalls 1)'!A14),MONTH('(FnCalls 1)'!A14)+TRUNC((-B1402)),DAY('(FnCalls 1)'!A14)),-2,IF('(FnCalls 1)'!A14&lt;=Inputs!G373,IF(Inputs!G373&lt;='(FnCalls 1)'!A15-1,0,-1),J1397+1))</f>
        <v>-1</v>
      </c>
      <c r="L1397" s="212">
        <f>IF(Inputs!G373&lt;=DATE(YEAR('(FnCalls 1)'!A15),MONTH('(FnCalls 1)'!A15)+TRUNC((-B1402)),DAY('(FnCalls 1)'!A15)),-2,IF('(FnCalls 1)'!A15&lt;=Inputs!G373,IF(Inputs!G373&lt;='(FnCalls 1)'!A16-1,0,-1),K1397+1))</f>
        <v>-1</v>
      </c>
      <c r="M1397" s="212">
        <f>IF(Inputs!G373&lt;=DATE(YEAR('(FnCalls 1)'!A16),MONTH('(FnCalls 1)'!A16)+TRUNC((-B1402)),DAY('(FnCalls 1)'!A16)),-2,IF('(FnCalls 1)'!A16&lt;=Inputs!G373,IF(Inputs!G373&lt;='(FnCalls 1)'!A17-1,0,-1),L1397+1))</f>
        <v>-1</v>
      </c>
      <c r="N1397" s="212">
        <f>IF(Inputs!G373&lt;=DATE(YEAR('(FnCalls 1)'!A17),MONTH('(FnCalls 1)'!A17)+TRUNC((-B1402)),DAY('(FnCalls 1)'!A17)),-2,IF('(FnCalls 1)'!A17&lt;=Inputs!G373,IF(Inputs!G373&lt;='(FnCalls 1)'!A18-1,0,-1),M1397+1))</f>
        <v>-1</v>
      </c>
      <c r="O1397" s="212">
        <f>IF(Inputs!G373&lt;=DATE(YEAR('(FnCalls 1)'!A18),MONTH('(FnCalls 1)'!A18)+TRUNC((-B1402)),DAY('(FnCalls 1)'!A18)),-2,IF('(FnCalls 1)'!A18&lt;=Inputs!G373,IF(Inputs!G373&lt;='(FnCalls 1)'!A19-1,0,-1),N1397+1))</f>
        <v>-1</v>
      </c>
      <c r="P1397" s="212">
        <f>IF(Inputs!G373&lt;=DATE(YEAR('(FnCalls 1)'!A19),MONTH('(FnCalls 1)'!A19)+TRUNC((-B1402)),DAY('(FnCalls 1)'!A19)),-2,IF('(FnCalls 1)'!A19&lt;=Inputs!G373,IF(Inputs!G373&lt;='(FnCalls 1)'!A20-1,0,-1),O1397+1))</f>
        <v>-1</v>
      </c>
      <c r="Q1397" s="212">
        <f>IF(Inputs!G373&lt;=DATE(YEAR('(FnCalls 1)'!A20),MONTH('(FnCalls 1)'!A20)+TRUNC((-B1402)),DAY('(FnCalls 1)'!A20)),-2,IF('(FnCalls 1)'!A20&lt;=Inputs!G373,IF(Inputs!G373&lt;='(FnCalls 1)'!A21-1,0,-1),P1397+1))</f>
        <v>-1</v>
      </c>
      <c r="R1397" s="212">
        <f>IF(Inputs!G373&lt;=DATE(YEAR('(FnCalls 1)'!A21),MONTH('(FnCalls 1)'!A21)+TRUNC((-B1402)),DAY('(FnCalls 1)'!A21)),-2,IF('(FnCalls 1)'!A21&lt;=Inputs!G373,IF(Inputs!G373&lt;='(FnCalls 1)'!A22-1,0,-1),Q1397+1))</f>
        <v>-1</v>
      </c>
      <c r="S1397" s="212">
        <f>IF(Inputs!G373&lt;=DATE(YEAR('(FnCalls 1)'!A22),MONTH('(FnCalls 1)'!A22)+TRUNC((-B1402)),DAY('(FnCalls 1)'!A22)),-2,IF('(FnCalls 1)'!A22&lt;=Inputs!G373,IF(Inputs!G373&lt;='(FnCalls 1)'!A23-1,0,-1),R1397+1))</f>
        <v>-1</v>
      </c>
      <c r="T1397" s="212">
        <f>IF(Inputs!G373&lt;=DATE(YEAR('(FnCalls 1)'!A23),MONTH('(FnCalls 1)'!A23)+TRUNC((-B1402)),DAY('(FnCalls 1)'!A23)),-2,IF('(FnCalls 1)'!A23&lt;=Inputs!G373,IF(Inputs!G373&lt;='(FnCalls 1)'!A24-1,0,-1),S1397+1))</f>
        <v>-1</v>
      </c>
      <c r="U1397" s="212">
        <f>IF(Inputs!G373&lt;=DATE(YEAR('(FnCalls 1)'!A24),MONTH('(FnCalls 1)'!A24)+TRUNC((-B1402)),DAY('(FnCalls 1)'!A24)),-2,IF('(FnCalls 1)'!A24&lt;=Inputs!G373,IF(Inputs!G373&lt;='(FnCalls 1)'!A25-1,0,-1),T1397+1))</f>
        <v>-1</v>
      </c>
      <c r="V1397" s="212">
        <f>IF(Inputs!G373&lt;=DATE(YEAR('(FnCalls 1)'!A25),MONTH('(FnCalls 1)'!A25)+TRUNC((-B1402)),DAY('(FnCalls 1)'!A25)),-2,IF('(FnCalls 1)'!A25&lt;=Inputs!G373,IF(Inputs!G373&lt;='(FnCalls 1)'!A26-1,0,-1),U1397+1))</f>
        <v>-1</v>
      </c>
      <c r="W1397" s="212">
        <f>IF(Inputs!G373&lt;=DATE(YEAR('(FnCalls 1)'!A26),MONTH('(FnCalls 1)'!A26)+TRUNC((-B1402)),DAY('(FnCalls 1)'!A26)),-2,IF('(FnCalls 1)'!A26&lt;=Inputs!G373,IF(Inputs!G373&lt;='(FnCalls 1)'!A27-1,0,-1),V1397+1))</f>
        <v>-1</v>
      </c>
      <c r="X1397" s="212">
        <f>IF(Inputs!G373&lt;=DATE(YEAR('(FnCalls 1)'!A27),MONTH('(FnCalls 1)'!A27)+TRUNC((-B1402)),DAY('(FnCalls 1)'!A27)),-2,IF('(FnCalls 1)'!A27&lt;=Inputs!G373,IF(Inputs!G373&lt;='(FnCalls 1)'!A28-1,0,-1),W1397+1))</f>
        <v>-1</v>
      </c>
      <c r="Y1397" s="212">
        <f>IF(Inputs!G373&lt;=DATE(YEAR('(FnCalls 1)'!A28),MONTH('(FnCalls 1)'!A28)+TRUNC((-B1402)),DAY('(FnCalls 1)'!A28)),-2,IF('(FnCalls 1)'!A28&lt;=Inputs!G373,IF(Inputs!G373&lt;='(FnCalls 1)'!A29-1,0,-1),X1397+1))</f>
        <v>-1</v>
      </c>
      <c r="Z1397" s="212">
        <f>IF(Inputs!G373&lt;=DATE(YEAR('(FnCalls 1)'!A29),MONTH('(FnCalls 1)'!A29)+TRUNC((-B1402)),DAY('(FnCalls 1)'!A29)),-2,IF('(FnCalls 1)'!A29&lt;=Inputs!G373,IF(Inputs!G373&lt;='(FnCalls 1)'!A30-1,0,-1),Y1397+1))</f>
        <v>-1</v>
      </c>
      <c r="AA1397" s="212">
        <f>IF(Inputs!G373&lt;=DATE(YEAR('(FnCalls 1)'!A30),MONTH('(FnCalls 1)'!A30)+TRUNC((-B1402)),DAY('(FnCalls 1)'!A30)),-2,IF('(FnCalls 1)'!A30&lt;=Inputs!G373,IF(Inputs!G373&lt;='(FnCalls 1)'!A31-1,0,-1),Z1397+1))</f>
        <v>-1</v>
      </c>
      <c r="AB1397" s="212">
        <f>IF(Inputs!G373&lt;=DATE(YEAR('(FnCalls 1)'!A31),MONTH('(FnCalls 1)'!A31)+TRUNC((-B1402)),DAY('(FnCalls 1)'!A31)),-2,IF('(FnCalls 1)'!A31&lt;=Inputs!G373,IF(Inputs!G373&lt;='(FnCalls 1)'!A32-1,0,-1),AA1397+1))</f>
        <v>-1</v>
      </c>
      <c r="AC1397" s="212">
        <f>IF(Inputs!G373&lt;=DATE(YEAR('(FnCalls 1)'!A32),MONTH('(FnCalls 1)'!A32)+TRUNC((-B1402)),DAY('(FnCalls 1)'!A32)),-2,IF('(FnCalls 1)'!A32&lt;=Inputs!G373,IF(Inputs!G373&lt;='(FnCalls 1)'!A33-1,0,-1),AB1397+1))</f>
        <v>-1</v>
      </c>
      <c r="AD1397" s="212">
        <f>IF(Inputs!G373&lt;=DATE(YEAR('(FnCalls 1)'!A33),MONTH('(FnCalls 1)'!A33)+TRUNC((-B1402)),DAY('(FnCalls 1)'!A33)),-2,IF('(FnCalls 1)'!A33&lt;=Inputs!G373,IF(Inputs!G373&lt;='(FnCalls 1)'!A34-1,0,-1),AC1397+1))</f>
        <v>-1</v>
      </c>
      <c r="AE1397" s="212">
        <f>IF(Inputs!G373&lt;=DATE(YEAR('(FnCalls 1)'!A34),MONTH('(FnCalls 1)'!A34)+TRUNC((-B1402)),DAY('(FnCalls 1)'!A34)),-2,IF('(FnCalls 1)'!A34&lt;=Inputs!G373,IF(Inputs!G373&lt;='(FnCalls 1)'!A35-1,0,-1),AD1397+1))</f>
        <v>-1</v>
      </c>
      <c r="AF1397" s="212">
        <f>IF(Inputs!G373&lt;=DATE(YEAR('(FnCalls 1)'!A35),MONTH('(FnCalls 1)'!A35)+TRUNC((-B1402)),DAY('(FnCalls 1)'!A35)),-2,IF('(FnCalls 1)'!A35&lt;=Inputs!G373,IF(Inputs!G373&lt;='(FnCalls 1)'!A36-1,0,-1),AE1397+1))</f>
        <v>-1</v>
      </c>
      <c r="AG1397" s="212">
        <f>IF(Inputs!G373&lt;=DATE(YEAR('(FnCalls 1)'!A36),MONTH('(FnCalls 1)'!A36)+TRUNC((-B1402)),DAY('(FnCalls 1)'!A36)),-2,IF('(FnCalls 1)'!A36&lt;=Inputs!G373,IF(Inputs!G373&lt;='(FnCalls 1)'!A37-1,0,-1),AF1397+1))</f>
        <v>-1</v>
      </c>
      <c r="AH1397" s="212">
        <f>IF(Inputs!G373&lt;=DATE(YEAR('(FnCalls 1)'!A37),MONTH('(FnCalls 1)'!A37)+TRUNC((-B1402)),DAY('(FnCalls 1)'!A37)),-2,IF('(FnCalls 1)'!A37&lt;=Inputs!G373,IF(Inputs!G373&lt;='(FnCalls 1)'!A38-1,0,-1),AG1397+1))</f>
        <v>-1</v>
      </c>
      <c r="AI1397" s="212">
        <f>IF(Inputs!G373&lt;=DATE(YEAR('(FnCalls 1)'!A38),MONTH('(FnCalls 1)'!A38)+TRUNC((-B1402)),DAY('(FnCalls 1)'!A38)),-2,IF('(FnCalls 1)'!A38&lt;=Inputs!G373,IF(Inputs!G373&lt;='(FnCalls 1)'!A39-1,0,-1),AH1397+1))</f>
        <v>-1</v>
      </c>
      <c r="AJ1397" s="212">
        <f>IF(Inputs!G373&lt;=DATE(YEAR('(FnCalls 1)'!A39),MONTH('(FnCalls 1)'!A39)+TRUNC((-B1402)),DAY('(FnCalls 1)'!A39)),-2,IF('(FnCalls 1)'!A39&lt;=Inputs!G373,IF(Inputs!G373&lt;='(FnCalls 1)'!A40-1,0,-1),AI1397+1))</f>
        <v>-1</v>
      </c>
      <c r="AK1397" s="212">
        <f>IF(Inputs!G373&lt;=DATE(YEAR('(FnCalls 1)'!A40),MONTH('(FnCalls 1)'!A40)+TRUNC((-B1402)),DAY('(FnCalls 1)'!A40)),-2,IF('(FnCalls 1)'!A40&lt;=Inputs!G373,IF(Inputs!G373&lt;='(FnCalls 1)'!A41-1,0,-1),AJ1397+1))</f>
        <v>-1</v>
      </c>
      <c r="AL1397" s="212">
        <f>IF(Inputs!G373&lt;=DATE(YEAR('(FnCalls 1)'!A41),MONTH('(FnCalls 1)'!A41)+TRUNC((-B1402)),DAY('(FnCalls 1)'!A41)),-2,IF('(FnCalls 1)'!A41&lt;=Inputs!G373,IF(Inputs!G373&lt;='(FnCalls 1)'!A42-1,0,-1),AK1397+1))</f>
        <v>-1</v>
      </c>
      <c r="AM1397" s="212">
        <f>IF(Inputs!G373&lt;=DATE(YEAR('(FnCalls 1)'!A42),MONTH('(FnCalls 1)'!A42)+TRUNC((-B1402)),DAY('(FnCalls 1)'!A42)),-2,IF('(FnCalls 1)'!A42&lt;=Inputs!G373,IF(Inputs!G373&lt;='(FnCalls 1)'!A43-1,0,-1),AL1397+1))</f>
        <v>-1</v>
      </c>
      <c r="AN1397" s="212">
        <f>IF(Inputs!G373&lt;=DATE(YEAR('(FnCalls 1)'!A43),MONTH('(FnCalls 1)'!A43)+TRUNC((-B1402)),DAY('(FnCalls 1)'!A43)),-2,IF('(FnCalls 1)'!A43&lt;=Inputs!G373,IF(Inputs!G373&lt;='(FnCalls 1)'!A44-1,0,-1),AM1397+1))</f>
        <v>-1</v>
      </c>
      <c r="AO1397" s="212">
        <f>IF(Inputs!G373&lt;=DATE(YEAR('(FnCalls 1)'!A44),MONTH('(FnCalls 1)'!A44)+TRUNC((-B1402)),DAY('(FnCalls 1)'!A44)),-2,IF('(FnCalls 1)'!A44&lt;=Inputs!G373,IF(Inputs!G373&lt;='(FnCalls 1)'!A45-1,0,-1),AN1397+1))</f>
        <v>-1</v>
      </c>
      <c r="AP1397" s="212">
        <f>IF(Inputs!G373&lt;=DATE(YEAR('(FnCalls 1)'!A45),MONTH('(FnCalls 1)'!A45)+TRUNC((-B1402)),DAY('(FnCalls 1)'!A45)),-2,IF('(FnCalls 1)'!A45&lt;=Inputs!G373,IF(Inputs!G373&lt;='(FnCalls 1)'!A46-1,0,-1),AO1397+1))</f>
        <v>-1</v>
      </c>
      <c r="AQ1397" s="212">
        <f>IF(Inputs!G373&lt;=DATE(YEAR('(FnCalls 1)'!A46),MONTH('(FnCalls 1)'!A46)+TRUNC((-B1402)),DAY('(FnCalls 1)'!A46)),-2,IF('(FnCalls 1)'!A46&lt;=Inputs!G373,IF(Inputs!G373&lt;='(FnCalls 1)'!A47-1,0,-1),AP1397+1))</f>
        <v>-1</v>
      </c>
      <c r="AR1397" s="212">
        <f>IF(Inputs!G373&lt;=DATE(YEAR('(FnCalls 1)'!A47),MONTH('(FnCalls 1)'!A47)+TRUNC((-B1402)),DAY('(FnCalls 1)'!A47)),-2,IF('(FnCalls 1)'!A47&lt;=Inputs!G373,IF(Inputs!G373&lt;='(FnCalls 1)'!A48-1,0,-1),AQ1397+1))</f>
        <v>-1</v>
      </c>
      <c r="AS1397" s="212">
        <f>IF(Inputs!G373&lt;=DATE(YEAR('(FnCalls 1)'!A48),MONTH('(FnCalls 1)'!A48)+TRUNC((-B1402)),DAY('(FnCalls 1)'!A48)),-2,IF('(FnCalls 1)'!A48&lt;=Inputs!G373,IF(Inputs!G373&lt;='(FnCalls 1)'!A49-1,0,-1),AR1397+1))</f>
        <v>-1</v>
      </c>
      <c r="AT1397" s="212">
        <f>IF(Inputs!G373&lt;=DATE(YEAR('(FnCalls 1)'!A49),MONTH('(FnCalls 1)'!A49)+TRUNC((-B1402)),DAY('(FnCalls 1)'!A49)),-2,IF('(FnCalls 1)'!A49&lt;=Inputs!G373,IF(Inputs!G373&lt;='(FnCalls 1)'!A50-1,0,-1),AS1397+1))</f>
        <v>-1</v>
      </c>
      <c r="AU1397" s="212">
        <f>IF(Inputs!G373&lt;=DATE(YEAR('(FnCalls 1)'!A50),MONTH('(FnCalls 1)'!A50)+TRUNC((-B1402)),DAY('(FnCalls 1)'!A50)),-2,IF('(FnCalls 1)'!A50&lt;=Inputs!G373,IF(Inputs!G373&lt;='(FnCalls 1)'!A51-1,0,-1),AT1397+1))</f>
        <v>-1</v>
      </c>
      <c r="AV1397" s="212">
        <f>IF(Inputs!G373&lt;=DATE(YEAR('(FnCalls 1)'!A51),MONTH('(FnCalls 1)'!A51)+TRUNC((-B1402)),DAY('(FnCalls 1)'!A51)),-2,IF('(FnCalls 1)'!A51&lt;=Inputs!G373,IF(Inputs!G373&lt;='(FnCalls 1)'!A52-1,0,-1),AU1397+1))</f>
        <v>-1</v>
      </c>
      <c r="AW1397" s="212">
        <f>IF(Inputs!G373&lt;=DATE(YEAR('(FnCalls 1)'!A52),MONTH('(FnCalls 1)'!A52)+TRUNC((-B1402)),DAY('(FnCalls 1)'!A52)),-2,IF('(FnCalls 1)'!A52&lt;=Inputs!G373,IF(Inputs!G373&lt;='(FnCalls 1)'!A53-1,0,-1),AV1397+1))</f>
        <v>-1</v>
      </c>
      <c r="AX1397" s="212">
        <f>IF(Inputs!G373&lt;=DATE(YEAR('(FnCalls 1)'!A53),MONTH('(FnCalls 1)'!A53)+TRUNC((-B1402)),DAY('(FnCalls 1)'!A53)),-2,IF('(FnCalls 1)'!A53&lt;=Inputs!G373,IF(Inputs!G373&lt;='(FnCalls 1)'!A54-1,0,-1),AW1397+1))</f>
        <v>-1</v>
      </c>
      <c r="AY1397" s="212">
        <f>IF(Inputs!G373&lt;=DATE(YEAR('(FnCalls 1)'!A54),MONTH('(FnCalls 1)'!A54)+TRUNC((-B1402)),DAY('(FnCalls 1)'!A54)),-2,IF('(FnCalls 1)'!A54&lt;=Inputs!G373,IF(Inputs!G373&lt;='(FnCalls 1)'!A55-1,0,-1),AX1397+1))</f>
        <v>-1</v>
      </c>
      <c r="AZ1397" s="212">
        <f>IF(Inputs!G373&lt;=DATE(YEAR('(FnCalls 1)'!A55),MONTH('(FnCalls 1)'!A55)+TRUNC((-B1402)),DAY('(FnCalls 1)'!A55)),-2,IF('(FnCalls 1)'!A55&lt;=Inputs!G373,IF(Inputs!G373&lt;='(FnCalls 1)'!A56-1,0,-1),AY1397+1))</f>
        <v>-1</v>
      </c>
      <c r="BA1397" s="212">
        <f>IF(Inputs!G373&lt;=DATE(YEAR('(FnCalls 1)'!A56),MONTH('(FnCalls 1)'!A56)+TRUNC((-B1402)),DAY('(FnCalls 1)'!A56)),-2,IF('(FnCalls 1)'!A56&lt;=Inputs!G373,IF(Inputs!G373&lt;='(FnCalls 1)'!A57-1,0,-1),AZ1397+1))</f>
        <v>-1</v>
      </c>
      <c r="BB1397" s="212">
        <f>IF(Inputs!G373&lt;=DATE(YEAR('(FnCalls 1)'!A57),MONTH('(FnCalls 1)'!A57)+TRUNC((-B1402)),DAY('(FnCalls 1)'!A57)),-2,IF('(FnCalls 1)'!A57&lt;=Inputs!G373,IF(Inputs!G373&lt;='(FnCalls 1)'!A58-1,0,-1),BA1397+1))</f>
        <v>-1</v>
      </c>
      <c r="BC1397" s="376">
        <f>IF(Inputs!G373&lt;=DATE(YEAR('(FnCalls 1)'!A58),MONTH('(FnCalls 1)'!A58)+TRUNC((-B1402)),DAY('(FnCalls 1)'!A58)),-2,IF('(FnCalls 1)'!A58&lt;=Inputs!G373,IF(Inputs!G373&lt;='(FnCalls 1)'!A59-1,0,-1),BB1397+1))</f>
        <v>-1</v>
      </c>
    </row>
    <row r="1398" spans="1:55" ht="12.75" customHeight="1" x14ac:dyDescent="0.2">
      <c r="A1398" s="191" t="str">
        <f>Labels!B307</f>
        <v>Building B</v>
      </c>
      <c r="B1398" s="314">
        <f>IF(Inputs!G374&lt;=DATE(YEAR('(FnCalls 1)'!A5),MONTH('(FnCalls 1)'!A5)+TRUNC((-B1403)),DAY('(FnCalls 1)'!A5)),-2,IF('(FnCalls 1)'!A5&lt;=Inputs!G374,IF(Inputs!G374&lt;='(FnCalls 1)'!A6-1,0,-1),-1+1))</f>
        <v>-1</v>
      </c>
      <c r="C1398" s="314">
        <f>IF(Inputs!G374&lt;=DATE(YEAR('(FnCalls 1)'!A6),MONTH('(FnCalls 1)'!A6)+TRUNC((-B1403)),DAY('(FnCalls 1)'!A6)),-2,IF('(FnCalls 1)'!A6&lt;=Inputs!G374,IF(Inputs!G374&lt;='(FnCalls 1)'!A7-1,0,-1),B1398+1))</f>
        <v>-1</v>
      </c>
      <c r="D1398" s="314">
        <f>IF(Inputs!G374&lt;=DATE(YEAR('(FnCalls 1)'!A7),MONTH('(FnCalls 1)'!A7)+TRUNC((-B1403)),DAY('(FnCalls 1)'!A7)),-2,IF('(FnCalls 1)'!A7&lt;=Inputs!G374,IF(Inputs!G374&lt;='(FnCalls 1)'!A8-1,0,-1),C1398+1))</f>
        <v>-1</v>
      </c>
      <c r="E1398" s="314">
        <f>IF(Inputs!G374&lt;=DATE(YEAR('(FnCalls 1)'!A8),MONTH('(FnCalls 1)'!A8)+TRUNC((-B1403)),DAY('(FnCalls 1)'!A8)),-2,IF('(FnCalls 1)'!A8&lt;=Inputs!G374,IF(Inputs!G374&lt;='(FnCalls 1)'!A9-1,0,-1),D1398+1))</f>
        <v>-1</v>
      </c>
      <c r="F1398" s="314">
        <f>IF(Inputs!G374&lt;=DATE(YEAR('(FnCalls 1)'!A9),MONTH('(FnCalls 1)'!A9)+TRUNC((-B1403)),DAY('(FnCalls 1)'!A9)),-2,IF('(FnCalls 1)'!A9&lt;=Inputs!G374,IF(Inputs!G374&lt;='(FnCalls 1)'!A10-1,0,-1),E1398+1))</f>
        <v>-1</v>
      </c>
      <c r="G1398" s="314">
        <f>IF(Inputs!G374&lt;=DATE(YEAR('(FnCalls 1)'!A10),MONTH('(FnCalls 1)'!A10)+TRUNC((-B1403)),DAY('(FnCalls 1)'!A10)),-2,IF('(FnCalls 1)'!A10&lt;=Inputs!G374,IF(Inputs!G374&lt;='(FnCalls 1)'!A11-1,0,-1),F1398+1))</f>
        <v>-1</v>
      </c>
      <c r="H1398" s="314">
        <f>IF(Inputs!G374&lt;=DATE(YEAR('(FnCalls 1)'!A11),MONTH('(FnCalls 1)'!A11)+TRUNC((-B1403)),DAY('(FnCalls 1)'!A11)),-2,IF('(FnCalls 1)'!A11&lt;=Inputs!G374,IF(Inputs!G374&lt;='(FnCalls 1)'!A12-1,0,-1),G1398+1))</f>
        <v>-1</v>
      </c>
      <c r="I1398" s="314">
        <f>IF(Inputs!G374&lt;=DATE(YEAR('(FnCalls 1)'!A12),MONTH('(FnCalls 1)'!A12)+TRUNC((-B1403)),DAY('(FnCalls 1)'!A12)),-2,IF('(FnCalls 1)'!A12&lt;=Inputs!G374,IF(Inputs!G374&lt;='(FnCalls 1)'!A13-1,0,-1),H1398+1))</f>
        <v>-1</v>
      </c>
      <c r="J1398" s="314">
        <f>IF(Inputs!G374&lt;=DATE(YEAR('(FnCalls 1)'!A13),MONTH('(FnCalls 1)'!A13)+TRUNC((-B1403)),DAY('(FnCalls 1)'!A13)),-2,IF('(FnCalls 1)'!A13&lt;=Inputs!G374,IF(Inputs!G374&lt;='(FnCalls 1)'!A14-1,0,-1),I1398+1))</f>
        <v>-1</v>
      </c>
      <c r="K1398" s="314">
        <f>IF(Inputs!G374&lt;=DATE(YEAR('(FnCalls 1)'!A14),MONTH('(FnCalls 1)'!A14)+TRUNC((-B1403)),DAY('(FnCalls 1)'!A14)),-2,IF('(FnCalls 1)'!A14&lt;=Inputs!G374,IF(Inputs!G374&lt;='(FnCalls 1)'!A15-1,0,-1),J1398+1))</f>
        <v>-1</v>
      </c>
      <c r="L1398" s="314">
        <f>IF(Inputs!G374&lt;=DATE(YEAR('(FnCalls 1)'!A15),MONTH('(FnCalls 1)'!A15)+TRUNC((-B1403)),DAY('(FnCalls 1)'!A15)),-2,IF('(FnCalls 1)'!A15&lt;=Inputs!G374,IF(Inputs!G374&lt;='(FnCalls 1)'!A16-1,0,-1),K1398+1))</f>
        <v>-1</v>
      </c>
      <c r="M1398" s="314">
        <f>IF(Inputs!G374&lt;=DATE(YEAR('(FnCalls 1)'!A16),MONTH('(FnCalls 1)'!A16)+TRUNC((-B1403)),DAY('(FnCalls 1)'!A16)),-2,IF('(FnCalls 1)'!A16&lt;=Inputs!G374,IF(Inputs!G374&lt;='(FnCalls 1)'!A17-1,0,-1),L1398+1))</f>
        <v>-1</v>
      </c>
      <c r="N1398" s="314">
        <f>IF(Inputs!G374&lt;=DATE(YEAR('(FnCalls 1)'!A17),MONTH('(FnCalls 1)'!A17)+TRUNC((-B1403)),DAY('(FnCalls 1)'!A17)),-2,IF('(FnCalls 1)'!A17&lt;=Inputs!G374,IF(Inputs!G374&lt;='(FnCalls 1)'!A18-1,0,-1),M1398+1))</f>
        <v>-1</v>
      </c>
      <c r="O1398" s="314">
        <f>IF(Inputs!G374&lt;=DATE(YEAR('(FnCalls 1)'!A18),MONTH('(FnCalls 1)'!A18)+TRUNC((-B1403)),DAY('(FnCalls 1)'!A18)),-2,IF('(FnCalls 1)'!A18&lt;=Inputs!G374,IF(Inputs!G374&lt;='(FnCalls 1)'!A19-1,0,-1),N1398+1))</f>
        <v>-1</v>
      </c>
      <c r="P1398" s="314">
        <f>IF(Inputs!G374&lt;=DATE(YEAR('(FnCalls 1)'!A19),MONTH('(FnCalls 1)'!A19)+TRUNC((-B1403)),DAY('(FnCalls 1)'!A19)),-2,IF('(FnCalls 1)'!A19&lt;=Inputs!G374,IF(Inputs!G374&lt;='(FnCalls 1)'!A20-1,0,-1),O1398+1))</f>
        <v>-1</v>
      </c>
      <c r="Q1398" s="314">
        <f>IF(Inputs!G374&lt;=DATE(YEAR('(FnCalls 1)'!A20),MONTH('(FnCalls 1)'!A20)+TRUNC((-B1403)),DAY('(FnCalls 1)'!A20)),-2,IF('(FnCalls 1)'!A20&lt;=Inputs!G374,IF(Inputs!G374&lt;='(FnCalls 1)'!A21-1,0,-1),P1398+1))</f>
        <v>-1</v>
      </c>
      <c r="R1398" s="314">
        <f>IF(Inputs!G374&lt;=DATE(YEAR('(FnCalls 1)'!A21),MONTH('(FnCalls 1)'!A21)+TRUNC((-B1403)),DAY('(FnCalls 1)'!A21)),-2,IF('(FnCalls 1)'!A21&lt;=Inputs!G374,IF(Inputs!G374&lt;='(FnCalls 1)'!A22-1,0,-1),Q1398+1))</f>
        <v>-1</v>
      </c>
      <c r="S1398" s="314">
        <f>IF(Inputs!G374&lt;=DATE(YEAR('(FnCalls 1)'!A22),MONTH('(FnCalls 1)'!A22)+TRUNC((-B1403)),DAY('(FnCalls 1)'!A22)),-2,IF('(FnCalls 1)'!A22&lt;=Inputs!G374,IF(Inputs!G374&lt;='(FnCalls 1)'!A23-1,0,-1),R1398+1))</f>
        <v>-1</v>
      </c>
      <c r="T1398" s="314">
        <f>IF(Inputs!G374&lt;=DATE(YEAR('(FnCalls 1)'!A23),MONTH('(FnCalls 1)'!A23)+TRUNC((-B1403)),DAY('(FnCalls 1)'!A23)),-2,IF('(FnCalls 1)'!A23&lt;=Inputs!G374,IF(Inputs!G374&lt;='(FnCalls 1)'!A24-1,0,-1),S1398+1))</f>
        <v>-1</v>
      </c>
      <c r="U1398" s="314">
        <f>IF(Inputs!G374&lt;=DATE(YEAR('(FnCalls 1)'!A24),MONTH('(FnCalls 1)'!A24)+TRUNC((-B1403)),DAY('(FnCalls 1)'!A24)),-2,IF('(FnCalls 1)'!A24&lt;=Inputs!G374,IF(Inputs!G374&lt;='(FnCalls 1)'!A25-1,0,-1),T1398+1))</f>
        <v>-1</v>
      </c>
      <c r="V1398" s="314">
        <f>IF(Inputs!G374&lt;=DATE(YEAR('(FnCalls 1)'!A25),MONTH('(FnCalls 1)'!A25)+TRUNC((-B1403)),DAY('(FnCalls 1)'!A25)),-2,IF('(FnCalls 1)'!A25&lt;=Inputs!G374,IF(Inputs!G374&lt;='(FnCalls 1)'!A26-1,0,-1),U1398+1))</f>
        <v>-1</v>
      </c>
      <c r="W1398" s="314">
        <f>IF(Inputs!G374&lt;=DATE(YEAR('(FnCalls 1)'!A26),MONTH('(FnCalls 1)'!A26)+TRUNC((-B1403)),DAY('(FnCalls 1)'!A26)),-2,IF('(FnCalls 1)'!A26&lt;=Inputs!G374,IF(Inputs!G374&lt;='(FnCalls 1)'!A27-1,0,-1),V1398+1))</f>
        <v>-1</v>
      </c>
      <c r="X1398" s="314">
        <f>IF(Inputs!G374&lt;=DATE(YEAR('(FnCalls 1)'!A27),MONTH('(FnCalls 1)'!A27)+TRUNC((-B1403)),DAY('(FnCalls 1)'!A27)),-2,IF('(FnCalls 1)'!A27&lt;=Inputs!G374,IF(Inputs!G374&lt;='(FnCalls 1)'!A28-1,0,-1),W1398+1))</f>
        <v>-1</v>
      </c>
      <c r="Y1398" s="314">
        <f>IF(Inputs!G374&lt;=DATE(YEAR('(FnCalls 1)'!A28),MONTH('(FnCalls 1)'!A28)+TRUNC((-B1403)),DAY('(FnCalls 1)'!A28)),-2,IF('(FnCalls 1)'!A28&lt;=Inputs!G374,IF(Inputs!G374&lt;='(FnCalls 1)'!A29-1,0,-1),X1398+1))</f>
        <v>-1</v>
      </c>
      <c r="Z1398" s="314">
        <f>IF(Inputs!G374&lt;=DATE(YEAR('(FnCalls 1)'!A29),MONTH('(FnCalls 1)'!A29)+TRUNC((-B1403)),DAY('(FnCalls 1)'!A29)),-2,IF('(FnCalls 1)'!A29&lt;=Inputs!G374,IF(Inputs!G374&lt;='(FnCalls 1)'!A30-1,0,-1),Y1398+1))</f>
        <v>-1</v>
      </c>
      <c r="AA1398" s="314">
        <f>IF(Inputs!G374&lt;=DATE(YEAR('(FnCalls 1)'!A30),MONTH('(FnCalls 1)'!A30)+TRUNC((-B1403)),DAY('(FnCalls 1)'!A30)),-2,IF('(FnCalls 1)'!A30&lt;=Inputs!G374,IF(Inputs!G374&lt;='(FnCalls 1)'!A31-1,0,-1),Z1398+1))</f>
        <v>-1</v>
      </c>
      <c r="AB1398" s="314">
        <f>IF(Inputs!G374&lt;=DATE(YEAR('(FnCalls 1)'!A31),MONTH('(FnCalls 1)'!A31)+TRUNC((-B1403)),DAY('(FnCalls 1)'!A31)),-2,IF('(FnCalls 1)'!A31&lt;=Inputs!G374,IF(Inputs!G374&lt;='(FnCalls 1)'!A32-1,0,-1),AA1398+1))</f>
        <v>-1</v>
      </c>
      <c r="AC1398" s="314">
        <f>IF(Inputs!G374&lt;=DATE(YEAR('(FnCalls 1)'!A32),MONTH('(FnCalls 1)'!A32)+TRUNC((-B1403)),DAY('(FnCalls 1)'!A32)),-2,IF('(FnCalls 1)'!A32&lt;=Inputs!G374,IF(Inputs!G374&lt;='(FnCalls 1)'!A33-1,0,-1),AB1398+1))</f>
        <v>-1</v>
      </c>
      <c r="AD1398" s="314">
        <f>IF(Inputs!G374&lt;=DATE(YEAR('(FnCalls 1)'!A33),MONTH('(FnCalls 1)'!A33)+TRUNC((-B1403)),DAY('(FnCalls 1)'!A33)),-2,IF('(FnCalls 1)'!A33&lt;=Inputs!G374,IF(Inputs!G374&lt;='(FnCalls 1)'!A34-1,0,-1),AC1398+1))</f>
        <v>-1</v>
      </c>
      <c r="AE1398" s="314">
        <f>IF(Inputs!G374&lt;=DATE(YEAR('(FnCalls 1)'!A34),MONTH('(FnCalls 1)'!A34)+TRUNC((-B1403)),DAY('(FnCalls 1)'!A34)),-2,IF('(FnCalls 1)'!A34&lt;=Inputs!G374,IF(Inputs!G374&lt;='(FnCalls 1)'!A35-1,0,-1),AD1398+1))</f>
        <v>-1</v>
      </c>
      <c r="AF1398" s="314">
        <f>IF(Inputs!G374&lt;=DATE(YEAR('(FnCalls 1)'!A35),MONTH('(FnCalls 1)'!A35)+TRUNC((-B1403)),DAY('(FnCalls 1)'!A35)),-2,IF('(FnCalls 1)'!A35&lt;=Inputs!G374,IF(Inputs!G374&lt;='(FnCalls 1)'!A36-1,0,-1),AE1398+1))</f>
        <v>-1</v>
      </c>
      <c r="AG1398" s="314">
        <f>IF(Inputs!G374&lt;=DATE(YEAR('(FnCalls 1)'!A36),MONTH('(FnCalls 1)'!A36)+TRUNC((-B1403)),DAY('(FnCalls 1)'!A36)),-2,IF('(FnCalls 1)'!A36&lt;=Inputs!G374,IF(Inputs!G374&lt;='(FnCalls 1)'!A37-1,0,-1),AF1398+1))</f>
        <v>-1</v>
      </c>
      <c r="AH1398" s="314">
        <f>IF(Inputs!G374&lt;=DATE(YEAR('(FnCalls 1)'!A37),MONTH('(FnCalls 1)'!A37)+TRUNC((-B1403)),DAY('(FnCalls 1)'!A37)),-2,IF('(FnCalls 1)'!A37&lt;=Inputs!G374,IF(Inputs!G374&lt;='(FnCalls 1)'!A38-1,0,-1),AG1398+1))</f>
        <v>-1</v>
      </c>
      <c r="AI1398" s="314">
        <f>IF(Inputs!G374&lt;=DATE(YEAR('(FnCalls 1)'!A38),MONTH('(FnCalls 1)'!A38)+TRUNC((-B1403)),DAY('(FnCalls 1)'!A38)),-2,IF('(FnCalls 1)'!A38&lt;=Inputs!G374,IF(Inputs!G374&lt;='(FnCalls 1)'!A39-1,0,-1),AH1398+1))</f>
        <v>-1</v>
      </c>
      <c r="AJ1398" s="314">
        <f>IF(Inputs!G374&lt;=DATE(YEAR('(FnCalls 1)'!A39),MONTH('(FnCalls 1)'!A39)+TRUNC((-B1403)),DAY('(FnCalls 1)'!A39)),-2,IF('(FnCalls 1)'!A39&lt;=Inputs!G374,IF(Inputs!G374&lt;='(FnCalls 1)'!A40-1,0,-1),AI1398+1))</f>
        <v>-1</v>
      </c>
      <c r="AK1398" s="314">
        <f>IF(Inputs!G374&lt;=DATE(YEAR('(FnCalls 1)'!A40),MONTH('(FnCalls 1)'!A40)+TRUNC((-B1403)),DAY('(FnCalls 1)'!A40)),-2,IF('(FnCalls 1)'!A40&lt;=Inputs!G374,IF(Inputs!G374&lt;='(FnCalls 1)'!A41-1,0,-1),AJ1398+1))</f>
        <v>-1</v>
      </c>
      <c r="AL1398" s="314">
        <f>IF(Inputs!G374&lt;=DATE(YEAR('(FnCalls 1)'!A41),MONTH('(FnCalls 1)'!A41)+TRUNC((-B1403)),DAY('(FnCalls 1)'!A41)),-2,IF('(FnCalls 1)'!A41&lt;=Inputs!G374,IF(Inputs!G374&lt;='(FnCalls 1)'!A42-1,0,-1),AK1398+1))</f>
        <v>-1</v>
      </c>
      <c r="AM1398" s="314">
        <f>IF(Inputs!G374&lt;=DATE(YEAR('(FnCalls 1)'!A42),MONTH('(FnCalls 1)'!A42)+TRUNC((-B1403)),DAY('(FnCalls 1)'!A42)),-2,IF('(FnCalls 1)'!A42&lt;=Inputs!G374,IF(Inputs!G374&lt;='(FnCalls 1)'!A43-1,0,-1),AL1398+1))</f>
        <v>-1</v>
      </c>
      <c r="AN1398" s="314">
        <f>IF(Inputs!G374&lt;=DATE(YEAR('(FnCalls 1)'!A43),MONTH('(FnCalls 1)'!A43)+TRUNC((-B1403)),DAY('(FnCalls 1)'!A43)),-2,IF('(FnCalls 1)'!A43&lt;=Inputs!G374,IF(Inputs!G374&lt;='(FnCalls 1)'!A44-1,0,-1),AM1398+1))</f>
        <v>-1</v>
      </c>
      <c r="AO1398" s="314">
        <f>IF(Inputs!G374&lt;=DATE(YEAR('(FnCalls 1)'!A44),MONTH('(FnCalls 1)'!A44)+TRUNC((-B1403)),DAY('(FnCalls 1)'!A44)),-2,IF('(FnCalls 1)'!A44&lt;=Inputs!G374,IF(Inputs!G374&lt;='(FnCalls 1)'!A45-1,0,-1),AN1398+1))</f>
        <v>-1</v>
      </c>
      <c r="AP1398" s="314">
        <f>IF(Inputs!G374&lt;=DATE(YEAR('(FnCalls 1)'!A45),MONTH('(FnCalls 1)'!A45)+TRUNC((-B1403)),DAY('(FnCalls 1)'!A45)),-2,IF('(FnCalls 1)'!A45&lt;=Inputs!G374,IF(Inputs!G374&lt;='(FnCalls 1)'!A46-1,0,-1),AO1398+1))</f>
        <v>-1</v>
      </c>
      <c r="AQ1398" s="314">
        <f>IF(Inputs!G374&lt;=DATE(YEAR('(FnCalls 1)'!A46),MONTH('(FnCalls 1)'!A46)+TRUNC((-B1403)),DAY('(FnCalls 1)'!A46)),-2,IF('(FnCalls 1)'!A46&lt;=Inputs!G374,IF(Inputs!G374&lt;='(FnCalls 1)'!A47-1,0,-1),AP1398+1))</f>
        <v>-1</v>
      </c>
      <c r="AR1398" s="314">
        <f>IF(Inputs!G374&lt;=DATE(YEAR('(FnCalls 1)'!A47),MONTH('(FnCalls 1)'!A47)+TRUNC((-B1403)),DAY('(FnCalls 1)'!A47)),-2,IF('(FnCalls 1)'!A47&lt;=Inputs!G374,IF(Inputs!G374&lt;='(FnCalls 1)'!A48-1,0,-1),AQ1398+1))</f>
        <v>-1</v>
      </c>
      <c r="AS1398" s="314">
        <f>IF(Inputs!G374&lt;=DATE(YEAR('(FnCalls 1)'!A48),MONTH('(FnCalls 1)'!A48)+TRUNC((-B1403)),DAY('(FnCalls 1)'!A48)),-2,IF('(FnCalls 1)'!A48&lt;=Inputs!G374,IF(Inputs!G374&lt;='(FnCalls 1)'!A49-1,0,-1),AR1398+1))</f>
        <v>-1</v>
      </c>
      <c r="AT1398" s="314">
        <f>IF(Inputs!G374&lt;=DATE(YEAR('(FnCalls 1)'!A49),MONTH('(FnCalls 1)'!A49)+TRUNC((-B1403)),DAY('(FnCalls 1)'!A49)),-2,IF('(FnCalls 1)'!A49&lt;=Inputs!G374,IF(Inputs!G374&lt;='(FnCalls 1)'!A50-1,0,-1),AS1398+1))</f>
        <v>-1</v>
      </c>
      <c r="AU1398" s="314">
        <f>IF(Inputs!G374&lt;=DATE(YEAR('(FnCalls 1)'!A50),MONTH('(FnCalls 1)'!A50)+TRUNC((-B1403)),DAY('(FnCalls 1)'!A50)),-2,IF('(FnCalls 1)'!A50&lt;=Inputs!G374,IF(Inputs!G374&lt;='(FnCalls 1)'!A51-1,0,-1),AT1398+1))</f>
        <v>-1</v>
      </c>
      <c r="AV1398" s="314">
        <f>IF(Inputs!G374&lt;=DATE(YEAR('(FnCalls 1)'!A51),MONTH('(FnCalls 1)'!A51)+TRUNC((-B1403)),DAY('(FnCalls 1)'!A51)),-2,IF('(FnCalls 1)'!A51&lt;=Inputs!G374,IF(Inputs!G374&lt;='(FnCalls 1)'!A52-1,0,-1),AU1398+1))</f>
        <v>-1</v>
      </c>
      <c r="AW1398" s="314">
        <f>IF(Inputs!G374&lt;=DATE(YEAR('(FnCalls 1)'!A52),MONTH('(FnCalls 1)'!A52)+TRUNC((-B1403)),DAY('(FnCalls 1)'!A52)),-2,IF('(FnCalls 1)'!A52&lt;=Inputs!G374,IF(Inputs!G374&lt;='(FnCalls 1)'!A53-1,0,-1),AV1398+1))</f>
        <v>-1</v>
      </c>
      <c r="AX1398" s="314">
        <f>IF(Inputs!G374&lt;=DATE(YEAR('(FnCalls 1)'!A53),MONTH('(FnCalls 1)'!A53)+TRUNC((-B1403)),DAY('(FnCalls 1)'!A53)),-2,IF('(FnCalls 1)'!A53&lt;=Inputs!G374,IF(Inputs!G374&lt;='(FnCalls 1)'!A54-1,0,-1),AW1398+1))</f>
        <v>-1</v>
      </c>
      <c r="AY1398" s="314">
        <f>IF(Inputs!G374&lt;=DATE(YEAR('(FnCalls 1)'!A54),MONTH('(FnCalls 1)'!A54)+TRUNC((-B1403)),DAY('(FnCalls 1)'!A54)),-2,IF('(FnCalls 1)'!A54&lt;=Inputs!G374,IF(Inputs!G374&lt;='(FnCalls 1)'!A55-1,0,-1),AX1398+1))</f>
        <v>-1</v>
      </c>
      <c r="AZ1398" s="314">
        <f>IF(Inputs!G374&lt;=DATE(YEAR('(FnCalls 1)'!A55),MONTH('(FnCalls 1)'!A55)+TRUNC((-B1403)),DAY('(FnCalls 1)'!A55)),-2,IF('(FnCalls 1)'!A55&lt;=Inputs!G374,IF(Inputs!G374&lt;='(FnCalls 1)'!A56-1,0,-1),AY1398+1))</f>
        <v>-1</v>
      </c>
      <c r="BA1398" s="314">
        <f>IF(Inputs!G374&lt;=DATE(YEAR('(FnCalls 1)'!A56),MONTH('(FnCalls 1)'!A56)+TRUNC((-B1403)),DAY('(FnCalls 1)'!A56)),-2,IF('(FnCalls 1)'!A56&lt;=Inputs!G374,IF(Inputs!G374&lt;='(FnCalls 1)'!A57-1,0,-1),AZ1398+1))</f>
        <v>-1</v>
      </c>
      <c r="BB1398" s="314">
        <f>IF(Inputs!G374&lt;=DATE(YEAR('(FnCalls 1)'!A57),MONTH('(FnCalls 1)'!A57)+TRUNC((-B1403)),DAY('(FnCalls 1)'!A57)),-2,IF('(FnCalls 1)'!A57&lt;=Inputs!G374,IF(Inputs!G374&lt;='(FnCalls 1)'!A58-1,0,-1),BA1398+1))</f>
        <v>-1</v>
      </c>
      <c r="BC1398" s="377">
        <f>IF(Inputs!G374&lt;=DATE(YEAR('(FnCalls 1)'!A58),MONTH('(FnCalls 1)'!A58)+TRUNC((-B1403)),DAY('(FnCalls 1)'!A58)),-2,IF('(FnCalls 1)'!A58&lt;=Inputs!G374,IF(Inputs!G374&lt;='(FnCalls 1)'!A59-1,0,-1),BB1398+1))</f>
        <v>-1</v>
      </c>
    </row>
    <row r="1399" spans="1:55" ht="12.75" customHeight="1" x14ac:dyDescent="0.2">
      <c r="A1399" s="97" t="str">
        <f>Labels!C305</f>
        <v>Total</v>
      </c>
      <c r="B1399" s="368">
        <f t="shared" ref="B1399:AG1399" si="672">SUM(B1397:B1398)</f>
        <v>-2</v>
      </c>
      <c r="C1399" s="368">
        <f t="shared" si="672"/>
        <v>-2</v>
      </c>
      <c r="D1399" s="368">
        <f t="shared" si="672"/>
        <v>-2</v>
      </c>
      <c r="E1399" s="368">
        <f t="shared" si="672"/>
        <v>-2</v>
      </c>
      <c r="F1399" s="368">
        <f t="shared" si="672"/>
        <v>-2</v>
      </c>
      <c r="G1399" s="368">
        <f t="shared" si="672"/>
        <v>-2</v>
      </c>
      <c r="H1399" s="368">
        <f t="shared" si="672"/>
        <v>-2</v>
      </c>
      <c r="I1399" s="368">
        <f t="shared" si="672"/>
        <v>-2</v>
      </c>
      <c r="J1399" s="368">
        <f t="shared" si="672"/>
        <v>-2</v>
      </c>
      <c r="K1399" s="368">
        <f t="shared" si="672"/>
        <v>-2</v>
      </c>
      <c r="L1399" s="368">
        <f t="shared" si="672"/>
        <v>-2</v>
      </c>
      <c r="M1399" s="368">
        <f t="shared" si="672"/>
        <v>-2</v>
      </c>
      <c r="N1399" s="368">
        <f t="shared" si="672"/>
        <v>-2</v>
      </c>
      <c r="O1399" s="368">
        <f t="shared" si="672"/>
        <v>-2</v>
      </c>
      <c r="P1399" s="368">
        <f t="shared" si="672"/>
        <v>-2</v>
      </c>
      <c r="Q1399" s="368">
        <f t="shared" si="672"/>
        <v>-2</v>
      </c>
      <c r="R1399" s="368">
        <f t="shared" si="672"/>
        <v>-2</v>
      </c>
      <c r="S1399" s="368">
        <f t="shared" si="672"/>
        <v>-2</v>
      </c>
      <c r="T1399" s="368">
        <f t="shared" si="672"/>
        <v>-2</v>
      </c>
      <c r="U1399" s="368">
        <f t="shared" si="672"/>
        <v>-2</v>
      </c>
      <c r="V1399" s="368">
        <f t="shared" si="672"/>
        <v>-2</v>
      </c>
      <c r="W1399" s="368">
        <f t="shared" si="672"/>
        <v>-2</v>
      </c>
      <c r="X1399" s="368">
        <f t="shared" si="672"/>
        <v>-2</v>
      </c>
      <c r="Y1399" s="368">
        <f t="shared" si="672"/>
        <v>-2</v>
      </c>
      <c r="Z1399" s="368">
        <f t="shared" si="672"/>
        <v>-2</v>
      </c>
      <c r="AA1399" s="368">
        <f t="shared" si="672"/>
        <v>-2</v>
      </c>
      <c r="AB1399" s="368">
        <f t="shared" si="672"/>
        <v>-2</v>
      </c>
      <c r="AC1399" s="368">
        <f t="shared" si="672"/>
        <v>-2</v>
      </c>
      <c r="AD1399" s="368">
        <f t="shared" si="672"/>
        <v>-2</v>
      </c>
      <c r="AE1399" s="368">
        <f t="shared" si="672"/>
        <v>-2</v>
      </c>
      <c r="AF1399" s="368">
        <f t="shared" si="672"/>
        <v>-2</v>
      </c>
      <c r="AG1399" s="368">
        <f t="shared" si="672"/>
        <v>-2</v>
      </c>
      <c r="AH1399" s="368">
        <f t="shared" ref="AH1399:BC1399" si="673">SUM(AH1397:AH1398)</f>
        <v>-2</v>
      </c>
      <c r="AI1399" s="368">
        <f t="shared" si="673"/>
        <v>-2</v>
      </c>
      <c r="AJ1399" s="368">
        <f t="shared" si="673"/>
        <v>-2</v>
      </c>
      <c r="AK1399" s="368">
        <f t="shared" si="673"/>
        <v>-2</v>
      </c>
      <c r="AL1399" s="368">
        <f t="shared" si="673"/>
        <v>-2</v>
      </c>
      <c r="AM1399" s="368">
        <f t="shared" si="673"/>
        <v>-2</v>
      </c>
      <c r="AN1399" s="368">
        <f t="shared" si="673"/>
        <v>-2</v>
      </c>
      <c r="AO1399" s="368">
        <f t="shared" si="673"/>
        <v>-2</v>
      </c>
      <c r="AP1399" s="368">
        <f t="shared" si="673"/>
        <v>-2</v>
      </c>
      <c r="AQ1399" s="368">
        <f t="shared" si="673"/>
        <v>-2</v>
      </c>
      <c r="AR1399" s="368">
        <f t="shared" si="673"/>
        <v>-2</v>
      </c>
      <c r="AS1399" s="368">
        <f t="shared" si="673"/>
        <v>-2</v>
      </c>
      <c r="AT1399" s="368">
        <f t="shared" si="673"/>
        <v>-2</v>
      </c>
      <c r="AU1399" s="368">
        <f t="shared" si="673"/>
        <v>-2</v>
      </c>
      <c r="AV1399" s="368">
        <f t="shared" si="673"/>
        <v>-2</v>
      </c>
      <c r="AW1399" s="368">
        <f t="shared" si="673"/>
        <v>-2</v>
      </c>
      <c r="AX1399" s="368">
        <f t="shared" si="673"/>
        <v>-2</v>
      </c>
      <c r="AY1399" s="368">
        <f t="shared" si="673"/>
        <v>-2</v>
      </c>
      <c r="AZ1399" s="368">
        <f t="shared" si="673"/>
        <v>-2</v>
      </c>
      <c r="BA1399" s="368">
        <f t="shared" si="673"/>
        <v>-2</v>
      </c>
      <c r="BB1399" s="368">
        <f t="shared" si="673"/>
        <v>-2</v>
      </c>
      <c r="BC1399" s="369">
        <f t="shared" si="673"/>
        <v>-2</v>
      </c>
    </row>
    <row r="1400" spans="1:55" ht="12.75" customHeight="1" x14ac:dyDescent="0.2">
      <c r="A1400" s="1" t="str">
        <f>Labels!B270</f>
        <v>Deprec Life (periods)</v>
      </c>
    </row>
    <row r="1401" spans="1:55" ht="12.75" customHeight="1" x14ac:dyDescent="0.2">
      <c r="B1401" s="181"/>
    </row>
    <row r="1402" spans="1:55" ht="12.75" customHeight="1" x14ac:dyDescent="0.2">
      <c r="A1402" s="182" t="str">
        <f>Labels!B306</f>
        <v>Building A</v>
      </c>
      <c r="B1402" s="376">
        <f>ROUND(12*B1313,0)</f>
        <v>120</v>
      </c>
    </row>
    <row r="1403" spans="1:55" ht="12.75" customHeight="1" x14ac:dyDescent="0.2">
      <c r="A1403" s="191" t="str">
        <f>Labels!B307</f>
        <v>Building B</v>
      </c>
      <c r="B1403" s="377">
        <f>ROUND(12*B1314,0)</f>
        <v>120</v>
      </c>
    </row>
    <row r="1404" spans="1:55" ht="12.75" customHeight="1" x14ac:dyDescent="0.2">
      <c r="A1404" s="97" t="str">
        <f>Labels!C305</f>
        <v>Total</v>
      </c>
      <c r="B1404" s="369">
        <f>AVERAGE(B1402:B1403)</f>
        <v>120</v>
      </c>
    </row>
    <row r="1405" spans="1:55" ht="12.75" customHeight="1" x14ac:dyDescent="0.2">
      <c r="A1405" s="1" t="str">
        <f>Labels!B279</f>
        <v>Tagged Assets</v>
      </c>
    </row>
    <row r="1406" spans="1:55" ht="12.75" customHeight="1" x14ac:dyDescent="0.2">
      <c r="B1406" s="9" t="str">
        <f>'(FnCalls 1)'!F5</f>
        <v>MMM 2007</v>
      </c>
      <c r="C1406" s="10" t="str">
        <f>'(FnCalls 1)'!F6</f>
        <v>MMM 2007</v>
      </c>
      <c r="D1406" s="10" t="str">
        <f>'(FnCalls 1)'!F7</f>
        <v>MMM 2007</v>
      </c>
      <c r="E1406" s="10" t="str">
        <f>'(FnCalls 1)'!F8</f>
        <v>MMM 2007</v>
      </c>
      <c r="F1406" s="10" t="str">
        <f>'(FnCalls 1)'!F9</f>
        <v>MMM 2007</v>
      </c>
      <c r="G1406" s="10" t="str">
        <f>'(FnCalls 1)'!F10</f>
        <v>MMM 2007</v>
      </c>
      <c r="H1406" s="10" t="str">
        <f>'(FnCalls 1)'!F11</f>
        <v>MMM 2007</v>
      </c>
      <c r="I1406" s="10" t="str">
        <f>'(FnCalls 1)'!F12</f>
        <v>MMM 2007</v>
      </c>
      <c r="J1406" s="10" t="str">
        <f>'(FnCalls 1)'!F13</f>
        <v>MMM 2007</v>
      </c>
      <c r="K1406" s="10" t="str">
        <f>'(FnCalls 1)'!F14</f>
        <v>MMM 2007</v>
      </c>
      <c r="L1406" s="10" t="str">
        <f>'(FnCalls 1)'!F15</f>
        <v>MMM 2007</v>
      </c>
      <c r="M1406" s="10" t="str">
        <f>'(FnCalls 1)'!F16</f>
        <v>MMM 2007</v>
      </c>
      <c r="N1406" s="10" t="str">
        <f>'(FnCalls 1)'!F17</f>
        <v>MMM 2008</v>
      </c>
      <c r="O1406" s="10" t="str">
        <f>'(FnCalls 1)'!F18</f>
        <v>MMM 2008</v>
      </c>
      <c r="P1406" s="10" t="str">
        <f>'(FnCalls 1)'!F19</f>
        <v>MMM 2008</v>
      </c>
      <c r="Q1406" s="10" t="str">
        <f>'(FnCalls 1)'!F20</f>
        <v>MMM 2008</v>
      </c>
      <c r="R1406" s="10" t="str">
        <f>'(FnCalls 1)'!F21</f>
        <v>MMM 2008</v>
      </c>
      <c r="S1406" s="10" t="str">
        <f>'(FnCalls 1)'!F22</f>
        <v>MMM 2008</v>
      </c>
      <c r="T1406" s="10" t="str">
        <f>'(FnCalls 1)'!F23</f>
        <v>MMM 2008</v>
      </c>
      <c r="U1406" s="10" t="str">
        <f>'(FnCalls 1)'!F24</f>
        <v>MMM 2008</v>
      </c>
      <c r="V1406" s="10" t="str">
        <f>'(FnCalls 1)'!F25</f>
        <v>MMM 2008</v>
      </c>
      <c r="W1406" s="10" t="str">
        <f>'(FnCalls 1)'!F26</f>
        <v>MMM 2008</v>
      </c>
      <c r="X1406" s="10" t="str">
        <f>'(FnCalls 1)'!F27</f>
        <v>MMM 2008</v>
      </c>
      <c r="Y1406" s="10" t="str">
        <f>'(FnCalls 1)'!F28</f>
        <v>MMM 2008</v>
      </c>
      <c r="Z1406" s="10" t="str">
        <f>'(FnCalls 1)'!F29</f>
        <v>MMM 2009</v>
      </c>
      <c r="AA1406" s="10" t="str">
        <f>'(FnCalls 1)'!F30</f>
        <v>MMM 2009</v>
      </c>
      <c r="AB1406" s="10" t="str">
        <f>'(FnCalls 1)'!F31</f>
        <v>MMM 2009</v>
      </c>
      <c r="AC1406" s="10" t="str">
        <f>'(FnCalls 1)'!F32</f>
        <v>MMM 2009</v>
      </c>
      <c r="AD1406" s="10" t="str">
        <f>'(FnCalls 1)'!F33</f>
        <v>MMM 2009</v>
      </c>
      <c r="AE1406" s="10" t="str">
        <f>'(FnCalls 1)'!F34</f>
        <v>MMM 2009</v>
      </c>
      <c r="AF1406" s="10" t="str">
        <f>'(FnCalls 1)'!F35</f>
        <v>MMM 2009</v>
      </c>
      <c r="AG1406" s="10" t="str">
        <f>'(FnCalls 1)'!F36</f>
        <v>MMM 2009</v>
      </c>
      <c r="AH1406" s="10" t="str">
        <f>'(FnCalls 1)'!F37</f>
        <v>MMM 2009</v>
      </c>
      <c r="AI1406" s="10" t="str">
        <f>'(FnCalls 1)'!F38</f>
        <v>MMM 2009</v>
      </c>
      <c r="AJ1406" s="10" t="str">
        <f>'(FnCalls 1)'!F39</f>
        <v>MMM 2009</v>
      </c>
      <c r="AK1406" s="10" t="str">
        <f>'(FnCalls 1)'!F40</f>
        <v>MMM 2009</v>
      </c>
      <c r="AL1406" s="10" t="str">
        <f>'(FnCalls 1)'!F41</f>
        <v>MMM 2010</v>
      </c>
      <c r="AM1406" s="10" t="str">
        <f>'(FnCalls 1)'!F42</f>
        <v>MMM 2010</v>
      </c>
      <c r="AN1406" s="10" t="str">
        <f>'(FnCalls 1)'!F43</f>
        <v>MMM 2010</v>
      </c>
      <c r="AO1406" s="10" t="str">
        <f>'(FnCalls 1)'!F44</f>
        <v>MMM 2010</v>
      </c>
      <c r="AP1406" s="10" t="str">
        <f>'(FnCalls 1)'!F45</f>
        <v>MMM 2010</v>
      </c>
      <c r="AQ1406" s="10" t="str">
        <f>'(FnCalls 1)'!F46</f>
        <v>MMM 2010</v>
      </c>
      <c r="AR1406" s="10" t="str">
        <f>'(FnCalls 1)'!F47</f>
        <v>MMM 2010</v>
      </c>
      <c r="AS1406" s="10" t="str">
        <f>'(FnCalls 1)'!F48</f>
        <v>MMM 2010</v>
      </c>
      <c r="AT1406" s="10" t="str">
        <f>'(FnCalls 1)'!F49</f>
        <v>MMM 2010</v>
      </c>
      <c r="AU1406" s="10" t="str">
        <f>'(FnCalls 1)'!F50</f>
        <v>MMM 2010</v>
      </c>
      <c r="AV1406" s="10" t="str">
        <f>'(FnCalls 1)'!F51</f>
        <v>MMM 2010</v>
      </c>
      <c r="AW1406" s="10" t="str">
        <f>'(FnCalls 1)'!F52</f>
        <v>MMM 2010</v>
      </c>
      <c r="AX1406" s="10" t="str">
        <f>'(FnCalls 1)'!F53</f>
        <v>MMM 2011</v>
      </c>
      <c r="AY1406" s="10" t="str">
        <f>'(FnCalls 1)'!F54</f>
        <v>MMM 2011</v>
      </c>
      <c r="AZ1406" s="10" t="str">
        <f>'(FnCalls 1)'!F55</f>
        <v>MMM 2011</v>
      </c>
      <c r="BA1406" s="10" t="str">
        <f>'(FnCalls 1)'!F56</f>
        <v>MMM 2011</v>
      </c>
      <c r="BB1406" s="10" t="str">
        <f>'(FnCalls 1)'!F57</f>
        <v>MMM 2011</v>
      </c>
      <c r="BC1406" s="11" t="str">
        <f>'(FnCalls 1)'!F58</f>
        <v>MMM 2011</v>
      </c>
    </row>
    <row r="1407" spans="1:55" ht="12.75" customHeight="1" x14ac:dyDescent="0.2">
      <c r="A1407" s="182" t="str">
        <f>Labels!B306</f>
        <v>Building A</v>
      </c>
      <c r="B1407" s="183">
        <f>IF(B1397=-1,0,IF(B1397=0,B1308,0-B1392))-B1412</f>
        <v>0</v>
      </c>
      <c r="C1407" s="183">
        <f>IF(C1397=-1,0,IF(C1397=0,B1308,B1407-C1392))-C1412</f>
        <v>0</v>
      </c>
      <c r="D1407" s="183">
        <f>IF(D1397=-1,0,IF(D1397=0,B1308,C1407-D1392))-D1412</f>
        <v>0</v>
      </c>
      <c r="E1407" s="183">
        <f>IF(E1397=-1,0,IF(E1397=0,B1308,D1407-E1392))-E1412</f>
        <v>0</v>
      </c>
      <c r="F1407" s="183">
        <f>IF(F1397=-1,0,IF(F1397=0,B1308,E1407-F1392))-F1412</f>
        <v>0</v>
      </c>
      <c r="G1407" s="183">
        <f>IF(G1397=-1,0,IF(G1397=0,B1308,F1407-G1392))-G1412</f>
        <v>0</v>
      </c>
      <c r="H1407" s="183">
        <f>IF(H1397=-1,0,IF(H1397=0,B1308,G1407-H1392))-H1412</f>
        <v>0</v>
      </c>
      <c r="I1407" s="183">
        <f>IF(I1397=-1,0,IF(I1397=0,B1308,H1407-I1392))-I1412</f>
        <v>0</v>
      </c>
      <c r="J1407" s="183">
        <f>IF(J1397=-1,0,IF(J1397=0,B1308,I1407-J1392))-J1412</f>
        <v>0</v>
      </c>
      <c r="K1407" s="183">
        <f>IF(K1397=-1,0,IF(K1397=0,B1308,J1407-K1392))-K1412</f>
        <v>0</v>
      </c>
      <c r="L1407" s="183">
        <f>IF(L1397=-1,0,IF(L1397=0,B1308,K1407-L1392))-L1412</f>
        <v>0</v>
      </c>
      <c r="M1407" s="183">
        <f>IF(M1397=-1,0,IF(M1397=0,B1308,L1407-M1392))-M1412</f>
        <v>0</v>
      </c>
      <c r="N1407" s="183">
        <f>IF(N1397=-1,0,IF(N1397=0,B1308,M1407-N1392))-N1412</f>
        <v>0</v>
      </c>
      <c r="O1407" s="183">
        <f>IF(O1397=-1,0,IF(O1397=0,B1308,N1407-O1392))-O1412</f>
        <v>0</v>
      </c>
      <c r="P1407" s="183">
        <f>IF(P1397=-1,0,IF(P1397=0,B1308,O1407-P1392))-P1412</f>
        <v>0</v>
      </c>
      <c r="Q1407" s="183">
        <f>IF(Q1397=-1,0,IF(Q1397=0,B1308,P1407-Q1392))-Q1412</f>
        <v>0</v>
      </c>
      <c r="R1407" s="183">
        <f>IF(R1397=-1,0,IF(R1397=0,B1308,Q1407-R1392))-R1412</f>
        <v>0</v>
      </c>
      <c r="S1407" s="183">
        <f>IF(S1397=-1,0,IF(S1397=0,B1308,R1407-S1392))-S1412</f>
        <v>0</v>
      </c>
      <c r="T1407" s="183">
        <f>IF(T1397=-1,0,IF(T1397=0,B1308,S1407-T1392))-T1412</f>
        <v>0</v>
      </c>
      <c r="U1407" s="183">
        <f>IF(U1397=-1,0,IF(U1397=0,B1308,T1407-U1392))-U1412</f>
        <v>0</v>
      </c>
      <c r="V1407" s="183">
        <f>IF(V1397=-1,0,IF(V1397=0,B1308,U1407-V1392))-V1412</f>
        <v>0</v>
      </c>
      <c r="W1407" s="183">
        <f>IF(W1397=-1,0,IF(W1397=0,B1308,V1407-W1392))-W1412</f>
        <v>0</v>
      </c>
      <c r="X1407" s="183">
        <f>IF(X1397=-1,0,IF(X1397=0,B1308,W1407-X1392))-X1412</f>
        <v>0</v>
      </c>
      <c r="Y1407" s="183">
        <f>IF(Y1397=-1,0,IF(Y1397=0,B1308,X1407-Y1392))-Y1412</f>
        <v>0</v>
      </c>
      <c r="Z1407" s="183">
        <f>IF(Z1397=-1,0,IF(Z1397=0,B1308,Y1407-Z1392))-Z1412</f>
        <v>0</v>
      </c>
      <c r="AA1407" s="183">
        <f>IF(AA1397=-1,0,IF(AA1397=0,B1308,Z1407-AA1392))-AA1412</f>
        <v>0</v>
      </c>
      <c r="AB1407" s="183">
        <f>IF(AB1397=-1,0,IF(AB1397=0,B1308,AA1407-AB1392))-AB1412</f>
        <v>0</v>
      </c>
      <c r="AC1407" s="183">
        <f>IF(AC1397=-1,0,IF(AC1397=0,B1308,AB1407-AC1392))-AC1412</f>
        <v>0</v>
      </c>
      <c r="AD1407" s="183">
        <f>IF(AD1397=-1,0,IF(AD1397=0,B1308,AC1407-AD1392))-AD1412</f>
        <v>0</v>
      </c>
      <c r="AE1407" s="183">
        <f>IF(AE1397=-1,0,IF(AE1397=0,B1308,AD1407-AE1392))-AE1412</f>
        <v>0</v>
      </c>
      <c r="AF1407" s="183">
        <f>IF(AF1397=-1,0,IF(AF1397=0,B1308,AE1407-AF1392))-AF1412</f>
        <v>0</v>
      </c>
      <c r="AG1407" s="183">
        <f>IF(AG1397=-1,0,IF(AG1397=0,B1308,AF1407-AG1392))-AG1412</f>
        <v>0</v>
      </c>
      <c r="AH1407" s="183">
        <f>IF(AH1397=-1,0,IF(AH1397=0,B1308,AG1407-AH1392))-AH1412</f>
        <v>0</v>
      </c>
      <c r="AI1407" s="183">
        <f>IF(AI1397=-1,0,IF(AI1397=0,B1308,AH1407-AI1392))-AI1412</f>
        <v>0</v>
      </c>
      <c r="AJ1407" s="183">
        <f>IF(AJ1397=-1,0,IF(AJ1397=0,B1308,AI1407-AJ1392))-AJ1412</f>
        <v>0</v>
      </c>
      <c r="AK1407" s="183">
        <f>Assets!B31</f>
        <v>0</v>
      </c>
      <c r="AL1407" s="183">
        <f>Assets!C31</f>
        <v>0</v>
      </c>
      <c r="AM1407" s="183">
        <f>Assets!D31</f>
        <v>0</v>
      </c>
      <c r="AN1407" s="183">
        <f>Assets!E31</f>
        <v>0</v>
      </c>
      <c r="AO1407" s="183">
        <f>Assets!G31</f>
        <v>0</v>
      </c>
      <c r="AP1407" s="183">
        <f>Assets!H31</f>
        <v>0</v>
      </c>
      <c r="AQ1407" s="183">
        <f>Assets!I31</f>
        <v>0</v>
      </c>
      <c r="AR1407" s="183">
        <f>Assets!K31</f>
        <v>0</v>
      </c>
      <c r="AS1407" s="183">
        <f>Assets!L31</f>
        <v>0</v>
      </c>
      <c r="AT1407" s="183">
        <f>Assets!M31</f>
        <v>0</v>
      </c>
      <c r="AU1407" s="183">
        <f>Assets!O31</f>
        <v>0</v>
      </c>
      <c r="AV1407" s="183">
        <f>Assets!P31</f>
        <v>0</v>
      </c>
      <c r="AW1407" s="183">
        <f>Assets!Q31</f>
        <v>0</v>
      </c>
      <c r="AX1407" s="183">
        <f>Assets!S31</f>
        <v>0</v>
      </c>
      <c r="AY1407" s="183">
        <f>Assets!T31</f>
        <v>0</v>
      </c>
      <c r="AZ1407" s="183">
        <f>Assets!U31</f>
        <v>0</v>
      </c>
      <c r="BA1407" s="183">
        <f>Assets!W31</f>
        <v>0</v>
      </c>
      <c r="BB1407" s="183">
        <f>Assets!X31</f>
        <v>0</v>
      </c>
      <c r="BC1407" s="266">
        <f>Assets!Y31</f>
        <v>0</v>
      </c>
    </row>
    <row r="1408" spans="1:55" ht="12.75" customHeight="1" x14ac:dyDescent="0.2">
      <c r="A1408" s="191" t="str">
        <f>Labels!B307</f>
        <v>Building B</v>
      </c>
      <c r="B1408" s="192">
        <f>IF(B1398=-1,0,IF(B1398=0,B1309,0-B1393))-B1413</f>
        <v>0</v>
      </c>
      <c r="C1408" s="192">
        <f>IF(C1398=-1,0,IF(C1398=0,B1309,B1408-C1393))-C1413</f>
        <v>0</v>
      </c>
      <c r="D1408" s="192">
        <f>IF(D1398=-1,0,IF(D1398=0,B1309,C1408-D1393))-D1413</f>
        <v>0</v>
      </c>
      <c r="E1408" s="192">
        <f>IF(E1398=-1,0,IF(E1398=0,B1309,D1408-E1393))-E1413</f>
        <v>0</v>
      </c>
      <c r="F1408" s="192">
        <f>IF(F1398=-1,0,IF(F1398=0,B1309,E1408-F1393))-F1413</f>
        <v>0</v>
      </c>
      <c r="G1408" s="192">
        <f>IF(G1398=-1,0,IF(G1398=0,B1309,F1408-G1393))-G1413</f>
        <v>0</v>
      </c>
      <c r="H1408" s="192">
        <f>IF(H1398=-1,0,IF(H1398=0,B1309,G1408-H1393))-H1413</f>
        <v>0</v>
      </c>
      <c r="I1408" s="192">
        <f>IF(I1398=-1,0,IF(I1398=0,B1309,H1408-I1393))-I1413</f>
        <v>0</v>
      </c>
      <c r="J1408" s="192">
        <f>IF(J1398=-1,0,IF(J1398=0,B1309,I1408-J1393))-J1413</f>
        <v>0</v>
      </c>
      <c r="K1408" s="192">
        <f>IF(K1398=-1,0,IF(K1398=0,B1309,J1408-K1393))-K1413</f>
        <v>0</v>
      </c>
      <c r="L1408" s="192">
        <f>IF(L1398=-1,0,IF(L1398=0,B1309,K1408-L1393))-L1413</f>
        <v>0</v>
      </c>
      <c r="M1408" s="192">
        <f>IF(M1398=-1,0,IF(M1398=0,B1309,L1408-M1393))-M1413</f>
        <v>0</v>
      </c>
      <c r="N1408" s="192">
        <f>IF(N1398=-1,0,IF(N1398=0,B1309,M1408-N1393))-N1413</f>
        <v>0</v>
      </c>
      <c r="O1408" s="192">
        <f>IF(O1398=-1,0,IF(O1398=0,B1309,N1408-O1393))-O1413</f>
        <v>0</v>
      </c>
      <c r="P1408" s="192">
        <f>IF(P1398=-1,0,IF(P1398=0,B1309,O1408-P1393))-P1413</f>
        <v>0</v>
      </c>
      <c r="Q1408" s="192">
        <f>IF(Q1398=-1,0,IF(Q1398=0,B1309,P1408-Q1393))-Q1413</f>
        <v>0</v>
      </c>
      <c r="R1408" s="192">
        <f>IF(R1398=-1,0,IF(R1398=0,B1309,Q1408-R1393))-R1413</f>
        <v>0</v>
      </c>
      <c r="S1408" s="192">
        <f>IF(S1398=-1,0,IF(S1398=0,B1309,R1408-S1393))-S1413</f>
        <v>0</v>
      </c>
      <c r="T1408" s="192">
        <f>IF(T1398=-1,0,IF(T1398=0,B1309,S1408-T1393))-T1413</f>
        <v>0</v>
      </c>
      <c r="U1408" s="192">
        <f>IF(U1398=-1,0,IF(U1398=0,B1309,T1408-U1393))-U1413</f>
        <v>0</v>
      </c>
      <c r="V1408" s="192">
        <f>IF(V1398=-1,0,IF(V1398=0,B1309,U1408-V1393))-V1413</f>
        <v>0</v>
      </c>
      <c r="W1408" s="192">
        <f>IF(W1398=-1,0,IF(W1398=0,B1309,V1408-W1393))-W1413</f>
        <v>0</v>
      </c>
      <c r="X1408" s="192">
        <f>IF(X1398=-1,0,IF(X1398=0,B1309,W1408-X1393))-X1413</f>
        <v>0</v>
      </c>
      <c r="Y1408" s="192">
        <f>IF(Y1398=-1,0,IF(Y1398=0,B1309,X1408-Y1393))-Y1413</f>
        <v>0</v>
      </c>
      <c r="Z1408" s="192">
        <f>IF(Z1398=-1,0,IF(Z1398=0,B1309,Y1408-Z1393))-Z1413</f>
        <v>0</v>
      </c>
      <c r="AA1408" s="192">
        <f>IF(AA1398=-1,0,IF(AA1398=0,B1309,Z1408-AA1393))-AA1413</f>
        <v>0</v>
      </c>
      <c r="AB1408" s="192">
        <f>IF(AB1398=-1,0,IF(AB1398=0,B1309,AA1408-AB1393))-AB1413</f>
        <v>0</v>
      </c>
      <c r="AC1408" s="192">
        <f>IF(AC1398=-1,0,IF(AC1398=0,B1309,AB1408-AC1393))-AC1413</f>
        <v>0</v>
      </c>
      <c r="AD1408" s="192">
        <f>IF(AD1398=-1,0,IF(AD1398=0,B1309,AC1408-AD1393))-AD1413</f>
        <v>0</v>
      </c>
      <c r="AE1408" s="192">
        <f>IF(AE1398=-1,0,IF(AE1398=0,B1309,AD1408-AE1393))-AE1413</f>
        <v>0</v>
      </c>
      <c r="AF1408" s="192">
        <f>IF(AF1398=-1,0,IF(AF1398=0,B1309,AE1408-AF1393))-AF1413</f>
        <v>0</v>
      </c>
      <c r="AG1408" s="192">
        <f>IF(AG1398=-1,0,IF(AG1398=0,B1309,AF1408-AG1393))-AG1413</f>
        <v>0</v>
      </c>
      <c r="AH1408" s="192">
        <f>IF(AH1398=-1,0,IF(AH1398=0,B1309,AG1408-AH1393))-AH1413</f>
        <v>0</v>
      </c>
      <c r="AI1408" s="192">
        <f>IF(AI1398=-1,0,IF(AI1398=0,B1309,AH1408-AI1393))-AI1413</f>
        <v>0</v>
      </c>
      <c r="AJ1408" s="192">
        <f>IF(AJ1398=-1,0,IF(AJ1398=0,B1309,AI1408-AJ1393))-AJ1413</f>
        <v>0</v>
      </c>
      <c r="AK1408" s="192">
        <f>Assets!B32</f>
        <v>0</v>
      </c>
      <c r="AL1408" s="192">
        <f>Assets!C32</f>
        <v>0</v>
      </c>
      <c r="AM1408" s="192">
        <f>Assets!D32</f>
        <v>0</v>
      </c>
      <c r="AN1408" s="192">
        <f>Assets!E32</f>
        <v>0</v>
      </c>
      <c r="AO1408" s="192">
        <f>Assets!G32</f>
        <v>0</v>
      </c>
      <c r="AP1408" s="192">
        <f>Assets!H32</f>
        <v>0</v>
      </c>
      <c r="AQ1408" s="192">
        <f>Assets!I32</f>
        <v>0</v>
      </c>
      <c r="AR1408" s="192">
        <f>Assets!K32</f>
        <v>0</v>
      </c>
      <c r="AS1408" s="192">
        <f>Assets!L32</f>
        <v>0</v>
      </c>
      <c r="AT1408" s="192">
        <f>Assets!M32</f>
        <v>0</v>
      </c>
      <c r="AU1408" s="192">
        <f>Assets!O32</f>
        <v>0</v>
      </c>
      <c r="AV1408" s="192">
        <f>Assets!P32</f>
        <v>0</v>
      </c>
      <c r="AW1408" s="192">
        <f>Assets!Q32</f>
        <v>0</v>
      </c>
      <c r="AX1408" s="192">
        <f>Assets!S32</f>
        <v>0</v>
      </c>
      <c r="AY1408" s="192">
        <f>Assets!T32</f>
        <v>0</v>
      </c>
      <c r="AZ1408" s="192">
        <f>Assets!U32</f>
        <v>0</v>
      </c>
      <c r="BA1408" s="192">
        <f>Assets!W32</f>
        <v>0</v>
      </c>
      <c r="BB1408" s="192">
        <f>Assets!X32</f>
        <v>0</v>
      </c>
      <c r="BC1408" s="280">
        <f>Assets!Y32</f>
        <v>0</v>
      </c>
    </row>
    <row r="1409" spans="1:55" ht="12.75" customHeight="1" x14ac:dyDescent="0.2">
      <c r="A1409" s="97" t="str">
        <f>Labels!C305</f>
        <v>Total</v>
      </c>
      <c r="B1409" s="194">
        <f t="shared" ref="B1409:AG1409" si="674">SUM(B1407:B1408)</f>
        <v>0</v>
      </c>
      <c r="C1409" s="194">
        <f t="shared" si="674"/>
        <v>0</v>
      </c>
      <c r="D1409" s="194">
        <f t="shared" si="674"/>
        <v>0</v>
      </c>
      <c r="E1409" s="194">
        <f t="shared" si="674"/>
        <v>0</v>
      </c>
      <c r="F1409" s="194">
        <f t="shared" si="674"/>
        <v>0</v>
      </c>
      <c r="G1409" s="194">
        <f t="shared" si="674"/>
        <v>0</v>
      </c>
      <c r="H1409" s="194">
        <f t="shared" si="674"/>
        <v>0</v>
      </c>
      <c r="I1409" s="194">
        <f t="shared" si="674"/>
        <v>0</v>
      </c>
      <c r="J1409" s="194">
        <f t="shared" si="674"/>
        <v>0</v>
      </c>
      <c r="K1409" s="194">
        <f t="shared" si="674"/>
        <v>0</v>
      </c>
      <c r="L1409" s="194">
        <f t="shared" si="674"/>
        <v>0</v>
      </c>
      <c r="M1409" s="194">
        <f t="shared" si="674"/>
        <v>0</v>
      </c>
      <c r="N1409" s="194">
        <f t="shared" si="674"/>
        <v>0</v>
      </c>
      <c r="O1409" s="194">
        <f t="shared" si="674"/>
        <v>0</v>
      </c>
      <c r="P1409" s="194">
        <f t="shared" si="674"/>
        <v>0</v>
      </c>
      <c r="Q1409" s="194">
        <f t="shared" si="674"/>
        <v>0</v>
      </c>
      <c r="R1409" s="194">
        <f t="shared" si="674"/>
        <v>0</v>
      </c>
      <c r="S1409" s="194">
        <f t="shared" si="674"/>
        <v>0</v>
      </c>
      <c r="T1409" s="194">
        <f t="shared" si="674"/>
        <v>0</v>
      </c>
      <c r="U1409" s="194">
        <f t="shared" si="674"/>
        <v>0</v>
      </c>
      <c r="V1409" s="194">
        <f t="shared" si="674"/>
        <v>0</v>
      </c>
      <c r="W1409" s="194">
        <f t="shared" si="674"/>
        <v>0</v>
      </c>
      <c r="X1409" s="194">
        <f t="shared" si="674"/>
        <v>0</v>
      </c>
      <c r="Y1409" s="194">
        <f t="shared" si="674"/>
        <v>0</v>
      </c>
      <c r="Z1409" s="194">
        <f t="shared" si="674"/>
        <v>0</v>
      </c>
      <c r="AA1409" s="194">
        <f t="shared" si="674"/>
        <v>0</v>
      </c>
      <c r="AB1409" s="194">
        <f t="shared" si="674"/>
        <v>0</v>
      </c>
      <c r="AC1409" s="194">
        <f t="shared" si="674"/>
        <v>0</v>
      </c>
      <c r="AD1409" s="194">
        <f t="shared" si="674"/>
        <v>0</v>
      </c>
      <c r="AE1409" s="194">
        <f t="shared" si="674"/>
        <v>0</v>
      </c>
      <c r="AF1409" s="194">
        <f t="shared" si="674"/>
        <v>0</v>
      </c>
      <c r="AG1409" s="194">
        <f t="shared" si="674"/>
        <v>0</v>
      </c>
      <c r="AH1409" s="194">
        <f t="shared" ref="AH1409:BC1409" si="675">SUM(AH1407:AH1408)</f>
        <v>0</v>
      </c>
      <c r="AI1409" s="194">
        <f t="shared" si="675"/>
        <v>0</v>
      </c>
      <c r="AJ1409" s="194">
        <f t="shared" si="675"/>
        <v>0</v>
      </c>
      <c r="AK1409" s="194">
        <f t="shared" si="675"/>
        <v>0</v>
      </c>
      <c r="AL1409" s="194">
        <f t="shared" si="675"/>
        <v>0</v>
      </c>
      <c r="AM1409" s="194">
        <f t="shared" si="675"/>
        <v>0</v>
      </c>
      <c r="AN1409" s="194">
        <f t="shared" si="675"/>
        <v>0</v>
      </c>
      <c r="AO1409" s="194">
        <f t="shared" si="675"/>
        <v>0</v>
      </c>
      <c r="AP1409" s="194">
        <f t="shared" si="675"/>
        <v>0</v>
      </c>
      <c r="AQ1409" s="194">
        <f t="shared" si="675"/>
        <v>0</v>
      </c>
      <c r="AR1409" s="194">
        <f t="shared" si="675"/>
        <v>0</v>
      </c>
      <c r="AS1409" s="194">
        <f t="shared" si="675"/>
        <v>0</v>
      </c>
      <c r="AT1409" s="194">
        <f t="shared" si="675"/>
        <v>0</v>
      </c>
      <c r="AU1409" s="194">
        <f t="shared" si="675"/>
        <v>0</v>
      </c>
      <c r="AV1409" s="194">
        <f t="shared" si="675"/>
        <v>0</v>
      </c>
      <c r="AW1409" s="194">
        <f t="shared" si="675"/>
        <v>0</v>
      </c>
      <c r="AX1409" s="194">
        <f t="shared" si="675"/>
        <v>0</v>
      </c>
      <c r="AY1409" s="194">
        <f t="shared" si="675"/>
        <v>0</v>
      </c>
      <c r="AZ1409" s="194">
        <f t="shared" si="675"/>
        <v>0</v>
      </c>
      <c r="BA1409" s="194">
        <f t="shared" si="675"/>
        <v>0</v>
      </c>
      <c r="BB1409" s="194">
        <f t="shared" si="675"/>
        <v>0</v>
      </c>
      <c r="BC1409" s="351">
        <f t="shared" si="675"/>
        <v>0</v>
      </c>
    </row>
    <row r="1410" spans="1:55" ht="12.75" customHeight="1" x14ac:dyDescent="0.2">
      <c r="A1410" s="1" t="str">
        <f>Labels!B277</f>
        <v>Asset Salvage CF</v>
      </c>
    </row>
    <row r="1411" spans="1:55" ht="12.75" customHeight="1" x14ac:dyDescent="0.2">
      <c r="B1411" s="9" t="str">
        <f>'(FnCalls 1)'!F5</f>
        <v>MMM 2007</v>
      </c>
      <c r="C1411" s="10" t="str">
        <f>'(FnCalls 1)'!F6</f>
        <v>MMM 2007</v>
      </c>
      <c r="D1411" s="10" t="str">
        <f>'(FnCalls 1)'!F7</f>
        <v>MMM 2007</v>
      </c>
      <c r="E1411" s="10" t="str">
        <f>'(FnCalls 1)'!F8</f>
        <v>MMM 2007</v>
      </c>
      <c r="F1411" s="10" t="str">
        <f>'(FnCalls 1)'!F9</f>
        <v>MMM 2007</v>
      </c>
      <c r="G1411" s="10" t="str">
        <f>'(FnCalls 1)'!F10</f>
        <v>MMM 2007</v>
      </c>
      <c r="H1411" s="10" t="str">
        <f>'(FnCalls 1)'!F11</f>
        <v>MMM 2007</v>
      </c>
      <c r="I1411" s="10" t="str">
        <f>'(FnCalls 1)'!F12</f>
        <v>MMM 2007</v>
      </c>
      <c r="J1411" s="10" t="str">
        <f>'(FnCalls 1)'!F13</f>
        <v>MMM 2007</v>
      </c>
      <c r="K1411" s="10" t="str">
        <f>'(FnCalls 1)'!F14</f>
        <v>MMM 2007</v>
      </c>
      <c r="L1411" s="10" t="str">
        <f>'(FnCalls 1)'!F15</f>
        <v>MMM 2007</v>
      </c>
      <c r="M1411" s="10" t="str">
        <f>'(FnCalls 1)'!F16</f>
        <v>MMM 2007</v>
      </c>
      <c r="N1411" s="10" t="str">
        <f>'(FnCalls 1)'!F17</f>
        <v>MMM 2008</v>
      </c>
      <c r="O1411" s="10" t="str">
        <f>'(FnCalls 1)'!F18</f>
        <v>MMM 2008</v>
      </c>
      <c r="P1411" s="10" t="str">
        <f>'(FnCalls 1)'!F19</f>
        <v>MMM 2008</v>
      </c>
      <c r="Q1411" s="10" t="str">
        <f>'(FnCalls 1)'!F20</f>
        <v>MMM 2008</v>
      </c>
      <c r="R1411" s="10" t="str">
        <f>'(FnCalls 1)'!F21</f>
        <v>MMM 2008</v>
      </c>
      <c r="S1411" s="10" t="str">
        <f>'(FnCalls 1)'!F22</f>
        <v>MMM 2008</v>
      </c>
      <c r="T1411" s="10" t="str">
        <f>'(FnCalls 1)'!F23</f>
        <v>MMM 2008</v>
      </c>
      <c r="U1411" s="10" t="str">
        <f>'(FnCalls 1)'!F24</f>
        <v>MMM 2008</v>
      </c>
      <c r="V1411" s="10" t="str">
        <f>'(FnCalls 1)'!F25</f>
        <v>MMM 2008</v>
      </c>
      <c r="W1411" s="10" t="str">
        <f>'(FnCalls 1)'!F26</f>
        <v>MMM 2008</v>
      </c>
      <c r="X1411" s="10" t="str">
        <f>'(FnCalls 1)'!F27</f>
        <v>MMM 2008</v>
      </c>
      <c r="Y1411" s="10" t="str">
        <f>'(FnCalls 1)'!F28</f>
        <v>MMM 2008</v>
      </c>
      <c r="Z1411" s="10" t="str">
        <f>'(FnCalls 1)'!F29</f>
        <v>MMM 2009</v>
      </c>
      <c r="AA1411" s="10" t="str">
        <f>'(FnCalls 1)'!F30</f>
        <v>MMM 2009</v>
      </c>
      <c r="AB1411" s="10" t="str">
        <f>'(FnCalls 1)'!F31</f>
        <v>MMM 2009</v>
      </c>
      <c r="AC1411" s="10" t="str">
        <f>'(FnCalls 1)'!F32</f>
        <v>MMM 2009</v>
      </c>
      <c r="AD1411" s="10" t="str">
        <f>'(FnCalls 1)'!F33</f>
        <v>MMM 2009</v>
      </c>
      <c r="AE1411" s="10" t="str">
        <f>'(FnCalls 1)'!F34</f>
        <v>MMM 2009</v>
      </c>
      <c r="AF1411" s="10" t="str">
        <f>'(FnCalls 1)'!F35</f>
        <v>MMM 2009</v>
      </c>
      <c r="AG1411" s="10" t="str">
        <f>'(FnCalls 1)'!F36</f>
        <v>MMM 2009</v>
      </c>
      <c r="AH1411" s="10" t="str">
        <f>'(FnCalls 1)'!F37</f>
        <v>MMM 2009</v>
      </c>
      <c r="AI1411" s="10" t="str">
        <f>'(FnCalls 1)'!F38</f>
        <v>MMM 2009</v>
      </c>
      <c r="AJ1411" s="10" t="str">
        <f>'(FnCalls 1)'!F39</f>
        <v>MMM 2009</v>
      </c>
      <c r="AK1411" s="10" t="str">
        <f>'(FnCalls 1)'!F40</f>
        <v>MMM 2009</v>
      </c>
      <c r="AL1411" s="10" t="str">
        <f>'(FnCalls 1)'!F41</f>
        <v>MMM 2010</v>
      </c>
      <c r="AM1411" s="10" t="str">
        <f>'(FnCalls 1)'!F42</f>
        <v>MMM 2010</v>
      </c>
      <c r="AN1411" s="10" t="str">
        <f>'(FnCalls 1)'!F43</f>
        <v>MMM 2010</v>
      </c>
      <c r="AO1411" s="10" t="str">
        <f>'(FnCalls 1)'!F44</f>
        <v>MMM 2010</v>
      </c>
      <c r="AP1411" s="10" t="str">
        <f>'(FnCalls 1)'!F45</f>
        <v>MMM 2010</v>
      </c>
      <c r="AQ1411" s="10" t="str">
        <f>'(FnCalls 1)'!F46</f>
        <v>MMM 2010</v>
      </c>
      <c r="AR1411" s="10" t="str">
        <f>'(FnCalls 1)'!F47</f>
        <v>MMM 2010</v>
      </c>
      <c r="AS1411" s="10" t="str">
        <f>'(FnCalls 1)'!F48</f>
        <v>MMM 2010</v>
      </c>
      <c r="AT1411" s="10" t="str">
        <f>'(FnCalls 1)'!F49</f>
        <v>MMM 2010</v>
      </c>
      <c r="AU1411" s="10" t="str">
        <f>'(FnCalls 1)'!F50</f>
        <v>MMM 2010</v>
      </c>
      <c r="AV1411" s="10" t="str">
        <f>'(FnCalls 1)'!F51</f>
        <v>MMM 2010</v>
      </c>
      <c r="AW1411" s="10" t="str">
        <f>'(FnCalls 1)'!F52</f>
        <v>MMM 2010</v>
      </c>
      <c r="AX1411" s="10" t="str">
        <f>'(FnCalls 1)'!F53</f>
        <v>MMM 2011</v>
      </c>
      <c r="AY1411" s="10" t="str">
        <f>'(FnCalls 1)'!F54</f>
        <v>MMM 2011</v>
      </c>
      <c r="AZ1411" s="10" t="str">
        <f>'(FnCalls 1)'!F55</f>
        <v>MMM 2011</v>
      </c>
      <c r="BA1411" s="10" t="str">
        <f>'(FnCalls 1)'!F56</f>
        <v>MMM 2011</v>
      </c>
      <c r="BB1411" s="10" t="str">
        <f>'(FnCalls 1)'!F57</f>
        <v>MMM 2011</v>
      </c>
      <c r="BC1411" s="11" t="str">
        <f>'(FnCalls 1)'!F58</f>
        <v>MMM 2011</v>
      </c>
    </row>
    <row r="1412" spans="1:55" ht="12.75" customHeight="1" x14ac:dyDescent="0.2">
      <c r="A1412" s="182" t="str">
        <f>Labels!B306</f>
        <v>Building A</v>
      </c>
      <c r="B1412" s="183">
        <f>IF(AND(DATE(YEAR('(FnCalls 1)'!A5),MONTH('(FnCalls 1)'!A5)+TRUNC((-B1417)),DAY('(FnCalls 1)'!A5))&lt;=Inputs!G373,Inputs!G373&lt;DATE(YEAR('(FnCalls 1)'!A5),MONTH('(FnCalls 1)'!A5)+TRUNC(1-B1417),DAY('(FnCalls 1)'!A5))),B1323,0)</f>
        <v>0</v>
      </c>
      <c r="C1412" s="183">
        <f>IF(AND(DATE(YEAR('(FnCalls 1)'!A6),MONTH('(FnCalls 1)'!A6)+TRUNC((-B1417)),DAY('(FnCalls 1)'!A6))&lt;=Inputs!G373,Inputs!G373&lt;DATE(YEAR('(FnCalls 1)'!A6),MONTH('(FnCalls 1)'!A6)+TRUNC(1-B1417),DAY('(FnCalls 1)'!A6))),B1323,0)</f>
        <v>0</v>
      </c>
      <c r="D1412" s="183">
        <f>IF(AND(DATE(YEAR('(FnCalls 1)'!A7),MONTH('(FnCalls 1)'!A7)+TRUNC((-B1417)),DAY('(FnCalls 1)'!A7))&lt;=Inputs!G373,Inputs!G373&lt;DATE(YEAR('(FnCalls 1)'!A7),MONTH('(FnCalls 1)'!A7)+TRUNC(1-B1417),DAY('(FnCalls 1)'!A7))),B1323,0)</f>
        <v>0</v>
      </c>
      <c r="E1412" s="183">
        <f>IF(AND(DATE(YEAR('(FnCalls 1)'!A8),MONTH('(FnCalls 1)'!A8)+TRUNC((-B1417)),DAY('(FnCalls 1)'!A8))&lt;=Inputs!G373,Inputs!G373&lt;DATE(YEAR('(FnCalls 1)'!A8),MONTH('(FnCalls 1)'!A8)+TRUNC(1-B1417),DAY('(FnCalls 1)'!A8))),B1323,0)</f>
        <v>0</v>
      </c>
      <c r="F1412" s="183">
        <f>IF(AND(DATE(YEAR('(FnCalls 1)'!A9),MONTH('(FnCalls 1)'!A9)+TRUNC((-B1417)),DAY('(FnCalls 1)'!A9))&lt;=Inputs!G373,Inputs!G373&lt;DATE(YEAR('(FnCalls 1)'!A9),MONTH('(FnCalls 1)'!A9)+TRUNC(1-B1417),DAY('(FnCalls 1)'!A9))),B1323,0)</f>
        <v>0</v>
      </c>
      <c r="G1412" s="183">
        <f>IF(AND(DATE(YEAR('(FnCalls 1)'!A10),MONTH('(FnCalls 1)'!A10)+TRUNC((-B1417)),DAY('(FnCalls 1)'!A10))&lt;=Inputs!G373,Inputs!G373&lt;DATE(YEAR('(FnCalls 1)'!A10),MONTH('(FnCalls 1)'!A10)+TRUNC(1-B1417),DAY('(FnCalls 1)'!A10))),B1323,0)</f>
        <v>0</v>
      </c>
      <c r="H1412" s="183">
        <f>IF(AND(DATE(YEAR('(FnCalls 1)'!A11),MONTH('(FnCalls 1)'!A11)+TRUNC((-B1417)),DAY('(FnCalls 1)'!A11))&lt;=Inputs!G373,Inputs!G373&lt;DATE(YEAR('(FnCalls 1)'!A11),MONTH('(FnCalls 1)'!A11)+TRUNC(1-B1417),DAY('(FnCalls 1)'!A11))),B1323,0)</f>
        <v>0</v>
      </c>
      <c r="I1412" s="183">
        <f>IF(AND(DATE(YEAR('(FnCalls 1)'!A12),MONTH('(FnCalls 1)'!A12)+TRUNC((-B1417)),DAY('(FnCalls 1)'!A12))&lt;=Inputs!G373,Inputs!G373&lt;DATE(YEAR('(FnCalls 1)'!A12),MONTH('(FnCalls 1)'!A12)+TRUNC(1-B1417),DAY('(FnCalls 1)'!A12))),B1323,0)</f>
        <v>0</v>
      </c>
      <c r="J1412" s="183">
        <f>IF(AND(DATE(YEAR('(FnCalls 1)'!A13),MONTH('(FnCalls 1)'!A13)+TRUNC((-B1417)),DAY('(FnCalls 1)'!A13))&lt;=Inputs!G373,Inputs!G373&lt;DATE(YEAR('(FnCalls 1)'!A13),MONTH('(FnCalls 1)'!A13)+TRUNC(1-B1417),DAY('(FnCalls 1)'!A13))),B1323,0)</f>
        <v>0</v>
      </c>
      <c r="K1412" s="183">
        <f>IF(AND(DATE(YEAR('(FnCalls 1)'!A14),MONTH('(FnCalls 1)'!A14)+TRUNC((-B1417)),DAY('(FnCalls 1)'!A14))&lt;=Inputs!G373,Inputs!G373&lt;DATE(YEAR('(FnCalls 1)'!A14),MONTH('(FnCalls 1)'!A14)+TRUNC(1-B1417),DAY('(FnCalls 1)'!A14))),B1323,0)</f>
        <v>0</v>
      </c>
      <c r="L1412" s="183">
        <f>IF(AND(DATE(YEAR('(FnCalls 1)'!A15),MONTH('(FnCalls 1)'!A15)+TRUNC((-B1417)),DAY('(FnCalls 1)'!A15))&lt;=Inputs!G373,Inputs!G373&lt;DATE(YEAR('(FnCalls 1)'!A15),MONTH('(FnCalls 1)'!A15)+TRUNC(1-B1417),DAY('(FnCalls 1)'!A15))),B1323,0)</f>
        <v>0</v>
      </c>
      <c r="M1412" s="183">
        <f>IF(AND(DATE(YEAR('(FnCalls 1)'!A16),MONTH('(FnCalls 1)'!A16)+TRUNC((-B1417)),DAY('(FnCalls 1)'!A16))&lt;=Inputs!G373,Inputs!G373&lt;DATE(YEAR('(FnCalls 1)'!A16),MONTH('(FnCalls 1)'!A16)+TRUNC(1-B1417),DAY('(FnCalls 1)'!A16))),B1323,0)</f>
        <v>0</v>
      </c>
      <c r="N1412" s="183">
        <f>IF(AND(DATE(YEAR('(FnCalls 1)'!A17),MONTH('(FnCalls 1)'!A17)+TRUNC((-B1417)),DAY('(FnCalls 1)'!A17))&lt;=Inputs!G373,Inputs!G373&lt;DATE(YEAR('(FnCalls 1)'!A17),MONTH('(FnCalls 1)'!A17)+TRUNC(1-B1417),DAY('(FnCalls 1)'!A17))),B1323,0)</f>
        <v>0</v>
      </c>
      <c r="O1412" s="183">
        <f>IF(AND(DATE(YEAR('(FnCalls 1)'!A18),MONTH('(FnCalls 1)'!A18)+TRUNC((-B1417)),DAY('(FnCalls 1)'!A18))&lt;=Inputs!G373,Inputs!G373&lt;DATE(YEAR('(FnCalls 1)'!A18),MONTH('(FnCalls 1)'!A18)+TRUNC(1-B1417),DAY('(FnCalls 1)'!A18))),B1323,0)</f>
        <v>0</v>
      </c>
      <c r="P1412" s="183">
        <f>IF(AND(DATE(YEAR('(FnCalls 1)'!A19),MONTH('(FnCalls 1)'!A19)+TRUNC((-B1417)),DAY('(FnCalls 1)'!A19))&lt;=Inputs!G373,Inputs!G373&lt;DATE(YEAR('(FnCalls 1)'!A19),MONTH('(FnCalls 1)'!A19)+TRUNC(1-B1417),DAY('(FnCalls 1)'!A19))),B1323,0)</f>
        <v>0</v>
      </c>
      <c r="Q1412" s="183">
        <f>IF(AND(DATE(YEAR('(FnCalls 1)'!A20),MONTH('(FnCalls 1)'!A20)+TRUNC((-B1417)),DAY('(FnCalls 1)'!A20))&lt;=Inputs!G373,Inputs!G373&lt;DATE(YEAR('(FnCalls 1)'!A20),MONTH('(FnCalls 1)'!A20)+TRUNC(1-B1417),DAY('(FnCalls 1)'!A20))),B1323,0)</f>
        <v>0</v>
      </c>
      <c r="R1412" s="183">
        <f>IF(AND(DATE(YEAR('(FnCalls 1)'!A21),MONTH('(FnCalls 1)'!A21)+TRUNC((-B1417)),DAY('(FnCalls 1)'!A21))&lt;=Inputs!G373,Inputs!G373&lt;DATE(YEAR('(FnCalls 1)'!A21),MONTH('(FnCalls 1)'!A21)+TRUNC(1-B1417),DAY('(FnCalls 1)'!A21))),B1323,0)</f>
        <v>0</v>
      </c>
      <c r="S1412" s="183">
        <f>IF(AND(DATE(YEAR('(FnCalls 1)'!A22),MONTH('(FnCalls 1)'!A22)+TRUNC((-B1417)),DAY('(FnCalls 1)'!A22))&lt;=Inputs!G373,Inputs!G373&lt;DATE(YEAR('(FnCalls 1)'!A22),MONTH('(FnCalls 1)'!A22)+TRUNC(1-B1417),DAY('(FnCalls 1)'!A22))),B1323,0)</f>
        <v>0</v>
      </c>
      <c r="T1412" s="183">
        <f>IF(AND(DATE(YEAR('(FnCalls 1)'!A23),MONTH('(FnCalls 1)'!A23)+TRUNC((-B1417)),DAY('(FnCalls 1)'!A23))&lt;=Inputs!G373,Inputs!G373&lt;DATE(YEAR('(FnCalls 1)'!A23),MONTH('(FnCalls 1)'!A23)+TRUNC(1-B1417),DAY('(FnCalls 1)'!A23))),B1323,0)</f>
        <v>0</v>
      </c>
      <c r="U1412" s="183">
        <f>IF(AND(DATE(YEAR('(FnCalls 1)'!A24),MONTH('(FnCalls 1)'!A24)+TRUNC((-B1417)),DAY('(FnCalls 1)'!A24))&lt;=Inputs!G373,Inputs!G373&lt;DATE(YEAR('(FnCalls 1)'!A24),MONTH('(FnCalls 1)'!A24)+TRUNC(1-B1417),DAY('(FnCalls 1)'!A24))),B1323,0)</f>
        <v>0</v>
      </c>
      <c r="V1412" s="183">
        <f>IF(AND(DATE(YEAR('(FnCalls 1)'!A25),MONTH('(FnCalls 1)'!A25)+TRUNC((-B1417)),DAY('(FnCalls 1)'!A25))&lt;=Inputs!G373,Inputs!G373&lt;DATE(YEAR('(FnCalls 1)'!A25),MONTH('(FnCalls 1)'!A25)+TRUNC(1-B1417),DAY('(FnCalls 1)'!A25))),B1323,0)</f>
        <v>0</v>
      </c>
      <c r="W1412" s="183">
        <f>IF(AND(DATE(YEAR('(FnCalls 1)'!A26),MONTH('(FnCalls 1)'!A26)+TRUNC((-B1417)),DAY('(FnCalls 1)'!A26))&lt;=Inputs!G373,Inputs!G373&lt;DATE(YEAR('(FnCalls 1)'!A26),MONTH('(FnCalls 1)'!A26)+TRUNC(1-B1417),DAY('(FnCalls 1)'!A26))),B1323,0)</f>
        <v>0</v>
      </c>
      <c r="X1412" s="183">
        <f>IF(AND(DATE(YEAR('(FnCalls 1)'!A27),MONTH('(FnCalls 1)'!A27)+TRUNC((-B1417)),DAY('(FnCalls 1)'!A27))&lt;=Inputs!G373,Inputs!G373&lt;DATE(YEAR('(FnCalls 1)'!A27),MONTH('(FnCalls 1)'!A27)+TRUNC(1-B1417),DAY('(FnCalls 1)'!A27))),B1323,0)</f>
        <v>0</v>
      </c>
      <c r="Y1412" s="183">
        <f>IF(AND(DATE(YEAR('(FnCalls 1)'!A28),MONTH('(FnCalls 1)'!A28)+TRUNC((-B1417)),DAY('(FnCalls 1)'!A28))&lt;=Inputs!G373,Inputs!G373&lt;DATE(YEAR('(FnCalls 1)'!A28),MONTH('(FnCalls 1)'!A28)+TRUNC(1-B1417),DAY('(FnCalls 1)'!A28))),B1323,0)</f>
        <v>0</v>
      </c>
      <c r="Z1412" s="183">
        <f>IF(AND(DATE(YEAR('(FnCalls 1)'!A29),MONTH('(FnCalls 1)'!A29)+TRUNC((-B1417)),DAY('(FnCalls 1)'!A29))&lt;=Inputs!G373,Inputs!G373&lt;DATE(YEAR('(FnCalls 1)'!A29),MONTH('(FnCalls 1)'!A29)+TRUNC(1-B1417),DAY('(FnCalls 1)'!A29))),B1323,0)</f>
        <v>0</v>
      </c>
      <c r="AA1412" s="183">
        <f>IF(AND(DATE(YEAR('(FnCalls 1)'!A30),MONTH('(FnCalls 1)'!A30)+TRUNC((-B1417)),DAY('(FnCalls 1)'!A30))&lt;=Inputs!G373,Inputs!G373&lt;DATE(YEAR('(FnCalls 1)'!A30),MONTH('(FnCalls 1)'!A30)+TRUNC(1-B1417),DAY('(FnCalls 1)'!A30))),B1323,0)</f>
        <v>0</v>
      </c>
      <c r="AB1412" s="183">
        <f>IF(AND(DATE(YEAR('(FnCalls 1)'!A31),MONTH('(FnCalls 1)'!A31)+TRUNC((-B1417)),DAY('(FnCalls 1)'!A31))&lt;=Inputs!G373,Inputs!G373&lt;DATE(YEAR('(FnCalls 1)'!A31),MONTH('(FnCalls 1)'!A31)+TRUNC(1-B1417),DAY('(FnCalls 1)'!A31))),B1323,0)</f>
        <v>0</v>
      </c>
      <c r="AC1412" s="183">
        <f>IF(AND(DATE(YEAR('(FnCalls 1)'!A32),MONTH('(FnCalls 1)'!A32)+TRUNC((-B1417)),DAY('(FnCalls 1)'!A32))&lt;=Inputs!G373,Inputs!G373&lt;DATE(YEAR('(FnCalls 1)'!A32),MONTH('(FnCalls 1)'!A32)+TRUNC(1-B1417),DAY('(FnCalls 1)'!A32))),B1323,0)</f>
        <v>0</v>
      </c>
      <c r="AD1412" s="183">
        <f>IF(AND(DATE(YEAR('(FnCalls 1)'!A33),MONTH('(FnCalls 1)'!A33)+TRUNC((-B1417)),DAY('(FnCalls 1)'!A33))&lt;=Inputs!G373,Inputs!G373&lt;DATE(YEAR('(FnCalls 1)'!A33),MONTH('(FnCalls 1)'!A33)+TRUNC(1-B1417),DAY('(FnCalls 1)'!A33))),B1323,0)</f>
        <v>0</v>
      </c>
      <c r="AE1412" s="183">
        <f>IF(AND(DATE(YEAR('(FnCalls 1)'!A34),MONTH('(FnCalls 1)'!A34)+TRUNC((-B1417)),DAY('(FnCalls 1)'!A34))&lt;=Inputs!G373,Inputs!G373&lt;DATE(YEAR('(FnCalls 1)'!A34),MONTH('(FnCalls 1)'!A34)+TRUNC(1-B1417),DAY('(FnCalls 1)'!A34))),B1323,0)</f>
        <v>0</v>
      </c>
      <c r="AF1412" s="183">
        <f>IF(AND(DATE(YEAR('(FnCalls 1)'!A35),MONTH('(FnCalls 1)'!A35)+TRUNC((-B1417)),DAY('(FnCalls 1)'!A35))&lt;=Inputs!G373,Inputs!G373&lt;DATE(YEAR('(FnCalls 1)'!A35),MONTH('(FnCalls 1)'!A35)+TRUNC(1-B1417),DAY('(FnCalls 1)'!A35))),B1323,0)</f>
        <v>0</v>
      </c>
      <c r="AG1412" s="183">
        <f>IF(AND(DATE(YEAR('(FnCalls 1)'!A36),MONTH('(FnCalls 1)'!A36)+TRUNC((-B1417)),DAY('(FnCalls 1)'!A36))&lt;=Inputs!G373,Inputs!G373&lt;DATE(YEAR('(FnCalls 1)'!A36),MONTH('(FnCalls 1)'!A36)+TRUNC(1-B1417),DAY('(FnCalls 1)'!A36))),B1323,0)</f>
        <v>0</v>
      </c>
      <c r="AH1412" s="183">
        <f>IF(AND(DATE(YEAR('(FnCalls 1)'!A37),MONTH('(FnCalls 1)'!A37)+TRUNC((-B1417)),DAY('(FnCalls 1)'!A37))&lt;=Inputs!G373,Inputs!G373&lt;DATE(YEAR('(FnCalls 1)'!A37),MONTH('(FnCalls 1)'!A37)+TRUNC(1-B1417),DAY('(FnCalls 1)'!A37))),B1323,0)</f>
        <v>0</v>
      </c>
      <c r="AI1412" s="183">
        <f>IF(AND(DATE(YEAR('(FnCalls 1)'!A38),MONTH('(FnCalls 1)'!A38)+TRUNC((-B1417)),DAY('(FnCalls 1)'!A38))&lt;=Inputs!G373,Inputs!G373&lt;DATE(YEAR('(FnCalls 1)'!A38),MONTH('(FnCalls 1)'!A38)+TRUNC(1-B1417),DAY('(FnCalls 1)'!A38))),B1323,0)</f>
        <v>0</v>
      </c>
      <c r="AJ1412" s="183">
        <f>IF(AND(DATE(YEAR('(FnCalls 1)'!A39),MONTH('(FnCalls 1)'!A39)+TRUNC((-B1417)),DAY('(FnCalls 1)'!A39))&lt;=Inputs!G373,Inputs!G373&lt;DATE(YEAR('(FnCalls 1)'!A39),MONTH('(FnCalls 1)'!A39)+TRUNC(1-B1417),DAY('(FnCalls 1)'!A39))),B1323,0)</f>
        <v>0</v>
      </c>
      <c r="AK1412" s="183">
        <f>Assets!B46</f>
        <v>0</v>
      </c>
      <c r="AL1412" s="183">
        <f>Assets!C46</f>
        <v>0</v>
      </c>
      <c r="AM1412" s="183">
        <f>Assets!D46</f>
        <v>0</v>
      </c>
      <c r="AN1412" s="183">
        <f>Assets!E46</f>
        <v>0</v>
      </c>
      <c r="AO1412" s="183">
        <f>Assets!G46</f>
        <v>0</v>
      </c>
      <c r="AP1412" s="183">
        <f>Assets!H46</f>
        <v>0</v>
      </c>
      <c r="AQ1412" s="183">
        <f>Assets!I46</f>
        <v>0</v>
      </c>
      <c r="AR1412" s="183">
        <f>Assets!K46</f>
        <v>0</v>
      </c>
      <c r="AS1412" s="183">
        <f>Assets!L46</f>
        <v>0</v>
      </c>
      <c r="AT1412" s="183">
        <f>Assets!M46</f>
        <v>0</v>
      </c>
      <c r="AU1412" s="183">
        <f>Assets!O46</f>
        <v>0</v>
      </c>
      <c r="AV1412" s="183">
        <f>Assets!P46</f>
        <v>0</v>
      </c>
      <c r="AW1412" s="183">
        <f>Assets!Q46</f>
        <v>0</v>
      </c>
      <c r="AX1412" s="183">
        <f>Assets!S46</f>
        <v>0</v>
      </c>
      <c r="AY1412" s="183">
        <f>Assets!T46</f>
        <v>0</v>
      </c>
      <c r="AZ1412" s="183">
        <f>Assets!U46</f>
        <v>0</v>
      </c>
      <c r="BA1412" s="183">
        <f>Assets!W46</f>
        <v>0</v>
      </c>
      <c r="BB1412" s="183">
        <f>Assets!X46</f>
        <v>0</v>
      </c>
      <c r="BC1412" s="266">
        <f>Assets!Y46</f>
        <v>0</v>
      </c>
    </row>
    <row r="1413" spans="1:55" ht="12.75" customHeight="1" x14ac:dyDescent="0.2">
      <c r="A1413" s="191" t="str">
        <f>Labels!B307</f>
        <v>Building B</v>
      </c>
      <c r="B1413" s="192">
        <f>IF(AND(DATE(YEAR('(FnCalls 1)'!A5),MONTH('(FnCalls 1)'!A5)+TRUNC((-B1418)),DAY('(FnCalls 1)'!A5))&lt;=Inputs!G374,Inputs!G374&lt;DATE(YEAR('(FnCalls 1)'!A5),MONTH('(FnCalls 1)'!A5)+TRUNC(1-B1418),DAY('(FnCalls 1)'!A5))),B1324,0)</f>
        <v>0</v>
      </c>
      <c r="C1413" s="192">
        <f>IF(AND(DATE(YEAR('(FnCalls 1)'!A6),MONTH('(FnCalls 1)'!A6)+TRUNC((-B1418)),DAY('(FnCalls 1)'!A6))&lt;=Inputs!G374,Inputs!G374&lt;DATE(YEAR('(FnCalls 1)'!A6),MONTH('(FnCalls 1)'!A6)+TRUNC(1-B1418),DAY('(FnCalls 1)'!A6))),B1324,0)</f>
        <v>0</v>
      </c>
      <c r="D1413" s="192">
        <f>IF(AND(DATE(YEAR('(FnCalls 1)'!A7),MONTH('(FnCalls 1)'!A7)+TRUNC((-B1418)),DAY('(FnCalls 1)'!A7))&lt;=Inputs!G374,Inputs!G374&lt;DATE(YEAR('(FnCalls 1)'!A7),MONTH('(FnCalls 1)'!A7)+TRUNC(1-B1418),DAY('(FnCalls 1)'!A7))),B1324,0)</f>
        <v>0</v>
      </c>
      <c r="E1413" s="192">
        <f>IF(AND(DATE(YEAR('(FnCalls 1)'!A8),MONTH('(FnCalls 1)'!A8)+TRUNC((-B1418)),DAY('(FnCalls 1)'!A8))&lt;=Inputs!G374,Inputs!G374&lt;DATE(YEAR('(FnCalls 1)'!A8),MONTH('(FnCalls 1)'!A8)+TRUNC(1-B1418),DAY('(FnCalls 1)'!A8))),B1324,0)</f>
        <v>0</v>
      </c>
      <c r="F1413" s="192">
        <f>IF(AND(DATE(YEAR('(FnCalls 1)'!A9),MONTH('(FnCalls 1)'!A9)+TRUNC((-B1418)),DAY('(FnCalls 1)'!A9))&lt;=Inputs!G374,Inputs!G374&lt;DATE(YEAR('(FnCalls 1)'!A9),MONTH('(FnCalls 1)'!A9)+TRUNC(1-B1418),DAY('(FnCalls 1)'!A9))),B1324,0)</f>
        <v>0</v>
      </c>
      <c r="G1413" s="192">
        <f>IF(AND(DATE(YEAR('(FnCalls 1)'!A10),MONTH('(FnCalls 1)'!A10)+TRUNC((-B1418)),DAY('(FnCalls 1)'!A10))&lt;=Inputs!G374,Inputs!G374&lt;DATE(YEAR('(FnCalls 1)'!A10),MONTH('(FnCalls 1)'!A10)+TRUNC(1-B1418),DAY('(FnCalls 1)'!A10))),B1324,0)</f>
        <v>0</v>
      </c>
      <c r="H1413" s="192">
        <f>IF(AND(DATE(YEAR('(FnCalls 1)'!A11),MONTH('(FnCalls 1)'!A11)+TRUNC((-B1418)),DAY('(FnCalls 1)'!A11))&lt;=Inputs!G374,Inputs!G374&lt;DATE(YEAR('(FnCalls 1)'!A11),MONTH('(FnCalls 1)'!A11)+TRUNC(1-B1418),DAY('(FnCalls 1)'!A11))),B1324,0)</f>
        <v>0</v>
      </c>
      <c r="I1413" s="192">
        <f>IF(AND(DATE(YEAR('(FnCalls 1)'!A12),MONTH('(FnCalls 1)'!A12)+TRUNC((-B1418)),DAY('(FnCalls 1)'!A12))&lt;=Inputs!G374,Inputs!G374&lt;DATE(YEAR('(FnCalls 1)'!A12),MONTH('(FnCalls 1)'!A12)+TRUNC(1-B1418),DAY('(FnCalls 1)'!A12))),B1324,0)</f>
        <v>0</v>
      </c>
      <c r="J1413" s="192">
        <f>IF(AND(DATE(YEAR('(FnCalls 1)'!A13),MONTH('(FnCalls 1)'!A13)+TRUNC((-B1418)),DAY('(FnCalls 1)'!A13))&lt;=Inputs!G374,Inputs!G374&lt;DATE(YEAR('(FnCalls 1)'!A13),MONTH('(FnCalls 1)'!A13)+TRUNC(1-B1418),DAY('(FnCalls 1)'!A13))),B1324,0)</f>
        <v>0</v>
      </c>
      <c r="K1413" s="192">
        <f>IF(AND(DATE(YEAR('(FnCalls 1)'!A14),MONTH('(FnCalls 1)'!A14)+TRUNC((-B1418)),DAY('(FnCalls 1)'!A14))&lt;=Inputs!G374,Inputs!G374&lt;DATE(YEAR('(FnCalls 1)'!A14),MONTH('(FnCalls 1)'!A14)+TRUNC(1-B1418),DAY('(FnCalls 1)'!A14))),B1324,0)</f>
        <v>0</v>
      </c>
      <c r="L1413" s="192">
        <f>IF(AND(DATE(YEAR('(FnCalls 1)'!A15),MONTH('(FnCalls 1)'!A15)+TRUNC((-B1418)),DAY('(FnCalls 1)'!A15))&lt;=Inputs!G374,Inputs!G374&lt;DATE(YEAR('(FnCalls 1)'!A15),MONTH('(FnCalls 1)'!A15)+TRUNC(1-B1418),DAY('(FnCalls 1)'!A15))),B1324,0)</f>
        <v>0</v>
      </c>
      <c r="M1413" s="192">
        <f>IF(AND(DATE(YEAR('(FnCalls 1)'!A16),MONTH('(FnCalls 1)'!A16)+TRUNC((-B1418)),DAY('(FnCalls 1)'!A16))&lt;=Inputs!G374,Inputs!G374&lt;DATE(YEAR('(FnCalls 1)'!A16),MONTH('(FnCalls 1)'!A16)+TRUNC(1-B1418),DAY('(FnCalls 1)'!A16))),B1324,0)</f>
        <v>0</v>
      </c>
      <c r="N1413" s="192">
        <f>IF(AND(DATE(YEAR('(FnCalls 1)'!A17),MONTH('(FnCalls 1)'!A17)+TRUNC((-B1418)),DAY('(FnCalls 1)'!A17))&lt;=Inputs!G374,Inputs!G374&lt;DATE(YEAR('(FnCalls 1)'!A17),MONTH('(FnCalls 1)'!A17)+TRUNC(1-B1418),DAY('(FnCalls 1)'!A17))),B1324,0)</f>
        <v>0</v>
      </c>
      <c r="O1413" s="192">
        <f>IF(AND(DATE(YEAR('(FnCalls 1)'!A18),MONTH('(FnCalls 1)'!A18)+TRUNC((-B1418)),DAY('(FnCalls 1)'!A18))&lt;=Inputs!G374,Inputs!G374&lt;DATE(YEAR('(FnCalls 1)'!A18),MONTH('(FnCalls 1)'!A18)+TRUNC(1-B1418),DAY('(FnCalls 1)'!A18))),B1324,0)</f>
        <v>0</v>
      </c>
      <c r="P1413" s="192">
        <f>IF(AND(DATE(YEAR('(FnCalls 1)'!A19),MONTH('(FnCalls 1)'!A19)+TRUNC((-B1418)),DAY('(FnCalls 1)'!A19))&lt;=Inputs!G374,Inputs!G374&lt;DATE(YEAR('(FnCalls 1)'!A19),MONTH('(FnCalls 1)'!A19)+TRUNC(1-B1418),DAY('(FnCalls 1)'!A19))),B1324,0)</f>
        <v>0</v>
      </c>
      <c r="Q1413" s="192">
        <f>IF(AND(DATE(YEAR('(FnCalls 1)'!A20),MONTH('(FnCalls 1)'!A20)+TRUNC((-B1418)),DAY('(FnCalls 1)'!A20))&lt;=Inputs!G374,Inputs!G374&lt;DATE(YEAR('(FnCalls 1)'!A20),MONTH('(FnCalls 1)'!A20)+TRUNC(1-B1418),DAY('(FnCalls 1)'!A20))),B1324,0)</f>
        <v>0</v>
      </c>
      <c r="R1413" s="192">
        <f>IF(AND(DATE(YEAR('(FnCalls 1)'!A21),MONTH('(FnCalls 1)'!A21)+TRUNC((-B1418)),DAY('(FnCalls 1)'!A21))&lt;=Inputs!G374,Inputs!G374&lt;DATE(YEAR('(FnCalls 1)'!A21),MONTH('(FnCalls 1)'!A21)+TRUNC(1-B1418),DAY('(FnCalls 1)'!A21))),B1324,0)</f>
        <v>0</v>
      </c>
      <c r="S1413" s="192">
        <f>IF(AND(DATE(YEAR('(FnCalls 1)'!A22),MONTH('(FnCalls 1)'!A22)+TRUNC((-B1418)),DAY('(FnCalls 1)'!A22))&lt;=Inputs!G374,Inputs!G374&lt;DATE(YEAR('(FnCalls 1)'!A22),MONTH('(FnCalls 1)'!A22)+TRUNC(1-B1418),DAY('(FnCalls 1)'!A22))),B1324,0)</f>
        <v>0</v>
      </c>
      <c r="T1413" s="192">
        <f>IF(AND(DATE(YEAR('(FnCalls 1)'!A23),MONTH('(FnCalls 1)'!A23)+TRUNC((-B1418)),DAY('(FnCalls 1)'!A23))&lt;=Inputs!G374,Inputs!G374&lt;DATE(YEAR('(FnCalls 1)'!A23),MONTH('(FnCalls 1)'!A23)+TRUNC(1-B1418),DAY('(FnCalls 1)'!A23))),B1324,0)</f>
        <v>0</v>
      </c>
      <c r="U1413" s="192">
        <f>IF(AND(DATE(YEAR('(FnCalls 1)'!A24),MONTH('(FnCalls 1)'!A24)+TRUNC((-B1418)),DAY('(FnCalls 1)'!A24))&lt;=Inputs!G374,Inputs!G374&lt;DATE(YEAR('(FnCalls 1)'!A24),MONTH('(FnCalls 1)'!A24)+TRUNC(1-B1418),DAY('(FnCalls 1)'!A24))),B1324,0)</f>
        <v>0</v>
      </c>
      <c r="V1413" s="192">
        <f>IF(AND(DATE(YEAR('(FnCalls 1)'!A25),MONTH('(FnCalls 1)'!A25)+TRUNC((-B1418)),DAY('(FnCalls 1)'!A25))&lt;=Inputs!G374,Inputs!G374&lt;DATE(YEAR('(FnCalls 1)'!A25),MONTH('(FnCalls 1)'!A25)+TRUNC(1-B1418),DAY('(FnCalls 1)'!A25))),B1324,0)</f>
        <v>0</v>
      </c>
      <c r="W1413" s="192">
        <f>IF(AND(DATE(YEAR('(FnCalls 1)'!A26),MONTH('(FnCalls 1)'!A26)+TRUNC((-B1418)),DAY('(FnCalls 1)'!A26))&lt;=Inputs!G374,Inputs!G374&lt;DATE(YEAR('(FnCalls 1)'!A26),MONTH('(FnCalls 1)'!A26)+TRUNC(1-B1418),DAY('(FnCalls 1)'!A26))),B1324,0)</f>
        <v>0</v>
      </c>
      <c r="X1413" s="192">
        <f>IF(AND(DATE(YEAR('(FnCalls 1)'!A27),MONTH('(FnCalls 1)'!A27)+TRUNC((-B1418)),DAY('(FnCalls 1)'!A27))&lt;=Inputs!G374,Inputs!G374&lt;DATE(YEAR('(FnCalls 1)'!A27),MONTH('(FnCalls 1)'!A27)+TRUNC(1-B1418),DAY('(FnCalls 1)'!A27))),B1324,0)</f>
        <v>0</v>
      </c>
      <c r="Y1413" s="192">
        <f>IF(AND(DATE(YEAR('(FnCalls 1)'!A28),MONTH('(FnCalls 1)'!A28)+TRUNC((-B1418)),DAY('(FnCalls 1)'!A28))&lt;=Inputs!G374,Inputs!G374&lt;DATE(YEAR('(FnCalls 1)'!A28),MONTH('(FnCalls 1)'!A28)+TRUNC(1-B1418),DAY('(FnCalls 1)'!A28))),B1324,0)</f>
        <v>0</v>
      </c>
      <c r="Z1413" s="192">
        <f>IF(AND(DATE(YEAR('(FnCalls 1)'!A29),MONTH('(FnCalls 1)'!A29)+TRUNC((-B1418)),DAY('(FnCalls 1)'!A29))&lt;=Inputs!G374,Inputs!G374&lt;DATE(YEAR('(FnCalls 1)'!A29),MONTH('(FnCalls 1)'!A29)+TRUNC(1-B1418),DAY('(FnCalls 1)'!A29))),B1324,0)</f>
        <v>0</v>
      </c>
      <c r="AA1413" s="192">
        <f>IF(AND(DATE(YEAR('(FnCalls 1)'!A30),MONTH('(FnCalls 1)'!A30)+TRUNC((-B1418)),DAY('(FnCalls 1)'!A30))&lt;=Inputs!G374,Inputs!G374&lt;DATE(YEAR('(FnCalls 1)'!A30),MONTH('(FnCalls 1)'!A30)+TRUNC(1-B1418),DAY('(FnCalls 1)'!A30))),B1324,0)</f>
        <v>0</v>
      </c>
      <c r="AB1413" s="192">
        <f>IF(AND(DATE(YEAR('(FnCalls 1)'!A31),MONTH('(FnCalls 1)'!A31)+TRUNC((-B1418)),DAY('(FnCalls 1)'!A31))&lt;=Inputs!G374,Inputs!G374&lt;DATE(YEAR('(FnCalls 1)'!A31),MONTH('(FnCalls 1)'!A31)+TRUNC(1-B1418),DAY('(FnCalls 1)'!A31))),B1324,0)</f>
        <v>0</v>
      </c>
      <c r="AC1413" s="192">
        <f>IF(AND(DATE(YEAR('(FnCalls 1)'!A32),MONTH('(FnCalls 1)'!A32)+TRUNC((-B1418)),DAY('(FnCalls 1)'!A32))&lt;=Inputs!G374,Inputs!G374&lt;DATE(YEAR('(FnCalls 1)'!A32),MONTH('(FnCalls 1)'!A32)+TRUNC(1-B1418),DAY('(FnCalls 1)'!A32))),B1324,0)</f>
        <v>0</v>
      </c>
      <c r="AD1413" s="192">
        <f>IF(AND(DATE(YEAR('(FnCalls 1)'!A33),MONTH('(FnCalls 1)'!A33)+TRUNC((-B1418)),DAY('(FnCalls 1)'!A33))&lt;=Inputs!G374,Inputs!G374&lt;DATE(YEAR('(FnCalls 1)'!A33),MONTH('(FnCalls 1)'!A33)+TRUNC(1-B1418),DAY('(FnCalls 1)'!A33))),B1324,0)</f>
        <v>0</v>
      </c>
      <c r="AE1413" s="192">
        <f>IF(AND(DATE(YEAR('(FnCalls 1)'!A34),MONTH('(FnCalls 1)'!A34)+TRUNC((-B1418)),DAY('(FnCalls 1)'!A34))&lt;=Inputs!G374,Inputs!G374&lt;DATE(YEAR('(FnCalls 1)'!A34),MONTH('(FnCalls 1)'!A34)+TRUNC(1-B1418),DAY('(FnCalls 1)'!A34))),B1324,0)</f>
        <v>0</v>
      </c>
      <c r="AF1413" s="192">
        <f>IF(AND(DATE(YEAR('(FnCalls 1)'!A35),MONTH('(FnCalls 1)'!A35)+TRUNC((-B1418)),DAY('(FnCalls 1)'!A35))&lt;=Inputs!G374,Inputs!G374&lt;DATE(YEAR('(FnCalls 1)'!A35),MONTH('(FnCalls 1)'!A35)+TRUNC(1-B1418),DAY('(FnCalls 1)'!A35))),B1324,0)</f>
        <v>0</v>
      </c>
      <c r="AG1413" s="192">
        <f>IF(AND(DATE(YEAR('(FnCalls 1)'!A36),MONTH('(FnCalls 1)'!A36)+TRUNC((-B1418)),DAY('(FnCalls 1)'!A36))&lt;=Inputs!G374,Inputs!G374&lt;DATE(YEAR('(FnCalls 1)'!A36),MONTH('(FnCalls 1)'!A36)+TRUNC(1-B1418),DAY('(FnCalls 1)'!A36))),B1324,0)</f>
        <v>0</v>
      </c>
      <c r="AH1413" s="192">
        <f>IF(AND(DATE(YEAR('(FnCalls 1)'!A37),MONTH('(FnCalls 1)'!A37)+TRUNC((-B1418)),DAY('(FnCalls 1)'!A37))&lt;=Inputs!G374,Inputs!G374&lt;DATE(YEAR('(FnCalls 1)'!A37),MONTH('(FnCalls 1)'!A37)+TRUNC(1-B1418),DAY('(FnCalls 1)'!A37))),B1324,0)</f>
        <v>0</v>
      </c>
      <c r="AI1413" s="192">
        <f>IF(AND(DATE(YEAR('(FnCalls 1)'!A38),MONTH('(FnCalls 1)'!A38)+TRUNC((-B1418)),DAY('(FnCalls 1)'!A38))&lt;=Inputs!G374,Inputs!G374&lt;DATE(YEAR('(FnCalls 1)'!A38),MONTH('(FnCalls 1)'!A38)+TRUNC(1-B1418),DAY('(FnCalls 1)'!A38))),B1324,0)</f>
        <v>0</v>
      </c>
      <c r="AJ1413" s="192">
        <f>IF(AND(DATE(YEAR('(FnCalls 1)'!A39),MONTH('(FnCalls 1)'!A39)+TRUNC((-B1418)),DAY('(FnCalls 1)'!A39))&lt;=Inputs!G374,Inputs!G374&lt;DATE(YEAR('(FnCalls 1)'!A39),MONTH('(FnCalls 1)'!A39)+TRUNC(1-B1418),DAY('(FnCalls 1)'!A39))),B1324,0)</f>
        <v>0</v>
      </c>
      <c r="AK1413" s="192">
        <f>Assets!B47</f>
        <v>0</v>
      </c>
      <c r="AL1413" s="192">
        <f>Assets!C47</f>
        <v>0</v>
      </c>
      <c r="AM1413" s="192">
        <f>Assets!D47</f>
        <v>0</v>
      </c>
      <c r="AN1413" s="192">
        <f>Assets!E47</f>
        <v>0</v>
      </c>
      <c r="AO1413" s="192">
        <f>Assets!G47</f>
        <v>0</v>
      </c>
      <c r="AP1413" s="192">
        <f>Assets!H47</f>
        <v>0</v>
      </c>
      <c r="AQ1413" s="192">
        <f>Assets!I47</f>
        <v>0</v>
      </c>
      <c r="AR1413" s="192">
        <f>Assets!K47</f>
        <v>0</v>
      </c>
      <c r="AS1413" s="192">
        <f>Assets!L47</f>
        <v>0</v>
      </c>
      <c r="AT1413" s="192">
        <f>Assets!M47</f>
        <v>0</v>
      </c>
      <c r="AU1413" s="192">
        <f>Assets!O47</f>
        <v>0</v>
      </c>
      <c r="AV1413" s="192">
        <f>Assets!P47</f>
        <v>0</v>
      </c>
      <c r="AW1413" s="192">
        <f>Assets!Q47</f>
        <v>0</v>
      </c>
      <c r="AX1413" s="192">
        <f>Assets!S47</f>
        <v>0</v>
      </c>
      <c r="AY1413" s="192">
        <f>Assets!T47</f>
        <v>0</v>
      </c>
      <c r="AZ1413" s="192">
        <f>Assets!U47</f>
        <v>0</v>
      </c>
      <c r="BA1413" s="192">
        <f>Assets!W47</f>
        <v>0</v>
      </c>
      <c r="BB1413" s="192">
        <f>Assets!X47</f>
        <v>0</v>
      </c>
      <c r="BC1413" s="280">
        <f>Assets!Y47</f>
        <v>0</v>
      </c>
    </row>
    <row r="1414" spans="1:55" ht="12.75" customHeight="1" x14ac:dyDescent="0.2">
      <c r="A1414" s="97" t="str">
        <f>Labels!C305</f>
        <v>Total</v>
      </c>
      <c r="B1414" s="194">
        <f t="shared" ref="B1414:AG1414" si="676">SUM(B1412:B1413)</f>
        <v>0</v>
      </c>
      <c r="C1414" s="194">
        <f t="shared" si="676"/>
        <v>0</v>
      </c>
      <c r="D1414" s="194">
        <f t="shared" si="676"/>
        <v>0</v>
      </c>
      <c r="E1414" s="194">
        <f t="shared" si="676"/>
        <v>0</v>
      </c>
      <c r="F1414" s="194">
        <f t="shared" si="676"/>
        <v>0</v>
      </c>
      <c r="G1414" s="194">
        <f t="shared" si="676"/>
        <v>0</v>
      </c>
      <c r="H1414" s="194">
        <f t="shared" si="676"/>
        <v>0</v>
      </c>
      <c r="I1414" s="194">
        <f t="shared" si="676"/>
        <v>0</v>
      </c>
      <c r="J1414" s="194">
        <f t="shared" si="676"/>
        <v>0</v>
      </c>
      <c r="K1414" s="194">
        <f t="shared" si="676"/>
        <v>0</v>
      </c>
      <c r="L1414" s="194">
        <f t="shared" si="676"/>
        <v>0</v>
      </c>
      <c r="M1414" s="194">
        <f t="shared" si="676"/>
        <v>0</v>
      </c>
      <c r="N1414" s="194">
        <f t="shared" si="676"/>
        <v>0</v>
      </c>
      <c r="O1414" s="194">
        <f t="shared" si="676"/>
        <v>0</v>
      </c>
      <c r="P1414" s="194">
        <f t="shared" si="676"/>
        <v>0</v>
      </c>
      <c r="Q1414" s="194">
        <f t="shared" si="676"/>
        <v>0</v>
      </c>
      <c r="R1414" s="194">
        <f t="shared" si="676"/>
        <v>0</v>
      </c>
      <c r="S1414" s="194">
        <f t="shared" si="676"/>
        <v>0</v>
      </c>
      <c r="T1414" s="194">
        <f t="shared" si="676"/>
        <v>0</v>
      </c>
      <c r="U1414" s="194">
        <f t="shared" si="676"/>
        <v>0</v>
      </c>
      <c r="V1414" s="194">
        <f t="shared" si="676"/>
        <v>0</v>
      </c>
      <c r="W1414" s="194">
        <f t="shared" si="676"/>
        <v>0</v>
      </c>
      <c r="X1414" s="194">
        <f t="shared" si="676"/>
        <v>0</v>
      </c>
      <c r="Y1414" s="194">
        <f t="shared" si="676"/>
        <v>0</v>
      </c>
      <c r="Z1414" s="194">
        <f t="shared" si="676"/>
        <v>0</v>
      </c>
      <c r="AA1414" s="194">
        <f t="shared" si="676"/>
        <v>0</v>
      </c>
      <c r="AB1414" s="194">
        <f t="shared" si="676"/>
        <v>0</v>
      </c>
      <c r="AC1414" s="194">
        <f t="shared" si="676"/>
        <v>0</v>
      </c>
      <c r="AD1414" s="194">
        <f t="shared" si="676"/>
        <v>0</v>
      </c>
      <c r="AE1414" s="194">
        <f t="shared" si="676"/>
        <v>0</v>
      </c>
      <c r="AF1414" s="194">
        <f t="shared" si="676"/>
        <v>0</v>
      </c>
      <c r="AG1414" s="194">
        <f t="shared" si="676"/>
        <v>0</v>
      </c>
      <c r="AH1414" s="194">
        <f t="shared" ref="AH1414:BC1414" si="677">SUM(AH1412:AH1413)</f>
        <v>0</v>
      </c>
      <c r="AI1414" s="194">
        <f t="shared" si="677"/>
        <v>0</v>
      </c>
      <c r="AJ1414" s="194">
        <f t="shared" si="677"/>
        <v>0</v>
      </c>
      <c r="AK1414" s="194">
        <f t="shared" si="677"/>
        <v>0</v>
      </c>
      <c r="AL1414" s="194">
        <f t="shared" si="677"/>
        <v>0</v>
      </c>
      <c r="AM1414" s="194">
        <f t="shared" si="677"/>
        <v>0</v>
      </c>
      <c r="AN1414" s="194">
        <f t="shared" si="677"/>
        <v>0</v>
      </c>
      <c r="AO1414" s="194">
        <f t="shared" si="677"/>
        <v>0</v>
      </c>
      <c r="AP1414" s="194">
        <f t="shared" si="677"/>
        <v>0</v>
      </c>
      <c r="AQ1414" s="194">
        <f t="shared" si="677"/>
        <v>0</v>
      </c>
      <c r="AR1414" s="194">
        <f t="shared" si="677"/>
        <v>0</v>
      </c>
      <c r="AS1414" s="194">
        <f t="shared" si="677"/>
        <v>0</v>
      </c>
      <c r="AT1414" s="194">
        <f t="shared" si="677"/>
        <v>0</v>
      </c>
      <c r="AU1414" s="194">
        <f t="shared" si="677"/>
        <v>0</v>
      </c>
      <c r="AV1414" s="194">
        <f t="shared" si="677"/>
        <v>0</v>
      </c>
      <c r="AW1414" s="194">
        <f t="shared" si="677"/>
        <v>0</v>
      </c>
      <c r="AX1414" s="194">
        <f t="shared" si="677"/>
        <v>0</v>
      </c>
      <c r="AY1414" s="194">
        <f t="shared" si="677"/>
        <v>0</v>
      </c>
      <c r="AZ1414" s="194">
        <f t="shared" si="677"/>
        <v>0</v>
      </c>
      <c r="BA1414" s="194">
        <f t="shared" si="677"/>
        <v>0</v>
      </c>
      <c r="BB1414" s="194">
        <f t="shared" si="677"/>
        <v>0</v>
      </c>
      <c r="BC1414" s="351">
        <f t="shared" si="677"/>
        <v>0</v>
      </c>
    </row>
    <row r="1415" spans="1:55" ht="12.75" customHeight="1" x14ac:dyDescent="0.2">
      <c r="A1415" s="1" t="str">
        <f>Labels!B272</f>
        <v>Physical Life (period)</v>
      </c>
    </row>
    <row r="1416" spans="1:55" ht="12.75" customHeight="1" x14ac:dyDescent="0.2">
      <c r="B1416" s="181"/>
    </row>
    <row r="1417" spans="1:55" ht="12.75" customHeight="1" x14ac:dyDescent="0.2">
      <c r="A1417" s="182" t="str">
        <f>Labels!B306</f>
        <v>Building A</v>
      </c>
      <c r="B1417" s="376">
        <f>ROUND(12*B1318,0)</f>
        <v>120</v>
      </c>
    </row>
    <row r="1418" spans="1:55" ht="12.75" customHeight="1" x14ac:dyDescent="0.2">
      <c r="A1418" s="191" t="str">
        <f>Labels!B307</f>
        <v>Building B</v>
      </c>
      <c r="B1418" s="377">
        <f>ROUND(12*B1319,0)</f>
        <v>120</v>
      </c>
    </row>
    <row r="1419" spans="1:55" ht="12.75" customHeight="1" x14ac:dyDescent="0.2">
      <c r="A1419" s="97" t="str">
        <f>Labels!C305</f>
        <v>Total</v>
      </c>
      <c r="B1419" s="369">
        <f>AVERAGE(B1417:B1418)</f>
        <v>120</v>
      </c>
    </row>
    <row r="1420" spans="1:55" ht="12.75" customHeight="1" x14ac:dyDescent="0.2">
      <c r="A1420" s="1" t="str">
        <f>Labels!B60</f>
        <v>Cap'd Dev Period Lagged</v>
      </c>
    </row>
    <row r="1421" spans="1:55" ht="12.75" customHeight="1" x14ac:dyDescent="0.2">
      <c r="B1421" s="9" t="str">
        <f>'(FnCalls 1)'!F41</f>
        <v>MMM 2010</v>
      </c>
      <c r="C1421" s="10" t="str">
        <f>'(FnCalls 1)'!F42</f>
        <v>MMM 2010</v>
      </c>
      <c r="D1421" s="10" t="str">
        <f>'(FnCalls 1)'!F43</f>
        <v>MMM 2010</v>
      </c>
      <c r="E1421" s="10" t="str">
        <f>'(FnCalls 1)'!F44</f>
        <v>MMM 2010</v>
      </c>
      <c r="F1421" s="10" t="str">
        <f>'(FnCalls 1)'!F45</f>
        <v>MMM 2010</v>
      </c>
      <c r="G1421" s="10" t="str">
        <f>'(FnCalls 1)'!F46</f>
        <v>MMM 2010</v>
      </c>
      <c r="H1421" s="10" t="str">
        <f>'(FnCalls 1)'!F47</f>
        <v>MMM 2010</v>
      </c>
      <c r="I1421" s="10" t="str">
        <f>'(FnCalls 1)'!F48</f>
        <v>MMM 2010</v>
      </c>
      <c r="J1421" s="10" t="str">
        <f>'(FnCalls 1)'!F49</f>
        <v>MMM 2010</v>
      </c>
      <c r="K1421" s="10" t="str">
        <f>'(FnCalls 1)'!F50</f>
        <v>MMM 2010</v>
      </c>
      <c r="L1421" s="10" t="str">
        <f>'(FnCalls 1)'!F51</f>
        <v>MMM 2010</v>
      </c>
      <c r="M1421" s="10" t="str">
        <f>'(FnCalls 1)'!F52</f>
        <v>MMM 2010</v>
      </c>
      <c r="N1421" s="10" t="str">
        <f>'(FnCalls 1)'!F53</f>
        <v>MMM 2011</v>
      </c>
      <c r="O1421" s="10" t="str">
        <f>'(FnCalls 1)'!F54</f>
        <v>MMM 2011</v>
      </c>
      <c r="P1421" s="10" t="str">
        <f>'(FnCalls 1)'!F55</f>
        <v>MMM 2011</v>
      </c>
      <c r="Q1421" s="10" t="str">
        <f>'(FnCalls 1)'!F56</f>
        <v>MMM 2011</v>
      </c>
      <c r="R1421" s="10" t="str">
        <f>'(FnCalls 1)'!F57</f>
        <v>MMM 2011</v>
      </c>
      <c r="S1421" s="11" t="str">
        <f>'(FnCalls 1)'!F58</f>
        <v>MMM 2011</v>
      </c>
    </row>
    <row r="1422" spans="1:55" ht="12.75" customHeight="1" x14ac:dyDescent="0.2">
      <c r="A1422" s="182" t="str">
        <f>Labels!B381</f>
        <v>Practice 1</v>
      </c>
      <c r="B1422" s="239">
        <f>IF(C9-B1345*12&lt;0.999,0,INDEX('(Ranges)'!A66:S66,,C9-ROUND(B1345*12,0)))</f>
        <v>0</v>
      </c>
      <c r="C1422" s="239">
        <f>IF(D9-B1345*12&lt;0.999,0,INDEX('(Ranges)'!A66:S66,,D9-ROUND(B1345*12,0)))</f>
        <v>0</v>
      </c>
      <c r="D1422" s="239">
        <f>IF(E9-B1345*12&lt;0.999,0,INDEX('(Ranges)'!A66:S66,,E9-ROUND(B1345*12,0)))</f>
        <v>0</v>
      </c>
      <c r="E1422" s="239">
        <f>IF(F9-B1345*12&lt;0.999,0,INDEX('(Ranges)'!A66:S66,,F9-ROUND(B1345*12,0)))</f>
        <v>0</v>
      </c>
      <c r="F1422" s="239">
        <f>IF(G9-B1345*12&lt;0.999,0,INDEX('(Ranges)'!A66:S66,,G9-ROUND(B1345*12,0)))</f>
        <v>0</v>
      </c>
      <c r="G1422" s="239">
        <f>IF(H9-B1345*12&lt;0.999,0,INDEX('(Ranges)'!A66:S66,,H9-ROUND(B1345*12,0)))</f>
        <v>0</v>
      </c>
      <c r="H1422" s="239">
        <f>IF(I9-B1345*12&lt;0.999,0,INDEX('(Ranges)'!A66:S66,,I9-ROUND(B1345*12,0)))</f>
        <v>0</v>
      </c>
      <c r="I1422" s="239">
        <f>IF(J9-B1345*12&lt;0.999,0,INDEX('(Ranges)'!A66:S66,,J9-ROUND(B1345*12,0)))</f>
        <v>0</v>
      </c>
      <c r="J1422" s="239">
        <f>IF(K9-B1345*12&lt;0.999,0,INDEX('(Ranges)'!A66:S66,,K9-ROUND(B1345*12,0)))</f>
        <v>0</v>
      </c>
      <c r="K1422" s="239">
        <f>IF(L9-B1345*12&lt;0.999,0,INDEX('(Ranges)'!A66:S66,,L9-ROUND(B1345*12,0)))</f>
        <v>0</v>
      </c>
      <c r="L1422" s="239">
        <f>IF(M9-B1345*12&lt;0.999,0,INDEX('(Ranges)'!A66:S66,,M9-ROUND(B1345*12,0)))</f>
        <v>0</v>
      </c>
      <c r="M1422" s="239">
        <f>IF(N9-B1345*12&lt;0.999,0,INDEX('(Ranges)'!A66:S66,,N9-ROUND(B1345*12,0)))</f>
        <v>0</v>
      </c>
      <c r="N1422" s="239">
        <f>IF(O9-B1345*12&lt;0.999,0,INDEX('(Ranges)'!A66:S66,,O9-ROUND(B1345*12,0)))</f>
        <v>0</v>
      </c>
      <c r="O1422" s="239">
        <f>IF(P9-B1345*12&lt;0.999,0,INDEX('(Ranges)'!A66:S66,,P9-ROUND(B1345*12,0)))</f>
        <v>0</v>
      </c>
      <c r="P1422" s="239">
        <f>IF(Q9-B1345*12&lt;0.999,0,INDEX('(Ranges)'!A66:S66,,Q9-ROUND(B1345*12,0)))</f>
        <v>0</v>
      </c>
      <c r="Q1422" s="239">
        <f>IF(R9-B1345*12&lt;0.999,0,INDEX('(Ranges)'!A66:S66,,R9-ROUND(B1345*12,0)))</f>
        <v>0</v>
      </c>
      <c r="R1422" s="239">
        <f>IF(S9-B1345*12&lt;0.999,0,INDEX('(Ranges)'!A66:S66,,S9-ROUND(B1345*12,0)))</f>
        <v>0</v>
      </c>
      <c r="S1422" s="335">
        <f>IF(T9-B1345*12&lt;0.999,0,INDEX('(Ranges)'!A66:S66,,T9-ROUND(B1345*12,0)))</f>
        <v>0</v>
      </c>
    </row>
    <row r="1423" spans="1:55" ht="12.75" customHeight="1" x14ac:dyDescent="0.2">
      <c r="A1423" s="191" t="str">
        <f>Labels!B382</f>
        <v>Practice 2</v>
      </c>
      <c r="B1423" s="245">
        <f>IF(C9-B1346*12&lt;0.999,0,INDEX('(Ranges)'!A67:S67,,C9-ROUND(B1346*12,0)))</f>
        <v>0</v>
      </c>
      <c r="C1423" s="245">
        <f>IF(D9-B1346*12&lt;0.999,0,INDEX('(Ranges)'!A67:S67,,D9-ROUND(B1346*12,0)))</f>
        <v>0</v>
      </c>
      <c r="D1423" s="245">
        <f>IF(E9-B1346*12&lt;0.999,0,INDEX('(Ranges)'!A67:S67,,E9-ROUND(B1346*12,0)))</f>
        <v>0</v>
      </c>
      <c r="E1423" s="245">
        <f>IF(F9-B1346*12&lt;0.999,0,INDEX('(Ranges)'!A67:S67,,F9-ROUND(B1346*12,0)))</f>
        <v>0</v>
      </c>
      <c r="F1423" s="245">
        <f>IF(G9-B1346*12&lt;0.999,0,INDEX('(Ranges)'!A67:S67,,G9-ROUND(B1346*12,0)))</f>
        <v>0</v>
      </c>
      <c r="G1423" s="245">
        <f>IF(H9-B1346*12&lt;0.999,0,INDEX('(Ranges)'!A67:S67,,H9-ROUND(B1346*12,0)))</f>
        <v>0</v>
      </c>
      <c r="H1423" s="245">
        <f>IF(I9-B1346*12&lt;0.999,0,INDEX('(Ranges)'!A67:S67,,I9-ROUND(B1346*12,0)))</f>
        <v>0</v>
      </c>
      <c r="I1423" s="245">
        <f>IF(J9-B1346*12&lt;0.999,0,INDEX('(Ranges)'!A67:S67,,J9-ROUND(B1346*12,0)))</f>
        <v>0</v>
      </c>
      <c r="J1423" s="245">
        <f>IF(K9-B1346*12&lt;0.999,0,INDEX('(Ranges)'!A67:S67,,K9-ROUND(B1346*12,0)))</f>
        <v>0</v>
      </c>
      <c r="K1423" s="245">
        <f>IF(L9-B1346*12&lt;0.999,0,INDEX('(Ranges)'!A67:S67,,L9-ROUND(B1346*12,0)))</f>
        <v>0</v>
      </c>
      <c r="L1423" s="245">
        <f>IF(M9-B1346*12&lt;0.999,0,INDEX('(Ranges)'!A67:S67,,M9-ROUND(B1346*12,0)))</f>
        <v>0</v>
      </c>
      <c r="M1423" s="245">
        <f>IF(N9-B1346*12&lt;0.999,0,INDEX('(Ranges)'!A67:S67,,N9-ROUND(B1346*12,0)))</f>
        <v>0</v>
      </c>
      <c r="N1423" s="245">
        <f>IF(O9-B1346*12&lt;0.999,0,INDEX('(Ranges)'!A67:S67,,O9-ROUND(B1346*12,0)))</f>
        <v>0</v>
      </c>
      <c r="O1423" s="245">
        <f>IF(P9-B1346*12&lt;0.999,0,INDEX('(Ranges)'!A67:S67,,P9-ROUND(B1346*12,0)))</f>
        <v>0</v>
      </c>
      <c r="P1423" s="245">
        <f>IF(Q9-B1346*12&lt;0.999,0,INDEX('(Ranges)'!A67:S67,,Q9-ROUND(B1346*12,0)))</f>
        <v>0</v>
      </c>
      <c r="Q1423" s="245">
        <f>IF(R9-B1346*12&lt;0.999,0,INDEX('(Ranges)'!A67:S67,,R9-ROUND(B1346*12,0)))</f>
        <v>0</v>
      </c>
      <c r="R1423" s="245">
        <f>IF(S9-B1346*12&lt;0.999,0,INDEX('(Ranges)'!A67:S67,,S9-ROUND(B1346*12,0)))</f>
        <v>0</v>
      </c>
      <c r="S1423" s="353">
        <f>IF(T9-B1346*12&lt;0.999,0,INDEX('(Ranges)'!A67:S67,,T9-ROUND(B1346*12,0)))</f>
        <v>0</v>
      </c>
    </row>
    <row r="1424" spans="1:55" ht="12.75" customHeight="1" x14ac:dyDescent="0.2">
      <c r="A1424" s="97" t="str">
        <f>Labels!C380</f>
        <v>Total</v>
      </c>
      <c r="B1424" s="199">
        <f t="shared" ref="B1424:S1424" si="678">SUM(B1422:B1423)</f>
        <v>0</v>
      </c>
      <c r="C1424" s="199">
        <f t="shared" si="678"/>
        <v>0</v>
      </c>
      <c r="D1424" s="199">
        <f t="shared" si="678"/>
        <v>0</v>
      </c>
      <c r="E1424" s="199">
        <f t="shared" si="678"/>
        <v>0</v>
      </c>
      <c r="F1424" s="199">
        <f t="shared" si="678"/>
        <v>0</v>
      </c>
      <c r="G1424" s="199">
        <f t="shared" si="678"/>
        <v>0</v>
      </c>
      <c r="H1424" s="199">
        <f t="shared" si="678"/>
        <v>0</v>
      </c>
      <c r="I1424" s="199">
        <f t="shared" si="678"/>
        <v>0</v>
      </c>
      <c r="J1424" s="199">
        <f t="shared" si="678"/>
        <v>0</v>
      </c>
      <c r="K1424" s="199">
        <f t="shared" si="678"/>
        <v>0</v>
      </c>
      <c r="L1424" s="199">
        <f t="shared" si="678"/>
        <v>0</v>
      </c>
      <c r="M1424" s="199">
        <f t="shared" si="678"/>
        <v>0</v>
      </c>
      <c r="N1424" s="199">
        <f t="shared" si="678"/>
        <v>0</v>
      </c>
      <c r="O1424" s="199">
        <f t="shared" si="678"/>
        <v>0</v>
      </c>
      <c r="P1424" s="199">
        <f t="shared" si="678"/>
        <v>0</v>
      </c>
      <c r="Q1424" s="199">
        <f t="shared" si="678"/>
        <v>0</v>
      </c>
      <c r="R1424" s="199">
        <f t="shared" si="678"/>
        <v>0</v>
      </c>
      <c r="S1424" s="354">
        <f t="shared" si="678"/>
        <v>0</v>
      </c>
    </row>
    <row r="1425" spans="1:55" ht="12.75" customHeight="1" x14ac:dyDescent="0.2">
      <c r="A1425" s="1" t="str">
        <f>Labels!B120</f>
        <v>Loss Carry Forward</v>
      </c>
    </row>
    <row r="1426" spans="1:55" ht="12.75" customHeight="1" x14ac:dyDescent="0.2">
      <c r="B1426" s="9" t="str">
        <f>'(FnCalls 1)'!F40</f>
        <v>MMM 2009</v>
      </c>
      <c r="C1426" s="10" t="str">
        <f>'(FnCalls 1)'!F41</f>
        <v>MMM 2010</v>
      </c>
      <c r="D1426" s="10" t="str">
        <f>'(FnCalls 1)'!F42</f>
        <v>MMM 2010</v>
      </c>
      <c r="E1426" s="10" t="str">
        <f>'(FnCalls 1)'!F43</f>
        <v>MMM 2010</v>
      </c>
      <c r="F1426" s="10" t="str">
        <f>'(FnCalls 1)'!F44</f>
        <v>MMM 2010</v>
      </c>
      <c r="G1426" s="10" t="str">
        <f>'(FnCalls 1)'!F45</f>
        <v>MMM 2010</v>
      </c>
      <c r="H1426" s="10" t="str">
        <f>'(FnCalls 1)'!F46</f>
        <v>MMM 2010</v>
      </c>
      <c r="I1426" s="10" t="str">
        <f>'(FnCalls 1)'!F47</f>
        <v>MMM 2010</v>
      </c>
      <c r="J1426" s="10" t="str">
        <f>'(FnCalls 1)'!F48</f>
        <v>MMM 2010</v>
      </c>
      <c r="K1426" s="10" t="str">
        <f>'(FnCalls 1)'!F49</f>
        <v>MMM 2010</v>
      </c>
      <c r="L1426" s="10" t="str">
        <f>'(FnCalls 1)'!F50</f>
        <v>MMM 2010</v>
      </c>
      <c r="M1426" s="10" t="str">
        <f>'(FnCalls 1)'!F51</f>
        <v>MMM 2010</v>
      </c>
      <c r="N1426" s="10" t="str">
        <f>'(FnCalls 1)'!F52</f>
        <v>MMM 2010</v>
      </c>
      <c r="O1426" s="10" t="str">
        <f>'(FnCalls 1)'!F53</f>
        <v>MMM 2011</v>
      </c>
      <c r="P1426" s="10" t="str">
        <f>'(FnCalls 1)'!F54</f>
        <v>MMM 2011</v>
      </c>
      <c r="Q1426" s="10" t="str">
        <f>'(FnCalls 1)'!F55</f>
        <v>MMM 2011</v>
      </c>
      <c r="R1426" s="10" t="str">
        <f>'(FnCalls 1)'!F56</f>
        <v>MMM 2011</v>
      </c>
      <c r="S1426" s="10" t="str">
        <f>'(FnCalls 1)'!F57</f>
        <v>MMM 2011</v>
      </c>
      <c r="T1426" s="11" t="str">
        <f>'(FnCalls 1)'!F58</f>
        <v>MMM 2011</v>
      </c>
    </row>
    <row r="1427" spans="1:55" ht="12.75" customHeight="1" x14ac:dyDescent="0.2">
      <c r="A1427" s="97"/>
      <c r="B1427" s="194">
        <v>0</v>
      </c>
      <c r="C1427" s="194">
        <f>FinTax!B25</f>
        <v>0</v>
      </c>
      <c r="D1427" s="194">
        <f>FinTax!C25</f>
        <v>0</v>
      </c>
      <c r="E1427" s="194">
        <f>FinTax!D25</f>
        <v>0</v>
      </c>
      <c r="F1427" s="194">
        <f>FinTax!F25</f>
        <v>0</v>
      </c>
      <c r="G1427" s="194">
        <f>FinTax!G25</f>
        <v>0</v>
      </c>
      <c r="H1427" s="194">
        <f>FinTax!H25</f>
        <v>0</v>
      </c>
      <c r="I1427" s="194">
        <f>FinTax!J25</f>
        <v>0</v>
      </c>
      <c r="J1427" s="194">
        <f>FinTax!K25</f>
        <v>0</v>
      </c>
      <c r="K1427" s="194">
        <f>FinTax!L25</f>
        <v>0</v>
      </c>
      <c r="L1427" s="194">
        <f>FinTax!N25</f>
        <v>0</v>
      </c>
      <c r="M1427" s="194">
        <f>FinTax!O25</f>
        <v>0</v>
      </c>
      <c r="N1427" s="194">
        <f>FinTax!P25</f>
        <v>0</v>
      </c>
      <c r="O1427" s="194">
        <f>FinTax!R25</f>
        <v>0</v>
      </c>
      <c r="P1427" s="194">
        <f>FinTax!S25</f>
        <v>0</v>
      </c>
      <c r="Q1427" s="194">
        <f>FinTax!T25</f>
        <v>0</v>
      </c>
      <c r="R1427" s="194">
        <f>FinTax!V25</f>
        <v>0</v>
      </c>
      <c r="S1427" s="194">
        <f>FinTax!W25</f>
        <v>0</v>
      </c>
      <c r="T1427" s="351">
        <f>FinTax!X25</f>
        <v>0</v>
      </c>
    </row>
    <row r="1428" spans="1:55" ht="12.75" customHeight="1" x14ac:dyDescent="0.2">
      <c r="A1428" s="1" t="str">
        <f>Labels!B275</f>
        <v>Tagged Asset Purch</v>
      </c>
    </row>
    <row r="1429" spans="1:55" ht="12.75" customHeight="1" x14ac:dyDescent="0.2">
      <c r="B1429" s="9" t="str">
        <f>'(FnCalls 1)'!F5</f>
        <v>MMM 2007</v>
      </c>
      <c r="C1429" s="10" t="str">
        <f>'(FnCalls 1)'!F6</f>
        <v>MMM 2007</v>
      </c>
      <c r="D1429" s="10" t="str">
        <f>'(FnCalls 1)'!F7</f>
        <v>MMM 2007</v>
      </c>
      <c r="E1429" s="10" t="str">
        <f>'(FnCalls 1)'!F8</f>
        <v>MMM 2007</v>
      </c>
      <c r="F1429" s="10" t="str">
        <f>'(FnCalls 1)'!F9</f>
        <v>MMM 2007</v>
      </c>
      <c r="G1429" s="10" t="str">
        <f>'(FnCalls 1)'!F10</f>
        <v>MMM 2007</v>
      </c>
      <c r="H1429" s="10" t="str">
        <f>'(FnCalls 1)'!F11</f>
        <v>MMM 2007</v>
      </c>
      <c r="I1429" s="10" t="str">
        <f>'(FnCalls 1)'!F12</f>
        <v>MMM 2007</v>
      </c>
      <c r="J1429" s="10" t="str">
        <f>'(FnCalls 1)'!F13</f>
        <v>MMM 2007</v>
      </c>
      <c r="K1429" s="10" t="str">
        <f>'(FnCalls 1)'!F14</f>
        <v>MMM 2007</v>
      </c>
      <c r="L1429" s="10" t="str">
        <f>'(FnCalls 1)'!F15</f>
        <v>MMM 2007</v>
      </c>
      <c r="M1429" s="10" t="str">
        <f>'(FnCalls 1)'!F16</f>
        <v>MMM 2007</v>
      </c>
      <c r="N1429" s="10" t="str">
        <f>'(FnCalls 1)'!F17</f>
        <v>MMM 2008</v>
      </c>
      <c r="O1429" s="10" t="str">
        <f>'(FnCalls 1)'!F18</f>
        <v>MMM 2008</v>
      </c>
      <c r="P1429" s="10" t="str">
        <f>'(FnCalls 1)'!F19</f>
        <v>MMM 2008</v>
      </c>
      <c r="Q1429" s="10" t="str">
        <f>'(FnCalls 1)'!F20</f>
        <v>MMM 2008</v>
      </c>
      <c r="R1429" s="10" t="str">
        <f>'(FnCalls 1)'!F21</f>
        <v>MMM 2008</v>
      </c>
      <c r="S1429" s="10" t="str">
        <f>'(FnCalls 1)'!F22</f>
        <v>MMM 2008</v>
      </c>
      <c r="T1429" s="10" t="str">
        <f>'(FnCalls 1)'!F23</f>
        <v>MMM 2008</v>
      </c>
      <c r="U1429" s="10" t="str">
        <f>'(FnCalls 1)'!F24</f>
        <v>MMM 2008</v>
      </c>
      <c r="V1429" s="10" t="str">
        <f>'(FnCalls 1)'!F25</f>
        <v>MMM 2008</v>
      </c>
      <c r="W1429" s="10" t="str">
        <f>'(FnCalls 1)'!F26</f>
        <v>MMM 2008</v>
      </c>
      <c r="X1429" s="10" t="str">
        <f>'(FnCalls 1)'!F27</f>
        <v>MMM 2008</v>
      </c>
      <c r="Y1429" s="10" t="str">
        <f>'(FnCalls 1)'!F28</f>
        <v>MMM 2008</v>
      </c>
      <c r="Z1429" s="10" t="str">
        <f>'(FnCalls 1)'!F29</f>
        <v>MMM 2009</v>
      </c>
      <c r="AA1429" s="10" t="str">
        <f>'(FnCalls 1)'!F30</f>
        <v>MMM 2009</v>
      </c>
      <c r="AB1429" s="10" t="str">
        <f>'(FnCalls 1)'!F31</f>
        <v>MMM 2009</v>
      </c>
      <c r="AC1429" s="10" t="str">
        <f>'(FnCalls 1)'!F32</f>
        <v>MMM 2009</v>
      </c>
      <c r="AD1429" s="10" t="str">
        <f>'(FnCalls 1)'!F33</f>
        <v>MMM 2009</v>
      </c>
      <c r="AE1429" s="10" t="str">
        <f>'(FnCalls 1)'!F34</f>
        <v>MMM 2009</v>
      </c>
      <c r="AF1429" s="10" t="str">
        <f>'(FnCalls 1)'!F35</f>
        <v>MMM 2009</v>
      </c>
      <c r="AG1429" s="10" t="str">
        <f>'(FnCalls 1)'!F36</f>
        <v>MMM 2009</v>
      </c>
      <c r="AH1429" s="10" t="str">
        <f>'(FnCalls 1)'!F37</f>
        <v>MMM 2009</v>
      </c>
      <c r="AI1429" s="10" t="str">
        <f>'(FnCalls 1)'!F38</f>
        <v>MMM 2009</v>
      </c>
      <c r="AJ1429" s="10" t="str">
        <f>'(FnCalls 1)'!F39</f>
        <v>MMM 2009</v>
      </c>
      <c r="AK1429" s="10" t="str">
        <f>'(FnCalls 1)'!F40</f>
        <v>MMM 2009</v>
      </c>
      <c r="AL1429" s="10" t="str">
        <f>'(FnCalls 1)'!F41</f>
        <v>MMM 2010</v>
      </c>
      <c r="AM1429" s="10" t="str">
        <f>'(FnCalls 1)'!F42</f>
        <v>MMM 2010</v>
      </c>
      <c r="AN1429" s="10" t="str">
        <f>'(FnCalls 1)'!F43</f>
        <v>MMM 2010</v>
      </c>
      <c r="AO1429" s="10" t="str">
        <f>'(FnCalls 1)'!F44</f>
        <v>MMM 2010</v>
      </c>
      <c r="AP1429" s="10" t="str">
        <f>'(FnCalls 1)'!F45</f>
        <v>MMM 2010</v>
      </c>
      <c r="AQ1429" s="10" t="str">
        <f>'(FnCalls 1)'!F46</f>
        <v>MMM 2010</v>
      </c>
      <c r="AR1429" s="10" t="str">
        <f>'(FnCalls 1)'!F47</f>
        <v>MMM 2010</v>
      </c>
      <c r="AS1429" s="10" t="str">
        <f>'(FnCalls 1)'!F48</f>
        <v>MMM 2010</v>
      </c>
      <c r="AT1429" s="10" t="str">
        <f>'(FnCalls 1)'!F49</f>
        <v>MMM 2010</v>
      </c>
      <c r="AU1429" s="10" t="str">
        <f>'(FnCalls 1)'!F50</f>
        <v>MMM 2010</v>
      </c>
      <c r="AV1429" s="10" t="str">
        <f>'(FnCalls 1)'!F51</f>
        <v>MMM 2010</v>
      </c>
      <c r="AW1429" s="10" t="str">
        <f>'(FnCalls 1)'!F52</f>
        <v>MMM 2010</v>
      </c>
      <c r="AX1429" s="10" t="str">
        <f>'(FnCalls 1)'!F53</f>
        <v>MMM 2011</v>
      </c>
      <c r="AY1429" s="10" t="str">
        <f>'(FnCalls 1)'!F54</f>
        <v>MMM 2011</v>
      </c>
      <c r="AZ1429" s="10" t="str">
        <f>'(FnCalls 1)'!F55</f>
        <v>MMM 2011</v>
      </c>
      <c r="BA1429" s="10" t="str">
        <f>'(FnCalls 1)'!F56</f>
        <v>MMM 2011</v>
      </c>
      <c r="BB1429" s="10" t="str">
        <f>'(FnCalls 1)'!F57</f>
        <v>MMM 2011</v>
      </c>
      <c r="BC1429" s="11" t="str">
        <f>'(FnCalls 1)'!F58</f>
        <v>MMM 2011</v>
      </c>
    </row>
    <row r="1430" spans="1:55" ht="12.75" customHeight="1" x14ac:dyDescent="0.2">
      <c r="A1430" s="182" t="str">
        <f>Labels!B306</f>
        <v>Building A</v>
      </c>
      <c r="B1430" s="183">
        <f>IF(AND('(FnCalls 1)'!A5&lt;=Inputs!G373,Inputs!G373&lt;='(FnCalls 1)'!A6-1),B1308,0)</f>
        <v>0</v>
      </c>
      <c r="C1430" s="183">
        <f>IF(AND('(FnCalls 1)'!A6&lt;=Inputs!G373,Inputs!G373&lt;='(FnCalls 1)'!A7-1),B1308,0)</f>
        <v>0</v>
      </c>
      <c r="D1430" s="183">
        <f>IF(AND('(FnCalls 1)'!A7&lt;=Inputs!G373,Inputs!G373&lt;='(FnCalls 1)'!A8-1),B1308,0)</f>
        <v>0</v>
      </c>
      <c r="E1430" s="183">
        <f>IF(AND('(FnCalls 1)'!A8&lt;=Inputs!G373,Inputs!G373&lt;='(FnCalls 1)'!A9-1),B1308,0)</f>
        <v>0</v>
      </c>
      <c r="F1430" s="183">
        <f>IF(AND('(FnCalls 1)'!A9&lt;=Inputs!G373,Inputs!G373&lt;='(FnCalls 1)'!A10-1),B1308,0)</f>
        <v>0</v>
      </c>
      <c r="G1430" s="183">
        <f>IF(AND('(FnCalls 1)'!A10&lt;=Inputs!G373,Inputs!G373&lt;='(FnCalls 1)'!A11-1),B1308,0)</f>
        <v>0</v>
      </c>
      <c r="H1430" s="183">
        <f>IF(AND('(FnCalls 1)'!A11&lt;=Inputs!G373,Inputs!G373&lt;='(FnCalls 1)'!A12-1),B1308,0)</f>
        <v>0</v>
      </c>
      <c r="I1430" s="183">
        <f>IF(AND('(FnCalls 1)'!A12&lt;=Inputs!G373,Inputs!G373&lt;='(FnCalls 1)'!A13-1),B1308,0)</f>
        <v>0</v>
      </c>
      <c r="J1430" s="183">
        <f>IF(AND('(FnCalls 1)'!A13&lt;=Inputs!G373,Inputs!G373&lt;='(FnCalls 1)'!A14-1),B1308,0)</f>
        <v>0</v>
      </c>
      <c r="K1430" s="183">
        <f>IF(AND('(FnCalls 1)'!A14&lt;=Inputs!G373,Inputs!G373&lt;='(FnCalls 1)'!A15-1),B1308,0)</f>
        <v>0</v>
      </c>
      <c r="L1430" s="183">
        <f>IF(AND('(FnCalls 1)'!A15&lt;=Inputs!G373,Inputs!G373&lt;='(FnCalls 1)'!A16-1),B1308,0)</f>
        <v>0</v>
      </c>
      <c r="M1430" s="183">
        <f>IF(AND('(FnCalls 1)'!A16&lt;=Inputs!G373,Inputs!G373&lt;='(FnCalls 1)'!A17-1),B1308,0)</f>
        <v>0</v>
      </c>
      <c r="N1430" s="183">
        <f>IF(AND('(FnCalls 1)'!A17&lt;=Inputs!G373,Inputs!G373&lt;='(FnCalls 1)'!A18-1),B1308,0)</f>
        <v>0</v>
      </c>
      <c r="O1430" s="183">
        <f>IF(AND('(FnCalls 1)'!A18&lt;=Inputs!G373,Inputs!G373&lt;='(FnCalls 1)'!A19-1),B1308,0)</f>
        <v>0</v>
      </c>
      <c r="P1430" s="183">
        <f>IF(AND('(FnCalls 1)'!A19&lt;=Inputs!G373,Inputs!G373&lt;='(FnCalls 1)'!A20-1),B1308,0)</f>
        <v>0</v>
      </c>
      <c r="Q1430" s="183">
        <f>IF(AND('(FnCalls 1)'!A20&lt;=Inputs!G373,Inputs!G373&lt;='(FnCalls 1)'!A21-1),B1308,0)</f>
        <v>0</v>
      </c>
      <c r="R1430" s="183">
        <f>IF(AND('(FnCalls 1)'!A21&lt;=Inputs!G373,Inputs!G373&lt;='(FnCalls 1)'!A22-1),B1308,0)</f>
        <v>0</v>
      </c>
      <c r="S1430" s="183">
        <f>IF(AND('(FnCalls 1)'!A22&lt;=Inputs!G373,Inputs!G373&lt;='(FnCalls 1)'!A23-1),B1308,0)</f>
        <v>0</v>
      </c>
      <c r="T1430" s="183">
        <f>IF(AND('(FnCalls 1)'!A23&lt;=Inputs!G373,Inputs!G373&lt;='(FnCalls 1)'!A24-1),B1308,0)</f>
        <v>0</v>
      </c>
      <c r="U1430" s="183">
        <f>IF(AND('(FnCalls 1)'!A24&lt;=Inputs!G373,Inputs!G373&lt;='(FnCalls 1)'!A25-1),B1308,0)</f>
        <v>0</v>
      </c>
      <c r="V1430" s="183">
        <f>IF(AND('(FnCalls 1)'!A25&lt;=Inputs!G373,Inputs!G373&lt;='(FnCalls 1)'!A26-1),B1308,0)</f>
        <v>0</v>
      </c>
      <c r="W1430" s="183">
        <f>IF(AND('(FnCalls 1)'!A26&lt;=Inputs!G373,Inputs!G373&lt;='(FnCalls 1)'!A27-1),B1308,0)</f>
        <v>0</v>
      </c>
      <c r="X1430" s="183">
        <f>IF(AND('(FnCalls 1)'!A27&lt;=Inputs!G373,Inputs!G373&lt;='(FnCalls 1)'!A28-1),B1308,0)</f>
        <v>0</v>
      </c>
      <c r="Y1430" s="183">
        <f>IF(AND('(FnCalls 1)'!A28&lt;=Inputs!G373,Inputs!G373&lt;='(FnCalls 1)'!A29-1),B1308,0)</f>
        <v>0</v>
      </c>
      <c r="Z1430" s="183">
        <f>IF(AND('(FnCalls 1)'!A29&lt;=Inputs!G373,Inputs!G373&lt;='(FnCalls 1)'!A30-1),B1308,0)</f>
        <v>0</v>
      </c>
      <c r="AA1430" s="183">
        <f>IF(AND('(FnCalls 1)'!A30&lt;=Inputs!G373,Inputs!G373&lt;='(FnCalls 1)'!A31-1),B1308,0)</f>
        <v>0</v>
      </c>
      <c r="AB1430" s="183">
        <f>IF(AND('(FnCalls 1)'!A31&lt;=Inputs!G373,Inputs!G373&lt;='(FnCalls 1)'!A32-1),B1308,0)</f>
        <v>0</v>
      </c>
      <c r="AC1430" s="183">
        <f>IF(AND('(FnCalls 1)'!A32&lt;=Inputs!G373,Inputs!G373&lt;='(FnCalls 1)'!A33-1),B1308,0)</f>
        <v>0</v>
      </c>
      <c r="AD1430" s="183">
        <f>IF(AND('(FnCalls 1)'!A33&lt;=Inputs!G373,Inputs!G373&lt;='(FnCalls 1)'!A34-1),B1308,0)</f>
        <v>0</v>
      </c>
      <c r="AE1430" s="183">
        <f>IF(AND('(FnCalls 1)'!A34&lt;=Inputs!G373,Inputs!G373&lt;='(FnCalls 1)'!A35-1),B1308,0)</f>
        <v>0</v>
      </c>
      <c r="AF1430" s="183">
        <f>IF(AND('(FnCalls 1)'!A35&lt;=Inputs!G373,Inputs!G373&lt;='(FnCalls 1)'!A36-1),B1308,0)</f>
        <v>0</v>
      </c>
      <c r="AG1430" s="183">
        <f>IF(AND('(FnCalls 1)'!A36&lt;=Inputs!G373,Inputs!G373&lt;='(FnCalls 1)'!A37-1),B1308,0)</f>
        <v>0</v>
      </c>
      <c r="AH1430" s="183">
        <f>IF(AND('(FnCalls 1)'!A37&lt;=Inputs!G373,Inputs!G373&lt;='(FnCalls 1)'!A38-1),B1308,0)</f>
        <v>0</v>
      </c>
      <c r="AI1430" s="183">
        <f>IF(AND('(FnCalls 1)'!A38&lt;=Inputs!G373,Inputs!G373&lt;='(FnCalls 1)'!A39-1),B1308,0)</f>
        <v>0</v>
      </c>
      <c r="AJ1430" s="183">
        <f>IF(AND('(FnCalls 1)'!A39&lt;=Inputs!G373,Inputs!G373&lt;='(FnCalls 1)'!A40-1),B1308,0)</f>
        <v>0</v>
      </c>
      <c r="AK1430" s="183">
        <f>Assets!B36</f>
        <v>0</v>
      </c>
      <c r="AL1430" s="183">
        <f>Assets!C36</f>
        <v>0</v>
      </c>
      <c r="AM1430" s="183">
        <f>Assets!D36</f>
        <v>0</v>
      </c>
      <c r="AN1430" s="183">
        <f>Assets!E36</f>
        <v>0</v>
      </c>
      <c r="AO1430" s="183">
        <f>Assets!G36</f>
        <v>0</v>
      </c>
      <c r="AP1430" s="183">
        <f>Assets!H36</f>
        <v>0</v>
      </c>
      <c r="AQ1430" s="183">
        <f>Assets!I36</f>
        <v>0</v>
      </c>
      <c r="AR1430" s="183">
        <f>Assets!K36</f>
        <v>0</v>
      </c>
      <c r="AS1430" s="183">
        <f>Assets!L36</f>
        <v>0</v>
      </c>
      <c r="AT1430" s="183">
        <f>Assets!M36</f>
        <v>0</v>
      </c>
      <c r="AU1430" s="183">
        <f>Assets!O36</f>
        <v>0</v>
      </c>
      <c r="AV1430" s="183">
        <f>Assets!P36</f>
        <v>0</v>
      </c>
      <c r="AW1430" s="183">
        <f>Assets!Q36</f>
        <v>0</v>
      </c>
      <c r="AX1430" s="183">
        <f>Assets!S36</f>
        <v>0</v>
      </c>
      <c r="AY1430" s="183">
        <f>Assets!T36</f>
        <v>0</v>
      </c>
      <c r="AZ1430" s="183">
        <f>Assets!U36</f>
        <v>0</v>
      </c>
      <c r="BA1430" s="183">
        <f>Assets!W36</f>
        <v>0</v>
      </c>
      <c r="BB1430" s="183">
        <f>Assets!X36</f>
        <v>0</v>
      </c>
      <c r="BC1430" s="266">
        <f>Assets!Y36</f>
        <v>0</v>
      </c>
    </row>
    <row r="1431" spans="1:55" ht="12.75" customHeight="1" x14ac:dyDescent="0.2">
      <c r="A1431" s="191" t="str">
        <f>Labels!B307</f>
        <v>Building B</v>
      </c>
      <c r="B1431" s="192">
        <f>IF(AND('(FnCalls 1)'!A5&lt;=Inputs!G374,Inputs!G374&lt;='(FnCalls 1)'!A6-1),B1309,0)</f>
        <v>0</v>
      </c>
      <c r="C1431" s="192">
        <f>IF(AND('(FnCalls 1)'!A6&lt;=Inputs!G374,Inputs!G374&lt;='(FnCalls 1)'!A7-1),B1309,0)</f>
        <v>0</v>
      </c>
      <c r="D1431" s="192">
        <f>IF(AND('(FnCalls 1)'!A7&lt;=Inputs!G374,Inputs!G374&lt;='(FnCalls 1)'!A8-1),B1309,0)</f>
        <v>0</v>
      </c>
      <c r="E1431" s="192">
        <f>IF(AND('(FnCalls 1)'!A8&lt;=Inputs!G374,Inputs!G374&lt;='(FnCalls 1)'!A9-1),B1309,0)</f>
        <v>0</v>
      </c>
      <c r="F1431" s="192">
        <f>IF(AND('(FnCalls 1)'!A9&lt;=Inputs!G374,Inputs!G374&lt;='(FnCalls 1)'!A10-1),B1309,0)</f>
        <v>0</v>
      </c>
      <c r="G1431" s="192">
        <f>IF(AND('(FnCalls 1)'!A10&lt;=Inputs!G374,Inputs!G374&lt;='(FnCalls 1)'!A11-1),B1309,0)</f>
        <v>0</v>
      </c>
      <c r="H1431" s="192">
        <f>IF(AND('(FnCalls 1)'!A11&lt;=Inputs!G374,Inputs!G374&lt;='(FnCalls 1)'!A12-1),B1309,0)</f>
        <v>0</v>
      </c>
      <c r="I1431" s="192">
        <f>IF(AND('(FnCalls 1)'!A12&lt;=Inputs!G374,Inputs!G374&lt;='(FnCalls 1)'!A13-1),B1309,0)</f>
        <v>0</v>
      </c>
      <c r="J1431" s="192">
        <f>IF(AND('(FnCalls 1)'!A13&lt;=Inputs!G374,Inputs!G374&lt;='(FnCalls 1)'!A14-1),B1309,0)</f>
        <v>0</v>
      </c>
      <c r="K1431" s="192">
        <f>IF(AND('(FnCalls 1)'!A14&lt;=Inputs!G374,Inputs!G374&lt;='(FnCalls 1)'!A15-1),B1309,0)</f>
        <v>0</v>
      </c>
      <c r="L1431" s="192">
        <f>IF(AND('(FnCalls 1)'!A15&lt;=Inputs!G374,Inputs!G374&lt;='(FnCalls 1)'!A16-1),B1309,0)</f>
        <v>0</v>
      </c>
      <c r="M1431" s="192">
        <f>IF(AND('(FnCalls 1)'!A16&lt;=Inputs!G374,Inputs!G374&lt;='(FnCalls 1)'!A17-1),B1309,0)</f>
        <v>0</v>
      </c>
      <c r="N1431" s="192">
        <f>IF(AND('(FnCalls 1)'!A17&lt;=Inputs!G374,Inputs!G374&lt;='(FnCalls 1)'!A18-1),B1309,0)</f>
        <v>0</v>
      </c>
      <c r="O1431" s="192">
        <f>IF(AND('(FnCalls 1)'!A18&lt;=Inputs!G374,Inputs!G374&lt;='(FnCalls 1)'!A19-1),B1309,0)</f>
        <v>0</v>
      </c>
      <c r="P1431" s="192">
        <f>IF(AND('(FnCalls 1)'!A19&lt;=Inputs!G374,Inputs!G374&lt;='(FnCalls 1)'!A20-1),B1309,0)</f>
        <v>0</v>
      </c>
      <c r="Q1431" s="192">
        <f>IF(AND('(FnCalls 1)'!A20&lt;=Inputs!G374,Inputs!G374&lt;='(FnCalls 1)'!A21-1),B1309,0)</f>
        <v>0</v>
      </c>
      <c r="R1431" s="192">
        <f>IF(AND('(FnCalls 1)'!A21&lt;=Inputs!G374,Inputs!G374&lt;='(FnCalls 1)'!A22-1),B1309,0)</f>
        <v>0</v>
      </c>
      <c r="S1431" s="192">
        <f>IF(AND('(FnCalls 1)'!A22&lt;=Inputs!G374,Inputs!G374&lt;='(FnCalls 1)'!A23-1),B1309,0)</f>
        <v>0</v>
      </c>
      <c r="T1431" s="192">
        <f>IF(AND('(FnCalls 1)'!A23&lt;=Inputs!G374,Inputs!G374&lt;='(FnCalls 1)'!A24-1),B1309,0)</f>
        <v>0</v>
      </c>
      <c r="U1431" s="192">
        <f>IF(AND('(FnCalls 1)'!A24&lt;=Inputs!G374,Inputs!G374&lt;='(FnCalls 1)'!A25-1),B1309,0)</f>
        <v>0</v>
      </c>
      <c r="V1431" s="192">
        <f>IF(AND('(FnCalls 1)'!A25&lt;=Inputs!G374,Inputs!G374&lt;='(FnCalls 1)'!A26-1),B1309,0)</f>
        <v>0</v>
      </c>
      <c r="W1431" s="192">
        <f>IF(AND('(FnCalls 1)'!A26&lt;=Inputs!G374,Inputs!G374&lt;='(FnCalls 1)'!A27-1),B1309,0)</f>
        <v>0</v>
      </c>
      <c r="X1431" s="192">
        <f>IF(AND('(FnCalls 1)'!A27&lt;=Inputs!G374,Inputs!G374&lt;='(FnCalls 1)'!A28-1),B1309,0)</f>
        <v>0</v>
      </c>
      <c r="Y1431" s="192">
        <f>IF(AND('(FnCalls 1)'!A28&lt;=Inputs!G374,Inputs!G374&lt;='(FnCalls 1)'!A29-1),B1309,0)</f>
        <v>0</v>
      </c>
      <c r="Z1431" s="192">
        <f>IF(AND('(FnCalls 1)'!A29&lt;=Inputs!G374,Inputs!G374&lt;='(FnCalls 1)'!A30-1),B1309,0)</f>
        <v>0</v>
      </c>
      <c r="AA1431" s="192">
        <f>IF(AND('(FnCalls 1)'!A30&lt;=Inputs!G374,Inputs!G374&lt;='(FnCalls 1)'!A31-1),B1309,0)</f>
        <v>0</v>
      </c>
      <c r="AB1431" s="192">
        <f>IF(AND('(FnCalls 1)'!A31&lt;=Inputs!G374,Inputs!G374&lt;='(FnCalls 1)'!A32-1),B1309,0)</f>
        <v>0</v>
      </c>
      <c r="AC1431" s="192">
        <f>IF(AND('(FnCalls 1)'!A32&lt;=Inputs!G374,Inputs!G374&lt;='(FnCalls 1)'!A33-1),B1309,0)</f>
        <v>0</v>
      </c>
      <c r="AD1431" s="192">
        <f>IF(AND('(FnCalls 1)'!A33&lt;=Inputs!G374,Inputs!G374&lt;='(FnCalls 1)'!A34-1),B1309,0)</f>
        <v>0</v>
      </c>
      <c r="AE1431" s="192">
        <f>IF(AND('(FnCalls 1)'!A34&lt;=Inputs!G374,Inputs!G374&lt;='(FnCalls 1)'!A35-1),B1309,0)</f>
        <v>0</v>
      </c>
      <c r="AF1431" s="192">
        <f>IF(AND('(FnCalls 1)'!A35&lt;=Inputs!G374,Inputs!G374&lt;='(FnCalls 1)'!A36-1),B1309,0)</f>
        <v>0</v>
      </c>
      <c r="AG1431" s="192">
        <f>IF(AND('(FnCalls 1)'!A36&lt;=Inputs!G374,Inputs!G374&lt;='(FnCalls 1)'!A37-1),B1309,0)</f>
        <v>0</v>
      </c>
      <c r="AH1431" s="192">
        <f>IF(AND('(FnCalls 1)'!A37&lt;=Inputs!G374,Inputs!G374&lt;='(FnCalls 1)'!A38-1),B1309,0)</f>
        <v>0</v>
      </c>
      <c r="AI1431" s="192">
        <f>IF(AND('(FnCalls 1)'!A38&lt;=Inputs!G374,Inputs!G374&lt;='(FnCalls 1)'!A39-1),B1309,0)</f>
        <v>0</v>
      </c>
      <c r="AJ1431" s="192">
        <f>IF(AND('(FnCalls 1)'!A39&lt;=Inputs!G374,Inputs!G374&lt;='(FnCalls 1)'!A40-1),B1309,0)</f>
        <v>0</v>
      </c>
      <c r="AK1431" s="192">
        <f>Assets!B37</f>
        <v>0</v>
      </c>
      <c r="AL1431" s="192">
        <f>Assets!C37</f>
        <v>0</v>
      </c>
      <c r="AM1431" s="192">
        <f>Assets!D37</f>
        <v>0</v>
      </c>
      <c r="AN1431" s="192">
        <f>Assets!E37</f>
        <v>0</v>
      </c>
      <c r="AO1431" s="192">
        <f>Assets!G37</f>
        <v>0</v>
      </c>
      <c r="AP1431" s="192">
        <f>Assets!H37</f>
        <v>0</v>
      </c>
      <c r="AQ1431" s="192">
        <f>Assets!I37</f>
        <v>0</v>
      </c>
      <c r="AR1431" s="192">
        <f>Assets!K37</f>
        <v>0</v>
      </c>
      <c r="AS1431" s="192">
        <f>Assets!L37</f>
        <v>0</v>
      </c>
      <c r="AT1431" s="192">
        <f>Assets!M37</f>
        <v>0</v>
      </c>
      <c r="AU1431" s="192">
        <f>Assets!O37</f>
        <v>0</v>
      </c>
      <c r="AV1431" s="192">
        <f>Assets!P37</f>
        <v>0</v>
      </c>
      <c r="AW1431" s="192">
        <f>Assets!Q37</f>
        <v>0</v>
      </c>
      <c r="AX1431" s="192">
        <f>Assets!S37</f>
        <v>0</v>
      </c>
      <c r="AY1431" s="192">
        <f>Assets!T37</f>
        <v>0</v>
      </c>
      <c r="AZ1431" s="192">
        <f>Assets!U37</f>
        <v>0</v>
      </c>
      <c r="BA1431" s="192">
        <f>Assets!W37</f>
        <v>0</v>
      </c>
      <c r="BB1431" s="192">
        <f>Assets!X37</f>
        <v>0</v>
      </c>
      <c r="BC1431" s="280">
        <f>Assets!Y37</f>
        <v>0</v>
      </c>
    </row>
    <row r="1432" spans="1:55" ht="12.75" customHeight="1" x14ac:dyDescent="0.2">
      <c r="A1432" s="97" t="str">
        <f>Labels!C305</f>
        <v>Total</v>
      </c>
      <c r="B1432" s="194">
        <f t="shared" ref="B1432:AG1432" si="679">SUM(B1430:B1431)</f>
        <v>0</v>
      </c>
      <c r="C1432" s="194">
        <f t="shared" si="679"/>
        <v>0</v>
      </c>
      <c r="D1432" s="194">
        <f t="shared" si="679"/>
        <v>0</v>
      </c>
      <c r="E1432" s="194">
        <f t="shared" si="679"/>
        <v>0</v>
      </c>
      <c r="F1432" s="194">
        <f t="shared" si="679"/>
        <v>0</v>
      </c>
      <c r="G1432" s="194">
        <f t="shared" si="679"/>
        <v>0</v>
      </c>
      <c r="H1432" s="194">
        <f t="shared" si="679"/>
        <v>0</v>
      </c>
      <c r="I1432" s="194">
        <f t="shared" si="679"/>
        <v>0</v>
      </c>
      <c r="J1432" s="194">
        <f t="shared" si="679"/>
        <v>0</v>
      </c>
      <c r="K1432" s="194">
        <f t="shared" si="679"/>
        <v>0</v>
      </c>
      <c r="L1432" s="194">
        <f t="shared" si="679"/>
        <v>0</v>
      </c>
      <c r="M1432" s="194">
        <f t="shared" si="679"/>
        <v>0</v>
      </c>
      <c r="N1432" s="194">
        <f t="shared" si="679"/>
        <v>0</v>
      </c>
      <c r="O1432" s="194">
        <f t="shared" si="679"/>
        <v>0</v>
      </c>
      <c r="P1432" s="194">
        <f t="shared" si="679"/>
        <v>0</v>
      </c>
      <c r="Q1432" s="194">
        <f t="shared" si="679"/>
        <v>0</v>
      </c>
      <c r="R1432" s="194">
        <f t="shared" si="679"/>
        <v>0</v>
      </c>
      <c r="S1432" s="194">
        <f t="shared" si="679"/>
        <v>0</v>
      </c>
      <c r="T1432" s="194">
        <f t="shared" si="679"/>
        <v>0</v>
      </c>
      <c r="U1432" s="194">
        <f t="shared" si="679"/>
        <v>0</v>
      </c>
      <c r="V1432" s="194">
        <f t="shared" si="679"/>
        <v>0</v>
      </c>
      <c r="W1432" s="194">
        <f t="shared" si="679"/>
        <v>0</v>
      </c>
      <c r="X1432" s="194">
        <f t="shared" si="679"/>
        <v>0</v>
      </c>
      <c r="Y1432" s="194">
        <f t="shared" si="679"/>
        <v>0</v>
      </c>
      <c r="Z1432" s="194">
        <f t="shared" si="679"/>
        <v>0</v>
      </c>
      <c r="AA1432" s="194">
        <f t="shared" si="679"/>
        <v>0</v>
      </c>
      <c r="AB1432" s="194">
        <f t="shared" si="679"/>
        <v>0</v>
      </c>
      <c r="AC1432" s="194">
        <f t="shared" si="679"/>
        <v>0</v>
      </c>
      <c r="AD1432" s="194">
        <f t="shared" si="679"/>
        <v>0</v>
      </c>
      <c r="AE1432" s="194">
        <f t="shared" si="679"/>
        <v>0</v>
      </c>
      <c r="AF1432" s="194">
        <f t="shared" si="679"/>
        <v>0</v>
      </c>
      <c r="AG1432" s="194">
        <f t="shared" si="679"/>
        <v>0</v>
      </c>
      <c r="AH1432" s="194">
        <f t="shared" ref="AH1432:BC1432" si="680">SUM(AH1430:AH1431)</f>
        <v>0</v>
      </c>
      <c r="AI1432" s="194">
        <f t="shared" si="680"/>
        <v>0</v>
      </c>
      <c r="AJ1432" s="194">
        <f t="shared" si="680"/>
        <v>0</v>
      </c>
      <c r="AK1432" s="194">
        <f t="shared" si="680"/>
        <v>0</v>
      </c>
      <c r="AL1432" s="194">
        <f t="shared" si="680"/>
        <v>0</v>
      </c>
      <c r="AM1432" s="194">
        <f t="shared" si="680"/>
        <v>0</v>
      </c>
      <c r="AN1432" s="194">
        <f t="shared" si="680"/>
        <v>0</v>
      </c>
      <c r="AO1432" s="194">
        <f t="shared" si="680"/>
        <v>0</v>
      </c>
      <c r="AP1432" s="194">
        <f t="shared" si="680"/>
        <v>0</v>
      </c>
      <c r="AQ1432" s="194">
        <f t="shared" si="680"/>
        <v>0</v>
      </c>
      <c r="AR1432" s="194">
        <f t="shared" si="680"/>
        <v>0</v>
      </c>
      <c r="AS1432" s="194">
        <f t="shared" si="680"/>
        <v>0</v>
      </c>
      <c r="AT1432" s="194">
        <f t="shared" si="680"/>
        <v>0</v>
      </c>
      <c r="AU1432" s="194">
        <f t="shared" si="680"/>
        <v>0</v>
      </c>
      <c r="AV1432" s="194">
        <f t="shared" si="680"/>
        <v>0</v>
      </c>
      <c r="AW1432" s="194">
        <f t="shared" si="680"/>
        <v>0</v>
      </c>
      <c r="AX1432" s="194">
        <f t="shared" si="680"/>
        <v>0</v>
      </c>
      <c r="AY1432" s="194">
        <f t="shared" si="680"/>
        <v>0</v>
      </c>
      <c r="AZ1432" s="194">
        <f t="shared" si="680"/>
        <v>0</v>
      </c>
      <c r="BA1432" s="194">
        <f t="shared" si="680"/>
        <v>0</v>
      </c>
      <c r="BB1432" s="194">
        <f t="shared" si="680"/>
        <v>0</v>
      </c>
      <c r="BC1432" s="351">
        <f t="shared" si="680"/>
        <v>0</v>
      </c>
    </row>
    <row r="1433" spans="1:55" ht="12.75" customHeight="1" x14ac:dyDescent="0.2">
      <c r="A1433" s="1" t="str">
        <f>Labels!B222</f>
        <v>Retained Earnings</v>
      </c>
    </row>
    <row r="1434" spans="1:55" ht="12.75" customHeight="1" x14ac:dyDescent="0.2">
      <c r="B1434" s="9" t="str">
        <f>'(FnCalls 1)'!F40</f>
        <v>MMM 2009</v>
      </c>
      <c r="C1434" s="10" t="str">
        <f>'(FnCalls 1)'!F41</f>
        <v>MMM 2010</v>
      </c>
      <c r="D1434" s="10" t="str">
        <f>'(FnCalls 1)'!F42</f>
        <v>MMM 2010</v>
      </c>
      <c r="E1434" s="10" t="str">
        <f>'(FnCalls 1)'!F43</f>
        <v>MMM 2010</v>
      </c>
      <c r="F1434" s="10" t="str">
        <f>'(FnCalls 1)'!F44</f>
        <v>MMM 2010</v>
      </c>
      <c r="G1434" s="10" t="str">
        <f>'(FnCalls 1)'!F45</f>
        <v>MMM 2010</v>
      </c>
      <c r="H1434" s="10" t="str">
        <f>'(FnCalls 1)'!F46</f>
        <v>MMM 2010</v>
      </c>
      <c r="I1434" s="10" t="str">
        <f>'(FnCalls 1)'!F47</f>
        <v>MMM 2010</v>
      </c>
      <c r="J1434" s="10" t="str">
        <f>'(FnCalls 1)'!F48</f>
        <v>MMM 2010</v>
      </c>
      <c r="K1434" s="10" t="str">
        <f>'(FnCalls 1)'!F49</f>
        <v>MMM 2010</v>
      </c>
      <c r="L1434" s="10" t="str">
        <f>'(FnCalls 1)'!F50</f>
        <v>MMM 2010</v>
      </c>
      <c r="M1434" s="10" t="str">
        <f>'(FnCalls 1)'!F51</f>
        <v>MMM 2010</v>
      </c>
      <c r="N1434" s="10" t="str">
        <f>'(FnCalls 1)'!F52</f>
        <v>MMM 2010</v>
      </c>
      <c r="O1434" s="10" t="str">
        <f>'(FnCalls 1)'!F53</f>
        <v>MMM 2011</v>
      </c>
      <c r="P1434" s="10" t="str">
        <f>'(FnCalls 1)'!F54</f>
        <v>MMM 2011</v>
      </c>
      <c r="Q1434" s="10" t="str">
        <f>'(FnCalls 1)'!F55</f>
        <v>MMM 2011</v>
      </c>
      <c r="R1434" s="10" t="str">
        <f>'(FnCalls 1)'!F56</f>
        <v>MMM 2011</v>
      </c>
      <c r="S1434" s="10" t="str">
        <f>'(FnCalls 1)'!F57</f>
        <v>MMM 2011</v>
      </c>
      <c r="T1434" s="11" t="str">
        <f>'(FnCalls 1)'!F58</f>
        <v>MMM 2011</v>
      </c>
    </row>
    <row r="1435" spans="1:55" ht="12.75" customHeight="1" x14ac:dyDescent="0.2">
      <c r="A1435" s="97"/>
      <c r="B1435" s="194">
        <f>BalSht!B13-BalSht!B24-B1438</f>
        <v>0</v>
      </c>
      <c r="C1435" s="194">
        <f>B1435+IncStmt!B26-Inputs!G432</f>
        <v>0</v>
      </c>
      <c r="D1435" s="194">
        <f>C1435+IncStmt!C26-Inputs!H432</f>
        <v>0</v>
      </c>
      <c r="E1435" s="194">
        <f>D1435+IncStmt!D26-Inputs!I432</f>
        <v>110000</v>
      </c>
      <c r="F1435" s="194">
        <f>E1435+IncStmt!F26-Inputs!J432</f>
        <v>220000</v>
      </c>
      <c r="G1435" s="194">
        <f>F1435+IncStmt!G26-Inputs!K432</f>
        <v>220000</v>
      </c>
      <c r="H1435" s="194">
        <f>G1435+IncStmt!H26-Inputs!L432</f>
        <v>300000</v>
      </c>
      <c r="I1435" s="194">
        <f>H1435+IncStmt!J26-Inputs!M432</f>
        <v>351739.10702893999</v>
      </c>
      <c r="J1435" s="194">
        <f>I1435+IncStmt!K26-Inputs!N432</f>
        <v>389243.21909324074</v>
      </c>
      <c r="K1435" s="194">
        <f>J1435+IncStmt!L26-Inputs!O432</f>
        <v>389243.21909324074</v>
      </c>
      <c r="L1435" s="194">
        <f>K1435+IncStmt!N26-Inputs!P432</f>
        <v>389243.21909324074</v>
      </c>
      <c r="M1435" s="194">
        <f>L1435+IncStmt!O26-Inputs!Q432</f>
        <v>389243.21909324074</v>
      </c>
      <c r="N1435" s="194">
        <f>M1435+IncStmt!P26-Inputs!R432</f>
        <v>389243.21909324074</v>
      </c>
      <c r="O1435" s="194">
        <f>N1435+IncStmt!R26-Inputs!S432</f>
        <v>389243.21909324074</v>
      </c>
      <c r="P1435" s="194">
        <f>O1435+IncStmt!S26-Inputs!T432</f>
        <v>389243.21909324074</v>
      </c>
      <c r="Q1435" s="194">
        <f>P1435+IncStmt!T26-Inputs!U432</f>
        <v>389243.21909324074</v>
      </c>
      <c r="R1435" s="194">
        <f>Q1435+IncStmt!V26-Inputs!V432</f>
        <v>389243.21909324074</v>
      </c>
      <c r="S1435" s="194">
        <f>R1435+IncStmt!W26-Inputs!W432</f>
        <v>389243.21909324074</v>
      </c>
      <c r="T1435" s="351">
        <f>S1435+IncStmt!X26-Inputs!X432</f>
        <v>389243.21909324074</v>
      </c>
    </row>
    <row r="1436" spans="1:55" ht="12.75" customHeight="1" x14ac:dyDescent="0.2">
      <c r="A1436" s="1" t="str">
        <f>Labels!B146</f>
        <v>Paid in Capital</v>
      </c>
    </row>
    <row r="1437" spans="1:55" ht="12.75" customHeight="1" x14ac:dyDescent="0.2">
      <c r="B1437" s="9" t="str">
        <f>'(FnCalls 1)'!F40</f>
        <v>MMM 2009</v>
      </c>
      <c r="C1437" s="10" t="str">
        <f>'(FnCalls 1)'!F41</f>
        <v>MMM 2010</v>
      </c>
      <c r="D1437" s="10" t="str">
        <f>'(FnCalls 1)'!F42</f>
        <v>MMM 2010</v>
      </c>
      <c r="E1437" s="10" t="str">
        <f>'(FnCalls 1)'!F43</f>
        <v>MMM 2010</v>
      </c>
      <c r="F1437" s="10" t="str">
        <f>'(FnCalls 1)'!F44</f>
        <v>MMM 2010</v>
      </c>
      <c r="G1437" s="10" t="str">
        <f>'(FnCalls 1)'!F45</f>
        <v>MMM 2010</v>
      </c>
      <c r="H1437" s="10" t="str">
        <f>'(FnCalls 1)'!F46</f>
        <v>MMM 2010</v>
      </c>
      <c r="I1437" s="10" t="str">
        <f>'(FnCalls 1)'!F47</f>
        <v>MMM 2010</v>
      </c>
      <c r="J1437" s="10" t="str">
        <f>'(FnCalls 1)'!F48</f>
        <v>MMM 2010</v>
      </c>
      <c r="K1437" s="10" t="str">
        <f>'(FnCalls 1)'!F49</f>
        <v>MMM 2010</v>
      </c>
      <c r="L1437" s="10" t="str">
        <f>'(FnCalls 1)'!F50</f>
        <v>MMM 2010</v>
      </c>
      <c r="M1437" s="10" t="str">
        <f>'(FnCalls 1)'!F51</f>
        <v>MMM 2010</v>
      </c>
      <c r="N1437" s="10" t="str">
        <f>'(FnCalls 1)'!F52</f>
        <v>MMM 2010</v>
      </c>
      <c r="O1437" s="10" t="str">
        <f>'(FnCalls 1)'!F53</f>
        <v>MMM 2011</v>
      </c>
      <c r="P1437" s="10" t="str">
        <f>'(FnCalls 1)'!F54</f>
        <v>MMM 2011</v>
      </c>
      <c r="Q1437" s="10" t="str">
        <f>'(FnCalls 1)'!F55</f>
        <v>MMM 2011</v>
      </c>
      <c r="R1437" s="10" t="str">
        <f>'(FnCalls 1)'!F56</f>
        <v>MMM 2011</v>
      </c>
      <c r="S1437" s="10" t="str">
        <f>'(FnCalls 1)'!F57</f>
        <v>MMM 2011</v>
      </c>
      <c r="T1437" s="11" t="str">
        <f>'(FnCalls 1)'!F58</f>
        <v>MMM 2011</v>
      </c>
    </row>
    <row r="1438" spans="1:55" ht="12.75" customHeight="1" x14ac:dyDescent="0.2">
      <c r="A1438" s="97"/>
      <c r="B1438" s="194">
        <f>0+Inputs!F430</f>
        <v>0</v>
      </c>
      <c r="C1438" s="194">
        <f>B1438+Inputs!G430</f>
        <v>0</v>
      </c>
      <c r="D1438" s="194">
        <f>C1438+Inputs!H430</f>
        <v>0</v>
      </c>
      <c r="E1438" s="194">
        <f>D1438+Inputs!I430</f>
        <v>0</v>
      </c>
      <c r="F1438" s="194">
        <f>E1438+Inputs!J430</f>
        <v>0</v>
      </c>
      <c r="G1438" s="194">
        <f>F1438+Inputs!K430</f>
        <v>0</v>
      </c>
      <c r="H1438" s="194">
        <f>G1438+Inputs!L430</f>
        <v>0</v>
      </c>
      <c r="I1438" s="194">
        <f>H1438+Inputs!M430</f>
        <v>0</v>
      </c>
      <c r="J1438" s="194">
        <f>I1438+Inputs!N430</f>
        <v>0</v>
      </c>
      <c r="K1438" s="194">
        <f>J1438+Inputs!O430</f>
        <v>0</v>
      </c>
      <c r="L1438" s="194">
        <f>K1438+Inputs!P430</f>
        <v>0</v>
      </c>
      <c r="M1438" s="194">
        <f>L1438+Inputs!Q430</f>
        <v>0</v>
      </c>
      <c r="N1438" s="194">
        <f>M1438+Inputs!R430</f>
        <v>0</v>
      </c>
      <c r="O1438" s="194">
        <f>N1438+Inputs!S430</f>
        <v>0</v>
      </c>
      <c r="P1438" s="194">
        <f>O1438+Inputs!T430</f>
        <v>0</v>
      </c>
      <c r="Q1438" s="194">
        <f>P1438+Inputs!U430</f>
        <v>0</v>
      </c>
      <c r="R1438" s="194">
        <f>Q1438+Inputs!V430</f>
        <v>0</v>
      </c>
      <c r="S1438" s="194">
        <f>R1438+Inputs!W430</f>
        <v>0</v>
      </c>
      <c r="T1438" s="351">
        <f>S1438+Inputs!X430</f>
        <v>0</v>
      </c>
    </row>
    <row r="1439" spans="1:55" ht="12.75" customHeight="1" x14ac:dyDescent="0.2">
      <c r="A1439" s="1" t="str">
        <f>Labels!B36</f>
        <v>Chg Bond Principal</v>
      </c>
    </row>
    <row r="1440" spans="1:55" ht="12.75" customHeight="1" x14ac:dyDescent="0.2">
      <c r="B1440" s="9" t="str">
        <f>'(FnCalls 1)'!F5</f>
        <v>MMM 2007</v>
      </c>
      <c r="C1440" s="10" t="str">
        <f>'(FnCalls 1)'!F6</f>
        <v>MMM 2007</v>
      </c>
      <c r="D1440" s="10" t="str">
        <f>'(FnCalls 1)'!F7</f>
        <v>MMM 2007</v>
      </c>
      <c r="E1440" s="10" t="str">
        <f>'(FnCalls 1)'!F8</f>
        <v>MMM 2007</v>
      </c>
      <c r="F1440" s="10" t="str">
        <f>'(FnCalls 1)'!F9</f>
        <v>MMM 2007</v>
      </c>
      <c r="G1440" s="10" t="str">
        <f>'(FnCalls 1)'!F10</f>
        <v>MMM 2007</v>
      </c>
      <c r="H1440" s="10" t="str">
        <f>'(FnCalls 1)'!F11</f>
        <v>MMM 2007</v>
      </c>
      <c r="I1440" s="10" t="str">
        <f>'(FnCalls 1)'!F12</f>
        <v>MMM 2007</v>
      </c>
      <c r="J1440" s="10" t="str">
        <f>'(FnCalls 1)'!F13</f>
        <v>MMM 2007</v>
      </c>
      <c r="K1440" s="10" t="str">
        <f>'(FnCalls 1)'!F14</f>
        <v>MMM 2007</v>
      </c>
      <c r="L1440" s="10" t="str">
        <f>'(FnCalls 1)'!F15</f>
        <v>MMM 2007</v>
      </c>
      <c r="M1440" s="10" t="str">
        <f>'(FnCalls 1)'!F16</f>
        <v>MMM 2007</v>
      </c>
      <c r="N1440" s="10" t="str">
        <f>'(FnCalls 1)'!F17</f>
        <v>MMM 2008</v>
      </c>
      <c r="O1440" s="10" t="str">
        <f>'(FnCalls 1)'!F18</f>
        <v>MMM 2008</v>
      </c>
      <c r="P1440" s="10" t="str">
        <f>'(FnCalls 1)'!F19</f>
        <v>MMM 2008</v>
      </c>
      <c r="Q1440" s="10" t="str">
        <f>'(FnCalls 1)'!F20</f>
        <v>MMM 2008</v>
      </c>
      <c r="R1440" s="10" t="str">
        <f>'(FnCalls 1)'!F21</f>
        <v>MMM 2008</v>
      </c>
      <c r="S1440" s="10" t="str">
        <f>'(FnCalls 1)'!F22</f>
        <v>MMM 2008</v>
      </c>
      <c r="T1440" s="10" t="str">
        <f>'(FnCalls 1)'!F23</f>
        <v>MMM 2008</v>
      </c>
      <c r="U1440" s="10" t="str">
        <f>'(FnCalls 1)'!F24</f>
        <v>MMM 2008</v>
      </c>
      <c r="V1440" s="10" t="str">
        <f>'(FnCalls 1)'!F25</f>
        <v>MMM 2008</v>
      </c>
      <c r="W1440" s="10" t="str">
        <f>'(FnCalls 1)'!F26</f>
        <v>MMM 2008</v>
      </c>
      <c r="X1440" s="10" t="str">
        <f>'(FnCalls 1)'!F27</f>
        <v>MMM 2008</v>
      </c>
      <c r="Y1440" s="10" t="str">
        <f>'(FnCalls 1)'!F28</f>
        <v>MMM 2008</v>
      </c>
      <c r="Z1440" s="10" t="str">
        <f>'(FnCalls 1)'!F29</f>
        <v>MMM 2009</v>
      </c>
      <c r="AA1440" s="10" t="str">
        <f>'(FnCalls 1)'!F30</f>
        <v>MMM 2009</v>
      </c>
      <c r="AB1440" s="10" t="str">
        <f>'(FnCalls 1)'!F31</f>
        <v>MMM 2009</v>
      </c>
      <c r="AC1440" s="10" t="str">
        <f>'(FnCalls 1)'!F32</f>
        <v>MMM 2009</v>
      </c>
      <c r="AD1440" s="10" t="str">
        <f>'(FnCalls 1)'!F33</f>
        <v>MMM 2009</v>
      </c>
      <c r="AE1440" s="10" t="str">
        <f>'(FnCalls 1)'!F34</f>
        <v>MMM 2009</v>
      </c>
      <c r="AF1440" s="10" t="str">
        <f>'(FnCalls 1)'!F35</f>
        <v>MMM 2009</v>
      </c>
      <c r="AG1440" s="10" t="str">
        <f>'(FnCalls 1)'!F36</f>
        <v>MMM 2009</v>
      </c>
      <c r="AH1440" s="10" t="str">
        <f>'(FnCalls 1)'!F37</f>
        <v>MMM 2009</v>
      </c>
      <c r="AI1440" s="10" t="str">
        <f>'(FnCalls 1)'!F38</f>
        <v>MMM 2009</v>
      </c>
      <c r="AJ1440" s="10" t="str">
        <f>'(FnCalls 1)'!F39</f>
        <v>MMM 2009</v>
      </c>
      <c r="AK1440" s="10" t="str">
        <f>'(FnCalls 1)'!F40</f>
        <v>MMM 2009</v>
      </c>
      <c r="AL1440" s="10" t="str">
        <f>'(FnCalls 1)'!F41</f>
        <v>MMM 2010</v>
      </c>
      <c r="AM1440" s="10" t="str">
        <f>'(FnCalls 1)'!F42</f>
        <v>MMM 2010</v>
      </c>
      <c r="AN1440" s="10" t="str">
        <f>'(FnCalls 1)'!F43</f>
        <v>MMM 2010</v>
      </c>
      <c r="AO1440" s="10" t="str">
        <f>'(FnCalls 1)'!F44</f>
        <v>MMM 2010</v>
      </c>
      <c r="AP1440" s="10" t="str">
        <f>'(FnCalls 1)'!F45</f>
        <v>MMM 2010</v>
      </c>
      <c r="AQ1440" s="10" t="str">
        <f>'(FnCalls 1)'!F46</f>
        <v>MMM 2010</v>
      </c>
      <c r="AR1440" s="10" t="str">
        <f>'(FnCalls 1)'!F47</f>
        <v>MMM 2010</v>
      </c>
      <c r="AS1440" s="10" t="str">
        <f>'(FnCalls 1)'!F48</f>
        <v>MMM 2010</v>
      </c>
      <c r="AT1440" s="10" t="str">
        <f>'(FnCalls 1)'!F49</f>
        <v>MMM 2010</v>
      </c>
      <c r="AU1440" s="10" t="str">
        <f>'(FnCalls 1)'!F50</f>
        <v>MMM 2010</v>
      </c>
      <c r="AV1440" s="10" t="str">
        <f>'(FnCalls 1)'!F51</f>
        <v>MMM 2010</v>
      </c>
      <c r="AW1440" s="10" t="str">
        <f>'(FnCalls 1)'!F52</f>
        <v>MMM 2010</v>
      </c>
      <c r="AX1440" s="10" t="str">
        <f>'(FnCalls 1)'!F53</f>
        <v>MMM 2011</v>
      </c>
      <c r="AY1440" s="10" t="str">
        <f>'(FnCalls 1)'!F54</f>
        <v>MMM 2011</v>
      </c>
      <c r="AZ1440" s="10" t="str">
        <f>'(FnCalls 1)'!F55</f>
        <v>MMM 2011</v>
      </c>
      <c r="BA1440" s="10" t="str">
        <f>'(FnCalls 1)'!F56</f>
        <v>MMM 2011</v>
      </c>
      <c r="BB1440" s="10" t="str">
        <f>'(FnCalls 1)'!F57</f>
        <v>MMM 2011</v>
      </c>
      <c r="BC1440" s="11" t="str">
        <f>'(FnCalls 1)'!F58</f>
        <v>MMM 2011</v>
      </c>
    </row>
    <row r="1441" spans="1:55" ht="12.75" customHeight="1" x14ac:dyDescent="0.2">
      <c r="A1441" s="97"/>
      <c r="B1441" s="194">
        <f t="shared" ref="B1441:AG1441" si="681">0-0</f>
        <v>0</v>
      </c>
      <c r="C1441" s="194">
        <f t="shared" si="681"/>
        <v>0</v>
      </c>
      <c r="D1441" s="194">
        <f t="shared" si="681"/>
        <v>0</v>
      </c>
      <c r="E1441" s="194">
        <f t="shared" si="681"/>
        <v>0</v>
      </c>
      <c r="F1441" s="194">
        <f t="shared" si="681"/>
        <v>0</v>
      </c>
      <c r="G1441" s="194">
        <f t="shared" si="681"/>
        <v>0</v>
      </c>
      <c r="H1441" s="194">
        <f t="shared" si="681"/>
        <v>0</v>
      </c>
      <c r="I1441" s="194">
        <f t="shared" si="681"/>
        <v>0</v>
      </c>
      <c r="J1441" s="194">
        <f t="shared" si="681"/>
        <v>0</v>
      </c>
      <c r="K1441" s="194">
        <f t="shared" si="681"/>
        <v>0</v>
      </c>
      <c r="L1441" s="194">
        <f t="shared" si="681"/>
        <v>0</v>
      </c>
      <c r="M1441" s="194">
        <f t="shared" si="681"/>
        <v>0</v>
      </c>
      <c r="N1441" s="194">
        <f t="shared" si="681"/>
        <v>0</v>
      </c>
      <c r="O1441" s="194">
        <f t="shared" si="681"/>
        <v>0</v>
      </c>
      <c r="P1441" s="194">
        <f t="shared" si="681"/>
        <v>0</v>
      </c>
      <c r="Q1441" s="194">
        <f t="shared" si="681"/>
        <v>0</v>
      </c>
      <c r="R1441" s="194">
        <f t="shared" si="681"/>
        <v>0</v>
      </c>
      <c r="S1441" s="194">
        <f t="shared" si="681"/>
        <v>0</v>
      </c>
      <c r="T1441" s="194">
        <f t="shared" si="681"/>
        <v>0</v>
      </c>
      <c r="U1441" s="194">
        <f t="shared" si="681"/>
        <v>0</v>
      </c>
      <c r="V1441" s="194">
        <f t="shared" si="681"/>
        <v>0</v>
      </c>
      <c r="W1441" s="194">
        <f t="shared" si="681"/>
        <v>0</v>
      </c>
      <c r="X1441" s="194">
        <f t="shared" si="681"/>
        <v>0</v>
      </c>
      <c r="Y1441" s="194">
        <f t="shared" si="681"/>
        <v>0</v>
      </c>
      <c r="Z1441" s="194">
        <f t="shared" si="681"/>
        <v>0</v>
      </c>
      <c r="AA1441" s="194">
        <f t="shared" si="681"/>
        <v>0</v>
      </c>
      <c r="AB1441" s="194">
        <f t="shared" si="681"/>
        <v>0</v>
      </c>
      <c r="AC1441" s="194">
        <f t="shared" si="681"/>
        <v>0</v>
      </c>
      <c r="AD1441" s="194">
        <f t="shared" si="681"/>
        <v>0</v>
      </c>
      <c r="AE1441" s="194">
        <f t="shared" si="681"/>
        <v>0</v>
      </c>
      <c r="AF1441" s="194">
        <f t="shared" si="681"/>
        <v>0</v>
      </c>
      <c r="AG1441" s="194">
        <f t="shared" si="681"/>
        <v>0</v>
      </c>
      <c r="AH1441" s="194">
        <f t="shared" ref="AH1441:BC1441" si="682">0-0</f>
        <v>0</v>
      </c>
      <c r="AI1441" s="194">
        <f t="shared" si="682"/>
        <v>0</v>
      </c>
      <c r="AJ1441" s="194">
        <f t="shared" si="682"/>
        <v>0</v>
      </c>
      <c r="AK1441" s="194">
        <f t="shared" si="682"/>
        <v>0</v>
      </c>
      <c r="AL1441" s="194">
        <f t="shared" si="682"/>
        <v>0</v>
      </c>
      <c r="AM1441" s="194">
        <f t="shared" si="682"/>
        <v>0</v>
      </c>
      <c r="AN1441" s="194">
        <f t="shared" si="682"/>
        <v>0</v>
      </c>
      <c r="AO1441" s="194">
        <f t="shared" si="682"/>
        <v>0</v>
      </c>
      <c r="AP1441" s="194">
        <f t="shared" si="682"/>
        <v>0</v>
      </c>
      <c r="AQ1441" s="194">
        <f t="shared" si="682"/>
        <v>0</v>
      </c>
      <c r="AR1441" s="194">
        <f t="shared" si="682"/>
        <v>0</v>
      </c>
      <c r="AS1441" s="194">
        <f t="shared" si="682"/>
        <v>0</v>
      </c>
      <c r="AT1441" s="194">
        <f t="shared" si="682"/>
        <v>0</v>
      </c>
      <c r="AU1441" s="194">
        <f t="shared" si="682"/>
        <v>0</v>
      </c>
      <c r="AV1441" s="194">
        <f t="shared" si="682"/>
        <v>0</v>
      </c>
      <c r="AW1441" s="194">
        <f t="shared" si="682"/>
        <v>0</v>
      </c>
      <c r="AX1441" s="194">
        <f t="shared" si="682"/>
        <v>0</v>
      </c>
      <c r="AY1441" s="194">
        <f t="shared" si="682"/>
        <v>0</v>
      </c>
      <c r="AZ1441" s="194">
        <f t="shared" si="682"/>
        <v>0</v>
      </c>
      <c r="BA1441" s="194">
        <f t="shared" si="682"/>
        <v>0</v>
      </c>
      <c r="BB1441" s="194">
        <f t="shared" si="682"/>
        <v>0</v>
      </c>
      <c r="BC1441" s="351">
        <f t="shared" si="682"/>
        <v>0</v>
      </c>
    </row>
    <row r="1442" spans="1:55" ht="12.75" customHeight="1" x14ac:dyDescent="0.2">
      <c r="A1442" s="1" t="str">
        <f>Labels!B129</f>
        <v>Net Stock Issue</v>
      </c>
    </row>
    <row r="1443" spans="1:55" ht="12.75" customHeight="1" x14ac:dyDescent="0.2">
      <c r="B1443" s="9" t="str">
        <f>'(FnCalls 1)'!F40</f>
        <v>MMM 2009</v>
      </c>
      <c r="C1443" s="10" t="str">
        <f>'(FnCalls 1)'!F41</f>
        <v>MMM 2010</v>
      </c>
      <c r="D1443" s="10" t="str">
        <f>'(FnCalls 1)'!F42</f>
        <v>MMM 2010</v>
      </c>
      <c r="E1443" s="10" t="str">
        <f>'(FnCalls 1)'!F43</f>
        <v>MMM 2010</v>
      </c>
      <c r="F1443" s="10" t="str">
        <f>'(FnCalls 1)'!F44</f>
        <v>MMM 2010</v>
      </c>
      <c r="G1443" s="10" t="str">
        <f>'(FnCalls 1)'!F45</f>
        <v>MMM 2010</v>
      </c>
      <c r="H1443" s="10" t="str">
        <f>'(FnCalls 1)'!F46</f>
        <v>MMM 2010</v>
      </c>
      <c r="I1443" s="10" t="str">
        <f>'(FnCalls 1)'!F47</f>
        <v>MMM 2010</v>
      </c>
      <c r="J1443" s="10" t="str">
        <f>'(FnCalls 1)'!F48</f>
        <v>MMM 2010</v>
      </c>
      <c r="K1443" s="10" t="str">
        <f>'(FnCalls 1)'!F49</f>
        <v>MMM 2010</v>
      </c>
      <c r="L1443" s="10" t="str">
        <f>'(FnCalls 1)'!F50</f>
        <v>MMM 2010</v>
      </c>
      <c r="M1443" s="10" t="str">
        <f>'(FnCalls 1)'!F51</f>
        <v>MMM 2010</v>
      </c>
      <c r="N1443" s="10" t="str">
        <f>'(FnCalls 1)'!F52</f>
        <v>MMM 2010</v>
      </c>
      <c r="O1443" s="10" t="str">
        <f>'(FnCalls 1)'!F53</f>
        <v>MMM 2011</v>
      </c>
      <c r="P1443" s="10" t="str">
        <f>'(FnCalls 1)'!F54</f>
        <v>MMM 2011</v>
      </c>
      <c r="Q1443" s="10" t="str">
        <f>'(FnCalls 1)'!F55</f>
        <v>MMM 2011</v>
      </c>
      <c r="R1443" s="10" t="str">
        <f>'(FnCalls 1)'!F56</f>
        <v>MMM 2011</v>
      </c>
      <c r="S1443" s="10" t="str">
        <f>'(FnCalls 1)'!F57</f>
        <v>MMM 2011</v>
      </c>
      <c r="T1443" s="11" t="str">
        <f>'(FnCalls 1)'!F58</f>
        <v>MMM 2011</v>
      </c>
    </row>
    <row r="1444" spans="1:55" ht="12.75" customHeight="1" x14ac:dyDescent="0.2">
      <c r="A1444" s="97"/>
      <c r="B1444" s="194">
        <f>Inputs!F430</f>
        <v>0</v>
      </c>
      <c r="C1444" s="194">
        <f>CFStmt!B15</f>
        <v>0</v>
      </c>
      <c r="D1444" s="194">
        <f>CFStmt!C15</f>
        <v>0</v>
      </c>
      <c r="E1444" s="194">
        <f>CFStmt!D15</f>
        <v>0</v>
      </c>
      <c r="F1444" s="194">
        <f>CFStmt!F15</f>
        <v>0</v>
      </c>
      <c r="G1444" s="194">
        <f>CFStmt!G15</f>
        <v>0</v>
      </c>
      <c r="H1444" s="194">
        <f>CFStmt!H15</f>
        <v>0</v>
      </c>
      <c r="I1444" s="194">
        <f>CFStmt!J15</f>
        <v>0</v>
      </c>
      <c r="J1444" s="194">
        <f>CFStmt!K15</f>
        <v>0</v>
      </c>
      <c r="K1444" s="194">
        <f>CFStmt!L15</f>
        <v>0</v>
      </c>
      <c r="L1444" s="194">
        <f>CFStmt!N15</f>
        <v>0</v>
      </c>
      <c r="M1444" s="194">
        <f>CFStmt!O15</f>
        <v>0</v>
      </c>
      <c r="N1444" s="194">
        <f>CFStmt!P15</f>
        <v>0</v>
      </c>
      <c r="O1444" s="194">
        <f>CFStmt!R15</f>
        <v>0</v>
      </c>
      <c r="P1444" s="194">
        <f>CFStmt!S15</f>
        <v>0</v>
      </c>
      <c r="Q1444" s="194">
        <f>CFStmt!T15</f>
        <v>0</v>
      </c>
      <c r="R1444" s="194">
        <f>CFStmt!V15</f>
        <v>0</v>
      </c>
      <c r="S1444" s="194">
        <f>CFStmt!W15</f>
        <v>0</v>
      </c>
      <c r="T1444" s="351">
        <f>CFStmt!X15</f>
        <v>0</v>
      </c>
    </row>
    <row r="1445" spans="1:55" ht="12.75" customHeight="1" x14ac:dyDescent="0.2">
      <c r="A1445" s="1" t="str">
        <f>Labels!B295</f>
        <v>Valuation (equity)</v>
      </c>
    </row>
    <row r="1446" spans="1:55" ht="12.75" customHeight="1" x14ac:dyDescent="0.2">
      <c r="B1446" s="9" t="str">
        <f>'(FnCalls 1)'!F40</f>
        <v>MMM 2009</v>
      </c>
      <c r="C1446" s="10" t="str">
        <f>'(FnCalls 1)'!F41</f>
        <v>MMM 2010</v>
      </c>
      <c r="D1446" s="10" t="str">
        <f>'(FnCalls 1)'!F42</f>
        <v>MMM 2010</v>
      </c>
      <c r="E1446" s="10" t="str">
        <f>'(FnCalls 1)'!F43</f>
        <v>MMM 2010</v>
      </c>
      <c r="F1446" s="10" t="str">
        <f>'(FnCalls 1)'!F44</f>
        <v>MMM 2010</v>
      </c>
      <c r="G1446" s="10" t="str">
        <f>'(FnCalls 1)'!F45</f>
        <v>MMM 2010</v>
      </c>
      <c r="H1446" s="10" t="str">
        <f>'(FnCalls 1)'!F46</f>
        <v>MMM 2010</v>
      </c>
      <c r="I1446" s="10" t="str">
        <f>'(FnCalls 1)'!F47</f>
        <v>MMM 2010</v>
      </c>
      <c r="J1446" s="10" t="str">
        <f>'(FnCalls 1)'!F48</f>
        <v>MMM 2010</v>
      </c>
      <c r="K1446" s="10" t="str">
        <f>'(FnCalls 1)'!F49</f>
        <v>MMM 2010</v>
      </c>
      <c r="L1446" s="10" t="str">
        <f>'(FnCalls 1)'!F50</f>
        <v>MMM 2010</v>
      </c>
      <c r="M1446" s="10" t="str">
        <f>'(FnCalls 1)'!F51</f>
        <v>MMM 2010</v>
      </c>
      <c r="N1446" s="10" t="str">
        <f>'(FnCalls 1)'!F52</f>
        <v>MMM 2010</v>
      </c>
      <c r="O1446" s="10" t="str">
        <f>'(FnCalls 1)'!F53</f>
        <v>MMM 2011</v>
      </c>
      <c r="P1446" s="10" t="str">
        <f>'(FnCalls 1)'!F54</f>
        <v>MMM 2011</v>
      </c>
      <c r="Q1446" s="10" t="str">
        <f>'(FnCalls 1)'!F55</f>
        <v>MMM 2011</v>
      </c>
      <c r="R1446" s="10" t="str">
        <f>'(FnCalls 1)'!F56</f>
        <v>MMM 2011</v>
      </c>
      <c r="S1446" s="10" t="str">
        <f>'(FnCalls 1)'!F57</f>
        <v>MMM 2011</v>
      </c>
      <c r="T1446" s="11" t="str">
        <f>'(FnCalls 1)'!F58</f>
        <v>MMM 2011</v>
      </c>
    </row>
    <row r="1447" spans="1:55" ht="12.75" customHeight="1" x14ac:dyDescent="0.2">
      <c r="A1447" s="97"/>
      <c r="B1447" s="194">
        <f>C1447/(1+Value!B17)</f>
        <v>389243.21909324068</v>
      </c>
      <c r="C1447" s="194">
        <f>Value!B6</f>
        <v>389243.21909324068</v>
      </c>
      <c r="D1447" s="194">
        <f>Value!C6</f>
        <v>389243.21909324068</v>
      </c>
      <c r="E1447" s="194">
        <f>Value!D6</f>
        <v>280130.31586743426</v>
      </c>
      <c r="F1447" s="194">
        <f>Value!F6</f>
        <v>276493.21909324074</v>
      </c>
      <c r="G1447" s="194">
        <f>Value!G6</f>
        <v>169243.21909324074</v>
      </c>
      <c r="H1447" s="194">
        <f>Value!H6</f>
        <v>253243.21909324074</v>
      </c>
      <c r="I1447" s="194">
        <f>Value!J6</f>
        <v>196213.78948365559</v>
      </c>
      <c r="J1447" s="194">
        <f>Value!K6</f>
        <v>158709.67741935485</v>
      </c>
      <c r="K1447" s="194">
        <f>Value!L6</f>
        <v>0</v>
      </c>
      <c r="L1447" s="194">
        <f>Value!N6</f>
        <v>0</v>
      </c>
      <c r="M1447" s="194">
        <f>Value!O6</f>
        <v>0</v>
      </c>
      <c r="N1447" s="194">
        <f>Value!P6</f>
        <v>0</v>
      </c>
      <c r="O1447" s="194">
        <f>Value!R6</f>
        <v>0</v>
      </c>
      <c r="P1447" s="194">
        <f>Value!S6</f>
        <v>0</v>
      </c>
      <c r="Q1447" s="194">
        <f>Value!T6</f>
        <v>0</v>
      </c>
      <c r="R1447" s="194">
        <f>Value!V6</f>
        <v>0</v>
      </c>
      <c r="S1447" s="194">
        <f>Value!W6</f>
        <v>0</v>
      </c>
      <c r="T1447" s="351">
        <f>Value!X6</f>
        <v>0</v>
      </c>
    </row>
    <row r="1448" spans="1:55" ht="12.75" customHeight="1" x14ac:dyDescent="0.2">
      <c r="A1448" s="1" t="str">
        <f>Labels!B21</f>
        <v>Expected Equity Cash Flow</v>
      </c>
    </row>
    <row r="1449" spans="1:55" ht="12.75" customHeight="1" x14ac:dyDescent="0.2">
      <c r="B1449" s="9" t="str">
        <f>'(FnCalls 1)'!F41</f>
        <v>MMM 2010</v>
      </c>
      <c r="C1449" s="10" t="str">
        <f>'(FnCalls 1)'!F42</f>
        <v>MMM 2010</v>
      </c>
      <c r="D1449" s="10" t="str">
        <f>'(FnCalls 1)'!F43</f>
        <v>MMM 2010</v>
      </c>
      <c r="E1449" s="10" t="str">
        <f>'(FnCalls 1)'!F44</f>
        <v>MMM 2010</v>
      </c>
      <c r="F1449" s="10" t="str">
        <f>'(FnCalls 1)'!F45</f>
        <v>MMM 2010</v>
      </c>
      <c r="G1449" s="10" t="str">
        <f>'(FnCalls 1)'!F46</f>
        <v>MMM 2010</v>
      </c>
      <c r="H1449" s="10" t="str">
        <f>'(FnCalls 1)'!F47</f>
        <v>MMM 2010</v>
      </c>
      <c r="I1449" s="10" t="str">
        <f>'(FnCalls 1)'!F48</f>
        <v>MMM 2010</v>
      </c>
      <c r="J1449" s="10" t="str">
        <f>'(FnCalls 1)'!F49</f>
        <v>MMM 2010</v>
      </c>
      <c r="K1449" s="10" t="str">
        <f>'(FnCalls 1)'!F50</f>
        <v>MMM 2010</v>
      </c>
      <c r="L1449" s="10" t="str">
        <f>'(FnCalls 1)'!F51</f>
        <v>MMM 2010</v>
      </c>
      <c r="M1449" s="10" t="str">
        <f>'(FnCalls 1)'!F52</f>
        <v>MMM 2010</v>
      </c>
      <c r="N1449" s="10" t="str">
        <f>'(FnCalls 1)'!F53</f>
        <v>MMM 2011</v>
      </c>
      <c r="O1449" s="10" t="str">
        <f>'(FnCalls 1)'!F54</f>
        <v>MMM 2011</v>
      </c>
      <c r="P1449" s="10" t="str">
        <f>'(FnCalls 1)'!F55</f>
        <v>MMM 2011</v>
      </c>
      <c r="Q1449" s="10" t="str">
        <f>'(FnCalls 1)'!F56</f>
        <v>MMM 2011</v>
      </c>
      <c r="R1449" s="10" t="str">
        <f>'(FnCalls 1)'!F57</f>
        <v>MMM 2011</v>
      </c>
      <c r="S1449" s="11" t="str">
        <f>'(FnCalls 1)'!F58</f>
        <v>MMM 2011</v>
      </c>
    </row>
    <row r="1450" spans="1:55" ht="12.75" customHeight="1" x14ac:dyDescent="0.2">
      <c r="A1450" s="97"/>
      <c r="B1450" s="194">
        <f>B1453*Value!B8</f>
        <v>0</v>
      </c>
      <c r="C1450" s="194">
        <f>C1453*Value!C8</f>
        <v>0</v>
      </c>
      <c r="D1450" s="194">
        <f>D1453*Value!D8</f>
        <v>109112.90322580645</v>
      </c>
      <c r="E1450" s="194">
        <f>E1453*Value!F8</f>
        <v>3637.0967741935456</v>
      </c>
      <c r="F1450" s="194">
        <f>F1453*Value!G8</f>
        <v>107250</v>
      </c>
      <c r="G1450" s="194">
        <f>G1453*Value!H8</f>
        <v>-84000</v>
      </c>
      <c r="H1450" s="194">
        <f>H1453*Value!J8</f>
        <v>57029.429609585146</v>
      </c>
      <c r="I1450" s="194">
        <f>I1453*Value!K8</f>
        <v>37504.112064300745</v>
      </c>
      <c r="J1450" s="194">
        <f>J1453*Value!L8</f>
        <v>158709.67741935485</v>
      </c>
      <c r="K1450" s="194">
        <f>K1453*Value!N8</f>
        <v>0</v>
      </c>
      <c r="L1450" s="194">
        <f>L1453*Value!O8</f>
        <v>0</v>
      </c>
      <c r="M1450" s="194">
        <f>M1453*Value!P8</f>
        <v>0</v>
      </c>
      <c r="N1450" s="194">
        <f>N1453*Value!R8</f>
        <v>0</v>
      </c>
      <c r="O1450" s="194">
        <f>O1453*Value!S8</f>
        <v>0</v>
      </c>
      <c r="P1450" s="194">
        <f>P1453*Value!T8</f>
        <v>0</v>
      </c>
      <c r="Q1450" s="194">
        <f>Q1453*Value!V8</f>
        <v>0</v>
      </c>
      <c r="R1450" s="194">
        <f>R1453*Value!W8</f>
        <v>0</v>
      </c>
      <c r="S1450" s="351">
        <f>S1453*Value!X8</f>
        <v>0</v>
      </c>
    </row>
    <row r="1451" spans="1:55" ht="12.75" customHeight="1" x14ac:dyDescent="0.2">
      <c r="A1451" s="1" t="str">
        <f>Labels!B24</f>
        <v>Cash Flow Expect Factor Future</v>
      </c>
    </row>
    <row r="1452" spans="1:55" ht="12.75" customHeight="1" x14ac:dyDescent="0.2">
      <c r="B1452" s="9" t="str">
        <f>'(FnCalls 1)'!F41</f>
        <v>MMM 2010</v>
      </c>
      <c r="C1452" s="10" t="str">
        <f>'(FnCalls 1)'!F42</f>
        <v>MMM 2010</v>
      </c>
      <c r="D1452" s="10" t="str">
        <f>'(FnCalls 1)'!F43</f>
        <v>MMM 2010</v>
      </c>
      <c r="E1452" s="10" t="str">
        <f>'(FnCalls 1)'!F44</f>
        <v>MMM 2010</v>
      </c>
      <c r="F1452" s="10" t="str">
        <f>'(FnCalls 1)'!F45</f>
        <v>MMM 2010</v>
      </c>
      <c r="G1452" s="10" t="str">
        <f>'(FnCalls 1)'!F46</f>
        <v>MMM 2010</v>
      </c>
      <c r="H1452" s="10" t="str">
        <f>'(FnCalls 1)'!F47</f>
        <v>MMM 2010</v>
      </c>
      <c r="I1452" s="10" t="str">
        <f>'(FnCalls 1)'!F48</f>
        <v>MMM 2010</v>
      </c>
      <c r="J1452" s="10" t="str">
        <f>'(FnCalls 1)'!F49</f>
        <v>MMM 2010</v>
      </c>
      <c r="K1452" s="10" t="str">
        <f>'(FnCalls 1)'!F50</f>
        <v>MMM 2010</v>
      </c>
      <c r="L1452" s="10" t="str">
        <f>'(FnCalls 1)'!F51</f>
        <v>MMM 2010</v>
      </c>
      <c r="M1452" s="10" t="str">
        <f>'(FnCalls 1)'!F52</f>
        <v>MMM 2010</v>
      </c>
      <c r="N1452" s="10" t="str">
        <f>'(FnCalls 1)'!F53</f>
        <v>MMM 2011</v>
      </c>
      <c r="O1452" s="10" t="str">
        <f>'(FnCalls 1)'!F54</f>
        <v>MMM 2011</v>
      </c>
      <c r="P1452" s="10" t="str">
        <f>'(FnCalls 1)'!F55</f>
        <v>MMM 2011</v>
      </c>
      <c r="Q1452" s="10" t="str">
        <f>'(FnCalls 1)'!F56</f>
        <v>MMM 2011</v>
      </c>
      <c r="R1452" s="10" t="str">
        <f>'(FnCalls 1)'!F57</f>
        <v>MMM 2011</v>
      </c>
      <c r="S1452" s="11" t="str">
        <f>'(FnCalls 1)'!F58</f>
        <v>MMM 2011</v>
      </c>
    </row>
    <row r="1453" spans="1:55" ht="12.75" customHeight="1" x14ac:dyDescent="0.2">
      <c r="A1453" s="97"/>
      <c r="B1453" s="368">
        <f>C1453*Inputs!F439^(1/12)</f>
        <v>1</v>
      </c>
      <c r="C1453" s="368">
        <f>D1453*Inputs!G439^(1/12)</f>
        <v>1</v>
      </c>
      <c r="D1453" s="368">
        <f>E1453*Inputs!H439^(1/12)</f>
        <v>1</v>
      </c>
      <c r="E1453" s="368">
        <f>F1453*Inputs!I439^(1/12)</f>
        <v>1</v>
      </c>
      <c r="F1453" s="368">
        <f>G1453*Inputs!J439^(1/12)</f>
        <v>1</v>
      </c>
      <c r="G1453" s="368">
        <f>H1453*Inputs!K439^(1/12)</f>
        <v>1</v>
      </c>
      <c r="H1453" s="368">
        <f>I1453*Inputs!L439^(1/12)</f>
        <v>1</v>
      </c>
      <c r="I1453" s="368">
        <f>J1453*Inputs!M439^(1/12)</f>
        <v>1</v>
      </c>
      <c r="J1453" s="368">
        <f>K1453*Inputs!N439^(1/12)</f>
        <v>1</v>
      </c>
      <c r="K1453" s="368">
        <f>L1453*Inputs!O439^(1/12)</f>
        <v>1</v>
      </c>
      <c r="L1453" s="368">
        <f>M1453*Inputs!P439^(1/12)</f>
        <v>1</v>
      </c>
      <c r="M1453" s="368">
        <f>N1453*Inputs!Q439^(1/12)</f>
        <v>1</v>
      </c>
      <c r="N1453" s="368">
        <f>O1453*Inputs!R439^(1/12)</f>
        <v>1</v>
      </c>
      <c r="O1453" s="368">
        <f>P1453*Inputs!S439^(1/12)</f>
        <v>1</v>
      </c>
      <c r="P1453" s="368">
        <f>Q1453*Inputs!T439^(1/12)</f>
        <v>1</v>
      </c>
      <c r="Q1453" s="368">
        <f>R1453*Inputs!U439^(1/12)</f>
        <v>1</v>
      </c>
      <c r="R1453" s="368">
        <f>S1453*Inputs!V439^(1/12)</f>
        <v>1</v>
      </c>
      <c r="S1453" s="369">
        <f>1*Inputs!W439^(1/12)</f>
        <v>1</v>
      </c>
    </row>
    <row r="1454" spans="1:55" ht="12.75" customHeight="1" x14ac:dyDescent="0.2">
      <c r="A1454" s="1" t="str">
        <f>Labels!B280</f>
        <v>Tail Discount Rate</v>
      </c>
    </row>
    <row r="1455" spans="1:55" ht="12.75" customHeight="1" x14ac:dyDescent="0.2">
      <c r="B1455" s="181"/>
    </row>
    <row r="1456" spans="1:55" ht="12.75" customHeight="1" x14ac:dyDescent="0.2">
      <c r="A1456" s="97"/>
      <c r="B1456" s="396">
        <f>(1+Inputs!F441)^(1/12)-1</f>
        <v>0</v>
      </c>
    </row>
    <row r="1457" spans="1:20" ht="12.75" customHeight="1" x14ac:dyDescent="0.2">
      <c r="A1457" s="1" t="str">
        <f>Labels!B283</f>
        <v>Tail Growth Rate</v>
      </c>
    </row>
    <row r="1458" spans="1:20" ht="12.75" customHeight="1" x14ac:dyDescent="0.2">
      <c r="B1458" s="181"/>
    </row>
    <row r="1459" spans="1:20" ht="12.75" customHeight="1" x14ac:dyDescent="0.2">
      <c r="A1459" s="97"/>
      <c r="B1459" s="396">
        <f>(1+Inputs!F440)^(1/12)-1</f>
        <v>0</v>
      </c>
    </row>
    <row r="1460" spans="1:20" ht="12.75" customHeight="1" x14ac:dyDescent="0.2">
      <c r="A1460" s="1" t="str">
        <f>Labels!B110</f>
        <v>IRR Cash Flow no Tail</v>
      </c>
    </row>
    <row r="1461" spans="1:20" ht="12.75" customHeight="1" x14ac:dyDescent="0.2">
      <c r="B1461" s="9" t="str">
        <f>'(FnCalls 1)'!F40</f>
        <v>MMM 2009</v>
      </c>
      <c r="C1461" s="10" t="str">
        <f>'(FnCalls 1)'!F41</f>
        <v>MMM 2010</v>
      </c>
      <c r="D1461" s="10" t="str">
        <f>'(FnCalls 1)'!F42</f>
        <v>MMM 2010</v>
      </c>
      <c r="E1461" s="10" t="str">
        <f>'(FnCalls 1)'!F43</f>
        <v>MMM 2010</v>
      </c>
      <c r="F1461" s="10" t="str">
        <f>'(FnCalls 1)'!F44</f>
        <v>MMM 2010</v>
      </c>
      <c r="G1461" s="10" t="str">
        <f>'(FnCalls 1)'!F45</f>
        <v>MMM 2010</v>
      </c>
      <c r="H1461" s="10" t="str">
        <f>'(FnCalls 1)'!F46</f>
        <v>MMM 2010</v>
      </c>
      <c r="I1461" s="10" t="str">
        <f>'(FnCalls 1)'!F47</f>
        <v>MMM 2010</v>
      </c>
      <c r="J1461" s="10" t="str">
        <f>'(FnCalls 1)'!F48</f>
        <v>MMM 2010</v>
      </c>
      <c r="K1461" s="10" t="str">
        <f>'(FnCalls 1)'!F49</f>
        <v>MMM 2010</v>
      </c>
      <c r="L1461" s="10" t="str">
        <f>'(FnCalls 1)'!F50</f>
        <v>MMM 2010</v>
      </c>
      <c r="M1461" s="10" t="str">
        <f>'(FnCalls 1)'!F51</f>
        <v>MMM 2010</v>
      </c>
      <c r="N1461" s="10" t="str">
        <f>'(FnCalls 1)'!F52</f>
        <v>MMM 2010</v>
      </c>
      <c r="O1461" s="10" t="str">
        <f>'(FnCalls 1)'!F53</f>
        <v>MMM 2011</v>
      </c>
      <c r="P1461" s="10" t="str">
        <f>'(FnCalls 1)'!F54</f>
        <v>MMM 2011</v>
      </c>
      <c r="Q1461" s="10" t="str">
        <f>'(FnCalls 1)'!F55</f>
        <v>MMM 2011</v>
      </c>
      <c r="R1461" s="10" t="str">
        <f>'(FnCalls 1)'!F56</f>
        <v>MMM 2011</v>
      </c>
      <c r="S1461" s="10" t="str">
        <f>'(FnCalls 1)'!F57</f>
        <v>MMM 2011</v>
      </c>
      <c r="T1461" s="11" t="str">
        <f>'(FnCalls 1)'!F58</f>
        <v>MMM 2011</v>
      </c>
    </row>
    <row r="1462" spans="1:20" ht="12.75" customHeight="1" x14ac:dyDescent="0.2">
      <c r="A1462" s="97"/>
      <c r="B1462" s="199">
        <f>(-BalSht!B29)</f>
        <v>0</v>
      </c>
      <c r="C1462" s="199">
        <f>CFStmt!B29</f>
        <v>0</v>
      </c>
      <c r="D1462" s="199">
        <f>CFStmt!C29</f>
        <v>0</v>
      </c>
      <c r="E1462" s="199">
        <f>CFStmt!D29</f>
        <v>-108225.80645161291</v>
      </c>
      <c r="F1462" s="199">
        <f>CFStmt!F29</f>
        <v>102725.80645161291</v>
      </c>
      <c r="G1462" s="199">
        <f>CFStmt!G29</f>
        <v>225500</v>
      </c>
      <c r="H1462" s="199">
        <f>CFStmt!H29</f>
        <v>-84000</v>
      </c>
      <c r="I1462" s="199">
        <f>CFStmt!J29</f>
        <v>57029.429609585146</v>
      </c>
      <c r="J1462" s="199">
        <f>CFStmt!K29</f>
        <v>37504.112064300745</v>
      </c>
      <c r="K1462" s="199">
        <f>CFStmt!L29</f>
        <v>158709.67741935485</v>
      </c>
      <c r="L1462" s="199">
        <f>CFStmt!N29</f>
        <v>0</v>
      </c>
      <c r="M1462" s="199">
        <f>CFStmt!O29</f>
        <v>0</v>
      </c>
      <c r="N1462" s="199">
        <f>CFStmt!P29</f>
        <v>0</v>
      </c>
      <c r="O1462" s="199">
        <f>CFStmt!R29</f>
        <v>0</v>
      </c>
      <c r="P1462" s="199">
        <f>CFStmt!S29</f>
        <v>0</v>
      </c>
      <c r="Q1462" s="199">
        <f>CFStmt!T29</f>
        <v>0</v>
      </c>
      <c r="R1462" s="199">
        <f>CFStmt!V29</f>
        <v>0</v>
      </c>
      <c r="S1462" s="199">
        <f>CFStmt!W29</f>
        <v>0</v>
      </c>
      <c r="T1462" s="354">
        <f>CFStmt!X29</f>
        <v>0</v>
      </c>
    </row>
    <row r="1463" spans="1:20" ht="12.75" customHeight="1" x14ac:dyDescent="0.2">
      <c r="A1463" s="1" t="str">
        <f>Labels!B111</f>
        <v>IRR Cash Flow w Tail</v>
      </c>
    </row>
    <row r="1464" spans="1:20" ht="12.75" customHeight="1" x14ac:dyDescent="0.2">
      <c r="B1464" s="9" t="str">
        <f>'(FnCalls 1)'!F40</f>
        <v>MMM 2009</v>
      </c>
      <c r="C1464" s="10" t="str">
        <f>'(FnCalls 1)'!F41</f>
        <v>MMM 2010</v>
      </c>
      <c r="D1464" s="10" t="str">
        <f>'(FnCalls 1)'!F42</f>
        <v>MMM 2010</v>
      </c>
      <c r="E1464" s="10" t="str">
        <f>'(FnCalls 1)'!F43</f>
        <v>MMM 2010</v>
      </c>
      <c r="F1464" s="10" t="str">
        <f>'(FnCalls 1)'!F44</f>
        <v>MMM 2010</v>
      </c>
      <c r="G1464" s="10" t="str">
        <f>'(FnCalls 1)'!F45</f>
        <v>MMM 2010</v>
      </c>
      <c r="H1464" s="10" t="str">
        <f>'(FnCalls 1)'!F46</f>
        <v>MMM 2010</v>
      </c>
      <c r="I1464" s="10" t="str">
        <f>'(FnCalls 1)'!F47</f>
        <v>MMM 2010</v>
      </c>
      <c r="J1464" s="10" t="str">
        <f>'(FnCalls 1)'!F48</f>
        <v>MMM 2010</v>
      </c>
      <c r="K1464" s="10" t="str">
        <f>'(FnCalls 1)'!F49</f>
        <v>MMM 2010</v>
      </c>
      <c r="L1464" s="10" t="str">
        <f>'(FnCalls 1)'!F50</f>
        <v>MMM 2010</v>
      </c>
      <c r="M1464" s="10" t="str">
        <f>'(FnCalls 1)'!F51</f>
        <v>MMM 2010</v>
      </c>
      <c r="N1464" s="10" t="str">
        <f>'(FnCalls 1)'!F52</f>
        <v>MMM 2010</v>
      </c>
      <c r="O1464" s="10" t="str">
        <f>'(FnCalls 1)'!F53</f>
        <v>MMM 2011</v>
      </c>
      <c r="P1464" s="10" t="str">
        <f>'(FnCalls 1)'!F54</f>
        <v>MMM 2011</v>
      </c>
      <c r="Q1464" s="10" t="str">
        <f>'(FnCalls 1)'!F55</f>
        <v>MMM 2011</v>
      </c>
      <c r="R1464" s="10" t="str">
        <f>'(FnCalls 1)'!F56</f>
        <v>MMM 2011</v>
      </c>
      <c r="S1464" s="10" t="str">
        <f>'(FnCalls 1)'!F57</f>
        <v>MMM 2011</v>
      </c>
      <c r="T1464" s="11" t="str">
        <f>'(FnCalls 1)'!F58</f>
        <v>MMM 2011</v>
      </c>
    </row>
    <row r="1465" spans="1:20" ht="12.75" customHeight="1" x14ac:dyDescent="0.2">
      <c r="A1465" s="97"/>
      <c r="B1465" s="199">
        <f>(-BalSht!B29)</f>
        <v>0</v>
      </c>
      <c r="C1465" s="199">
        <f>CFStmt!B29+0</f>
        <v>0</v>
      </c>
      <c r="D1465" s="199">
        <f>CFStmt!C29+0</f>
        <v>0</v>
      </c>
      <c r="E1465" s="199">
        <f>CFStmt!D29+0</f>
        <v>-108225.80645161291</v>
      </c>
      <c r="F1465" s="199">
        <f>CFStmt!F29+0</f>
        <v>102725.80645161291</v>
      </c>
      <c r="G1465" s="199">
        <f>CFStmt!G29+0</f>
        <v>225500</v>
      </c>
      <c r="H1465" s="199">
        <f>CFStmt!H29+0</f>
        <v>-84000</v>
      </c>
      <c r="I1465" s="199">
        <f>CFStmt!J29+0</f>
        <v>57029.429609585146</v>
      </c>
      <c r="J1465" s="199">
        <f>CFStmt!K29+0</f>
        <v>37504.112064300745</v>
      </c>
      <c r="K1465" s="199">
        <f>CFStmt!L29+0</f>
        <v>158709.67741935485</v>
      </c>
      <c r="L1465" s="199">
        <f>CFStmt!N29+0</f>
        <v>0</v>
      </c>
      <c r="M1465" s="199">
        <f>CFStmt!O29+0</f>
        <v>0</v>
      </c>
      <c r="N1465" s="199">
        <f>CFStmt!P29+0</f>
        <v>0</v>
      </c>
      <c r="O1465" s="199">
        <f>CFStmt!R29+0</f>
        <v>0</v>
      </c>
      <c r="P1465" s="199">
        <f>CFStmt!S29+0</f>
        <v>0</v>
      </c>
      <c r="Q1465" s="199">
        <f>CFStmt!T29+0</f>
        <v>0</v>
      </c>
      <c r="R1465" s="199">
        <f>CFStmt!V29+0</f>
        <v>0</v>
      </c>
      <c r="S1465" s="199">
        <f>CFStmt!W29+0</f>
        <v>0</v>
      </c>
      <c r="T1465" s="354">
        <f>CFStmt!X29+Value!B11</f>
        <v>0</v>
      </c>
    </row>
    <row r="1466" spans="1:20" ht="12.75" customHeight="1" x14ac:dyDescent="0.2">
      <c r="A1466" s="1" t="str">
        <f>Labels!B74</f>
        <v>Gross Margin</v>
      </c>
    </row>
    <row r="1467" spans="1:20" ht="12.75" customHeight="1" x14ac:dyDescent="0.2">
      <c r="B1467" s="9" t="str">
        <f>'(FnCalls 1)'!F41</f>
        <v>MMM 2010</v>
      </c>
      <c r="C1467" s="10" t="str">
        <f>'(FnCalls 1)'!F42</f>
        <v>MMM 2010</v>
      </c>
      <c r="D1467" s="10" t="str">
        <f>'(FnCalls 1)'!F43</f>
        <v>MMM 2010</v>
      </c>
      <c r="E1467" s="10" t="str">
        <f>'(FnCalls 1)'!F44</f>
        <v>MMM 2010</v>
      </c>
      <c r="F1467" s="10" t="str">
        <f>'(FnCalls 1)'!F45</f>
        <v>MMM 2010</v>
      </c>
      <c r="G1467" s="10" t="str">
        <f>'(FnCalls 1)'!F46</f>
        <v>MMM 2010</v>
      </c>
      <c r="H1467" s="10" t="str">
        <f>'(FnCalls 1)'!F47</f>
        <v>MMM 2010</v>
      </c>
      <c r="I1467" s="10" t="str">
        <f>'(FnCalls 1)'!F48</f>
        <v>MMM 2010</v>
      </c>
      <c r="J1467" s="10" t="str">
        <f>'(FnCalls 1)'!F49</f>
        <v>MMM 2010</v>
      </c>
      <c r="K1467" s="10" t="str">
        <f>'(FnCalls 1)'!F50</f>
        <v>MMM 2010</v>
      </c>
      <c r="L1467" s="10" t="str">
        <f>'(FnCalls 1)'!F51</f>
        <v>MMM 2010</v>
      </c>
      <c r="M1467" s="10" t="str">
        <f>'(FnCalls 1)'!F52</f>
        <v>MMM 2010</v>
      </c>
      <c r="N1467" s="10" t="str">
        <f>'(FnCalls 1)'!F53</f>
        <v>MMM 2011</v>
      </c>
      <c r="O1467" s="10" t="str">
        <f>'(FnCalls 1)'!F54</f>
        <v>MMM 2011</v>
      </c>
      <c r="P1467" s="10" t="str">
        <f>'(FnCalls 1)'!F55</f>
        <v>MMM 2011</v>
      </c>
      <c r="Q1467" s="10" t="str">
        <f>'(FnCalls 1)'!F56</f>
        <v>MMM 2011</v>
      </c>
      <c r="R1467" s="10" t="str">
        <f>'(FnCalls 1)'!F57</f>
        <v>MMM 2011</v>
      </c>
      <c r="S1467" s="11" t="str">
        <f>'(FnCalls 1)'!F58</f>
        <v>MMM 2011</v>
      </c>
    </row>
    <row r="1468" spans="1:20" ht="12.75" customHeight="1" x14ac:dyDescent="0.2">
      <c r="A1468" s="182" t="str">
        <f>Labels!B345</f>
        <v>Engage 1</v>
      </c>
      <c r="B1468" s="183"/>
      <c r="C1468" s="183"/>
      <c r="D1468" s="183"/>
      <c r="E1468" s="183"/>
      <c r="F1468" s="183"/>
      <c r="G1468" s="183"/>
      <c r="H1468" s="183"/>
      <c r="I1468" s="183"/>
      <c r="J1468" s="183"/>
      <c r="K1468" s="183"/>
      <c r="L1468" s="183"/>
      <c r="M1468" s="183"/>
      <c r="N1468" s="183"/>
      <c r="O1468" s="183"/>
      <c r="P1468" s="183"/>
      <c r="Q1468" s="183"/>
      <c r="R1468" s="183"/>
      <c r="S1468" s="266"/>
    </row>
    <row r="1469" spans="1:20" ht="12.75" customHeight="1" x14ac:dyDescent="0.2">
      <c r="A1469" s="188" t="str">
        <f>"   "&amp;Labels!B385</f>
        <v xml:space="preserve">   Prof Level 1</v>
      </c>
      <c r="B1469" s="196">
        <f>Engage!B48-Engage!B62-Engage!B120</f>
        <v>0</v>
      </c>
      <c r="C1469" s="196">
        <f>Engage!C48-Engage!C62-Engage!C120</f>
        <v>0</v>
      </c>
      <c r="D1469" s="196">
        <f>Engage!D48-Engage!D62-Engage!D120</f>
        <v>55000</v>
      </c>
      <c r="E1469" s="196">
        <f>Engage!E48-Engage!E62-Engage!E120</f>
        <v>55000</v>
      </c>
      <c r="F1469" s="196">
        <f>Engage!F48-Engage!F62-Engage!F120</f>
        <v>0</v>
      </c>
      <c r="G1469" s="196">
        <f>Engage!G48-Engage!G62-Engage!G120</f>
        <v>0</v>
      </c>
      <c r="H1469" s="196">
        <f>Engage!H48-Engage!H62-Engage!H120</f>
        <v>0</v>
      </c>
      <c r="I1469" s="196">
        <f>Engage!I48-Engage!I62-Engage!I120</f>
        <v>0</v>
      </c>
      <c r="J1469" s="196">
        <f>Engage!J48-Engage!J62-Engage!J120</f>
        <v>0</v>
      </c>
      <c r="K1469" s="196">
        <f>Engage!K48-Engage!K62-Engage!K120</f>
        <v>0</v>
      </c>
      <c r="L1469" s="196">
        <f>Engage!L48-Engage!L62-Engage!L120</f>
        <v>0</v>
      </c>
      <c r="M1469" s="196">
        <f>Engage!M48-Engage!M62-Engage!M120</f>
        <v>0</v>
      </c>
      <c r="N1469" s="196">
        <f>Engage!N48-Engage!N62-Engage!N120</f>
        <v>0</v>
      </c>
      <c r="O1469" s="196">
        <f>Engage!O48-Engage!O62-Engage!O120</f>
        <v>0</v>
      </c>
      <c r="P1469" s="196">
        <f>Engage!P48-Engage!P62-Engage!P120</f>
        <v>0</v>
      </c>
      <c r="Q1469" s="196">
        <f>Engage!Q48-Engage!Q62-Engage!Q120</f>
        <v>0</v>
      </c>
      <c r="R1469" s="196">
        <f>Engage!R48-Engage!R62-Engage!R120</f>
        <v>0</v>
      </c>
      <c r="S1469" s="267">
        <f>Engage!S48-Engage!S62-Engage!S120</f>
        <v>0</v>
      </c>
    </row>
    <row r="1470" spans="1:20" ht="12.75" customHeight="1" x14ac:dyDescent="0.2">
      <c r="A1470" s="188" t="str">
        <f>"   "&amp;Labels!B386</f>
        <v xml:space="preserve">   Prof Level 2</v>
      </c>
      <c r="B1470" s="196">
        <f>Engage!B49-Engage!B63-Engage!B124</f>
        <v>0</v>
      </c>
      <c r="C1470" s="196">
        <f>Engage!C49-Engage!C63-Engage!C124</f>
        <v>0</v>
      </c>
      <c r="D1470" s="196">
        <f>Engage!D49-Engage!D63-Engage!D124</f>
        <v>55000</v>
      </c>
      <c r="E1470" s="196">
        <f>Engage!E49-Engage!E63-Engage!E124</f>
        <v>55000</v>
      </c>
      <c r="F1470" s="196">
        <f>Engage!F49-Engage!F63-Engage!F124</f>
        <v>0</v>
      </c>
      <c r="G1470" s="196">
        <f>Engage!G49-Engage!G63-Engage!G124</f>
        <v>0</v>
      </c>
      <c r="H1470" s="196">
        <f>Engage!H49-Engage!H63-Engage!H124</f>
        <v>0</v>
      </c>
      <c r="I1470" s="196">
        <f>Engage!I49-Engage!I63-Engage!I124</f>
        <v>0</v>
      </c>
      <c r="J1470" s="196">
        <f>Engage!J49-Engage!J63-Engage!J124</f>
        <v>0</v>
      </c>
      <c r="K1470" s="196">
        <f>Engage!K49-Engage!K63-Engage!K124</f>
        <v>0</v>
      </c>
      <c r="L1470" s="196">
        <f>Engage!L49-Engage!L63-Engage!L124</f>
        <v>0</v>
      </c>
      <c r="M1470" s="196">
        <f>Engage!M49-Engage!M63-Engage!M124</f>
        <v>0</v>
      </c>
      <c r="N1470" s="196">
        <f>Engage!N49-Engage!N63-Engage!N124</f>
        <v>0</v>
      </c>
      <c r="O1470" s="196">
        <f>Engage!O49-Engage!O63-Engage!O124</f>
        <v>0</v>
      </c>
      <c r="P1470" s="196">
        <f>Engage!P49-Engage!P63-Engage!P124</f>
        <v>0</v>
      </c>
      <c r="Q1470" s="196">
        <f>Engage!Q49-Engage!Q63-Engage!Q124</f>
        <v>0</v>
      </c>
      <c r="R1470" s="196">
        <f>Engage!R49-Engage!R63-Engage!R124</f>
        <v>0</v>
      </c>
      <c r="S1470" s="267">
        <f>Engage!S49-Engage!S63-Engage!S124</f>
        <v>0</v>
      </c>
    </row>
    <row r="1471" spans="1:20" ht="12.75" customHeight="1" x14ac:dyDescent="0.2">
      <c r="A1471" s="191" t="str">
        <f>"   "&amp;Labels!C384</f>
        <v xml:space="preserve">   Total</v>
      </c>
      <c r="B1471" s="192">
        <f t="shared" ref="B1471:S1471" si="683">SUM(B1469:B1470)</f>
        <v>0</v>
      </c>
      <c r="C1471" s="192">
        <f t="shared" si="683"/>
        <v>0</v>
      </c>
      <c r="D1471" s="192">
        <f t="shared" si="683"/>
        <v>110000</v>
      </c>
      <c r="E1471" s="192">
        <f t="shared" si="683"/>
        <v>110000</v>
      </c>
      <c r="F1471" s="192">
        <f t="shared" si="683"/>
        <v>0</v>
      </c>
      <c r="G1471" s="192">
        <f t="shared" si="683"/>
        <v>0</v>
      </c>
      <c r="H1471" s="192">
        <f t="shared" si="683"/>
        <v>0</v>
      </c>
      <c r="I1471" s="192">
        <f t="shared" si="683"/>
        <v>0</v>
      </c>
      <c r="J1471" s="192">
        <f t="shared" si="683"/>
        <v>0</v>
      </c>
      <c r="K1471" s="192">
        <f t="shared" si="683"/>
        <v>0</v>
      </c>
      <c r="L1471" s="192">
        <f t="shared" si="683"/>
        <v>0</v>
      </c>
      <c r="M1471" s="192">
        <f t="shared" si="683"/>
        <v>0</v>
      </c>
      <c r="N1471" s="192">
        <f t="shared" si="683"/>
        <v>0</v>
      </c>
      <c r="O1471" s="192">
        <f t="shared" si="683"/>
        <v>0</v>
      </c>
      <c r="P1471" s="192">
        <f t="shared" si="683"/>
        <v>0</v>
      </c>
      <c r="Q1471" s="192">
        <f t="shared" si="683"/>
        <v>0</v>
      </c>
      <c r="R1471" s="192">
        <f t="shared" si="683"/>
        <v>0</v>
      </c>
      <c r="S1471" s="280">
        <f t="shared" si="683"/>
        <v>0</v>
      </c>
    </row>
    <row r="1472" spans="1:20" ht="12.75" customHeight="1" x14ac:dyDescent="0.2">
      <c r="A1472" s="191" t="str">
        <f>Labels!B346</f>
        <v>Engage 2</v>
      </c>
      <c r="B1472" s="192"/>
      <c r="C1472" s="192"/>
      <c r="D1472" s="192"/>
      <c r="E1472" s="192"/>
      <c r="F1472" s="192"/>
      <c r="G1472" s="192"/>
      <c r="H1472" s="192"/>
      <c r="I1472" s="192"/>
      <c r="J1472" s="192"/>
      <c r="K1472" s="192"/>
      <c r="L1472" s="192"/>
      <c r="M1472" s="192"/>
      <c r="N1472" s="192"/>
      <c r="O1472" s="192"/>
      <c r="P1472" s="192"/>
      <c r="Q1472" s="192"/>
      <c r="R1472" s="192"/>
      <c r="S1472" s="280"/>
    </row>
    <row r="1473" spans="1:19" ht="12.75" customHeight="1" x14ac:dyDescent="0.2">
      <c r="A1473" s="188" t="str">
        <f>"   "&amp;Labels!B385</f>
        <v xml:space="preserve">   Prof Level 1</v>
      </c>
      <c r="B1473" s="196">
        <f>Engage!B52-Engage!B66-Engage!B133</f>
        <v>0</v>
      </c>
      <c r="C1473" s="196">
        <f>Engage!C52-Engage!C66-Engage!C133</f>
        <v>0</v>
      </c>
      <c r="D1473" s="196">
        <f>Engage!D52-Engage!D66-Engage!D133</f>
        <v>0</v>
      </c>
      <c r="E1473" s="196">
        <f>Engage!E52-Engage!E66-Engage!E133</f>
        <v>0</v>
      </c>
      <c r="F1473" s="196">
        <f>Engage!F52-Engage!F66-Engage!F133</f>
        <v>0</v>
      </c>
      <c r="G1473" s="196">
        <f>Engage!G52-Engage!G66-Engage!G133</f>
        <v>40000</v>
      </c>
      <c r="H1473" s="196">
        <f>Engage!H52-Engage!H66-Engage!H133</f>
        <v>25869.553514469997</v>
      </c>
      <c r="I1473" s="196">
        <f>Engage!I52-Engage!I66-Engage!I133</f>
        <v>25834.704021433579</v>
      </c>
      <c r="J1473" s="196">
        <f>Engage!J52-Engage!J66-Engage!J133</f>
        <v>0</v>
      </c>
      <c r="K1473" s="196">
        <f>Engage!K52-Engage!K66-Engage!K133</f>
        <v>0</v>
      </c>
      <c r="L1473" s="196">
        <f>Engage!L52-Engage!L66-Engage!L133</f>
        <v>0</v>
      </c>
      <c r="M1473" s="196">
        <f>Engage!M52-Engage!M66-Engage!M133</f>
        <v>0</v>
      </c>
      <c r="N1473" s="196">
        <f>Engage!N52-Engage!N66-Engage!N133</f>
        <v>0</v>
      </c>
      <c r="O1473" s="196">
        <f>Engage!O52-Engage!O66-Engage!O133</f>
        <v>0</v>
      </c>
      <c r="P1473" s="196">
        <f>Engage!P52-Engage!P66-Engage!P133</f>
        <v>0</v>
      </c>
      <c r="Q1473" s="196">
        <f>Engage!Q52-Engage!Q66-Engage!Q133</f>
        <v>0</v>
      </c>
      <c r="R1473" s="196">
        <f>Engage!R52-Engage!R66-Engage!R133</f>
        <v>0</v>
      </c>
      <c r="S1473" s="267">
        <f>Engage!S52-Engage!S66-Engage!S133</f>
        <v>0</v>
      </c>
    </row>
    <row r="1474" spans="1:19" ht="12.75" customHeight="1" x14ac:dyDescent="0.2">
      <c r="A1474" s="188" t="str">
        <f>"   "&amp;Labels!B386</f>
        <v xml:space="preserve">   Prof Level 2</v>
      </c>
      <c r="B1474" s="196">
        <f>Engage!B53-Engage!B67-Engage!B137</f>
        <v>0</v>
      </c>
      <c r="C1474" s="196">
        <f>Engage!C53-Engage!C67-Engage!C137</f>
        <v>0</v>
      </c>
      <c r="D1474" s="196">
        <f>Engage!D53-Engage!D67-Engage!D137</f>
        <v>0</v>
      </c>
      <c r="E1474" s="196">
        <f>Engage!E53-Engage!E67-Engage!E137</f>
        <v>0</v>
      </c>
      <c r="F1474" s="196">
        <f>Engage!F53-Engage!F67-Engage!F137</f>
        <v>0</v>
      </c>
      <c r="G1474" s="196">
        <f>Engage!G53-Engage!G67-Engage!G137</f>
        <v>40000</v>
      </c>
      <c r="H1474" s="196">
        <f>Engage!H53-Engage!H67-Engage!H137</f>
        <v>25869.553514469997</v>
      </c>
      <c r="I1474" s="196">
        <f>Engage!I53-Engage!I67-Engage!I137</f>
        <v>25834.704021433579</v>
      </c>
      <c r="J1474" s="196">
        <f>Engage!J53-Engage!J67-Engage!J137</f>
        <v>0</v>
      </c>
      <c r="K1474" s="196">
        <f>Engage!K53-Engage!K67-Engage!K137</f>
        <v>0</v>
      </c>
      <c r="L1474" s="196">
        <f>Engage!L53-Engage!L67-Engage!L137</f>
        <v>0</v>
      </c>
      <c r="M1474" s="196">
        <f>Engage!M53-Engage!M67-Engage!M137</f>
        <v>0</v>
      </c>
      <c r="N1474" s="196">
        <f>Engage!N53-Engage!N67-Engage!N137</f>
        <v>0</v>
      </c>
      <c r="O1474" s="196">
        <f>Engage!O53-Engage!O67-Engage!O137</f>
        <v>0</v>
      </c>
      <c r="P1474" s="196">
        <f>Engage!P53-Engage!P67-Engage!P137</f>
        <v>0</v>
      </c>
      <c r="Q1474" s="196">
        <f>Engage!Q53-Engage!Q67-Engage!Q137</f>
        <v>0</v>
      </c>
      <c r="R1474" s="196">
        <f>Engage!R53-Engage!R67-Engage!R137</f>
        <v>0</v>
      </c>
      <c r="S1474" s="267">
        <f>Engage!S53-Engage!S67-Engage!S137</f>
        <v>0</v>
      </c>
    </row>
    <row r="1475" spans="1:19" ht="12.75" customHeight="1" x14ac:dyDescent="0.2">
      <c r="A1475" s="191" t="str">
        <f>"   "&amp;Labels!C384</f>
        <v xml:space="preserve">   Total</v>
      </c>
      <c r="B1475" s="192">
        <f t="shared" ref="B1475:S1475" si="684">SUM(B1473:B1474)</f>
        <v>0</v>
      </c>
      <c r="C1475" s="192">
        <f t="shared" si="684"/>
        <v>0</v>
      </c>
      <c r="D1475" s="192">
        <f t="shared" si="684"/>
        <v>0</v>
      </c>
      <c r="E1475" s="192">
        <f t="shared" si="684"/>
        <v>0</v>
      </c>
      <c r="F1475" s="192">
        <f t="shared" si="684"/>
        <v>0</v>
      </c>
      <c r="G1475" s="192">
        <f t="shared" si="684"/>
        <v>80000</v>
      </c>
      <c r="H1475" s="192">
        <f t="shared" si="684"/>
        <v>51739.107028939994</v>
      </c>
      <c r="I1475" s="192">
        <f t="shared" si="684"/>
        <v>51669.408042867159</v>
      </c>
      <c r="J1475" s="192">
        <f t="shared" si="684"/>
        <v>0</v>
      </c>
      <c r="K1475" s="192">
        <f t="shared" si="684"/>
        <v>0</v>
      </c>
      <c r="L1475" s="192">
        <f t="shared" si="684"/>
        <v>0</v>
      </c>
      <c r="M1475" s="192">
        <f t="shared" si="684"/>
        <v>0</v>
      </c>
      <c r="N1475" s="192">
        <f t="shared" si="684"/>
        <v>0</v>
      </c>
      <c r="O1475" s="192">
        <f t="shared" si="684"/>
        <v>0</v>
      </c>
      <c r="P1475" s="192">
        <f t="shared" si="684"/>
        <v>0</v>
      </c>
      <c r="Q1475" s="192">
        <f t="shared" si="684"/>
        <v>0</v>
      </c>
      <c r="R1475" s="192">
        <f t="shared" si="684"/>
        <v>0</v>
      </c>
      <c r="S1475" s="280">
        <f t="shared" si="684"/>
        <v>0</v>
      </c>
    </row>
    <row r="1476" spans="1:19" ht="12.75" customHeight="1" x14ac:dyDescent="0.2">
      <c r="A1476" s="97" t="str">
        <f>Labels!C344</f>
        <v>Total</v>
      </c>
      <c r="B1476" s="194">
        <f t="shared" ref="B1476:S1476" si="685">SUM(B1471,B1475)</f>
        <v>0</v>
      </c>
      <c r="C1476" s="194">
        <f t="shared" si="685"/>
        <v>0</v>
      </c>
      <c r="D1476" s="194">
        <f t="shared" si="685"/>
        <v>110000</v>
      </c>
      <c r="E1476" s="194">
        <f t="shared" si="685"/>
        <v>110000</v>
      </c>
      <c r="F1476" s="194">
        <f t="shared" si="685"/>
        <v>0</v>
      </c>
      <c r="G1476" s="194">
        <f t="shared" si="685"/>
        <v>80000</v>
      </c>
      <c r="H1476" s="194">
        <f t="shared" si="685"/>
        <v>51739.107028939994</v>
      </c>
      <c r="I1476" s="194">
        <f t="shared" si="685"/>
        <v>51669.408042867159</v>
      </c>
      <c r="J1476" s="194">
        <f t="shared" si="685"/>
        <v>0</v>
      </c>
      <c r="K1476" s="194">
        <f t="shared" si="685"/>
        <v>0</v>
      </c>
      <c r="L1476" s="194">
        <f t="shared" si="685"/>
        <v>0</v>
      </c>
      <c r="M1476" s="194">
        <f t="shared" si="685"/>
        <v>0</v>
      </c>
      <c r="N1476" s="194">
        <f t="shared" si="685"/>
        <v>0</v>
      </c>
      <c r="O1476" s="194">
        <f t="shared" si="685"/>
        <v>0</v>
      </c>
      <c r="P1476" s="194">
        <f t="shared" si="685"/>
        <v>0</v>
      </c>
      <c r="Q1476" s="194">
        <f t="shared" si="685"/>
        <v>0</v>
      </c>
      <c r="R1476" s="194">
        <f t="shared" si="685"/>
        <v>0</v>
      </c>
      <c r="S1476" s="351">
        <f t="shared" si="685"/>
        <v>0</v>
      </c>
    </row>
    <row r="1477" spans="1:19" ht="12.75" customHeight="1" x14ac:dyDescent="0.2">
      <c r="A1477" s="188" t="str">
        <f>"   "&amp;Labels!B385</f>
        <v xml:space="preserve">   Prof Level 1</v>
      </c>
      <c r="B1477" s="196">
        <f t="shared" ref="B1477:S1477" si="686">SUM(B1469,B1473)</f>
        <v>0</v>
      </c>
      <c r="C1477" s="196">
        <f t="shared" si="686"/>
        <v>0</v>
      </c>
      <c r="D1477" s="196">
        <f t="shared" si="686"/>
        <v>55000</v>
      </c>
      <c r="E1477" s="196">
        <f t="shared" si="686"/>
        <v>55000</v>
      </c>
      <c r="F1477" s="196">
        <f t="shared" si="686"/>
        <v>0</v>
      </c>
      <c r="G1477" s="196">
        <f t="shared" si="686"/>
        <v>40000</v>
      </c>
      <c r="H1477" s="196">
        <f t="shared" si="686"/>
        <v>25869.553514469997</v>
      </c>
      <c r="I1477" s="196">
        <f t="shared" si="686"/>
        <v>25834.704021433579</v>
      </c>
      <c r="J1477" s="196">
        <f t="shared" si="686"/>
        <v>0</v>
      </c>
      <c r="K1477" s="196">
        <f t="shared" si="686"/>
        <v>0</v>
      </c>
      <c r="L1477" s="196">
        <f t="shared" si="686"/>
        <v>0</v>
      </c>
      <c r="M1477" s="196">
        <f t="shared" si="686"/>
        <v>0</v>
      </c>
      <c r="N1477" s="196">
        <f t="shared" si="686"/>
        <v>0</v>
      </c>
      <c r="O1477" s="196">
        <f t="shared" si="686"/>
        <v>0</v>
      </c>
      <c r="P1477" s="196">
        <f t="shared" si="686"/>
        <v>0</v>
      </c>
      <c r="Q1477" s="196">
        <f t="shared" si="686"/>
        <v>0</v>
      </c>
      <c r="R1477" s="196">
        <f t="shared" si="686"/>
        <v>0</v>
      </c>
      <c r="S1477" s="267">
        <f t="shared" si="686"/>
        <v>0</v>
      </c>
    </row>
    <row r="1478" spans="1:19" ht="12.75" customHeight="1" x14ac:dyDescent="0.2">
      <c r="A1478" s="188" t="str">
        <f>"   "&amp;Labels!B386</f>
        <v xml:space="preserve">   Prof Level 2</v>
      </c>
      <c r="B1478" s="196">
        <f t="shared" ref="B1478:S1478" si="687">SUM(B1470,B1474)</f>
        <v>0</v>
      </c>
      <c r="C1478" s="196">
        <f t="shared" si="687"/>
        <v>0</v>
      </c>
      <c r="D1478" s="196">
        <f t="shared" si="687"/>
        <v>55000</v>
      </c>
      <c r="E1478" s="196">
        <f t="shared" si="687"/>
        <v>55000</v>
      </c>
      <c r="F1478" s="196">
        <f t="shared" si="687"/>
        <v>0</v>
      </c>
      <c r="G1478" s="196">
        <f t="shared" si="687"/>
        <v>40000</v>
      </c>
      <c r="H1478" s="196">
        <f t="shared" si="687"/>
        <v>25869.553514469997</v>
      </c>
      <c r="I1478" s="196">
        <f t="shared" si="687"/>
        <v>25834.704021433579</v>
      </c>
      <c r="J1478" s="196">
        <f t="shared" si="687"/>
        <v>0</v>
      </c>
      <c r="K1478" s="196">
        <f t="shared" si="687"/>
        <v>0</v>
      </c>
      <c r="L1478" s="196">
        <f t="shared" si="687"/>
        <v>0</v>
      </c>
      <c r="M1478" s="196">
        <f t="shared" si="687"/>
        <v>0</v>
      </c>
      <c r="N1478" s="196">
        <f t="shared" si="687"/>
        <v>0</v>
      </c>
      <c r="O1478" s="196">
        <f t="shared" si="687"/>
        <v>0</v>
      </c>
      <c r="P1478" s="196">
        <f t="shared" si="687"/>
        <v>0</v>
      </c>
      <c r="Q1478" s="196">
        <f t="shared" si="687"/>
        <v>0</v>
      </c>
      <c r="R1478" s="196">
        <f t="shared" si="687"/>
        <v>0</v>
      </c>
      <c r="S1478" s="267">
        <f t="shared" si="687"/>
        <v>0</v>
      </c>
    </row>
    <row r="1479" spans="1:19" ht="12.75" customHeight="1" x14ac:dyDescent="0.2">
      <c r="A1479" s="185" t="str">
        <f>"   "&amp;Labels!C384</f>
        <v xml:space="preserve">   Total</v>
      </c>
      <c r="B1479" s="176">
        <f t="shared" ref="B1479:S1479" si="688">SUM(B1471,B1475)</f>
        <v>0</v>
      </c>
      <c r="C1479" s="176">
        <f t="shared" si="688"/>
        <v>0</v>
      </c>
      <c r="D1479" s="176">
        <f t="shared" si="688"/>
        <v>110000</v>
      </c>
      <c r="E1479" s="176">
        <f t="shared" si="688"/>
        <v>110000</v>
      </c>
      <c r="F1479" s="176">
        <f t="shared" si="688"/>
        <v>0</v>
      </c>
      <c r="G1479" s="176">
        <f t="shared" si="688"/>
        <v>80000</v>
      </c>
      <c r="H1479" s="176">
        <f t="shared" si="688"/>
        <v>51739.107028939994</v>
      </c>
      <c r="I1479" s="176">
        <f t="shared" si="688"/>
        <v>51669.408042867159</v>
      </c>
      <c r="J1479" s="176">
        <f t="shared" si="688"/>
        <v>0</v>
      </c>
      <c r="K1479" s="176">
        <f t="shared" si="688"/>
        <v>0</v>
      </c>
      <c r="L1479" s="176">
        <f t="shared" si="688"/>
        <v>0</v>
      </c>
      <c r="M1479" s="176">
        <f t="shared" si="688"/>
        <v>0</v>
      </c>
      <c r="N1479" s="176">
        <f t="shared" si="688"/>
        <v>0</v>
      </c>
      <c r="O1479" s="176">
        <f t="shared" si="688"/>
        <v>0</v>
      </c>
      <c r="P1479" s="176">
        <f t="shared" si="688"/>
        <v>0</v>
      </c>
      <c r="Q1479" s="176">
        <f t="shared" si="688"/>
        <v>0</v>
      </c>
      <c r="R1479" s="176">
        <f t="shared" si="688"/>
        <v>0</v>
      </c>
      <c r="S1479" s="268">
        <f t="shared" si="688"/>
        <v>0</v>
      </c>
    </row>
    <row r="1480" spans="1:19" ht="12.75" customHeight="1" x14ac:dyDescent="0.2">
      <c r="A1480" s="1" t="str">
        <f>Labels!B75</f>
        <v>Gross Margin %</v>
      </c>
    </row>
    <row r="1481" spans="1:19" ht="12.75" customHeight="1" x14ac:dyDescent="0.2">
      <c r="B1481" s="9" t="str">
        <f>'(FnCalls 1)'!F41</f>
        <v>MMM 2010</v>
      </c>
      <c r="C1481" s="10" t="str">
        <f>'(FnCalls 1)'!F42</f>
        <v>MMM 2010</v>
      </c>
      <c r="D1481" s="10" t="str">
        <f>'(FnCalls 1)'!F43</f>
        <v>MMM 2010</v>
      </c>
      <c r="E1481" s="10" t="str">
        <f>'(FnCalls 1)'!F44</f>
        <v>MMM 2010</v>
      </c>
      <c r="F1481" s="10" t="str">
        <f>'(FnCalls 1)'!F45</f>
        <v>MMM 2010</v>
      </c>
      <c r="G1481" s="10" t="str">
        <f>'(FnCalls 1)'!F46</f>
        <v>MMM 2010</v>
      </c>
      <c r="H1481" s="10" t="str">
        <f>'(FnCalls 1)'!F47</f>
        <v>MMM 2010</v>
      </c>
      <c r="I1481" s="10" t="str">
        <f>'(FnCalls 1)'!F48</f>
        <v>MMM 2010</v>
      </c>
      <c r="J1481" s="10" t="str">
        <f>'(FnCalls 1)'!F49</f>
        <v>MMM 2010</v>
      </c>
      <c r="K1481" s="10" t="str">
        <f>'(FnCalls 1)'!F50</f>
        <v>MMM 2010</v>
      </c>
      <c r="L1481" s="10" t="str">
        <f>'(FnCalls 1)'!F51</f>
        <v>MMM 2010</v>
      </c>
      <c r="M1481" s="10" t="str">
        <f>'(FnCalls 1)'!F52</f>
        <v>MMM 2010</v>
      </c>
      <c r="N1481" s="10" t="str">
        <f>'(FnCalls 1)'!F53</f>
        <v>MMM 2011</v>
      </c>
      <c r="O1481" s="10" t="str">
        <f>'(FnCalls 1)'!F54</f>
        <v>MMM 2011</v>
      </c>
      <c r="P1481" s="10" t="str">
        <f>'(FnCalls 1)'!F55</f>
        <v>MMM 2011</v>
      </c>
      <c r="Q1481" s="10" t="str">
        <f>'(FnCalls 1)'!F56</f>
        <v>MMM 2011</v>
      </c>
      <c r="R1481" s="10" t="str">
        <f>'(FnCalls 1)'!F57</f>
        <v>MMM 2011</v>
      </c>
      <c r="S1481" s="11" t="str">
        <f>'(FnCalls 1)'!F58</f>
        <v>MMM 2011</v>
      </c>
    </row>
    <row r="1482" spans="1:19" ht="12.75" customHeight="1" x14ac:dyDescent="0.2">
      <c r="A1482" s="182" t="str">
        <f>Labels!B345</f>
        <v>Engage 1</v>
      </c>
      <c r="B1482" s="370"/>
      <c r="C1482" s="370"/>
      <c r="D1482" s="370"/>
      <c r="E1482" s="370"/>
      <c r="F1482" s="370"/>
      <c r="G1482" s="370"/>
      <c r="H1482" s="370"/>
      <c r="I1482" s="370"/>
      <c r="J1482" s="370"/>
      <c r="K1482" s="370"/>
      <c r="L1482" s="370"/>
      <c r="M1482" s="370"/>
      <c r="N1482" s="370"/>
      <c r="O1482" s="370"/>
      <c r="P1482" s="370"/>
      <c r="Q1482" s="370"/>
      <c r="R1482" s="370"/>
      <c r="S1482" s="371"/>
    </row>
    <row r="1483" spans="1:19" ht="12.75" customHeight="1" x14ac:dyDescent="0.2">
      <c r="A1483" s="188" t="str">
        <f>"   "&amp;Labels!B385</f>
        <v xml:space="preserve">   Prof Level 1</v>
      </c>
      <c r="B1483" s="275">
        <f>IF(Engage!B48=0,0,B1469/Engage!B48)</f>
        <v>0</v>
      </c>
      <c r="C1483" s="275">
        <f>IF(Engage!C48=0,0,C1469/Engage!C48)</f>
        <v>0</v>
      </c>
      <c r="D1483" s="275">
        <f>IF(Engage!D48=0,0,D1469/Engage!D48)</f>
        <v>1</v>
      </c>
      <c r="E1483" s="275">
        <f>IF(Engage!E48=0,0,E1469/Engage!E48)</f>
        <v>1</v>
      </c>
      <c r="F1483" s="275">
        <f>IF(Engage!F48=0,0,F1469/Engage!F48)</f>
        <v>0</v>
      </c>
      <c r="G1483" s="275">
        <f>IF(Engage!G48=0,0,G1469/Engage!G48)</f>
        <v>0</v>
      </c>
      <c r="H1483" s="275">
        <f>IF(Engage!H48=0,0,H1469/Engage!H48)</f>
        <v>0</v>
      </c>
      <c r="I1483" s="275">
        <f>IF(Engage!I48=0,0,I1469/Engage!I48)</f>
        <v>0</v>
      </c>
      <c r="J1483" s="275">
        <f>IF(Engage!J48=0,0,J1469/Engage!J48)</f>
        <v>0</v>
      </c>
      <c r="K1483" s="275">
        <f>IF(Engage!K48=0,0,K1469/Engage!K48)</f>
        <v>0</v>
      </c>
      <c r="L1483" s="275">
        <f>IF(Engage!L48=0,0,L1469/Engage!L48)</f>
        <v>0</v>
      </c>
      <c r="M1483" s="275">
        <f>IF(Engage!M48=0,0,M1469/Engage!M48)</f>
        <v>0</v>
      </c>
      <c r="N1483" s="275">
        <f>IF(Engage!N48=0,0,N1469/Engage!N48)</f>
        <v>0</v>
      </c>
      <c r="O1483" s="275">
        <f>IF(Engage!O48=0,0,O1469/Engage!O48)</f>
        <v>0</v>
      </c>
      <c r="P1483" s="275">
        <f>IF(Engage!P48=0,0,P1469/Engage!P48)</f>
        <v>0</v>
      </c>
      <c r="Q1483" s="275">
        <f>IF(Engage!Q48=0,0,Q1469/Engage!Q48)</f>
        <v>0</v>
      </c>
      <c r="R1483" s="275">
        <f>IF(Engage!R48=0,0,R1469/Engage!R48)</f>
        <v>0</v>
      </c>
      <c r="S1483" s="276">
        <f>IF(Engage!S48=0,0,S1469/Engage!S48)</f>
        <v>0</v>
      </c>
    </row>
    <row r="1484" spans="1:19" ht="12.75" customHeight="1" x14ac:dyDescent="0.2">
      <c r="A1484" s="188" t="str">
        <f>"   "&amp;Labels!B386</f>
        <v xml:space="preserve">   Prof Level 2</v>
      </c>
      <c r="B1484" s="275">
        <f>IF(Engage!B49=0,0,B1470/Engage!B49)</f>
        <v>0</v>
      </c>
      <c r="C1484" s="275">
        <f>IF(Engage!C49=0,0,C1470/Engage!C49)</f>
        <v>0</v>
      </c>
      <c r="D1484" s="275">
        <f>IF(Engage!D49=0,0,D1470/Engage!D49)</f>
        <v>1</v>
      </c>
      <c r="E1484" s="275">
        <f>IF(Engage!E49=0,0,E1470/Engage!E49)</f>
        <v>1</v>
      </c>
      <c r="F1484" s="275">
        <f>IF(Engage!F49=0,0,F1470/Engage!F49)</f>
        <v>0</v>
      </c>
      <c r="G1484" s="275">
        <f>IF(Engage!G49=0,0,G1470/Engage!G49)</f>
        <v>0</v>
      </c>
      <c r="H1484" s="275">
        <f>IF(Engage!H49=0,0,H1470/Engage!H49)</f>
        <v>0</v>
      </c>
      <c r="I1484" s="275">
        <f>IF(Engage!I49=0,0,I1470/Engage!I49)</f>
        <v>0</v>
      </c>
      <c r="J1484" s="275">
        <f>IF(Engage!J49=0,0,J1470/Engage!J49)</f>
        <v>0</v>
      </c>
      <c r="K1484" s="275">
        <f>IF(Engage!K49=0,0,K1470/Engage!K49)</f>
        <v>0</v>
      </c>
      <c r="L1484" s="275">
        <f>IF(Engage!L49=0,0,L1470/Engage!L49)</f>
        <v>0</v>
      </c>
      <c r="M1484" s="275">
        <f>IF(Engage!M49=0,0,M1470/Engage!M49)</f>
        <v>0</v>
      </c>
      <c r="N1484" s="275">
        <f>IF(Engage!N49=0,0,N1470/Engage!N49)</f>
        <v>0</v>
      </c>
      <c r="O1484" s="275">
        <f>IF(Engage!O49=0,0,O1470/Engage!O49)</f>
        <v>0</v>
      </c>
      <c r="P1484" s="275">
        <f>IF(Engage!P49=0,0,P1470/Engage!P49)</f>
        <v>0</v>
      </c>
      <c r="Q1484" s="275">
        <f>IF(Engage!Q49=0,0,Q1470/Engage!Q49)</f>
        <v>0</v>
      </c>
      <c r="R1484" s="275">
        <f>IF(Engage!R49=0,0,R1470/Engage!R49)</f>
        <v>0</v>
      </c>
      <c r="S1484" s="276">
        <f>IF(Engage!S49=0,0,S1470/Engage!S49)</f>
        <v>0</v>
      </c>
    </row>
    <row r="1485" spans="1:19" ht="12.75" customHeight="1" x14ac:dyDescent="0.2">
      <c r="A1485" s="191" t="str">
        <f>"   "&amp;Labels!C384</f>
        <v xml:space="preserve">   Total</v>
      </c>
      <c r="B1485" s="300">
        <f t="shared" ref="B1485:S1485" si="689">AVERAGE(B1483:B1484)</f>
        <v>0</v>
      </c>
      <c r="C1485" s="300">
        <f t="shared" si="689"/>
        <v>0</v>
      </c>
      <c r="D1485" s="300">
        <f t="shared" si="689"/>
        <v>1</v>
      </c>
      <c r="E1485" s="300">
        <f t="shared" si="689"/>
        <v>1</v>
      </c>
      <c r="F1485" s="300">
        <f t="shared" si="689"/>
        <v>0</v>
      </c>
      <c r="G1485" s="300">
        <f t="shared" si="689"/>
        <v>0</v>
      </c>
      <c r="H1485" s="300">
        <f t="shared" si="689"/>
        <v>0</v>
      </c>
      <c r="I1485" s="300">
        <f t="shared" si="689"/>
        <v>0</v>
      </c>
      <c r="J1485" s="300">
        <f t="shared" si="689"/>
        <v>0</v>
      </c>
      <c r="K1485" s="300">
        <f t="shared" si="689"/>
        <v>0</v>
      </c>
      <c r="L1485" s="300">
        <f t="shared" si="689"/>
        <v>0</v>
      </c>
      <c r="M1485" s="300">
        <f t="shared" si="689"/>
        <v>0</v>
      </c>
      <c r="N1485" s="300">
        <f t="shared" si="689"/>
        <v>0</v>
      </c>
      <c r="O1485" s="300">
        <f t="shared" si="689"/>
        <v>0</v>
      </c>
      <c r="P1485" s="300">
        <f t="shared" si="689"/>
        <v>0</v>
      </c>
      <c r="Q1485" s="300">
        <f t="shared" si="689"/>
        <v>0</v>
      </c>
      <c r="R1485" s="300">
        <f t="shared" si="689"/>
        <v>0</v>
      </c>
      <c r="S1485" s="386">
        <f t="shared" si="689"/>
        <v>0</v>
      </c>
    </row>
    <row r="1486" spans="1:19" ht="12.75" customHeight="1" x14ac:dyDescent="0.2">
      <c r="A1486" s="191" t="str">
        <f>Labels!B346</f>
        <v>Engage 2</v>
      </c>
      <c r="B1486" s="300"/>
      <c r="C1486" s="300"/>
      <c r="D1486" s="300"/>
      <c r="E1486" s="300"/>
      <c r="F1486" s="300"/>
      <c r="G1486" s="300"/>
      <c r="H1486" s="300"/>
      <c r="I1486" s="300"/>
      <c r="J1486" s="300"/>
      <c r="K1486" s="300"/>
      <c r="L1486" s="300"/>
      <c r="M1486" s="300"/>
      <c r="N1486" s="300"/>
      <c r="O1486" s="300"/>
      <c r="P1486" s="300"/>
      <c r="Q1486" s="300"/>
      <c r="R1486" s="300"/>
      <c r="S1486" s="386"/>
    </row>
    <row r="1487" spans="1:19" ht="12.75" customHeight="1" x14ac:dyDescent="0.2">
      <c r="A1487" s="188" t="str">
        <f>"   "&amp;Labels!B385</f>
        <v xml:space="preserve">   Prof Level 1</v>
      </c>
      <c r="B1487" s="275">
        <f>IF(Engage!B52=0,0,B1473/Engage!B52)</f>
        <v>0</v>
      </c>
      <c r="C1487" s="275">
        <f>IF(Engage!C52=0,0,C1473/Engage!C52)</f>
        <v>0</v>
      </c>
      <c r="D1487" s="275">
        <f>IF(Engage!D52=0,0,D1473/Engage!D52)</f>
        <v>0</v>
      </c>
      <c r="E1487" s="275">
        <f>IF(Engage!E52=0,0,E1473/Engage!E52)</f>
        <v>0</v>
      </c>
      <c r="F1487" s="275">
        <f>IF(Engage!F52=0,0,F1473/Engage!F52)</f>
        <v>0</v>
      </c>
      <c r="G1487" s="275">
        <f>IF(Engage!G52=0,0,G1473/Engage!G52)</f>
        <v>1</v>
      </c>
      <c r="H1487" s="275">
        <f>IF(Engage!H52=0,0,H1473/Engage!H52)</f>
        <v>0.6467388378617499</v>
      </c>
      <c r="I1487" s="275">
        <f>IF(Engage!I52=0,0,I1473/Engage!I52)</f>
        <v>0.64586760053583947</v>
      </c>
      <c r="J1487" s="275">
        <f>IF(Engage!J52=0,0,J1473/Engage!J52)</f>
        <v>0</v>
      </c>
      <c r="K1487" s="275">
        <f>IF(Engage!K52=0,0,K1473/Engage!K52)</f>
        <v>0</v>
      </c>
      <c r="L1487" s="275">
        <f>IF(Engage!L52=0,0,L1473/Engage!L52)</f>
        <v>0</v>
      </c>
      <c r="M1487" s="275">
        <f>IF(Engage!M52=0,0,M1473/Engage!M52)</f>
        <v>0</v>
      </c>
      <c r="N1487" s="275">
        <f>IF(Engage!N52=0,0,N1473/Engage!N52)</f>
        <v>0</v>
      </c>
      <c r="O1487" s="275">
        <f>IF(Engage!O52=0,0,O1473/Engage!O52)</f>
        <v>0</v>
      </c>
      <c r="P1487" s="275">
        <f>IF(Engage!P52=0,0,P1473/Engage!P52)</f>
        <v>0</v>
      </c>
      <c r="Q1487" s="275">
        <f>IF(Engage!Q52=0,0,Q1473/Engage!Q52)</f>
        <v>0</v>
      </c>
      <c r="R1487" s="275">
        <f>IF(Engage!R52=0,0,R1473/Engage!R52)</f>
        <v>0</v>
      </c>
      <c r="S1487" s="276">
        <f>IF(Engage!S52=0,0,S1473/Engage!S52)</f>
        <v>0</v>
      </c>
    </row>
    <row r="1488" spans="1:19" ht="12.75" customHeight="1" x14ac:dyDescent="0.2">
      <c r="A1488" s="188" t="str">
        <f>"   "&amp;Labels!B386</f>
        <v xml:space="preserve">   Prof Level 2</v>
      </c>
      <c r="B1488" s="275">
        <f>IF(Engage!B53=0,0,B1474/Engage!B53)</f>
        <v>0</v>
      </c>
      <c r="C1488" s="275">
        <f>IF(Engage!C53=0,0,C1474/Engage!C53)</f>
        <v>0</v>
      </c>
      <c r="D1488" s="275">
        <f>IF(Engage!D53=0,0,D1474/Engage!D53)</f>
        <v>0</v>
      </c>
      <c r="E1488" s="275">
        <f>IF(Engage!E53=0,0,E1474/Engage!E53)</f>
        <v>0</v>
      </c>
      <c r="F1488" s="275">
        <f>IF(Engage!F53=0,0,F1474/Engage!F53)</f>
        <v>0</v>
      </c>
      <c r="G1488" s="275">
        <f>IF(Engage!G53=0,0,G1474/Engage!G53)</f>
        <v>1</v>
      </c>
      <c r="H1488" s="275">
        <f>IF(Engage!H53=0,0,H1474/Engage!H53)</f>
        <v>0.6467388378617499</v>
      </c>
      <c r="I1488" s="275">
        <f>IF(Engage!I53=0,0,I1474/Engage!I53)</f>
        <v>0.64586760053583947</v>
      </c>
      <c r="J1488" s="275">
        <f>IF(Engage!J53=0,0,J1474/Engage!J53)</f>
        <v>0</v>
      </c>
      <c r="K1488" s="275">
        <f>IF(Engage!K53=0,0,K1474/Engage!K53)</f>
        <v>0</v>
      </c>
      <c r="L1488" s="275">
        <f>IF(Engage!L53=0,0,L1474/Engage!L53)</f>
        <v>0</v>
      </c>
      <c r="M1488" s="275">
        <f>IF(Engage!M53=0,0,M1474/Engage!M53)</f>
        <v>0</v>
      </c>
      <c r="N1488" s="275">
        <f>IF(Engage!N53=0,0,N1474/Engage!N53)</f>
        <v>0</v>
      </c>
      <c r="O1488" s="275">
        <f>IF(Engage!O53=0,0,O1474/Engage!O53)</f>
        <v>0</v>
      </c>
      <c r="P1488" s="275">
        <f>IF(Engage!P53=0,0,P1474/Engage!P53)</f>
        <v>0</v>
      </c>
      <c r="Q1488" s="275">
        <f>IF(Engage!Q53=0,0,Q1474/Engage!Q53)</f>
        <v>0</v>
      </c>
      <c r="R1488" s="275">
        <f>IF(Engage!R53=0,0,R1474/Engage!R53)</f>
        <v>0</v>
      </c>
      <c r="S1488" s="276">
        <f>IF(Engage!S53=0,0,S1474/Engage!S53)</f>
        <v>0</v>
      </c>
    </row>
    <row r="1489" spans="1:55" ht="12.75" customHeight="1" x14ac:dyDescent="0.2">
      <c r="A1489" s="191" t="str">
        <f>"   "&amp;Labels!C384</f>
        <v xml:space="preserve">   Total</v>
      </c>
      <c r="B1489" s="300">
        <f t="shared" ref="B1489:S1489" si="690">AVERAGE(B1487:B1488)</f>
        <v>0</v>
      </c>
      <c r="C1489" s="300">
        <f t="shared" si="690"/>
        <v>0</v>
      </c>
      <c r="D1489" s="300">
        <f t="shared" si="690"/>
        <v>0</v>
      </c>
      <c r="E1489" s="300">
        <f t="shared" si="690"/>
        <v>0</v>
      </c>
      <c r="F1489" s="300">
        <f t="shared" si="690"/>
        <v>0</v>
      </c>
      <c r="G1489" s="300">
        <f t="shared" si="690"/>
        <v>1</v>
      </c>
      <c r="H1489" s="300">
        <f t="shared" si="690"/>
        <v>0.6467388378617499</v>
      </c>
      <c r="I1489" s="300">
        <f t="shared" si="690"/>
        <v>0.64586760053583947</v>
      </c>
      <c r="J1489" s="300">
        <f t="shared" si="690"/>
        <v>0</v>
      </c>
      <c r="K1489" s="300">
        <f t="shared" si="690"/>
        <v>0</v>
      </c>
      <c r="L1489" s="300">
        <f t="shared" si="690"/>
        <v>0</v>
      </c>
      <c r="M1489" s="300">
        <f t="shared" si="690"/>
        <v>0</v>
      </c>
      <c r="N1489" s="300">
        <f t="shared" si="690"/>
        <v>0</v>
      </c>
      <c r="O1489" s="300">
        <f t="shared" si="690"/>
        <v>0</v>
      </c>
      <c r="P1489" s="300">
        <f t="shared" si="690"/>
        <v>0</v>
      </c>
      <c r="Q1489" s="300">
        <f t="shared" si="690"/>
        <v>0</v>
      </c>
      <c r="R1489" s="300">
        <f t="shared" si="690"/>
        <v>0</v>
      </c>
      <c r="S1489" s="386">
        <f t="shared" si="690"/>
        <v>0</v>
      </c>
    </row>
    <row r="1490" spans="1:55" ht="12.75" customHeight="1" x14ac:dyDescent="0.2">
      <c r="A1490" s="97" t="str">
        <f>Labels!C344</f>
        <v>Total</v>
      </c>
      <c r="B1490" s="387">
        <f t="shared" ref="B1490:S1490" si="691">AVERAGE(B1485,B1489)</f>
        <v>0</v>
      </c>
      <c r="C1490" s="387">
        <f t="shared" si="691"/>
        <v>0</v>
      </c>
      <c r="D1490" s="387">
        <f t="shared" si="691"/>
        <v>0.5</v>
      </c>
      <c r="E1490" s="387">
        <f t="shared" si="691"/>
        <v>0.5</v>
      </c>
      <c r="F1490" s="387">
        <f t="shared" si="691"/>
        <v>0</v>
      </c>
      <c r="G1490" s="387">
        <f t="shared" si="691"/>
        <v>0.5</v>
      </c>
      <c r="H1490" s="387">
        <f t="shared" si="691"/>
        <v>0.32336941893087495</v>
      </c>
      <c r="I1490" s="387">
        <f t="shared" si="691"/>
        <v>0.32293380026791974</v>
      </c>
      <c r="J1490" s="387">
        <f t="shared" si="691"/>
        <v>0</v>
      </c>
      <c r="K1490" s="387">
        <f t="shared" si="691"/>
        <v>0</v>
      </c>
      <c r="L1490" s="387">
        <f t="shared" si="691"/>
        <v>0</v>
      </c>
      <c r="M1490" s="387">
        <f t="shared" si="691"/>
        <v>0</v>
      </c>
      <c r="N1490" s="387">
        <f t="shared" si="691"/>
        <v>0</v>
      </c>
      <c r="O1490" s="387">
        <f t="shared" si="691"/>
        <v>0</v>
      </c>
      <c r="P1490" s="387">
        <f t="shared" si="691"/>
        <v>0</v>
      </c>
      <c r="Q1490" s="387">
        <f t="shared" si="691"/>
        <v>0</v>
      </c>
      <c r="R1490" s="387">
        <f t="shared" si="691"/>
        <v>0</v>
      </c>
      <c r="S1490" s="388">
        <f t="shared" si="691"/>
        <v>0</v>
      </c>
    </row>
    <row r="1491" spans="1:55" ht="12.75" customHeight="1" x14ac:dyDescent="0.2">
      <c r="A1491" s="188" t="str">
        <f>"   "&amp;Labels!B385</f>
        <v xml:space="preserve">   Prof Level 1</v>
      </c>
      <c r="B1491" s="275">
        <f t="shared" ref="B1491:S1491" si="692">AVERAGE(B1483,B1487)</f>
        <v>0</v>
      </c>
      <c r="C1491" s="275">
        <f t="shared" si="692"/>
        <v>0</v>
      </c>
      <c r="D1491" s="275">
        <f t="shared" si="692"/>
        <v>0.5</v>
      </c>
      <c r="E1491" s="275">
        <f t="shared" si="692"/>
        <v>0.5</v>
      </c>
      <c r="F1491" s="275">
        <f t="shared" si="692"/>
        <v>0</v>
      </c>
      <c r="G1491" s="275">
        <f t="shared" si="692"/>
        <v>0.5</v>
      </c>
      <c r="H1491" s="275">
        <f t="shared" si="692"/>
        <v>0.32336941893087495</v>
      </c>
      <c r="I1491" s="275">
        <f t="shared" si="692"/>
        <v>0.32293380026791974</v>
      </c>
      <c r="J1491" s="275">
        <f t="shared" si="692"/>
        <v>0</v>
      </c>
      <c r="K1491" s="275">
        <f t="shared" si="692"/>
        <v>0</v>
      </c>
      <c r="L1491" s="275">
        <f t="shared" si="692"/>
        <v>0</v>
      </c>
      <c r="M1491" s="275">
        <f t="shared" si="692"/>
        <v>0</v>
      </c>
      <c r="N1491" s="275">
        <f t="shared" si="692"/>
        <v>0</v>
      </c>
      <c r="O1491" s="275">
        <f t="shared" si="692"/>
        <v>0</v>
      </c>
      <c r="P1491" s="275">
        <f t="shared" si="692"/>
        <v>0</v>
      </c>
      <c r="Q1491" s="275">
        <f t="shared" si="692"/>
        <v>0</v>
      </c>
      <c r="R1491" s="275">
        <f t="shared" si="692"/>
        <v>0</v>
      </c>
      <c r="S1491" s="276">
        <f t="shared" si="692"/>
        <v>0</v>
      </c>
    </row>
    <row r="1492" spans="1:55" ht="12.75" customHeight="1" x14ac:dyDescent="0.2">
      <c r="A1492" s="188" t="str">
        <f>"   "&amp;Labels!B386</f>
        <v xml:space="preserve">   Prof Level 2</v>
      </c>
      <c r="B1492" s="275">
        <f t="shared" ref="B1492:S1492" si="693">AVERAGE(B1484,B1488)</f>
        <v>0</v>
      </c>
      <c r="C1492" s="275">
        <f t="shared" si="693"/>
        <v>0</v>
      </c>
      <c r="D1492" s="275">
        <f t="shared" si="693"/>
        <v>0.5</v>
      </c>
      <c r="E1492" s="275">
        <f t="shared" si="693"/>
        <v>0.5</v>
      </c>
      <c r="F1492" s="275">
        <f t="shared" si="693"/>
        <v>0</v>
      </c>
      <c r="G1492" s="275">
        <f t="shared" si="693"/>
        <v>0.5</v>
      </c>
      <c r="H1492" s="275">
        <f t="shared" si="693"/>
        <v>0.32336941893087495</v>
      </c>
      <c r="I1492" s="275">
        <f t="shared" si="693"/>
        <v>0.32293380026791974</v>
      </c>
      <c r="J1492" s="275">
        <f t="shared" si="693"/>
        <v>0</v>
      </c>
      <c r="K1492" s="275">
        <f t="shared" si="693"/>
        <v>0</v>
      </c>
      <c r="L1492" s="275">
        <f t="shared" si="693"/>
        <v>0</v>
      </c>
      <c r="M1492" s="275">
        <f t="shared" si="693"/>
        <v>0</v>
      </c>
      <c r="N1492" s="275">
        <f t="shared" si="693"/>
        <v>0</v>
      </c>
      <c r="O1492" s="275">
        <f t="shared" si="693"/>
        <v>0</v>
      </c>
      <c r="P1492" s="275">
        <f t="shared" si="693"/>
        <v>0</v>
      </c>
      <c r="Q1492" s="275">
        <f t="shared" si="693"/>
        <v>0</v>
      </c>
      <c r="R1492" s="275">
        <f t="shared" si="693"/>
        <v>0</v>
      </c>
      <c r="S1492" s="276">
        <f t="shared" si="693"/>
        <v>0</v>
      </c>
    </row>
    <row r="1493" spans="1:55" ht="12.75" customHeight="1" x14ac:dyDescent="0.2">
      <c r="A1493" s="185" t="str">
        <f>"   "&amp;Labels!C384</f>
        <v xml:space="preserve">   Total</v>
      </c>
      <c r="B1493" s="372">
        <f t="shared" ref="B1493:S1493" si="694">AVERAGE(B1485,B1489)</f>
        <v>0</v>
      </c>
      <c r="C1493" s="372">
        <f t="shared" si="694"/>
        <v>0</v>
      </c>
      <c r="D1493" s="372">
        <f t="shared" si="694"/>
        <v>0.5</v>
      </c>
      <c r="E1493" s="372">
        <f t="shared" si="694"/>
        <v>0.5</v>
      </c>
      <c r="F1493" s="372">
        <f t="shared" si="694"/>
        <v>0</v>
      </c>
      <c r="G1493" s="372">
        <f t="shared" si="694"/>
        <v>0.5</v>
      </c>
      <c r="H1493" s="372">
        <f t="shared" si="694"/>
        <v>0.32336941893087495</v>
      </c>
      <c r="I1493" s="372">
        <f t="shared" si="694"/>
        <v>0.32293380026791974</v>
      </c>
      <c r="J1493" s="372">
        <f t="shared" si="694"/>
        <v>0</v>
      </c>
      <c r="K1493" s="372">
        <f t="shared" si="694"/>
        <v>0</v>
      </c>
      <c r="L1493" s="372">
        <f t="shared" si="694"/>
        <v>0</v>
      </c>
      <c r="M1493" s="372">
        <f t="shared" si="694"/>
        <v>0</v>
      </c>
      <c r="N1493" s="372">
        <f t="shared" si="694"/>
        <v>0</v>
      </c>
      <c r="O1493" s="372">
        <f t="shared" si="694"/>
        <v>0</v>
      </c>
      <c r="P1493" s="372">
        <f t="shared" si="694"/>
        <v>0</v>
      </c>
      <c r="Q1493" s="372">
        <f t="shared" si="694"/>
        <v>0</v>
      </c>
      <c r="R1493" s="372">
        <f t="shared" si="694"/>
        <v>0</v>
      </c>
      <c r="S1493" s="373">
        <f t="shared" si="694"/>
        <v>0</v>
      </c>
    </row>
    <row r="1494" spans="1:55" ht="12.75" customHeight="1" x14ac:dyDescent="0.2">
      <c r="A1494" s="1" t="str">
        <f>Labels!B61</f>
        <v>Discount Factor</v>
      </c>
    </row>
    <row r="1495" spans="1:55" ht="12.75" customHeight="1" x14ac:dyDescent="0.2">
      <c r="B1495" s="9" t="str">
        <f>'(FnCalls 1)'!F40</f>
        <v>MMM 2009</v>
      </c>
      <c r="C1495" s="10" t="str">
        <f>'(FnCalls 1)'!F41</f>
        <v>MMM 2010</v>
      </c>
      <c r="D1495" s="10" t="str">
        <f>'(FnCalls 1)'!F42</f>
        <v>MMM 2010</v>
      </c>
      <c r="E1495" s="10" t="str">
        <f>'(FnCalls 1)'!F43</f>
        <v>MMM 2010</v>
      </c>
      <c r="F1495" s="10" t="str">
        <f>'(FnCalls 1)'!F44</f>
        <v>MMM 2010</v>
      </c>
      <c r="G1495" s="10" t="str">
        <f>'(FnCalls 1)'!F45</f>
        <v>MMM 2010</v>
      </c>
      <c r="H1495" s="10" t="str">
        <f>'(FnCalls 1)'!F46</f>
        <v>MMM 2010</v>
      </c>
      <c r="I1495" s="10" t="str">
        <f>'(FnCalls 1)'!F47</f>
        <v>MMM 2010</v>
      </c>
      <c r="J1495" s="10" t="str">
        <f>'(FnCalls 1)'!F48</f>
        <v>MMM 2010</v>
      </c>
      <c r="K1495" s="10" t="str">
        <f>'(FnCalls 1)'!F49</f>
        <v>MMM 2010</v>
      </c>
      <c r="L1495" s="10" t="str">
        <f>'(FnCalls 1)'!F50</f>
        <v>MMM 2010</v>
      </c>
      <c r="M1495" s="10" t="str">
        <f>'(FnCalls 1)'!F51</f>
        <v>MMM 2010</v>
      </c>
      <c r="N1495" s="10" t="str">
        <f>'(FnCalls 1)'!F52</f>
        <v>MMM 2010</v>
      </c>
      <c r="O1495" s="10" t="str">
        <f>'(FnCalls 1)'!F53</f>
        <v>MMM 2011</v>
      </c>
      <c r="P1495" s="10" t="str">
        <f>'(FnCalls 1)'!F54</f>
        <v>MMM 2011</v>
      </c>
      <c r="Q1495" s="10" t="str">
        <f>'(FnCalls 1)'!F55</f>
        <v>MMM 2011</v>
      </c>
      <c r="R1495" s="10" t="str">
        <f>'(FnCalls 1)'!F56</f>
        <v>MMM 2011</v>
      </c>
      <c r="S1495" s="10" t="str">
        <f>'(FnCalls 1)'!F57</f>
        <v>MMM 2011</v>
      </c>
      <c r="T1495" s="11" t="str">
        <f>'(FnCalls 1)'!F58</f>
        <v>MMM 2011</v>
      </c>
    </row>
    <row r="1496" spans="1:55" ht="12.75" customHeight="1" x14ac:dyDescent="0.2">
      <c r="A1496" s="97"/>
      <c r="B1496" s="368">
        <v>1</v>
      </c>
      <c r="C1496" s="368">
        <f>Value!B18</f>
        <v>1</v>
      </c>
      <c r="D1496" s="368">
        <f>Value!C18</f>
        <v>1</v>
      </c>
      <c r="E1496" s="368">
        <f>Value!D18</f>
        <v>1</v>
      </c>
      <c r="F1496" s="368">
        <f>Value!F18</f>
        <v>1</v>
      </c>
      <c r="G1496" s="368">
        <f>Value!G18</f>
        <v>1</v>
      </c>
      <c r="H1496" s="368">
        <f>Value!H18</f>
        <v>1</v>
      </c>
      <c r="I1496" s="368">
        <f>Value!J18</f>
        <v>1</v>
      </c>
      <c r="J1496" s="368">
        <f>Value!K18</f>
        <v>1</v>
      </c>
      <c r="K1496" s="368">
        <f>Value!L18</f>
        <v>1</v>
      </c>
      <c r="L1496" s="368">
        <f>Value!N18</f>
        <v>1</v>
      </c>
      <c r="M1496" s="368">
        <f>Value!O18</f>
        <v>1</v>
      </c>
      <c r="N1496" s="368">
        <f>Value!P18</f>
        <v>1</v>
      </c>
      <c r="O1496" s="368">
        <f>Value!R18</f>
        <v>1</v>
      </c>
      <c r="P1496" s="368">
        <f>Value!S18</f>
        <v>1</v>
      </c>
      <c r="Q1496" s="368">
        <f>Value!T18</f>
        <v>1</v>
      </c>
      <c r="R1496" s="368">
        <f>Value!V18</f>
        <v>1</v>
      </c>
      <c r="S1496" s="368">
        <f>Value!W18</f>
        <v>1</v>
      </c>
      <c r="T1496" s="369">
        <f>Value!X18</f>
        <v>1</v>
      </c>
    </row>
    <row r="1498" spans="1:55" ht="12.75" customHeight="1" x14ac:dyDescent="0.2">
      <c r="A1498" t="s">
        <v>3402</v>
      </c>
      <c r="B1498" t="s">
        <v>3402</v>
      </c>
      <c r="C1498" t="s">
        <v>3402</v>
      </c>
      <c r="D1498" t="s">
        <v>3402</v>
      </c>
      <c r="E1498" t="s">
        <v>3402</v>
      </c>
      <c r="F1498" t="s">
        <v>3402</v>
      </c>
      <c r="G1498" t="s">
        <v>3402</v>
      </c>
      <c r="H1498" t="s">
        <v>3402</v>
      </c>
      <c r="I1498" t="s">
        <v>3402</v>
      </c>
      <c r="J1498" t="s">
        <v>3402</v>
      </c>
      <c r="K1498" t="s">
        <v>3402</v>
      </c>
      <c r="L1498" t="s">
        <v>3402</v>
      </c>
      <c r="M1498" t="s">
        <v>3402</v>
      </c>
      <c r="N1498" t="s">
        <v>3402</v>
      </c>
      <c r="O1498" t="s">
        <v>3402</v>
      </c>
      <c r="P1498" t="s">
        <v>3402</v>
      </c>
      <c r="Q1498" t="s">
        <v>3402</v>
      </c>
      <c r="R1498" t="s">
        <v>3402</v>
      </c>
      <c r="S1498" t="s">
        <v>3402</v>
      </c>
      <c r="T1498" t="s">
        <v>3402</v>
      </c>
      <c r="U1498" t="s">
        <v>3402</v>
      </c>
      <c r="V1498" t="s">
        <v>3402</v>
      </c>
      <c r="W1498" t="s">
        <v>3402</v>
      </c>
      <c r="X1498" t="s">
        <v>3402</v>
      </c>
      <c r="Y1498" t="s">
        <v>3402</v>
      </c>
      <c r="Z1498" t="s">
        <v>3402</v>
      </c>
      <c r="AA1498" t="s">
        <v>3402</v>
      </c>
      <c r="AB1498" t="s">
        <v>3402</v>
      </c>
      <c r="AC1498" t="s">
        <v>3402</v>
      </c>
      <c r="AD1498" t="s">
        <v>3402</v>
      </c>
      <c r="AE1498" t="s">
        <v>3402</v>
      </c>
      <c r="AF1498" t="s">
        <v>3402</v>
      </c>
      <c r="AG1498" t="s">
        <v>3402</v>
      </c>
      <c r="AH1498" t="s">
        <v>3402</v>
      </c>
      <c r="AI1498" t="s">
        <v>3402</v>
      </c>
      <c r="AJ1498" t="s">
        <v>3402</v>
      </c>
      <c r="AK1498" t="s">
        <v>3402</v>
      </c>
      <c r="AL1498" t="s">
        <v>3402</v>
      </c>
      <c r="AM1498" t="s">
        <v>3402</v>
      </c>
      <c r="AN1498" t="s">
        <v>3402</v>
      </c>
      <c r="AO1498" t="s">
        <v>3402</v>
      </c>
      <c r="AP1498" t="s">
        <v>3402</v>
      </c>
      <c r="AQ1498" t="s">
        <v>3402</v>
      </c>
      <c r="AR1498" t="s">
        <v>3402</v>
      </c>
      <c r="AS1498" t="s">
        <v>3402</v>
      </c>
      <c r="AT1498" t="s">
        <v>3402</v>
      </c>
      <c r="AU1498" t="s">
        <v>3402</v>
      </c>
      <c r="AV1498" t="s">
        <v>3402</v>
      </c>
      <c r="AW1498" t="s">
        <v>3402</v>
      </c>
      <c r="AX1498" t="s">
        <v>3402</v>
      </c>
      <c r="AY1498" t="s">
        <v>3402</v>
      </c>
      <c r="AZ1498" t="s">
        <v>3402</v>
      </c>
      <c r="BA1498" t="s">
        <v>3402</v>
      </c>
      <c r="BB1498" t="s">
        <v>3402</v>
      </c>
      <c r="BC1498" t="s">
        <v>3402</v>
      </c>
    </row>
  </sheetData>
  <mergeCells count="2">
    <mergeCell ref="A1:C1"/>
    <mergeCell ref="A2:C2"/>
  </mergeCells>
  <pageMargins left="0.25" right="0.25" top="0.5" bottom="0.5" header="0.5" footer="0.5"/>
  <pageSetup paperSize="9" fitToWidth="2" fitToHeight="32767" orientation="landscape" horizontalDpi="300" verticalDpi="300"/>
  <headerFooter alignWithMargins="0"/>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E411"/>
  <sheetViews>
    <sheetView zoomScaleNormal="100" workbookViewId="0">
      <selection sqref="A1:C1"/>
    </sheetView>
  </sheetViews>
  <sheetFormatPr defaultRowHeight="12.75" customHeight="1" x14ac:dyDescent="0.2"/>
  <cols>
    <col min="1" max="1" width="38.28515625" customWidth="1"/>
    <col min="2" max="2" width="26.7109375" customWidth="1"/>
    <col min="3" max="3" width="12.42578125" customWidth="1"/>
    <col min="4" max="4" width="19.85546875" customWidth="1"/>
    <col min="5" max="5" width="60.7109375" style="427" customWidth="1"/>
  </cols>
  <sheetData>
    <row r="1" spans="1:5" ht="12.75" customHeight="1" x14ac:dyDescent="0.2">
      <c r="A1" s="463" t="str">
        <f>Inputs!F7</f>
        <v xml:space="preserve"> </v>
      </c>
      <c r="B1" s="463"/>
      <c r="C1" s="463"/>
    </row>
    <row r="2" spans="1:5" ht="12.75" customHeight="1" x14ac:dyDescent="0.2">
      <c r="A2" s="463" t="e">
        <f>TEXT('(FnCalls 1)'!A41,"m/d/yyyy")&amp;" to "&amp;TEXT('(FnCalls 1)'!A59-1,"m/d/yyyy")</f>
        <v>#VALUE!</v>
      </c>
      <c r="B2" s="463"/>
      <c r="C2" s="463"/>
    </row>
    <row r="3" spans="1:5" ht="12.75" customHeight="1" x14ac:dyDescent="0.2">
      <c r="A3" s="410" t="s">
        <v>1455</v>
      </c>
      <c r="B3" s="411">
        <v>40179</v>
      </c>
    </row>
    <row r="5" spans="1:5" ht="12.75" customHeight="1" x14ac:dyDescent="0.2">
      <c r="A5" s="412" t="s">
        <v>1192</v>
      </c>
      <c r="B5" s="412" t="s">
        <v>3579</v>
      </c>
      <c r="C5" s="412"/>
      <c r="D5" s="412"/>
      <c r="E5" s="425" t="s">
        <v>4875</v>
      </c>
    </row>
    <row r="6" spans="1:5" ht="22.5" customHeight="1" x14ac:dyDescent="0.2">
      <c r="A6" s="410" t="s">
        <v>2685</v>
      </c>
      <c r="B6" s="413" t="s">
        <v>4441</v>
      </c>
      <c r="C6" s="414"/>
      <c r="D6" s="414"/>
      <c r="E6" s="426" t="s">
        <v>825</v>
      </c>
    </row>
    <row r="7" spans="1:5" ht="22.5" customHeight="1" x14ac:dyDescent="0.2">
      <c r="A7" s="410" t="s">
        <v>5021</v>
      </c>
      <c r="B7" s="413" t="s">
        <v>507</v>
      </c>
      <c r="C7" s="414"/>
      <c r="D7" s="414"/>
      <c r="E7" s="426" t="s">
        <v>517</v>
      </c>
    </row>
    <row r="8" spans="1:5" ht="22.5" customHeight="1" x14ac:dyDescent="0.2">
      <c r="A8" s="410" t="s">
        <v>253</v>
      </c>
      <c r="B8" s="413" t="s">
        <v>2228</v>
      </c>
      <c r="C8" s="414"/>
      <c r="D8" s="414"/>
      <c r="E8" s="426" t="s">
        <v>4221</v>
      </c>
    </row>
    <row r="9" spans="1:5" ht="12.75" customHeight="1" x14ac:dyDescent="0.2">
      <c r="A9" s="410" t="s">
        <v>5887</v>
      </c>
      <c r="B9" s="413" t="s">
        <v>460</v>
      </c>
      <c r="C9" s="414"/>
      <c r="D9" s="414"/>
      <c r="E9" s="426" t="s">
        <v>5521</v>
      </c>
    </row>
    <row r="10" spans="1:5" ht="22.5" customHeight="1" x14ac:dyDescent="0.2">
      <c r="A10" s="410" t="s">
        <v>2662</v>
      </c>
      <c r="B10" s="413" t="s">
        <v>4716</v>
      </c>
      <c r="C10" s="414"/>
      <c r="D10" s="414"/>
      <c r="E10" s="426" t="s">
        <v>1382</v>
      </c>
    </row>
    <row r="11" spans="1:5" ht="12.75" customHeight="1" x14ac:dyDescent="0.2">
      <c r="A11" s="410" t="s">
        <v>4816</v>
      </c>
      <c r="B11" s="413" t="s">
        <v>2030</v>
      </c>
      <c r="C11" s="414"/>
      <c r="D11" s="414"/>
      <c r="E11" s="426" t="s">
        <v>4160</v>
      </c>
    </row>
    <row r="12" spans="1:5" ht="12.75" customHeight="1" x14ac:dyDescent="0.2">
      <c r="A12" s="410" t="s">
        <v>4222</v>
      </c>
      <c r="B12" s="413" t="s">
        <v>1457</v>
      </c>
      <c r="C12" s="414"/>
      <c r="D12" s="414"/>
      <c r="E12" s="426" t="s">
        <v>5046</v>
      </c>
    </row>
    <row r="13" spans="1:5" ht="12.75" customHeight="1" x14ac:dyDescent="0.2">
      <c r="A13" s="410" t="s">
        <v>3575</v>
      </c>
      <c r="B13" s="413" t="s">
        <v>2281</v>
      </c>
      <c r="C13" s="414"/>
      <c r="D13" s="414"/>
      <c r="E13" s="426" t="s">
        <v>2059</v>
      </c>
    </row>
    <row r="14" spans="1:5" ht="12.75" customHeight="1" x14ac:dyDescent="0.2">
      <c r="A14" s="410" t="s">
        <v>4300</v>
      </c>
      <c r="B14" s="413" t="s">
        <v>4300</v>
      </c>
      <c r="C14" s="414"/>
      <c r="D14" s="414"/>
      <c r="E14" s="426" t="s">
        <v>5645</v>
      </c>
    </row>
    <row r="15" spans="1:5" ht="12.75" customHeight="1" x14ac:dyDescent="0.2">
      <c r="A15" s="410" t="s">
        <v>2657</v>
      </c>
      <c r="B15" s="413" t="s">
        <v>5876</v>
      </c>
      <c r="C15" s="414"/>
      <c r="D15" s="414"/>
      <c r="E15" s="426" t="s">
        <v>2091</v>
      </c>
    </row>
    <row r="16" spans="1:5" ht="22.5" customHeight="1" x14ac:dyDescent="0.2">
      <c r="A16" s="410" t="s">
        <v>1032</v>
      </c>
      <c r="B16" s="413" t="s">
        <v>93</v>
      </c>
      <c r="C16" s="414"/>
      <c r="D16" s="414"/>
      <c r="E16" s="426" t="s">
        <v>3654</v>
      </c>
    </row>
    <row r="17" spans="1:5" ht="22.5" customHeight="1" x14ac:dyDescent="0.2">
      <c r="A17" s="410" t="s">
        <v>4533</v>
      </c>
      <c r="B17" s="413" t="s">
        <v>4542</v>
      </c>
      <c r="C17" s="414"/>
      <c r="D17" s="414"/>
      <c r="E17" s="426" t="s">
        <v>3767</v>
      </c>
    </row>
    <row r="18" spans="1:5" ht="12.75" customHeight="1" x14ac:dyDescent="0.2">
      <c r="A18" s="410" t="s">
        <v>2015</v>
      </c>
      <c r="B18" s="413" t="s">
        <v>3805</v>
      </c>
      <c r="C18" s="414"/>
      <c r="D18" s="414"/>
      <c r="E18" s="426" t="s">
        <v>4266</v>
      </c>
    </row>
    <row r="19" spans="1:5" ht="12.75" customHeight="1" x14ac:dyDescent="0.2">
      <c r="A19" s="410" t="s">
        <v>3469</v>
      </c>
      <c r="B19" s="413" t="s">
        <v>1229</v>
      </c>
      <c r="C19" s="414"/>
      <c r="D19" s="414"/>
      <c r="E19" s="426" t="s">
        <v>2159</v>
      </c>
    </row>
    <row r="20" spans="1:5" ht="33.75" customHeight="1" x14ac:dyDescent="0.2">
      <c r="A20" s="410" t="s">
        <v>316</v>
      </c>
      <c r="B20" s="413" t="s">
        <v>5616</v>
      </c>
      <c r="C20" s="414"/>
      <c r="D20" s="414"/>
      <c r="E20" s="426" t="s">
        <v>4482</v>
      </c>
    </row>
    <row r="21" spans="1:5" ht="33.75" customHeight="1" x14ac:dyDescent="0.2">
      <c r="A21" s="410" t="s">
        <v>4380</v>
      </c>
      <c r="B21" s="413" t="s">
        <v>5354</v>
      </c>
      <c r="C21" s="414"/>
      <c r="D21" s="414"/>
      <c r="E21" s="426" t="s">
        <v>1515</v>
      </c>
    </row>
    <row r="22" spans="1:5" ht="22.5" customHeight="1" x14ac:dyDescent="0.2">
      <c r="A22" s="410" t="s">
        <v>1271</v>
      </c>
      <c r="B22" s="413" t="s">
        <v>56</v>
      </c>
      <c r="C22" s="414"/>
      <c r="D22" s="414"/>
      <c r="E22" s="426" t="s">
        <v>2658</v>
      </c>
    </row>
    <row r="23" spans="1:5" ht="147.75" customHeight="1" x14ac:dyDescent="0.2">
      <c r="A23" s="410" t="s">
        <v>4297</v>
      </c>
      <c r="B23" s="413" t="s">
        <v>3834</v>
      </c>
      <c r="C23" s="414"/>
      <c r="D23" s="414"/>
      <c r="E23" s="426" t="s">
        <v>2352</v>
      </c>
    </row>
    <row r="24" spans="1:5" ht="33.75" customHeight="1" x14ac:dyDescent="0.2">
      <c r="A24" s="410" t="s">
        <v>4270</v>
      </c>
      <c r="B24" s="413" t="s">
        <v>491</v>
      </c>
      <c r="C24" s="414"/>
      <c r="D24" s="414"/>
      <c r="E24" s="426" t="s">
        <v>5834</v>
      </c>
    </row>
    <row r="25" spans="1:5" ht="22.5" customHeight="1" x14ac:dyDescent="0.2">
      <c r="A25" s="410" t="s">
        <v>4330</v>
      </c>
      <c r="B25" s="413" t="s">
        <v>2510</v>
      </c>
      <c r="C25" s="414"/>
      <c r="D25" s="414"/>
      <c r="E25" s="426" t="s">
        <v>4126</v>
      </c>
    </row>
    <row r="26" spans="1:5" ht="33.75" customHeight="1" x14ac:dyDescent="0.2">
      <c r="A26" s="410" t="s">
        <v>5377</v>
      </c>
      <c r="B26" s="413" t="s">
        <v>5019</v>
      </c>
      <c r="C26" s="414"/>
      <c r="D26" s="414"/>
      <c r="E26" s="426" t="s">
        <v>3272</v>
      </c>
    </row>
    <row r="27" spans="1:5" ht="12.75" customHeight="1" x14ac:dyDescent="0.2">
      <c r="A27" s="410" t="s">
        <v>2194</v>
      </c>
      <c r="B27" s="413" t="s">
        <v>3447</v>
      </c>
      <c r="C27" s="414"/>
      <c r="D27" s="414"/>
      <c r="E27" s="426" t="s">
        <v>4017</v>
      </c>
    </row>
    <row r="28" spans="1:5" ht="45.75" customHeight="1" x14ac:dyDescent="0.2">
      <c r="A28" s="410" t="s">
        <v>1469</v>
      </c>
      <c r="B28" s="413" t="s">
        <v>882</v>
      </c>
      <c r="C28" s="414"/>
      <c r="D28" s="414"/>
      <c r="E28" s="426" t="s">
        <v>3981</v>
      </c>
    </row>
    <row r="29" spans="1:5" ht="12.75" customHeight="1" x14ac:dyDescent="0.2">
      <c r="A29" s="410" t="s">
        <v>2643</v>
      </c>
      <c r="B29" s="413" t="s">
        <v>1133</v>
      </c>
      <c r="C29" s="414"/>
      <c r="D29" s="414"/>
      <c r="E29" s="426" t="s">
        <v>2088</v>
      </c>
    </row>
    <row r="30" spans="1:5" ht="12.75" customHeight="1" x14ac:dyDescent="0.2">
      <c r="A30" s="410" t="s">
        <v>3972</v>
      </c>
      <c r="B30" s="413" t="s">
        <v>3207</v>
      </c>
      <c r="C30" s="414"/>
      <c r="D30" s="414"/>
      <c r="E30" s="426" t="s">
        <v>4357</v>
      </c>
    </row>
    <row r="31" spans="1:5" ht="33.75" customHeight="1" x14ac:dyDescent="0.2">
      <c r="A31" s="410" t="s">
        <v>4843</v>
      </c>
      <c r="B31" s="413" t="s">
        <v>5417</v>
      </c>
      <c r="C31" s="414"/>
      <c r="D31" s="414"/>
      <c r="E31" s="426" t="s">
        <v>2019</v>
      </c>
    </row>
    <row r="32" spans="1:5" ht="12.75" customHeight="1" x14ac:dyDescent="0.2">
      <c r="A32" s="410" t="s">
        <v>5523</v>
      </c>
      <c r="B32" s="413" t="s">
        <v>3431</v>
      </c>
      <c r="C32" s="414"/>
      <c r="D32" s="414"/>
      <c r="E32" s="426" t="s">
        <v>4225</v>
      </c>
    </row>
    <row r="33" spans="1:5" ht="22.5" customHeight="1" x14ac:dyDescent="0.2">
      <c r="A33" s="410" t="s">
        <v>696</v>
      </c>
      <c r="B33" s="413" t="s">
        <v>696</v>
      </c>
      <c r="C33" s="414"/>
      <c r="D33" s="414"/>
      <c r="E33" s="426" t="s">
        <v>3260</v>
      </c>
    </row>
    <row r="34" spans="1:5" ht="45.75" customHeight="1" x14ac:dyDescent="0.2">
      <c r="A34" s="410" t="s">
        <v>364</v>
      </c>
      <c r="B34" s="413" t="s">
        <v>2425</v>
      </c>
      <c r="C34" s="414"/>
      <c r="D34" s="414"/>
      <c r="E34" s="426" t="s">
        <v>2205</v>
      </c>
    </row>
    <row r="35" spans="1:5" ht="45.75" customHeight="1" x14ac:dyDescent="0.2">
      <c r="A35" s="410" t="s">
        <v>4639</v>
      </c>
      <c r="B35" s="413" t="s">
        <v>326</v>
      </c>
      <c r="C35" s="414"/>
      <c r="D35" s="414"/>
      <c r="E35" s="426" t="s">
        <v>4112</v>
      </c>
    </row>
    <row r="36" spans="1:5" ht="33.75" customHeight="1" x14ac:dyDescent="0.2">
      <c r="A36" s="410" t="s">
        <v>5223</v>
      </c>
      <c r="B36" s="413" t="s">
        <v>1146</v>
      </c>
      <c r="C36" s="414"/>
      <c r="D36" s="414"/>
      <c r="E36" s="426" t="s">
        <v>562</v>
      </c>
    </row>
    <row r="37" spans="1:5" ht="57" customHeight="1" x14ac:dyDescent="0.2">
      <c r="A37" s="410" t="s">
        <v>4987</v>
      </c>
      <c r="B37" s="413" t="s">
        <v>1146</v>
      </c>
      <c r="C37" s="414"/>
      <c r="D37" s="414"/>
      <c r="E37" s="426" t="s">
        <v>2167</v>
      </c>
    </row>
    <row r="38" spans="1:5" ht="33.75" customHeight="1" x14ac:dyDescent="0.2">
      <c r="A38" s="410" t="s">
        <v>4865</v>
      </c>
      <c r="B38" s="413" t="s">
        <v>2419</v>
      </c>
      <c r="C38" s="414"/>
      <c r="D38" s="414"/>
      <c r="E38" s="426" t="s">
        <v>4673</v>
      </c>
    </row>
    <row r="39" spans="1:5" ht="45.75" customHeight="1" x14ac:dyDescent="0.2">
      <c r="A39" s="410" t="s">
        <v>1621</v>
      </c>
      <c r="B39" s="413" t="s">
        <v>1230</v>
      </c>
      <c r="C39" s="414"/>
      <c r="D39" s="414"/>
      <c r="E39" s="426" t="s">
        <v>4714</v>
      </c>
    </row>
    <row r="40" spans="1:5" ht="33.75" customHeight="1" x14ac:dyDescent="0.2">
      <c r="A40" s="410" t="s">
        <v>5369</v>
      </c>
      <c r="B40" s="413" t="s">
        <v>277</v>
      </c>
      <c r="C40" s="414"/>
      <c r="D40" s="414"/>
      <c r="E40" s="426" t="s">
        <v>2707</v>
      </c>
    </row>
    <row r="41" spans="1:5" ht="33.75" customHeight="1" x14ac:dyDescent="0.2">
      <c r="A41" s="410" t="s">
        <v>5683</v>
      </c>
      <c r="B41" s="413" t="s">
        <v>3854</v>
      </c>
      <c r="C41" s="414"/>
      <c r="D41" s="414"/>
      <c r="E41" s="426" t="s">
        <v>3478</v>
      </c>
    </row>
    <row r="42" spans="1:5" ht="22.5" customHeight="1" x14ac:dyDescent="0.2">
      <c r="A42" s="410" t="s">
        <v>2551</v>
      </c>
      <c r="B42" s="413" t="s">
        <v>1724</v>
      </c>
      <c r="C42" s="414"/>
      <c r="D42" s="414"/>
      <c r="E42" s="426" t="s">
        <v>3098</v>
      </c>
    </row>
    <row r="43" spans="1:5" ht="45.75" customHeight="1" x14ac:dyDescent="0.2">
      <c r="A43" s="410" t="s">
        <v>4001</v>
      </c>
      <c r="B43" s="413" t="s">
        <v>1724</v>
      </c>
      <c r="C43" s="414"/>
      <c r="D43" s="414"/>
      <c r="E43" s="426" t="s">
        <v>1972</v>
      </c>
    </row>
    <row r="44" spans="1:5" ht="33.75" customHeight="1" x14ac:dyDescent="0.2">
      <c r="A44" s="410" t="s">
        <v>106</v>
      </c>
      <c r="B44" s="413" t="s">
        <v>4986</v>
      </c>
      <c r="C44" s="414"/>
      <c r="D44" s="414"/>
      <c r="E44" s="426" t="s">
        <v>3183</v>
      </c>
    </row>
    <row r="45" spans="1:5" ht="57" customHeight="1" x14ac:dyDescent="0.2">
      <c r="A45" s="410" t="s">
        <v>388</v>
      </c>
      <c r="B45" s="413" t="s">
        <v>2602</v>
      </c>
      <c r="C45" s="414"/>
      <c r="D45" s="414"/>
      <c r="E45" s="426" t="s">
        <v>3368</v>
      </c>
    </row>
    <row r="46" spans="1:5" ht="33.75" customHeight="1" x14ac:dyDescent="0.2">
      <c r="A46" s="410" t="s">
        <v>4750</v>
      </c>
      <c r="B46" s="413" t="s">
        <v>2291</v>
      </c>
      <c r="C46" s="414"/>
      <c r="D46" s="414"/>
      <c r="E46" s="426" t="s">
        <v>2712</v>
      </c>
    </row>
    <row r="47" spans="1:5" ht="45.75" customHeight="1" x14ac:dyDescent="0.2">
      <c r="A47" s="410" t="s">
        <v>3931</v>
      </c>
      <c r="B47" s="413" t="s">
        <v>2291</v>
      </c>
      <c r="C47" s="414"/>
      <c r="D47" s="414"/>
      <c r="E47" s="426" t="s">
        <v>662</v>
      </c>
    </row>
    <row r="48" spans="1:5" ht="22.5" customHeight="1" x14ac:dyDescent="0.2">
      <c r="A48" s="410" t="s">
        <v>703</v>
      </c>
      <c r="B48" s="413" t="s">
        <v>3909</v>
      </c>
      <c r="C48" s="414"/>
      <c r="D48" s="414"/>
      <c r="E48" s="426" t="s">
        <v>407</v>
      </c>
    </row>
    <row r="49" spans="1:5" ht="33.75" customHeight="1" x14ac:dyDescent="0.2">
      <c r="A49" s="410" t="s">
        <v>4294</v>
      </c>
      <c r="B49" s="413" t="s">
        <v>177</v>
      </c>
      <c r="C49" s="414"/>
      <c r="D49" s="414"/>
      <c r="E49" s="426" t="s">
        <v>3743</v>
      </c>
    </row>
    <row r="50" spans="1:5" ht="57" customHeight="1" x14ac:dyDescent="0.2">
      <c r="A50" s="410" t="s">
        <v>1632</v>
      </c>
      <c r="B50" s="413" t="s">
        <v>4153</v>
      </c>
      <c r="C50" s="414"/>
      <c r="D50" s="414"/>
      <c r="E50" s="426" t="s">
        <v>1403</v>
      </c>
    </row>
    <row r="51" spans="1:5" ht="22.5" customHeight="1" x14ac:dyDescent="0.2">
      <c r="A51" s="410" t="s">
        <v>639</v>
      </c>
      <c r="B51" s="413" t="s">
        <v>208</v>
      </c>
      <c r="C51" s="414"/>
      <c r="D51" s="414"/>
      <c r="E51" s="426" t="s">
        <v>2995</v>
      </c>
    </row>
    <row r="52" spans="1:5" ht="12.75" customHeight="1" x14ac:dyDescent="0.2">
      <c r="A52" s="410" t="s">
        <v>2645</v>
      </c>
      <c r="B52" s="413" t="s">
        <v>135</v>
      </c>
      <c r="C52" s="414"/>
      <c r="D52" s="414"/>
      <c r="E52" s="426" t="s">
        <v>5631</v>
      </c>
    </row>
    <row r="53" spans="1:5" ht="22.5" customHeight="1" x14ac:dyDescent="0.2">
      <c r="A53" s="410" t="s">
        <v>4640</v>
      </c>
      <c r="B53" s="413" t="s">
        <v>684</v>
      </c>
      <c r="C53" s="414"/>
      <c r="D53" s="414"/>
      <c r="E53" s="426" t="s">
        <v>1247</v>
      </c>
    </row>
    <row r="54" spans="1:5" ht="22.5" customHeight="1" x14ac:dyDescent="0.2">
      <c r="A54" s="410" t="s">
        <v>3039</v>
      </c>
      <c r="B54" s="413" t="s">
        <v>3039</v>
      </c>
      <c r="C54" s="414"/>
      <c r="D54" s="414"/>
      <c r="E54" s="426" t="s">
        <v>5151</v>
      </c>
    </row>
    <row r="55" spans="1:5" ht="12.75" customHeight="1" x14ac:dyDescent="0.2">
      <c r="A55" s="410" t="s">
        <v>1122</v>
      </c>
      <c r="B55" s="413" t="s">
        <v>3744</v>
      </c>
      <c r="C55" s="414"/>
      <c r="D55" s="414"/>
      <c r="E55" s="426" t="s">
        <v>4966</v>
      </c>
    </row>
    <row r="56" spans="1:5" ht="12.75" customHeight="1" x14ac:dyDescent="0.2">
      <c r="A56" s="410" t="s">
        <v>3468</v>
      </c>
      <c r="B56" s="413" t="s">
        <v>5540</v>
      </c>
      <c r="C56" s="414"/>
      <c r="D56" s="414"/>
      <c r="E56" s="426" t="s">
        <v>1538</v>
      </c>
    </row>
    <row r="57" spans="1:5" ht="12.75" customHeight="1" x14ac:dyDescent="0.2">
      <c r="A57" s="410" t="s">
        <v>945</v>
      </c>
      <c r="B57" s="413" t="s">
        <v>3702</v>
      </c>
      <c r="C57" s="414"/>
      <c r="D57" s="414"/>
      <c r="E57" s="426" t="s">
        <v>1506</v>
      </c>
    </row>
    <row r="58" spans="1:5" ht="22.5" customHeight="1" x14ac:dyDescent="0.2">
      <c r="A58" s="410" t="s">
        <v>1062</v>
      </c>
      <c r="B58" s="413" t="s">
        <v>3471</v>
      </c>
      <c r="C58" s="414"/>
      <c r="D58" s="414"/>
      <c r="E58" s="426" t="s">
        <v>2612</v>
      </c>
    </row>
    <row r="59" spans="1:5" ht="33.75" customHeight="1" x14ac:dyDescent="0.2">
      <c r="A59" s="410" t="s">
        <v>4220</v>
      </c>
      <c r="B59" s="413" t="s">
        <v>3912</v>
      </c>
      <c r="C59" s="414"/>
      <c r="D59" s="414"/>
      <c r="E59" s="426" t="s">
        <v>5463</v>
      </c>
    </row>
    <row r="60" spans="1:5" ht="22.5" customHeight="1" x14ac:dyDescent="0.2">
      <c r="A60" s="410" t="s">
        <v>3810</v>
      </c>
      <c r="B60" s="413" t="s">
        <v>3110</v>
      </c>
      <c r="C60" s="414"/>
      <c r="D60" s="414"/>
      <c r="E60" s="426" t="s">
        <v>63</v>
      </c>
    </row>
    <row r="61" spans="1:5" ht="22.5" customHeight="1" x14ac:dyDescent="0.2">
      <c r="A61" s="410" t="s">
        <v>4710</v>
      </c>
      <c r="B61" s="413" t="s">
        <v>478</v>
      </c>
      <c r="C61" s="414"/>
      <c r="D61" s="414"/>
      <c r="E61" s="426" t="s">
        <v>5304</v>
      </c>
    </row>
    <row r="62" spans="1:5" ht="12.75" customHeight="1" x14ac:dyDescent="0.2">
      <c r="A62" s="410" t="s">
        <v>3626</v>
      </c>
      <c r="B62" s="413" t="s">
        <v>140</v>
      </c>
      <c r="C62" s="414"/>
      <c r="D62" s="414"/>
      <c r="E62" s="426" t="s">
        <v>5464</v>
      </c>
    </row>
    <row r="63" spans="1:5" ht="22.5" customHeight="1" x14ac:dyDescent="0.2">
      <c r="A63" s="410" t="s">
        <v>3105</v>
      </c>
      <c r="B63" s="413" t="s">
        <v>2618</v>
      </c>
      <c r="C63" s="414"/>
      <c r="D63" s="414"/>
      <c r="E63" s="426" t="s">
        <v>5145</v>
      </c>
    </row>
    <row r="64" spans="1:5" ht="45.75" customHeight="1" x14ac:dyDescent="0.2">
      <c r="A64" s="410" t="s">
        <v>451</v>
      </c>
      <c r="B64" s="413" t="s">
        <v>451</v>
      </c>
      <c r="C64" s="414"/>
      <c r="D64" s="414"/>
      <c r="E64" s="426" t="s">
        <v>5650</v>
      </c>
    </row>
    <row r="65" spans="1:5" ht="22.5" customHeight="1" x14ac:dyDescent="0.2">
      <c r="A65" s="410" t="s">
        <v>4175</v>
      </c>
      <c r="B65" s="413" t="s">
        <v>5096</v>
      </c>
      <c r="C65" s="414"/>
      <c r="D65" s="414"/>
      <c r="E65" s="426" t="s">
        <v>4942</v>
      </c>
    </row>
    <row r="66" spans="1:5" ht="33.75" customHeight="1" x14ac:dyDescent="0.2">
      <c r="A66" s="410" t="s">
        <v>762</v>
      </c>
      <c r="B66" s="413" t="s">
        <v>3586</v>
      </c>
      <c r="C66" s="414"/>
      <c r="D66" s="414"/>
      <c r="E66" s="426" t="s">
        <v>2816</v>
      </c>
    </row>
    <row r="67" spans="1:5" ht="33.75" customHeight="1" x14ac:dyDescent="0.2">
      <c r="A67" s="410" t="s">
        <v>1801</v>
      </c>
      <c r="B67" s="413" t="s">
        <v>3586</v>
      </c>
      <c r="C67" s="414"/>
      <c r="D67" s="414"/>
      <c r="E67" s="426" t="s">
        <v>612</v>
      </c>
    </row>
    <row r="68" spans="1:5" ht="12.75" customHeight="1" x14ac:dyDescent="0.2">
      <c r="A68" s="410" t="s">
        <v>339</v>
      </c>
      <c r="B68" s="413" t="s">
        <v>4058</v>
      </c>
      <c r="C68" s="414"/>
      <c r="D68" s="414"/>
      <c r="E68" s="426" t="s">
        <v>4310</v>
      </c>
    </row>
    <row r="69" spans="1:5" ht="22.5" customHeight="1" x14ac:dyDescent="0.2">
      <c r="A69" s="410" t="s">
        <v>1804</v>
      </c>
      <c r="B69" s="413" t="s">
        <v>395</v>
      </c>
      <c r="C69" s="414"/>
      <c r="D69" s="414"/>
      <c r="E69" s="426" t="s">
        <v>671</v>
      </c>
    </row>
    <row r="70" spans="1:5" ht="22.5" customHeight="1" x14ac:dyDescent="0.2">
      <c r="A70" s="410" t="s">
        <v>189</v>
      </c>
      <c r="B70" s="413" t="s">
        <v>4619</v>
      </c>
      <c r="C70" s="414"/>
      <c r="D70" s="414"/>
      <c r="E70" s="426" t="s">
        <v>4424</v>
      </c>
    </row>
    <row r="71" spans="1:5" ht="22.5" customHeight="1" x14ac:dyDescent="0.2">
      <c r="A71" s="410" t="s">
        <v>2163</v>
      </c>
      <c r="B71" s="413" t="s">
        <v>5023</v>
      </c>
      <c r="C71" s="414"/>
      <c r="D71" s="414"/>
      <c r="E71" s="426" t="s">
        <v>2033</v>
      </c>
    </row>
    <row r="72" spans="1:5" ht="33.75" customHeight="1" x14ac:dyDescent="0.2">
      <c r="A72" s="410" t="s">
        <v>3595</v>
      </c>
      <c r="B72" s="413" t="s">
        <v>4050</v>
      </c>
      <c r="C72" s="414"/>
      <c r="D72" s="414"/>
      <c r="E72" s="426" t="s">
        <v>4478</v>
      </c>
    </row>
    <row r="73" spans="1:5" ht="45.75" customHeight="1" x14ac:dyDescent="0.2">
      <c r="A73" s="410" t="s">
        <v>121</v>
      </c>
      <c r="B73" s="413" t="s">
        <v>5620</v>
      </c>
      <c r="C73" s="414"/>
      <c r="D73" s="414"/>
      <c r="E73" s="426" t="s">
        <v>1628</v>
      </c>
    </row>
    <row r="74" spans="1:5" ht="33.75" customHeight="1" x14ac:dyDescent="0.2">
      <c r="A74" s="410" t="s">
        <v>4407</v>
      </c>
      <c r="B74" s="413" t="s">
        <v>3330</v>
      </c>
      <c r="C74" s="414"/>
      <c r="D74" s="414"/>
      <c r="E74" s="426" t="s">
        <v>5174</v>
      </c>
    </row>
    <row r="75" spans="1:5" ht="33.75" customHeight="1" x14ac:dyDescent="0.2">
      <c r="A75" s="410" t="s">
        <v>5460</v>
      </c>
      <c r="B75" s="413" t="s">
        <v>545</v>
      </c>
      <c r="C75" s="414"/>
      <c r="D75" s="414"/>
      <c r="E75" s="426" t="s">
        <v>1205</v>
      </c>
    </row>
    <row r="76" spans="1:5" ht="22.5" customHeight="1" x14ac:dyDescent="0.2">
      <c r="A76" s="410" t="s">
        <v>964</v>
      </c>
      <c r="B76" s="413" t="s">
        <v>2863</v>
      </c>
      <c r="C76" s="414"/>
      <c r="D76" s="414"/>
      <c r="E76" s="426" t="s">
        <v>3675</v>
      </c>
    </row>
    <row r="77" spans="1:5" ht="57" customHeight="1" x14ac:dyDescent="0.2">
      <c r="A77" s="410" t="s">
        <v>3414</v>
      </c>
      <c r="B77" s="413" t="s">
        <v>2863</v>
      </c>
      <c r="C77" s="414"/>
      <c r="D77" s="414"/>
      <c r="E77" s="426" t="s">
        <v>5236</v>
      </c>
    </row>
    <row r="78" spans="1:5" ht="22.5" customHeight="1" x14ac:dyDescent="0.2">
      <c r="A78" s="410" t="s">
        <v>3788</v>
      </c>
      <c r="B78" s="413" t="s">
        <v>1140</v>
      </c>
      <c r="C78" s="414"/>
      <c r="D78" s="414"/>
      <c r="E78" s="426" t="s">
        <v>5758</v>
      </c>
    </row>
    <row r="79" spans="1:5" ht="22.5" customHeight="1" x14ac:dyDescent="0.2">
      <c r="A79" s="410" t="s">
        <v>1810</v>
      </c>
      <c r="B79" s="413" t="s">
        <v>202</v>
      </c>
      <c r="C79" s="414"/>
      <c r="D79" s="414"/>
      <c r="E79" s="426" t="s">
        <v>2255</v>
      </c>
    </row>
    <row r="80" spans="1:5" ht="22.5" customHeight="1" x14ac:dyDescent="0.2">
      <c r="A80" s="410" t="s">
        <v>5826</v>
      </c>
      <c r="B80" s="413" t="s">
        <v>5778</v>
      </c>
      <c r="C80" s="414"/>
      <c r="D80" s="414"/>
      <c r="E80" s="426" t="s">
        <v>4016</v>
      </c>
    </row>
    <row r="81" spans="1:5" ht="33.75" customHeight="1" x14ac:dyDescent="0.2">
      <c r="A81" s="410" t="s">
        <v>3512</v>
      </c>
      <c r="B81" s="413" t="s">
        <v>5778</v>
      </c>
      <c r="C81" s="414"/>
      <c r="D81" s="414"/>
      <c r="E81" s="426" t="s">
        <v>2473</v>
      </c>
    </row>
    <row r="82" spans="1:5" ht="45.75" customHeight="1" x14ac:dyDescent="0.2">
      <c r="A82" s="410" t="s">
        <v>968</v>
      </c>
      <c r="B82" s="413" t="s">
        <v>5534</v>
      </c>
      <c r="C82" s="414"/>
      <c r="D82" s="414"/>
      <c r="E82" s="426" t="s">
        <v>4906</v>
      </c>
    </row>
    <row r="83" spans="1:5" ht="22.5" customHeight="1" x14ac:dyDescent="0.2">
      <c r="A83" s="410" t="s">
        <v>4890</v>
      </c>
      <c r="B83" s="413" t="s">
        <v>3766</v>
      </c>
      <c r="C83" s="414"/>
      <c r="D83" s="414"/>
      <c r="E83" s="426" t="s">
        <v>5562</v>
      </c>
    </row>
    <row r="84" spans="1:5" ht="22.5" customHeight="1" x14ac:dyDescent="0.2">
      <c r="A84" s="410" t="s">
        <v>2155</v>
      </c>
      <c r="B84" s="413" t="s">
        <v>2201</v>
      </c>
      <c r="C84" s="414"/>
      <c r="D84" s="414"/>
      <c r="E84" s="426" t="s">
        <v>4891</v>
      </c>
    </row>
    <row r="85" spans="1:5" ht="57" customHeight="1" x14ac:dyDescent="0.2">
      <c r="A85" s="410" t="s">
        <v>1022</v>
      </c>
      <c r="B85" s="413" t="s">
        <v>458</v>
      </c>
      <c r="C85" s="414"/>
      <c r="D85" s="414"/>
      <c r="E85" s="426" t="s">
        <v>3885</v>
      </c>
    </row>
    <row r="86" spans="1:5" ht="45.75" customHeight="1" x14ac:dyDescent="0.2">
      <c r="A86" s="410" t="s">
        <v>3607</v>
      </c>
      <c r="B86" s="413" t="s">
        <v>1092</v>
      </c>
      <c r="C86" s="414"/>
      <c r="D86" s="414"/>
      <c r="E86" s="426" t="s">
        <v>5586</v>
      </c>
    </row>
    <row r="87" spans="1:5" ht="22.5" customHeight="1" x14ac:dyDescent="0.2">
      <c r="A87" s="410" t="s">
        <v>5335</v>
      </c>
      <c r="B87" s="413" t="s">
        <v>5515</v>
      </c>
      <c r="C87" s="414"/>
      <c r="D87" s="414"/>
      <c r="E87" s="426" t="s">
        <v>1360</v>
      </c>
    </row>
    <row r="88" spans="1:5" ht="22.5" customHeight="1" x14ac:dyDescent="0.2">
      <c r="A88" s="410" t="s">
        <v>713</v>
      </c>
      <c r="B88" s="413" t="s">
        <v>2315</v>
      </c>
      <c r="C88" s="414"/>
      <c r="D88" s="414"/>
      <c r="E88" s="426" t="s">
        <v>5080</v>
      </c>
    </row>
    <row r="89" spans="1:5" ht="45.75" customHeight="1" x14ac:dyDescent="0.2">
      <c r="A89" s="410" t="s">
        <v>466</v>
      </c>
      <c r="B89" s="413" t="s">
        <v>3824</v>
      </c>
      <c r="C89" s="414"/>
      <c r="D89" s="414"/>
      <c r="E89" s="426" t="s">
        <v>4521</v>
      </c>
    </row>
    <row r="90" spans="1:5" ht="22.5" customHeight="1" x14ac:dyDescent="0.2">
      <c r="A90" s="410" t="s">
        <v>441</v>
      </c>
      <c r="B90" s="413" t="s">
        <v>3269</v>
      </c>
      <c r="C90" s="414"/>
      <c r="D90" s="414"/>
      <c r="E90" s="426" t="s">
        <v>4421</v>
      </c>
    </row>
    <row r="91" spans="1:5" ht="12.75" customHeight="1" x14ac:dyDescent="0.2">
      <c r="A91" s="410" t="s">
        <v>1830</v>
      </c>
      <c r="B91" s="413" t="s">
        <v>1830</v>
      </c>
      <c r="C91" s="414"/>
      <c r="D91" s="414"/>
      <c r="E91" s="426" t="s">
        <v>1283</v>
      </c>
    </row>
    <row r="92" spans="1:5" ht="12.75" customHeight="1" x14ac:dyDescent="0.2">
      <c r="A92" s="410" t="s">
        <v>3397</v>
      </c>
      <c r="B92" s="413" t="s">
        <v>5139</v>
      </c>
      <c r="C92" s="414"/>
      <c r="D92" s="414"/>
      <c r="E92" s="426" t="s">
        <v>1949</v>
      </c>
    </row>
    <row r="93" spans="1:5" ht="12.75" customHeight="1" x14ac:dyDescent="0.2">
      <c r="A93" s="410" t="s">
        <v>3326</v>
      </c>
      <c r="B93" s="413" t="s">
        <v>1902</v>
      </c>
      <c r="C93" s="414"/>
      <c r="D93" s="414"/>
      <c r="E93" s="426" t="s">
        <v>5038</v>
      </c>
    </row>
    <row r="94" spans="1:5" ht="12.75" customHeight="1" x14ac:dyDescent="0.2">
      <c r="A94" s="410" t="s">
        <v>2232</v>
      </c>
      <c r="B94" s="413" t="s">
        <v>3142</v>
      </c>
      <c r="C94" s="414"/>
      <c r="D94" s="414"/>
      <c r="E94" s="426" t="s">
        <v>5039</v>
      </c>
    </row>
    <row r="95" spans="1:5" ht="33.75" customHeight="1" x14ac:dyDescent="0.2">
      <c r="A95" s="410" t="s">
        <v>3698</v>
      </c>
      <c r="B95" s="413" t="s">
        <v>890</v>
      </c>
      <c r="C95" s="414"/>
      <c r="D95" s="414"/>
      <c r="E95" s="426" t="s">
        <v>442</v>
      </c>
    </row>
    <row r="96" spans="1:5" ht="12.75" customHeight="1" x14ac:dyDescent="0.2">
      <c r="A96" s="410" t="s">
        <v>1086</v>
      </c>
      <c r="B96" s="413" t="s">
        <v>937</v>
      </c>
      <c r="C96" s="414"/>
      <c r="D96" s="414"/>
      <c r="E96" s="426" t="s">
        <v>72</v>
      </c>
    </row>
    <row r="97" spans="1:5" ht="12.75" customHeight="1" x14ac:dyDescent="0.2">
      <c r="A97" s="410" t="s">
        <v>400</v>
      </c>
      <c r="B97" s="413" t="s">
        <v>1642</v>
      </c>
      <c r="C97" s="414"/>
      <c r="D97" s="414"/>
      <c r="E97" s="426" t="s">
        <v>2682</v>
      </c>
    </row>
    <row r="98" spans="1:5" ht="33.75" customHeight="1" x14ac:dyDescent="0.2">
      <c r="A98" s="410" t="s">
        <v>3963</v>
      </c>
      <c r="B98" s="413" t="s">
        <v>3330</v>
      </c>
      <c r="C98" s="414"/>
      <c r="D98" s="414"/>
      <c r="E98" s="426" t="s">
        <v>4675</v>
      </c>
    </row>
    <row r="99" spans="1:5" ht="45.75" customHeight="1" x14ac:dyDescent="0.2">
      <c r="A99" s="410" t="s">
        <v>1589</v>
      </c>
      <c r="B99" s="413" t="s">
        <v>3330</v>
      </c>
      <c r="C99" s="414"/>
      <c r="D99" s="414"/>
      <c r="E99" s="426" t="s">
        <v>2397</v>
      </c>
    </row>
    <row r="100" spans="1:5" ht="22.5" customHeight="1" x14ac:dyDescent="0.2">
      <c r="A100" s="410" t="s">
        <v>5913</v>
      </c>
      <c r="B100" s="413" t="s">
        <v>545</v>
      </c>
      <c r="C100" s="414"/>
      <c r="D100" s="414"/>
      <c r="E100" s="426" t="s">
        <v>5199</v>
      </c>
    </row>
    <row r="101" spans="1:5" ht="45.75" customHeight="1" x14ac:dyDescent="0.2">
      <c r="A101" s="410" t="s">
        <v>1105</v>
      </c>
      <c r="B101" s="413" t="s">
        <v>545</v>
      </c>
      <c r="C101" s="414"/>
      <c r="D101" s="414"/>
      <c r="E101" s="426" t="s">
        <v>2300</v>
      </c>
    </row>
    <row r="102" spans="1:5" ht="12.75" customHeight="1" x14ac:dyDescent="0.2">
      <c r="A102" s="410" t="s">
        <v>5351</v>
      </c>
      <c r="B102" s="413" t="s">
        <v>1244</v>
      </c>
      <c r="C102" s="414"/>
      <c r="D102" s="414"/>
      <c r="E102" s="426" t="s">
        <v>908</v>
      </c>
    </row>
    <row r="103" spans="1:5" ht="12.75" customHeight="1" x14ac:dyDescent="0.2">
      <c r="A103" s="410" t="s">
        <v>422</v>
      </c>
      <c r="B103" s="413" t="s">
        <v>3394</v>
      </c>
      <c r="C103" s="414"/>
      <c r="D103" s="414"/>
      <c r="E103" s="426" t="s">
        <v>5206</v>
      </c>
    </row>
    <row r="104" spans="1:5" ht="12.75" customHeight="1" x14ac:dyDescent="0.2">
      <c r="A104" s="410" t="s">
        <v>774</v>
      </c>
      <c r="B104" s="413" t="s">
        <v>4181</v>
      </c>
      <c r="C104" s="414"/>
      <c r="D104" s="414"/>
      <c r="E104" s="426" t="s">
        <v>4713</v>
      </c>
    </row>
    <row r="105" spans="1:5" ht="12.75" customHeight="1" x14ac:dyDescent="0.2">
      <c r="A105" s="410" t="s">
        <v>826</v>
      </c>
      <c r="B105" s="413" t="s">
        <v>4588</v>
      </c>
      <c r="C105" s="414"/>
      <c r="D105" s="414"/>
      <c r="E105" s="426" t="s">
        <v>5201</v>
      </c>
    </row>
    <row r="106" spans="1:5" ht="57" customHeight="1" x14ac:dyDescent="0.2">
      <c r="A106" s="410" t="s">
        <v>5468</v>
      </c>
      <c r="B106" s="413" t="s">
        <v>437</v>
      </c>
      <c r="C106" s="414"/>
      <c r="D106" s="414"/>
      <c r="E106" s="426" t="s">
        <v>5317</v>
      </c>
    </row>
    <row r="107" spans="1:5" ht="12.75" customHeight="1" x14ac:dyDescent="0.2">
      <c r="A107" s="410" t="s">
        <v>4829</v>
      </c>
      <c r="B107" s="413" t="s">
        <v>5628</v>
      </c>
      <c r="C107" s="414"/>
      <c r="D107" s="414"/>
      <c r="E107" s="426" t="s">
        <v>1345</v>
      </c>
    </row>
    <row r="108" spans="1:5" ht="22.5" customHeight="1" x14ac:dyDescent="0.2">
      <c r="A108" s="410" t="s">
        <v>71</v>
      </c>
      <c r="B108" s="413" t="s">
        <v>4758</v>
      </c>
      <c r="C108" s="414"/>
      <c r="D108" s="414"/>
      <c r="E108" s="426" t="s">
        <v>5557</v>
      </c>
    </row>
    <row r="109" spans="1:5" ht="22.5" customHeight="1" x14ac:dyDescent="0.2">
      <c r="A109" s="410" t="s">
        <v>3220</v>
      </c>
      <c r="B109" s="413" t="s">
        <v>4846</v>
      </c>
      <c r="C109" s="414"/>
      <c r="D109" s="414"/>
      <c r="E109" s="426" t="s">
        <v>1710</v>
      </c>
    </row>
    <row r="110" spans="1:5" ht="22.5" customHeight="1" x14ac:dyDescent="0.2">
      <c r="A110" s="410" t="s">
        <v>4243</v>
      </c>
      <c r="B110" s="413" t="s">
        <v>1737</v>
      </c>
      <c r="C110" s="414"/>
      <c r="D110" s="414"/>
      <c r="E110" s="426" t="s">
        <v>1516</v>
      </c>
    </row>
    <row r="111" spans="1:5" ht="22.5" customHeight="1" x14ac:dyDescent="0.2">
      <c r="A111" s="410" t="s">
        <v>4862</v>
      </c>
      <c r="B111" s="413" t="s">
        <v>1932</v>
      </c>
      <c r="C111" s="414"/>
      <c r="D111" s="414"/>
      <c r="E111" s="426" t="s">
        <v>1280</v>
      </c>
    </row>
    <row r="112" spans="1:5" ht="22.5" customHeight="1" x14ac:dyDescent="0.2">
      <c r="A112" s="410" t="s">
        <v>5675</v>
      </c>
      <c r="B112" s="413" t="s">
        <v>382</v>
      </c>
      <c r="C112" s="414"/>
      <c r="D112" s="414"/>
      <c r="E112" s="426" t="s">
        <v>52</v>
      </c>
    </row>
    <row r="113" spans="1:5" ht="33.75" customHeight="1" x14ac:dyDescent="0.2">
      <c r="A113" s="410" t="s">
        <v>2175</v>
      </c>
      <c r="B113" s="413" t="s">
        <v>238</v>
      </c>
      <c r="C113" s="414"/>
      <c r="D113" s="414"/>
      <c r="E113" s="426" t="s">
        <v>4856</v>
      </c>
    </row>
    <row r="114" spans="1:5" ht="22.5" customHeight="1" x14ac:dyDescent="0.2">
      <c r="A114" s="410" t="s">
        <v>4636</v>
      </c>
      <c r="B114" s="413" t="s">
        <v>2679</v>
      </c>
      <c r="C114" s="414"/>
      <c r="D114" s="414"/>
      <c r="E114" s="426" t="s">
        <v>3821</v>
      </c>
    </row>
    <row r="115" spans="1:5" ht="22.5" customHeight="1" x14ac:dyDescent="0.2">
      <c r="A115" s="410" t="s">
        <v>1161</v>
      </c>
      <c r="B115" s="413" t="s">
        <v>4923</v>
      </c>
      <c r="C115" s="414"/>
      <c r="D115" s="414"/>
      <c r="E115" s="426" t="s">
        <v>3034</v>
      </c>
    </row>
    <row r="116" spans="1:5" ht="12.75" customHeight="1" x14ac:dyDescent="0.2">
      <c r="A116" s="410" t="s">
        <v>5368</v>
      </c>
      <c r="B116" s="413" t="s">
        <v>5368</v>
      </c>
      <c r="C116" s="414"/>
      <c r="D116" s="414"/>
      <c r="E116" s="426" t="s">
        <v>4870</v>
      </c>
    </row>
    <row r="117" spans="1:5" ht="22.5" customHeight="1" x14ac:dyDescent="0.2">
      <c r="A117" s="410" t="s">
        <v>229</v>
      </c>
      <c r="B117" s="413" t="s">
        <v>2970</v>
      </c>
      <c r="C117" s="414"/>
      <c r="D117" s="414"/>
      <c r="E117" s="426" t="s">
        <v>2761</v>
      </c>
    </row>
    <row r="118" spans="1:5" ht="22.5" customHeight="1" x14ac:dyDescent="0.2">
      <c r="A118" s="410" t="s">
        <v>4776</v>
      </c>
      <c r="B118" s="413" t="s">
        <v>1308</v>
      </c>
      <c r="C118" s="414"/>
      <c r="D118" s="414"/>
      <c r="E118" s="426" t="s">
        <v>1392</v>
      </c>
    </row>
    <row r="119" spans="1:5" ht="12.75" customHeight="1" x14ac:dyDescent="0.2">
      <c r="A119" s="410" t="s">
        <v>3937</v>
      </c>
      <c r="B119" s="413" t="s">
        <v>5376</v>
      </c>
      <c r="C119" s="414"/>
      <c r="D119" s="414"/>
      <c r="E119" s="426" t="s">
        <v>675</v>
      </c>
    </row>
    <row r="120" spans="1:5" ht="22.5" customHeight="1" x14ac:dyDescent="0.2">
      <c r="A120" s="410" t="s">
        <v>5566</v>
      </c>
      <c r="B120" s="413" t="s">
        <v>4587</v>
      </c>
      <c r="C120" s="414"/>
      <c r="D120" s="414"/>
      <c r="E120" s="426" t="s">
        <v>2309</v>
      </c>
    </row>
    <row r="121" spans="1:5" ht="12.75" customHeight="1" x14ac:dyDescent="0.2">
      <c r="A121" s="410" t="s">
        <v>3396</v>
      </c>
      <c r="B121" s="413" t="s">
        <v>187</v>
      </c>
      <c r="C121" s="414"/>
      <c r="D121" s="414"/>
      <c r="E121" s="426" t="s">
        <v>1065</v>
      </c>
    </row>
    <row r="122" spans="1:5" ht="33.75" customHeight="1" x14ac:dyDescent="0.2">
      <c r="A122" s="410" t="s">
        <v>1904</v>
      </c>
      <c r="B122" s="413" t="s">
        <v>4232</v>
      </c>
      <c r="C122" s="414"/>
      <c r="D122" s="414"/>
      <c r="E122" s="426" t="s">
        <v>1583</v>
      </c>
    </row>
    <row r="123" spans="1:5" ht="33.75" customHeight="1" x14ac:dyDescent="0.2">
      <c r="A123" s="410" t="s">
        <v>610</v>
      </c>
      <c r="B123" s="413" t="s">
        <v>3516</v>
      </c>
      <c r="C123" s="414"/>
      <c r="D123" s="414"/>
      <c r="E123" s="426" t="s">
        <v>88</v>
      </c>
    </row>
    <row r="124" spans="1:5" ht="12.75" customHeight="1" x14ac:dyDescent="0.2">
      <c r="A124" s="410" t="s">
        <v>5088</v>
      </c>
      <c r="B124" s="413" t="s">
        <v>559</v>
      </c>
      <c r="C124" s="414"/>
      <c r="D124" s="414"/>
      <c r="E124" s="426" t="s">
        <v>3960</v>
      </c>
    </row>
    <row r="125" spans="1:5" ht="45.75" customHeight="1" x14ac:dyDescent="0.2">
      <c r="A125" s="410" t="s">
        <v>3936</v>
      </c>
      <c r="B125" s="413" t="s">
        <v>5516</v>
      </c>
      <c r="C125" s="414"/>
      <c r="D125" s="414"/>
      <c r="E125" s="426" t="s">
        <v>2342</v>
      </c>
    </row>
    <row r="126" spans="1:5" ht="45.75" customHeight="1" x14ac:dyDescent="0.2">
      <c r="A126" s="410" t="s">
        <v>2334</v>
      </c>
      <c r="B126" s="413" t="s">
        <v>5559</v>
      </c>
      <c r="C126" s="414"/>
      <c r="D126" s="414"/>
      <c r="E126" s="426" t="s">
        <v>838</v>
      </c>
    </row>
    <row r="127" spans="1:5" ht="12.75" customHeight="1" x14ac:dyDescent="0.2">
      <c r="A127" s="410" t="s">
        <v>3417</v>
      </c>
      <c r="B127" s="413" t="s">
        <v>49</v>
      </c>
      <c r="C127" s="414"/>
      <c r="D127" s="414"/>
      <c r="E127" s="426" t="s">
        <v>812</v>
      </c>
    </row>
    <row r="128" spans="1:5" ht="45.75" customHeight="1" x14ac:dyDescent="0.2">
      <c r="A128" s="410" t="s">
        <v>3634</v>
      </c>
      <c r="B128" s="413" t="s">
        <v>4497</v>
      </c>
      <c r="C128" s="414"/>
      <c r="D128" s="414"/>
      <c r="E128" s="426" t="s">
        <v>2310</v>
      </c>
    </row>
    <row r="129" spans="1:5" ht="57" customHeight="1" x14ac:dyDescent="0.2">
      <c r="A129" s="410" t="s">
        <v>2599</v>
      </c>
      <c r="B129" s="413" t="s">
        <v>4497</v>
      </c>
      <c r="C129" s="414"/>
      <c r="D129" s="414"/>
      <c r="E129" s="426" t="s">
        <v>2216</v>
      </c>
    </row>
    <row r="130" spans="1:5" ht="22.5" customHeight="1" x14ac:dyDescent="0.2">
      <c r="A130" s="410" t="s">
        <v>111</v>
      </c>
      <c r="B130" s="413" t="s">
        <v>5720</v>
      </c>
      <c r="C130" s="414"/>
      <c r="D130" s="414"/>
      <c r="E130" s="426" t="s">
        <v>861</v>
      </c>
    </row>
    <row r="131" spans="1:5" ht="22.5" customHeight="1" x14ac:dyDescent="0.2">
      <c r="A131" s="410" t="s">
        <v>2183</v>
      </c>
      <c r="B131" s="413" t="s">
        <v>4584</v>
      </c>
      <c r="C131" s="414"/>
      <c r="D131" s="414"/>
      <c r="E131" s="426" t="s">
        <v>3614</v>
      </c>
    </row>
    <row r="132" spans="1:5" ht="22.5" customHeight="1" x14ac:dyDescent="0.2">
      <c r="A132" s="410" t="s">
        <v>3738</v>
      </c>
      <c r="B132" s="413" t="s">
        <v>2072</v>
      </c>
      <c r="C132" s="414"/>
      <c r="D132" s="414"/>
      <c r="E132" s="426" t="s">
        <v>487</v>
      </c>
    </row>
    <row r="133" spans="1:5" ht="12.75" customHeight="1" x14ac:dyDescent="0.2">
      <c r="A133" s="410" t="s">
        <v>3239</v>
      </c>
      <c r="B133" s="413" t="s">
        <v>3494</v>
      </c>
      <c r="C133" s="414"/>
      <c r="D133" s="414"/>
      <c r="E133" s="426" t="s">
        <v>5594</v>
      </c>
    </row>
    <row r="134" spans="1:5" ht="12.75" customHeight="1" x14ac:dyDescent="0.2">
      <c r="A134" s="410" t="s">
        <v>5450</v>
      </c>
      <c r="B134" s="413" t="s">
        <v>2988</v>
      </c>
      <c r="C134" s="414"/>
      <c r="D134" s="414"/>
      <c r="E134" s="426" t="s">
        <v>3903</v>
      </c>
    </row>
    <row r="135" spans="1:5" ht="12.75" customHeight="1" x14ac:dyDescent="0.2">
      <c r="A135" s="410" t="s">
        <v>2057</v>
      </c>
      <c r="B135" s="413" t="s">
        <v>1147</v>
      </c>
      <c r="C135" s="414"/>
      <c r="D135" s="414"/>
      <c r="E135" s="426" t="s">
        <v>3380</v>
      </c>
    </row>
    <row r="136" spans="1:5" ht="12.75" customHeight="1" x14ac:dyDescent="0.2">
      <c r="A136" s="410" t="s">
        <v>5777</v>
      </c>
      <c r="B136" s="413" t="s">
        <v>5649</v>
      </c>
      <c r="C136" s="414"/>
      <c r="D136" s="414"/>
      <c r="E136" s="426" t="s">
        <v>1559</v>
      </c>
    </row>
    <row r="137" spans="1:5" ht="12.75" customHeight="1" x14ac:dyDescent="0.2">
      <c r="A137" s="410" t="s">
        <v>952</v>
      </c>
      <c r="B137" s="413" t="s">
        <v>5891</v>
      </c>
      <c r="C137" s="414"/>
      <c r="D137" s="414"/>
      <c r="E137" s="426" t="s">
        <v>2101</v>
      </c>
    </row>
    <row r="138" spans="1:5" ht="33.75" customHeight="1" x14ac:dyDescent="0.2">
      <c r="A138" s="410" t="s">
        <v>2871</v>
      </c>
      <c r="B138" s="413" t="s">
        <v>4859</v>
      </c>
      <c r="C138" s="414"/>
      <c r="D138" s="414"/>
      <c r="E138" s="426" t="s">
        <v>2638</v>
      </c>
    </row>
    <row r="139" spans="1:5" ht="22.5" customHeight="1" x14ac:dyDescent="0.2">
      <c r="A139" s="410" t="s">
        <v>3694</v>
      </c>
      <c r="B139" s="413" t="s">
        <v>2763</v>
      </c>
      <c r="C139" s="414"/>
      <c r="D139" s="414"/>
      <c r="E139" s="426" t="s">
        <v>1356</v>
      </c>
    </row>
    <row r="140" spans="1:5" ht="22.5" customHeight="1" x14ac:dyDescent="0.2">
      <c r="A140" s="410" t="s">
        <v>1228</v>
      </c>
      <c r="B140" s="413" t="s">
        <v>1081</v>
      </c>
      <c r="C140" s="414"/>
      <c r="D140" s="414"/>
      <c r="E140" s="426" t="s">
        <v>4990</v>
      </c>
    </row>
    <row r="141" spans="1:5" ht="22.5" customHeight="1" x14ac:dyDescent="0.2">
      <c r="A141" s="410" t="s">
        <v>4635</v>
      </c>
      <c r="B141" s="413" t="s">
        <v>3986</v>
      </c>
      <c r="C141" s="414"/>
      <c r="D141" s="414"/>
      <c r="E141" s="426" t="s">
        <v>5722</v>
      </c>
    </row>
    <row r="142" spans="1:5" ht="33.75" customHeight="1" x14ac:dyDescent="0.2">
      <c r="A142" s="410" t="s">
        <v>4610</v>
      </c>
      <c r="B142" s="413" t="s">
        <v>5610</v>
      </c>
      <c r="C142" s="414"/>
      <c r="D142" s="414"/>
      <c r="E142" s="426" t="s">
        <v>5493</v>
      </c>
    </row>
    <row r="143" spans="1:5" ht="22.5" customHeight="1" x14ac:dyDescent="0.2">
      <c r="A143" s="410" t="s">
        <v>2695</v>
      </c>
      <c r="B143" s="413" t="s">
        <v>4551</v>
      </c>
      <c r="C143" s="414"/>
      <c r="D143" s="414"/>
      <c r="E143" s="426" t="s">
        <v>3826</v>
      </c>
    </row>
    <row r="144" spans="1:5" ht="33.75" customHeight="1" x14ac:dyDescent="0.2">
      <c r="A144" s="410" t="s">
        <v>2172</v>
      </c>
      <c r="B144" s="413" t="s">
        <v>3486</v>
      </c>
      <c r="C144" s="414"/>
      <c r="D144" s="414"/>
      <c r="E144" s="426" t="s">
        <v>691</v>
      </c>
    </row>
    <row r="145" spans="1:5" ht="22.5" customHeight="1" x14ac:dyDescent="0.2">
      <c r="A145" s="410" t="s">
        <v>475</v>
      </c>
      <c r="B145" s="413" t="s">
        <v>3486</v>
      </c>
      <c r="C145" s="414"/>
      <c r="D145" s="414"/>
      <c r="E145" s="426" t="s">
        <v>834</v>
      </c>
    </row>
    <row r="146" spans="1:5" ht="12.75" customHeight="1" x14ac:dyDescent="0.2">
      <c r="A146" s="410" t="s">
        <v>1158</v>
      </c>
      <c r="B146" s="413" t="s">
        <v>4127</v>
      </c>
      <c r="C146" s="414"/>
      <c r="D146" s="414"/>
      <c r="E146" s="426" t="s">
        <v>2966</v>
      </c>
    </row>
    <row r="147" spans="1:5" ht="22.5" customHeight="1" x14ac:dyDescent="0.2">
      <c r="A147" s="410" t="s">
        <v>5555</v>
      </c>
      <c r="B147" s="413" t="s">
        <v>5678</v>
      </c>
      <c r="C147" s="414"/>
      <c r="D147" s="414"/>
      <c r="E147" s="426" t="s">
        <v>2370</v>
      </c>
    </row>
    <row r="148" spans="1:5" ht="22.5" customHeight="1" x14ac:dyDescent="0.2">
      <c r="A148" s="410" t="s">
        <v>2388</v>
      </c>
      <c r="B148" s="413" t="s">
        <v>626</v>
      </c>
      <c r="C148" s="414"/>
      <c r="D148" s="414"/>
      <c r="E148" s="426" t="s">
        <v>1842</v>
      </c>
    </row>
    <row r="149" spans="1:5" ht="12.75" customHeight="1" x14ac:dyDescent="0.2">
      <c r="A149" s="410" t="s">
        <v>5708</v>
      </c>
      <c r="B149" s="413" t="s">
        <v>3717</v>
      </c>
      <c r="C149" s="414"/>
      <c r="D149" s="414"/>
      <c r="E149" s="426" t="s">
        <v>5306</v>
      </c>
    </row>
    <row r="150" spans="1:5" ht="12.75" customHeight="1" x14ac:dyDescent="0.2">
      <c r="A150" s="410" t="s">
        <v>2834</v>
      </c>
      <c r="B150" s="413" t="s">
        <v>2065</v>
      </c>
      <c r="C150" s="414"/>
      <c r="D150" s="414"/>
      <c r="E150" s="426"/>
    </row>
    <row r="151" spans="1:5" ht="12.75" customHeight="1" x14ac:dyDescent="0.2">
      <c r="A151" s="410" t="s">
        <v>2601</v>
      </c>
      <c r="B151" s="413" t="s">
        <v>2887</v>
      </c>
      <c r="C151" s="414"/>
      <c r="D151" s="414"/>
      <c r="E151" s="426" t="s">
        <v>3794</v>
      </c>
    </row>
    <row r="152" spans="1:5" ht="22.5" customHeight="1" x14ac:dyDescent="0.2">
      <c r="A152" s="410" t="s">
        <v>5217</v>
      </c>
      <c r="B152" s="413" t="s">
        <v>617</v>
      </c>
      <c r="C152" s="414"/>
      <c r="D152" s="414"/>
      <c r="E152" s="426" t="s">
        <v>3682</v>
      </c>
    </row>
    <row r="153" spans="1:5" ht="22.5" customHeight="1" x14ac:dyDescent="0.2">
      <c r="A153" s="410" t="s">
        <v>3562</v>
      </c>
      <c r="B153" s="413" t="s">
        <v>1915</v>
      </c>
      <c r="C153" s="414"/>
      <c r="D153" s="414"/>
      <c r="E153" s="426" t="s">
        <v>3682</v>
      </c>
    </row>
    <row r="154" spans="1:5" ht="22.5" customHeight="1" x14ac:dyDescent="0.2">
      <c r="A154" s="410" t="s">
        <v>3068</v>
      </c>
      <c r="B154" s="413" t="s">
        <v>1791</v>
      </c>
      <c r="C154" s="414"/>
      <c r="D154" s="414"/>
      <c r="E154" s="426" t="s">
        <v>5194</v>
      </c>
    </row>
    <row r="155" spans="1:5" ht="12.75" customHeight="1" x14ac:dyDescent="0.2">
      <c r="A155" s="410" t="s">
        <v>3728</v>
      </c>
      <c r="B155" s="413" t="s">
        <v>2336</v>
      </c>
      <c r="C155" s="414"/>
      <c r="D155" s="414"/>
      <c r="E155" s="426" t="s">
        <v>1225</v>
      </c>
    </row>
    <row r="156" spans="1:5" ht="22.5" customHeight="1" x14ac:dyDescent="0.2">
      <c r="A156" s="410" t="s">
        <v>5816</v>
      </c>
      <c r="B156" s="413" t="s">
        <v>1332</v>
      </c>
      <c r="C156" s="414"/>
      <c r="D156" s="414"/>
      <c r="E156" s="426" t="s">
        <v>3881</v>
      </c>
    </row>
    <row r="157" spans="1:5" ht="22.5" customHeight="1" x14ac:dyDescent="0.2">
      <c r="A157" s="410" t="s">
        <v>3835</v>
      </c>
      <c r="B157" s="413" t="s">
        <v>2008</v>
      </c>
      <c r="C157" s="414"/>
      <c r="D157" s="414"/>
      <c r="E157" s="426" t="s">
        <v>1509</v>
      </c>
    </row>
    <row r="158" spans="1:5" ht="12.75" customHeight="1" x14ac:dyDescent="0.2">
      <c r="A158" s="410" t="s">
        <v>2701</v>
      </c>
      <c r="B158" s="413" t="s">
        <v>2416</v>
      </c>
      <c r="C158" s="414"/>
      <c r="D158" s="414"/>
      <c r="E158" s="426" t="s">
        <v>5784</v>
      </c>
    </row>
    <row r="159" spans="1:5" ht="12.75" customHeight="1" x14ac:dyDescent="0.2">
      <c r="A159" s="410" t="s">
        <v>1706</v>
      </c>
      <c r="B159" s="413" t="s">
        <v>3055</v>
      </c>
      <c r="C159" s="414"/>
      <c r="D159" s="414"/>
      <c r="E159" s="426" t="s">
        <v>5081</v>
      </c>
    </row>
    <row r="160" spans="1:5" ht="12.75" customHeight="1" x14ac:dyDescent="0.2">
      <c r="A160" s="410" t="s">
        <v>3878</v>
      </c>
      <c r="B160" s="413" t="s">
        <v>3393</v>
      </c>
      <c r="C160" s="414"/>
      <c r="D160" s="414"/>
      <c r="E160" s="426" t="s">
        <v>4156</v>
      </c>
    </row>
    <row r="161" spans="1:5" ht="33.75" customHeight="1" x14ac:dyDescent="0.2">
      <c r="A161" s="410" t="s">
        <v>4209</v>
      </c>
      <c r="B161" s="413" t="s">
        <v>3199</v>
      </c>
      <c r="C161" s="414"/>
      <c r="D161" s="414"/>
      <c r="E161" s="426" t="s">
        <v>5007</v>
      </c>
    </row>
    <row r="162" spans="1:5" ht="22.5" customHeight="1" x14ac:dyDescent="0.2">
      <c r="A162" s="410" t="s">
        <v>4168</v>
      </c>
      <c r="B162" s="413" t="s">
        <v>5425</v>
      </c>
      <c r="C162" s="414"/>
      <c r="D162" s="414"/>
      <c r="E162" s="426" t="s">
        <v>381</v>
      </c>
    </row>
    <row r="163" spans="1:5" ht="33.75" customHeight="1" x14ac:dyDescent="0.2">
      <c r="A163" s="410" t="s">
        <v>1636</v>
      </c>
      <c r="B163" s="413" t="s">
        <v>4620</v>
      </c>
      <c r="C163" s="414"/>
      <c r="D163" s="414"/>
      <c r="E163" s="426" t="s">
        <v>3781</v>
      </c>
    </row>
    <row r="164" spans="1:5" ht="22.5" customHeight="1" x14ac:dyDescent="0.2">
      <c r="A164" s="410" t="s">
        <v>1024</v>
      </c>
      <c r="B164" s="413" t="s">
        <v>3030</v>
      </c>
      <c r="C164" s="414"/>
      <c r="D164" s="414"/>
      <c r="E164" s="426" t="s">
        <v>1876</v>
      </c>
    </row>
    <row r="165" spans="1:5" ht="33.75" customHeight="1" x14ac:dyDescent="0.2">
      <c r="A165" s="410" t="s">
        <v>2369</v>
      </c>
      <c r="B165" s="413" t="s">
        <v>4269</v>
      </c>
      <c r="C165" s="414"/>
      <c r="D165" s="414"/>
      <c r="E165" s="426" t="s">
        <v>4162</v>
      </c>
    </row>
    <row r="166" spans="1:5" ht="45.75" customHeight="1" x14ac:dyDescent="0.2">
      <c r="A166" s="410" t="s">
        <v>5801</v>
      </c>
      <c r="B166" s="413" t="s">
        <v>656</v>
      </c>
      <c r="C166" s="414"/>
      <c r="D166" s="414"/>
      <c r="E166" s="426" t="s">
        <v>5571</v>
      </c>
    </row>
    <row r="167" spans="1:5" ht="22.5" customHeight="1" x14ac:dyDescent="0.2">
      <c r="A167" s="410" t="s">
        <v>2828</v>
      </c>
      <c r="B167" s="413" t="s">
        <v>5401</v>
      </c>
      <c r="C167" s="414"/>
      <c r="D167" s="414"/>
      <c r="E167" s="426" t="s">
        <v>3849</v>
      </c>
    </row>
    <row r="168" spans="1:5" ht="22.5" customHeight="1" x14ac:dyDescent="0.2">
      <c r="A168" s="410" t="s">
        <v>3202</v>
      </c>
      <c r="B168" s="413" t="s">
        <v>2044</v>
      </c>
      <c r="C168" s="414"/>
      <c r="D168" s="414"/>
      <c r="E168" s="426" t="s">
        <v>354</v>
      </c>
    </row>
    <row r="169" spans="1:5" ht="33.75" customHeight="1" x14ac:dyDescent="0.2">
      <c r="A169" s="410" t="s">
        <v>3918</v>
      </c>
      <c r="B169" s="413" t="s">
        <v>2431</v>
      </c>
      <c r="C169" s="414"/>
      <c r="D169" s="414"/>
      <c r="E169" s="426" t="s">
        <v>4079</v>
      </c>
    </row>
    <row r="170" spans="1:5" ht="33.75" customHeight="1" x14ac:dyDescent="0.2">
      <c r="A170" s="410" t="s">
        <v>5629</v>
      </c>
      <c r="B170" s="413" t="s">
        <v>3846</v>
      </c>
      <c r="C170" s="414"/>
      <c r="D170" s="414"/>
      <c r="E170" s="426" t="s">
        <v>602</v>
      </c>
    </row>
    <row r="171" spans="1:5" ht="33.75" customHeight="1" x14ac:dyDescent="0.2">
      <c r="A171" s="410" t="s">
        <v>3111</v>
      </c>
      <c r="B171" s="413" t="s">
        <v>942</v>
      </c>
      <c r="C171" s="414"/>
      <c r="D171" s="414"/>
      <c r="E171" s="426" t="s">
        <v>3093</v>
      </c>
    </row>
    <row r="172" spans="1:5" ht="33.75" customHeight="1" x14ac:dyDescent="0.2">
      <c r="A172" s="410" t="s">
        <v>3844</v>
      </c>
      <c r="B172" s="413" t="s">
        <v>995</v>
      </c>
      <c r="C172" s="414"/>
      <c r="D172" s="414"/>
      <c r="E172" s="426" t="s">
        <v>2408</v>
      </c>
    </row>
    <row r="173" spans="1:5" ht="33.75" customHeight="1" x14ac:dyDescent="0.2">
      <c r="A173" s="410" t="s">
        <v>5208</v>
      </c>
      <c r="B173" s="413" t="s">
        <v>54</v>
      </c>
      <c r="C173" s="414"/>
      <c r="D173" s="414"/>
      <c r="E173" s="426" t="s">
        <v>267</v>
      </c>
    </row>
    <row r="174" spans="1:5" ht="33.75" customHeight="1" x14ac:dyDescent="0.2">
      <c r="A174" s="410" t="s">
        <v>2266</v>
      </c>
      <c r="B174" s="413" t="s">
        <v>5831</v>
      </c>
      <c r="C174" s="414"/>
      <c r="D174" s="414"/>
      <c r="E174" s="426" t="s">
        <v>2782</v>
      </c>
    </row>
    <row r="175" spans="1:5" ht="114" customHeight="1" x14ac:dyDescent="0.2">
      <c r="A175" s="410" t="s">
        <v>1282</v>
      </c>
      <c r="B175" s="413" t="s">
        <v>3959</v>
      </c>
      <c r="C175" s="414"/>
      <c r="D175" s="414"/>
      <c r="E175" s="426" t="s">
        <v>5759</v>
      </c>
    </row>
    <row r="176" spans="1:5" ht="79.5" customHeight="1" x14ac:dyDescent="0.2">
      <c r="A176" s="410" t="s">
        <v>5695</v>
      </c>
      <c r="B176" s="413" t="s">
        <v>1521</v>
      </c>
      <c r="C176" s="414"/>
      <c r="D176" s="414"/>
      <c r="E176" s="426" t="s">
        <v>867</v>
      </c>
    </row>
    <row r="177" spans="1:5" ht="102" customHeight="1" x14ac:dyDescent="0.2">
      <c r="A177" s="410" t="s">
        <v>4099</v>
      </c>
      <c r="B177" s="413" t="s">
        <v>1226</v>
      </c>
      <c r="C177" s="414"/>
      <c r="D177" s="414"/>
      <c r="E177" s="426" t="s">
        <v>2669</v>
      </c>
    </row>
    <row r="178" spans="1:5" ht="114" customHeight="1" x14ac:dyDescent="0.2">
      <c r="A178" s="410" t="s">
        <v>3755</v>
      </c>
      <c r="B178" s="413" t="s">
        <v>3959</v>
      </c>
      <c r="C178" s="414"/>
      <c r="D178" s="414"/>
      <c r="E178" s="426" t="s">
        <v>5759</v>
      </c>
    </row>
    <row r="179" spans="1:5" ht="102" customHeight="1" x14ac:dyDescent="0.2">
      <c r="A179" s="410" t="s">
        <v>1761</v>
      </c>
      <c r="B179" s="413" t="s">
        <v>2553</v>
      </c>
      <c r="C179" s="414"/>
      <c r="D179" s="414"/>
      <c r="E179" s="426" t="s">
        <v>125</v>
      </c>
    </row>
    <row r="180" spans="1:5" ht="33.75" customHeight="1" x14ac:dyDescent="0.2">
      <c r="A180" s="410" t="s">
        <v>315</v>
      </c>
      <c r="B180" s="413" t="s">
        <v>5025</v>
      </c>
      <c r="C180" s="414"/>
      <c r="D180" s="414"/>
      <c r="E180" s="426" t="s">
        <v>655</v>
      </c>
    </row>
    <row r="181" spans="1:5" ht="33.75" customHeight="1" x14ac:dyDescent="0.2">
      <c r="A181" s="410" t="s">
        <v>5075</v>
      </c>
      <c r="B181" s="413" t="s">
        <v>1140</v>
      </c>
      <c r="C181" s="414"/>
      <c r="D181" s="414"/>
      <c r="E181" s="426" t="s">
        <v>4885</v>
      </c>
    </row>
    <row r="182" spans="1:5" ht="33.75" customHeight="1" x14ac:dyDescent="0.2">
      <c r="A182" s="410" t="s">
        <v>5676</v>
      </c>
      <c r="B182" s="413" t="s">
        <v>3312</v>
      </c>
      <c r="C182" s="414"/>
      <c r="D182" s="414"/>
      <c r="E182" s="426" t="s">
        <v>5086</v>
      </c>
    </row>
    <row r="183" spans="1:5" ht="45.75" customHeight="1" x14ac:dyDescent="0.2">
      <c r="A183" s="410" t="s">
        <v>473</v>
      </c>
      <c r="B183" s="413" t="s">
        <v>3312</v>
      </c>
      <c r="C183" s="414"/>
      <c r="D183" s="414"/>
      <c r="E183" s="426" t="s">
        <v>513</v>
      </c>
    </row>
    <row r="184" spans="1:5" ht="12.75" customHeight="1" x14ac:dyDescent="0.2">
      <c r="A184" s="410" t="s">
        <v>5750</v>
      </c>
      <c r="B184" s="413" t="s">
        <v>1689</v>
      </c>
      <c r="C184" s="414"/>
      <c r="D184" s="414"/>
      <c r="E184" s="426" t="s">
        <v>1610</v>
      </c>
    </row>
    <row r="185" spans="1:5" ht="33.75" customHeight="1" x14ac:dyDescent="0.2">
      <c r="A185" s="410" t="s">
        <v>4656</v>
      </c>
      <c r="B185" s="413" t="s">
        <v>1689</v>
      </c>
      <c r="C185" s="414"/>
      <c r="D185" s="414"/>
      <c r="E185" s="426" t="s">
        <v>4886</v>
      </c>
    </row>
    <row r="186" spans="1:5" ht="45.75" customHeight="1" x14ac:dyDescent="0.2">
      <c r="A186" s="410" t="s">
        <v>4763</v>
      </c>
      <c r="B186" s="413" t="s">
        <v>1689</v>
      </c>
      <c r="C186" s="414"/>
      <c r="D186" s="414"/>
      <c r="E186" s="426" t="s">
        <v>2728</v>
      </c>
    </row>
    <row r="187" spans="1:5" ht="33.75" customHeight="1" x14ac:dyDescent="0.2">
      <c r="A187" s="410" t="s">
        <v>2914</v>
      </c>
      <c r="B187" s="413" t="s">
        <v>1689</v>
      </c>
      <c r="C187" s="414"/>
      <c r="D187" s="414"/>
      <c r="E187" s="426" t="s">
        <v>4474</v>
      </c>
    </row>
    <row r="188" spans="1:5" ht="33.75" customHeight="1" x14ac:dyDescent="0.2">
      <c r="A188" s="410" t="s">
        <v>3811</v>
      </c>
      <c r="B188" s="413" t="s">
        <v>3312</v>
      </c>
      <c r="C188" s="414"/>
      <c r="D188" s="414"/>
      <c r="E188" s="426" t="s">
        <v>5277</v>
      </c>
    </row>
    <row r="189" spans="1:5" ht="22.5" customHeight="1" x14ac:dyDescent="0.2">
      <c r="A189" s="410" t="s">
        <v>2910</v>
      </c>
      <c r="B189" s="413" t="s">
        <v>2223</v>
      </c>
      <c r="C189" s="414"/>
      <c r="D189" s="414"/>
      <c r="E189" s="426" t="s">
        <v>2246</v>
      </c>
    </row>
    <row r="190" spans="1:5" ht="22.5" customHeight="1" x14ac:dyDescent="0.2">
      <c r="A190" s="410" t="s">
        <v>2969</v>
      </c>
      <c r="B190" s="413" t="s">
        <v>5828</v>
      </c>
      <c r="C190" s="414"/>
      <c r="D190" s="414"/>
      <c r="E190" s="426" t="s">
        <v>2017</v>
      </c>
    </row>
    <row r="191" spans="1:5" ht="22.5" customHeight="1" x14ac:dyDescent="0.2">
      <c r="A191" s="410" t="s">
        <v>1832</v>
      </c>
      <c r="B191" s="413" t="s">
        <v>5828</v>
      </c>
      <c r="C191" s="414"/>
      <c r="D191" s="414"/>
      <c r="E191" s="426" t="s">
        <v>1841</v>
      </c>
    </row>
    <row r="192" spans="1:5" ht="33.75" customHeight="1" x14ac:dyDescent="0.2">
      <c r="A192" s="410" t="s">
        <v>4752</v>
      </c>
      <c r="B192" s="413" t="s">
        <v>4101</v>
      </c>
      <c r="C192" s="414"/>
      <c r="D192" s="414"/>
      <c r="E192" s="426" t="s">
        <v>1920</v>
      </c>
    </row>
    <row r="193" spans="1:5" ht="33.75" customHeight="1" x14ac:dyDescent="0.2">
      <c r="A193" s="410" t="s">
        <v>1954</v>
      </c>
      <c r="B193" s="413" t="s">
        <v>1314</v>
      </c>
      <c r="C193" s="414"/>
      <c r="D193" s="414"/>
      <c r="E193" s="426" t="s">
        <v>3432</v>
      </c>
    </row>
    <row r="194" spans="1:5" ht="33.75" customHeight="1" x14ac:dyDescent="0.2">
      <c r="A194" s="410" t="s">
        <v>5822</v>
      </c>
      <c r="B194" s="413" t="s">
        <v>374</v>
      </c>
      <c r="C194" s="414"/>
      <c r="D194" s="414"/>
      <c r="E194" s="426" t="s">
        <v>1496</v>
      </c>
    </row>
    <row r="195" spans="1:5" ht="45.75" customHeight="1" x14ac:dyDescent="0.2">
      <c r="A195" s="410" t="s">
        <v>4223</v>
      </c>
      <c r="B195" s="413" t="s">
        <v>374</v>
      </c>
      <c r="C195" s="414"/>
      <c r="D195" s="414"/>
      <c r="E195" s="426" t="s">
        <v>5275</v>
      </c>
    </row>
    <row r="196" spans="1:5" ht="22.5" customHeight="1" x14ac:dyDescent="0.2">
      <c r="A196" s="410" t="s">
        <v>698</v>
      </c>
      <c r="B196" s="413" t="s">
        <v>1865</v>
      </c>
      <c r="C196" s="414"/>
      <c r="D196" s="414"/>
      <c r="E196" s="426" t="s">
        <v>3367</v>
      </c>
    </row>
    <row r="197" spans="1:5" ht="22.5" customHeight="1" x14ac:dyDescent="0.2">
      <c r="A197" s="410" t="s">
        <v>1342</v>
      </c>
      <c r="B197" s="413" t="s">
        <v>913</v>
      </c>
      <c r="C197" s="414"/>
      <c r="D197" s="414"/>
      <c r="E197" s="426" t="s">
        <v>1988</v>
      </c>
    </row>
    <row r="198" spans="1:5" ht="22.5" customHeight="1" x14ac:dyDescent="0.2">
      <c r="A198" s="410" t="s">
        <v>2957</v>
      </c>
      <c r="B198" s="413" t="s">
        <v>5531</v>
      </c>
      <c r="C198" s="414"/>
      <c r="D198" s="414"/>
      <c r="E198" s="426" t="s">
        <v>3628</v>
      </c>
    </row>
    <row r="199" spans="1:5" ht="22.5" customHeight="1" x14ac:dyDescent="0.2">
      <c r="A199" s="410" t="s">
        <v>1262</v>
      </c>
      <c r="B199" s="413" t="s">
        <v>3747</v>
      </c>
      <c r="C199" s="414"/>
      <c r="D199" s="414"/>
      <c r="E199" s="426" t="s">
        <v>660</v>
      </c>
    </row>
    <row r="200" spans="1:5" ht="45.75" customHeight="1" x14ac:dyDescent="0.2">
      <c r="A200" s="410" t="s">
        <v>680</v>
      </c>
      <c r="B200" s="413" t="s">
        <v>3339</v>
      </c>
      <c r="C200" s="414"/>
      <c r="D200" s="414"/>
      <c r="E200" s="426" t="s">
        <v>4852</v>
      </c>
    </row>
    <row r="201" spans="1:5" ht="33.75" customHeight="1" x14ac:dyDescent="0.2">
      <c r="A201" s="410" t="s">
        <v>2535</v>
      </c>
      <c r="B201" s="413" t="s">
        <v>2531</v>
      </c>
      <c r="C201" s="414"/>
      <c r="D201" s="414"/>
      <c r="E201" s="426" t="s">
        <v>2781</v>
      </c>
    </row>
    <row r="202" spans="1:5" ht="22.5" customHeight="1" x14ac:dyDescent="0.2">
      <c r="A202" s="410" t="s">
        <v>1293</v>
      </c>
      <c r="B202" s="413" t="s">
        <v>2053</v>
      </c>
      <c r="C202" s="414"/>
      <c r="D202" s="414"/>
      <c r="E202" s="426" t="s">
        <v>1285</v>
      </c>
    </row>
    <row r="203" spans="1:5" ht="33.75" customHeight="1" x14ac:dyDescent="0.2">
      <c r="A203" s="410" t="s">
        <v>4332</v>
      </c>
      <c r="B203" s="413" t="s">
        <v>674</v>
      </c>
      <c r="C203" s="414"/>
      <c r="D203" s="414"/>
      <c r="E203" s="426" t="s">
        <v>4525</v>
      </c>
    </row>
    <row r="204" spans="1:5" ht="12.75" customHeight="1" x14ac:dyDescent="0.2">
      <c r="A204" s="410" t="s">
        <v>2672</v>
      </c>
      <c r="B204" s="413" t="s">
        <v>508</v>
      </c>
      <c r="C204" s="414"/>
      <c r="D204" s="414"/>
      <c r="E204" s="426" t="s">
        <v>5234</v>
      </c>
    </row>
    <row r="205" spans="1:5" ht="68.25" customHeight="1" x14ac:dyDescent="0.2">
      <c r="A205" s="410" t="s">
        <v>5195</v>
      </c>
      <c r="B205" s="413" t="s">
        <v>2564</v>
      </c>
      <c r="C205" s="414"/>
      <c r="D205" s="414"/>
      <c r="E205" s="426" t="s">
        <v>3670</v>
      </c>
    </row>
    <row r="206" spans="1:5" ht="79.5" customHeight="1" x14ac:dyDescent="0.2">
      <c r="A206" s="410" t="s">
        <v>1800</v>
      </c>
      <c r="B206" s="413" t="s">
        <v>770</v>
      </c>
      <c r="C206" s="414"/>
      <c r="D206" s="414"/>
      <c r="E206" s="426" t="s">
        <v>4880</v>
      </c>
    </row>
    <row r="207" spans="1:5" ht="45.75" customHeight="1" x14ac:dyDescent="0.2">
      <c r="A207" s="410" t="s">
        <v>2547</v>
      </c>
      <c r="B207" s="413" t="s">
        <v>3135</v>
      </c>
      <c r="C207" s="414"/>
      <c r="D207" s="414"/>
      <c r="E207" s="426" t="s">
        <v>2250</v>
      </c>
    </row>
    <row r="208" spans="1:5" ht="57" customHeight="1" x14ac:dyDescent="0.2">
      <c r="A208" s="410" t="s">
        <v>3109</v>
      </c>
      <c r="B208" s="413" t="s">
        <v>2348</v>
      </c>
      <c r="C208" s="414"/>
      <c r="D208" s="414"/>
      <c r="E208" s="426" t="s">
        <v>1324</v>
      </c>
    </row>
    <row r="209" spans="1:5" ht="33.75" customHeight="1" x14ac:dyDescent="0.2">
      <c r="A209" s="410" t="s">
        <v>5298</v>
      </c>
      <c r="B209" s="413" t="s">
        <v>5350</v>
      </c>
      <c r="C209" s="414"/>
      <c r="D209" s="414"/>
      <c r="E209" s="426" t="s">
        <v>168</v>
      </c>
    </row>
    <row r="210" spans="1:5" ht="22.5" customHeight="1" x14ac:dyDescent="0.2">
      <c r="A210" s="410" t="s">
        <v>4309</v>
      </c>
      <c r="B210" s="413" t="s">
        <v>1599</v>
      </c>
      <c r="C210" s="414"/>
      <c r="D210" s="414"/>
      <c r="E210" s="426" t="s">
        <v>218</v>
      </c>
    </row>
    <row r="211" spans="1:5" ht="12.75" customHeight="1" x14ac:dyDescent="0.2">
      <c r="A211" s="410" t="s">
        <v>4148</v>
      </c>
      <c r="B211" s="413" t="s">
        <v>4913</v>
      </c>
      <c r="C211" s="414"/>
      <c r="D211" s="414"/>
      <c r="E211" s="426" t="s">
        <v>5866</v>
      </c>
    </row>
    <row r="212" spans="1:5" ht="12.75" customHeight="1" x14ac:dyDescent="0.2">
      <c r="A212" s="410" t="s">
        <v>2364</v>
      </c>
      <c r="B212" s="413" t="s">
        <v>3254</v>
      </c>
      <c r="C212" s="414"/>
      <c r="D212" s="414"/>
      <c r="E212" s="426" t="s">
        <v>4457</v>
      </c>
    </row>
    <row r="213" spans="1:5" ht="22.5" customHeight="1" x14ac:dyDescent="0.2">
      <c r="A213" s="410" t="s">
        <v>3410</v>
      </c>
      <c r="B213" s="413" t="s">
        <v>320</v>
      </c>
      <c r="C213" s="414"/>
      <c r="D213" s="414"/>
      <c r="E213" s="426" t="s">
        <v>2825</v>
      </c>
    </row>
    <row r="214" spans="1:5" ht="22.5" customHeight="1" x14ac:dyDescent="0.2">
      <c r="A214" s="410" t="s">
        <v>5897</v>
      </c>
      <c r="B214" s="413" t="s">
        <v>320</v>
      </c>
      <c r="C214" s="414"/>
      <c r="D214" s="414"/>
      <c r="E214" s="426" t="s">
        <v>1317</v>
      </c>
    </row>
    <row r="215" spans="1:5" ht="33.75" customHeight="1" x14ac:dyDescent="0.2">
      <c r="A215" s="410" t="s">
        <v>1847</v>
      </c>
      <c r="B215" s="413" t="s">
        <v>573</v>
      </c>
      <c r="C215" s="414"/>
      <c r="D215" s="414"/>
      <c r="E215" s="426" t="s">
        <v>1918</v>
      </c>
    </row>
    <row r="216" spans="1:5" ht="33.75" customHeight="1" x14ac:dyDescent="0.2">
      <c r="A216" s="410" t="s">
        <v>3425</v>
      </c>
      <c r="B216" s="413" t="s">
        <v>573</v>
      </c>
      <c r="C216" s="414"/>
      <c r="D216" s="414"/>
      <c r="E216" s="426" t="s">
        <v>2005</v>
      </c>
    </row>
    <row r="217" spans="1:5" ht="45.75" customHeight="1" x14ac:dyDescent="0.2">
      <c r="A217" s="410" t="s">
        <v>734</v>
      </c>
      <c r="B217" s="413" t="s">
        <v>573</v>
      </c>
      <c r="C217" s="414"/>
      <c r="D217" s="414"/>
      <c r="E217" s="426" t="s">
        <v>2471</v>
      </c>
    </row>
    <row r="218" spans="1:5" ht="22.5" customHeight="1" x14ac:dyDescent="0.2">
      <c r="A218" s="410" t="s">
        <v>2955</v>
      </c>
      <c r="B218" s="413" t="s">
        <v>3868</v>
      </c>
      <c r="C218" s="414"/>
      <c r="D218" s="414"/>
      <c r="E218" s="426" t="s">
        <v>1489</v>
      </c>
    </row>
    <row r="219" spans="1:5" ht="22.5" customHeight="1" x14ac:dyDescent="0.2">
      <c r="A219" s="410" t="s">
        <v>3042</v>
      </c>
      <c r="B219" s="413" t="s">
        <v>3868</v>
      </c>
      <c r="C219" s="414"/>
      <c r="D219" s="414"/>
      <c r="E219" s="426" t="s">
        <v>1489</v>
      </c>
    </row>
    <row r="220" spans="1:5" ht="22.5" customHeight="1" x14ac:dyDescent="0.2">
      <c r="A220" s="410" t="s">
        <v>5372</v>
      </c>
      <c r="B220" s="413" t="s">
        <v>4543</v>
      </c>
      <c r="C220" s="414"/>
      <c r="D220" s="414"/>
      <c r="E220" s="426" t="s">
        <v>1774</v>
      </c>
    </row>
    <row r="221" spans="1:5" ht="22.5" customHeight="1" x14ac:dyDescent="0.2">
      <c r="A221" s="410" t="s">
        <v>3026</v>
      </c>
      <c r="B221" s="413" t="s">
        <v>4543</v>
      </c>
      <c r="C221" s="414"/>
      <c r="D221" s="414"/>
      <c r="E221" s="426" t="s">
        <v>2635</v>
      </c>
    </row>
    <row r="222" spans="1:5" ht="33.75" customHeight="1" x14ac:dyDescent="0.2">
      <c r="A222" s="410" t="s">
        <v>1166</v>
      </c>
      <c r="B222" s="413" t="s">
        <v>3500</v>
      </c>
      <c r="C222" s="414"/>
      <c r="D222" s="414"/>
      <c r="E222" s="426" t="s">
        <v>2140</v>
      </c>
    </row>
    <row r="223" spans="1:5" ht="12.75" customHeight="1" x14ac:dyDescent="0.2">
      <c r="A223" s="410" t="s">
        <v>2864</v>
      </c>
      <c r="B223" s="413" t="s">
        <v>4466</v>
      </c>
      <c r="C223" s="414"/>
      <c r="D223" s="414"/>
      <c r="E223" s="426" t="s">
        <v>1696</v>
      </c>
    </row>
    <row r="224" spans="1:5" ht="12.75" customHeight="1" x14ac:dyDescent="0.2">
      <c r="A224" s="410" t="s">
        <v>496</v>
      </c>
      <c r="B224" s="413" t="s">
        <v>5258</v>
      </c>
      <c r="C224" s="414"/>
      <c r="D224" s="414"/>
      <c r="E224" s="426" t="s">
        <v>5101</v>
      </c>
    </row>
    <row r="225" spans="1:5" ht="12.75" customHeight="1" x14ac:dyDescent="0.2">
      <c r="A225" s="410" t="s">
        <v>2532</v>
      </c>
      <c r="B225" s="413" t="s">
        <v>1275</v>
      </c>
      <c r="C225" s="414"/>
      <c r="D225" s="414"/>
      <c r="E225" s="426" t="s">
        <v>2689</v>
      </c>
    </row>
    <row r="226" spans="1:5" ht="33.75" customHeight="1" x14ac:dyDescent="0.2">
      <c r="A226" s="410" t="s">
        <v>3422</v>
      </c>
      <c r="B226" s="413" t="s">
        <v>3422</v>
      </c>
      <c r="C226" s="414"/>
      <c r="D226" s="414"/>
      <c r="E226" s="426" t="s">
        <v>4162</v>
      </c>
    </row>
    <row r="227" spans="1:5" ht="33.75" customHeight="1" x14ac:dyDescent="0.2">
      <c r="A227" s="410" t="s">
        <v>239</v>
      </c>
      <c r="B227" s="413" t="s">
        <v>4061</v>
      </c>
      <c r="C227" s="414"/>
      <c r="D227" s="414"/>
      <c r="E227" s="426" t="s">
        <v>753</v>
      </c>
    </row>
    <row r="228" spans="1:5" ht="45.75" customHeight="1" x14ac:dyDescent="0.2">
      <c r="A228" s="410" t="s">
        <v>1357</v>
      </c>
      <c r="B228" s="413" t="s">
        <v>3422</v>
      </c>
      <c r="C228" s="414"/>
      <c r="D228" s="414"/>
      <c r="E228" s="426" t="s">
        <v>5</v>
      </c>
    </row>
    <row r="229" spans="1:5" ht="22.5" customHeight="1" x14ac:dyDescent="0.2">
      <c r="A229" s="410" t="s">
        <v>2190</v>
      </c>
      <c r="B229" s="413" t="s">
        <v>1540</v>
      </c>
      <c r="C229" s="414"/>
      <c r="D229" s="414"/>
      <c r="E229" s="426" t="s">
        <v>1305</v>
      </c>
    </row>
    <row r="230" spans="1:5" ht="22.5" customHeight="1" x14ac:dyDescent="0.2">
      <c r="A230" s="410" t="s">
        <v>4783</v>
      </c>
      <c r="B230" s="413" t="s">
        <v>1540</v>
      </c>
      <c r="C230" s="414"/>
      <c r="D230" s="414"/>
      <c r="E230" s="426" t="s">
        <v>1305</v>
      </c>
    </row>
    <row r="231" spans="1:5" ht="22.5" customHeight="1" x14ac:dyDescent="0.2">
      <c r="A231" s="410" t="s">
        <v>1837</v>
      </c>
      <c r="B231" s="413" t="s">
        <v>3763</v>
      </c>
      <c r="C231" s="414"/>
      <c r="D231" s="414"/>
      <c r="E231" s="426" t="s">
        <v>665</v>
      </c>
    </row>
    <row r="232" spans="1:5" ht="22.5" customHeight="1" x14ac:dyDescent="0.2">
      <c r="A232" s="410" t="s">
        <v>5146</v>
      </c>
      <c r="B232" s="413" t="s">
        <v>1620</v>
      </c>
      <c r="C232" s="414"/>
      <c r="D232" s="414"/>
      <c r="E232" s="426" t="s">
        <v>2865</v>
      </c>
    </row>
    <row r="233" spans="1:5" ht="12.75" customHeight="1" x14ac:dyDescent="0.2">
      <c r="A233" s="410" t="s">
        <v>4884</v>
      </c>
      <c r="B233" s="413" t="s">
        <v>2587</v>
      </c>
      <c r="C233" s="414"/>
      <c r="D233" s="414"/>
      <c r="E233" s="426" t="s">
        <v>970</v>
      </c>
    </row>
    <row r="234" spans="1:5" ht="57" customHeight="1" x14ac:dyDescent="0.2">
      <c r="A234" s="410" t="s">
        <v>172</v>
      </c>
      <c r="B234" s="413" t="s">
        <v>4180</v>
      </c>
      <c r="C234" s="414"/>
      <c r="D234" s="414"/>
      <c r="E234" s="426" t="s">
        <v>2217</v>
      </c>
    </row>
    <row r="235" spans="1:5" ht="79.5" customHeight="1" x14ac:dyDescent="0.2">
      <c r="A235" s="410" t="s">
        <v>4419</v>
      </c>
      <c r="B235" s="413" t="s">
        <v>3636</v>
      </c>
      <c r="C235" s="414"/>
      <c r="D235" s="414"/>
      <c r="E235" s="426" t="s">
        <v>3095</v>
      </c>
    </row>
    <row r="236" spans="1:5" ht="68.25" customHeight="1" x14ac:dyDescent="0.2">
      <c r="A236" s="410" t="s">
        <v>3665</v>
      </c>
      <c r="B236" s="413" t="s">
        <v>3696</v>
      </c>
      <c r="C236" s="414"/>
      <c r="D236" s="414"/>
      <c r="E236" s="426" t="s">
        <v>3600</v>
      </c>
    </row>
    <row r="237" spans="1:5" ht="22.5" customHeight="1" x14ac:dyDescent="0.2">
      <c r="A237" s="410" t="s">
        <v>2498</v>
      </c>
      <c r="B237" s="413" t="s">
        <v>2177</v>
      </c>
      <c r="C237" s="414"/>
      <c r="D237" s="414"/>
      <c r="E237" s="426" t="s">
        <v>1898</v>
      </c>
    </row>
    <row r="238" spans="1:5" ht="22.5" customHeight="1" x14ac:dyDescent="0.2">
      <c r="A238" s="410" t="s">
        <v>3534</v>
      </c>
      <c r="B238" s="413" t="s">
        <v>2671</v>
      </c>
      <c r="C238" s="414"/>
      <c r="D238" s="414"/>
      <c r="E238" s="426" t="s">
        <v>5343</v>
      </c>
    </row>
    <row r="239" spans="1:5" ht="57" customHeight="1" x14ac:dyDescent="0.2">
      <c r="A239" s="410" t="s">
        <v>4980</v>
      </c>
      <c r="B239" s="413" t="s">
        <v>5042</v>
      </c>
      <c r="C239" s="414"/>
      <c r="D239" s="414"/>
      <c r="E239" s="426" t="s">
        <v>974</v>
      </c>
    </row>
    <row r="240" spans="1:5" ht="68.25" customHeight="1" x14ac:dyDescent="0.2">
      <c r="A240" s="410" t="s">
        <v>1790</v>
      </c>
      <c r="B240" s="413" t="s">
        <v>2493</v>
      </c>
      <c r="C240" s="414"/>
      <c r="D240" s="414"/>
      <c r="E240" s="426" t="s">
        <v>3525</v>
      </c>
    </row>
    <row r="241" spans="1:5" ht="68.25" customHeight="1" x14ac:dyDescent="0.2">
      <c r="A241" s="410" t="s">
        <v>4236</v>
      </c>
      <c r="B241" s="413" t="s">
        <v>2978</v>
      </c>
      <c r="C241" s="414"/>
      <c r="D241" s="414"/>
      <c r="E241" s="426" t="s">
        <v>1890</v>
      </c>
    </row>
    <row r="242" spans="1:5" ht="57" customHeight="1" x14ac:dyDescent="0.2">
      <c r="A242" s="410" t="s">
        <v>5812</v>
      </c>
      <c r="B242" s="413" t="s">
        <v>5065</v>
      </c>
      <c r="C242" s="414"/>
      <c r="D242" s="414"/>
      <c r="E242" s="426" t="s">
        <v>2136</v>
      </c>
    </row>
    <row r="243" spans="1:5" ht="57" customHeight="1" x14ac:dyDescent="0.2">
      <c r="A243" s="410" t="s">
        <v>5769</v>
      </c>
      <c r="B243" s="413" t="s">
        <v>1684</v>
      </c>
      <c r="C243" s="414"/>
      <c r="D243" s="414"/>
      <c r="E243" s="426" t="s">
        <v>3550</v>
      </c>
    </row>
    <row r="244" spans="1:5" ht="12.75" customHeight="1" x14ac:dyDescent="0.2">
      <c r="A244" s="410" t="s">
        <v>3625</v>
      </c>
      <c r="B244" s="413" t="s">
        <v>351</v>
      </c>
      <c r="C244" s="414"/>
      <c r="D244" s="414"/>
      <c r="E244" s="426" t="s">
        <v>727</v>
      </c>
    </row>
    <row r="245" spans="1:5" ht="45.75" customHeight="1" x14ac:dyDescent="0.2">
      <c r="A245" s="410" t="s">
        <v>1940</v>
      </c>
      <c r="B245" s="413" t="s">
        <v>145</v>
      </c>
      <c r="C245" s="414"/>
      <c r="D245" s="414"/>
      <c r="E245" s="426" t="s">
        <v>4378</v>
      </c>
    </row>
    <row r="246" spans="1:5" ht="22.5" customHeight="1" x14ac:dyDescent="0.2">
      <c r="A246" s="410" t="s">
        <v>2817</v>
      </c>
      <c r="B246" s="413" t="s">
        <v>5389</v>
      </c>
      <c r="C246" s="414"/>
      <c r="D246" s="414"/>
      <c r="E246" s="426" t="s">
        <v>4259</v>
      </c>
    </row>
    <row r="247" spans="1:5" ht="22.5" customHeight="1" x14ac:dyDescent="0.2">
      <c r="A247" s="410" t="s">
        <v>217</v>
      </c>
      <c r="B247" s="413" t="s">
        <v>2097</v>
      </c>
      <c r="C247" s="414"/>
      <c r="D247" s="414"/>
      <c r="E247" s="426" t="s">
        <v>5838</v>
      </c>
    </row>
    <row r="248" spans="1:5" ht="22.5" customHeight="1" x14ac:dyDescent="0.2">
      <c r="A248" s="410" t="s">
        <v>235</v>
      </c>
      <c r="B248" s="413" t="s">
        <v>2774</v>
      </c>
      <c r="C248" s="414"/>
      <c r="D248" s="414"/>
      <c r="E248" s="426" t="s">
        <v>5772</v>
      </c>
    </row>
    <row r="249" spans="1:5" ht="57" customHeight="1" x14ac:dyDescent="0.2">
      <c r="A249" s="410" t="s">
        <v>242</v>
      </c>
      <c r="B249" s="413" t="s">
        <v>625</v>
      </c>
      <c r="C249" s="414"/>
      <c r="D249" s="414"/>
      <c r="E249" s="426" t="s">
        <v>5599</v>
      </c>
    </row>
    <row r="250" spans="1:5" ht="33.75" customHeight="1" x14ac:dyDescent="0.2">
      <c r="A250" s="410" t="s">
        <v>3473</v>
      </c>
      <c r="B250" s="413" t="s">
        <v>5314</v>
      </c>
      <c r="C250" s="414"/>
      <c r="D250" s="414"/>
      <c r="E250" s="426" t="s">
        <v>1178</v>
      </c>
    </row>
    <row r="251" spans="1:5" ht="68.25" customHeight="1" x14ac:dyDescent="0.2">
      <c r="A251" s="410" t="s">
        <v>4570</v>
      </c>
      <c r="B251" s="413" t="s">
        <v>289</v>
      </c>
      <c r="C251" s="414"/>
      <c r="D251" s="414"/>
      <c r="E251" s="426" t="s">
        <v>3701</v>
      </c>
    </row>
    <row r="252" spans="1:5" ht="22.5" customHeight="1" x14ac:dyDescent="0.2">
      <c r="A252" s="410" t="s">
        <v>996</v>
      </c>
      <c r="B252" s="413" t="s">
        <v>5553</v>
      </c>
      <c r="C252" s="414"/>
      <c r="D252" s="414"/>
      <c r="E252" s="426" t="s">
        <v>1389</v>
      </c>
    </row>
    <row r="253" spans="1:5" ht="33.75" customHeight="1" x14ac:dyDescent="0.2">
      <c r="A253" s="410" t="s">
        <v>1057</v>
      </c>
      <c r="B253" s="413" t="s">
        <v>2530</v>
      </c>
      <c r="C253" s="414"/>
      <c r="D253" s="414"/>
      <c r="E253" s="426" t="s">
        <v>5542</v>
      </c>
    </row>
    <row r="254" spans="1:5" ht="45.75" customHeight="1" x14ac:dyDescent="0.2">
      <c r="A254" s="410" t="s">
        <v>3522</v>
      </c>
      <c r="B254" s="413" t="s">
        <v>2466</v>
      </c>
      <c r="C254" s="414"/>
      <c r="D254" s="414"/>
      <c r="E254" s="426" t="s">
        <v>1524</v>
      </c>
    </row>
    <row r="255" spans="1:5" ht="22.5" customHeight="1" x14ac:dyDescent="0.2">
      <c r="A255" s="410" t="s">
        <v>5008</v>
      </c>
      <c r="B255" s="413" t="s">
        <v>5231</v>
      </c>
      <c r="C255" s="414"/>
      <c r="D255" s="414"/>
      <c r="E255" s="426" t="s">
        <v>3017</v>
      </c>
    </row>
    <row r="256" spans="1:5" ht="12.75" customHeight="1" x14ac:dyDescent="0.2">
      <c r="A256" s="410" t="s">
        <v>3245</v>
      </c>
      <c r="B256" s="413" t="s">
        <v>90</v>
      </c>
      <c r="C256" s="414"/>
      <c r="D256" s="414"/>
      <c r="E256" s="426" t="s">
        <v>5280</v>
      </c>
    </row>
    <row r="257" spans="1:5" ht="22.5" customHeight="1" x14ac:dyDescent="0.2">
      <c r="A257" s="410" t="s">
        <v>1507</v>
      </c>
      <c r="B257" s="413" t="s">
        <v>5836</v>
      </c>
      <c r="C257" s="414"/>
      <c r="D257" s="414"/>
      <c r="E257" s="426" t="s">
        <v>3153</v>
      </c>
    </row>
    <row r="258" spans="1:5" ht="12.75" customHeight="1" x14ac:dyDescent="0.2">
      <c r="A258" s="410" t="s">
        <v>1099</v>
      </c>
      <c r="B258" s="413" t="s">
        <v>3167</v>
      </c>
      <c r="C258" s="414"/>
      <c r="D258" s="414"/>
      <c r="E258" s="426" t="s">
        <v>2795</v>
      </c>
    </row>
    <row r="259" spans="1:5" ht="22.5" customHeight="1" x14ac:dyDescent="0.2">
      <c r="A259" s="410" t="s">
        <v>2288</v>
      </c>
      <c r="B259" s="413" t="s">
        <v>4305</v>
      </c>
      <c r="C259" s="414"/>
      <c r="D259" s="414"/>
      <c r="E259" s="426" t="s">
        <v>2321</v>
      </c>
    </row>
    <row r="260" spans="1:5" ht="33.75" customHeight="1" x14ac:dyDescent="0.2">
      <c r="A260" s="410" t="s">
        <v>2161</v>
      </c>
      <c r="B260" s="413" t="s">
        <v>2348</v>
      </c>
      <c r="C260" s="414"/>
      <c r="D260" s="414"/>
      <c r="E260" s="426" t="s">
        <v>4167</v>
      </c>
    </row>
    <row r="261" spans="1:5" ht="22.5" customHeight="1" x14ac:dyDescent="0.2">
      <c r="A261" s="410" t="s">
        <v>3041</v>
      </c>
      <c r="B261" s="413" t="s">
        <v>2220</v>
      </c>
      <c r="C261" s="414"/>
      <c r="D261" s="414"/>
      <c r="E261" s="426" t="s">
        <v>1292</v>
      </c>
    </row>
    <row r="262" spans="1:5" ht="22.5" customHeight="1" x14ac:dyDescent="0.2">
      <c r="A262" s="410" t="s">
        <v>504</v>
      </c>
      <c r="B262" s="413" t="s">
        <v>3332</v>
      </c>
      <c r="C262" s="414"/>
      <c r="D262" s="414"/>
      <c r="E262" s="426" t="s">
        <v>3310</v>
      </c>
    </row>
    <row r="263" spans="1:5" ht="22.5" customHeight="1" x14ac:dyDescent="0.2">
      <c r="A263" s="410" t="s">
        <v>5182</v>
      </c>
      <c r="B263" s="413" t="s">
        <v>5241</v>
      </c>
      <c r="C263" s="414"/>
      <c r="D263" s="414"/>
      <c r="E263" s="426" t="s">
        <v>4063</v>
      </c>
    </row>
    <row r="264" spans="1:5" ht="33.75" customHeight="1" x14ac:dyDescent="0.2">
      <c r="A264" s="410" t="s">
        <v>3206</v>
      </c>
      <c r="B264" s="413" t="s">
        <v>4704</v>
      </c>
      <c r="C264" s="414"/>
      <c r="D264" s="414"/>
      <c r="E264" s="426" t="s">
        <v>3470</v>
      </c>
    </row>
    <row r="265" spans="1:5" ht="12.75" customHeight="1" x14ac:dyDescent="0.2">
      <c r="A265" s="410" t="s">
        <v>3279</v>
      </c>
      <c r="B265" s="413" t="s">
        <v>3051</v>
      </c>
      <c r="C265" s="414"/>
      <c r="D265" s="414"/>
      <c r="E265" s="426" t="s">
        <v>5234</v>
      </c>
    </row>
    <row r="266" spans="1:5" ht="33.75" customHeight="1" x14ac:dyDescent="0.2">
      <c r="A266" s="410" t="s">
        <v>3543</v>
      </c>
      <c r="B266" s="413" t="s">
        <v>3039</v>
      </c>
      <c r="C266" s="414"/>
      <c r="D266" s="414"/>
      <c r="E266" s="426" t="s">
        <v>688</v>
      </c>
    </row>
    <row r="267" spans="1:5" ht="12.75" customHeight="1" x14ac:dyDescent="0.2">
      <c r="A267" s="410" t="s">
        <v>76</v>
      </c>
      <c r="B267" s="413" t="s">
        <v>486</v>
      </c>
      <c r="C267" s="414"/>
      <c r="D267" s="414"/>
      <c r="E267" s="426" t="s">
        <v>4705</v>
      </c>
    </row>
    <row r="268" spans="1:5" ht="45.75" customHeight="1" x14ac:dyDescent="0.2">
      <c r="A268" s="410" t="s">
        <v>1733</v>
      </c>
      <c r="B268" s="413" t="s">
        <v>5300</v>
      </c>
      <c r="C268" s="414"/>
      <c r="D268" s="414"/>
      <c r="E268" s="426" t="s">
        <v>4361</v>
      </c>
    </row>
    <row r="269" spans="1:5" ht="12.75" customHeight="1" x14ac:dyDescent="0.2">
      <c r="A269" s="410" t="s">
        <v>309</v>
      </c>
      <c r="B269" s="413" t="s">
        <v>2306</v>
      </c>
      <c r="C269" s="414"/>
      <c r="D269" s="414"/>
      <c r="E269" s="426" t="s">
        <v>911</v>
      </c>
    </row>
    <row r="270" spans="1:5" ht="12.75" customHeight="1" x14ac:dyDescent="0.2">
      <c r="A270" s="410" t="s">
        <v>2715</v>
      </c>
      <c r="B270" s="413" t="s">
        <v>3791</v>
      </c>
      <c r="C270" s="414"/>
      <c r="D270" s="414"/>
      <c r="E270" s="426" t="s">
        <v>4833</v>
      </c>
    </row>
    <row r="271" spans="1:5" ht="12.75" customHeight="1" x14ac:dyDescent="0.2">
      <c r="A271" s="410" t="s">
        <v>1005</v>
      </c>
      <c r="B271" s="413" t="s">
        <v>966</v>
      </c>
      <c r="C271" s="414"/>
      <c r="D271" s="414"/>
      <c r="E271" s="426" t="s">
        <v>4037</v>
      </c>
    </row>
    <row r="272" spans="1:5" ht="12.75" customHeight="1" x14ac:dyDescent="0.2">
      <c r="A272" s="410" t="s">
        <v>3035</v>
      </c>
      <c r="B272" s="413" t="s">
        <v>5230</v>
      </c>
      <c r="C272" s="414"/>
      <c r="D272" s="414"/>
      <c r="E272" s="426" t="s">
        <v>4833</v>
      </c>
    </row>
    <row r="273" spans="1:5" ht="12.75" customHeight="1" x14ac:dyDescent="0.2">
      <c r="A273" s="410" t="s">
        <v>2752</v>
      </c>
      <c r="B273" s="413" t="s">
        <v>4977</v>
      </c>
      <c r="C273" s="414"/>
      <c r="D273" s="414"/>
      <c r="E273" s="426" t="s">
        <v>1641</v>
      </c>
    </row>
    <row r="274" spans="1:5" ht="12.75" customHeight="1" x14ac:dyDescent="0.2">
      <c r="A274" s="410" t="s">
        <v>5158</v>
      </c>
      <c r="B274" s="413" t="s">
        <v>2933</v>
      </c>
      <c r="C274" s="414"/>
      <c r="D274" s="414"/>
      <c r="E274" s="426" t="s">
        <v>2730</v>
      </c>
    </row>
    <row r="275" spans="1:5" ht="33.75" customHeight="1" x14ac:dyDescent="0.2">
      <c r="A275" s="410" t="s">
        <v>1067</v>
      </c>
      <c r="B275" s="413" t="s">
        <v>3954</v>
      </c>
      <c r="C275" s="414"/>
      <c r="D275" s="414"/>
      <c r="E275" s="426" t="s">
        <v>940</v>
      </c>
    </row>
    <row r="276" spans="1:5" ht="12.75" customHeight="1" x14ac:dyDescent="0.2">
      <c r="A276" s="410" t="s">
        <v>4812</v>
      </c>
      <c r="B276" s="413" t="s">
        <v>2648</v>
      </c>
      <c r="C276" s="414"/>
      <c r="D276" s="414"/>
      <c r="E276" s="426" t="s">
        <v>4602</v>
      </c>
    </row>
    <row r="277" spans="1:5" ht="33.75" customHeight="1" x14ac:dyDescent="0.2">
      <c r="A277" s="410" t="s">
        <v>2294</v>
      </c>
      <c r="B277" s="413" t="s">
        <v>4962</v>
      </c>
      <c r="C277" s="414"/>
      <c r="D277" s="414"/>
      <c r="E277" s="426" t="s">
        <v>1180</v>
      </c>
    </row>
    <row r="278" spans="1:5" ht="12.75" customHeight="1" x14ac:dyDescent="0.2">
      <c r="A278" s="410" t="s">
        <v>5331</v>
      </c>
      <c r="B278" s="413" t="s">
        <v>416</v>
      </c>
      <c r="C278" s="414"/>
      <c r="D278" s="414"/>
      <c r="E278" s="426" t="s">
        <v>2751</v>
      </c>
    </row>
    <row r="279" spans="1:5" ht="12.75" customHeight="1" x14ac:dyDescent="0.2">
      <c r="A279" s="410" t="s">
        <v>1535</v>
      </c>
      <c r="B279" s="413" t="s">
        <v>2182</v>
      </c>
      <c r="C279" s="414"/>
      <c r="D279" s="414"/>
      <c r="E279" s="426" t="s">
        <v>73</v>
      </c>
    </row>
    <row r="280" spans="1:5" ht="22.5" customHeight="1" x14ac:dyDescent="0.2">
      <c r="A280" s="410" t="s">
        <v>2559</v>
      </c>
      <c r="B280" s="413" t="s">
        <v>3833</v>
      </c>
      <c r="C280" s="414"/>
      <c r="D280" s="414"/>
      <c r="E280" s="426" t="s">
        <v>1511</v>
      </c>
    </row>
    <row r="281" spans="1:5" ht="22.5" customHeight="1" x14ac:dyDescent="0.2">
      <c r="A281" s="410" t="s">
        <v>4334</v>
      </c>
      <c r="B281" s="413" t="s">
        <v>1273</v>
      </c>
      <c r="C281" s="414"/>
      <c r="D281" s="414"/>
      <c r="E281" s="426" t="s">
        <v>1964</v>
      </c>
    </row>
    <row r="282" spans="1:5" ht="33.75" customHeight="1" x14ac:dyDescent="0.2">
      <c r="A282" s="410" t="s">
        <v>1874</v>
      </c>
      <c r="B282" s="413" t="s">
        <v>3926</v>
      </c>
      <c r="C282" s="414"/>
      <c r="D282" s="414"/>
      <c r="E282" s="426" t="s">
        <v>4165</v>
      </c>
    </row>
    <row r="283" spans="1:5" ht="22.5" customHeight="1" x14ac:dyDescent="0.2">
      <c r="A283" s="410" t="s">
        <v>3678</v>
      </c>
      <c r="B283" s="413" t="s">
        <v>1502</v>
      </c>
      <c r="C283" s="414"/>
      <c r="D283" s="414"/>
      <c r="E283" s="426" t="s">
        <v>5811</v>
      </c>
    </row>
    <row r="284" spans="1:5" ht="79.5" customHeight="1" x14ac:dyDescent="0.2">
      <c r="A284" s="410" t="s">
        <v>2723</v>
      </c>
      <c r="B284" s="413" t="s">
        <v>1692</v>
      </c>
      <c r="C284" s="414"/>
      <c r="D284" s="414"/>
      <c r="E284" s="426" t="s">
        <v>632</v>
      </c>
    </row>
    <row r="285" spans="1:5" ht="22.5" customHeight="1" x14ac:dyDescent="0.2">
      <c r="A285" s="410" t="s">
        <v>2518</v>
      </c>
      <c r="B285" s="413" t="s">
        <v>5547</v>
      </c>
      <c r="C285" s="414"/>
      <c r="D285" s="414"/>
      <c r="E285" s="426" t="s">
        <v>4480</v>
      </c>
    </row>
    <row r="286" spans="1:5" ht="22.5" customHeight="1" x14ac:dyDescent="0.2">
      <c r="A286" s="410" t="s">
        <v>3148</v>
      </c>
      <c r="B286" s="413" t="s">
        <v>3148</v>
      </c>
      <c r="C286" s="414"/>
      <c r="D286" s="414"/>
      <c r="E286" s="426" t="s">
        <v>2603</v>
      </c>
    </row>
    <row r="287" spans="1:5" ht="12.75" customHeight="1" x14ac:dyDescent="0.2">
      <c r="A287" s="410" t="s">
        <v>3996</v>
      </c>
      <c r="B287" s="413" t="s">
        <v>2543</v>
      </c>
      <c r="C287" s="414"/>
      <c r="D287" s="414"/>
      <c r="E287" s="426" t="s">
        <v>2610</v>
      </c>
    </row>
    <row r="288" spans="1:5" ht="68.25" customHeight="1" x14ac:dyDescent="0.2">
      <c r="A288" s="410" t="s">
        <v>2411</v>
      </c>
      <c r="B288" s="413" t="s">
        <v>2409</v>
      </c>
      <c r="C288" s="414"/>
      <c r="D288" s="414"/>
      <c r="E288" s="426" t="s">
        <v>743</v>
      </c>
    </row>
    <row r="289" spans="1:5" ht="33.75" customHeight="1" x14ac:dyDescent="0.2">
      <c r="A289" s="410" t="s">
        <v>874</v>
      </c>
      <c r="B289" s="413" t="s">
        <v>1201</v>
      </c>
      <c r="C289" s="414"/>
      <c r="D289" s="414"/>
      <c r="E289" s="426" t="s">
        <v>2235</v>
      </c>
    </row>
    <row r="290" spans="1:5" ht="12.75" customHeight="1" x14ac:dyDescent="0.2">
      <c r="A290" s="410" t="s">
        <v>2359</v>
      </c>
      <c r="B290" s="413" t="s">
        <v>2628</v>
      </c>
      <c r="C290" s="414"/>
      <c r="D290" s="414"/>
      <c r="E290" s="426" t="s">
        <v>2868</v>
      </c>
    </row>
    <row r="291" spans="1:5" ht="33.75" customHeight="1" x14ac:dyDescent="0.2">
      <c r="A291" s="410" t="s">
        <v>1673</v>
      </c>
      <c r="B291" s="413" t="s">
        <v>1336</v>
      </c>
      <c r="C291" s="414"/>
      <c r="D291" s="414"/>
      <c r="E291" s="426" t="s">
        <v>1325</v>
      </c>
    </row>
    <row r="292" spans="1:5" ht="22.5" customHeight="1" x14ac:dyDescent="0.2">
      <c r="A292" s="410" t="s">
        <v>664</v>
      </c>
      <c r="B292" s="413" t="s">
        <v>2084</v>
      </c>
      <c r="C292" s="414"/>
      <c r="D292" s="414"/>
      <c r="E292" s="426" t="s">
        <v>5114</v>
      </c>
    </row>
    <row r="293" spans="1:5" ht="57" customHeight="1" x14ac:dyDescent="0.2">
      <c r="A293" s="410" t="s">
        <v>2489</v>
      </c>
      <c r="B293" s="413" t="s">
        <v>3900</v>
      </c>
      <c r="C293" s="414"/>
      <c r="D293" s="414"/>
      <c r="E293" s="426" t="s">
        <v>4659</v>
      </c>
    </row>
    <row r="294" spans="1:5" ht="12.75" customHeight="1" x14ac:dyDescent="0.2">
      <c r="A294" s="410" t="s">
        <v>1856</v>
      </c>
      <c r="B294" s="413" t="s">
        <v>3194</v>
      </c>
      <c r="C294" s="414"/>
      <c r="D294" s="414"/>
      <c r="E294" s="426" t="s">
        <v>265</v>
      </c>
    </row>
    <row r="295" spans="1:5" ht="45.75" customHeight="1" x14ac:dyDescent="0.2">
      <c r="A295" s="410" t="s">
        <v>2565</v>
      </c>
      <c r="B295" s="413" t="s">
        <v>5788</v>
      </c>
      <c r="C295" s="414"/>
      <c r="D295" s="414"/>
      <c r="E295" s="426" t="s">
        <v>2213</v>
      </c>
    </row>
    <row r="296" spans="1:5" ht="22.5" customHeight="1" x14ac:dyDescent="0.2">
      <c r="A296" s="410" t="s">
        <v>5858</v>
      </c>
      <c r="B296" s="413" t="s">
        <v>1752</v>
      </c>
      <c r="C296" s="414"/>
      <c r="D296" s="414"/>
      <c r="E296" s="426" t="s">
        <v>3987</v>
      </c>
    </row>
    <row r="297" spans="1:5" ht="22.5" customHeight="1" x14ac:dyDescent="0.2">
      <c r="A297" s="410" t="s">
        <v>5078</v>
      </c>
      <c r="B297" s="413" t="s">
        <v>304</v>
      </c>
      <c r="C297" s="414"/>
      <c r="D297" s="414"/>
      <c r="E297" s="426" t="s">
        <v>4477</v>
      </c>
    </row>
    <row r="299" spans="1:5" ht="12.75" customHeight="1" x14ac:dyDescent="0.2">
      <c r="A299" s="412" t="s">
        <v>3661</v>
      </c>
      <c r="B299" s="412" t="s">
        <v>5316</v>
      </c>
      <c r="C299" s="412" t="s">
        <v>1008</v>
      </c>
      <c r="D299" s="412" t="s">
        <v>2959</v>
      </c>
      <c r="E299" s="425" t="s">
        <v>4875</v>
      </c>
    </row>
    <row r="300" spans="1:5" ht="12.75" customHeight="1" x14ac:dyDescent="0.2">
      <c r="A300" s="410" t="s">
        <v>2377</v>
      </c>
      <c r="B300" s="415" t="s">
        <v>3300</v>
      </c>
      <c r="C300" s="415" t="s">
        <v>47</v>
      </c>
      <c r="D300" s="415" t="s">
        <v>3300</v>
      </c>
      <c r="E300" s="426" t="s">
        <v>2804</v>
      </c>
    </row>
    <row r="301" spans="1:5" ht="12.75" customHeight="1" x14ac:dyDescent="0.2">
      <c r="A301" s="410" t="s">
        <v>3005</v>
      </c>
      <c r="B301" s="416" t="s">
        <v>2070</v>
      </c>
      <c r="D301" s="416" t="s">
        <v>1907</v>
      </c>
    </row>
    <row r="302" spans="1:5" ht="12.75" customHeight="1" x14ac:dyDescent="0.2">
      <c r="A302" s="410" t="s">
        <v>2199</v>
      </c>
      <c r="B302" s="416" t="s">
        <v>4131</v>
      </c>
    </row>
    <row r="303" spans="1:5" ht="12.75" customHeight="1" x14ac:dyDescent="0.2">
      <c r="A303" s="410" t="s">
        <v>1840</v>
      </c>
      <c r="B303" s="416" t="s">
        <v>4613</v>
      </c>
    </row>
    <row r="305" spans="1:5" ht="12.75" customHeight="1" x14ac:dyDescent="0.2">
      <c r="A305" s="410" t="s">
        <v>1878</v>
      </c>
      <c r="B305" s="415" t="s">
        <v>1736</v>
      </c>
      <c r="C305" s="415" t="s">
        <v>47</v>
      </c>
      <c r="D305" s="415" t="s">
        <v>5111</v>
      </c>
      <c r="E305" s="426" t="s">
        <v>3982</v>
      </c>
    </row>
    <row r="306" spans="1:5" ht="12.75" customHeight="1" x14ac:dyDescent="0.2">
      <c r="A306" s="410" t="s">
        <v>5765</v>
      </c>
      <c r="B306" s="416" t="s">
        <v>2324</v>
      </c>
      <c r="D306" s="416" t="s">
        <v>4965</v>
      </c>
    </row>
    <row r="307" spans="1:5" ht="12.75" customHeight="1" x14ac:dyDescent="0.2">
      <c r="A307" s="410" t="s">
        <v>4907</v>
      </c>
      <c r="B307" s="416" t="s">
        <v>5005</v>
      </c>
    </row>
    <row r="309" spans="1:5" ht="12.75" customHeight="1" x14ac:dyDescent="0.2">
      <c r="A309" s="410" t="s">
        <v>4300</v>
      </c>
      <c r="B309" s="415" t="s">
        <v>4300</v>
      </c>
      <c r="C309" s="415" t="s">
        <v>47</v>
      </c>
      <c r="D309" s="415" t="s">
        <v>4300</v>
      </c>
      <c r="E309" s="426" t="s">
        <v>5009</v>
      </c>
    </row>
    <row r="310" spans="1:5" ht="12.75" customHeight="1" x14ac:dyDescent="0.2">
      <c r="A310" s="410" t="s">
        <v>1653</v>
      </c>
      <c r="B310" s="416" t="s">
        <v>1703</v>
      </c>
      <c r="C310" s="416" t="s">
        <v>2344</v>
      </c>
      <c r="D310" s="416" t="s">
        <v>3221</v>
      </c>
    </row>
    <row r="311" spans="1:5" ht="12.75" customHeight="1" x14ac:dyDescent="0.2">
      <c r="A311" s="410" t="s">
        <v>3178</v>
      </c>
      <c r="B311" s="417" t="s">
        <v>2015</v>
      </c>
      <c r="D311" s="417" t="s">
        <v>2628</v>
      </c>
    </row>
    <row r="312" spans="1:5" ht="12.75" customHeight="1" x14ac:dyDescent="0.2">
      <c r="A312" s="410" t="s">
        <v>505</v>
      </c>
      <c r="B312" s="417" t="s">
        <v>2030</v>
      </c>
    </row>
    <row r="313" spans="1:5" ht="12.75" customHeight="1" x14ac:dyDescent="0.2">
      <c r="A313" s="410" t="s">
        <v>4070</v>
      </c>
      <c r="B313" s="417" t="s">
        <v>765</v>
      </c>
    </row>
    <row r="314" spans="1:5" ht="12.75" customHeight="1" x14ac:dyDescent="0.2">
      <c r="A314" s="410" t="s">
        <v>3624</v>
      </c>
      <c r="B314" s="416" t="s">
        <v>1308</v>
      </c>
    </row>
    <row r="316" spans="1:5" ht="22.5" customHeight="1" x14ac:dyDescent="0.2">
      <c r="A316" s="410" t="s">
        <v>415</v>
      </c>
      <c r="B316" s="415" t="s">
        <v>415</v>
      </c>
      <c r="C316" s="415" t="s">
        <v>47</v>
      </c>
      <c r="D316" s="415" t="s">
        <v>4908</v>
      </c>
      <c r="E316" s="426" t="s">
        <v>149</v>
      </c>
    </row>
    <row r="317" spans="1:5" ht="12.75" customHeight="1" x14ac:dyDescent="0.2">
      <c r="A317" s="410" t="s">
        <v>4376</v>
      </c>
      <c r="B317" s="416" t="s">
        <v>4943</v>
      </c>
      <c r="D317" s="416" t="s">
        <v>2120</v>
      </c>
    </row>
    <row r="318" spans="1:5" ht="12.75" customHeight="1" x14ac:dyDescent="0.2">
      <c r="A318" s="410" t="s">
        <v>5140</v>
      </c>
      <c r="B318" s="416" t="s">
        <v>5804</v>
      </c>
    </row>
    <row r="320" spans="1:5" ht="12.75" customHeight="1" x14ac:dyDescent="0.2">
      <c r="A320" s="410" t="s">
        <v>5686</v>
      </c>
      <c r="B320" s="415" t="s">
        <v>1202</v>
      </c>
      <c r="C320" s="415" t="s">
        <v>47</v>
      </c>
      <c r="D320" s="415" t="s">
        <v>330</v>
      </c>
      <c r="E320" s="426" t="s">
        <v>1901</v>
      </c>
    </row>
    <row r="321" spans="1:5" ht="12.75" customHeight="1" x14ac:dyDescent="0.2">
      <c r="A321" s="410" t="s">
        <v>893</v>
      </c>
      <c r="B321" s="416" t="s">
        <v>5600</v>
      </c>
      <c r="D321" s="416" t="s">
        <v>1202</v>
      </c>
    </row>
    <row r="322" spans="1:5" ht="12.75" customHeight="1" x14ac:dyDescent="0.2">
      <c r="A322" s="410" t="s">
        <v>1588</v>
      </c>
      <c r="B322" s="416" t="s">
        <v>600</v>
      </c>
    </row>
    <row r="324" spans="1:5" ht="12.75" customHeight="1" x14ac:dyDescent="0.2">
      <c r="A324" s="410" t="s">
        <v>3612</v>
      </c>
      <c r="B324" s="415" t="s">
        <v>3612</v>
      </c>
      <c r="C324" s="415" t="s">
        <v>47</v>
      </c>
      <c r="D324" s="415" t="s">
        <v>4634</v>
      </c>
      <c r="E324" s="426" t="s">
        <v>2368</v>
      </c>
    </row>
    <row r="325" spans="1:5" ht="12.75" customHeight="1" x14ac:dyDescent="0.2">
      <c r="A325" s="410" t="s">
        <v>4226</v>
      </c>
      <c r="B325" s="416" t="s">
        <v>1021</v>
      </c>
      <c r="D325" s="416" t="s">
        <v>4634</v>
      </c>
    </row>
    <row r="326" spans="1:5" ht="12.75" customHeight="1" x14ac:dyDescent="0.2">
      <c r="A326" s="410" t="s">
        <v>939</v>
      </c>
      <c r="B326" s="416" t="s">
        <v>3201</v>
      </c>
    </row>
    <row r="327" spans="1:5" ht="12.75" customHeight="1" x14ac:dyDescent="0.2">
      <c r="A327" s="410" t="s">
        <v>2556</v>
      </c>
      <c r="B327" s="416" t="s">
        <v>4580</v>
      </c>
    </row>
    <row r="329" spans="1:5" ht="22.5" customHeight="1" x14ac:dyDescent="0.2">
      <c r="A329" s="410" t="s">
        <v>262</v>
      </c>
      <c r="B329" s="415" t="s">
        <v>4741</v>
      </c>
      <c r="C329" s="415" t="s">
        <v>47</v>
      </c>
      <c r="D329" s="415" t="s">
        <v>4741</v>
      </c>
      <c r="E329" s="426" t="s">
        <v>2116</v>
      </c>
    </row>
    <row r="330" spans="1:5" ht="12.75" customHeight="1" x14ac:dyDescent="0.2">
      <c r="A330" s="410" t="s">
        <v>3975</v>
      </c>
      <c r="B330" s="416" t="s">
        <v>1825</v>
      </c>
      <c r="D330" s="416" t="s">
        <v>4388</v>
      </c>
    </row>
    <row r="331" spans="1:5" ht="12.75" customHeight="1" x14ac:dyDescent="0.2">
      <c r="A331" s="410" t="s">
        <v>5011</v>
      </c>
      <c r="B331" s="416" t="s">
        <v>1171</v>
      </c>
    </row>
    <row r="332" spans="1:5" ht="12.75" customHeight="1" x14ac:dyDescent="0.2">
      <c r="A332" s="410" t="s">
        <v>162</v>
      </c>
      <c r="B332" s="416" t="s">
        <v>1411</v>
      </c>
    </row>
    <row r="334" spans="1:5" ht="33.75" customHeight="1" x14ac:dyDescent="0.2">
      <c r="A334" s="410" t="s">
        <v>466</v>
      </c>
      <c r="B334" s="415" t="s">
        <v>466</v>
      </c>
      <c r="C334" s="415" t="s">
        <v>47</v>
      </c>
      <c r="D334" s="415" t="s">
        <v>3824</v>
      </c>
      <c r="E334" s="426" t="s">
        <v>4293</v>
      </c>
    </row>
    <row r="335" spans="1:5" ht="12.75" customHeight="1" x14ac:dyDescent="0.2">
      <c r="A335" s="410" t="s">
        <v>518</v>
      </c>
      <c r="B335" s="416" t="s">
        <v>1560</v>
      </c>
      <c r="D335" s="416" t="s">
        <v>2438</v>
      </c>
    </row>
    <row r="336" spans="1:5" ht="12.75" customHeight="1" x14ac:dyDescent="0.2">
      <c r="A336" s="410" t="s">
        <v>3570</v>
      </c>
      <c r="B336" s="416" t="s">
        <v>2402</v>
      </c>
    </row>
    <row r="337" spans="1:5" ht="12.75" customHeight="1" x14ac:dyDescent="0.2">
      <c r="A337" s="410" t="s">
        <v>681</v>
      </c>
      <c r="B337" s="416" t="s">
        <v>2108</v>
      </c>
    </row>
    <row r="338" spans="1:5" ht="12.75" customHeight="1" x14ac:dyDescent="0.2">
      <c r="A338" s="410" t="s">
        <v>3107</v>
      </c>
      <c r="B338" s="416" t="s">
        <v>758</v>
      </c>
    </row>
    <row r="340" spans="1:5" ht="45.75" customHeight="1" x14ac:dyDescent="0.2">
      <c r="A340" s="410" t="s">
        <v>5805</v>
      </c>
      <c r="B340" s="415" t="s">
        <v>3269</v>
      </c>
      <c r="C340" s="415" t="s">
        <v>47</v>
      </c>
      <c r="D340" s="415" t="s">
        <v>3269</v>
      </c>
      <c r="E340" s="426" t="s">
        <v>5871</v>
      </c>
    </row>
    <row r="341" spans="1:5" ht="12.75" customHeight="1" x14ac:dyDescent="0.2">
      <c r="A341" s="410" t="s">
        <v>4075</v>
      </c>
      <c r="B341" s="416" t="s">
        <v>4323</v>
      </c>
      <c r="D341" s="416" t="s">
        <v>3269</v>
      </c>
    </row>
    <row r="342" spans="1:5" ht="12.75" customHeight="1" x14ac:dyDescent="0.2">
      <c r="A342" s="410" t="s">
        <v>900</v>
      </c>
      <c r="B342" s="416" t="s">
        <v>3528</v>
      </c>
    </row>
    <row r="344" spans="1:5" ht="12.75" customHeight="1" x14ac:dyDescent="0.2">
      <c r="A344" s="410" t="s">
        <v>19</v>
      </c>
      <c r="B344" s="415" t="s">
        <v>19</v>
      </c>
      <c r="C344" s="415" t="s">
        <v>47</v>
      </c>
      <c r="D344" s="415" t="s">
        <v>19</v>
      </c>
      <c r="E344" s="426"/>
    </row>
    <row r="345" spans="1:5" ht="12.75" customHeight="1" x14ac:dyDescent="0.2">
      <c r="A345" s="410" t="s">
        <v>271</v>
      </c>
      <c r="B345" s="416" t="s">
        <v>4929</v>
      </c>
      <c r="D345" s="416" t="s">
        <v>4151</v>
      </c>
    </row>
    <row r="346" spans="1:5" ht="12.75" customHeight="1" x14ac:dyDescent="0.2">
      <c r="A346" s="410" t="s">
        <v>3340</v>
      </c>
      <c r="B346" s="416" t="s">
        <v>5781</v>
      </c>
    </row>
    <row r="348" spans="1:5" ht="12.75" customHeight="1" x14ac:dyDescent="0.2">
      <c r="A348" s="410" t="s">
        <v>1830</v>
      </c>
      <c r="B348" s="415" t="s">
        <v>1830</v>
      </c>
      <c r="C348" s="415" t="s">
        <v>47</v>
      </c>
      <c r="D348" s="415" t="s">
        <v>1830</v>
      </c>
      <c r="E348" s="426" t="s">
        <v>1007</v>
      </c>
    </row>
    <row r="349" spans="1:5" ht="12.75" customHeight="1" x14ac:dyDescent="0.2">
      <c r="A349" s="410" t="s">
        <v>3146</v>
      </c>
      <c r="B349" s="416" t="s">
        <v>4127</v>
      </c>
      <c r="D349" s="416" t="s">
        <v>3601</v>
      </c>
    </row>
    <row r="350" spans="1:5" ht="12.75" customHeight="1" x14ac:dyDescent="0.2">
      <c r="A350" s="410" t="s">
        <v>3429</v>
      </c>
      <c r="B350" s="416" t="s">
        <v>3500</v>
      </c>
    </row>
    <row r="352" spans="1:5" ht="12.75" customHeight="1" x14ac:dyDescent="0.2">
      <c r="A352" s="410" t="s">
        <v>1398</v>
      </c>
      <c r="B352" s="415" t="s">
        <v>1642</v>
      </c>
      <c r="C352" s="415" t="s">
        <v>47</v>
      </c>
      <c r="D352" s="415" t="s">
        <v>352</v>
      </c>
      <c r="E352" s="426" t="s">
        <v>2932</v>
      </c>
    </row>
    <row r="353" spans="1:5" ht="12.75" customHeight="1" x14ac:dyDescent="0.2">
      <c r="A353" s="410" t="s">
        <v>4676</v>
      </c>
      <c r="B353" s="416" t="s">
        <v>5684</v>
      </c>
      <c r="D353" s="416" t="s">
        <v>5802</v>
      </c>
    </row>
    <row r="355" spans="1:5" ht="22.5" customHeight="1" x14ac:dyDescent="0.2">
      <c r="A355" s="410" t="s">
        <v>2117</v>
      </c>
      <c r="B355" s="415" t="s">
        <v>4631</v>
      </c>
      <c r="C355" s="415" t="s">
        <v>47</v>
      </c>
      <c r="D355" s="415" t="s">
        <v>4631</v>
      </c>
      <c r="E355" s="426" t="s">
        <v>2134</v>
      </c>
    </row>
    <row r="356" spans="1:5" ht="12.75" customHeight="1" x14ac:dyDescent="0.2">
      <c r="A356" s="410" t="s">
        <v>186</v>
      </c>
      <c r="B356" s="416" t="s">
        <v>973</v>
      </c>
      <c r="D356" s="416" t="s">
        <v>4631</v>
      </c>
    </row>
    <row r="357" spans="1:5" ht="12.75" customHeight="1" x14ac:dyDescent="0.2">
      <c r="A357" s="410" t="s">
        <v>1224</v>
      </c>
      <c r="B357" s="416" t="s">
        <v>4501</v>
      </c>
    </row>
    <row r="358" spans="1:5" ht="12.75" customHeight="1" x14ac:dyDescent="0.2">
      <c r="A358" s="410" t="s">
        <v>5564</v>
      </c>
      <c r="B358" s="416" t="s">
        <v>1479</v>
      </c>
    </row>
    <row r="360" spans="1:5" ht="12.75" customHeight="1" x14ac:dyDescent="0.2">
      <c r="A360" s="410" t="s">
        <v>5368</v>
      </c>
      <c r="B360" s="415" t="s">
        <v>5368</v>
      </c>
      <c r="C360" s="415" t="s">
        <v>47</v>
      </c>
      <c r="D360" s="415" t="s">
        <v>5368</v>
      </c>
      <c r="E360" s="426" t="s">
        <v>2823</v>
      </c>
    </row>
    <row r="361" spans="1:5" ht="12.75" customHeight="1" x14ac:dyDescent="0.2">
      <c r="A361" s="410" t="s">
        <v>1653</v>
      </c>
      <c r="B361" s="416" t="s">
        <v>5052</v>
      </c>
      <c r="C361" s="416" t="s">
        <v>2344</v>
      </c>
      <c r="D361" s="416" t="s">
        <v>4299</v>
      </c>
    </row>
    <row r="362" spans="1:5" ht="12.75" customHeight="1" x14ac:dyDescent="0.2">
      <c r="A362" s="410" t="s">
        <v>5381</v>
      </c>
      <c r="B362" s="417" t="s">
        <v>883</v>
      </c>
      <c r="D362" s="417" t="s">
        <v>3965</v>
      </c>
    </row>
    <row r="363" spans="1:5" ht="12.75" customHeight="1" x14ac:dyDescent="0.2">
      <c r="A363" s="410" t="s">
        <v>3162</v>
      </c>
      <c r="B363" s="417" t="s">
        <v>145</v>
      </c>
    </row>
    <row r="364" spans="1:5" ht="12.75" customHeight="1" x14ac:dyDescent="0.2">
      <c r="A364" s="410" t="s">
        <v>3624</v>
      </c>
      <c r="B364" s="416" t="s">
        <v>444</v>
      </c>
      <c r="C364" s="416" t="s">
        <v>2344</v>
      </c>
    </row>
    <row r="365" spans="1:5" ht="12.75" customHeight="1" x14ac:dyDescent="0.2">
      <c r="A365" s="410" t="s">
        <v>2743</v>
      </c>
      <c r="B365" s="417" t="s">
        <v>5376</v>
      </c>
    </row>
    <row r="366" spans="1:5" ht="12.75" customHeight="1" x14ac:dyDescent="0.2">
      <c r="A366" s="410" t="s">
        <v>1499</v>
      </c>
      <c r="B366" s="417" t="s">
        <v>3580</v>
      </c>
    </row>
    <row r="368" spans="1:5" ht="12.75" customHeight="1" x14ac:dyDescent="0.2">
      <c r="A368" s="410" t="s">
        <v>2800</v>
      </c>
      <c r="B368" s="415" t="s">
        <v>5093</v>
      </c>
      <c r="C368" s="415" t="s">
        <v>47</v>
      </c>
      <c r="D368" s="415" t="s">
        <v>3952</v>
      </c>
      <c r="E368" s="426" t="s">
        <v>569</v>
      </c>
    </row>
    <row r="369" spans="1:5" ht="12.75" customHeight="1" x14ac:dyDescent="0.2">
      <c r="A369" s="410" t="s">
        <v>5461</v>
      </c>
      <c r="B369" s="416" t="s">
        <v>1882</v>
      </c>
      <c r="D369" s="416" t="s">
        <v>4757</v>
      </c>
    </row>
    <row r="370" spans="1:5" ht="12.75" customHeight="1" x14ac:dyDescent="0.2">
      <c r="A370" s="410" t="s">
        <v>1966</v>
      </c>
      <c r="B370" s="416" t="s">
        <v>3736</v>
      </c>
    </row>
    <row r="372" spans="1:5" ht="12.75" customHeight="1" x14ac:dyDescent="0.2">
      <c r="A372" s="410" t="s">
        <v>1715</v>
      </c>
      <c r="B372" s="415" t="s">
        <v>1894</v>
      </c>
      <c r="C372" s="415" t="s">
        <v>47</v>
      </c>
      <c r="D372" s="415" t="s">
        <v>1147</v>
      </c>
      <c r="E372" s="426" t="s">
        <v>305</v>
      </c>
    </row>
    <row r="373" spans="1:5" ht="12.75" customHeight="1" x14ac:dyDescent="0.2">
      <c r="A373" s="410" t="s">
        <v>3910</v>
      </c>
      <c r="B373" s="416" t="s">
        <v>5360</v>
      </c>
      <c r="D373" s="416" t="s">
        <v>3165</v>
      </c>
    </row>
    <row r="374" spans="1:5" ht="12.75" customHeight="1" x14ac:dyDescent="0.2">
      <c r="A374" s="410" t="s">
        <v>4731</v>
      </c>
      <c r="B374" s="416" t="s">
        <v>4735</v>
      </c>
    </row>
    <row r="375" spans="1:5" ht="12.75" customHeight="1" x14ac:dyDescent="0.2">
      <c r="A375" s="410" t="s">
        <v>1565</v>
      </c>
      <c r="B375" s="416" t="s">
        <v>578</v>
      </c>
    </row>
    <row r="376" spans="1:5" ht="12.75" customHeight="1" x14ac:dyDescent="0.2">
      <c r="A376" s="410" t="s">
        <v>1298</v>
      </c>
      <c r="B376" s="416" t="s">
        <v>1852</v>
      </c>
    </row>
    <row r="377" spans="1:5" ht="12.75" customHeight="1" x14ac:dyDescent="0.2">
      <c r="A377" s="410" t="s">
        <v>1150</v>
      </c>
      <c r="B377" s="416" t="s">
        <v>1476</v>
      </c>
    </row>
    <row r="378" spans="1:5" ht="12.75" customHeight="1" x14ac:dyDescent="0.2">
      <c r="A378" s="410" t="s">
        <v>4132</v>
      </c>
      <c r="B378" s="416" t="s">
        <v>4409</v>
      </c>
    </row>
    <row r="380" spans="1:5" ht="12.75" customHeight="1" x14ac:dyDescent="0.2">
      <c r="A380" s="410" t="s">
        <v>5752</v>
      </c>
      <c r="B380" s="415" t="s">
        <v>3230</v>
      </c>
      <c r="C380" s="415" t="s">
        <v>47</v>
      </c>
      <c r="D380" s="415" t="s">
        <v>5708</v>
      </c>
      <c r="E380" s="426"/>
    </row>
    <row r="381" spans="1:5" ht="12.75" customHeight="1" x14ac:dyDescent="0.2">
      <c r="A381" s="410" t="s">
        <v>637</v>
      </c>
      <c r="B381" s="416" t="s">
        <v>3485</v>
      </c>
      <c r="D381" s="416" t="s">
        <v>2488</v>
      </c>
    </row>
    <row r="382" spans="1:5" ht="12.75" customHeight="1" x14ac:dyDescent="0.2">
      <c r="A382" s="410" t="s">
        <v>2414</v>
      </c>
      <c r="B382" s="416" t="s">
        <v>588</v>
      </c>
    </row>
    <row r="384" spans="1:5" ht="22.5" customHeight="1" x14ac:dyDescent="0.2">
      <c r="A384" s="410" t="s">
        <v>5549</v>
      </c>
      <c r="B384" s="415" t="s">
        <v>4088</v>
      </c>
      <c r="C384" s="415" t="s">
        <v>47</v>
      </c>
      <c r="D384" s="415" t="s">
        <v>1911</v>
      </c>
      <c r="E384" s="426" t="s">
        <v>4306</v>
      </c>
    </row>
    <row r="385" spans="1:5" ht="12.75" customHeight="1" x14ac:dyDescent="0.2">
      <c r="A385" s="410" t="s">
        <v>5842</v>
      </c>
      <c r="B385" s="416" t="s">
        <v>2146</v>
      </c>
      <c r="D385" s="416" t="s">
        <v>1903</v>
      </c>
    </row>
    <row r="386" spans="1:5" ht="12.75" customHeight="1" x14ac:dyDescent="0.2">
      <c r="A386" s="410" t="s">
        <v>3349</v>
      </c>
      <c r="B386" s="416" t="s">
        <v>2400</v>
      </c>
    </row>
    <row r="388" spans="1:5" ht="22.5" customHeight="1" x14ac:dyDescent="0.2">
      <c r="A388" s="410" t="s">
        <v>4038</v>
      </c>
      <c r="B388" s="415" t="s">
        <v>4412</v>
      </c>
      <c r="C388" s="415" t="s">
        <v>47</v>
      </c>
      <c r="D388" s="415" t="s">
        <v>4412</v>
      </c>
      <c r="E388" s="426" t="s">
        <v>1338</v>
      </c>
    </row>
    <row r="389" spans="1:5" ht="12.75" customHeight="1" x14ac:dyDescent="0.2">
      <c r="A389" s="410" t="s">
        <v>750</v>
      </c>
      <c r="B389" s="416" t="s">
        <v>2566</v>
      </c>
      <c r="D389" s="416" t="s">
        <v>3108</v>
      </c>
    </row>
    <row r="390" spans="1:5" ht="12.75" customHeight="1" x14ac:dyDescent="0.2">
      <c r="A390" s="410" t="s">
        <v>752</v>
      </c>
      <c r="B390" s="416" t="s">
        <v>3852</v>
      </c>
    </row>
    <row r="392" spans="1:5" ht="12.75" customHeight="1" x14ac:dyDescent="0.2">
      <c r="A392" s="410" t="s">
        <v>2312</v>
      </c>
      <c r="B392" s="415" t="s">
        <v>2519</v>
      </c>
      <c r="C392" s="415" t="s">
        <v>47</v>
      </c>
      <c r="D392" s="415" t="s">
        <v>5713</v>
      </c>
      <c r="E392" s="426" t="s">
        <v>4237</v>
      </c>
    </row>
    <row r="393" spans="1:5" ht="12.75" customHeight="1" x14ac:dyDescent="0.2">
      <c r="A393" s="410" t="s">
        <v>4527</v>
      </c>
      <c r="B393" s="416" t="s">
        <v>8</v>
      </c>
      <c r="D393" s="416" t="s">
        <v>4830</v>
      </c>
    </row>
    <row r="394" spans="1:5" ht="12.75" customHeight="1" x14ac:dyDescent="0.2">
      <c r="A394" s="410" t="s">
        <v>781</v>
      </c>
      <c r="B394" s="416" t="s">
        <v>2805</v>
      </c>
    </row>
    <row r="396" spans="1:5" ht="12.75" customHeight="1" x14ac:dyDescent="0.2">
      <c r="A396" s="410" t="s">
        <v>1558</v>
      </c>
      <c r="B396" s="415" t="s">
        <v>2702</v>
      </c>
      <c r="C396" s="415" t="s">
        <v>47</v>
      </c>
      <c r="D396" s="415" t="s">
        <v>1558</v>
      </c>
      <c r="E396" s="426" t="s">
        <v>653</v>
      </c>
    </row>
    <row r="397" spans="1:5" ht="12.75" customHeight="1" x14ac:dyDescent="0.2">
      <c r="A397" s="410" t="s">
        <v>1570</v>
      </c>
      <c r="B397" s="416" t="s">
        <v>337</v>
      </c>
      <c r="D397" s="416" t="s">
        <v>1558</v>
      </c>
    </row>
    <row r="398" spans="1:5" ht="12.75" customHeight="1" x14ac:dyDescent="0.2">
      <c r="A398" s="410" t="s">
        <v>2973</v>
      </c>
      <c r="B398" s="416" t="s">
        <v>336</v>
      </c>
    </row>
    <row r="400" spans="1:5" ht="22.5" customHeight="1" x14ac:dyDescent="0.2">
      <c r="A400" s="410" t="s">
        <v>2489</v>
      </c>
      <c r="B400" s="415" t="s">
        <v>4291</v>
      </c>
      <c r="C400" s="415" t="s">
        <v>47</v>
      </c>
      <c r="D400" s="415" t="s">
        <v>5161</v>
      </c>
      <c r="E400" s="426" t="s">
        <v>1387</v>
      </c>
    </row>
    <row r="401" spans="1:5" ht="12.75" customHeight="1" x14ac:dyDescent="0.2">
      <c r="A401" s="410" t="s">
        <v>5757</v>
      </c>
      <c r="B401" s="416" t="s">
        <v>1416</v>
      </c>
      <c r="D401" s="416" t="s">
        <v>5161</v>
      </c>
    </row>
    <row r="402" spans="1:5" ht="12.75" customHeight="1" x14ac:dyDescent="0.2">
      <c r="A402" s="410" t="s">
        <v>3489</v>
      </c>
      <c r="B402" s="416" t="s">
        <v>5163</v>
      </c>
    </row>
    <row r="403" spans="1:5" ht="12.75" customHeight="1" x14ac:dyDescent="0.2">
      <c r="A403" s="410" t="s">
        <v>156</v>
      </c>
      <c r="B403" s="416" t="s">
        <v>1186</v>
      </c>
    </row>
    <row r="404" spans="1:5" ht="12.75" customHeight="1" x14ac:dyDescent="0.2">
      <c r="A404" s="410" t="s">
        <v>3865</v>
      </c>
      <c r="B404" s="416" t="s">
        <v>185</v>
      </c>
    </row>
    <row r="405" spans="1:5" ht="12.75" customHeight="1" x14ac:dyDescent="0.2">
      <c r="A405" s="410" t="s">
        <v>3025</v>
      </c>
      <c r="B405" s="416" t="s">
        <v>2478</v>
      </c>
    </row>
    <row r="407" spans="1:5" ht="12.75" customHeight="1" x14ac:dyDescent="0.2">
      <c r="A407" s="410" t="s">
        <v>4508</v>
      </c>
      <c r="B407" s="415" t="s">
        <v>3859</v>
      </c>
      <c r="C407" s="415" t="s">
        <v>47</v>
      </c>
      <c r="D407" s="415" t="s">
        <v>5859</v>
      </c>
      <c r="E407" s="426" t="s">
        <v>3784</v>
      </c>
    </row>
    <row r="408" spans="1:5" ht="12.75" customHeight="1" x14ac:dyDescent="0.2">
      <c r="A408" s="410" t="s">
        <v>3737</v>
      </c>
      <c r="B408" s="416" t="s">
        <v>5252</v>
      </c>
      <c r="D408" s="416" t="s">
        <v>234</v>
      </c>
    </row>
    <row r="409" spans="1:5" ht="12.75" customHeight="1" x14ac:dyDescent="0.2">
      <c r="A409" s="410" t="s">
        <v>1484</v>
      </c>
      <c r="B409" s="416" t="s">
        <v>4728</v>
      </c>
    </row>
    <row r="411" spans="1:5" ht="12.75" customHeight="1" x14ac:dyDescent="0.2">
      <c r="A411" t="s">
        <v>3402</v>
      </c>
      <c r="B411" t="s">
        <v>3402</v>
      </c>
      <c r="C411" t="s">
        <v>3402</v>
      </c>
      <c r="D411" t="s">
        <v>3402</v>
      </c>
      <c r="E411" s="427" t="s">
        <v>3402</v>
      </c>
    </row>
  </sheetData>
  <mergeCells count="2">
    <mergeCell ref="A1:C1"/>
    <mergeCell ref="A2:C2"/>
  </mergeCells>
  <pageMargins left="0.25" right="0.25" top="0.5" bottom="0.5" header="0.5" footer="0.5"/>
  <pageSetup paperSize="9" fitToHeight="32767" orientation="landscape" horizontalDpi="300" verticalDpi="300"/>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79"/>
  <sheetViews>
    <sheetView zoomScaleNormal="100" workbookViewId="0"/>
  </sheetViews>
  <sheetFormatPr defaultRowHeight="12.75" customHeight="1" x14ac:dyDescent="0.2"/>
  <sheetData>
    <row r="1" spans="1:6" ht="12.75" customHeight="1" x14ac:dyDescent="0.2">
      <c r="A1" s="418">
        <f>Sales!R109</f>
        <v>0</v>
      </c>
      <c r="B1" s="418">
        <f>Sales!S109</f>
        <v>0</v>
      </c>
      <c r="C1" s="418">
        <f>Sales!T109</f>
        <v>0</v>
      </c>
      <c r="D1" s="418">
        <f>Sales!V109</f>
        <v>0</v>
      </c>
      <c r="E1" s="418">
        <f>Sales!W109</f>
        <v>0</v>
      </c>
      <c r="F1" s="418">
        <f>Sales!X109</f>
        <v>0</v>
      </c>
    </row>
    <row r="2" spans="1:6" ht="12.75" customHeight="1" x14ac:dyDescent="0.2">
      <c r="A2" s="418">
        <f>Sales!R122</f>
        <v>0</v>
      </c>
      <c r="B2" s="418">
        <f>Sales!S122</f>
        <v>0</v>
      </c>
      <c r="C2" s="418">
        <f>Sales!T122</f>
        <v>0</v>
      </c>
      <c r="D2" s="418">
        <f>Sales!V122</f>
        <v>0</v>
      </c>
      <c r="E2" s="418">
        <f>Sales!W122</f>
        <v>0</v>
      </c>
      <c r="F2" s="418">
        <f>Sales!X122</f>
        <v>0</v>
      </c>
    </row>
    <row r="3" spans="1:6" ht="12.75" customHeight="1" x14ac:dyDescent="0.2">
      <c r="A3" s="418">
        <f>Sales!R135</f>
        <v>0</v>
      </c>
      <c r="B3" s="418">
        <f>Sales!S135</f>
        <v>0</v>
      </c>
      <c r="C3" s="418">
        <f>Sales!T135</f>
        <v>0</v>
      </c>
      <c r="D3" s="418">
        <f>Sales!V135</f>
        <v>0</v>
      </c>
      <c r="E3" s="418">
        <f>Sales!W135</f>
        <v>0</v>
      </c>
      <c r="F3" s="418">
        <f>Sales!X135</f>
        <v>0</v>
      </c>
    </row>
    <row r="4" spans="1:6" ht="12.75" customHeight="1" x14ac:dyDescent="0.2">
      <c r="A4" s="418">
        <f>Sales!R110</f>
        <v>0</v>
      </c>
      <c r="B4" s="418">
        <f>Sales!S110</f>
        <v>0</v>
      </c>
      <c r="C4" s="418">
        <f>Sales!T110</f>
        <v>0</v>
      </c>
      <c r="D4" s="418">
        <f>Sales!V110</f>
        <v>0</v>
      </c>
      <c r="E4" s="418">
        <f>Sales!W110</f>
        <v>0</v>
      </c>
      <c r="F4" s="418">
        <f>Sales!X110</f>
        <v>0</v>
      </c>
    </row>
    <row r="5" spans="1:6" ht="12.75" customHeight="1" x14ac:dyDescent="0.2">
      <c r="A5" s="418">
        <f>Sales!R123</f>
        <v>0</v>
      </c>
      <c r="B5" s="418">
        <f>Sales!S123</f>
        <v>0</v>
      </c>
      <c r="C5" s="418">
        <f>Sales!T123</f>
        <v>0</v>
      </c>
      <c r="D5" s="418">
        <f>Sales!V123</f>
        <v>0</v>
      </c>
      <c r="E5" s="418">
        <f>Sales!W123</f>
        <v>0</v>
      </c>
      <c r="F5" s="418">
        <f>Sales!X123</f>
        <v>0</v>
      </c>
    </row>
    <row r="6" spans="1:6" ht="12.75" customHeight="1" x14ac:dyDescent="0.2">
      <c r="A6" s="418">
        <f>Sales!R136</f>
        <v>0</v>
      </c>
      <c r="B6" s="418">
        <f>Sales!S136</f>
        <v>0</v>
      </c>
      <c r="C6" s="418">
        <f>Sales!T136</f>
        <v>0</v>
      </c>
      <c r="D6" s="418">
        <f>Sales!V136</f>
        <v>0</v>
      </c>
      <c r="E6" s="418">
        <f>Sales!W136</f>
        <v>0</v>
      </c>
      <c r="F6" s="418">
        <f>Sales!X136</f>
        <v>0</v>
      </c>
    </row>
    <row r="7" spans="1:6" ht="12.75" customHeight="1" x14ac:dyDescent="0.2">
      <c r="A7" s="418">
        <f>Sales!R75</f>
        <v>0</v>
      </c>
      <c r="B7" s="418">
        <f>Sales!S75</f>
        <v>0</v>
      </c>
      <c r="C7" s="418">
        <f>Sales!T75</f>
        <v>0</v>
      </c>
      <c r="D7" s="418">
        <f>Sales!V75</f>
        <v>0</v>
      </c>
      <c r="E7" s="418">
        <f>Sales!W75</f>
        <v>0</v>
      </c>
      <c r="F7" s="418">
        <f>Sales!X75</f>
        <v>0</v>
      </c>
    </row>
    <row r="8" spans="1:6" ht="12.75" customHeight="1" x14ac:dyDescent="0.2">
      <c r="A8" s="418">
        <f>Sales!R79</f>
        <v>0</v>
      </c>
      <c r="B8" s="418">
        <f>Sales!S79</f>
        <v>0</v>
      </c>
      <c r="C8" s="418">
        <f>Sales!T79</f>
        <v>0</v>
      </c>
      <c r="D8" s="418">
        <f>Sales!V79</f>
        <v>0</v>
      </c>
      <c r="E8" s="418">
        <f>Sales!W79</f>
        <v>0</v>
      </c>
      <c r="F8" s="418">
        <f>Sales!X79</f>
        <v>0</v>
      </c>
    </row>
    <row r="9" spans="1:6" ht="12.75" customHeight="1" x14ac:dyDescent="0.2">
      <c r="A9" s="418">
        <f>Sales!R83</f>
        <v>0</v>
      </c>
      <c r="B9" s="418">
        <f>Sales!S83</f>
        <v>0</v>
      </c>
      <c r="C9" s="418">
        <f>Sales!T83</f>
        <v>0</v>
      </c>
      <c r="D9" s="418">
        <f>Sales!V83</f>
        <v>0</v>
      </c>
      <c r="E9" s="418">
        <f>Sales!W83</f>
        <v>0</v>
      </c>
      <c r="F9" s="418">
        <f>Sales!X83</f>
        <v>0</v>
      </c>
    </row>
    <row r="10" spans="1:6" ht="12.75" customHeight="1" x14ac:dyDescent="0.2">
      <c r="A10" s="418">
        <f>Sales!R113</f>
        <v>0</v>
      </c>
      <c r="B10" s="418">
        <f>Sales!S113</f>
        <v>0</v>
      </c>
      <c r="C10" s="418">
        <f>Sales!T113</f>
        <v>0</v>
      </c>
      <c r="D10" s="418">
        <f>Sales!V113</f>
        <v>0</v>
      </c>
      <c r="E10" s="418">
        <f>Sales!W113</f>
        <v>0</v>
      </c>
      <c r="F10" s="418">
        <f>Sales!X113</f>
        <v>0</v>
      </c>
    </row>
    <row r="11" spans="1:6" ht="12.75" customHeight="1" x14ac:dyDescent="0.2">
      <c r="A11" s="418">
        <f>Sales!R126</f>
        <v>0</v>
      </c>
      <c r="B11" s="418">
        <f>Sales!S126</f>
        <v>0</v>
      </c>
      <c r="C11" s="418">
        <f>Sales!T126</f>
        <v>0</v>
      </c>
      <c r="D11" s="418">
        <f>Sales!V126</f>
        <v>0</v>
      </c>
      <c r="E11" s="418">
        <f>Sales!W126</f>
        <v>0</v>
      </c>
      <c r="F11" s="418">
        <f>Sales!X126</f>
        <v>0</v>
      </c>
    </row>
    <row r="12" spans="1:6" ht="12.75" customHeight="1" x14ac:dyDescent="0.2">
      <c r="A12" s="418">
        <f>Sales!R139</f>
        <v>0</v>
      </c>
      <c r="B12" s="418">
        <f>Sales!S139</f>
        <v>0</v>
      </c>
      <c r="C12" s="418">
        <f>Sales!T139</f>
        <v>0</v>
      </c>
      <c r="D12" s="418">
        <f>Sales!V139</f>
        <v>0</v>
      </c>
      <c r="E12" s="418">
        <f>Sales!W139</f>
        <v>0</v>
      </c>
      <c r="F12" s="418">
        <f>Sales!X139</f>
        <v>0</v>
      </c>
    </row>
    <row r="13" spans="1:6" ht="12.75" customHeight="1" x14ac:dyDescent="0.2">
      <c r="A13" s="418">
        <f>Sales!R114</f>
        <v>0</v>
      </c>
      <c r="B13" s="418">
        <f>Sales!S114</f>
        <v>0</v>
      </c>
      <c r="C13" s="418">
        <f>Sales!T114</f>
        <v>0</v>
      </c>
      <c r="D13" s="418">
        <f>Sales!V114</f>
        <v>0</v>
      </c>
      <c r="E13" s="418">
        <f>Sales!W114</f>
        <v>0</v>
      </c>
      <c r="F13" s="418">
        <f>Sales!X114</f>
        <v>0</v>
      </c>
    </row>
    <row r="14" spans="1:6" ht="12.75" customHeight="1" x14ac:dyDescent="0.2">
      <c r="A14" s="418">
        <f>Sales!R127</f>
        <v>0</v>
      </c>
      <c r="B14" s="418">
        <f>Sales!S127</f>
        <v>0</v>
      </c>
      <c r="C14" s="418">
        <f>Sales!T127</f>
        <v>0</v>
      </c>
      <c r="D14" s="418">
        <f>Sales!V127</f>
        <v>0</v>
      </c>
      <c r="E14" s="418">
        <f>Sales!W127</f>
        <v>0</v>
      </c>
      <c r="F14" s="418">
        <f>Sales!X127</f>
        <v>0</v>
      </c>
    </row>
    <row r="15" spans="1:6" ht="12.75" customHeight="1" x14ac:dyDescent="0.2">
      <c r="A15" s="418">
        <f>Sales!R140</f>
        <v>0</v>
      </c>
      <c r="B15" s="418">
        <f>Sales!S140</f>
        <v>0</v>
      </c>
      <c r="C15" s="418">
        <f>Sales!T140</f>
        <v>0</v>
      </c>
      <c r="D15" s="418">
        <f>Sales!V140</f>
        <v>0</v>
      </c>
      <c r="E15" s="418">
        <f>Sales!W140</f>
        <v>0</v>
      </c>
      <c r="F15" s="418">
        <f>Sales!X140</f>
        <v>0</v>
      </c>
    </row>
    <row r="16" spans="1:6" ht="12.75" customHeight="1" x14ac:dyDescent="0.2">
      <c r="A16" s="418">
        <f>Sales!R76</f>
        <v>0</v>
      </c>
      <c r="B16" s="418">
        <f>Sales!S76</f>
        <v>0</v>
      </c>
      <c r="C16" s="418">
        <f>Sales!T76</f>
        <v>0</v>
      </c>
      <c r="D16" s="418">
        <f>Sales!V76</f>
        <v>0</v>
      </c>
      <c r="E16" s="418">
        <f>Sales!W76</f>
        <v>0</v>
      </c>
      <c r="F16" s="418">
        <f>Sales!X76</f>
        <v>0</v>
      </c>
    </row>
    <row r="17" spans="1:6" ht="12.75" customHeight="1" x14ac:dyDescent="0.2">
      <c r="A17" s="418">
        <f>Sales!R80</f>
        <v>0</v>
      </c>
      <c r="B17" s="418">
        <f>Sales!S80</f>
        <v>0</v>
      </c>
      <c r="C17" s="418">
        <f>Sales!T80</f>
        <v>0</v>
      </c>
      <c r="D17" s="418">
        <f>Sales!V80</f>
        <v>0</v>
      </c>
      <c r="E17" s="418">
        <f>Sales!W80</f>
        <v>0</v>
      </c>
      <c r="F17" s="418">
        <f>Sales!X80</f>
        <v>0</v>
      </c>
    </row>
    <row r="18" spans="1:6" ht="12.75" customHeight="1" x14ac:dyDescent="0.2">
      <c r="A18" s="418">
        <f>Sales!R84</f>
        <v>0</v>
      </c>
      <c r="B18" s="418">
        <f>Sales!S84</f>
        <v>0</v>
      </c>
      <c r="C18" s="418">
        <f>Sales!T84</f>
        <v>0</v>
      </c>
      <c r="D18" s="418">
        <f>Sales!V84</f>
        <v>0</v>
      </c>
      <c r="E18" s="418">
        <f>Sales!W84</f>
        <v>0</v>
      </c>
      <c r="F18" s="418">
        <f>Sales!X84</f>
        <v>0</v>
      </c>
    </row>
    <row r="19" spans="1:6" ht="12.75" customHeight="1" x14ac:dyDescent="0.2">
      <c r="A19" s="418">
        <f>Sales!R9</f>
        <v>0</v>
      </c>
      <c r="B19" s="418">
        <f>Sales!S9</f>
        <v>0</v>
      </c>
      <c r="C19" s="418">
        <f>Sales!T9</f>
        <v>0</v>
      </c>
      <c r="D19" s="418">
        <f>Sales!V9</f>
        <v>0</v>
      </c>
      <c r="E19" s="418">
        <f>Sales!W9</f>
        <v>0</v>
      </c>
      <c r="F19" s="418">
        <f>Sales!X9</f>
        <v>0</v>
      </c>
    </row>
    <row r="20" spans="1:6" ht="12.75" customHeight="1" x14ac:dyDescent="0.2">
      <c r="A20" s="418">
        <f>Sales!R10</f>
        <v>0</v>
      </c>
      <c r="B20" s="418">
        <f>Sales!S10</f>
        <v>0</v>
      </c>
      <c r="C20" s="418">
        <f>Sales!T10</f>
        <v>0</v>
      </c>
      <c r="D20" s="418">
        <f>Sales!V10</f>
        <v>0</v>
      </c>
      <c r="E20" s="418">
        <f>Sales!W10</f>
        <v>0</v>
      </c>
      <c r="F20" s="418">
        <f>Sales!X10</f>
        <v>0</v>
      </c>
    </row>
    <row r="21" spans="1:6" ht="12.75" customHeight="1" x14ac:dyDescent="0.2">
      <c r="A21" s="418">
        <f>Sales!R11</f>
        <v>0</v>
      </c>
      <c r="B21" s="418">
        <f>Sales!S11</f>
        <v>0</v>
      </c>
      <c r="C21" s="418">
        <f>Sales!T11</f>
        <v>0</v>
      </c>
      <c r="D21" s="418">
        <f>Sales!V11</f>
        <v>0</v>
      </c>
      <c r="E21" s="418">
        <f>Sales!W11</f>
        <v>0</v>
      </c>
      <c r="F21" s="418">
        <f>Sales!X11</f>
        <v>0</v>
      </c>
    </row>
    <row r="22" spans="1:6" ht="12.75" customHeight="1" x14ac:dyDescent="0.2">
      <c r="A22" s="418">
        <f>Sales!R42</f>
        <v>0</v>
      </c>
      <c r="B22" s="418">
        <f>Sales!S42</f>
        <v>0</v>
      </c>
      <c r="C22" s="418">
        <f>Sales!T42</f>
        <v>0</v>
      </c>
      <c r="D22" s="418">
        <f>Sales!V42</f>
        <v>0</v>
      </c>
      <c r="E22" s="418">
        <f>Sales!W42</f>
        <v>0</v>
      </c>
      <c r="F22" s="418">
        <f>Sales!X42</f>
        <v>0</v>
      </c>
    </row>
    <row r="23" spans="1:6" ht="12.75" customHeight="1" x14ac:dyDescent="0.2">
      <c r="A23" s="418">
        <f>Sales!R46</f>
        <v>0</v>
      </c>
      <c r="B23" s="418">
        <f>Sales!S46</f>
        <v>0</v>
      </c>
      <c r="C23" s="418">
        <f>Sales!T46</f>
        <v>0</v>
      </c>
      <c r="D23" s="418">
        <f>Sales!V46</f>
        <v>0</v>
      </c>
      <c r="E23" s="418">
        <f>Sales!W46</f>
        <v>0</v>
      </c>
      <c r="F23" s="418">
        <f>Sales!X46</f>
        <v>0</v>
      </c>
    </row>
    <row r="24" spans="1:6" ht="12.75" customHeight="1" x14ac:dyDescent="0.2">
      <c r="A24" s="418">
        <f>Sales!R50</f>
        <v>0</v>
      </c>
      <c r="B24" s="418">
        <f>Sales!S50</f>
        <v>0</v>
      </c>
      <c r="C24" s="418">
        <f>Sales!T50</f>
        <v>0</v>
      </c>
      <c r="D24" s="418">
        <f>Sales!V50</f>
        <v>0</v>
      </c>
      <c r="E24" s="418">
        <f>Sales!W50</f>
        <v>0</v>
      </c>
      <c r="F24" s="418">
        <f>Sales!X50</f>
        <v>0</v>
      </c>
    </row>
    <row r="25" spans="1:6" ht="12.75" customHeight="1" x14ac:dyDescent="0.2">
      <c r="A25" s="418">
        <f>Sales!R43</f>
        <v>0</v>
      </c>
      <c r="B25" s="418">
        <f>Sales!S43</f>
        <v>0</v>
      </c>
      <c r="C25" s="418">
        <f>Sales!T43</f>
        <v>0</v>
      </c>
      <c r="D25" s="418">
        <f>Sales!V43</f>
        <v>0</v>
      </c>
      <c r="E25" s="418">
        <f>Sales!W43</f>
        <v>0</v>
      </c>
      <c r="F25" s="418">
        <f>Sales!X43</f>
        <v>0</v>
      </c>
    </row>
    <row r="26" spans="1:6" ht="12.75" customHeight="1" x14ac:dyDescent="0.2">
      <c r="A26" s="418">
        <f>Sales!R47</f>
        <v>0</v>
      </c>
      <c r="B26" s="418">
        <f>Sales!S47</f>
        <v>0</v>
      </c>
      <c r="C26" s="418">
        <f>Sales!T47</f>
        <v>0</v>
      </c>
      <c r="D26" s="418">
        <f>Sales!V47</f>
        <v>0</v>
      </c>
      <c r="E26" s="418">
        <f>Sales!W47</f>
        <v>0</v>
      </c>
      <c r="F26" s="418">
        <f>Sales!X47</f>
        <v>0</v>
      </c>
    </row>
    <row r="27" spans="1:6" ht="12.75" customHeight="1" x14ac:dyDescent="0.2">
      <c r="A27" s="418">
        <f>Sales!R51</f>
        <v>0</v>
      </c>
      <c r="B27" s="418">
        <f>Sales!S51</f>
        <v>0</v>
      </c>
      <c r="C27" s="418">
        <f>Sales!T51</f>
        <v>0</v>
      </c>
      <c r="D27" s="418">
        <f>Sales!V51</f>
        <v>0</v>
      </c>
      <c r="E27" s="418">
        <f>Sales!W51</f>
        <v>0</v>
      </c>
      <c r="F27" s="418">
        <f>Sales!X51</f>
        <v>0</v>
      </c>
    </row>
    <row r="28" spans="1:6" ht="12.75" customHeight="1" x14ac:dyDescent="0.2">
      <c r="A28" s="419">
        <f>Sales!B278</f>
        <v>200</v>
      </c>
      <c r="B28" s="419">
        <f>Sales!B282</f>
        <v>200</v>
      </c>
    </row>
    <row r="29" spans="1:6" ht="12.75" customHeight="1" x14ac:dyDescent="0.2">
      <c r="A29" s="420" t="str">
        <f>Inputs!F13</f>
        <v>Practice 1</v>
      </c>
      <c r="B29" s="420" t="str">
        <f>Inputs!F13</f>
        <v>Practice 1</v>
      </c>
    </row>
    <row r="30" spans="1:6" ht="12.75" customHeight="1" x14ac:dyDescent="0.2">
      <c r="A30" s="419">
        <f>Sales!C278</f>
        <v>200</v>
      </c>
      <c r="B30" s="419">
        <f>Sales!C282</f>
        <v>200</v>
      </c>
    </row>
    <row r="31" spans="1:6" ht="12.75" customHeight="1" x14ac:dyDescent="0.2">
      <c r="A31" s="419">
        <f>Sales!D278</f>
        <v>200</v>
      </c>
      <c r="B31" s="419">
        <f>Sales!D282</f>
        <v>200</v>
      </c>
    </row>
    <row r="32" spans="1:6" ht="12.75" customHeight="1" x14ac:dyDescent="0.2">
      <c r="A32" s="419">
        <f>Sales!F278</f>
        <v>200</v>
      </c>
      <c r="B32" s="419">
        <f>Sales!F282</f>
        <v>200</v>
      </c>
    </row>
    <row r="33" spans="1:2" ht="12.75" customHeight="1" x14ac:dyDescent="0.2">
      <c r="A33" s="419">
        <f>Sales!G278</f>
        <v>200</v>
      </c>
      <c r="B33" s="419">
        <f>Sales!G282</f>
        <v>200</v>
      </c>
    </row>
    <row r="34" spans="1:2" ht="12.75" customHeight="1" x14ac:dyDescent="0.2">
      <c r="A34" s="419">
        <f>Sales!H278</f>
        <v>200</v>
      </c>
      <c r="B34" s="419">
        <f>Sales!H282</f>
        <v>200</v>
      </c>
    </row>
    <row r="35" spans="1:2" ht="12.75" customHeight="1" x14ac:dyDescent="0.2">
      <c r="A35" s="419">
        <f>Sales!J278</f>
        <v>200</v>
      </c>
      <c r="B35" s="419">
        <f>Sales!J282</f>
        <v>200</v>
      </c>
    </row>
    <row r="36" spans="1:2" ht="12.75" customHeight="1" x14ac:dyDescent="0.2">
      <c r="A36" s="419">
        <f>Sales!K278</f>
        <v>200</v>
      </c>
      <c r="B36" s="419">
        <f>Sales!K282</f>
        <v>200</v>
      </c>
    </row>
    <row r="37" spans="1:2" ht="12.75" customHeight="1" x14ac:dyDescent="0.2">
      <c r="A37" s="419">
        <f>Sales!L278</f>
        <v>200</v>
      </c>
      <c r="B37" s="419">
        <f>Sales!L282</f>
        <v>200</v>
      </c>
    </row>
    <row r="38" spans="1:2" ht="12.75" customHeight="1" x14ac:dyDescent="0.2">
      <c r="A38" s="419">
        <f>Sales!N278</f>
        <v>200</v>
      </c>
      <c r="B38" s="419">
        <f>Sales!N282</f>
        <v>200</v>
      </c>
    </row>
    <row r="39" spans="1:2" ht="12.75" customHeight="1" x14ac:dyDescent="0.2">
      <c r="A39" s="419">
        <f>Sales!O278</f>
        <v>200</v>
      </c>
      <c r="B39" s="419">
        <f>Sales!O282</f>
        <v>200</v>
      </c>
    </row>
    <row r="40" spans="1:2" ht="12.75" customHeight="1" x14ac:dyDescent="0.2">
      <c r="A40" s="419">
        <f>Sales!P278</f>
        <v>200</v>
      </c>
      <c r="B40" s="419">
        <f>Sales!P282</f>
        <v>200</v>
      </c>
    </row>
    <row r="41" spans="1:2" ht="12.75" customHeight="1" x14ac:dyDescent="0.2">
      <c r="A41" s="419">
        <f>Sales!R278</f>
        <v>200</v>
      </c>
      <c r="B41" s="419">
        <f>Sales!R282</f>
        <v>200</v>
      </c>
    </row>
    <row r="42" spans="1:2" ht="12.75" customHeight="1" x14ac:dyDescent="0.2">
      <c r="A42" s="419">
        <f>Sales!S278</f>
        <v>200</v>
      </c>
      <c r="B42" s="419">
        <f>Sales!S282</f>
        <v>200</v>
      </c>
    </row>
    <row r="43" spans="1:2" ht="12.75" customHeight="1" x14ac:dyDescent="0.2">
      <c r="A43" s="419">
        <f>Sales!T278</f>
        <v>200</v>
      </c>
      <c r="B43" s="419">
        <f>Sales!T282</f>
        <v>200</v>
      </c>
    </row>
    <row r="44" spans="1:2" ht="12.75" customHeight="1" x14ac:dyDescent="0.2">
      <c r="A44" s="419">
        <f>Sales!V278</f>
        <v>200</v>
      </c>
      <c r="B44" s="419">
        <f>Sales!V282</f>
        <v>200</v>
      </c>
    </row>
    <row r="45" spans="1:2" ht="12.75" customHeight="1" x14ac:dyDescent="0.2">
      <c r="A45" s="419">
        <f>Sales!W278</f>
        <v>200</v>
      </c>
      <c r="B45" s="419">
        <f>Sales!W282</f>
        <v>200</v>
      </c>
    </row>
    <row r="46" spans="1:2" ht="12.75" customHeight="1" x14ac:dyDescent="0.2">
      <c r="A46" s="419">
        <f>Sales!X278</f>
        <v>200</v>
      </c>
      <c r="B46" s="419">
        <f>Sales!X282</f>
        <v>200</v>
      </c>
    </row>
    <row r="47" spans="1:2" ht="12.75" customHeight="1" x14ac:dyDescent="0.2">
      <c r="A47" s="419">
        <f>Sales!B279</f>
        <v>200</v>
      </c>
      <c r="B47" s="419">
        <f>Sales!B283</f>
        <v>200</v>
      </c>
    </row>
    <row r="48" spans="1:2" ht="12.75" customHeight="1" x14ac:dyDescent="0.2">
      <c r="A48" s="419">
        <f>Sales!C279</f>
        <v>200</v>
      </c>
      <c r="B48" s="419">
        <f>Sales!C283</f>
        <v>200</v>
      </c>
    </row>
    <row r="49" spans="1:2" ht="12.75" customHeight="1" x14ac:dyDescent="0.2">
      <c r="A49" s="419">
        <f>Sales!D279</f>
        <v>200</v>
      </c>
      <c r="B49" s="419">
        <f>Sales!D283</f>
        <v>200</v>
      </c>
    </row>
    <row r="50" spans="1:2" ht="12.75" customHeight="1" x14ac:dyDescent="0.2">
      <c r="A50" s="419">
        <f>Sales!F279</f>
        <v>200</v>
      </c>
      <c r="B50" s="419">
        <f>Sales!F283</f>
        <v>200</v>
      </c>
    </row>
    <row r="51" spans="1:2" ht="12.75" customHeight="1" x14ac:dyDescent="0.2">
      <c r="A51" s="419">
        <f>Sales!G279</f>
        <v>200</v>
      </c>
      <c r="B51" s="419">
        <f>Sales!G283</f>
        <v>200</v>
      </c>
    </row>
    <row r="52" spans="1:2" ht="12.75" customHeight="1" x14ac:dyDescent="0.2">
      <c r="A52" s="419">
        <f>Sales!H279</f>
        <v>200</v>
      </c>
      <c r="B52" s="419">
        <f>Sales!H283</f>
        <v>200</v>
      </c>
    </row>
    <row r="53" spans="1:2" ht="12.75" customHeight="1" x14ac:dyDescent="0.2">
      <c r="A53" s="419">
        <f>Sales!J279</f>
        <v>200</v>
      </c>
      <c r="B53" s="419">
        <f>Sales!J283</f>
        <v>200</v>
      </c>
    </row>
    <row r="54" spans="1:2" ht="12.75" customHeight="1" x14ac:dyDescent="0.2">
      <c r="A54" s="419">
        <f>Sales!K279</f>
        <v>200</v>
      </c>
      <c r="B54" s="419">
        <f>Sales!K283</f>
        <v>200</v>
      </c>
    </row>
    <row r="55" spans="1:2" ht="12.75" customHeight="1" x14ac:dyDescent="0.2">
      <c r="A55" s="419">
        <f>Sales!L279</f>
        <v>200</v>
      </c>
      <c r="B55" s="419">
        <f>Sales!L283</f>
        <v>200</v>
      </c>
    </row>
    <row r="56" spans="1:2" ht="12.75" customHeight="1" x14ac:dyDescent="0.2">
      <c r="A56" s="419">
        <f>Sales!N279</f>
        <v>200</v>
      </c>
      <c r="B56" s="419">
        <f>Sales!N283</f>
        <v>200</v>
      </c>
    </row>
    <row r="57" spans="1:2" ht="12.75" customHeight="1" x14ac:dyDescent="0.2">
      <c r="A57" s="419">
        <f>Sales!O279</f>
        <v>200</v>
      </c>
      <c r="B57" s="419">
        <f>Sales!O283</f>
        <v>200</v>
      </c>
    </row>
    <row r="58" spans="1:2" ht="12.75" customHeight="1" x14ac:dyDescent="0.2">
      <c r="A58" s="419">
        <f>Sales!P279</f>
        <v>200</v>
      </c>
      <c r="B58" s="419">
        <f>Sales!P283</f>
        <v>200</v>
      </c>
    </row>
    <row r="59" spans="1:2" ht="12.75" customHeight="1" x14ac:dyDescent="0.2">
      <c r="A59" s="419">
        <f>Sales!R279</f>
        <v>200</v>
      </c>
      <c r="B59" s="419">
        <f>Sales!R283</f>
        <v>200</v>
      </c>
    </row>
    <row r="60" spans="1:2" ht="12.75" customHeight="1" x14ac:dyDescent="0.2">
      <c r="A60" s="419">
        <f>Sales!S279</f>
        <v>200</v>
      </c>
      <c r="B60" s="419">
        <f>Sales!S283</f>
        <v>200</v>
      </c>
    </row>
    <row r="61" spans="1:2" ht="12.75" customHeight="1" x14ac:dyDescent="0.2">
      <c r="A61" s="419">
        <f>Sales!T279</f>
        <v>200</v>
      </c>
      <c r="B61" s="419">
        <f>Sales!T283</f>
        <v>200</v>
      </c>
    </row>
    <row r="62" spans="1:2" ht="12.75" customHeight="1" x14ac:dyDescent="0.2">
      <c r="A62" s="419">
        <f>Sales!V279</f>
        <v>200</v>
      </c>
      <c r="B62" s="419">
        <f>Sales!V283</f>
        <v>200</v>
      </c>
    </row>
    <row r="63" spans="1:2" ht="12.75" customHeight="1" x14ac:dyDescent="0.2">
      <c r="A63" s="419">
        <f>Sales!W279</f>
        <v>200</v>
      </c>
      <c r="B63" s="419">
        <f>Sales!W283</f>
        <v>200</v>
      </c>
    </row>
    <row r="64" spans="1:2" ht="12.75" customHeight="1" x14ac:dyDescent="0.2">
      <c r="A64" s="419">
        <f>Sales!X279</f>
        <v>200</v>
      </c>
      <c r="B64" s="419">
        <f>Sales!X283</f>
        <v>200</v>
      </c>
    </row>
    <row r="65" spans="1:19" ht="12.75" customHeight="1" x14ac:dyDescent="0.2">
      <c r="A65" s="420" t="str">
        <f>Inputs!F14</f>
        <v>Practice 1</v>
      </c>
      <c r="B65" s="420" t="str">
        <f>Inputs!F14</f>
        <v>Practice 1</v>
      </c>
    </row>
    <row r="66" spans="1:19" ht="12.75" customHeight="1" x14ac:dyDescent="0.2">
      <c r="A66" s="421">
        <f>Assets!B84</f>
        <v>0</v>
      </c>
      <c r="B66" s="421">
        <f>OpExp!B69</f>
        <v>0</v>
      </c>
      <c r="C66" s="421">
        <f>OpExp!C69</f>
        <v>0</v>
      </c>
      <c r="D66" s="421">
        <f>OpExp!D69</f>
        <v>0</v>
      </c>
      <c r="E66" s="421">
        <f>OpExp!F69</f>
        <v>0</v>
      </c>
      <c r="F66" s="421">
        <f>OpExp!G69</f>
        <v>0</v>
      </c>
      <c r="G66" s="421">
        <f>OpExp!H69</f>
        <v>0</v>
      </c>
      <c r="H66" s="421">
        <f>OpExp!J69</f>
        <v>0</v>
      </c>
      <c r="I66" s="421">
        <f>OpExp!K69</f>
        <v>0</v>
      </c>
      <c r="J66" s="421">
        <f>OpExp!L69</f>
        <v>0</v>
      </c>
      <c r="K66" s="421">
        <f>OpExp!N69</f>
        <v>0</v>
      </c>
      <c r="L66" s="421">
        <f>OpExp!O69</f>
        <v>0</v>
      </c>
      <c r="M66" s="421">
        <f>OpExp!P69</f>
        <v>0</v>
      </c>
      <c r="N66" s="421">
        <f>OpExp!R69</f>
        <v>0</v>
      </c>
      <c r="O66" s="421">
        <f>OpExp!S69</f>
        <v>0</v>
      </c>
      <c r="P66" s="421">
        <f>OpExp!T69</f>
        <v>0</v>
      </c>
      <c r="Q66" s="421">
        <f>OpExp!V69</f>
        <v>0</v>
      </c>
      <c r="R66" s="421">
        <f>OpExp!W69</f>
        <v>0</v>
      </c>
      <c r="S66" s="421">
        <f>OpExp!X69</f>
        <v>0</v>
      </c>
    </row>
    <row r="67" spans="1:19" ht="12.75" customHeight="1" x14ac:dyDescent="0.2">
      <c r="A67" s="421">
        <f>Assets!B85</f>
        <v>0</v>
      </c>
      <c r="B67" s="421">
        <f>OpExp!B70</f>
        <v>0</v>
      </c>
      <c r="C67" s="421">
        <f>OpExp!C70</f>
        <v>0</v>
      </c>
      <c r="D67" s="421">
        <f>OpExp!D70</f>
        <v>0</v>
      </c>
      <c r="E67" s="421">
        <f>OpExp!F70</f>
        <v>0</v>
      </c>
      <c r="F67" s="421">
        <f>OpExp!G70</f>
        <v>0</v>
      </c>
      <c r="G67" s="421">
        <f>OpExp!H70</f>
        <v>0</v>
      </c>
      <c r="H67" s="421">
        <f>OpExp!J70</f>
        <v>0</v>
      </c>
      <c r="I67" s="421">
        <f>OpExp!K70</f>
        <v>0</v>
      </c>
      <c r="J67" s="421">
        <f>OpExp!L70</f>
        <v>0</v>
      </c>
      <c r="K67" s="421">
        <f>OpExp!N70</f>
        <v>0</v>
      </c>
      <c r="L67" s="421">
        <f>OpExp!O70</f>
        <v>0</v>
      </c>
      <c r="M67" s="421">
        <f>OpExp!P70</f>
        <v>0</v>
      </c>
      <c r="N67" s="421">
        <f>OpExp!R70</f>
        <v>0</v>
      </c>
      <c r="O67" s="421">
        <f>OpExp!S70</f>
        <v>0</v>
      </c>
      <c r="P67" s="421">
        <f>OpExp!T70</f>
        <v>0</v>
      </c>
      <c r="Q67" s="421">
        <f>OpExp!V70</f>
        <v>0</v>
      </c>
      <c r="R67" s="421">
        <f>OpExp!W70</f>
        <v>0</v>
      </c>
      <c r="S67" s="421">
        <f>OpExp!X70</f>
        <v>0</v>
      </c>
    </row>
    <row r="68" spans="1:19" ht="12.75" customHeight="1" x14ac:dyDescent="0.2">
      <c r="A68" s="422">
        <f>'GM CostSvcs'!B479</f>
        <v>0</v>
      </c>
      <c r="B68" s="422">
        <f>'GM CostSvcs'!C479</f>
        <v>0</v>
      </c>
      <c r="C68" s="422">
        <f>'GM CostSvcs'!D479</f>
        <v>0</v>
      </c>
      <c r="D68" s="422">
        <f>'GM CostSvcs'!F479</f>
        <v>0</v>
      </c>
      <c r="E68" s="422">
        <f>'GM CostSvcs'!G479</f>
        <v>0</v>
      </c>
      <c r="F68" s="422">
        <f>'GM CostSvcs'!H479</f>
        <v>0</v>
      </c>
      <c r="G68" s="422">
        <f>'GM CostSvcs'!J479</f>
        <v>1</v>
      </c>
      <c r="H68" s="422">
        <f>'GM CostSvcs'!K479</f>
        <v>2</v>
      </c>
      <c r="I68" s="422">
        <f>'GM CostSvcs'!L479</f>
        <v>0</v>
      </c>
      <c r="J68" s="422">
        <f>'GM CostSvcs'!N479</f>
        <v>0</v>
      </c>
      <c r="K68" s="422">
        <f>'GM CostSvcs'!O479</f>
        <v>0</v>
      </c>
      <c r="L68" s="422">
        <f>'GM CostSvcs'!P479</f>
        <v>0</v>
      </c>
      <c r="M68" s="422">
        <f>'GM CostSvcs'!R479</f>
        <v>0</v>
      </c>
      <c r="N68" s="422">
        <f>'GM CostSvcs'!S479</f>
        <v>0</v>
      </c>
      <c r="O68" s="422">
        <f>'GM CostSvcs'!T479</f>
        <v>0</v>
      </c>
      <c r="P68" s="422">
        <f>'GM CostSvcs'!V479</f>
        <v>0</v>
      </c>
      <c r="Q68" s="422">
        <f>'GM CostSvcs'!W479</f>
        <v>0</v>
      </c>
      <c r="R68" s="422">
        <f>'GM CostSvcs'!X479</f>
        <v>0</v>
      </c>
    </row>
    <row r="69" spans="1:19" ht="12.75" customHeight="1" x14ac:dyDescent="0.2">
      <c r="A69" s="422">
        <f>'GM CostSvcs'!B480</f>
        <v>0</v>
      </c>
      <c r="B69" s="422">
        <f>'GM CostSvcs'!C480</f>
        <v>0</v>
      </c>
      <c r="C69" s="422">
        <f>'GM CostSvcs'!D480</f>
        <v>0</v>
      </c>
      <c r="D69" s="422">
        <f>'GM CostSvcs'!F480</f>
        <v>0</v>
      </c>
      <c r="E69" s="422">
        <f>'GM CostSvcs'!G480</f>
        <v>0</v>
      </c>
      <c r="F69" s="422">
        <f>'GM CostSvcs'!H480</f>
        <v>0</v>
      </c>
      <c r="G69" s="422">
        <f>'GM CostSvcs'!J480</f>
        <v>1</v>
      </c>
      <c r="H69" s="422">
        <f>'GM CostSvcs'!K480</f>
        <v>2</v>
      </c>
      <c r="I69" s="422">
        <f>'GM CostSvcs'!L480</f>
        <v>0</v>
      </c>
      <c r="J69" s="422">
        <f>'GM CostSvcs'!N480</f>
        <v>0</v>
      </c>
      <c r="K69" s="422">
        <f>'GM CostSvcs'!O480</f>
        <v>0</v>
      </c>
      <c r="L69" s="422">
        <f>'GM CostSvcs'!P480</f>
        <v>0</v>
      </c>
      <c r="M69" s="422">
        <f>'GM CostSvcs'!R480</f>
        <v>0</v>
      </c>
      <c r="N69" s="422">
        <f>'GM CostSvcs'!S480</f>
        <v>0</v>
      </c>
      <c r="O69" s="422">
        <f>'GM CostSvcs'!T480</f>
        <v>0</v>
      </c>
      <c r="P69" s="422">
        <f>'GM CostSvcs'!V480</f>
        <v>0</v>
      </c>
      <c r="Q69" s="422">
        <f>'GM CostSvcs'!W480</f>
        <v>0</v>
      </c>
      <c r="R69" s="422">
        <f>'GM CostSvcs'!X480</f>
        <v>0</v>
      </c>
    </row>
    <row r="70" spans="1:19" ht="12.75" customHeight="1" x14ac:dyDescent="0.2">
      <c r="A70" s="422">
        <f>'GM CostSvcs'!B481</f>
        <v>0</v>
      </c>
      <c r="B70" s="422">
        <f>'GM CostSvcs'!C481</f>
        <v>0</v>
      </c>
      <c r="C70" s="422">
        <f>'GM CostSvcs'!D481</f>
        <v>0</v>
      </c>
      <c r="D70" s="422">
        <f>'GM CostSvcs'!F481</f>
        <v>0</v>
      </c>
      <c r="E70" s="422">
        <f>'GM CostSvcs'!G481</f>
        <v>0</v>
      </c>
      <c r="F70" s="422">
        <f>'GM CostSvcs'!H481</f>
        <v>0</v>
      </c>
      <c r="G70" s="422">
        <f>'GM CostSvcs'!J481</f>
        <v>2</v>
      </c>
      <c r="H70" s="422">
        <f>'GM CostSvcs'!K481</f>
        <v>4</v>
      </c>
      <c r="I70" s="422">
        <f>'GM CostSvcs'!L481</f>
        <v>0</v>
      </c>
      <c r="J70" s="422">
        <f>'GM CostSvcs'!N481</f>
        <v>0</v>
      </c>
      <c r="K70" s="422">
        <f>'GM CostSvcs'!O481</f>
        <v>0</v>
      </c>
      <c r="L70" s="422">
        <f>'GM CostSvcs'!P481</f>
        <v>0</v>
      </c>
      <c r="M70" s="422">
        <f>'GM CostSvcs'!R481</f>
        <v>0</v>
      </c>
      <c r="N70" s="422">
        <f>'GM CostSvcs'!S481</f>
        <v>0</v>
      </c>
      <c r="O70" s="422">
        <f>'GM CostSvcs'!T481</f>
        <v>0</v>
      </c>
      <c r="P70" s="422">
        <f>'GM CostSvcs'!V481</f>
        <v>0</v>
      </c>
      <c r="Q70" s="422">
        <f>'GM CostSvcs'!W481</f>
        <v>0</v>
      </c>
      <c r="R70" s="422">
        <f>'GM CostSvcs'!X481</f>
        <v>0</v>
      </c>
    </row>
    <row r="71" spans="1:19" ht="12.75" customHeight="1" x14ac:dyDescent="0.2">
      <c r="A71" s="422">
        <f>'GM CostSvcs'!B483</f>
        <v>0</v>
      </c>
      <c r="B71" s="422">
        <f>'GM CostSvcs'!C483</f>
        <v>0</v>
      </c>
      <c r="C71" s="422">
        <f>'GM CostSvcs'!D483</f>
        <v>0</v>
      </c>
      <c r="D71" s="422">
        <f>'GM CostSvcs'!F483</f>
        <v>0</v>
      </c>
      <c r="E71" s="422">
        <f>'GM CostSvcs'!G483</f>
        <v>0</v>
      </c>
      <c r="F71" s="422">
        <f>'GM CostSvcs'!H483</f>
        <v>0</v>
      </c>
      <c r="G71" s="422">
        <f>'GM CostSvcs'!J483</f>
        <v>0</v>
      </c>
      <c r="H71" s="422">
        <f>'GM CostSvcs'!K483</f>
        <v>0</v>
      </c>
      <c r="I71" s="422">
        <f>'GM CostSvcs'!L483</f>
        <v>0</v>
      </c>
      <c r="J71" s="422">
        <f>'GM CostSvcs'!N483</f>
        <v>0</v>
      </c>
      <c r="K71" s="422">
        <f>'GM CostSvcs'!O483</f>
        <v>0</v>
      </c>
      <c r="L71" s="422">
        <f>'GM CostSvcs'!P483</f>
        <v>0</v>
      </c>
      <c r="M71" s="422">
        <f>'GM CostSvcs'!R483</f>
        <v>0</v>
      </c>
      <c r="N71" s="422">
        <f>'GM CostSvcs'!S483</f>
        <v>0</v>
      </c>
      <c r="O71" s="422">
        <f>'GM CostSvcs'!T483</f>
        <v>0</v>
      </c>
      <c r="P71" s="422">
        <f>'GM CostSvcs'!V483</f>
        <v>0</v>
      </c>
      <c r="Q71" s="422">
        <f>'GM CostSvcs'!W483</f>
        <v>0</v>
      </c>
      <c r="R71" s="422">
        <f>'GM CostSvcs'!X483</f>
        <v>0</v>
      </c>
    </row>
    <row r="72" spans="1:19" ht="12.75" customHeight="1" x14ac:dyDescent="0.2">
      <c r="A72" s="422">
        <f>'GM CostSvcs'!B484</f>
        <v>0</v>
      </c>
      <c r="B72" s="422">
        <f>'GM CostSvcs'!C484</f>
        <v>0</v>
      </c>
      <c r="C72" s="422">
        <f>'GM CostSvcs'!D484</f>
        <v>0</v>
      </c>
      <c r="D72" s="422">
        <f>'GM CostSvcs'!F484</f>
        <v>0</v>
      </c>
      <c r="E72" s="422">
        <f>'GM CostSvcs'!G484</f>
        <v>0</v>
      </c>
      <c r="F72" s="422">
        <f>'GM CostSvcs'!H484</f>
        <v>0</v>
      </c>
      <c r="G72" s="422">
        <f>'GM CostSvcs'!J484</f>
        <v>0</v>
      </c>
      <c r="H72" s="422">
        <f>'GM CostSvcs'!K484</f>
        <v>0</v>
      </c>
      <c r="I72" s="422">
        <f>'GM CostSvcs'!L484</f>
        <v>0</v>
      </c>
      <c r="J72" s="422">
        <f>'GM CostSvcs'!N484</f>
        <v>0</v>
      </c>
      <c r="K72" s="422">
        <f>'GM CostSvcs'!O484</f>
        <v>0</v>
      </c>
      <c r="L72" s="422">
        <f>'GM CostSvcs'!P484</f>
        <v>0</v>
      </c>
      <c r="M72" s="422">
        <f>'GM CostSvcs'!R484</f>
        <v>0</v>
      </c>
      <c r="N72" s="422">
        <f>'GM CostSvcs'!S484</f>
        <v>0</v>
      </c>
      <c r="O72" s="422">
        <f>'GM CostSvcs'!T484</f>
        <v>0</v>
      </c>
      <c r="P72" s="422">
        <f>'GM CostSvcs'!V484</f>
        <v>0</v>
      </c>
      <c r="Q72" s="422">
        <f>'GM CostSvcs'!W484</f>
        <v>0</v>
      </c>
      <c r="R72" s="422">
        <f>'GM CostSvcs'!X484</f>
        <v>0</v>
      </c>
    </row>
    <row r="73" spans="1:19" ht="12.75" customHeight="1" x14ac:dyDescent="0.2">
      <c r="A73" s="422">
        <f>'GM CostSvcs'!B485</f>
        <v>0</v>
      </c>
      <c r="B73" s="422">
        <f>'GM CostSvcs'!C485</f>
        <v>0</v>
      </c>
      <c r="C73" s="422">
        <f>'GM CostSvcs'!D485</f>
        <v>0</v>
      </c>
      <c r="D73" s="422">
        <f>'GM CostSvcs'!F485</f>
        <v>0</v>
      </c>
      <c r="E73" s="422">
        <f>'GM CostSvcs'!G485</f>
        <v>0</v>
      </c>
      <c r="F73" s="422">
        <f>'GM CostSvcs'!H485</f>
        <v>0</v>
      </c>
      <c r="G73" s="422">
        <f>'GM CostSvcs'!J485</f>
        <v>0</v>
      </c>
      <c r="H73" s="422">
        <f>'GM CostSvcs'!K485</f>
        <v>0</v>
      </c>
      <c r="I73" s="422">
        <f>'GM CostSvcs'!L485</f>
        <v>0</v>
      </c>
      <c r="J73" s="422">
        <f>'GM CostSvcs'!N485</f>
        <v>0</v>
      </c>
      <c r="K73" s="422">
        <f>'GM CostSvcs'!O485</f>
        <v>0</v>
      </c>
      <c r="L73" s="422">
        <f>'GM CostSvcs'!P485</f>
        <v>0</v>
      </c>
      <c r="M73" s="422">
        <f>'GM CostSvcs'!R485</f>
        <v>0</v>
      </c>
      <c r="N73" s="422">
        <f>'GM CostSvcs'!S485</f>
        <v>0</v>
      </c>
      <c r="O73" s="422">
        <f>'GM CostSvcs'!T485</f>
        <v>0</v>
      </c>
      <c r="P73" s="422">
        <f>'GM CostSvcs'!V485</f>
        <v>0</v>
      </c>
      <c r="Q73" s="422">
        <f>'GM CostSvcs'!W485</f>
        <v>0</v>
      </c>
      <c r="R73" s="422">
        <f>'GM CostSvcs'!X485</f>
        <v>0</v>
      </c>
    </row>
    <row r="74" spans="1:19" ht="12.75" customHeight="1" x14ac:dyDescent="0.2">
      <c r="A74" s="422">
        <f>'GM CostSvcs'!B486</f>
        <v>0</v>
      </c>
      <c r="B74" s="422">
        <f>'GM CostSvcs'!C486</f>
        <v>0</v>
      </c>
      <c r="C74" s="422">
        <f>'GM CostSvcs'!D486</f>
        <v>0</v>
      </c>
      <c r="D74" s="422">
        <f>'GM CostSvcs'!F486</f>
        <v>0</v>
      </c>
      <c r="E74" s="422">
        <f>'GM CostSvcs'!G486</f>
        <v>0</v>
      </c>
      <c r="F74" s="422">
        <f>'GM CostSvcs'!H486</f>
        <v>0</v>
      </c>
      <c r="G74" s="422">
        <f>'GM CostSvcs'!J486</f>
        <v>2</v>
      </c>
      <c r="H74" s="422">
        <f>'GM CostSvcs'!K486</f>
        <v>4</v>
      </c>
      <c r="I74" s="422">
        <f>'GM CostSvcs'!L486</f>
        <v>0</v>
      </c>
      <c r="J74" s="422">
        <f>'GM CostSvcs'!N486</f>
        <v>0</v>
      </c>
      <c r="K74" s="422">
        <f>'GM CostSvcs'!O486</f>
        <v>0</v>
      </c>
      <c r="L74" s="422">
        <f>'GM CostSvcs'!P486</f>
        <v>0</v>
      </c>
      <c r="M74" s="422">
        <f>'GM CostSvcs'!R486</f>
        <v>0</v>
      </c>
      <c r="N74" s="422">
        <f>'GM CostSvcs'!S486</f>
        <v>0</v>
      </c>
      <c r="O74" s="422">
        <f>'GM CostSvcs'!T486</f>
        <v>0</v>
      </c>
      <c r="P74" s="422">
        <f>'GM CostSvcs'!V486</f>
        <v>0</v>
      </c>
      <c r="Q74" s="422">
        <f>'GM CostSvcs'!W486</f>
        <v>0</v>
      </c>
      <c r="R74" s="422">
        <f>'GM CostSvcs'!X486</f>
        <v>0</v>
      </c>
    </row>
    <row r="75" spans="1:19" ht="12.75" customHeight="1" x14ac:dyDescent="0.2">
      <c r="A75" s="423">
        <f>Practices!B397</f>
        <v>0</v>
      </c>
      <c r="B75" s="423">
        <f>Practices!C397</f>
        <v>0</v>
      </c>
      <c r="C75" s="423">
        <f>Practices!D397</f>
        <v>0</v>
      </c>
      <c r="D75" s="423">
        <f>Practices!F397</f>
        <v>0</v>
      </c>
      <c r="E75" s="423">
        <f>Practices!G397</f>
        <v>0</v>
      </c>
      <c r="F75" s="423">
        <f>Practices!H397</f>
        <v>0</v>
      </c>
      <c r="G75" s="423">
        <f>Practices!J397</f>
        <v>0</v>
      </c>
      <c r="H75" s="423">
        <f>Practices!K397</f>
        <v>0</v>
      </c>
      <c r="I75" s="423">
        <f>Practices!L397</f>
        <v>0</v>
      </c>
      <c r="J75" s="423">
        <f>Practices!N397</f>
        <v>0</v>
      </c>
      <c r="K75" s="423">
        <f>Practices!O397</f>
        <v>0</v>
      </c>
      <c r="L75" s="423">
        <f>Practices!P397</f>
        <v>0</v>
      </c>
      <c r="M75" s="423">
        <f>Practices!R397</f>
        <v>0</v>
      </c>
      <c r="N75" s="423">
        <f>Practices!S397</f>
        <v>0</v>
      </c>
      <c r="O75" s="423">
        <f>Practices!T397</f>
        <v>0</v>
      </c>
      <c r="P75" s="423">
        <f>Practices!V397</f>
        <v>0</v>
      </c>
      <c r="Q75" s="423">
        <f>Practices!W397</f>
        <v>0</v>
      </c>
      <c r="R75" s="423">
        <f>Practices!X397</f>
        <v>0</v>
      </c>
    </row>
    <row r="76" spans="1:19" ht="12.75" customHeight="1" x14ac:dyDescent="0.2">
      <c r="A76" s="423">
        <f>Practices!B398</f>
        <v>0</v>
      </c>
      <c r="B76" s="423">
        <f>Practices!C398</f>
        <v>0</v>
      </c>
      <c r="C76" s="423">
        <f>Practices!D398</f>
        <v>0</v>
      </c>
      <c r="D76" s="423">
        <f>Practices!F398</f>
        <v>0</v>
      </c>
      <c r="E76" s="423">
        <f>Practices!G398</f>
        <v>0</v>
      </c>
      <c r="F76" s="423">
        <f>Practices!H398</f>
        <v>0</v>
      </c>
      <c r="G76" s="423">
        <f>Practices!J398</f>
        <v>0</v>
      </c>
      <c r="H76" s="423">
        <f>Practices!K398</f>
        <v>0</v>
      </c>
      <c r="I76" s="423">
        <f>Practices!L398</f>
        <v>0</v>
      </c>
      <c r="J76" s="423">
        <f>Practices!N398</f>
        <v>0</v>
      </c>
      <c r="K76" s="423">
        <f>Practices!O398</f>
        <v>0</v>
      </c>
      <c r="L76" s="423">
        <f>Practices!P398</f>
        <v>0</v>
      </c>
      <c r="M76" s="423">
        <f>Practices!R398</f>
        <v>0</v>
      </c>
      <c r="N76" s="423">
        <f>Practices!S398</f>
        <v>0</v>
      </c>
      <c r="O76" s="423">
        <f>Practices!T398</f>
        <v>0</v>
      </c>
      <c r="P76" s="423">
        <f>Practices!V398</f>
        <v>0</v>
      </c>
      <c r="Q76" s="423">
        <f>Practices!W398</f>
        <v>0</v>
      </c>
      <c r="R76" s="423">
        <f>Practices!X398</f>
        <v>0</v>
      </c>
    </row>
    <row r="77" spans="1:19" ht="12.75" customHeight="1" x14ac:dyDescent="0.2">
      <c r="A77" s="423">
        <f>Practices!B399</f>
        <v>0</v>
      </c>
      <c r="B77" s="423">
        <f>Practices!C399</f>
        <v>0</v>
      </c>
      <c r="C77" s="423">
        <f>Practices!D399</f>
        <v>0</v>
      </c>
      <c r="D77" s="423">
        <f>Practices!F399</f>
        <v>0</v>
      </c>
      <c r="E77" s="423">
        <f>Practices!G399</f>
        <v>0</v>
      </c>
      <c r="F77" s="423">
        <f>Practices!H399</f>
        <v>0</v>
      </c>
      <c r="G77" s="423">
        <f>Practices!J399</f>
        <v>0</v>
      </c>
      <c r="H77" s="423">
        <f>Practices!K399</f>
        <v>0</v>
      </c>
      <c r="I77" s="423">
        <f>Practices!L399</f>
        <v>0</v>
      </c>
      <c r="J77" s="423">
        <f>Practices!N399</f>
        <v>0</v>
      </c>
      <c r="K77" s="423">
        <f>Practices!O399</f>
        <v>0</v>
      </c>
      <c r="L77" s="423">
        <f>Practices!P399</f>
        <v>0</v>
      </c>
      <c r="M77" s="423">
        <f>Practices!R399</f>
        <v>0</v>
      </c>
      <c r="N77" s="423">
        <f>Practices!S399</f>
        <v>0</v>
      </c>
      <c r="O77" s="423">
        <f>Practices!T399</f>
        <v>0</v>
      </c>
      <c r="P77" s="423">
        <f>Practices!V399</f>
        <v>0</v>
      </c>
      <c r="Q77" s="423">
        <f>Practices!W399</f>
        <v>0</v>
      </c>
      <c r="R77" s="423">
        <f>Practices!X399</f>
        <v>0</v>
      </c>
    </row>
    <row r="78" spans="1:19" ht="12.75" customHeight="1" x14ac:dyDescent="0.2">
      <c r="A78" s="423">
        <f>Practices!B401</f>
        <v>0</v>
      </c>
      <c r="B78" s="423">
        <f>Practices!C401</f>
        <v>0</v>
      </c>
      <c r="C78" s="423">
        <f>Practices!D401</f>
        <v>0</v>
      </c>
      <c r="D78" s="423">
        <f>Practices!F401</f>
        <v>0</v>
      </c>
      <c r="E78" s="423">
        <f>Practices!G401</f>
        <v>0</v>
      </c>
      <c r="F78" s="423">
        <f>Practices!H401</f>
        <v>0</v>
      </c>
      <c r="G78" s="423">
        <f>Practices!J401</f>
        <v>0</v>
      </c>
      <c r="H78" s="423">
        <f>Practices!K401</f>
        <v>0</v>
      </c>
      <c r="I78" s="423">
        <f>Practices!L401</f>
        <v>0</v>
      </c>
      <c r="J78" s="423">
        <f>Practices!N401</f>
        <v>0</v>
      </c>
      <c r="K78" s="423">
        <f>Practices!O401</f>
        <v>0</v>
      </c>
      <c r="L78" s="423">
        <f>Practices!P401</f>
        <v>0</v>
      </c>
      <c r="M78" s="423">
        <f>Practices!R401</f>
        <v>0</v>
      </c>
      <c r="N78" s="423">
        <f>Practices!S401</f>
        <v>0</v>
      </c>
      <c r="O78" s="423">
        <f>Practices!T401</f>
        <v>0</v>
      </c>
      <c r="P78" s="423">
        <f>Practices!V401</f>
        <v>0</v>
      </c>
      <c r="Q78" s="423">
        <f>Practices!W401</f>
        <v>0</v>
      </c>
      <c r="R78" s="423">
        <f>Practices!X401</f>
        <v>0</v>
      </c>
    </row>
    <row r="79" spans="1:19" ht="12.75" customHeight="1" x14ac:dyDescent="0.2">
      <c r="A79" s="423">
        <f>Practices!B402</f>
        <v>0</v>
      </c>
      <c r="B79" s="423">
        <f>Practices!C402</f>
        <v>0</v>
      </c>
      <c r="C79" s="423">
        <f>Practices!D402</f>
        <v>0</v>
      </c>
      <c r="D79" s="423">
        <f>Practices!F402</f>
        <v>0</v>
      </c>
      <c r="E79" s="423">
        <f>Practices!G402</f>
        <v>0</v>
      </c>
      <c r="F79" s="423">
        <f>Practices!H402</f>
        <v>0</v>
      </c>
      <c r="G79" s="423">
        <f>Practices!J402</f>
        <v>0</v>
      </c>
      <c r="H79" s="423">
        <f>Practices!K402</f>
        <v>0</v>
      </c>
      <c r="I79" s="423">
        <f>Practices!L402</f>
        <v>0</v>
      </c>
      <c r="J79" s="423">
        <f>Practices!N402</f>
        <v>0</v>
      </c>
      <c r="K79" s="423">
        <f>Practices!O402</f>
        <v>0</v>
      </c>
      <c r="L79" s="423">
        <f>Practices!P402</f>
        <v>0</v>
      </c>
      <c r="M79" s="423">
        <f>Practices!R402</f>
        <v>0</v>
      </c>
      <c r="N79" s="423">
        <f>Practices!S402</f>
        <v>0</v>
      </c>
      <c r="O79" s="423">
        <f>Practices!T402</f>
        <v>0</v>
      </c>
      <c r="P79" s="423">
        <f>Practices!V402</f>
        <v>0</v>
      </c>
      <c r="Q79" s="423">
        <f>Practices!W402</f>
        <v>0</v>
      </c>
      <c r="R79" s="423">
        <f>Practices!X402</f>
        <v>0</v>
      </c>
    </row>
    <row r="80" spans="1:19" ht="12.75" customHeight="1" x14ac:dyDescent="0.2">
      <c r="A80" s="423">
        <f>Practices!B403</f>
        <v>0</v>
      </c>
      <c r="B80" s="423">
        <f>Practices!C403</f>
        <v>0</v>
      </c>
      <c r="C80" s="423">
        <f>Practices!D403</f>
        <v>0</v>
      </c>
      <c r="D80" s="423">
        <f>Practices!F403</f>
        <v>0</v>
      </c>
      <c r="E80" s="423">
        <f>Practices!G403</f>
        <v>0</v>
      </c>
      <c r="F80" s="423">
        <f>Practices!H403</f>
        <v>0</v>
      </c>
      <c r="G80" s="423">
        <f>Practices!J403</f>
        <v>0</v>
      </c>
      <c r="H80" s="423">
        <f>Practices!K403</f>
        <v>0</v>
      </c>
      <c r="I80" s="423">
        <f>Practices!L403</f>
        <v>0</v>
      </c>
      <c r="J80" s="423">
        <f>Practices!N403</f>
        <v>0</v>
      </c>
      <c r="K80" s="423">
        <f>Practices!O403</f>
        <v>0</v>
      </c>
      <c r="L80" s="423">
        <f>Practices!P403</f>
        <v>0</v>
      </c>
      <c r="M80" s="423">
        <f>Practices!R403</f>
        <v>0</v>
      </c>
      <c r="N80" s="423">
        <f>Practices!S403</f>
        <v>0</v>
      </c>
      <c r="O80" s="423">
        <f>Practices!T403</f>
        <v>0</v>
      </c>
      <c r="P80" s="423">
        <f>Practices!V403</f>
        <v>0</v>
      </c>
      <c r="Q80" s="423">
        <f>Practices!W403</f>
        <v>0</v>
      </c>
      <c r="R80" s="423">
        <f>Practices!X403</f>
        <v>0</v>
      </c>
    </row>
    <row r="81" spans="1:18" ht="12.75" customHeight="1" x14ac:dyDescent="0.2">
      <c r="A81" s="423">
        <f>Practices!B404</f>
        <v>0</v>
      </c>
      <c r="B81" s="423">
        <f>Practices!C404</f>
        <v>0</v>
      </c>
      <c r="C81" s="423">
        <f>Practices!D404</f>
        <v>0</v>
      </c>
      <c r="D81" s="423">
        <f>Practices!F404</f>
        <v>0</v>
      </c>
      <c r="E81" s="423">
        <f>Practices!G404</f>
        <v>0</v>
      </c>
      <c r="F81" s="423">
        <f>Practices!H404</f>
        <v>0</v>
      </c>
      <c r="G81" s="423">
        <f>Practices!J404</f>
        <v>0</v>
      </c>
      <c r="H81" s="423">
        <f>Practices!K404</f>
        <v>0</v>
      </c>
      <c r="I81" s="423">
        <f>Practices!L404</f>
        <v>0</v>
      </c>
      <c r="J81" s="423">
        <f>Practices!N404</f>
        <v>0</v>
      </c>
      <c r="K81" s="423">
        <f>Practices!O404</f>
        <v>0</v>
      </c>
      <c r="L81" s="423">
        <f>Practices!P404</f>
        <v>0</v>
      </c>
      <c r="M81" s="423">
        <f>Practices!R404</f>
        <v>0</v>
      </c>
      <c r="N81" s="423">
        <f>Practices!S404</f>
        <v>0</v>
      </c>
      <c r="O81" s="423">
        <f>Practices!T404</f>
        <v>0</v>
      </c>
      <c r="P81" s="423">
        <f>Practices!V404</f>
        <v>0</v>
      </c>
      <c r="Q81" s="423">
        <f>Practices!W404</f>
        <v>0</v>
      </c>
      <c r="R81" s="423">
        <f>Practices!X404</f>
        <v>0</v>
      </c>
    </row>
    <row r="82" spans="1:18" ht="12.75" customHeight="1" x14ac:dyDescent="0.2">
      <c r="A82" s="422">
        <f>'Sup Staff'!B23</f>
        <v>0</v>
      </c>
      <c r="B82" s="422">
        <f>'Sup Staff'!C23</f>
        <v>0</v>
      </c>
      <c r="C82" s="422">
        <f>'Sup Staff'!D23</f>
        <v>0</v>
      </c>
      <c r="D82" s="422">
        <f>'Sup Staff'!F23</f>
        <v>0</v>
      </c>
      <c r="E82" s="422">
        <f>'Sup Staff'!G23</f>
        <v>0</v>
      </c>
      <c r="F82" s="422">
        <f>'Sup Staff'!H23</f>
        <v>0</v>
      </c>
      <c r="G82" s="422">
        <f>'Sup Staff'!J23</f>
        <v>0</v>
      </c>
      <c r="H82" s="422">
        <f>'Sup Staff'!K23</f>
        <v>0</v>
      </c>
      <c r="I82" s="422">
        <f>'Sup Staff'!L23</f>
        <v>0</v>
      </c>
      <c r="J82" s="422">
        <f>'Sup Staff'!N23</f>
        <v>0</v>
      </c>
      <c r="K82" s="422">
        <f>'Sup Staff'!O23</f>
        <v>0</v>
      </c>
      <c r="L82" s="422">
        <f>'Sup Staff'!P23</f>
        <v>0</v>
      </c>
      <c r="M82" s="422">
        <f>'Sup Staff'!R23</f>
        <v>0</v>
      </c>
      <c r="N82" s="422">
        <f>'Sup Staff'!S23</f>
        <v>0</v>
      </c>
      <c r="O82" s="422">
        <f>'Sup Staff'!T23</f>
        <v>0</v>
      </c>
      <c r="P82" s="422">
        <f>'Sup Staff'!V23</f>
        <v>0</v>
      </c>
      <c r="Q82" s="422">
        <f>'Sup Staff'!W23</f>
        <v>0</v>
      </c>
      <c r="R82" s="422">
        <f>'Sup Staff'!X23</f>
        <v>0</v>
      </c>
    </row>
    <row r="83" spans="1:18" ht="12.75" customHeight="1" x14ac:dyDescent="0.2">
      <c r="A83" s="422">
        <f>'Sup Staff'!B24</f>
        <v>0</v>
      </c>
      <c r="B83" s="422">
        <f>'Sup Staff'!C24</f>
        <v>0</v>
      </c>
      <c r="C83" s="422">
        <f>'Sup Staff'!D24</f>
        <v>0</v>
      </c>
      <c r="D83" s="422">
        <f>'Sup Staff'!F24</f>
        <v>0</v>
      </c>
      <c r="E83" s="422">
        <f>'Sup Staff'!G24</f>
        <v>0</v>
      </c>
      <c r="F83" s="422">
        <f>'Sup Staff'!H24</f>
        <v>0</v>
      </c>
      <c r="G83" s="422">
        <f>'Sup Staff'!J24</f>
        <v>0</v>
      </c>
      <c r="H83" s="422">
        <f>'Sup Staff'!K24</f>
        <v>0</v>
      </c>
      <c r="I83" s="422">
        <f>'Sup Staff'!L24</f>
        <v>0</v>
      </c>
      <c r="J83" s="422">
        <f>'Sup Staff'!N24</f>
        <v>0</v>
      </c>
      <c r="K83" s="422">
        <f>'Sup Staff'!O24</f>
        <v>0</v>
      </c>
      <c r="L83" s="422">
        <f>'Sup Staff'!P24</f>
        <v>0</v>
      </c>
      <c r="M83" s="422">
        <f>'Sup Staff'!R24</f>
        <v>0</v>
      </c>
      <c r="N83" s="422">
        <f>'Sup Staff'!S24</f>
        <v>0</v>
      </c>
      <c r="O83" s="422">
        <f>'Sup Staff'!T24</f>
        <v>0</v>
      </c>
      <c r="P83" s="422">
        <f>'Sup Staff'!V24</f>
        <v>0</v>
      </c>
      <c r="Q83" s="422">
        <f>'Sup Staff'!W24</f>
        <v>0</v>
      </c>
      <c r="R83" s="422">
        <f>'Sup Staff'!X24</f>
        <v>0</v>
      </c>
    </row>
    <row r="84" spans="1:18" ht="12.75" customHeight="1" x14ac:dyDescent="0.2">
      <c r="A84" s="422">
        <f>'Sup Staff'!B8</f>
        <v>0</v>
      </c>
      <c r="B84" s="422">
        <f>'Sup Staff'!C8</f>
        <v>0</v>
      </c>
      <c r="C84" s="422">
        <f>'Sup Staff'!D8</f>
        <v>0</v>
      </c>
      <c r="D84" s="422">
        <f>'Sup Staff'!F8</f>
        <v>0</v>
      </c>
      <c r="E84" s="422">
        <f>'Sup Staff'!G8</f>
        <v>0</v>
      </c>
      <c r="F84" s="422">
        <f>'Sup Staff'!H8</f>
        <v>0</v>
      </c>
      <c r="G84" s="422">
        <f>'Sup Staff'!J8</f>
        <v>0</v>
      </c>
      <c r="H84" s="422">
        <f>'Sup Staff'!K8</f>
        <v>0</v>
      </c>
      <c r="I84" s="422">
        <f>'Sup Staff'!L8</f>
        <v>0</v>
      </c>
      <c r="J84" s="422">
        <f>'Sup Staff'!N8</f>
        <v>0</v>
      </c>
      <c r="K84" s="422">
        <f>'Sup Staff'!O8</f>
        <v>0</v>
      </c>
      <c r="L84" s="422">
        <f>'Sup Staff'!P8</f>
        <v>0</v>
      </c>
      <c r="M84" s="422">
        <f>'Sup Staff'!R8</f>
        <v>0</v>
      </c>
      <c r="N84" s="422">
        <f>'Sup Staff'!S8</f>
        <v>0</v>
      </c>
      <c r="O84" s="422">
        <f>'Sup Staff'!T8</f>
        <v>0</v>
      </c>
      <c r="P84" s="422">
        <f>'Sup Staff'!V8</f>
        <v>0</v>
      </c>
      <c r="Q84" s="422">
        <f>'Sup Staff'!W8</f>
        <v>0</v>
      </c>
      <c r="R84" s="422">
        <f>'Sup Staff'!X8</f>
        <v>0</v>
      </c>
    </row>
    <row r="85" spans="1:18" ht="12.75" customHeight="1" x14ac:dyDescent="0.2">
      <c r="A85" s="422">
        <f>'Sup Staff'!B27</f>
        <v>0</v>
      </c>
      <c r="B85" s="422">
        <f>'Sup Staff'!C27</f>
        <v>0</v>
      </c>
      <c r="C85" s="422">
        <f>'Sup Staff'!D27</f>
        <v>0</v>
      </c>
      <c r="D85" s="422">
        <f>'Sup Staff'!F27</f>
        <v>0</v>
      </c>
      <c r="E85" s="422">
        <f>'Sup Staff'!G27</f>
        <v>0</v>
      </c>
      <c r="F85" s="422">
        <f>'Sup Staff'!H27</f>
        <v>0</v>
      </c>
      <c r="G85" s="422">
        <f>'Sup Staff'!J27</f>
        <v>0</v>
      </c>
      <c r="H85" s="422">
        <f>'Sup Staff'!K27</f>
        <v>0</v>
      </c>
      <c r="I85" s="422">
        <f>'Sup Staff'!L27</f>
        <v>0</v>
      </c>
      <c r="J85" s="422">
        <f>'Sup Staff'!N27</f>
        <v>0</v>
      </c>
      <c r="K85" s="422">
        <f>'Sup Staff'!O27</f>
        <v>0</v>
      </c>
      <c r="L85" s="422">
        <f>'Sup Staff'!P27</f>
        <v>0</v>
      </c>
      <c r="M85" s="422">
        <f>'Sup Staff'!R27</f>
        <v>0</v>
      </c>
      <c r="N85" s="422">
        <f>'Sup Staff'!S27</f>
        <v>0</v>
      </c>
      <c r="O85" s="422">
        <f>'Sup Staff'!T27</f>
        <v>0</v>
      </c>
      <c r="P85" s="422">
        <f>'Sup Staff'!V27</f>
        <v>0</v>
      </c>
      <c r="Q85" s="422">
        <f>'Sup Staff'!W27</f>
        <v>0</v>
      </c>
      <c r="R85" s="422">
        <f>'Sup Staff'!X27</f>
        <v>0</v>
      </c>
    </row>
    <row r="86" spans="1:18" ht="12.75" customHeight="1" x14ac:dyDescent="0.2">
      <c r="A86" s="422">
        <f>'Sup Staff'!B28</f>
        <v>0</v>
      </c>
      <c r="B86" s="422">
        <f>'Sup Staff'!C28</f>
        <v>0</v>
      </c>
      <c r="C86" s="422">
        <f>'Sup Staff'!D28</f>
        <v>0</v>
      </c>
      <c r="D86" s="422">
        <f>'Sup Staff'!F28</f>
        <v>0</v>
      </c>
      <c r="E86" s="422">
        <f>'Sup Staff'!G28</f>
        <v>0</v>
      </c>
      <c r="F86" s="422">
        <f>'Sup Staff'!H28</f>
        <v>0</v>
      </c>
      <c r="G86" s="422">
        <f>'Sup Staff'!J28</f>
        <v>0</v>
      </c>
      <c r="H86" s="422">
        <f>'Sup Staff'!K28</f>
        <v>0</v>
      </c>
      <c r="I86" s="422">
        <f>'Sup Staff'!L28</f>
        <v>0</v>
      </c>
      <c r="J86" s="422">
        <f>'Sup Staff'!N28</f>
        <v>0</v>
      </c>
      <c r="K86" s="422">
        <f>'Sup Staff'!O28</f>
        <v>0</v>
      </c>
      <c r="L86" s="422">
        <f>'Sup Staff'!P28</f>
        <v>0</v>
      </c>
      <c r="M86" s="422">
        <f>'Sup Staff'!R28</f>
        <v>0</v>
      </c>
      <c r="N86" s="422">
        <f>'Sup Staff'!S28</f>
        <v>0</v>
      </c>
      <c r="O86" s="422">
        <f>'Sup Staff'!T28</f>
        <v>0</v>
      </c>
      <c r="P86" s="422">
        <f>'Sup Staff'!V28</f>
        <v>0</v>
      </c>
      <c r="Q86" s="422">
        <f>'Sup Staff'!W28</f>
        <v>0</v>
      </c>
      <c r="R86" s="422">
        <f>'Sup Staff'!X28</f>
        <v>0</v>
      </c>
    </row>
    <row r="87" spans="1:18" ht="12.75" customHeight="1" x14ac:dyDescent="0.2">
      <c r="A87" s="422">
        <f>'Sup Staff'!B9</f>
        <v>0</v>
      </c>
      <c r="B87" s="422">
        <f>'Sup Staff'!C9</f>
        <v>0</v>
      </c>
      <c r="C87" s="422">
        <f>'Sup Staff'!D9</f>
        <v>0</v>
      </c>
      <c r="D87" s="422">
        <f>'Sup Staff'!F9</f>
        <v>0</v>
      </c>
      <c r="E87" s="422">
        <f>'Sup Staff'!G9</f>
        <v>0</v>
      </c>
      <c r="F87" s="422">
        <f>'Sup Staff'!H9</f>
        <v>0</v>
      </c>
      <c r="G87" s="422">
        <f>'Sup Staff'!J9</f>
        <v>0</v>
      </c>
      <c r="H87" s="422">
        <f>'Sup Staff'!K9</f>
        <v>0</v>
      </c>
      <c r="I87" s="422">
        <f>'Sup Staff'!L9</f>
        <v>0</v>
      </c>
      <c r="J87" s="422">
        <f>'Sup Staff'!N9</f>
        <v>0</v>
      </c>
      <c r="K87" s="422">
        <f>'Sup Staff'!O9</f>
        <v>0</v>
      </c>
      <c r="L87" s="422">
        <f>'Sup Staff'!P9</f>
        <v>0</v>
      </c>
      <c r="M87" s="422">
        <f>'Sup Staff'!R9</f>
        <v>0</v>
      </c>
      <c r="N87" s="422">
        <f>'Sup Staff'!S9</f>
        <v>0</v>
      </c>
      <c r="O87" s="422">
        <f>'Sup Staff'!T9</f>
        <v>0</v>
      </c>
      <c r="P87" s="422">
        <f>'Sup Staff'!V9</f>
        <v>0</v>
      </c>
      <c r="Q87" s="422">
        <f>'Sup Staff'!W9</f>
        <v>0</v>
      </c>
      <c r="R87" s="422">
        <f>'Sup Staff'!X9</f>
        <v>0</v>
      </c>
    </row>
    <row r="88" spans="1:18" ht="12.75" customHeight="1" x14ac:dyDescent="0.2">
      <c r="A88" s="422">
        <f>'Sup Staff'!B10</f>
        <v>0</v>
      </c>
      <c r="B88" s="422">
        <f>'Sup Staff'!C10</f>
        <v>0</v>
      </c>
      <c r="C88" s="422">
        <f>'Sup Staff'!D10</f>
        <v>0</v>
      </c>
      <c r="D88" s="422">
        <f>'Sup Staff'!F10</f>
        <v>0</v>
      </c>
      <c r="E88" s="422">
        <f>'Sup Staff'!G10</f>
        <v>0</v>
      </c>
      <c r="F88" s="422">
        <f>'Sup Staff'!H10</f>
        <v>0</v>
      </c>
      <c r="G88" s="422">
        <f>'Sup Staff'!J10</f>
        <v>0</v>
      </c>
      <c r="H88" s="422">
        <f>'Sup Staff'!K10</f>
        <v>0</v>
      </c>
      <c r="I88" s="422">
        <f>'Sup Staff'!L10</f>
        <v>0</v>
      </c>
      <c r="J88" s="422">
        <f>'Sup Staff'!N10</f>
        <v>0</v>
      </c>
      <c r="K88" s="422">
        <f>'Sup Staff'!O10</f>
        <v>0</v>
      </c>
      <c r="L88" s="422">
        <f>'Sup Staff'!P10</f>
        <v>0</v>
      </c>
      <c r="M88" s="422">
        <f>'Sup Staff'!R10</f>
        <v>0</v>
      </c>
      <c r="N88" s="422">
        <f>'Sup Staff'!S10</f>
        <v>0</v>
      </c>
      <c r="O88" s="422">
        <f>'Sup Staff'!T10</f>
        <v>0</v>
      </c>
      <c r="P88" s="422">
        <f>'Sup Staff'!V10</f>
        <v>0</v>
      </c>
      <c r="Q88" s="422">
        <f>'Sup Staff'!W10</f>
        <v>0</v>
      </c>
      <c r="R88" s="422">
        <f>'Sup Staff'!X10</f>
        <v>0</v>
      </c>
    </row>
    <row r="89" spans="1:18" ht="12.75" customHeight="1" x14ac:dyDescent="0.2">
      <c r="A89" s="418">
        <f>Sales!B109</f>
        <v>0</v>
      </c>
      <c r="B89" s="418">
        <f>Sales!C109</f>
        <v>0</v>
      </c>
      <c r="C89" s="418">
        <f>Sales!D109</f>
        <v>28875</v>
      </c>
      <c r="D89" s="418">
        <f>Sales!F109</f>
        <v>28875</v>
      </c>
      <c r="E89" s="418">
        <f>Sales!G109</f>
        <v>0</v>
      </c>
      <c r="F89" s="418">
        <f>Sales!H109</f>
        <v>21000</v>
      </c>
      <c r="G89" s="418">
        <f>Sales!J109</f>
        <v>21000</v>
      </c>
      <c r="H89" s="418">
        <f>Sales!K109</f>
        <v>21000</v>
      </c>
      <c r="I89" s="418">
        <f>Sales!L109</f>
        <v>0</v>
      </c>
      <c r="J89" s="418">
        <f>Sales!N109</f>
        <v>0</v>
      </c>
      <c r="K89" s="418">
        <f>Sales!O109</f>
        <v>0</v>
      </c>
      <c r="L89" s="418">
        <f>Sales!P109</f>
        <v>0</v>
      </c>
      <c r="M89" s="418">
        <f>Sales!R109</f>
        <v>0</v>
      </c>
      <c r="N89" s="418">
        <f>Sales!S109</f>
        <v>0</v>
      </c>
      <c r="O89" s="418">
        <f>Sales!T109</f>
        <v>0</v>
      </c>
      <c r="P89" s="418">
        <f>Sales!V109</f>
        <v>0</v>
      </c>
      <c r="Q89" s="418">
        <f>Sales!W109</f>
        <v>0</v>
      </c>
      <c r="R89" s="418">
        <f>Sales!X109</f>
        <v>0</v>
      </c>
    </row>
    <row r="90" spans="1:18" ht="12.75" customHeight="1" x14ac:dyDescent="0.2">
      <c r="A90" s="418">
        <f>Sales!B110</f>
        <v>0</v>
      </c>
      <c r="B90" s="418">
        <f>Sales!C110</f>
        <v>0</v>
      </c>
      <c r="C90" s="418">
        <f>Sales!D110</f>
        <v>27500</v>
      </c>
      <c r="D90" s="418">
        <f>Sales!F110</f>
        <v>27500</v>
      </c>
      <c r="E90" s="418">
        <f>Sales!G110</f>
        <v>0</v>
      </c>
      <c r="F90" s="418">
        <f>Sales!H110</f>
        <v>20000</v>
      </c>
      <c r="G90" s="418">
        <f>Sales!J110</f>
        <v>20000</v>
      </c>
      <c r="H90" s="418">
        <f>Sales!K110</f>
        <v>20000</v>
      </c>
      <c r="I90" s="418">
        <f>Sales!L110</f>
        <v>0</v>
      </c>
      <c r="J90" s="418">
        <f>Sales!N110</f>
        <v>0</v>
      </c>
      <c r="K90" s="418">
        <f>Sales!O110</f>
        <v>0</v>
      </c>
      <c r="L90" s="418">
        <f>Sales!P110</f>
        <v>0</v>
      </c>
      <c r="M90" s="418">
        <f>Sales!R110</f>
        <v>0</v>
      </c>
      <c r="N90" s="418">
        <f>Sales!S110</f>
        <v>0</v>
      </c>
      <c r="O90" s="418">
        <f>Sales!T110</f>
        <v>0</v>
      </c>
      <c r="P90" s="418">
        <f>Sales!V110</f>
        <v>0</v>
      </c>
      <c r="Q90" s="418">
        <f>Sales!W110</f>
        <v>0</v>
      </c>
      <c r="R90" s="418">
        <f>Sales!X110</f>
        <v>0</v>
      </c>
    </row>
    <row r="91" spans="1:18" ht="12.75" customHeight="1" x14ac:dyDescent="0.2">
      <c r="A91" s="418">
        <f>Practices!B179</f>
        <v>0</v>
      </c>
      <c r="B91" s="418">
        <f>Practices!C179</f>
        <v>0</v>
      </c>
      <c r="C91" s="418">
        <f>Practices!D179</f>
        <v>56375</v>
      </c>
      <c r="D91" s="418">
        <f>Practices!F179</f>
        <v>56375</v>
      </c>
      <c r="E91" s="418">
        <f>Practices!G179</f>
        <v>0</v>
      </c>
      <c r="F91" s="418">
        <f>Practices!H179</f>
        <v>41000</v>
      </c>
      <c r="G91" s="418">
        <f>Practices!J179</f>
        <v>41000</v>
      </c>
      <c r="H91" s="418">
        <f>Practices!K179</f>
        <v>41000</v>
      </c>
      <c r="I91" s="418">
        <f>Practices!L179</f>
        <v>0</v>
      </c>
      <c r="J91" s="418">
        <f>Practices!N179</f>
        <v>0</v>
      </c>
      <c r="K91" s="418">
        <f>Practices!O179</f>
        <v>0</v>
      </c>
      <c r="L91" s="418">
        <f>Practices!P179</f>
        <v>0</v>
      </c>
      <c r="M91" s="418">
        <f>Practices!R179</f>
        <v>0</v>
      </c>
      <c r="N91" s="418">
        <f>Practices!S179</f>
        <v>0</v>
      </c>
      <c r="O91" s="418">
        <f>Practices!T179</f>
        <v>0</v>
      </c>
      <c r="P91" s="418">
        <f>Practices!V179</f>
        <v>0</v>
      </c>
      <c r="Q91" s="418">
        <f>Practices!W179</f>
        <v>0</v>
      </c>
      <c r="R91" s="418">
        <f>Practices!X179</f>
        <v>0</v>
      </c>
    </row>
    <row r="92" spans="1:18" ht="12.75" customHeight="1" x14ac:dyDescent="0.2">
      <c r="A92" s="418">
        <f>Sales!B113</f>
        <v>0</v>
      </c>
      <c r="B92" s="418">
        <f>Sales!C113</f>
        <v>0</v>
      </c>
      <c r="C92" s="418">
        <f>Sales!D113</f>
        <v>28875</v>
      </c>
      <c r="D92" s="418">
        <f>Sales!F113</f>
        <v>28875</v>
      </c>
      <c r="E92" s="418">
        <f>Sales!G113</f>
        <v>0</v>
      </c>
      <c r="F92" s="418">
        <f>Sales!H113</f>
        <v>21000</v>
      </c>
      <c r="G92" s="418">
        <f>Sales!J113</f>
        <v>21000</v>
      </c>
      <c r="H92" s="418">
        <f>Sales!K113</f>
        <v>21000</v>
      </c>
      <c r="I92" s="418">
        <f>Sales!L113</f>
        <v>0</v>
      </c>
      <c r="J92" s="418">
        <f>Sales!N113</f>
        <v>0</v>
      </c>
      <c r="K92" s="418">
        <f>Sales!O113</f>
        <v>0</v>
      </c>
      <c r="L92" s="418">
        <f>Sales!P113</f>
        <v>0</v>
      </c>
      <c r="M92" s="418">
        <f>Sales!R113</f>
        <v>0</v>
      </c>
      <c r="N92" s="418">
        <f>Sales!S113</f>
        <v>0</v>
      </c>
      <c r="O92" s="418">
        <f>Sales!T113</f>
        <v>0</v>
      </c>
      <c r="P92" s="418">
        <f>Sales!V113</f>
        <v>0</v>
      </c>
      <c r="Q92" s="418">
        <f>Sales!W113</f>
        <v>0</v>
      </c>
      <c r="R92" s="418">
        <f>Sales!X113</f>
        <v>0</v>
      </c>
    </row>
    <row r="93" spans="1:18" ht="12.75" customHeight="1" x14ac:dyDescent="0.2">
      <c r="A93" s="418">
        <f>Sales!B114</f>
        <v>0</v>
      </c>
      <c r="B93" s="418">
        <f>Sales!C114</f>
        <v>0</v>
      </c>
      <c r="C93" s="418">
        <f>Sales!D114</f>
        <v>27500</v>
      </c>
      <c r="D93" s="418">
        <f>Sales!F114</f>
        <v>27500</v>
      </c>
      <c r="E93" s="418">
        <f>Sales!G114</f>
        <v>0</v>
      </c>
      <c r="F93" s="418">
        <f>Sales!H114</f>
        <v>20000</v>
      </c>
      <c r="G93" s="418">
        <f>Sales!J114</f>
        <v>20000</v>
      </c>
      <c r="H93" s="418">
        <f>Sales!K114</f>
        <v>20000</v>
      </c>
      <c r="I93" s="418">
        <f>Sales!L114</f>
        <v>0</v>
      </c>
      <c r="J93" s="418">
        <f>Sales!N114</f>
        <v>0</v>
      </c>
      <c r="K93" s="418">
        <f>Sales!O114</f>
        <v>0</v>
      </c>
      <c r="L93" s="418">
        <f>Sales!P114</f>
        <v>0</v>
      </c>
      <c r="M93" s="418">
        <f>Sales!R114</f>
        <v>0</v>
      </c>
      <c r="N93" s="418">
        <f>Sales!S114</f>
        <v>0</v>
      </c>
      <c r="O93" s="418">
        <f>Sales!T114</f>
        <v>0</v>
      </c>
      <c r="P93" s="418">
        <f>Sales!V114</f>
        <v>0</v>
      </c>
      <c r="Q93" s="418">
        <f>Sales!W114</f>
        <v>0</v>
      </c>
      <c r="R93" s="418">
        <f>Sales!X114</f>
        <v>0</v>
      </c>
    </row>
    <row r="94" spans="1:18" ht="12.75" customHeight="1" x14ac:dyDescent="0.2">
      <c r="A94" s="418">
        <f>Practices!B180</f>
        <v>0</v>
      </c>
      <c r="B94" s="418">
        <f>Practices!C180</f>
        <v>0</v>
      </c>
      <c r="C94" s="418">
        <f>Practices!D180</f>
        <v>56375</v>
      </c>
      <c r="D94" s="418">
        <f>Practices!F180</f>
        <v>56375</v>
      </c>
      <c r="E94" s="418">
        <f>Practices!G180</f>
        <v>0</v>
      </c>
      <c r="F94" s="418">
        <f>Practices!H180</f>
        <v>41000</v>
      </c>
      <c r="G94" s="418">
        <f>Practices!J180</f>
        <v>41000</v>
      </c>
      <c r="H94" s="418">
        <f>Practices!K180</f>
        <v>41000</v>
      </c>
      <c r="I94" s="418">
        <f>Practices!L180</f>
        <v>0</v>
      </c>
      <c r="J94" s="418">
        <f>Practices!N180</f>
        <v>0</v>
      </c>
      <c r="K94" s="418">
        <f>Practices!O180</f>
        <v>0</v>
      </c>
      <c r="L94" s="418">
        <f>Practices!P180</f>
        <v>0</v>
      </c>
      <c r="M94" s="418">
        <f>Practices!R180</f>
        <v>0</v>
      </c>
      <c r="N94" s="418">
        <f>Practices!S180</f>
        <v>0</v>
      </c>
      <c r="O94" s="418">
        <f>Practices!T180</f>
        <v>0</v>
      </c>
      <c r="P94" s="418">
        <f>Practices!V180</f>
        <v>0</v>
      </c>
      <c r="Q94" s="418">
        <f>Practices!W180</f>
        <v>0</v>
      </c>
      <c r="R94" s="418">
        <f>Practices!X180</f>
        <v>0</v>
      </c>
    </row>
    <row r="95" spans="1:18" ht="12.75" customHeight="1" x14ac:dyDescent="0.2">
      <c r="A95" s="418">
        <f>Practices!B9</f>
        <v>0</v>
      </c>
      <c r="B95" s="418">
        <f>Practices!C9</f>
        <v>0</v>
      </c>
      <c r="C95" s="418">
        <f>Practices!D9</f>
        <v>112750</v>
      </c>
      <c r="D95" s="418">
        <f>Practices!F9</f>
        <v>112750</v>
      </c>
      <c r="E95" s="418">
        <f>Practices!G9</f>
        <v>0</v>
      </c>
      <c r="F95" s="418">
        <f>Practices!H9</f>
        <v>82000</v>
      </c>
      <c r="G95" s="418">
        <f>Practices!J9</f>
        <v>82000</v>
      </c>
      <c r="H95" s="418">
        <f>Practices!K9</f>
        <v>82000</v>
      </c>
      <c r="I95" s="418">
        <f>Practices!L9</f>
        <v>0</v>
      </c>
      <c r="J95" s="418">
        <f>Practices!N9</f>
        <v>0</v>
      </c>
      <c r="K95" s="418">
        <f>Practices!O9</f>
        <v>0</v>
      </c>
      <c r="L95" s="418">
        <f>Practices!P9</f>
        <v>0</v>
      </c>
      <c r="M95" s="418">
        <f>Practices!R9</f>
        <v>0</v>
      </c>
      <c r="N95" s="418">
        <f>Practices!S9</f>
        <v>0</v>
      </c>
      <c r="O95" s="418">
        <f>Practices!T9</f>
        <v>0</v>
      </c>
      <c r="P95" s="418">
        <f>Practices!V9</f>
        <v>0</v>
      </c>
      <c r="Q95" s="418">
        <f>Practices!W9</f>
        <v>0</v>
      </c>
      <c r="R95" s="418">
        <f>Practices!X9</f>
        <v>0</v>
      </c>
    </row>
    <row r="96" spans="1:18" ht="12.75" customHeight="1" x14ac:dyDescent="0.2">
      <c r="A96" s="418">
        <f>Sales!B122</f>
        <v>0</v>
      </c>
      <c r="B96" s="418">
        <f>Sales!C122</f>
        <v>0</v>
      </c>
      <c r="C96" s="418">
        <f>Sales!D122</f>
        <v>0</v>
      </c>
      <c r="D96" s="418">
        <f>Sales!F122</f>
        <v>0</v>
      </c>
      <c r="E96" s="418">
        <f>Sales!G122</f>
        <v>0</v>
      </c>
      <c r="F96" s="418">
        <f>Sales!H122</f>
        <v>0</v>
      </c>
      <c r="G96" s="418">
        <f>Sales!J122</f>
        <v>0</v>
      </c>
      <c r="H96" s="418">
        <f>Sales!K122</f>
        <v>0</v>
      </c>
      <c r="I96" s="418">
        <f>Sales!L122</f>
        <v>0</v>
      </c>
      <c r="J96" s="418">
        <f>Sales!N122</f>
        <v>0</v>
      </c>
      <c r="K96" s="418">
        <f>Sales!O122</f>
        <v>0</v>
      </c>
      <c r="L96" s="418">
        <f>Sales!P122</f>
        <v>0</v>
      </c>
      <c r="M96" s="418">
        <f>Sales!R122</f>
        <v>0</v>
      </c>
      <c r="N96" s="418">
        <f>Sales!S122</f>
        <v>0</v>
      </c>
      <c r="O96" s="418">
        <f>Sales!T122</f>
        <v>0</v>
      </c>
      <c r="P96" s="418">
        <f>Sales!V122</f>
        <v>0</v>
      </c>
      <c r="Q96" s="418">
        <f>Sales!W122</f>
        <v>0</v>
      </c>
      <c r="R96" s="418">
        <f>Sales!X122</f>
        <v>0</v>
      </c>
    </row>
    <row r="97" spans="1:18" ht="12.75" customHeight="1" x14ac:dyDescent="0.2">
      <c r="A97" s="418">
        <f>Sales!B123</f>
        <v>0</v>
      </c>
      <c r="B97" s="418">
        <f>Sales!C123</f>
        <v>0</v>
      </c>
      <c r="C97" s="418">
        <f>Sales!D123</f>
        <v>0</v>
      </c>
      <c r="D97" s="418">
        <f>Sales!F123</f>
        <v>0</v>
      </c>
      <c r="E97" s="418">
        <f>Sales!G123</f>
        <v>0</v>
      </c>
      <c r="F97" s="418">
        <f>Sales!H123</f>
        <v>0</v>
      </c>
      <c r="G97" s="418">
        <f>Sales!J123</f>
        <v>0</v>
      </c>
      <c r="H97" s="418">
        <f>Sales!K123</f>
        <v>0</v>
      </c>
      <c r="I97" s="418">
        <f>Sales!L123</f>
        <v>0</v>
      </c>
      <c r="J97" s="418">
        <f>Sales!N123</f>
        <v>0</v>
      </c>
      <c r="K97" s="418">
        <f>Sales!O123</f>
        <v>0</v>
      </c>
      <c r="L97" s="418">
        <f>Sales!P123</f>
        <v>0</v>
      </c>
      <c r="M97" s="418">
        <f>Sales!R123</f>
        <v>0</v>
      </c>
      <c r="N97" s="418">
        <f>Sales!S123</f>
        <v>0</v>
      </c>
      <c r="O97" s="418">
        <f>Sales!T123</f>
        <v>0</v>
      </c>
      <c r="P97" s="418">
        <f>Sales!V123</f>
        <v>0</v>
      </c>
      <c r="Q97" s="418">
        <f>Sales!W123</f>
        <v>0</v>
      </c>
      <c r="R97" s="418">
        <f>Sales!X123</f>
        <v>0</v>
      </c>
    </row>
    <row r="98" spans="1:18" ht="12.75" customHeight="1" x14ac:dyDescent="0.2">
      <c r="A98" s="418">
        <f>Practices!B183</f>
        <v>0</v>
      </c>
      <c r="B98" s="418">
        <f>Practices!C183</f>
        <v>0</v>
      </c>
      <c r="C98" s="418">
        <f>Practices!D183</f>
        <v>0</v>
      </c>
      <c r="D98" s="418">
        <f>Practices!F183</f>
        <v>0</v>
      </c>
      <c r="E98" s="418">
        <f>Practices!G183</f>
        <v>0</v>
      </c>
      <c r="F98" s="418">
        <f>Practices!H183</f>
        <v>0</v>
      </c>
      <c r="G98" s="418">
        <f>Practices!J183</f>
        <v>0</v>
      </c>
      <c r="H98" s="418">
        <f>Practices!K183</f>
        <v>0</v>
      </c>
      <c r="I98" s="418">
        <f>Practices!L183</f>
        <v>0</v>
      </c>
      <c r="J98" s="418">
        <f>Practices!N183</f>
        <v>0</v>
      </c>
      <c r="K98" s="418">
        <f>Practices!O183</f>
        <v>0</v>
      </c>
      <c r="L98" s="418">
        <f>Practices!P183</f>
        <v>0</v>
      </c>
      <c r="M98" s="418">
        <f>Practices!R183</f>
        <v>0</v>
      </c>
      <c r="N98" s="418">
        <f>Practices!S183</f>
        <v>0</v>
      </c>
      <c r="O98" s="418">
        <f>Practices!T183</f>
        <v>0</v>
      </c>
      <c r="P98" s="418">
        <f>Practices!V183</f>
        <v>0</v>
      </c>
      <c r="Q98" s="418">
        <f>Practices!W183</f>
        <v>0</v>
      </c>
      <c r="R98" s="418">
        <f>Practices!X183</f>
        <v>0</v>
      </c>
    </row>
    <row r="99" spans="1:18" ht="12.75" customHeight="1" x14ac:dyDescent="0.2">
      <c r="A99" s="418">
        <f>Sales!B126</f>
        <v>0</v>
      </c>
      <c r="B99" s="418">
        <f>Sales!C126</f>
        <v>0</v>
      </c>
      <c r="C99" s="418">
        <f>Sales!D126</f>
        <v>0</v>
      </c>
      <c r="D99" s="418">
        <f>Sales!F126</f>
        <v>0</v>
      </c>
      <c r="E99" s="418">
        <f>Sales!G126</f>
        <v>0</v>
      </c>
      <c r="F99" s="418">
        <f>Sales!H126</f>
        <v>0</v>
      </c>
      <c r="G99" s="418">
        <f>Sales!J126</f>
        <v>0</v>
      </c>
      <c r="H99" s="418">
        <f>Sales!K126</f>
        <v>0</v>
      </c>
      <c r="I99" s="418">
        <f>Sales!L126</f>
        <v>0</v>
      </c>
      <c r="J99" s="418">
        <f>Sales!N126</f>
        <v>0</v>
      </c>
      <c r="K99" s="418">
        <f>Sales!O126</f>
        <v>0</v>
      </c>
      <c r="L99" s="418">
        <f>Sales!P126</f>
        <v>0</v>
      </c>
      <c r="M99" s="418">
        <f>Sales!R126</f>
        <v>0</v>
      </c>
      <c r="N99" s="418">
        <f>Sales!S126</f>
        <v>0</v>
      </c>
      <c r="O99" s="418">
        <f>Sales!T126</f>
        <v>0</v>
      </c>
      <c r="P99" s="418">
        <f>Sales!V126</f>
        <v>0</v>
      </c>
      <c r="Q99" s="418">
        <f>Sales!W126</f>
        <v>0</v>
      </c>
      <c r="R99" s="418">
        <f>Sales!X126</f>
        <v>0</v>
      </c>
    </row>
    <row r="100" spans="1:18" ht="12.75" customHeight="1" x14ac:dyDescent="0.2">
      <c r="A100" s="418">
        <f>Sales!B127</f>
        <v>0</v>
      </c>
      <c r="B100" s="418">
        <f>Sales!C127</f>
        <v>0</v>
      </c>
      <c r="C100" s="418">
        <f>Sales!D127</f>
        <v>0</v>
      </c>
      <c r="D100" s="418">
        <f>Sales!F127</f>
        <v>0</v>
      </c>
      <c r="E100" s="418">
        <f>Sales!G127</f>
        <v>0</v>
      </c>
      <c r="F100" s="418">
        <f>Sales!H127</f>
        <v>0</v>
      </c>
      <c r="G100" s="418">
        <f>Sales!J127</f>
        <v>0</v>
      </c>
      <c r="H100" s="418">
        <f>Sales!K127</f>
        <v>0</v>
      </c>
      <c r="I100" s="418">
        <f>Sales!L127</f>
        <v>0</v>
      </c>
      <c r="J100" s="418">
        <f>Sales!N127</f>
        <v>0</v>
      </c>
      <c r="K100" s="418">
        <f>Sales!O127</f>
        <v>0</v>
      </c>
      <c r="L100" s="418">
        <f>Sales!P127</f>
        <v>0</v>
      </c>
      <c r="M100" s="418">
        <f>Sales!R127</f>
        <v>0</v>
      </c>
      <c r="N100" s="418">
        <f>Sales!S127</f>
        <v>0</v>
      </c>
      <c r="O100" s="418">
        <f>Sales!T127</f>
        <v>0</v>
      </c>
      <c r="P100" s="418">
        <f>Sales!V127</f>
        <v>0</v>
      </c>
      <c r="Q100" s="418">
        <f>Sales!W127</f>
        <v>0</v>
      </c>
      <c r="R100" s="418">
        <f>Sales!X127</f>
        <v>0</v>
      </c>
    </row>
    <row r="101" spans="1:18" ht="12.75" customHeight="1" x14ac:dyDescent="0.2">
      <c r="A101" s="418">
        <f>Practices!B184</f>
        <v>0</v>
      </c>
      <c r="B101" s="418">
        <f>Practices!C184</f>
        <v>0</v>
      </c>
      <c r="C101" s="418">
        <f>Practices!D184</f>
        <v>0</v>
      </c>
      <c r="D101" s="418">
        <f>Practices!F184</f>
        <v>0</v>
      </c>
      <c r="E101" s="418">
        <f>Practices!G184</f>
        <v>0</v>
      </c>
      <c r="F101" s="418">
        <f>Practices!H184</f>
        <v>0</v>
      </c>
      <c r="G101" s="418">
        <f>Practices!J184</f>
        <v>0</v>
      </c>
      <c r="H101" s="418">
        <f>Practices!K184</f>
        <v>0</v>
      </c>
      <c r="I101" s="418">
        <f>Practices!L184</f>
        <v>0</v>
      </c>
      <c r="J101" s="418">
        <f>Practices!N184</f>
        <v>0</v>
      </c>
      <c r="K101" s="418">
        <f>Practices!O184</f>
        <v>0</v>
      </c>
      <c r="L101" s="418">
        <f>Practices!P184</f>
        <v>0</v>
      </c>
      <c r="M101" s="418">
        <f>Practices!R184</f>
        <v>0</v>
      </c>
      <c r="N101" s="418">
        <f>Practices!S184</f>
        <v>0</v>
      </c>
      <c r="O101" s="418">
        <f>Practices!T184</f>
        <v>0</v>
      </c>
      <c r="P101" s="418">
        <f>Practices!V184</f>
        <v>0</v>
      </c>
      <c r="Q101" s="418">
        <f>Practices!W184</f>
        <v>0</v>
      </c>
      <c r="R101" s="418">
        <f>Practices!X184</f>
        <v>0</v>
      </c>
    </row>
    <row r="102" spans="1:18" ht="12.75" customHeight="1" x14ac:dyDescent="0.2">
      <c r="A102" s="418">
        <f>Practices!B10</f>
        <v>0</v>
      </c>
      <c r="B102" s="418">
        <f>Practices!C10</f>
        <v>0</v>
      </c>
      <c r="C102" s="418">
        <f>Practices!D10</f>
        <v>0</v>
      </c>
      <c r="D102" s="418">
        <f>Practices!F10</f>
        <v>0</v>
      </c>
      <c r="E102" s="418">
        <f>Practices!G10</f>
        <v>0</v>
      </c>
      <c r="F102" s="418">
        <f>Practices!H10</f>
        <v>0</v>
      </c>
      <c r="G102" s="418">
        <f>Practices!J10</f>
        <v>0</v>
      </c>
      <c r="H102" s="418">
        <f>Practices!K10</f>
        <v>0</v>
      </c>
      <c r="I102" s="418">
        <f>Practices!L10</f>
        <v>0</v>
      </c>
      <c r="J102" s="418">
        <f>Practices!N10</f>
        <v>0</v>
      </c>
      <c r="K102" s="418">
        <f>Practices!O10</f>
        <v>0</v>
      </c>
      <c r="L102" s="418">
        <f>Practices!P10</f>
        <v>0</v>
      </c>
      <c r="M102" s="418">
        <f>Practices!R10</f>
        <v>0</v>
      </c>
      <c r="N102" s="418">
        <f>Practices!S10</f>
        <v>0</v>
      </c>
      <c r="O102" s="418">
        <f>Practices!T10</f>
        <v>0</v>
      </c>
      <c r="P102" s="418">
        <f>Practices!V10</f>
        <v>0</v>
      </c>
      <c r="Q102" s="418">
        <f>Practices!W10</f>
        <v>0</v>
      </c>
      <c r="R102" s="418">
        <f>Practices!X10</f>
        <v>0</v>
      </c>
    </row>
    <row r="103" spans="1:18" ht="12.75" customHeight="1" x14ac:dyDescent="0.2">
      <c r="A103" s="418">
        <f>IncStmt!B6</f>
        <v>0</v>
      </c>
      <c r="B103" s="418">
        <f>IncStmt!C6</f>
        <v>0</v>
      </c>
      <c r="C103" s="418">
        <f>IncStmt!D6</f>
        <v>112750</v>
      </c>
      <c r="D103" s="418">
        <f>IncStmt!F6</f>
        <v>112750</v>
      </c>
      <c r="E103" s="418">
        <f>IncStmt!G6</f>
        <v>0</v>
      </c>
      <c r="F103" s="418">
        <f>IncStmt!H6</f>
        <v>82000</v>
      </c>
      <c r="G103" s="418">
        <f>IncStmt!J6</f>
        <v>82000</v>
      </c>
      <c r="H103" s="418">
        <f>IncStmt!K6</f>
        <v>82000</v>
      </c>
      <c r="I103" s="418">
        <f>IncStmt!L6</f>
        <v>0</v>
      </c>
      <c r="J103" s="418">
        <f>IncStmt!N6</f>
        <v>0</v>
      </c>
      <c r="K103" s="418">
        <f>IncStmt!O6</f>
        <v>0</v>
      </c>
      <c r="L103" s="418">
        <f>IncStmt!P6</f>
        <v>0</v>
      </c>
      <c r="M103" s="418">
        <f>IncStmt!R6</f>
        <v>0</v>
      </c>
      <c r="N103" s="418">
        <f>IncStmt!S6</f>
        <v>0</v>
      </c>
      <c r="O103" s="418">
        <f>IncStmt!T6</f>
        <v>0</v>
      </c>
      <c r="P103" s="418">
        <f>IncStmt!V6</f>
        <v>0</v>
      </c>
      <c r="Q103" s="418">
        <f>IncStmt!W6</f>
        <v>0</v>
      </c>
      <c r="R103" s="418">
        <f>IncStmt!X6</f>
        <v>0</v>
      </c>
    </row>
    <row r="104" spans="1:18" ht="12.75" customHeight="1" x14ac:dyDescent="0.2">
      <c r="A104" s="423">
        <f>'GM CostSvcs'!B507</f>
        <v>0</v>
      </c>
      <c r="B104" s="423">
        <f>'GM CostSvcs'!C507</f>
        <v>0</v>
      </c>
      <c r="C104" s="423">
        <f>'GM CostSvcs'!D507</f>
        <v>0</v>
      </c>
      <c r="D104" s="423">
        <f>'GM CostSvcs'!F507</f>
        <v>0</v>
      </c>
      <c r="E104" s="423">
        <f>'GM CostSvcs'!G507</f>
        <v>0</v>
      </c>
      <c r="F104" s="423">
        <f>'GM CostSvcs'!H507</f>
        <v>0</v>
      </c>
      <c r="G104" s="423">
        <f>'GM CostSvcs'!J507</f>
        <v>150</v>
      </c>
      <c r="H104" s="423">
        <f>'GM CostSvcs'!K507</f>
        <v>300</v>
      </c>
      <c r="I104" s="423">
        <f>'GM CostSvcs'!L507</f>
        <v>0</v>
      </c>
      <c r="J104" s="423">
        <f>'GM CostSvcs'!N507</f>
        <v>0</v>
      </c>
      <c r="K104" s="423">
        <f>'GM CostSvcs'!O507</f>
        <v>0</v>
      </c>
      <c r="L104" s="423">
        <f>'GM CostSvcs'!P507</f>
        <v>0</v>
      </c>
      <c r="M104" s="423">
        <f>'GM CostSvcs'!R507</f>
        <v>0</v>
      </c>
      <c r="N104" s="423">
        <f>'GM CostSvcs'!S507</f>
        <v>0</v>
      </c>
      <c r="O104" s="423">
        <f>'GM CostSvcs'!T507</f>
        <v>0</v>
      </c>
      <c r="P104" s="423">
        <f>'GM CostSvcs'!V507</f>
        <v>0</v>
      </c>
      <c r="Q104" s="423">
        <f>'GM CostSvcs'!W507</f>
        <v>0</v>
      </c>
      <c r="R104" s="423">
        <f>'GM CostSvcs'!X507</f>
        <v>0</v>
      </c>
    </row>
    <row r="105" spans="1:18" ht="12.75" customHeight="1" x14ac:dyDescent="0.2">
      <c r="A105" s="423">
        <f>'GM CostSvcs'!B508</f>
        <v>0</v>
      </c>
      <c r="B105" s="423">
        <f>'GM CostSvcs'!C508</f>
        <v>0</v>
      </c>
      <c r="C105" s="423">
        <f>'GM CostSvcs'!D508</f>
        <v>0</v>
      </c>
      <c r="D105" s="423">
        <f>'GM CostSvcs'!F508</f>
        <v>0</v>
      </c>
      <c r="E105" s="423">
        <f>'GM CostSvcs'!G508</f>
        <v>0</v>
      </c>
      <c r="F105" s="423">
        <f>'GM CostSvcs'!H508</f>
        <v>0</v>
      </c>
      <c r="G105" s="423">
        <f>'GM CostSvcs'!J508</f>
        <v>150</v>
      </c>
      <c r="H105" s="423">
        <f>'GM CostSvcs'!K508</f>
        <v>300</v>
      </c>
      <c r="I105" s="423">
        <f>'GM CostSvcs'!L508</f>
        <v>0</v>
      </c>
      <c r="J105" s="423">
        <f>'GM CostSvcs'!N508</f>
        <v>0</v>
      </c>
      <c r="K105" s="423">
        <f>'GM CostSvcs'!O508</f>
        <v>0</v>
      </c>
      <c r="L105" s="423">
        <f>'GM CostSvcs'!P508</f>
        <v>0</v>
      </c>
      <c r="M105" s="423">
        <f>'GM CostSvcs'!R508</f>
        <v>0</v>
      </c>
      <c r="N105" s="423">
        <f>'GM CostSvcs'!S508</f>
        <v>0</v>
      </c>
      <c r="O105" s="423">
        <f>'GM CostSvcs'!T508</f>
        <v>0</v>
      </c>
      <c r="P105" s="423">
        <f>'GM CostSvcs'!V508</f>
        <v>0</v>
      </c>
      <c r="Q105" s="423">
        <f>'GM CostSvcs'!W508</f>
        <v>0</v>
      </c>
      <c r="R105" s="423">
        <f>'GM CostSvcs'!X508</f>
        <v>0</v>
      </c>
    </row>
    <row r="106" spans="1:18" ht="12.75" customHeight="1" x14ac:dyDescent="0.2">
      <c r="A106" s="423">
        <f>'GM CostSvcs'!B509</f>
        <v>0</v>
      </c>
      <c r="B106" s="423">
        <f>'GM CostSvcs'!C509</f>
        <v>0</v>
      </c>
      <c r="C106" s="423">
        <f>'GM CostSvcs'!D509</f>
        <v>0</v>
      </c>
      <c r="D106" s="423">
        <f>'GM CostSvcs'!F509</f>
        <v>0</v>
      </c>
      <c r="E106" s="423">
        <f>'GM CostSvcs'!G509</f>
        <v>0</v>
      </c>
      <c r="F106" s="423">
        <f>'GM CostSvcs'!H509</f>
        <v>0</v>
      </c>
      <c r="G106" s="423">
        <f>'GM CostSvcs'!J509</f>
        <v>300</v>
      </c>
      <c r="H106" s="423">
        <f>'GM CostSvcs'!K509</f>
        <v>600</v>
      </c>
      <c r="I106" s="423">
        <f>'GM CostSvcs'!L509</f>
        <v>0</v>
      </c>
      <c r="J106" s="423">
        <f>'GM CostSvcs'!N509</f>
        <v>0</v>
      </c>
      <c r="K106" s="423">
        <f>'GM CostSvcs'!O509</f>
        <v>0</v>
      </c>
      <c r="L106" s="423">
        <f>'GM CostSvcs'!P509</f>
        <v>0</v>
      </c>
      <c r="M106" s="423">
        <f>'GM CostSvcs'!R509</f>
        <v>0</v>
      </c>
      <c r="N106" s="423">
        <f>'GM CostSvcs'!S509</f>
        <v>0</v>
      </c>
      <c r="O106" s="423">
        <f>'GM CostSvcs'!T509</f>
        <v>0</v>
      </c>
      <c r="P106" s="423">
        <f>'GM CostSvcs'!V509</f>
        <v>0</v>
      </c>
      <c r="Q106" s="423">
        <f>'GM CostSvcs'!W509</f>
        <v>0</v>
      </c>
      <c r="R106" s="423">
        <f>'GM CostSvcs'!X509</f>
        <v>0</v>
      </c>
    </row>
    <row r="107" spans="1:18" ht="12.75" customHeight="1" x14ac:dyDescent="0.2">
      <c r="A107" s="423">
        <f>'GM CostSvcs'!B511</f>
        <v>0</v>
      </c>
      <c r="B107" s="423">
        <f>'GM CostSvcs'!C511</f>
        <v>0</v>
      </c>
      <c r="C107" s="423">
        <f>'GM CostSvcs'!D511</f>
        <v>0</v>
      </c>
      <c r="D107" s="423">
        <f>'GM CostSvcs'!F511</f>
        <v>0</v>
      </c>
      <c r="E107" s="423">
        <f>'GM CostSvcs'!G511</f>
        <v>0</v>
      </c>
      <c r="F107" s="423">
        <f>'GM CostSvcs'!H511</f>
        <v>0</v>
      </c>
      <c r="G107" s="423">
        <f>'GM CostSvcs'!J511</f>
        <v>0</v>
      </c>
      <c r="H107" s="423">
        <f>'GM CostSvcs'!K511</f>
        <v>0</v>
      </c>
      <c r="I107" s="423">
        <f>'GM CostSvcs'!L511</f>
        <v>0</v>
      </c>
      <c r="J107" s="423">
        <f>'GM CostSvcs'!N511</f>
        <v>0</v>
      </c>
      <c r="K107" s="423">
        <f>'GM CostSvcs'!O511</f>
        <v>0</v>
      </c>
      <c r="L107" s="423">
        <f>'GM CostSvcs'!P511</f>
        <v>0</v>
      </c>
      <c r="M107" s="423">
        <f>'GM CostSvcs'!R511</f>
        <v>0</v>
      </c>
      <c r="N107" s="423">
        <f>'GM CostSvcs'!S511</f>
        <v>0</v>
      </c>
      <c r="O107" s="423">
        <f>'GM CostSvcs'!T511</f>
        <v>0</v>
      </c>
      <c r="P107" s="423">
        <f>'GM CostSvcs'!V511</f>
        <v>0</v>
      </c>
      <c r="Q107" s="423">
        <f>'GM CostSvcs'!W511</f>
        <v>0</v>
      </c>
      <c r="R107" s="423">
        <f>'GM CostSvcs'!X511</f>
        <v>0</v>
      </c>
    </row>
    <row r="108" spans="1:18" ht="12.75" customHeight="1" x14ac:dyDescent="0.2">
      <c r="A108" s="423">
        <f>'GM CostSvcs'!B512</f>
        <v>0</v>
      </c>
      <c r="B108" s="423">
        <f>'GM CostSvcs'!C512</f>
        <v>0</v>
      </c>
      <c r="C108" s="423">
        <f>'GM CostSvcs'!D512</f>
        <v>0</v>
      </c>
      <c r="D108" s="423">
        <f>'GM CostSvcs'!F512</f>
        <v>0</v>
      </c>
      <c r="E108" s="423">
        <f>'GM CostSvcs'!G512</f>
        <v>0</v>
      </c>
      <c r="F108" s="423">
        <f>'GM CostSvcs'!H512</f>
        <v>0</v>
      </c>
      <c r="G108" s="423">
        <f>'GM CostSvcs'!J512</f>
        <v>0</v>
      </c>
      <c r="H108" s="423">
        <f>'GM CostSvcs'!K512</f>
        <v>0</v>
      </c>
      <c r="I108" s="423">
        <f>'GM CostSvcs'!L512</f>
        <v>0</v>
      </c>
      <c r="J108" s="423">
        <f>'GM CostSvcs'!N512</f>
        <v>0</v>
      </c>
      <c r="K108" s="423">
        <f>'GM CostSvcs'!O512</f>
        <v>0</v>
      </c>
      <c r="L108" s="423">
        <f>'GM CostSvcs'!P512</f>
        <v>0</v>
      </c>
      <c r="M108" s="423">
        <f>'GM CostSvcs'!R512</f>
        <v>0</v>
      </c>
      <c r="N108" s="423">
        <f>'GM CostSvcs'!S512</f>
        <v>0</v>
      </c>
      <c r="O108" s="423">
        <f>'GM CostSvcs'!T512</f>
        <v>0</v>
      </c>
      <c r="P108" s="423">
        <f>'GM CostSvcs'!V512</f>
        <v>0</v>
      </c>
      <c r="Q108" s="423">
        <f>'GM CostSvcs'!W512</f>
        <v>0</v>
      </c>
      <c r="R108" s="423">
        <f>'GM CostSvcs'!X512</f>
        <v>0</v>
      </c>
    </row>
    <row r="109" spans="1:18" ht="12.75" customHeight="1" x14ac:dyDescent="0.2">
      <c r="A109" s="423">
        <f>'GM CostSvcs'!B513</f>
        <v>0</v>
      </c>
      <c r="B109" s="423">
        <f>'GM CostSvcs'!C513</f>
        <v>0</v>
      </c>
      <c r="C109" s="423">
        <f>'GM CostSvcs'!D513</f>
        <v>0</v>
      </c>
      <c r="D109" s="423">
        <f>'GM CostSvcs'!F513</f>
        <v>0</v>
      </c>
      <c r="E109" s="423">
        <f>'GM CostSvcs'!G513</f>
        <v>0</v>
      </c>
      <c r="F109" s="423">
        <f>'GM CostSvcs'!H513</f>
        <v>0</v>
      </c>
      <c r="G109" s="423">
        <f>'GM CostSvcs'!J513</f>
        <v>0</v>
      </c>
      <c r="H109" s="423">
        <f>'GM CostSvcs'!K513</f>
        <v>0</v>
      </c>
      <c r="I109" s="423">
        <f>'GM CostSvcs'!L513</f>
        <v>0</v>
      </c>
      <c r="J109" s="423">
        <f>'GM CostSvcs'!N513</f>
        <v>0</v>
      </c>
      <c r="K109" s="423">
        <f>'GM CostSvcs'!O513</f>
        <v>0</v>
      </c>
      <c r="L109" s="423">
        <f>'GM CostSvcs'!P513</f>
        <v>0</v>
      </c>
      <c r="M109" s="423">
        <f>'GM CostSvcs'!R513</f>
        <v>0</v>
      </c>
      <c r="N109" s="423">
        <f>'GM CostSvcs'!S513</f>
        <v>0</v>
      </c>
      <c r="O109" s="423">
        <f>'GM CostSvcs'!T513</f>
        <v>0</v>
      </c>
      <c r="P109" s="423">
        <f>'GM CostSvcs'!V513</f>
        <v>0</v>
      </c>
      <c r="Q109" s="423">
        <f>'GM CostSvcs'!W513</f>
        <v>0</v>
      </c>
      <c r="R109" s="423">
        <f>'GM CostSvcs'!X513</f>
        <v>0</v>
      </c>
    </row>
    <row r="110" spans="1:18" ht="12.75" customHeight="1" x14ac:dyDescent="0.2">
      <c r="A110" s="423">
        <f>'GM CostSvcs'!B514</f>
        <v>0</v>
      </c>
      <c r="B110" s="423">
        <f>'GM CostSvcs'!C514</f>
        <v>0</v>
      </c>
      <c r="C110" s="423">
        <f>'GM CostSvcs'!D514</f>
        <v>0</v>
      </c>
      <c r="D110" s="423">
        <f>'GM CostSvcs'!F514</f>
        <v>0</v>
      </c>
      <c r="E110" s="423">
        <f>'GM CostSvcs'!G514</f>
        <v>0</v>
      </c>
      <c r="F110" s="423">
        <f>'GM CostSvcs'!H514</f>
        <v>0</v>
      </c>
      <c r="G110" s="423">
        <f>'GM CostSvcs'!J514</f>
        <v>300</v>
      </c>
      <c r="H110" s="423">
        <f>'GM CostSvcs'!K514</f>
        <v>600</v>
      </c>
      <c r="I110" s="423">
        <f>'GM CostSvcs'!L514</f>
        <v>0</v>
      </c>
      <c r="J110" s="423">
        <f>'GM CostSvcs'!N514</f>
        <v>0</v>
      </c>
      <c r="K110" s="423">
        <f>'GM CostSvcs'!O514</f>
        <v>0</v>
      </c>
      <c r="L110" s="423">
        <f>'GM CostSvcs'!P514</f>
        <v>0</v>
      </c>
      <c r="M110" s="423">
        <f>'GM CostSvcs'!R514</f>
        <v>0</v>
      </c>
      <c r="N110" s="423">
        <f>'GM CostSvcs'!S514</f>
        <v>0</v>
      </c>
      <c r="O110" s="423">
        <f>'GM CostSvcs'!T514</f>
        <v>0</v>
      </c>
      <c r="P110" s="423">
        <f>'GM CostSvcs'!V514</f>
        <v>0</v>
      </c>
      <c r="Q110" s="423">
        <f>'GM CostSvcs'!W514</f>
        <v>0</v>
      </c>
      <c r="R110" s="423">
        <f>'GM CostSvcs'!X514</f>
        <v>0</v>
      </c>
    </row>
    <row r="111" spans="1:18" ht="12.75" customHeight="1" x14ac:dyDescent="0.2">
      <c r="A111" s="418">
        <f>OpExp!B18</f>
        <v>0</v>
      </c>
      <c r="B111" s="418">
        <f>OpExp!C18</f>
        <v>0</v>
      </c>
      <c r="C111" s="418">
        <f>OpExp!D18</f>
        <v>0</v>
      </c>
      <c r="D111" s="418">
        <f>OpExp!F18</f>
        <v>0</v>
      </c>
      <c r="E111" s="418">
        <f>OpExp!G18</f>
        <v>0</v>
      </c>
      <c r="F111" s="418">
        <f>OpExp!H18</f>
        <v>0</v>
      </c>
      <c r="G111" s="418">
        <f>OpExp!J18</f>
        <v>0</v>
      </c>
      <c r="H111" s="418">
        <f>OpExp!K18</f>
        <v>0</v>
      </c>
      <c r="I111" s="418">
        <f>OpExp!L18</f>
        <v>0</v>
      </c>
      <c r="J111" s="418">
        <f>OpExp!N18</f>
        <v>0</v>
      </c>
      <c r="K111" s="418">
        <f>OpExp!O18</f>
        <v>0</v>
      </c>
      <c r="L111" s="418">
        <f>OpExp!P18</f>
        <v>0</v>
      </c>
      <c r="M111" s="418">
        <f>OpExp!R18</f>
        <v>0</v>
      </c>
      <c r="N111" s="418">
        <f>OpExp!S18</f>
        <v>0</v>
      </c>
      <c r="O111" s="418">
        <f>OpExp!T18</f>
        <v>0</v>
      </c>
      <c r="P111" s="418">
        <f>OpExp!V18</f>
        <v>0</v>
      </c>
      <c r="Q111" s="418">
        <f>OpExp!W18</f>
        <v>0</v>
      </c>
      <c r="R111" s="418">
        <f>OpExp!X18</f>
        <v>0</v>
      </c>
    </row>
    <row r="112" spans="1:18" ht="12.75" customHeight="1" x14ac:dyDescent="0.2">
      <c r="A112" s="418">
        <f>OpExp!B19</f>
        <v>0</v>
      </c>
      <c r="B112" s="418">
        <f>OpExp!C19</f>
        <v>0</v>
      </c>
      <c r="C112" s="418">
        <f>OpExp!D19</f>
        <v>0</v>
      </c>
      <c r="D112" s="418">
        <f>OpExp!F19</f>
        <v>0</v>
      </c>
      <c r="E112" s="418">
        <f>OpExp!G19</f>
        <v>0</v>
      </c>
      <c r="F112" s="418">
        <f>OpExp!H19</f>
        <v>0</v>
      </c>
      <c r="G112" s="418">
        <f>OpExp!J19</f>
        <v>0</v>
      </c>
      <c r="H112" s="418">
        <f>OpExp!K19</f>
        <v>0</v>
      </c>
      <c r="I112" s="418">
        <f>OpExp!L19</f>
        <v>0</v>
      </c>
      <c r="J112" s="418">
        <f>OpExp!N19</f>
        <v>0</v>
      </c>
      <c r="K112" s="418">
        <f>OpExp!O19</f>
        <v>0</v>
      </c>
      <c r="L112" s="418">
        <f>OpExp!P19</f>
        <v>0</v>
      </c>
      <c r="M112" s="418">
        <f>OpExp!R19</f>
        <v>0</v>
      </c>
      <c r="N112" s="418">
        <f>OpExp!S19</f>
        <v>0</v>
      </c>
      <c r="O112" s="418">
        <f>OpExp!T19</f>
        <v>0</v>
      </c>
      <c r="P112" s="418">
        <f>OpExp!V19</f>
        <v>0</v>
      </c>
      <c r="Q112" s="418">
        <f>OpExp!W19</f>
        <v>0</v>
      </c>
      <c r="R112" s="418">
        <f>OpExp!X19</f>
        <v>0</v>
      </c>
    </row>
    <row r="113" spans="1:18" ht="12.75" customHeight="1" x14ac:dyDescent="0.2">
      <c r="A113" s="418">
        <f>OpExp!B20</f>
        <v>0</v>
      </c>
      <c r="B113" s="418">
        <f>OpExp!C20</f>
        <v>0</v>
      </c>
      <c r="C113" s="418">
        <f>OpExp!D20</f>
        <v>0</v>
      </c>
      <c r="D113" s="418">
        <f>OpExp!F20</f>
        <v>0</v>
      </c>
      <c r="E113" s="418">
        <f>OpExp!G20</f>
        <v>0</v>
      </c>
      <c r="F113" s="418">
        <f>OpExp!H20</f>
        <v>0</v>
      </c>
      <c r="G113" s="418">
        <f>OpExp!J20</f>
        <v>0</v>
      </c>
      <c r="H113" s="418">
        <f>OpExp!K20</f>
        <v>0</v>
      </c>
      <c r="I113" s="418">
        <f>OpExp!L20</f>
        <v>0</v>
      </c>
      <c r="J113" s="418">
        <f>OpExp!N20</f>
        <v>0</v>
      </c>
      <c r="K113" s="418">
        <f>OpExp!O20</f>
        <v>0</v>
      </c>
      <c r="L113" s="418">
        <f>OpExp!P20</f>
        <v>0</v>
      </c>
      <c r="M113" s="418">
        <f>OpExp!R20</f>
        <v>0</v>
      </c>
      <c r="N113" s="418">
        <f>OpExp!S20</f>
        <v>0</v>
      </c>
      <c r="O113" s="418">
        <f>OpExp!T20</f>
        <v>0</v>
      </c>
      <c r="P113" s="418">
        <f>OpExp!V20</f>
        <v>0</v>
      </c>
      <c r="Q113" s="418">
        <f>OpExp!W20</f>
        <v>0</v>
      </c>
      <c r="R113" s="418">
        <f>OpExp!X20</f>
        <v>0</v>
      </c>
    </row>
    <row r="114" spans="1:18" ht="12.75" customHeight="1" x14ac:dyDescent="0.2">
      <c r="A114" s="418">
        <f>OpExp!B21</f>
        <v>0</v>
      </c>
      <c r="B114" s="418">
        <f>OpExp!C21</f>
        <v>0</v>
      </c>
      <c r="C114" s="418">
        <f>OpExp!D21</f>
        <v>0</v>
      </c>
      <c r="D114" s="418">
        <f>OpExp!F21</f>
        <v>0</v>
      </c>
      <c r="E114" s="418">
        <f>OpExp!G21</f>
        <v>0</v>
      </c>
      <c r="F114" s="418">
        <f>OpExp!H21</f>
        <v>0</v>
      </c>
      <c r="G114" s="418">
        <f>OpExp!J21</f>
        <v>0</v>
      </c>
      <c r="H114" s="418">
        <f>OpExp!K21</f>
        <v>0</v>
      </c>
      <c r="I114" s="418">
        <f>OpExp!L21</f>
        <v>0</v>
      </c>
      <c r="J114" s="418">
        <f>OpExp!N21</f>
        <v>0</v>
      </c>
      <c r="K114" s="418">
        <f>OpExp!O21</f>
        <v>0</v>
      </c>
      <c r="L114" s="418">
        <f>OpExp!P21</f>
        <v>0</v>
      </c>
      <c r="M114" s="418">
        <f>OpExp!R21</f>
        <v>0</v>
      </c>
      <c r="N114" s="418">
        <f>OpExp!S21</f>
        <v>0</v>
      </c>
      <c r="O114" s="418">
        <f>OpExp!T21</f>
        <v>0</v>
      </c>
      <c r="P114" s="418">
        <f>OpExp!V21</f>
        <v>0</v>
      </c>
      <c r="Q114" s="418">
        <f>OpExp!W21</f>
        <v>0</v>
      </c>
      <c r="R114" s="418">
        <f>OpExp!X21</f>
        <v>0</v>
      </c>
    </row>
    <row r="115" spans="1:18" ht="12.75" customHeight="1" x14ac:dyDescent="0.2">
      <c r="A115" s="418">
        <f>OpExp!B22</f>
        <v>0</v>
      </c>
      <c r="B115" s="418">
        <f>OpExp!C22</f>
        <v>0</v>
      </c>
      <c r="C115" s="418">
        <f>OpExp!D22</f>
        <v>0</v>
      </c>
      <c r="D115" s="418">
        <f>OpExp!F22</f>
        <v>0</v>
      </c>
      <c r="E115" s="418">
        <f>OpExp!G22</f>
        <v>0</v>
      </c>
      <c r="F115" s="418">
        <f>OpExp!H22</f>
        <v>0</v>
      </c>
      <c r="G115" s="418">
        <f>OpExp!J22</f>
        <v>0</v>
      </c>
      <c r="H115" s="418">
        <f>OpExp!K22</f>
        <v>0</v>
      </c>
      <c r="I115" s="418">
        <f>OpExp!L22</f>
        <v>0</v>
      </c>
      <c r="J115" s="418">
        <f>OpExp!N22</f>
        <v>0</v>
      </c>
      <c r="K115" s="418">
        <f>OpExp!O22</f>
        <v>0</v>
      </c>
      <c r="L115" s="418">
        <f>OpExp!P22</f>
        <v>0</v>
      </c>
      <c r="M115" s="418">
        <f>OpExp!R22</f>
        <v>0</v>
      </c>
      <c r="N115" s="418">
        <f>OpExp!S22</f>
        <v>0</v>
      </c>
      <c r="O115" s="418">
        <f>OpExp!T22</f>
        <v>0</v>
      </c>
      <c r="P115" s="418">
        <f>OpExp!V22</f>
        <v>0</v>
      </c>
      <c r="Q115" s="418">
        <f>OpExp!W22</f>
        <v>0</v>
      </c>
      <c r="R115" s="418">
        <f>OpExp!X22</f>
        <v>0</v>
      </c>
    </row>
    <row r="116" spans="1:18" ht="12.75" customHeight="1" x14ac:dyDescent="0.2">
      <c r="A116" s="418">
        <f>OpExp!B23</f>
        <v>0</v>
      </c>
      <c r="B116" s="418">
        <f>OpExp!C23</f>
        <v>0</v>
      </c>
      <c r="C116" s="418">
        <f>OpExp!D23</f>
        <v>0</v>
      </c>
      <c r="D116" s="418">
        <f>OpExp!F23</f>
        <v>0</v>
      </c>
      <c r="E116" s="418">
        <f>OpExp!G23</f>
        <v>0</v>
      </c>
      <c r="F116" s="418">
        <f>OpExp!H23</f>
        <v>0</v>
      </c>
      <c r="G116" s="418">
        <f>OpExp!J23</f>
        <v>0</v>
      </c>
      <c r="H116" s="418">
        <f>OpExp!K23</f>
        <v>0</v>
      </c>
      <c r="I116" s="418">
        <f>OpExp!L23</f>
        <v>0</v>
      </c>
      <c r="J116" s="418">
        <f>OpExp!N23</f>
        <v>0</v>
      </c>
      <c r="K116" s="418">
        <f>OpExp!O23</f>
        <v>0</v>
      </c>
      <c r="L116" s="418">
        <f>OpExp!P23</f>
        <v>0</v>
      </c>
      <c r="M116" s="418">
        <f>OpExp!R23</f>
        <v>0</v>
      </c>
      <c r="N116" s="418">
        <f>OpExp!S23</f>
        <v>0</v>
      </c>
      <c r="O116" s="418">
        <f>OpExp!T23</f>
        <v>0</v>
      </c>
      <c r="P116" s="418">
        <f>OpExp!V23</f>
        <v>0</v>
      </c>
      <c r="Q116" s="418">
        <f>OpExp!W23</f>
        <v>0</v>
      </c>
      <c r="R116" s="418">
        <f>OpExp!X23</f>
        <v>0</v>
      </c>
    </row>
    <row r="117" spans="1:18" ht="12.75" customHeight="1" x14ac:dyDescent="0.2">
      <c r="A117" s="418">
        <f>OpExp!B8</f>
        <v>0</v>
      </c>
      <c r="B117" s="418">
        <f>OpExp!C8</f>
        <v>0</v>
      </c>
      <c r="C117" s="418">
        <f>OpExp!D8</f>
        <v>0</v>
      </c>
      <c r="D117" s="418">
        <f>OpExp!F8</f>
        <v>0</v>
      </c>
      <c r="E117" s="418">
        <f>OpExp!G8</f>
        <v>0</v>
      </c>
      <c r="F117" s="418">
        <f>OpExp!H8</f>
        <v>0</v>
      </c>
      <c r="G117" s="418">
        <f>OpExp!J8</f>
        <v>0</v>
      </c>
      <c r="H117" s="418">
        <f>OpExp!K8</f>
        <v>0</v>
      </c>
      <c r="I117" s="418">
        <f>OpExp!L8</f>
        <v>0</v>
      </c>
      <c r="J117" s="418">
        <f>OpExp!N8</f>
        <v>0</v>
      </c>
      <c r="K117" s="418">
        <f>OpExp!O8</f>
        <v>0</v>
      </c>
      <c r="L117" s="418">
        <f>OpExp!P8</f>
        <v>0</v>
      </c>
      <c r="M117" s="418">
        <f>OpExp!R8</f>
        <v>0</v>
      </c>
      <c r="N117" s="418">
        <f>OpExp!S8</f>
        <v>0</v>
      </c>
      <c r="O117" s="418">
        <f>OpExp!T8</f>
        <v>0</v>
      </c>
      <c r="P117" s="418">
        <f>OpExp!V8</f>
        <v>0</v>
      </c>
      <c r="Q117" s="418">
        <f>OpExp!W8</f>
        <v>0</v>
      </c>
      <c r="R117" s="418">
        <f>OpExp!X8</f>
        <v>0</v>
      </c>
    </row>
    <row r="118" spans="1:18" ht="12.75" customHeight="1" x14ac:dyDescent="0.2">
      <c r="A118" s="418">
        <f>OpExp!B26</f>
        <v>0</v>
      </c>
      <c r="B118" s="418">
        <f>OpExp!C26</f>
        <v>0</v>
      </c>
      <c r="C118" s="418">
        <f>OpExp!D26</f>
        <v>0</v>
      </c>
      <c r="D118" s="418">
        <f>OpExp!F26</f>
        <v>0</v>
      </c>
      <c r="E118" s="418">
        <f>OpExp!G26</f>
        <v>0</v>
      </c>
      <c r="F118" s="418">
        <f>OpExp!H26</f>
        <v>0</v>
      </c>
      <c r="G118" s="418">
        <f>OpExp!J26</f>
        <v>0</v>
      </c>
      <c r="H118" s="418">
        <f>OpExp!K26</f>
        <v>0</v>
      </c>
      <c r="I118" s="418">
        <f>OpExp!L26</f>
        <v>0</v>
      </c>
      <c r="J118" s="418">
        <f>OpExp!N26</f>
        <v>0</v>
      </c>
      <c r="K118" s="418">
        <f>OpExp!O26</f>
        <v>0</v>
      </c>
      <c r="L118" s="418">
        <f>OpExp!P26</f>
        <v>0</v>
      </c>
      <c r="M118" s="418">
        <f>OpExp!R26</f>
        <v>0</v>
      </c>
      <c r="N118" s="418">
        <f>OpExp!S26</f>
        <v>0</v>
      </c>
      <c r="O118" s="418">
        <f>OpExp!T26</f>
        <v>0</v>
      </c>
      <c r="P118" s="418">
        <f>OpExp!V26</f>
        <v>0</v>
      </c>
      <c r="Q118" s="418">
        <f>OpExp!W26</f>
        <v>0</v>
      </c>
      <c r="R118" s="418">
        <f>OpExp!X26</f>
        <v>0</v>
      </c>
    </row>
    <row r="119" spans="1:18" ht="12.75" customHeight="1" x14ac:dyDescent="0.2">
      <c r="A119" s="418">
        <f>OpExp!B27</f>
        <v>0</v>
      </c>
      <c r="B119" s="418">
        <f>OpExp!C27</f>
        <v>0</v>
      </c>
      <c r="C119" s="418">
        <f>OpExp!D27</f>
        <v>0</v>
      </c>
      <c r="D119" s="418">
        <f>OpExp!F27</f>
        <v>0</v>
      </c>
      <c r="E119" s="418">
        <f>OpExp!G27</f>
        <v>0</v>
      </c>
      <c r="F119" s="418">
        <f>OpExp!H27</f>
        <v>0</v>
      </c>
      <c r="G119" s="418">
        <f>OpExp!J27</f>
        <v>0</v>
      </c>
      <c r="H119" s="418">
        <f>OpExp!K27</f>
        <v>0</v>
      </c>
      <c r="I119" s="418">
        <f>OpExp!L27</f>
        <v>0</v>
      </c>
      <c r="J119" s="418">
        <f>OpExp!N27</f>
        <v>0</v>
      </c>
      <c r="K119" s="418">
        <f>OpExp!O27</f>
        <v>0</v>
      </c>
      <c r="L119" s="418">
        <f>OpExp!P27</f>
        <v>0</v>
      </c>
      <c r="M119" s="418">
        <f>OpExp!R27</f>
        <v>0</v>
      </c>
      <c r="N119" s="418">
        <f>OpExp!S27</f>
        <v>0</v>
      </c>
      <c r="O119" s="418">
        <f>OpExp!T27</f>
        <v>0</v>
      </c>
      <c r="P119" s="418">
        <f>OpExp!V27</f>
        <v>0</v>
      </c>
      <c r="Q119" s="418">
        <f>OpExp!W27</f>
        <v>0</v>
      </c>
      <c r="R119" s="418">
        <f>OpExp!X27</f>
        <v>0</v>
      </c>
    </row>
    <row r="120" spans="1:18" ht="12.75" customHeight="1" x14ac:dyDescent="0.2">
      <c r="A120" s="418">
        <f>OpExp!B28</f>
        <v>0</v>
      </c>
      <c r="B120" s="418">
        <f>OpExp!C28</f>
        <v>0</v>
      </c>
      <c r="C120" s="418">
        <f>OpExp!D28</f>
        <v>0</v>
      </c>
      <c r="D120" s="418">
        <f>OpExp!F28</f>
        <v>0</v>
      </c>
      <c r="E120" s="418">
        <f>OpExp!G28</f>
        <v>0</v>
      </c>
      <c r="F120" s="418">
        <f>OpExp!H28</f>
        <v>0</v>
      </c>
      <c r="G120" s="418">
        <f>OpExp!J28</f>
        <v>0</v>
      </c>
      <c r="H120" s="418">
        <f>OpExp!K28</f>
        <v>0</v>
      </c>
      <c r="I120" s="418">
        <f>OpExp!L28</f>
        <v>0</v>
      </c>
      <c r="J120" s="418">
        <f>OpExp!N28</f>
        <v>0</v>
      </c>
      <c r="K120" s="418">
        <f>OpExp!O28</f>
        <v>0</v>
      </c>
      <c r="L120" s="418">
        <f>OpExp!P28</f>
        <v>0</v>
      </c>
      <c r="M120" s="418">
        <f>OpExp!R28</f>
        <v>0</v>
      </c>
      <c r="N120" s="418">
        <f>OpExp!S28</f>
        <v>0</v>
      </c>
      <c r="O120" s="418">
        <f>OpExp!T28</f>
        <v>0</v>
      </c>
      <c r="P120" s="418">
        <f>OpExp!V28</f>
        <v>0</v>
      </c>
      <c r="Q120" s="418">
        <f>OpExp!W28</f>
        <v>0</v>
      </c>
      <c r="R120" s="418">
        <f>OpExp!X28</f>
        <v>0</v>
      </c>
    </row>
    <row r="121" spans="1:18" ht="12.75" customHeight="1" x14ac:dyDescent="0.2">
      <c r="A121" s="418">
        <f>OpExp!B29</f>
        <v>0</v>
      </c>
      <c r="B121" s="418">
        <f>OpExp!C29</f>
        <v>0</v>
      </c>
      <c r="C121" s="418">
        <f>OpExp!D29</f>
        <v>0</v>
      </c>
      <c r="D121" s="418">
        <f>OpExp!F29</f>
        <v>0</v>
      </c>
      <c r="E121" s="418">
        <f>OpExp!G29</f>
        <v>0</v>
      </c>
      <c r="F121" s="418">
        <f>OpExp!H29</f>
        <v>0</v>
      </c>
      <c r="G121" s="418">
        <f>OpExp!J29</f>
        <v>0</v>
      </c>
      <c r="H121" s="418">
        <f>OpExp!K29</f>
        <v>0</v>
      </c>
      <c r="I121" s="418">
        <f>OpExp!L29</f>
        <v>0</v>
      </c>
      <c r="J121" s="418">
        <f>OpExp!N29</f>
        <v>0</v>
      </c>
      <c r="K121" s="418">
        <f>OpExp!O29</f>
        <v>0</v>
      </c>
      <c r="L121" s="418">
        <f>OpExp!P29</f>
        <v>0</v>
      </c>
      <c r="M121" s="418">
        <f>OpExp!R29</f>
        <v>0</v>
      </c>
      <c r="N121" s="418">
        <f>OpExp!S29</f>
        <v>0</v>
      </c>
      <c r="O121" s="418">
        <f>OpExp!T29</f>
        <v>0</v>
      </c>
      <c r="P121" s="418">
        <f>OpExp!V29</f>
        <v>0</v>
      </c>
      <c r="Q121" s="418">
        <f>OpExp!W29</f>
        <v>0</v>
      </c>
      <c r="R121" s="418">
        <f>OpExp!X29</f>
        <v>0</v>
      </c>
    </row>
    <row r="122" spans="1:18" ht="12.75" customHeight="1" x14ac:dyDescent="0.2">
      <c r="A122" s="418">
        <f>OpExp!B30</f>
        <v>0</v>
      </c>
      <c r="B122" s="418">
        <f>OpExp!C30</f>
        <v>0</v>
      </c>
      <c r="C122" s="418">
        <f>OpExp!D30</f>
        <v>0</v>
      </c>
      <c r="D122" s="418">
        <f>OpExp!F30</f>
        <v>0</v>
      </c>
      <c r="E122" s="418">
        <f>OpExp!G30</f>
        <v>0</v>
      </c>
      <c r="F122" s="418">
        <f>OpExp!H30</f>
        <v>0</v>
      </c>
      <c r="G122" s="418">
        <f>OpExp!J30</f>
        <v>0</v>
      </c>
      <c r="H122" s="418">
        <f>OpExp!K30</f>
        <v>0</v>
      </c>
      <c r="I122" s="418">
        <f>OpExp!L30</f>
        <v>0</v>
      </c>
      <c r="J122" s="418">
        <f>OpExp!N30</f>
        <v>0</v>
      </c>
      <c r="K122" s="418">
        <f>OpExp!O30</f>
        <v>0</v>
      </c>
      <c r="L122" s="418">
        <f>OpExp!P30</f>
        <v>0</v>
      </c>
      <c r="M122" s="418">
        <f>OpExp!R30</f>
        <v>0</v>
      </c>
      <c r="N122" s="418">
        <f>OpExp!S30</f>
        <v>0</v>
      </c>
      <c r="O122" s="418">
        <f>OpExp!T30</f>
        <v>0</v>
      </c>
      <c r="P122" s="418">
        <f>OpExp!V30</f>
        <v>0</v>
      </c>
      <c r="Q122" s="418">
        <f>OpExp!W30</f>
        <v>0</v>
      </c>
      <c r="R122" s="418">
        <f>OpExp!X30</f>
        <v>0</v>
      </c>
    </row>
    <row r="123" spans="1:18" ht="12.75" customHeight="1" x14ac:dyDescent="0.2">
      <c r="A123" s="418">
        <f>OpExp!B31</f>
        <v>0</v>
      </c>
      <c r="B123" s="418">
        <f>OpExp!C31</f>
        <v>0</v>
      </c>
      <c r="C123" s="418">
        <f>OpExp!D31</f>
        <v>0</v>
      </c>
      <c r="D123" s="418">
        <f>OpExp!F31</f>
        <v>0</v>
      </c>
      <c r="E123" s="418">
        <f>OpExp!G31</f>
        <v>0</v>
      </c>
      <c r="F123" s="418">
        <f>OpExp!H31</f>
        <v>0</v>
      </c>
      <c r="G123" s="418">
        <f>OpExp!J31</f>
        <v>0</v>
      </c>
      <c r="H123" s="418">
        <f>OpExp!K31</f>
        <v>0</v>
      </c>
      <c r="I123" s="418">
        <f>OpExp!L31</f>
        <v>0</v>
      </c>
      <c r="J123" s="418">
        <f>OpExp!N31</f>
        <v>0</v>
      </c>
      <c r="K123" s="418">
        <f>OpExp!O31</f>
        <v>0</v>
      </c>
      <c r="L123" s="418">
        <f>OpExp!P31</f>
        <v>0</v>
      </c>
      <c r="M123" s="418">
        <f>OpExp!R31</f>
        <v>0</v>
      </c>
      <c r="N123" s="418">
        <f>OpExp!S31</f>
        <v>0</v>
      </c>
      <c r="O123" s="418">
        <f>OpExp!T31</f>
        <v>0</v>
      </c>
      <c r="P123" s="418">
        <f>OpExp!V31</f>
        <v>0</v>
      </c>
      <c r="Q123" s="418">
        <f>OpExp!W31</f>
        <v>0</v>
      </c>
      <c r="R123" s="418">
        <f>OpExp!X31</f>
        <v>0</v>
      </c>
    </row>
    <row r="124" spans="1:18" ht="12.75" customHeight="1" x14ac:dyDescent="0.2">
      <c r="A124" s="418">
        <f>OpExp!B9</f>
        <v>0</v>
      </c>
      <c r="B124" s="418">
        <f>OpExp!C9</f>
        <v>0</v>
      </c>
      <c r="C124" s="418">
        <f>OpExp!D9</f>
        <v>0</v>
      </c>
      <c r="D124" s="418">
        <f>OpExp!F9</f>
        <v>0</v>
      </c>
      <c r="E124" s="418">
        <f>OpExp!G9</f>
        <v>0</v>
      </c>
      <c r="F124" s="418">
        <f>OpExp!H9</f>
        <v>0</v>
      </c>
      <c r="G124" s="418">
        <f>OpExp!J9</f>
        <v>0</v>
      </c>
      <c r="H124" s="418">
        <f>OpExp!K9</f>
        <v>0</v>
      </c>
      <c r="I124" s="418">
        <f>OpExp!L9</f>
        <v>0</v>
      </c>
      <c r="J124" s="418">
        <f>OpExp!N9</f>
        <v>0</v>
      </c>
      <c r="K124" s="418">
        <f>OpExp!O9</f>
        <v>0</v>
      </c>
      <c r="L124" s="418">
        <f>OpExp!P9</f>
        <v>0</v>
      </c>
      <c r="M124" s="418">
        <f>OpExp!R9</f>
        <v>0</v>
      </c>
      <c r="N124" s="418">
        <f>OpExp!S9</f>
        <v>0</v>
      </c>
      <c r="O124" s="418">
        <f>OpExp!T9</f>
        <v>0</v>
      </c>
      <c r="P124" s="418">
        <f>OpExp!V9</f>
        <v>0</v>
      </c>
      <c r="Q124" s="418">
        <f>OpExp!W9</f>
        <v>0</v>
      </c>
      <c r="R124" s="418">
        <f>OpExp!X9</f>
        <v>0</v>
      </c>
    </row>
    <row r="125" spans="1:18" ht="12.75" customHeight="1" x14ac:dyDescent="0.2">
      <c r="A125" s="418">
        <f>IncStmt!B19</f>
        <v>0</v>
      </c>
      <c r="B125" s="418">
        <f>IncStmt!C19</f>
        <v>0</v>
      </c>
      <c r="C125" s="418">
        <f>IncStmt!D19</f>
        <v>0</v>
      </c>
      <c r="D125" s="418">
        <f>IncStmt!F19</f>
        <v>0</v>
      </c>
      <c r="E125" s="418">
        <f>IncStmt!G19</f>
        <v>0</v>
      </c>
      <c r="F125" s="418">
        <f>IncStmt!H19</f>
        <v>0</v>
      </c>
      <c r="G125" s="418">
        <f>IncStmt!J19</f>
        <v>0</v>
      </c>
      <c r="H125" s="418">
        <f>IncStmt!K19</f>
        <v>0</v>
      </c>
      <c r="I125" s="418">
        <f>IncStmt!L19</f>
        <v>0</v>
      </c>
      <c r="J125" s="418">
        <f>IncStmt!N19</f>
        <v>0</v>
      </c>
      <c r="K125" s="418">
        <f>IncStmt!O19</f>
        <v>0</v>
      </c>
      <c r="L125" s="418">
        <f>IncStmt!P19</f>
        <v>0</v>
      </c>
      <c r="M125" s="418">
        <f>IncStmt!R19</f>
        <v>0</v>
      </c>
      <c r="N125" s="418">
        <f>IncStmt!S19</f>
        <v>0</v>
      </c>
      <c r="O125" s="418">
        <f>IncStmt!T19</f>
        <v>0</v>
      </c>
      <c r="P125" s="418">
        <f>IncStmt!V19</f>
        <v>0</v>
      </c>
      <c r="Q125" s="418">
        <f>IncStmt!W19</f>
        <v>0</v>
      </c>
      <c r="R125" s="418">
        <f>IncStmt!X19</f>
        <v>0</v>
      </c>
    </row>
    <row r="126" spans="1:18" ht="12.75" customHeight="1" x14ac:dyDescent="0.2">
      <c r="A126" s="418">
        <f>'GM CostSvcs'!B390</f>
        <v>0</v>
      </c>
      <c r="B126" s="418">
        <f>'GM CostSvcs'!C390</f>
        <v>0</v>
      </c>
      <c r="C126" s="418">
        <f>'GM CostSvcs'!D390</f>
        <v>0</v>
      </c>
      <c r="D126" s="418">
        <f>'GM CostSvcs'!F390</f>
        <v>0</v>
      </c>
      <c r="E126" s="418">
        <f>'GM CostSvcs'!G390</f>
        <v>0</v>
      </c>
      <c r="F126" s="418">
        <f>'GM CostSvcs'!H390</f>
        <v>0</v>
      </c>
      <c r="G126" s="418">
        <f>'GM CostSvcs'!J390</f>
        <v>0</v>
      </c>
      <c r="H126" s="418">
        <f>'GM CostSvcs'!K390</f>
        <v>7082.6479892832094</v>
      </c>
      <c r="I126" s="418">
        <f>'GM CostSvcs'!L390</f>
        <v>0</v>
      </c>
      <c r="J126" s="418">
        <f>'GM CostSvcs'!N390</f>
        <v>0</v>
      </c>
      <c r="K126" s="418">
        <f>'GM CostSvcs'!O390</f>
        <v>0</v>
      </c>
      <c r="L126" s="418">
        <f>'GM CostSvcs'!P390</f>
        <v>0</v>
      </c>
      <c r="M126" s="418">
        <f>'GM CostSvcs'!R390</f>
        <v>0</v>
      </c>
      <c r="N126" s="418">
        <f>'GM CostSvcs'!S390</f>
        <v>0</v>
      </c>
      <c r="O126" s="418">
        <f>'GM CostSvcs'!T390</f>
        <v>0</v>
      </c>
      <c r="P126" s="418">
        <f>'GM CostSvcs'!V390</f>
        <v>0</v>
      </c>
      <c r="Q126" s="418">
        <f>'GM CostSvcs'!W390</f>
        <v>0</v>
      </c>
      <c r="R126" s="418">
        <f>'GM CostSvcs'!X390</f>
        <v>0</v>
      </c>
    </row>
    <row r="127" spans="1:18" ht="12.75" customHeight="1" x14ac:dyDescent="0.2">
      <c r="A127" s="418">
        <f>'GM CostSvcs'!B391</f>
        <v>0</v>
      </c>
      <c r="B127" s="418">
        <f>'GM CostSvcs'!C391</f>
        <v>0</v>
      </c>
      <c r="C127" s="418">
        <f>'GM CostSvcs'!D391</f>
        <v>0</v>
      </c>
      <c r="D127" s="418">
        <f>'GM CostSvcs'!F391</f>
        <v>0</v>
      </c>
      <c r="E127" s="418">
        <f>'GM CostSvcs'!G391</f>
        <v>0</v>
      </c>
      <c r="F127" s="418">
        <f>'GM CostSvcs'!H391</f>
        <v>0</v>
      </c>
      <c r="G127" s="418">
        <f>'GM CostSvcs'!J391</f>
        <v>0</v>
      </c>
      <c r="H127" s="418">
        <f>'GM CostSvcs'!K391</f>
        <v>7082.6479892832094</v>
      </c>
      <c r="I127" s="418">
        <f>'GM CostSvcs'!L391</f>
        <v>0</v>
      </c>
      <c r="J127" s="418">
        <f>'GM CostSvcs'!N391</f>
        <v>0</v>
      </c>
      <c r="K127" s="418">
        <f>'GM CostSvcs'!O391</f>
        <v>0</v>
      </c>
      <c r="L127" s="418">
        <f>'GM CostSvcs'!P391</f>
        <v>0</v>
      </c>
      <c r="M127" s="418">
        <f>'GM CostSvcs'!R391</f>
        <v>0</v>
      </c>
      <c r="N127" s="418">
        <f>'GM CostSvcs'!S391</f>
        <v>0</v>
      </c>
      <c r="O127" s="418">
        <f>'GM CostSvcs'!T391</f>
        <v>0</v>
      </c>
      <c r="P127" s="418">
        <f>'GM CostSvcs'!V391</f>
        <v>0</v>
      </c>
      <c r="Q127" s="418">
        <f>'GM CostSvcs'!W391</f>
        <v>0</v>
      </c>
      <c r="R127" s="418">
        <f>'GM CostSvcs'!X391</f>
        <v>0</v>
      </c>
    </row>
    <row r="128" spans="1:18" ht="12.75" customHeight="1" x14ac:dyDescent="0.2">
      <c r="A128" s="418">
        <f>'GM CostSvcs'!B392</f>
        <v>0</v>
      </c>
      <c r="B128" s="418">
        <f>'GM CostSvcs'!C392</f>
        <v>0</v>
      </c>
      <c r="C128" s="418">
        <f>'GM CostSvcs'!D392</f>
        <v>0</v>
      </c>
      <c r="D128" s="418">
        <f>'GM CostSvcs'!F392</f>
        <v>0</v>
      </c>
      <c r="E128" s="418">
        <f>'GM CostSvcs'!G392</f>
        <v>0</v>
      </c>
      <c r="F128" s="418">
        <f>'GM CostSvcs'!H392</f>
        <v>0</v>
      </c>
      <c r="G128" s="418">
        <f>'GM CostSvcs'!J392</f>
        <v>0</v>
      </c>
      <c r="H128" s="418">
        <f>'GM CostSvcs'!K392</f>
        <v>14165.295978566419</v>
      </c>
      <c r="I128" s="418">
        <f>'GM CostSvcs'!L392</f>
        <v>0</v>
      </c>
      <c r="J128" s="418">
        <f>'GM CostSvcs'!N392</f>
        <v>0</v>
      </c>
      <c r="K128" s="418">
        <f>'GM CostSvcs'!O392</f>
        <v>0</v>
      </c>
      <c r="L128" s="418">
        <f>'GM CostSvcs'!P392</f>
        <v>0</v>
      </c>
      <c r="M128" s="418">
        <f>'GM CostSvcs'!R392</f>
        <v>0</v>
      </c>
      <c r="N128" s="418">
        <f>'GM CostSvcs'!S392</f>
        <v>0</v>
      </c>
      <c r="O128" s="418">
        <f>'GM CostSvcs'!T392</f>
        <v>0</v>
      </c>
      <c r="P128" s="418">
        <f>'GM CostSvcs'!V392</f>
        <v>0</v>
      </c>
      <c r="Q128" s="418">
        <f>'GM CostSvcs'!W392</f>
        <v>0</v>
      </c>
      <c r="R128" s="418">
        <f>'GM CostSvcs'!X392</f>
        <v>0</v>
      </c>
    </row>
    <row r="129" spans="1:18" ht="12.75" customHeight="1" x14ac:dyDescent="0.2">
      <c r="A129" s="418">
        <f>'GM CostSvcs'!B394</f>
        <v>0</v>
      </c>
      <c r="B129" s="418">
        <f>'GM CostSvcs'!C394</f>
        <v>0</v>
      </c>
      <c r="C129" s="418">
        <f>'GM CostSvcs'!D394</f>
        <v>0</v>
      </c>
      <c r="D129" s="418">
        <f>'GM CostSvcs'!F394</f>
        <v>0</v>
      </c>
      <c r="E129" s="418">
        <f>'GM CostSvcs'!G394</f>
        <v>0</v>
      </c>
      <c r="F129" s="418">
        <f>'GM CostSvcs'!H394</f>
        <v>0</v>
      </c>
      <c r="G129" s="418">
        <f>'GM CostSvcs'!J394</f>
        <v>0</v>
      </c>
      <c r="H129" s="418">
        <f>'GM CostSvcs'!K394</f>
        <v>0</v>
      </c>
      <c r="I129" s="418">
        <f>'GM CostSvcs'!L394</f>
        <v>0</v>
      </c>
      <c r="J129" s="418">
        <f>'GM CostSvcs'!N394</f>
        <v>0</v>
      </c>
      <c r="K129" s="418">
        <f>'GM CostSvcs'!O394</f>
        <v>0</v>
      </c>
      <c r="L129" s="418">
        <f>'GM CostSvcs'!P394</f>
        <v>0</v>
      </c>
      <c r="M129" s="418">
        <f>'GM CostSvcs'!R394</f>
        <v>0</v>
      </c>
      <c r="N129" s="418">
        <f>'GM CostSvcs'!S394</f>
        <v>0</v>
      </c>
      <c r="O129" s="418">
        <f>'GM CostSvcs'!T394</f>
        <v>0</v>
      </c>
      <c r="P129" s="418">
        <f>'GM CostSvcs'!V394</f>
        <v>0</v>
      </c>
      <c r="Q129" s="418">
        <f>'GM CostSvcs'!W394</f>
        <v>0</v>
      </c>
      <c r="R129" s="418">
        <f>'GM CostSvcs'!X394</f>
        <v>0</v>
      </c>
    </row>
    <row r="130" spans="1:18" ht="12.75" customHeight="1" x14ac:dyDescent="0.2">
      <c r="A130" s="418">
        <f>'GM CostSvcs'!B395</f>
        <v>0</v>
      </c>
      <c r="B130" s="418">
        <f>'GM CostSvcs'!C395</f>
        <v>0</v>
      </c>
      <c r="C130" s="418">
        <f>'GM CostSvcs'!D395</f>
        <v>0</v>
      </c>
      <c r="D130" s="418">
        <f>'GM CostSvcs'!F395</f>
        <v>0</v>
      </c>
      <c r="E130" s="418">
        <f>'GM CostSvcs'!G395</f>
        <v>0</v>
      </c>
      <c r="F130" s="418">
        <f>'GM CostSvcs'!H395</f>
        <v>0</v>
      </c>
      <c r="G130" s="418">
        <f>'GM CostSvcs'!J395</f>
        <v>0</v>
      </c>
      <c r="H130" s="418">
        <f>'GM CostSvcs'!K395</f>
        <v>0</v>
      </c>
      <c r="I130" s="418">
        <f>'GM CostSvcs'!L395</f>
        <v>0</v>
      </c>
      <c r="J130" s="418">
        <f>'GM CostSvcs'!N395</f>
        <v>0</v>
      </c>
      <c r="K130" s="418">
        <f>'GM CostSvcs'!O395</f>
        <v>0</v>
      </c>
      <c r="L130" s="418">
        <f>'GM CostSvcs'!P395</f>
        <v>0</v>
      </c>
      <c r="M130" s="418">
        <f>'GM CostSvcs'!R395</f>
        <v>0</v>
      </c>
      <c r="N130" s="418">
        <f>'GM CostSvcs'!S395</f>
        <v>0</v>
      </c>
      <c r="O130" s="418">
        <f>'GM CostSvcs'!T395</f>
        <v>0</v>
      </c>
      <c r="P130" s="418">
        <f>'GM CostSvcs'!V395</f>
        <v>0</v>
      </c>
      <c r="Q130" s="418">
        <f>'GM CostSvcs'!W395</f>
        <v>0</v>
      </c>
      <c r="R130" s="418">
        <f>'GM CostSvcs'!X395</f>
        <v>0</v>
      </c>
    </row>
    <row r="131" spans="1:18" ht="12.75" customHeight="1" x14ac:dyDescent="0.2">
      <c r="A131" s="418">
        <f>'GM CostSvcs'!B396</f>
        <v>0</v>
      </c>
      <c r="B131" s="418">
        <f>'GM CostSvcs'!C396</f>
        <v>0</v>
      </c>
      <c r="C131" s="418">
        <f>'GM CostSvcs'!D396</f>
        <v>0</v>
      </c>
      <c r="D131" s="418">
        <f>'GM CostSvcs'!F396</f>
        <v>0</v>
      </c>
      <c r="E131" s="418">
        <f>'GM CostSvcs'!G396</f>
        <v>0</v>
      </c>
      <c r="F131" s="418">
        <f>'GM CostSvcs'!H396</f>
        <v>0</v>
      </c>
      <c r="G131" s="418">
        <f>'GM CostSvcs'!J396</f>
        <v>0</v>
      </c>
      <c r="H131" s="418">
        <f>'GM CostSvcs'!K396</f>
        <v>0</v>
      </c>
      <c r="I131" s="418">
        <f>'GM CostSvcs'!L396</f>
        <v>0</v>
      </c>
      <c r="J131" s="418">
        <f>'GM CostSvcs'!N396</f>
        <v>0</v>
      </c>
      <c r="K131" s="418">
        <f>'GM CostSvcs'!O396</f>
        <v>0</v>
      </c>
      <c r="L131" s="418">
        <f>'GM CostSvcs'!P396</f>
        <v>0</v>
      </c>
      <c r="M131" s="418">
        <f>'GM CostSvcs'!R396</f>
        <v>0</v>
      </c>
      <c r="N131" s="418">
        <f>'GM CostSvcs'!S396</f>
        <v>0</v>
      </c>
      <c r="O131" s="418">
        <f>'GM CostSvcs'!T396</f>
        <v>0</v>
      </c>
      <c r="P131" s="418">
        <f>'GM CostSvcs'!V396</f>
        <v>0</v>
      </c>
      <c r="Q131" s="418">
        <f>'GM CostSvcs'!W396</f>
        <v>0</v>
      </c>
      <c r="R131" s="418">
        <f>'GM CostSvcs'!X396</f>
        <v>0</v>
      </c>
    </row>
    <row r="132" spans="1:18" ht="12.75" customHeight="1" x14ac:dyDescent="0.2">
      <c r="A132" s="418">
        <f>IncStmt!B14</f>
        <v>0</v>
      </c>
      <c r="B132" s="418">
        <f>IncStmt!C14</f>
        <v>0</v>
      </c>
      <c r="C132" s="418">
        <f>IncStmt!D14</f>
        <v>0</v>
      </c>
      <c r="D132" s="418">
        <f>IncStmt!F14</f>
        <v>0</v>
      </c>
      <c r="E132" s="418">
        <f>IncStmt!G14</f>
        <v>0</v>
      </c>
      <c r="F132" s="418">
        <f>IncStmt!H14</f>
        <v>0</v>
      </c>
      <c r="G132" s="418">
        <f>IncStmt!J14</f>
        <v>0</v>
      </c>
      <c r="H132" s="418">
        <f>IncStmt!K14</f>
        <v>14165.295978566419</v>
      </c>
      <c r="I132" s="418">
        <f>IncStmt!L14</f>
        <v>0</v>
      </c>
      <c r="J132" s="418">
        <f>IncStmt!N14</f>
        <v>0</v>
      </c>
      <c r="K132" s="418">
        <f>IncStmt!O14</f>
        <v>0</v>
      </c>
      <c r="L132" s="418">
        <f>IncStmt!P14</f>
        <v>0</v>
      </c>
      <c r="M132" s="418">
        <f>IncStmt!R14</f>
        <v>0</v>
      </c>
      <c r="N132" s="418">
        <f>IncStmt!S14</f>
        <v>0</v>
      </c>
      <c r="O132" s="418">
        <f>IncStmt!T14</f>
        <v>0</v>
      </c>
      <c r="P132" s="418">
        <f>IncStmt!V14</f>
        <v>0</v>
      </c>
      <c r="Q132" s="418">
        <f>IncStmt!W14</f>
        <v>0</v>
      </c>
      <c r="R132" s="418">
        <f>IncStmt!X14</f>
        <v>0</v>
      </c>
    </row>
    <row r="133" spans="1:18" ht="12.75" customHeight="1" x14ac:dyDescent="0.2">
      <c r="A133" s="423">
        <f>'GM CostSvcs'!B364</f>
        <v>0</v>
      </c>
      <c r="B133" s="423">
        <f>'GM CostSvcs'!C364</f>
        <v>0</v>
      </c>
      <c r="C133" s="423">
        <f>'GM CostSvcs'!D364</f>
        <v>0</v>
      </c>
      <c r="D133" s="423">
        <f>'GM CostSvcs'!F364</f>
        <v>0</v>
      </c>
      <c r="E133" s="423">
        <f>'GM CostSvcs'!G364</f>
        <v>0</v>
      </c>
      <c r="F133" s="423">
        <f>'GM CostSvcs'!H364</f>
        <v>0</v>
      </c>
      <c r="G133" s="423">
        <f>'GM CostSvcs'!J364</f>
        <v>0</v>
      </c>
      <c r="H133" s="423">
        <f>'GM CostSvcs'!K364</f>
        <v>100</v>
      </c>
      <c r="I133" s="423">
        <f>'GM CostSvcs'!L364</f>
        <v>0</v>
      </c>
      <c r="J133" s="423">
        <f>'GM CostSvcs'!N364</f>
        <v>0</v>
      </c>
      <c r="K133" s="423">
        <f>'GM CostSvcs'!O364</f>
        <v>0</v>
      </c>
      <c r="L133" s="423">
        <f>'GM CostSvcs'!P364</f>
        <v>0</v>
      </c>
      <c r="M133" s="423">
        <f>'GM CostSvcs'!R364</f>
        <v>0</v>
      </c>
      <c r="N133" s="423">
        <f>'GM CostSvcs'!S364</f>
        <v>0</v>
      </c>
      <c r="O133" s="423">
        <f>'GM CostSvcs'!T364</f>
        <v>0</v>
      </c>
      <c r="P133" s="423">
        <f>'GM CostSvcs'!V364</f>
        <v>0</v>
      </c>
      <c r="Q133" s="423">
        <f>'GM CostSvcs'!W364</f>
        <v>0</v>
      </c>
      <c r="R133" s="423">
        <f>'GM CostSvcs'!X364</f>
        <v>0</v>
      </c>
    </row>
    <row r="134" spans="1:18" ht="12.75" customHeight="1" x14ac:dyDescent="0.2">
      <c r="A134" s="423">
        <f>'GM CostSvcs'!B365</f>
        <v>0</v>
      </c>
      <c r="B134" s="423">
        <f>'GM CostSvcs'!C365</f>
        <v>0</v>
      </c>
      <c r="C134" s="423">
        <f>'GM CostSvcs'!D365</f>
        <v>0</v>
      </c>
      <c r="D134" s="423">
        <f>'GM CostSvcs'!F365</f>
        <v>0</v>
      </c>
      <c r="E134" s="423">
        <f>'GM CostSvcs'!G365</f>
        <v>0</v>
      </c>
      <c r="F134" s="423">
        <f>'GM CostSvcs'!H365</f>
        <v>0</v>
      </c>
      <c r="G134" s="423">
        <f>'GM CostSvcs'!J365</f>
        <v>0</v>
      </c>
      <c r="H134" s="423">
        <f>'GM CostSvcs'!K365</f>
        <v>100</v>
      </c>
      <c r="I134" s="423">
        <f>'GM CostSvcs'!L365</f>
        <v>0</v>
      </c>
      <c r="J134" s="423">
        <f>'GM CostSvcs'!N365</f>
        <v>0</v>
      </c>
      <c r="K134" s="423">
        <f>'GM CostSvcs'!O365</f>
        <v>0</v>
      </c>
      <c r="L134" s="423">
        <f>'GM CostSvcs'!P365</f>
        <v>0</v>
      </c>
      <c r="M134" s="423">
        <f>'GM CostSvcs'!R365</f>
        <v>0</v>
      </c>
      <c r="N134" s="423">
        <f>'GM CostSvcs'!S365</f>
        <v>0</v>
      </c>
      <c r="O134" s="423">
        <f>'GM CostSvcs'!T365</f>
        <v>0</v>
      </c>
      <c r="P134" s="423">
        <f>'GM CostSvcs'!V365</f>
        <v>0</v>
      </c>
      <c r="Q134" s="423">
        <f>'GM CostSvcs'!W365</f>
        <v>0</v>
      </c>
      <c r="R134" s="423">
        <f>'GM CostSvcs'!X365</f>
        <v>0</v>
      </c>
    </row>
    <row r="135" spans="1:18" ht="12.75" customHeight="1" x14ac:dyDescent="0.2">
      <c r="A135" s="423">
        <f>'GM CostSvcs'!B366</f>
        <v>0</v>
      </c>
      <c r="B135" s="423">
        <f>'GM CostSvcs'!C366</f>
        <v>0</v>
      </c>
      <c r="C135" s="423">
        <f>'GM CostSvcs'!D366</f>
        <v>0</v>
      </c>
      <c r="D135" s="423">
        <f>'GM CostSvcs'!F366</f>
        <v>0</v>
      </c>
      <c r="E135" s="423">
        <f>'GM CostSvcs'!G366</f>
        <v>0</v>
      </c>
      <c r="F135" s="423">
        <f>'GM CostSvcs'!H366</f>
        <v>0</v>
      </c>
      <c r="G135" s="423">
        <f>'GM CostSvcs'!J366</f>
        <v>0</v>
      </c>
      <c r="H135" s="423">
        <f>'GM CostSvcs'!K366</f>
        <v>200</v>
      </c>
      <c r="I135" s="423">
        <f>'GM CostSvcs'!L366</f>
        <v>0</v>
      </c>
      <c r="J135" s="423">
        <f>'GM CostSvcs'!N366</f>
        <v>0</v>
      </c>
      <c r="K135" s="423">
        <f>'GM CostSvcs'!O366</f>
        <v>0</v>
      </c>
      <c r="L135" s="423">
        <f>'GM CostSvcs'!P366</f>
        <v>0</v>
      </c>
      <c r="M135" s="423">
        <f>'GM CostSvcs'!R366</f>
        <v>0</v>
      </c>
      <c r="N135" s="423">
        <f>'GM CostSvcs'!S366</f>
        <v>0</v>
      </c>
      <c r="O135" s="423">
        <f>'GM CostSvcs'!T366</f>
        <v>0</v>
      </c>
      <c r="P135" s="423">
        <f>'GM CostSvcs'!V366</f>
        <v>0</v>
      </c>
      <c r="Q135" s="423">
        <f>'GM CostSvcs'!W366</f>
        <v>0</v>
      </c>
      <c r="R135" s="423">
        <f>'GM CostSvcs'!X366</f>
        <v>0</v>
      </c>
    </row>
    <row r="136" spans="1:18" ht="12.75" customHeight="1" x14ac:dyDescent="0.2">
      <c r="A136" s="423">
        <f>'GM CostSvcs'!B368</f>
        <v>0</v>
      </c>
      <c r="B136" s="423">
        <f>'GM CostSvcs'!C368</f>
        <v>0</v>
      </c>
      <c r="C136" s="423">
        <f>'GM CostSvcs'!D368</f>
        <v>0</v>
      </c>
      <c r="D136" s="423">
        <f>'GM CostSvcs'!F368</f>
        <v>0</v>
      </c>
      <c r="E136" s="423">
        <f>'GM CostSvcs'!G368</f>
        <v>0</v>
      </c>
      <c r="F136" s="423">
        <f>'GM CostSvcs'!H368</f>
        <v>0</v>
      </c>
      <c r="G136" s="423">
        <f>'GM CostSvcs'!J368</f>
        <v>0</v>
      </c>
      <c r="H136" s="423">
        <f>'GM CostSvcs'!K368</f>
        <v>0</v>
      </c>
      <c r="I136" s="423">
        <f>'GM CostSvcs'!L368</f>
        <v>0</v>
      </c>
      <c r="J136" s="423">
        <f>'GM CostSvcs'!N368</f>
        <v>0</v>
      </c>
      <c r="K136" s="423">
        <f>'GM CostSvcs'!O368</f>
        <v>0</v>
      </c>
      <c r="L136" s="423">
        <f>'GM CostSvcs'!P368</f>
        <v>0</v>
      </c>
      <c r="M136" s="423">
        <f>'GM CostSvcs'!R368</f>
        <v>0</v>
      </c>
      <c r="N136" s="423">
        <f>'GM CostSvcs'!S368</f>
        <v>0</v>
      </c>
      <c r="O136" s="423">
        <f>'GM CostSvcs'!T368</f>
        <v>0</v>
      </c>
      <c r="P136" s="423">
        <f>'GM CostSvcs'!V368</f>
        <v>0</v>
      </c>
      <c r="Q136" s="423">
        <f>'GM CostSvcs'!W368</f>
        <v>0</v>
      </c>
      <c r="R136" s="423">
        <f>'GM CostSvcs'!X368</f>
        <v>0</v>
      </c>
    </row>
    <row r="137" spans="1:18" ht="12.75" customHeight="1" x14ac:dyDescent="0.2">
      <c r="A137" s="423">
        <f>'GM CostSvcs'!B369</f>
        <v>0</v>
      </c>
      <c r="B137" s="423">
        <f>'GM CostSvcs'!C369</f>
        <v>0</v>
      </c>
      <c r="C137" s="423">
        <f>'GM CostSvcs'!D369</f>
        <v>0</v>
      </c>
      <c r="D137" s="423">
        <f>'GM CostSvcs'!F369</f>
        <v>0</v>
      </c>
      <c r="E137" s="423">
        <f>'GM CostSvcs'!G369</f>
        <v>0</v>
      </c>
      <c r="F137" s="423">
        <f>'GM CostSvcs'!H369</f>
        <v>0</v>
      </c>
      <c r="G137" s="423">
        <f>'GM CostSvcs'!J369</f>
        <v>0</v>
      </c>
      <c r="H137" s="423">
        <f>'GM CostSvcs'!K369</f>
        <v>0</v>
      </c>
      <c r="I137" s="423">
        <f>'GM CostSvcs'!L369</f>
        <v>0</v>
      </c>
      <c r="J137" s="423">
        <f>'GM CostSvcs'!N369</f>
        <v>0</v>
      </c>
      <c r="K137" s="423">
        <f>'GM CostSvcs'!O369</f>
        <v>0</v>
      </c>
      <c r="L137" s="423">
        <f>'GM CostSvcs'!P369</f>
        <v>0</v>
      </c>
      <c r="M137" s="423">
        <f>'GM CostSvcs'!R369</f>
        <v>0</v>
      </c>
      <c r="N137" s="423">
        <f>'GM CostSvcs'!S369</f>
        <v>0</v>
      </c>
      <c r="O137" s="423">
        <f>'GM CostSvcs'!T369</f>
        <v>0</v>
      </c>
      <c r="P137" s="423">
        <f>'GM CostSvcs'!V369</f>
        <v>0</v>
      </c>
      <c r="Q137" s="423">
        <f>'GM CostSvcs'!W369</f>
        <v>0</v>
      </c>
      <c r="R137" s="423">
        <f>'GM CostSvcs'!X369</f>
        <v>0</v>
      </c>
    </row>
    <row r="138" spans="1:18" ht="12.75" customHeight="1" x14ac:dyDescent="0.2">
      <c r="A138" s="423">
        <f>'GM CostSvcs'!B370</f>
        <v>0</v>
      </c>
      <c r="B138" s="423">
        <f>'GM CostSvcs'!C370</f>
        <v>0</v>
      </c>
      <c r="C138" s="423">
        <f>'GM CostSvcs'!D370</f>
        <v>0</v>
      </c>
      <c r="D138" s="423">
        <f>'GM CostSvcs'!F370</f>
        <v>0</v>
      </c>
      <c r="E138" s="423">
        <f>'GM CostSvcs'!G370</f>
        <v>0</v>
      </c>
      <c r="F138" s="423">
        <f>'GM CostSvcs'!H370</f>
        <v>0</v>
      </c>
      <c r="G138" s="423">
        <f>'GM CostSvcs'!J370</f>
        <v>0</v>
      </c>
      <c r="H138" s="423">
        <f>'GM CostSvcs'!K370</f>
        <v>0</v>
      </c>
      <c r="I138" s="423">
        <f>'GM CostSvcs'!L370</f>
        <v>0</v>
      </c>
      <c r="J138" s="423">
        <f>'GM CostSvcs'!N370</f>
        <v>0</v>
      </c>
      <c r="K138" s="423">
        <f>'GM CostSvcs'!O370</f>
        <v>0</v>
      </c>
      <c r="L138" s="423">
        <f>'GM CostSvcs'!P370</f>
        <v>0</v>
      </c>
      <c r="M138" s="423">
        <f>'GM CostSvcs'!R370</f>
        <v>0</v>
      </c>
      <c r="N138" s="423">
        <f>'GM CostSvcs'!S370</f>
        <v>0</v>
      </c>
      <c r="O138" s="423">
        <f>'GM CostSvcs'!T370</f>
        <v>0</v>
      </c>
      <c r="P138" s="423">
        <f>'GM CostSvcs'!V370</f>
        <v>0</v>
      </c>
      <c r="Q138" s="423">
        <f>'GM CostSvcs'!W370</f>
        <v>0</v>
      </c>
      <c r="R138" s="423">
        <f>'GM CostSvcs'!X370</f>
        <v>0</v>
      </c>
    </row>
    <row r="139" spans="1:18" ht="12.75" customHeight="1" x14ac:dyDescent="0.2">
      <c r="A139" s="423">
        <f>'GM CostSvcs'!B371</f>
        <v>0</v>
      </c>
      <c r="B139" s="423">
        <f>'GM CostSvcs'!C371</f>
        <v>0</v>
      </c>
      <c r="C139" s="423">
        <f>'GM CostSvcs'!D371</f>
        <v>0</v>
      </c>
      <c r="D139" s="423">
        <f>'GM CostSvcs'!F371</f>
        <v>0</v>
      </c>
      <c r="E139" s="423">
        <f>'GM CostSvcs'!G371</f>
        <v>0</v>
      </c>
      <c r="F139" s="423">
        <f>'GM CostSvcs'!H371</f>
        <v>0</v>
      </c>
      <c r="G139" s="423">
        <f>'GM CostSvcs'!J371</f>
        <v>0</v>
      </c>
      <c r="H139" s="423">
        <f>'GM CostSvcs'!K371</f>
        <v>200</v>
      </c>
      <c r="I139" s="423">
        <f>'GM CostSvcs'!L371</f>
        <v>0</v>
      </c>
      <c r="J139" s="423">
        <f>'GM CostSvcs'!N371</f>
        <v>0</v>
      </c>
      <c r="K139" s="423">
        <f>'GM CostSvcs'!O371</f>
        <v>0</v>
      </c>
      <c r="L139" s="423">
        <f>'GM CostSvcs'!P371</f>
        <v>0</v>
      </c>
      <c r="M139" s="423">
        <f>'GM CostSvcs'!R371</f>
        <v>0</v>
      </c>
      <c r="N139" s="423">
        <f>'GM CostSvcs'!S371</f>
        <v>0</v>
      </c>
      <c r="O139" s="423">
        <f>'GM CostSvcs'!T371</f>
        <v>0</v>
      </c>
      <c r="P139" s="423">
        <f>'GM CostSvcs'!V371</f>
        <v>0</v>
      </c>
      <c r="Q139" s="423">
        <f>'GM CostSvcs'!W371</f>
        <v>0</v>
      </c>
      <c r="R139" s="423">
        <f>'GM CostSvcs'!X371</f>
        <v>0</v>
      </c>
    </row>
    <row r="140" spans="1:18" ht="12.75" customHeight="1" x14ac:dyDescent="0.2">
      <c r="A140" s="418">
        <f>IncStmt!B20</f>
        <v>0</v>
      </c>
      <c r="B140" s="418">
        <f>IncStmt!C20</f>
        <v>0</v>
      </c>
      <c r="C140" s="418">
        <f>IncStmt!D20</f>
        <v>110000</v>
      </c>
      <c r="D140" s="418">
        <f>IncStmt!F20</f>
        <v>110000</v>
      </c>
      <c r="E140" s="418">
        <f>IncStmt!G20</f>
        <v>0</v>
      </c>
      <c r="F140" s="418">
        <f>IncStmt!H20</f>
        <v>80000</v>
      </c>
      <c r="G140" s="418">
        <f>IncStmt!J20</f>
        <v>51739.107028939994</v>
      </c>
      <c r="H140" s="418">
        <f>IncStmt!K20</f>
        <v>37504.112064300745</v>
      </c>
      <c r="I140" s="418">
        <f>IncStmt!L20</f>
        <v>0</v>
      </c>
      <c r="J140" s="418">
        <f>IncStmt!N20</f>
        <v>0</v>
      </c>
      <c r="K140" s="418">
        <f>IncStmt!O20</f>
        <v>0</v>
      </c>
      <c r="L140" s="418">
        <f>IncStmt!P20</f>
        <v>0</v>
      </c>
      <c r="M140" s="418">
        <f>IncStmt!R20</f>
        <v>0</v>
      </c>
      <c r="N140" s="418">
        <f>IncStmt!S20</f>
        <v>0</v>
      </c>
      <c r="O140" s="418">
        <f>IncStmt!T20</f>
        <v>0</v>
      </c>
      <c r="P140" s="418">
        <f>IncStmt!V20</f>
        <v>0</v>
      </c>
      <c r="Q140" s="418">
        <f>IncStmt!W20</f>
        <v>0</v>
      </c>
      <c r="R140" s="418">
        <f>IncStmt!X20</f>
        <v>0</v>
      </c>
    </row>
    <row r="141" spans="1:18" ht="12.75" customHeight="1" x14ac:dyDescent="0.2">
      <c r="A141" s="418">
        <f>'GM CostSvcs'!B219</f>
        <v>0</v>
      </c>
      <c r="B141" s="418">
        <f>'GM CostSvcs'!C219</f>
        <v>0</v>
      </c>
      <c r="C141" s="418">
        <f>'GM CostSvcs'!D219</f>
        <v>27500</v>
      </c>
      <c r="D141" s="418">
        <f>'GM CostSvcs'!F219</f>
        <v>27500</v>
      </c>
      <c r="E141" s="418">
        <f>'GM CostSvcs'!G219</f>
        <v>0</v>
      </c>
      <c r="F141" s="418">
        <f>'GM CostSvcs'!H219</f>
        <v>20000</v>
      </c>
      <c r="G141" s="418">
        <f>'GM CostSvcs'!J219</f>
        <v>5869.5535144699952</v>
      </c>
      <c r="H141" s="418">
        <f>'GM CostSvcs'!K219</f>
        <v>2293.3800267919764</v>
      </c>
      <c r="I141" s="418">
        <f>'GM CostSvcs'!L219</f>
        <v>0</v>
      </c>
      <c r="J141" s="418">
        <f>'GM CostSvcs'!N219</f>
        <v>0</v>
      </c>
      <c r="K141" s="418">
        <f>'GM CostSvcs'!O219</f>
        <v>0</v>
      </c>
      <c r="L141" s="418">
        <f>'GM CostSvcs'!P219</f>
        <v>0</v>
      </c>
      <c r="M141" s="418">
        <f>'GM CostSvcs'!R219</f>
        <v>0</v>
      </c>
      <c r="N141" s="418">
        <f>'GM CostSvcs'!S219</f>
        <v>0</v>
      </c>
      <c r="O141" s="418">
        <f>'GM CostSvcs'!T219</f>
        <v>0</v>
      </c>
      <c r="P141" s="418">
        <f>'GM CostSvcs'!V219</f>
        <v>0</v>
      </c>
      <c r="Q141" s="418">
        <f>'GM CostSvcs'!W219</f>
        <v>0</v>
      </c>
      <c r="R141" s="418">
        <f>'GM CostSvcs'!X219</f>
        <v>0</v>
      </c>
    </row>
    <row r="142" spans="1:18" ht="12.75" customHeight="1" x14ac:dyDescent="0.2">
      <c r="A142" s="418">
        <f>'GM CostSvcs'!B222</f>
        <v>0</v>
      </c>
      <c r="B142" s="418">
        <f>'GM CostSvcs'!C222</f>
        <v>0</v>
      </c>
      <c r="C142" s="418">
        <f>'GM CostSvcs'!D222</f>
        <v>27500</v>
      </c>
      <c r="D142" s="418">
        <f>'GM CostSvcs'!F222</f>
        <v>27500</v>
      </c>
      <c r="E142" s="418">
        <f>'GM CostSvcs'!G222</f>
        <v>0</v>
      </c>
      <c r="F142" s="418">
        <f>'GM CostSvcs'!H222</f>
        <v>20000</v>
      </c>
      <c r="G142" s="418">
        <f>'GM CostSvcs'!J222</f>
        <v>20000</v>
      </c>
      <c r="H142" s="418">
        <f>'GM CostSvcs'!K222</f>
        <v>16458.676005358397</v>
      </c>
      <c r="I142" s="418">
        <f>'GM CostSvcs'!L222</f>
        <v>0</v>
      </c>
      <c r="J142" s="418">
        <f>'GM CostSvcs'!N222</f>
        <v>0</v>
      </c>
      <c r="K142" s="418">
        <f>'GM CostSvcs'!O222</f>
        <v>0</v>
      </c>
      <c r="L142" s="418">
        <f>'GM CostSvcs'!P222</f>
        <v>0</v>
      </c>
      <c r="M142" s="418">
        <f>'GM CostSvcs'!R222</f>
        <v>0</v>
      </c>
      <c r="N142" s="418">
        <f>'GM CostSvcs'!S222</f>
        <v>0</v>
      </c>
      <c r="O142" s="418">
        <f>'GM CostSvcs'!T222</f>
        <v>0</v>
      </c>
      <c r="P142" s="418">
        <f>'GM CostSvcs'!V222</f>
        <v>0</v>
      </c>
      <c r="Q142" s="418">
        <f>'GM CostSvcs'!W222</f>
        <v>0</v>
      </c>
      <c r="R142" s="418">
        <f>'GM CostSvcs'!X222</f>
        <v>0</v>
      </c>
    </row>
    <row r="143" spans="1:18" ht="12.75" customHeight="1" x14ac:dyDescent="0.2">
      <c r="A143" s="418">
        <f>Practices!B262</f>
        <v>0</v>
      </c>
      <c r="B143" s="418">
        <f>Practices!C262</f>
        <v>0</v>
      </c>
      <c r="C143" s="418">
        <f>Practices!D262</f>
        <v>55000</v>
      </c>
      <c r="D143" s="418">
        <f>Practices!F262</f>
        <v>55000</v>
      </c>
      <c r="E143" s="418">
        <f>Practices!G262</f>
        <v>0</v>
      </c>
      <c r="F143" s="418">
        <f>Practices!H262</f>
        <v>40000</v>
      </c>
      <c r="G143" s="418">
        <f>Practices!J262</f>
        <v>25869.553514469997</v>
      </c>
      <c r="H143" s="418">
        <f>Practices!K262</f>
        <v>18752.056032150373</v>
      </c>
      <c r="I143" s="418">
        <f>Practices!L262</f>
        <v>0</v>
      </c>
      <c r="J143" s="418">
        <f>Practices!N262</f>
        <v>0</v>
      </c>
      <c r="K143" s="418">
        <f>Practices!O262</f>
        <v>0</v>
      </c>
      <c r="L143" s="418">
        <f>Practices!P262</f>
        <v>0</v>
      </c>
      <c r="M143" s="418">
        <f>Practices!R262</f>
        <v>0</v>
      </c>
      <c r="N143" s="418">
        <f>Practices!S262</f>
        <v>0</v>
      </c>
      <c r="O143" s="418">
        <f>Practices!T262</f>
        <v>0</v>
      </c>
      <c r="P143" s="418">
        <f>Practices!V262</f>
        <v>0</v>
      </c>
      <c r="Q143" s="418">
        <f>Practices!W262</f>
        <v>0</v>
      </c>
      <c r="R143" s="418">
        <f>Practices!X262</f>
        <v>0</v>
      </c>
    </row>
    <row r="144" spans="1:18" ht="12.75" customHeight="1" x14ac:dyDescent="0.2">
      <c r="A144" s="418">
        <f>'GM CostSvcs'!B229</f>
        <v>0</v>
      </c>
      <c r="B144" s="418">
        <f>'GM CostSvcs'!C229</f>
        <v>0</v>
      </c>
      <c r="C144" s="418">
        <f>'GM CostSvcs'!D229</f>
        <v>27500</v>
      </c>
      <c r="D144" s="418">
        <f>'GM CostSvcs'!F229</f>
        <v>27500</v>
      </c>
      <c r="E144" s="418">
        <f>'GM CostSvcs'!G229</f>
        <v>0</v>
      </c>
      <c r="F144" s="418">
        <f>'GM CostSvcs'!H229</f>
        <v>20000</v>
      </c>
      <c r="G144" s="418">
        <f>'GM CostSvcs'!J229</f>
        <v>5869.5535144699952</v>
      </c>
      <c r="H144" s="418">
        <f>'GM CostSvcs'!K229</f>
        <v>2293.3800267919764</v>
      </c>
      <c r="I144" s="418">
        <f>'GM CostSvcs'!L229</f>
        <v>0</v>
      </c>
      <c r="J144" s="418">
        <f>'GM CostSvcs'!N229</f>
        <v>0</v>
      </c>
      <c r="K144" s="418">
        <f>'GM CostSvcs'!O229</f>
        <v>0</v>
      </c>
      <c r="L144" s="418">
        <f>'GM CostSvcs'!P229</f>
        <v>0</v>
      </c>
      <c r="M144" s="418">
        <f>'GM CostSvcs'!R229</f>
        <v>0</v>
      </c>
      <c r="N144" s="418">
        <f>'GM CostSvcs'!S229</f>
        <v>0</v>
      </c>
      <c r="O144" s="418">
        <f>'GM CostSvcs'!T229</f>
        <v>0</v>
      </c>
      <c r="P144" s="418">
        <f>'GM CostSvcs'!V229</f>
        <v>0</v>
      </c>
      <c r="Q144" s="418">
        <f>'GM CostSvcs'!W229</f>
        <v>0</v>
      </c>
      <c r="R144" s="418">
        <f>'GM CostSvcs'!X229</f>
        <v>0</v>
      </c>
    </row>
    <row r="145" spans="1:19" ht="12.75" customHeight="1" x14ac:dyDescent="0.2">
      <c r="A145" s="418">
        <f>'GM CostSvcs'!B232</f>
        <v>0</v>
      </c>
      <c r="B145" s="418">
        <f>'GM CostSvcs'!C232</f>
        <v>0</v>
      </c>
      <c r="C145" s="418">
        <f>'GM CostSvcs'!D232</f>
        <v>27500</v>
      </c>
      <c r="D145" s="418">
        <f>'GM CostSvcs'!F232</f>
        <v>27500</v>
      </c>
      <c r="E145" s="418">
        <f>'GM CostSvcs'!G232</f>
        <v>0</v>
      </c>
      <c r="F145" s="418">
        <f>'GM CostSvcs'!H232</f>
        <v>20000</v>
      </c>
      <c r="G145" s="418">
        <f>'GM CostSvcs'!J232</f>
        <v>20000</v>
      </c>
      <c r="H145" s="418">
        <f>'GM CostSvcs'!K232</f>
        <v>16458.676005358397</v>
      </c>
      <c r="I145" s="418">
        <f>'GM CostSvcs'!L232</f>
        <v>0</v>
      </c>
      <c r="J145" s="418">
        <f>'GM CostSvcs'!N232</f>
        <v>0</v>
      </c>
      <c r="K145" s="418">
        <f>'GM CostSvcs'!O232</f>
        <v>0</v>
      </c>
      <c r="L145" s="418">
        <f>'GM CostSvcs'!P232</f>
        <v>0</v>
      </c>
      <c r="M145" s="418">
        <f>'GM CostSvcs'!R232</f>
        <v>0</v>
      </c>
      <c r="N145" s="418">
        <f>'GM CostSvcs'!S232</f>
        <v>0</v>
      </c>
      <c r="O145" s="418">
        <f>'GM CostSvcs'!T232</f>
        <v>0</v>
      </c>
      <c r="P145" s="418">
        <f>'GM CostSvcs'!V232</f>
        <v>0</v>
      </c>
      <c r="Q145" s="418">
        <f>'GM CostSvcs'!W232</f>
        <v>0</v>
      </c>
      <c r="R145" s="418">
        <f>'GM CostSvcs'!X232</f>
        <v>0</v>
      </c>
    </row>
    <row r="146" spans="1:19" ht="12.75" customHeight="1" x14ac:dyDescent="0.2">
      <c r="A146" s="418">
        <f>Practices!B265</f>
        <v>0</v>
      </c>
      <c r="B146" s="418">
        <f>Practices!C265</f>
        <v>0</v>
      </c>
      <c r="C146" s="418">
        <f>Practices!D265</f>
        <v>55000</v>
      </c>
      <c r="D146" s="418">
        <f>Practices!F265</f>
        <v>55000</v>
      </c>
      <c r="E146" s="418">
        <f>Practices!G265</f>
        <v>0</v>
      </c>
      <c r="F146" s="418">
        <f>Practices!H265</f>
        <v>40000</v>
      </c>
      <c r="G146" s="418">
        <f>Practices!J265</f>
        <v>25869.553514469997</v>
      </c>
      <c r="H146" s="418">
        <f>Practices!K265</f>
        <v>18752.056032150373</v>
      </c>
      <c r="I146" s="418">
        <f>Practices!L265</f>
        <v>0</v>
      </c>
      <c r="J146" s="418">
        <f>Practices!N265</f>
        <v>0</v>
      </c>
      <c r="K146" s="418">
        <f>Practices!O265</f>
        <v>0</v>
      </c>
      <c r="L146" s="418">
        <f>Practices!P265</f>
        <v>0</v>
      </c>
      <c r="M146" s="418">
        <f>Practices!R265</f>
        <v>0</v>
      </c>
      <c r="N146" s="418">
        <f>Practices!S265</f>
        <v>0</v>
      </c>
      <c r="O146" s="418">
        <f>Practices!T265</f>
        <v>0</v>
      </c>
      <c r="P146" s="418">
        <f>Practices!V265</f>
        <v>0</v>
      </c>
      <c r="Q146" s="418">
        <f>Practices!W265</f>
        <v>0</v>
      </c>
      <c r="R146" s="418">
        <f>Practices!X265</f>
        <v>0</v>
      </c>
    </row>
    <row r="147" spans="1:19" ht="12.75" customHeight="1" x14ac:dyDescent="0.2">
      <c r="A147" s="418">
        <f>Practices!B19</f>
        <v>0</v>
      </c>
      <c r="B147" s="418">
        <f>Practices!C19</f>
        <v>0</v>
      </c>
      <c r="C147" s="418">
        <f>Practices!D19</f>
        <v>110000</v>
      </c>
      <c r="D147" s="418">
        <f>Practices!F19</f>
        <v>110000</v>
      </c>
      <c r="E147" s="418">
        <f>Practices!G19</f>
        <v>0</v>
      </c>
      <c r="F147" s="418">
        <f>Practices!H19</f>
        <v>80000</v>
      </c>
      <c r="G147" s="418">
        <f>Practices!J19</f>
        <v>51739.107028939994</v>
      </c>
      <c r="H147" s="418">
        <f>Practices!K19</f>
        <v>37504.112064300745</v>
      </c>
      <c r="I147" s="418">
        <f>Practices!L19</f>
        <v>0</v>
      </c>
      <c r="J147" s="418">
        <f>Practices!N19</f>
        <v>0</v>
      </c>
      <c r="K147" s="418">
        <f>Practices!O19</f>
        <v>0</v>
      </c>
      <c r="L147" s="418">
        <f>Practices!P19</f>
        <v>0</v>
      </c>
      <c r="M147" s="418">
        <f>Practices!R19</f>
        <v>0</v>
      </c>
      <c r="N147" s="418">
        <f>Practices!S19</f>
        <v>0</v>
      </c>
      <c r="O147" s="418">
        <f>Practices!T19</f>
        <v>0</v>
      </c>
      <c r="P147" s="418">
        <f>Practices!V19</f>
        <v>0</v>
      </c>
      <c r="Q147" s="418">
        <f>Practices!W19</f>
        <v>0</v>
      </c>
      <c r="R147" s="418">
        <f>Practices!X19</f>
        <v>0</v>
      </c>
    </row>
    <row r="148" spans="1:19" ht="12.75" customHeight="1" x14ac:dyDescent="0.2">
      <c r="A148" s="418">
        <f>'GM CostSvcs'!B250</f>
        <v>0</v>
      </c>
      <c r="B148" s="418">
        <f>'GM CostSvcs'!C250</f>
        <v>0</v>
      </c>
      <c r="C148" s="418">
        <f>'GM CostSvcs'!D250</f>
        <v>0</v>
      </c>
      <c r="D148" s="418">
        <f>'GM CostSvcs'!F250</f>
        <v>0</v>
      </c>
      <c r="E148" s="418">
        <f>'GM CostSvcs'!G250</f>
        <v>0</v>
      </c>
      <c r="F148" s="418">
        <f>'GM CostSvcs'!H250</f>
        <v>0</v>
      </c>
      <c r="G148" s="418">
        <f>'GM CostSvcs'!J250</f>
        <v>0</v>
      </c>
      <c r="H148" s="418">
        <f>'GM CostSvcs'!K250</f>
        <v>0</v>
      </c>
      <c r="I148" s="418">
        <f>'GM CostSvcs'!L250</f>
        <v>0</v>
      </c>
      <c r="J148" s="418">
        <f>'GM CostSvcs'!N250</f>
        <v>0</v>
      </c>
      <c r="K148" s="418">
        <f>'GM CostSvcs'!O250</f>
        <v>0</v>
      </c>
      <c r="L148" s="418">
        <f>'GM CostSvcs'!P250</f>
        <v>0</v>
      </c>
      <c r="M148" s="418">
        <f>'GM CostSvcs'!R250</f>
        <v>0</v>
      </c>
      <c r="N148" s="418">
        <f>'GM CostSvcs'!S250</f>
        <v>0</v>
      </c>
      <c r="O148" s="418">
        <f>'GM CostSvcs'!T250</f>
        <v>0</v>
      </c>
      <c r="P148" s="418">
        <f>'GM CostSvcs'!V250</f>
        <v>0</v>
      </c>
      <c r="Q148" s="418">
        <f>'GM CostSvcs'!W250</f>
        <v>0</v>
      </c>
      <c r="R148" s="418">
        <f>'GM CostSvcs'!X250</f>
        <v>0</v>
      </c>
    </row>
    <row r="149" spans="1:19" ht="12.75" customHeight="1" x14ac:dyDescent="0.2">
      <c r="A149" s="418">
        <f>'GM CostSvcs'!B253</f>
        <v>0</v>
      </c>
      <c r="B149" s="418">
        <f>'GM CostSvcs'!C253</f>
        <v>0</v>
      </c>
      <c r="C149" s="418">
        <f>'GM CostSvcs'!D253</f>
        <v>0</v>
      </c>
      <c r="D149" s="418">
        <f>'GM CostSvcs'!F253</f>
        <v>0</v>
      </c>
      <c r="E149" s="418">
        <f>'GM CostSvcs'!G253</f>
        <v>0</v>
      </c>
      <c r="F149" s="418">
        <f>'GM CostSvcs'!H253</f>
        <v>0</v>
      </c>
      <c r="G149" s="418">
        <f>'GM CostSvcs'!J253</f>
        <v>0</v>
      </c>
      <c r="H149" s="418">
        <f>'GM CostSvcs'!K253</f>
        <v>0</v>
      </c>
      <c r="I149" s="418">
        <f>'GM CostSvcs'!L253</f>
        <v>0</v>
      </c>
      <c r="J149" s="418">
        <f>'GM CostSvcs'!N253</f>
        <v>0</v>
      </c>
      <c r="K149" s="418">
        <f>'GM CostSvcs'!O253</f>
        <v>0</v>
      </c>
      <c r="L149" s="418">
        <f>'GM CostSvcs'!P253</f>
        <v>0</v>
      </c>
      <c r="M149" s="418">
        <f>'GM CostSvcs'!R253</f>
        <v>0</v>
      </c>
      <c r="N149" s="418">
        <f>'GM CostSvcs'!S253</f>
        <v>0</v>
      </c>
      <c r="O149" s="418">
        <f>'GM CostSvcs'!T253</f>
        <v>0</v>
      </c>
      <c r="P149" s="418">
        <f>'GM CostSvcs'!V253</f>
        <v>0</v>
      </c>
      <c r="Q149" s="418">
        <f>'GM CostSvcs'!W253</f>
        <v>0</v>
      </c>
      <c r="R149" s="418">
        <f>'GM CostSvcs'!X253</f>
        <v>0</v>
      </c>
    </row>
    <row r="150" spans="1:19" ht="12.75" customHeight="1" x14ac:dyDescent="0.2">
      <c r="A150" s="418">
        <f>Practices!B272</f>
        <v>0</v>
      </c>
      <c r="B150" s="418">
        <f>Practices!C272</f>
        <v>0</v>
      </c>
      <c r="C150" s="418">
        <f>Practices!D272</f>
        <v>0</v>
      </c>
      <c r="D150" s="418">
        <f>Practices!F272</f>
        <v>0</v>
      </c>
      <c r="E150" s="418">
        <f>Practices!G272</f>
        <v>0</v>
      </c>
      <c r="F150" s="418">
        <f>Practices!H272</f>
        <v>0</v>
      </c>
      <c r="G150" s="418">
        <f>Practices!J272</f>
        <v>0</v>
      </c>
      <c r="H150" s="418">
        <f>Practices!K272</f>
        <v>0</v>
      </c>
      <c r="I150" s="418">
        <f>Practices!L272</f>
        <v>0</v>
      </c>
      <c r="J150" s="418">
        <f>Practices!N272</f>
        <v>0</v>
      </c>
      <c r="K150" s="418">
        <f>Practices!O272</f>
        <v>0</v>
      </c>
      <c r="L150" s="418">
        <f>Practices!P272</f>
        <v>0</v>
      </c>
      <c r="M150" s="418">
        <f>Practices!R272</f>
        <v>0</v>
      </c>
      <c r="N150" s="418">
        <f>Practices!S272</f>
        <v>0</v>
      </c>
      <c r="O150" s="418">
        <f>Practices!T272</f>
        <v>0</v>
      </c>
      <c r="P150" s="418">
        <f>Practices!V272</f>
        <v>0</v>
      </c>
      <c r="Q150" s="418">
        <f>Practices!W272</f>
        <v>0</v>
      </c>
      <c r="R150" s="418">
        <f>Practices!X272</f>
        <v>0</v>
      </c>
    </row>
    <row r="151" spans="1:19" ht="12.75" customHeight="1" x14ac:dyDescent="0.2">
      <c r="A151" s="418">
        <f>'GM CostSvcs'!B260</f>
        <v>0</v>
      </c>
      <c r="B151" s="418">
        <f>'GM CostSvcs'!C260</f>
        <v>0</v>
      </c>
      <c r="C151" s="418">
        <f>'GM CostSvcs'!D260</f>
        <v>0</v>
      </c>
      <c r="D151" s="418">
        <f>'GM CostSvcs'!F260</f>
        <v>0</v>
      </c>
      <c r="E151" s="418">
        <f>'GM CostSvcs'!G260</f>
        <v>0</v>
      </c>
      <c r="F151" s="418">
        <f>'GM CostSvcs'!H260</f>
        <v>0</v>
      </c>
      <c r="G151" s="418">
        <f>'GM CostSvcs'!J260</f>
        <v>0</v>
      </c>
      <c r="H151" s="418">
        <f>'GM CostSvcs'!K260</f>
        <v>0</v>
      </c>
      <c r="I151" s="418">
        <f>'GM CostSvcs'!L260</f>
        <v>0</v>
      </c>
      <c r="J151" s="418">
        <f>'GM CostSvcs'!N260</f>
        <v>0</v>
      </c>
      <c r="K151" s="418">
        <f>'GM CostSvcs'!O260</f>
        <v>0</v>
      </c>
      <c r="L151" s="418">
        <f>'GM CostSvcs'!P260</f>
        <v>0</v>
      </c>
      <c r="M151" s="418">
        <f>'GM CostSvcs'!R260</f>
        <v>0</v>
      </c>
      <c r="N151" s="418">
        <f>'GM CostSvcs'!S260</f>
        <v>0</v>
      </c>
      <c r="O151" s="418">
        <f>'GM CostSvcs'!T260</f>
        <v>0</v>
      </c>
      <c r="P151" s="418">
        <f>'GM CostSvcs'!V260</f>
        <v>0</v>
      </c>
      <c r="Q151" s="418">
        <f>'GM CostSvcs'!W260</f>
        <v>0</v>
      </c>
      <c r="R151" s="418">
        <f>'GM CostSvcs'!X260</f>
        <v>0</v>
      </c>
    </row>
    <row r="152" spans="1:19" ht="12.75" customHeight="1" x14ac:dyDescent="0.2">
      <c r="A152" s="418">
        <f>'GM CostSvcs'!B263</f>
        <v>0</v>
      </c>
      <c r="B152" s="418">
        <f>'GM CostSvcs'!C263</f>
        <v>0</v>
      </c>
      <c r="C152" s="418">
        <f>'GM CostSvcs'!D263</f>
        <v>0</v>
      </c>
      <c r="D152" s="418">
        <f>'GM CostSvcs'!F263</f>
        <v>0</v>
      </c>
      <c r="E152" s="418">
        <f>'GM CostSvcs'!G263</f>
        <v>0</v>
      </c>
      <c r="F152" s="418">
        <f>'GM CostSvcs'!H263</f>
        <v>0</v>
      </c>
      <c r="G152" s="418">
        <f>'GM CostSvcs'!J263</f>
        <v>0</v>
      </c>
      <c r="H152" s="418">
        <f>'GM CostSvcs'!K263</f>
        <v>0</v>
      </c>
      <c r="I152" s="418">
        <f>'GM CostSvcs'!L263</f>
        <v>0</v>
      </c>
      <c r="J152" s="418">
        <f>'GM CostSvcs'!N263</f>
        <v>0</v>
      </c>
      <c r="K152" s="418">
        <f>'GM CostSvcs'!O263</f>
        <v>0</v>
      </c>
      <c r="L152" s="418">
        <f>'GM CostSvcs'!P263</f>
        <v>0</v>
      </c>
      <c r="M152" s="418">
        <f>'GM CostSvcs'!R263</f>
        <v>0</v>
      </c>
      <c r="N152" s="418">
        <f>'GM CostSvcs'!S263</f>
        <v>0</v>
      </c>
      <c r="O152" s="418">
        <f>'GM CostSvcs'!T263</f>
        <v>0</v>
      </c>
      <c r="P152" s="418">
        <f>'GM CostSvcs'!V263</f>
        <v>0</v>
      </c>
      <c r="Q152" s="418">
        <f>'GM CostSvcs'!W263</f>
        <v>0</v>
      </c>
      <c r="R152" s="418">
        <f>'GM CostSvcs'!X263</f>
        <v>0</v>
      </c>
    </row>
    <row r="153" spans="1:19" ht="12.75" customHeight="1" x14ac:dyDescent="0.2">
      <c r="A153" s="418">
        <f>Practices!B275</f>
        <v>0</v>
      </c>
      <c r="B153" s="418">
        <f>Practices!C275</f>
        <v>0</v>
      </c>
      <c r="C153" s="418">
        <f>Practices!D275</f>
        <v>0</v>
      </c>
      <c r="D153" s="418">
        <f>Practices!F275</f>
        <v>0</v>
      </c>
      <c r="E153" s="418">
        <f>Practices!G275</f>
        <v>0</v>
      </c>
      <c r="F153" s="418">
        <f>Practices!H275</f>
        <v>0</v>
      </c>
      <c r="G153" s="418">
        <f>Practices!J275</f>
        <v>0</v>
      </c>
      <c r="H153" s="418">
        <f>Practices!K275</f>
        <v>0</v>
      </c>
      <c r="I153" s="418">
        <f>Practices!L275</f>
        <v>0</v>
      </c>
      <c r="J153" s="418">
        <f>Practices!N275</f>
        <v>0</v>
      </c>
      <c r="K153" s="418">
        <f>Practices!O275</f>
        <v>0</v>
      </c>
      <c r="L153" s="418">
        <f>Practices!P275</f>
        <v>0</v>
      </c>
      <c r="M153" s="418">
        <f>Practices!R275</f>
        <v>0</v>
      </c>
      <c r="N153" s="418">
        <f>Practices!S275</f>
        <v>0</v>
      </c>
      <c r="O153" s="418">
        <f>Practices!T275</f>
        <v>0</v>
      </c>
      <c r="P153" s="418">
        <f>Practices!V275</f>
        <v>0</v>
      </c>
      <c r="Q153" s="418">
        <f>Practices!W275</f>
        <v>0</v>
      </c>
      <c r="R153" s="418">
        <f>Practices!X275</f>
        <v>0</v>
      </c>
    </row>
    <row r="154" spans="1:19" ht="12.75" customHeight="1" x14ac:dyDescent="0.2">
      <c r="A154" s="418">
        <f>Practices!B22</f>
        <v>0</v>
      </c>
      <c r="B154" s="418">
        <f>Practices!C22</f>
        <v>0</v>
      </c>
      <c r="C154" s="418">
        <f>Practices!D22</f>
        <v>0</v>
      </c>
      <c r="D154" s="418">
        <f>Practices!F22</f>
        <v>0</v>
      </c>
      <c r="E154" s="418">
        <f>Practices!G22</f>
        <v>0</v>
      </c>
      <c r="F154" s="418">
        <f>Practices!H22</f>
        <v>0</v>
      </c>
      <c r="G154" s="418">
        <f>Practices!J22</f>
        <v>0</v>
      </c>
      <c r="H154" s="418">
        <f>Practices!K22</f>
        <v>0</v>
      </c>
      <c r="I154" s="418">
        <f>Practices!L22</f>
        <v>0</v>
      </c>
      <c r="J154" s="418">
        <f>Practices!N22</f>
        <v>0</v>
      </c>
      <c r="K154" s="418">
        <f>Practices!O22</f>
        <v>0</v>
      </c>
      <c r="L154" s="418">
        <f>Practices!P22</f>
        <v>0</v>
      </c>
      <c r="M154" s="418">
        <f>Practices!R22</f>
        <v>0</v>
      </c>
      <c r="N154" s="418">
        <f>Practices!S22</f>
        <v>0</v>
      </c>
      <c r="O154" s="418">
        <f>Practices!T22</f>
        <v>0</v>
      </c>
      <c r="P154" s="418">
        <f>Practices!V22</f>
        <v>0</v>
      </c>
      <c r="Q154" s="418">
        <f>Practices!W22</f>
        <v>0</v>
      </c>
      <c r="R154" s="418">
        <f>Practices!X22</f>
        <v>0</v>
      </c>
    </row>
    <row r="155" spans="1:19" ht="12.75" customHeight="1" x14ac:dyDescent="0.2">
      <c r="A155" s="418">
        <f>IncStmt!B16</f>
        <v>0</v>
      </c>
      <c r="B155" s="418">
        <f>IncStmt!C16</f>
        <v>0</v>
      </c>
      <c r="C155" s="418">
        <f>IncStmt!D16</f>
        <v>110000</v>
      </c>
      <c r="D155" s="418">
        <f>IncStmt!F16</f>
        <v>110000</v>
      </c>
      <c r="E155" s="418">
        <f>IncStmt!G16</f>
        <v>0</v>
      </c>
      <c r="F155" s="418">
        <f>IncStmt!H16</f>
        <v>80000</v>
      </c>
      <c r="G155" s="418">
        <f>IncStmt!J16</f>
        <v>51739.107028939994</v>
      </c>
      <c r="H155" s="418">
        <f>IncStmt!K16</f>
        <v>37504.112064300745</v>
      </c>
      <c r="I155" s="418">
        <f>IncStmt!L16</f>
        <v>0</v>
      </c>
      <c r="J155" s="418">
        <f>IncStmt!N16</f>
        <v>0</v>
      </c>
      <c r="K155" s="418">
        <f>IncStmt!O16</f>
        <v>0</v>
      </c>
      <c r="L155" s="418">
        <f>IncStmt!P16</f>
        <v>0</v>
      </c>
      <c r="M155" s="418">
        <f>IncStmt!R16</f>
        <v>0</v>
      </c>
      <c r="N155" s="418">
        <f>IncStmt!S16</f>
        <v>0</v>
      </c>
      <c r="O155" s="418">
        <f>IncStmt!T16</f>
        <v>0</v>
      </c>
      <c r="P155" s="418">
        <f>IncStmt!V16</f>
        <v>0</v>
      </c>
      <c r="Q155" s="418">
        <f>IncStmt!W16</f>
        <v>0</v>
      </c>
      <c r="R155" s="418">
        <f>IncStmt!X16</f>
        <v>0</v>
      </c>
    </row>
    <row r="156" spans="1:19" ht="12.75" customHeight="1" x14ac:dyDescent="0.2">
      <c r="A156" s="418">
        <f>IncStmt!B26</f>
        <v>0</v>
      </c>
      <c r="B156" s="418">
        <f>IncStmt!C26</f>
        <v>0</v>
      </c>
      <c r="C156" s="418">
        <f>IncStmt!D26</f>
        <v>110000</v>
      </c>
      <c r="D156" s="418">
        <f>IncStmt!F26</f>
        <v>110000</v>
      </c>
      <c r="E156" s="418">
        <f>IncStmt!G26</f>
        <v>0</v>
      </c>
      <c r="F156" s="418">
        <f>IncStmt!H26</f>
        <v>80000</v>
      </c>
      <c r="G156" s="418">
        <f>IncStmt!J26</f>
        <v>51739.107028939994</v>
      </c>
      <c r="H156" s="418">
        <f>IncStmt!K26</f>
        <v>37504.112064300745</v>
      </c>
      <c r="I156" s="418">
        <f>IncStmt!L26</f>
        <v>0</v>
      </c>
      <c r="J156" s="418">
        <f>IncStmt!N26</f>
        <v>0</v>
      </c>
      <c r="K156" s="418">
        <f>IncStmt!O26</f>
        <v>0</v>
      </c>
      <c r="L156" s="418">
        <f>IncStmt!P26</f>
        <v>0</v>
      </c>
      <c r="M156" s="418">
        <f>IncStmt!R26</f>
        <v>0</v>
      </c>
      <c r="N156" s="418">
        <f>IncStmt!S26</f>
        <v>0</v>
      </c>
      <c r="O156" s="418">
        <f>IncStmt!T26</f>
        <v>0</v>
      </c>
      <c r="P156" s="418">
        <f>IncStmt!V26</f>
        <v>0</v>
      </c>
      <c r="Q156" s="418">
        <f>IncStmt!W26</f>
        <v>0</v>
      </c>
      <c r="R156" s="418">
        <f>IncStmt!X26</f>
        <v>0</v>
      </c>
    </row>
    <row r="157" spans="1:19" ht="12.75" customHeight="1" x14ac:dyDescent="0.2">
      <c r="A157" s="418">
        <f>BalSht!B8</f>
        <v>0</v>
      </c>
      <c r="B157" s="418">
        <f>BalSht!C8</f>
        <v>0</v>
      </c>
      <c r="C157" s="418">
        <f>BalSht!D8</f>
        <v>0</v>
      </c>
      <c r="D157" s="418">
        <f>BalSht!E8</f>
        <v>109112.90322580645</v>
      </c>
      <c r="E157" s="418">
        <f>BalSht!G8</f>
        <v>112750</v>
      </c>
      <c r="F157" s="418">
        <f>BalSht!H8</f>
        <v>220000</v>
      </c>
      <c r="G157" s="418">
        <f>BalSht!I8</f>
        <v>136000</v>
      </c>
      <c r="H157" s="418">
        <f>BalSht!K8</f>
        <v>193029.42960958515</v>
      </c>
      <c r="I157" s="418">
        <f>BalSht!L8</f>
        <v>230533.54167388589</v>
      </c>
      <c r="J157" s="418">
        <f>BalSht!M8</f>
        <v>389243.21909324074</v>
      </c>
      <c r="K157" s="418">
        <f>BalSht!O8</f>
        <v>389243.21909324074</v>
      </c>
      <c r="L157" s="418">
        <f>BalSht!P8</f>
        <v>389243.21909324074</v>
      </c>
      <c r="M157" s="418">
        <f>BalSht!Q8</f>
        <v>389243.21909324074</v>
      </c>
      <c r="N157" s="418">
        <f>BalSht!S8</f>
        <v>389243.21909324074</v>
      </c>
      <c r="O157" s="418">
        <f>BalSht!T8</f>
        <v>389243.21909324074</v>
      </c>
      <c r="P157" s="418">
        <f>BalSht!U8</f>
        <v>389243.21909324074</v>
      </c>
      <c r="Q157" s="418">
        <f>BalSht!W8</f>
        <v>389243.21909324074</v>
      </c>
      <c r="R157" s="418">
        <f>BalSht!X8</f>
        <v>389243.21909324074</v>
      </c>
      <c r="S157" s="418">
        <f>BalSht!Y8</f>
        <v>389243.21909324074</v>
      </c>
    </row>
    <row r="158" spans="1:19" ht="12.75" customHeight="1" x14ac:dyDescent="0.2">
      <c r="A158" s="418">
        <f>BalSht!B9</f>
        <v>0</v>
      </c>
      <c r="B158" s="418">
        <f>BalSht!C9</f>
        <v>0</v>
      </c>
      <c r="C158" s="418">
        <f>BalSht!D9</f>
        <v>0</v>
      </c>
      <c r="D158" s="418">
        <f>BalSht!E9</f>
        <v>218225.80645161291</v>
      </c>
      <c r="E158" s="418">
        <f>BalSht!G9</f>
        <v>225500</v>
      </c>
      <c r="F158" s="418">
        <f>BalSht!H9</f>
        <v>0</v>
      </c>
      <c r="G158" s="418">
        <f>BalSht!I9</f>
        <v>164000</v>
      </c>
      <c r="H158" s="418">
        <f>BalSht!K9</f>
        <v>158709.67741935485</v>
      </c>
      <c r="I158" s="418">
        <f>BalSht!L9</f>
        <v>158709.67741935485</v>
      </c>
      <c r="J158" s="418">
        <f>BalSht!M9</f>
        <v>0</v>
      </c>
      <c r="K158" s="418">
        <f>BalSht!O9</f>
        <v>0</v>
      </c>
      <c r="L158" s="418">
        <f>BalSht!P9</f>
        <v>0</v>
      </c>
      <c r="M158" s="418">
        <f>BalSht!Q9</f>
        <v>0</v>
      </c>
      <c r="N158" s="418">
        <f>BalSht!S9</f>
        <v>0</v>
      </c>
      <c r="O158" s="418">
        <f>BalSht!T9</f>
        <v>0</v>
      </c>
      <c r="P158" s="418">
        <f>BalSht!U9</f>
        <v>0</v>
      </c>
      <c r="Q158" s="418">
        <f>BalSht!W9</f>
        <v>0</v>
      </c>
      <c r="R158" s="418">
        <f>BalSht!X9</f>
        <v>0</v>
      </c>
      <c r="S158" s="418">
        <f>BalSht!Y9</f>
        <v>0</v>
      </c>
    </row>
    <row r="159" spans="1:19" ht="12.75" customHeight="1" x14ac:dyDescent="0.2">
      <c r="A159" s="418">
        <f>BalSht!B10</f>
        <v>0</v>
      </c>
      <c r="B159" s="418">
        <f>BalSht!C10</f>
        <v>0</v>
      </c>
      <c r="C159" s="418">
        <f>BalSht!D10</f>
        <v>0</v>
      </c>
      <c r="D159" s="418">
        <f>BalSht!E10</f>
        <v>0</v>
      </c>
      <c r="E159" s="418">
        <f>BalSht!G10</f>
        <v>0</v>
      </c>
      <c r="F159" s="418">
        <f>BalSht!H10</f>
        <v>0</v>
      </c>
      <c r="G159" s="418">
        <f>BalSht!I10</f>
        <v>0</v>
      </c>
      <c r="H159" s="418">
        <f>BalSht!K10</f>
        <v>0</v>
      </c>
      <c r="I159" s="418">
        <f>BalSht!L10</f>
        <v>0</v>
      </c>
      <c r="J159" s="418">
        <f>BalSht!M10</f>
        <v>0</v>
      </c>
      <c r="K159" s="418">
        <f>BalSht!O10</f>
        <v>0</v>
      </c>
      <c r="L159" s="418">
        <f>BalSht!P10</f>
        <v>0</v>
      </c>
      <c r="M159" s="418">
        <f>BalSht!Q10</f>
        <v>0</v>
      </c>
      <c r="N159" s="418">
        <f>BalSht!S10</f>
        <v>0</v>
      </c>
      <c r="O159" s="418">
        <f>BalSht!T10</f>
        <v>0</v>
      </c>
      <c r="P159" s="418">
        <f>BalSht!U10</f>
        <v>0</v>
      </c>
      <c r="Q159" s="418">
        <f>BalSht!W10</f>
        <v>0</v>
      </c>
      <c r="R159" s="418">
        <f>BalSht!X10</f>
        <v>0</v>
      </c>
      <c r="S159" s="418">
        <f>BalSht!Y10</f>
        <v>0</v>
      </c>
    </row>
    <row r="160" spans="1:19" ht="12.75" customHeight="1" x14ac:dyDescent="0.2">
      <c r="A160" s="418">
        <f>BalSht!B11</f>
        <v>0</v>
      </c>
      <c r="B160" s="418">
        <f>BalSht!C11</f>
        <v>0</v>
      </c>
      <c r="C160" s="418">
        <f>BalSht!D11</f>
        <v>0</v>
      </c>
      <c r="D160" s="418">
        <f>BalSht!E11</f>
        <v>327338.70967741939</v>
      </c>
      <c r="E160" s="418">
        <f>BalSht!G11</f>
        <v>338250</v>
      </c>
      <c r="F160" s="418">
        <f>BalSht!H11</f>
        <v>220000</v>
      </c>
      <c r="G160" s="418">
        <f>BalSht!I11</f>
        <v>300000</v>
      </c>
      <c r="H160" s="418">
        <f>BalSht!K11</f>
        <v>351739.10702893999</v>
      </c>
      <c r="I160" s="418">
        <f>BalSht!L11</f>
        <v>389243.21909324074</v>
      </c>
      <c r="J160" s="418">
        <f>BalSht!M11</f>
        <v>389243.21909324074</v>
      </c>
      <c r="K160" s="418">
        <f>BalSht!O11</f>
        <v>389243.21909324074</v>
      </c>
      <c r="L160" s="418">
        <f>BalSht!P11</f>
        <v>389243.21909324074</v>
      </c>
      <c r="M160" s="418">
        <f>BalSht!Q11</f>
        <v>389243.21909324074</v>
      </c>
      <c r="N160" s="418">
        <f>BalSht!S11</f>
        <v>389243.21909324074</v>
      </c>
      <c r="O160" s="418">
        <f>BalSht!T11</f>
        <v>389243.21909324074</v>
      </c>
      <c r="P160" s="418">
        <f>BalSht!U11</f>
        <v>389243.21909324074</v>
      </c>
      <c r="Q160" s="418">
        <f>BalSht!W11</f>
        <v>389243.21909324074</v>
      </c>
      <c r="R160" s="418">
        <f>BalSht!X11</f>
        <v>389243.21909324074</v>
      </c>
      <c r="S160" s="418">
        <f>BalSht!Y11</f>
        <v>389243.21909324074</v>
      </c>
    </row>
    <row r="161" spans="1:19" ht="12.75" customHeight="1" x14ac:dyDescent="0.2">
      <c r="A161" s="418">
        <f>BalSht!B12</f>
        <v>0</v>
      </c>
      <c r="B161" s="418">
        <f>BalSht!C12</f>
        <v>0</v>
      </c>
      <c r="C161" s="418">
        <f>BalSht!D12</f>
        <v>0</v>
      </c>
      <c r="D161" s="418">
        <f>BalSht!E12</f>
        <v>0</v>
      </c>
      <c r="E161" s="418">
        <f>BalSht!G12</f>
        <v>0</v>
      </c>
      <c r="F161" s="418">
        <f>BalSht!H12</f>
        <v>0</v>
      </c>
      <c r="G161" s="418">
        <f>BalSht!I12</f>
        <v>0</v>
      </c>
      <c r="H161" s="418">
        <f>BalSht!K12</f>
        <v>0</v>
      </c>
      <c r="I161" s="418">
        <f>BalSht!L12</f>
        <v>0</v>
      </c>
      <c r="J161" s="418">
        <f>BalSht!M12</f>
        <v>0</v>
      </c>
      <c r="K161" s="418">
        <f>BalSht!O12</f>
        <v>0</v>
      </c>
      <c r="L161" s="418">
        <f>BalSht!P12</f>
        <v>0</v>
      </c>
      <c r="M161" s="418">
        <f>BalSht!Q12</f>
        <v>0</v>
      </c>
      <c r="N161" s="418">
        <f>BalSht!S12</f>
        <v>0</v>
      </c>
      <c r="O161" s="418">
        <f>BalSht!T12</f>
        <v>0</v>
      </c>
      <c r="P161" s="418">
        <f>BalSht!U12</f>
        <v>0</v>
      </c>
      <c r="Q161" s="418">
        <f>BalSht!W12</f>
        <v>0</v>
      </c>
      <c r="R161" s="418">
        <f>BalSht!X12</f>
        <v>0</v>
      </c>
      <c r="S161" s="418">
        <f>BalSht!Y12</f>
        <v>0</v>
      </c>
    </row>
    <row r="162" spans="1:19" ht="12.75" customHeight="1" x14ac:dyDescent="0.2">
      <c r="A162" s="418">
        <f>BalSht!B13</f>
        <v>0</v>
      </c>
      <c r="B162" s="418">
        <f>BalSht!C13</f>
        <v>0</v>
      </c>
      <c r="C162" s="418">
        <f>BalSht!D13</f>
        <v>0</v>
      </c>
      <c r="D162" s="418">
        <f>BalSht!E13</f>
        <v>327338.70967741939</v>
      </c>
      <c r="E162" s="418">
        <f>BalSht!G13</f>
        <v>338250</v>
      </c>
      <c r="F162" s="418">
        <f>BalSht!H13</f>
        <v>220000</v>
      </c>
      <c r="G162" s="418">
        <f>BalSht!I13</f>
        <v>300000</v>
      </c>
      <c r="H162" s="418">
        <f>BalSht!K13</f>
        <v>351739.10702893999</v>
      </c>
      <c r="I162" s="418">
        <f>BalSht!L13</f>
        <v>389243.21909324074</v>
      </c>
      <c r="J162" s="418">
        <f>BalSht!M13</f>
        <v>389243.21909324074</v>
      </c>
      <c r="K162" s="418">
        <f>BalSht!O13</f>
        <v>389243.21909324074</v>
      </c>
      <c r="L162" s="418">
        <f>BalSht!P13</f>
        <v>389243.21909324074</v>
      </c>
      <c r="M162" s="418">
        <f>BalSht!Q13</f>
        <v>389243.21909324074</v>
      </c>
      <c r="N162" s="418">
        <f>BalSht!S13</f>
        <v>389243.21909324074</v>
      </c>
      <c r="O162" s="418">
        <f>BalSht!T13</f>
        <v>389243.21909324074</v>
      </c>
      <c r="P162" s="418">
        <f>BalSht!U13</f>
        <v>389243.21909324074</v>
      </c>
      <c r="Q162" s="418">
        <f>BalSht!W13</f>
        <v>389243.21909324074</v>
      </c>
      <c r="R162" s="418">
        <f>BalSht!X13</f>
        <v>389243.21909324074</v>
      </c>
      <c r="S162" s="418">
        <f>BalSht!Y13</f>
        <v>389243.21909324074</v>
      </c>
    </row>
    <row r="163" spans="1:19" ht="12.75" customHeight="1" x14ac:dyDescent="0.2">
      <c r="A163" s="418">
        <f>BalSht!B17</f>
        <v>0</v>
      </c>
      <c r="B163" s="418">
        <f>BalSht!C17</f>
        <v>0</v>
      </c>
      <c r="C163" s="418">
        <f>BalSht!D17</f>
        <v>0</v>
      </c>
      <c r="D163" s="418">
        <f>BalSht!E17</f>
        <v>0</v>
      </c>
      <c r="E163" s="418">
        <f>BalSht!G17</f>
        <v>0</v>
      </c>
      <c r="F163" s="418">
        <f>BalSht!H17</f>
        <v>0</v>
      </c>
      <c r="G163" s="418">
        <f>BalSht!I17</f>
        <v>0</v>
      </c>
      <c r="H163" s="418">
        <f>BalSht!K17</f>
        <v>0</v>
      </c>
      <c r="I163" s="418">
        <f>BalSht!L17</f>
        <v>0</v>
      </c>
      <c r="J163" s="418">
        <f>BalSht!M17</f>
        <v>0</v>
      </c>
      <c r="K163" s="418">
        <f>BalSht!O17</f>
        <v>0</v>
      </c>
      <c r="L163" s="418">
        <f>BalSht!P17</f>
        <v>0</v>
      </c>
      <c r="M163" s="418">
        <f>BalSht!Q17</f>
        <v>0</v>
      </c>
      <c r="N163" s="418">
        <f>BalSht!S17</f>
        <v>0</v>
      </c>
      <c r="O163" s="418">
        <f>BalSht!T17</f>
        <v>0</v>
      </c>
      <c r="P163" s="418">
        <f>BalSht!U17</f>
        <v>0</v>
      </c>
      <c r="Q163" s="418">
        <f>BalSht!W17</f>
        <v>0</v>
      </c>
      <c r="R163" s="418">
        <f>BalSht!X17</f>
        <v>0</v>
      </c>
      <c r="S163" s="418">
        <f>BalSht!Y17</f>
        <v>0</v>
      </c>
    </row>
    <row r="164" spans="1:19" ht="12.75" customHeight="1" x14ac:dyDescent="0.2">
      <c r="A164" s="418">
        <f>BalSht!B18</f>
        <v>0</v>
      </c>
      <c r="B164" s="418">
        <f>BalSht!C18</f>
        <v>0</v>
      </c>
      <c r="C164" s="418">
        <f>BalSht!D18</f>
        <v>0</v>
      </c>
      <c r="D164" s="418">
        <f>BalSht!E18</f>
        <v>217338.70967741936</v>
      </c>
      <c r="E164" s="418">
        <f>BalSht!G18</f>
        <v>118250</v>
      </c>
      <c r="F164" s="418">
        <f>BalSht!H18</f>
        <v>0</v>
      </c>
      <c r="G164" s="418">
        <f>BalSht!I18</f>
        <v>0</v>
      </c>
      <c r="H164" s="418">
        <f>BalSht!K18</f>
        <v>0</v>
      </c>
      <c r="I164" s="418">
        <f>BalSht!L18</f>
        <v>0</v>
      </c>
      <c r="J164" s="418">
        <f>BalSht!M18</f>
        <v>0</v>
      </c>
      <c r="K164" s="418">
        <f>BalSht!O18</f>
        <v>0</v>
      </c>
      <c r="L164" s="418">
        <f>BalSht!P18</f>
        <v>0</v>
      </c>
      <c r="M164" s="418">
        <f>BalSht!Q18</f>
        <v>0</v>
      </c>
      <c r="N164" s="418">
        <f>BalSht!S18</f>
        <v>0</v>
      </c>
      <c r="O164" s="418">
        <f>BalSht!T18</f>
        <v>0</v>
      </c>
      <c r="P164" s="418">
        <f>BalSht!U18</f>
        <v>0</v>
      </c>
      <c r="Q164" s="418">
        <f>BalSht!W18</f>
        <v>0</v>
      </c>
      <c r="R164" s="418">
        <f>BalSht!X18</f>
        <v>0</v>
      </c>
      <c r="S164" s="418">
        <f>BalSht!Y18</f>
        <v>0</v>
      </c>
    </row>
    <row r="165" spans="1:19" ht="12.75" customHeight="1" x14ac:dyDescent="0.2">
      <c r="A165" s="418">
        <f>BalSht!B19</f>
        <v>0</v>
      </c>
      <c r="B165" s="418">
        <f>BalSht!C19</f>
        <v>0</v>
      </c>
      <c r="C165" s="418">
        <f>BalSht!D19</f>
        <v>0</v>
      </c>
      <c r="D165" s="418">
        <f>BalSht!E19</f>
        <v>217338.70967741936</v>
      </c>
      <c r="E165" s="418">
        <f>BalSht!G19</f>
        <v>118250</v>
      </c>
      <c r="F165" s="418">
        <f>BalSht!H19</f>
        <v>0</v>
      </c>
      <c r="G165" s="418">
        <f>BalSht!I19</f>
        <v>0</v>
      </c>
      <c r="H165" s="418">
        <f>BalSht!K19</f>
        <v>0</v>
      </c>
      <c r="I165" s="418">
        <f>BalSht!L19</f>
        <v>0</v>
      </c>
      <c r="J165" s="418">
        <f>BalSht!M19</f>
        <v>0</v>
      </c>
      <c r="K165" s="418">
        <f>BalSht!O19</f>
        <v>0</v>
      </c>
      <c r="L165" s="418">
        <f>BalSht!P19</f>
        <v>0</v>
      </c>
      <c r="M165" s="418">
        <f>BalSht!Q19</f>
        <v>0</v>
      </c>
      <c r="N165" s="418">
        <f>BalSht!S19</f>
        <v>0</v>
      </c>
      <c r="O165" s="418">
        <f>BalSht!T19</f>
        <v>0</v>
      </c>
      <c r="P165" s="418">
        <f>BalSht!U19</f>
        <v>0</v>
      </c>
      <c r="Q165" s="418">
        <f>BalSht!W19</f>
        <v>0</v>
      </c>
      <c r="R165" s="418">
        <f>BalSht!X19</f>
        <v>0</v>
      </c>
      <c r="S165" s="418">
        <f>BalSht!Y19</f>
        <v>0</v>
      </c>
    </row>
    <row r="166" spans="1:19" ht="12.75" customHeight="1" x14ac:dyDescent="0.2">
      <c r="A166" s="418">
        <f>BalSht!B21</f>
        <v>0</v>
      </c>
      <c r="B166" s="418">
        <f>BalSht!C21</f>
        <v>0</v>
      </c>
      <c r="C166" s="418">
        <f>BalSht!D21</f>
        <v>0</v>
      </c>
      <c r="D166" s="418">
        <f>BalSht!E21</f>
        <v>0</v>
      </c>
      <c r="E166" s="418">
        <f>BalSht!G21</f>
        <v>0</v>
      </c>
      <c r="F166" s="418">
        <f>BalSht!H21</f>
        <v>0</v>
      </c>
      <c r="G166" s="418">
        <f>BalSht!I21</f>
        <v>0</v>
      </c>
      <c r="H166" s="418">
        <f>BalSht!K21</f>
        <v>0</v>
      </c>
      <c r="I166" s="418">
        <f>BalSht!L21</f>
        <v>0</v>
      </c>
      <c r="J166" s="418">
        <f>BalSht!M21</f>
        <v>0</v>
      </c>
      <c r="K166" s="418">
        <f>BalSht!O21</f>
        <v>0</v>
      </c>
      <c r="L166" s="418">
        <f>BalSht!P21</f>
        <v>0</v>
      </c>
      <c r="M166" s="418">
        <f>BalSht!Q21</f>
        <v>0</v>
      </c>
      <c r="N166" s="418">
        <f>BalSht!S21</f>
        <v>0</v>
      </c>
      <c r="O166" s="418">
        <f>BalSht!T21</f>
        <v>0</v>
      </c>
      <c r="P166" s="418">
        <f>BalSht!U21</f>
        <v>0</v>
      </c>
      <c r="Q166" s="418">
        <f>BalSht!W21</f>
        <v>0</v>
      </c>
      <c r="R166" s="418">
        <f>BalSht!X21</f>
        <v>0</v>
      </c>
      <c r="S166" s="418">
        <f>BalSht!Y21</f>
        <v>0</v>
      </c>
    </row>
    <row r="167" spans="1:19" ht="12.75" customHeight="1" x14ac:dyDescent="0.2">
      <c r="A167" s="418">
        <f>BalSht!B22</f>
        <v>0</v>
      </c>
      <c r="B167" s="418">
        <f>BalSht!C22</f>
        <v>0</v>
      </c>
      <c r="C167" s="418">
        <f>BalSht!D22</f>
        <v>0</v>
      </c>
      <c r="D167" s="418">
        <f>BalSht!E22</f>
        <v>0</v>
      </c>
      <c r="E167" s="418">
        <f>BalSht!G22</f>
        <v>0</v>
      </c>
      <c r="F167" s="418">
        <f>BalSht!H22</f>
        <v>0</v>
      </c>
      <c r="G167" s="418">
        <f>BalSht!I22</f>
        <v>0</v>
      </c>
      <c r="H167" s="418">
        <f>BalSht!K22</f>
        <v>0</v>
      </c>
      <c r="I167" s="418">
        <f>BalSht!L22</f>
        <v>0</v>
      </c>
      <c r="J167" s="418">
        <f>BalSht!M22</f>
        <v>0</v>
      </c>
      <c r="K167" s="418">
        <f>BalSht!O22</f>
        <v>0</v>
      </c>
      <c r="L167" s="418">
        <f>BalSht!P22</f>
        <v>0</v>
      </c>
      <c r="M167" s="418">
        <f>BalSht!Q22</f>
        <v>0</v>
      </c>
      <c r="N167" s="418">
        <f>BalSht!S22</f>
        <v>0</v>
      </c>
      <c r="O167" s="418">
        <f>BalSht!T22</f>
        <v>0</v>
      </c>
      <c r="P167" s="418">
        <f>BalSht!U22</f>
        <v>0</v>
      </c>
      <c r="Q167" s="418">
        <f>BalSht!W22</f>
        <v>0</v>
      </c>
      <c r="R167" s="418">
        <f>BalSht!X22</f>
        <v>0</v>
      </c>
      <c r="S167" s="418">
        <f>BalSht!Y22</f>
        <v>0</v>
      </c>
    </row>
    <row r="168" spans="1:19" ht="12.75" customHeight="1" x14ac:dyDescent="0.2">
      <c r="A168" s="418">
        <f>BalSht!B23</f>
        <v>0</v>
      </c>
      <c r="B168" s="418">
        <f>BalSht!C23</f>
        <v>0</v>
      </c>
      <c r="C168" s="418">
        <f>BalSht!D23</f>
        <v>0</v>
      </c>
      <c r="D168" s="418">
        <f>BalSht!E23</f>
        <v>0</v>
      </c>
      <c r="E168" s="418">
        <f>BalSht!G23</f>
        <v>0</v>
      </c>
      <c r="F168" s="418">
        <f>BalSht!H23</f>
        <v>0</v>
      </c>
      <c r="G168" s="418">
        <f>BalSht!I23</f>
        <v>0</v>
      </c>
      <c r="H168" s="418">
        <f>BalSht!K23</f>
        <v>0</v>
      </c>
      <c r="I168" s="418">
        <f>BalSht!L23</f>
        <v>0</v>
      </c>
      <c r="J168" s="418">
        <f>BalSht!M23</f>
        <v>0</v>
      </c>
      <c r="K168" s="418">
        <f>BalSht!O23</f>
        <v>0</v>
      </c>
      <c r="L168" s="418">
        <f>BalSht!P23</f>
        <v>0</v>
      </c>
      <c r="M168" s="418">
        <f>BalSht!Q23</f>
        <v>0</v>
      </c>
      <c r="N168" s="418">
        <f>BalSht!S23</f>
        <v>0</v>
      </c>
      <c r="O168" s="418">
        <f>BalSht!T23</f>
        <v>0</v>
      </c>
      <c r="P168" s="418">
        <f>BalSht!U23</f>
        <v>0</v>
      </c>
      <c r="Q168" s="418">
        <f>BalSht!W23</f>
        <v>0</v>
      </c>
      <c r="R168" s="418">
        <f>BalSht!X23</f>
        <v>0</v>
      </c>
      <c r="S168" s="418">
        <f>BalSht!Y23</f>
        <v>0</v>
      </c>
    </row>
    <row r="169" spans="1:19" ht="12.75" customHeight="1" x14ac:dyDescent="0.2">
      <c r="A169" s="418">
        <f>BalSht!B24</f>
        <v>0</v>
      </c>
      <c r="B169" s="418">
        <f>BalSht!C24</f>
        <v>0</v>
      </c>
      <c r="C169" s="418">
        <f>BalSht!D24</f>
        <v>0</v>
      </c>
      <c r="D169" s="418">
        <f>BalSht!E24</f>
        <v>217338.70967741936</v>
      </c>
      <c r="E169" s="418">
        <f>BalSht!G24</f>
        <v>118250</v>
      </c>
      <c r="F169" s="418">
        <f>BalSht!H24</f>
        <v>0</v>
      </c>
      <c r="G169" s="418">
        <f>BalSht!I24</f>
        <v>0</v>
      </c>
      <c r="H169" s="418">
        <f>BalSht!K24</f>
        <v>0</v>
      </c>
      <c r="I169" s="418">
        <f>BalSht!L24</f>
        <v>0</v>
      </c>
      <c r="J169" s="418">
        <f>BalSht!M24</f>
        <v>0</v>
      </c>
      <c r="K169" s="418">
        <f>BalSht!O24</f>
        <v>0</v>
      </c>
      <c r="L169" s="418">
        <f>BalSht!P24</f>
        <v>0</v>
      </c>
      <c r="M169" s="418">
        <f>BalSht!Q24</f>
        <v>0</v>
      </c>
      <c r="N169" s="418">
        <f>BalSht!S24</f>
        <v>0</v>
      </c>
      <c r="O169" s="418">
        <f>BalSht!T24</f>
        <v>0</v>
      </c>
      <c r="P169" s="418">
        <f>BalSht!U24</f>
        <v>0</v>
      </c>
      <c r="Q169" s="418">
        <f>BalSht!W24</f>
        <v>0</v>
      </c>
      <c r="R169" s="418">
        <f>BalSht!X24</f>
        <v>0</v>
      </c>
      <c r="S169" s="418">
        <f>BalSht!Y24</f>
        <v>0</v>
      </c>
    </row>
    <row r="170" spans="1:19" ht="12.75" customHeight="1" x14ac:dyDescent="0.2">
      <c r="A170" s="418">
        <f>BalSht!B27</f>
        <v>0</v>
      </c>
      <c r="B170" s="418">
        <f>BalSht!C27</f>
        <v>0</v>
      </c>
      <c r="C170" s="418">
        <f>BalSht!D27</f>
        <v>0</v>
      </c>
      <c r="D170" s="418">
        <f>BalSht!E27</f>
        <v>0</v>
      </c>
      <c r="E170" s="418">
        <f>BalSht!G27</f>
        <v>0</v>
      </c>
      <c r="F170" s="418">
        <f>BalSht!H27</f>
        <v>0</v>
      </c>
      <c r="G170" s="418">
        <f>BalSht!I27</f>
        <v>0</v>
      </c>
      <c r="H170" s="418">
        <f>BalSht!K27</f>
        <v>0</v>
      </c>
      <c r="I170" s="418">
        <f>BalSht!L27</f>
        <v>0</v>
      </c>
      <c r="J170" s="418">
        <f>BalSht!M27</f>
        <v>0</v>
      </c>
      <c r="K170" s="418">
        <f>BalSht!O27</f>
        <v>0</v>
      </c>
      <c r="L170" s="418">
        <f>BalSht!P27</f>
        <v>0</v>
      </c>
      <c r="M170" s="418">
        <f>BalSht!Q27</f>
        <v>0</v>
      </c>
      <c r="N170" s="418">
        <f>BalSht!S27</f>
        <v>0</v>
      </c>
      <c r="O170" s="418">
        <f>BalSht!T27</f>
        <v>0</v>
      </c>
      <c r="P170" s="418">
        <f>BalSht!U27</f>
        <v>0</v>
      </c>
      <c r="Q170" s="418">
        <f>BalSht!W27</f>
        <v>0</v>
      </c>
      <c r="R170" s="418">
        <f>BalSht!X27</f>
        <v>0</v>
      </c>
      <c r="S170" s="418">
        <f>BalSht!Y27</f>
        <v>0</v>
      </c>
    </row>
    <row r="171" spans="1:19" ht="12.75" customHeight="1" x14ac:dyDescent="0.2">
      <c r="A171" s="418">
        <f>BalSht!B28</f>
        <v>0</v>
      </c>
      <c r="B171" s="418">
        <f>BalSht!C28</f>
        <v>0</v>
      </c>
      <c r="C171" s="418">
        <f>BalSht!D28</f>
        <v>0</v>
      </c>
      <c r="D171" s="418">
        <f>BalSht!E28</f>
        <v>110000</v>
      </c>
      <c r="E171" s="418">
        <f>BalSht!G28</f>
        <v>220000</v>
      </c>
      <c r="F171" s="418">
        <f>BalSht!H28</f>
        <v>220000</v>
      </c>
      <c r="G171" s="418">
        <f>BalSht!I28</f>
        <v>300000</v>
      </c>
      <c r="H171" s="418">
        <f>BalSht!K28</f>
        <v>351739.10702893999</v>
      </c>
      <c r="I171" s="418">
        <f>BalSht!L28</f>
        <v>389243.21909324074</v>
      </c>
      <c r="J171" s="418">
        <f>BalSht!M28</f>
        <v>389243.21909324074</v>
      </c>
      <c r="K171" s="418">
        <f>BalSht!O28</f>
        <v>389243.21909324074</v>
      </c>
      <c r="L171" s="418">
        <f>BalSht!P28</f>
        <v>389243.21909324074</v>
      </c>
      <c r="M171" s="418">
        <f>BalSht!Q28</f>
        <v>389243.21909324074</v>
      </c>
      <c r="N171" s="418">
        <f>BalSht!S28</f>
        <v>389243.21909324074</v>
      </c>
      <c r="O171" s="418">
        <f>BalSht!T28</f>
        <v>389243.21909324074</v>
      </c>
      <c r="P171" s="418">
        <f>BalSht!U28</f>
        <v>389243.21909324074</v>
      </c>
      <c r="Q171" s="418">
        <f>BalSht!W28</f>
        <v>389243.21909324074</v>
      </c>
      <c r="R171" s="418">
        <f>BalSht!X28</f>
        <v>389243.21909324074</v>
      </c>
      <c r="S171" s="418">
        <f>BalSht!Y28</f>
        <v>389243.21909324074</v>
      </c>
    </row>
    <row r="172" spans="1:19" ht="12.75" customHeight="1" x14ac:dyDescent="0.2">
      <c r="A172" s="418">
        <f>BalSht!B29</f>
        <v>0</v>
      </c>
      <c r="B172" s="418">
        <f>BalSht!C29</f>
        <v>0</v>
      </c>
      <c r="C172" s="418">
        <f>BalSht!D29</f>
        <v>0</v>
      </c>
      <c r="D172" s="418">
        <f>BalSht!E29</f>
        <v>110000</v>
      </c>
      <c r="E172" s="418">
        <f>BalSht!G29</f>
        <v>220000</v>
      </c>
      <c r="F172" s="418">
        <f>BalSht!H29</f>
        <v>220000</v>
      </c>
      <c r="G172" s="418">
        <f>BalSht!I29</f>
        <v>300000</v>
      </c>
      <c r="H172" s="418">
        <f>BalSht!K29</f>
        <v>351739.10702893999</v>
      </c>
      <c r="I172" s="418">
        <f>BalSht!L29</f>
        <v>389243.21909324074</v>
      </c>
      <c r="J172" s="418">
        <f>BalSht!M29</f>
        <v>389243.21909324074</v>
      </c>
      <c r="K172" s="418">
        <f>BalSht!O29</f>
        <v>389243.21909324074</v>
      </c>
      <c r="L172" s="418">
        <f>BalSht!P29</f>
        <v>389243.21909324074</v>
      </c>
      <c r="M172" s="418">
        <f>BalSht!Q29</f>
        <v>389243.21909324074</v>
      </c>
      <c r="N172" s="418">
        <f>BalSht!S29</f>
        <v>389243.21909324074</v>
      </c>
      <c r="O172" s="418">
        <f>BalSht!T29</f>
        <v>389243.21909324074</v>
      </c>
      <c r="P172" s="418">
        <f>BalSht!U29</f>
        <v>389243.21909324074</v>
      </c>
      <c r="Q172" s="418">
        <f>BalSht!W29</f>
        <v>389243.21909324074</v>
      </c>
      <c r="R172" s="418">
        <f>BalSht!X29</f>
        <v>389243.21909324074</v>
      </c>
      <c r="S172" s="418">
        <f>BalSht!Y29</f>
        <v>389243.21909324074</v>
      </c>
    </row>
    <row r="173" spans="1:19" ht="12.75" customHeight="1" x14ac:dyDescent="0.2">
      <c r="A173" s="418">
        <f>'(Tables)'!B1447</f>
        <v>389243.21909324068</v>
      </c>
      <c r="B173" s="418">
        <f>Value!B6</f>
        <v>389243.21909324068</v>
      </c>
      <c r="C173" s="418">
        <f>Value!C6</f>
        <v>389243.21909324068</v>
      </c>
      <c r="D173" s="418">
        <f>Value!D6</f>
        <v>280130.31586743426</v>
      </c>
      <c r="E173" s="418">
        <f>Value!F6</f>
        <v>276493.21909324074</v>
      </c>
      <c r="F173" s="418">
        <f>Value!G6</f>
        <v>169243.21909324074</v>
      </c>
      <c r="G173" s="418">
        <f>Value!H6</f>
        <v>253243.21909324074</v>
      </c>
      <c r="H173" s="418">
        <f>Value!J6</f>
        <v>196213.78948365559</v>
      </c>
      <c r="I173" s="418">
        <f>Value!K6</f>
        <v>158709.67741935485</v>
      </c>
      <c r="J173" s="418">
        <f>Value!L6</f>
        <v>0</v>
      </c>
      <c r="K173" s="418">
        <f>Value!N6</f>
        <v>0</v>
      </c>
      <c r="L173" s="418">
        <f>Value!O6</f>
        <v>0</v>
      </c>
      <c r="M173" s="418">
        <f>Value!P6</f>
        <v>0</v>
      </c>
      <c r="N173" s="418">
        <f>Value!R6</f>
        <v>0</v>
      </c>
      <c r="O173" s="418">
        <f>Value!S6</f>
        <v>0</v>
      </c>
      <c r="P173" s="418">
        <f>Value!T6</f>
        <v>0</v>
      </c>
      <c r="Q173" s="418">
        <f>Value!V6</f>
        <v>0</v>
      </c>
      <c r="R173" s="418">
        <f>Value!W6</f>
        <v>0</v>
      </c>
      <c r="S173" s="418">
        <f>Value!X6</f>
        <v>0</v>
      </c>
    </row>
    <row r="174" spans="1:19" ht="12.75" customHeight="1" x14ac:dyDescent="0.2">
      <c r="A174" s="418">
        <f>Channels!B180</f>
        <v>0</v>
      </c>
      <c r="B174" s="418">
        <f>Channels!C180</f>
        <v>0</v>
      </c>
      <c r="C174" s="418">
        <f>Channels!D180</f>
        <v>28875</v>
      </c>
      <c r="D174" s="418">
        <f>Channels!F180</f>
        <v>28875</v>
      </c>
      <c r="E174" s="418">
        <f>Channels!G180</f>
        <v>0</v>
      </c>
      <c r="F174" s="418">
        <f>Channels!H180</f>
        <v>21000</v>
      </c>
      <c r="G174" s="418">
        <f>Channels!J180</f>
        <v>21000</v>
      </c>
      <c r="H174" s="418">
        <f>Channels!K180</f>
        <v>21000</v>
      </c>
      <c r="I174" s="418">
        <f>Channels!L180</f>
        <v>0</v>
      </c>
      <c r="J174" s="418">
        <f>Channels!N180</f>
        <v>0</v>
      </c>
      <c r="K174" s="418">
        <f>Channels!O180</f>
        <v>0</v>
      </c>
      <c r="L174" s="418">
        <f>Channels!P180</f>
        <v>0</v>
      </c>
      <c r="M174" s="418">
        <f>Channels!R180</f>
        <v>0</v>
      </c>
      <c r="N174" s="418">
        <f>Channels!S180</f>
        <v>0</v>
      </c>
      <c r="O174" s="418">
        <f>Channels!T180</f>
        <v>0</v>
      </c>
      <c r="P174" s="418">
        <f>Channels!V180</f>
        <v>0</v>
      </c>
      <c r="Q174" s="418">
        <f>Channels!W180</f>
        <v>0</v>
      </c>
      <c r="R174" s="418">
        <f>Channels!X180</f>
        <v>0</v>
      </c>
    </row>
    <row r="175" spans="1:19" ht="12.75" customHeight="1" x14ac:dyDescent="0.2">
      <c r="A175" s="418">
        <f>Channels!B181</f>
        <v>0</v>
      </c>
      <c r="B175" s="418">
        <f>Channels!C181</f>
        <v>0</v>
      </c>
      <c r="C175" s="418">
        <f>Channels!D181</f>
        <v>28875</v>
      </c>
      <c r="D175" s="418">
        <f>Channels!F181</f>
        <v>28875</v>
      </c>
      <c r="E175" s="418">
        <f>Channels!G181</f>
        <v>0</v>
      </c>
      <c r="F175" s="418">
        <f>Channels!H181</f>
        <v>21000</v>
      </c>
      <c r="G175" s="418">
        <f>Channels!J181</f>
        <v>21000</v>
      </c>
      <c r="H175" s="418">
        <f>Channels!K181</f>
        <v>21000</v>
      </c>
      <c r="I175" s="418">
        <f>Channels!L181</f>
        <v>0</v>
      </c>
      <c r="J175" s="418">
        <f>Channels!N181</f>
        <v>0</v>
      </c>
      <c r="K175" s="418">
        <f>Channels!O181</f>
        <v>0</v>
      </c>
      <c r="L175" s="418">
        <f>Channels!P181</f>
        <v>0</v>
      </c>
      <c r="M175" s="418">
        <f>Channels!R181</f>
        <v>0</v>
      </c>
      <c r="N175" s="418">
        <f>Channels!S181</f>
        <v>0</v>
      </c>
      <c r="O175" s="418">
        <f>Channels!T181</f>
        <v>0</v>
      </c>
      <c r="P175" s="418">
        <f>Channels!V181</f>
        <v>0</v>
      </c>
      <c r="Q175" s="418">
        <f>Channels!W181</f>
        <v>0</v>
      </c>
      <c r="R175" s="418">
        <f>Channels!X181</f>
        <v>0</v>
      </c>
    </row>
    <row r="176" spans="1:19" ht="12.75" customHeight="1" x14ac:dyDescent="0.2">
      <c r="A176" s="418">
        <f>Channels!B48</f>
        <v>0</v>
      </c>
      <c r="B176" s="418">
        <f>Channels!C48</f>
        <v>0</v>
      </c>
      <c r="C176" s="418">
        <f>Channels!D48</f>
        <v>57750</v>
      </c>
      <c r="D176" s="418">
        <f>Channels!F48</f>
        <v>57750</v>
      </c>
      <c r="E176" s="418">
        <f>Channels!G48</f>
        <v>0</v>
      </c>
      <c r="F176" s="418">
        <f>Channels!H48</f>
        <v>42000</v>
      </c>
      <c r="G176" s="418">
        <f>Channels!J48</f>
        <v>42000</v>
      </c>
      <c r="H176" s="418">
        <f>Channels!K48</f>
        <v>42000</v>
      </c>
      <c r="I176" s="418">
        <f>Channels!L48</f>
        <v>0</v>
      </c>
      <c r="J176" s="418">
        <f>Channels!N48</f>
        <v>0</v>
      </c>
      <c r="K176" s="418">
        <f>Channels!O48</f>
        <v>0</v>
      </c>
      <c r="L176" s="418">
        <f>Channels!P48</f>
        <v>0</v>
      </c>
      <c r="M176" s="418">
        <f>Channels!R48</f>
        <v>0</v>
      </c>
      <c r="N176" s="418">
        <f>Channels!S48</f>
        <v>0</v>
      </c>
      <c r="O176" s="418">
        <f>Channels!T48</f>
        <v>0</v>
      </c>
      <c r="P176" s="418">
        <f>Channels!V48</f>
        <v>0</v>
      </c>
      <c r="Q176" s="418">
        <f>Channels!W48</f>
        <v>0</v>
      </c>
      <c r="R176" s="418">
        <f>Channels!X48</f>
        <v>0</v>
      </c>
    </row>
    <row r="177" spans="1:18" ht="12.75" customHeight="1" x14ac:dyDescent="0.2">
      <c r="A177" s="418">
        <f>Channels!B184</f>
        <v>0</v>
      </c>
      <c r="B177" s="418">
        <f>Channels!C184</f>
        <v>0</v>
      </c>
      <c r="C177" s="418">
        <f>Channels!D184</f>
        <v>0</v>
      </c>
      <c r="D177" s="418">
        <f>Channels!F184</f>
        <v>0</v>
      </c>
      <c r="E177" s="418">
        <f>Channels!G184</f>
        <v>0</v>
      </c>
      <c r="F177" s="418">
        <f>Channels!H184</f>
        <v>0</v>
      </c>
      <c r="G177" s="418">
        <f>Channels!J184</f>
        <v>0</v>
      </c>
      <c r="H177" s="418">
        <f>Channels!K184</f>
        <v>0</v>
      </c>
      <c r="I177" s="418">
        <f>Channels!L184</f>
        <v>0</v>
      </c>
      <c r="J177" s="418">
        <f>Channels!N184</f>
        <v>0</v>
      </c>
      <c r="K177" s="418">
        <f>Channels!O184</f>
        <v>0</v>
      </c>
      <c r="L177" s="418">
        <f>Channels!P184</f>
        <v>0</v>
      </c>
      <c r="M177" s="418">
        <f>Channels!R184</f>
        <v>0</v>
      </c>
      <c r="N177" s="418">
        <f>Channels!S184</f>
        <v>0</v>
      </c>
      <c r="O177" s="418">
        <f>Channels!T184</f>
        <v>0</v>
      </c>
      <c r="P177" s="418">
        <f>Channels!V184</f>
        <v>0</v>
      </c>
      <c r="Q177" s="418">
        <f>Channels!W184</f>
        <v>0</v>
      </c>
      <c r="R177" s="418">
        <f>Channels!X184</f>
        <v>0</v>
      </c>
    </row>
    <row r="178" spans="1:18" ht="12.75" customHeight="1" x14ac:dyDescent="0.2">
      <c r="A178" s="418">
        <f>Channels!B185</f>
        <v>0</v>
      </c>
      <c r="B178" s="418">
        <f>Channels!C185</f>
        <v>0</v>
      </c>
      <c r="C178" s="418">
        <f>Channels!D185</f>
        <v>0</v>
      </c>
      <c r="D178" s="418">
        <f>Channels!F185</f>
        <v>0</v>
      </c>
      <c r="E178" s="418">
        <f>Channels!G185</f>
        <v>0</v>
      </c>
      <c r="F178" s="418">
        <f>Channels!H185</f>
        <v>0</v>
      </c>
      <c r="G178" s="418">
        <f>Channels!J185</f>
        <v>0</v>
      </c>
      <c r="H178" s="418">
        <f>Channels!K185</f>
        <v>0</v>
      </c>
      <c r="I178" s="418">
        <f>Channels!L185</f>
        <v>0</v>
      </c>
      <c r="J178" s="418">
        <f>Channels!N185</f>
        <v>0</v>
      </c>
      <c r="K178" s="418">
        <f>Channels!O185</f>
        <v>0</v>
      </c>
      <c r="L178" s="418">
        <f>Channels!P185</f>
        <v>0</v>
      </c>
      <c r="M178" s="418">
        <f>Channels!R185</f>
        <v>0</v>
      </c>
      <c r="N178" s="418">
        <f>Channels!S185</f>
        <v>0</v>
      </c>
      <c r="O178" s="418">
        <f>Channels!T185</f>
        <v>0</v>
      </c>
      <c r="P178" s="418">
        <f>Channels!V185</f>
        <v>0</v>
      </c>
      <c r="Q178" s="418">
        <f>Channels!W185</f>
        <v>0</v>
      </c>
      <c r="R178" s="418">
        <f>Channels!X185</f>
        <v>0</v>
      </c>
    </row>
    <row r="179" spans="1:18" ht="12.75" customHeight="1" x14ac:dyDescent="0.2">
      <c r="A179" s="418">
        <f>Channels!B49</f>
        <v>0</v>
      </c>
      <c r="B179" s="418">
        <f>Channels!C49</f>
        <v>0</v>
      </c>
      <c r="C179" s="418">
        <f>Channels!D49</f>
        <v>0</v>
      </c>
      <c r="D179" s="418">
        <f>Channels!F49</f>
        <v>0</v>
      </c>
      <c r="E179" s="418">
        <f>Channels!G49</f>
        <v>0</v>
      </c>
      <c r="F179" s="418">
        <f>Channels!H49</f>
        <v>0</v>
      </c>
      <c r="G179" s="418">
        <f>Channels!J49</f>
        <v>0</v>
      </c>
      <c r="H179" s="418">
        <f>Channels!K49</f>
        <v>0</v>
      </c>
      <c r="I179" s="418">
        <f>Channels!L49</f>
        <v>0</v>
      </c>
      <c r="J179" s="418">
        <f>Channels!N49</f>
        <v>0</v>
      </c>
      <c r="K179" s="418">
        <f>Channels!O49</f>
        <v>0</v>
      </c>
      <c r="L179" s="418">
        <f>Channels!P49</f>
        <v>0</v>
      </c>
      <c r="M179" s="418">
        <f>Channels!R49</f>
        <v>0</v>
      </c>
      <c r="N179" s="418">
        <f>Channels!S49</f>
        <v>0</v>
      </c>
      <c r="O179" s="418">
        <f>Channels!T49</f>
        <v>0</v>
      </c>
      <c r="P179" s="418">
        <f>Channels!V49</f>
        <v>0</v>
      </c>
      <c r="Q179" s="418">
        <f>Channels!W49</f>
        <v>0</v>
      </c>
      <c r="R179" s="418">
        <f>Channels!X49</f>
        <v>0</v>
      </c>
    </row>
    <row r="180" spans="1:18" ht="12.75" customHeight="1" x14ac:dyDescent="0.2">
      <c r="A180" s="418">
        <f>Channels!B9</f>
        <v>0</v>
      </c>
      <c r="B180" s="418">
        <f>Channels!C9</f>
        <v>0</v>
      </c>
      <c r="C180" s="418">
        <f>Channels!D9</f>
        <v>57750</v>
      </c>
      <c r="D180" s="418">
        <f>Channels!F9</f>
        <v>57750</v>
      </c>
      <c r="E180" s="418">
        <f>Channels!G9</f>
        <v>0</v>
      </c>
      <c r="F180" s="418">
        <f>Channels!H9</f>
        <v>42000</v>
      </c>
      <c r="G180" s="418">
        <f>Channels!J9</f>
        <v>42000</v>
      </c>
      <c r="H180" s="418">
        <f>Channels!K9</f>
        <v>42000</v>
      </c>
      <c r="I180" s="418">
        <f>Channels!L9</f>
        <v>0</v>
      </c>
      <c r="J180" s="418">
        <f>Channels!N9</f>
        <v>0</v>
      </c>
      <c r="K180" s="418">
        <f>Channels!O9</f>
        <v>0</v>
      </c>
      <c r="L180" s="418">
        <f>Channels!P9</f>
        <v>0</v>
      </c>
      <c r="M180" s="418">
        <f>Channels!R9</f>
        <v>0</v>
      </c>
      <c r="N180" s="418">
        <f>Channels!S9</f>
        <v>0</v>
      </c>
      <c r="O180" s="418">
        <f>Channels!T9</f>
        <v>0</v>
      </c>
      <c r="P180" s="418">
        <f>Channels!V9</f>
        <v>0</v>
      </c>
      <c r="Q180" s="418">
        <f>Channels!W9</f>
        <v>0</v>
      </c>
      <c r="R180" s="418">
        <f>Channels!X9</f>
        <v>0</v>
      </c>
    </row>
    <row r="181" spans="1:18" ht="12.75" customHeight="1" x14ac:dyDescent="0.2">
      <c r="A181" s="418">
        <f>Channels!B193</f>
        <v>0</v>
      </c>
      <c r="B181" s="418">
        <f>Channels!C193</f>
        <v>0</v>
      </c>
      <c r="C181" s="418">
        <f>Channels!D193</f>
        <v>27500</v>
      </c>
      <c r="D181" s="418">
        <f>Channels!F193</f>
        <v>27500</v>
      </c>
      <c r="E181" s="418">
        <f>Channels!G193</f>
        <v>0</v>
      </c>
      <c r="F181" s="418">
        <f>Channels!H193</f>
        <v>20000</v>
      </c>
      <c r="G181" s="418">
        <f>Channels!J193</f>
        <v>20000</v>
      </c>
      <c r="H181" s="418">
        <f>Channels!K193</f>
        <v>20000</v>
      </c>
      <c r="I181" s="418">
        <f>Channels!L193</f>
        <v>0</v>
      </c>
      <c r="J181" s="418">
        <f>Channels!N193</f>
        <v>0</v>
      </c>
      <c r="K181" s="418">
        <f>Channels!O193</f>
        <v>0</v>
      </c>
      <c r="L181" s="418">
        <f>Channels!P193</f>
        <v>0</v>
      </c>
      <c r="M181" s="418">
        <f>Channels!R193</f>
        <v>0</v>
      </c>
      <c r="N181" s="418">
        <f>Channels!S193</f>
        <v>0</v>
      </c>
      <c r="O181" s="418">
        <f>Channels!T193</f>
        <v>0</v>
      </c>
      <c r="P181" s="418">
        <f>Channels!V193</f>
        <v>0</v>
      </c>
      <c r="Q181" s="418">
        <f>Channels!W193</f>
        <v>0</v>
      </c>
      <c r="R181" s="418">
        <f>Channels!X193</f>
        <v>0</v>
      </c>
    </row>
    <row r="182" spans="1:18" ht="12.75" customHeight="1" x14ac:dyDescent="0.2">
      <c r="A182" s="418">
        <f>Channels!B194</f>
        <v>0</v>
      </c>
      <c r="B182" s="418">
        <f>Channels!C194</f>
        <v>0</v>
      </c>
      <c r="C182" s="418">
        <f>Channels!D194</f>
        <v>27500</v>
      </c>
      <c r="D182" s="418">
        <f>Channels!F194</f>
        <v>27500</v>
      </c>
      <c r="E182" s="418">
        <f>Channels!G194</f>
        <v>0</v>
      </c>
      <c r="F182" s="418">
        <f>Channels!H194</f>
        <v>20000</v>
      </c>
      <c r="G182" s="418">
        <f>Channels!J194</f>
        <v>20000</v>
      </c>
      <c r="H182" s="418">
        <f>Channels!K194</f>
        <v>20000</v>
      </c>
      <c r="I182" s="418">
        <f>Channels!L194</f>
        <v>0</v>
      </c>
      <c r="J182" s="418">
        <f>Channels!N194</f>
        <v>0</v>
      </c>
      <c r="K182" s="418">
        <f>Channels!O194</f>
        <v>0</v>
      </c>
      <c r="L182" s="418">
        <f>Channels!P194</f>
        <v>0</v>
      </c>
      <c r="M182" s="418">
        <f>Channels!R194</f>
        <v>0</v>
      </c>
      <c r="N182" s="418">
        <f>Channels!S194</f>
        <v>0</v>
      </c>
      <c r="O182" s="418">
        <f>Channels!T194</f>
        <v>0</v>
      </c>
      <c r="P182" s="418">
        <f>Channels!V194</f>
        <v>0</v>
      </c>
      <c r="Q182" s="418">
        <f>Channels!W194</f>
        <v>0</v>
      </c>
      <c r="R182" s="418">
        <f>Channels!X194</f>
        <v>0</v>
      </c>
    </row>
    <row r="183" spans="1:18" ht="12.75" customHeight="1" x14ac:dyDescent="0.2">
      <c r="A183" s="418">
        <f>Channels!B52</f>
        <v>0</v>
      </c>
      <c r="B183" s="418">
        <f>Channels!C52</f>
        <v>0</v>
      </c>
      <c r="C183" s="418">
        <f>Channels!D52</f>
        <v>55000</v>
      </c>
      <c r="D183" s="418">
        <f>Channels!F52</f>
        <v>55000</v>
      </c>
      <c r="E183" s="418">
        <f>Channels!G52</f>
        <v>0</v>
      </c>
      <c r="F183" s="418">
        <f>Channels!H52</f>
        <v>40000</v>
      </c>
      <c r="G183" s="418">
        <f>Channels!J52</f>
        <v>40000</v>
      </c>
      <c r="H183" s="418">
        <f>Channels!K52</f>
        <v>40000</v>
      </c>
      <c r="I183" s="418">
        <f>Channels!L52</f>
        <v>0</v>
      </c>
      <c r="J183" s="418">
        <f>Channels!N52</f>
        <v>0</v>
      </c>
      <c r="K183" s="418">
        <f>Channels!O52</f>
        <v>0</v>
      </c>
      <c r="L183" s="418">
        <f>Channels!P52</f>
        <v>0</v>
      </c>
      <c r="M183" s="418">
        <f>Channels!R52</f>
        <v>0</v>
      </c>
      <c r="N183" s="418">
        <f>Channels!S52</f>
        <v>0</v>
      </c>
      <c r="O183" s="418">
        <f>Channels!T52</f>
        <v>0</v>
      </c>
      <c r="P183" s="418">
        <f>Channels!V52</f>
        <v>0</v>
      </c>
      <c r="Q183" s="418">
        <f>Channels!W52</f>
        <v>0</v>
      </c>
      <c r="R183" s="418">
        <f>Channels!X52</f>
        <v>0</v>
      </c>
    </row>
    <row r="184" spans="1:18" ht="12.75" customHeight="1" x14ac:dyDescent="0.2">
      <c r="A184" s="418">
        <f>Channels!B197</f>
        <v>0</v>
      </c>
      <c r="B184" s="418">
        <f>Channels!C197</f>
        <v>0</v>
      </c>
      <c r="C184" s="418">
        <f>Channels!D197</f>
        <v>0</v>
      </c>
      <c r="D184" s="418">
        <f>Channels!F197</f>
        <v>0</v>
      </c>
      <c r="E184" s="418">
        <f>Channels!G197</f>
        <v>0</v>
      </c>
      <c r="F184" s="418">
        <f>Channels!H197</f>
        <v>0</v>
      </c>
      <c r="G184" s="418">
        <f>Channels!J197</f>
        <v>0</v>
      </c>
      <c r="H184" s="418">
        <f>Channels!K197</f>
        <v>0</v>
      </c>
      <c r="I184" s="418">
        <f>Channels!L197</f>
        <v>0</v>
      </c>
      <c r="J184" s="418">
        <f>Channels!N197</f>
        <v>0</v>
      </c>
      <c r="K184" s="418">
        <f>Channels!O197</f>
        <v>0</v>
      </c>
      <c r="L184" s="418">
        <f>Channels!P197</f>
        <v>0</v>
      </c>
      <c r="M184" s="418">
        <f>Channels!R197</f>
        <v>0</v>
      </c>
      <c r="N184" s="418">
        <f>Channels!S197</f>
        <v>0</v>
      </c>
      <c r="O184" s="418">
        <f>Channels!T197</f>
        <v>0</v>
      </c>
      <c r="P184" s="418">
        <f>Channels!V197</f>
        <v>0</v>
      </c>
      <c r="Q184" s="418">
        <f>Channels!W197</f>
        <v>0</v>
      </c>
      <c r="R184" s="418">
        <f>Channels!X197</f>
        <v>0</v>
      </c>
    </row>
    <row r="185" spans="1:18" ht="12.75" customHeight="1" x14ac:dyDescent="0.2">
      <c r="A185" s="418">
        <f>Channels!B198</f>
        <v>0</v>
      </c>
      <c r="B185" s="418">
        <f>Channels!C198</f>
        <v>0</v>
      </c>
      <c r="C185" s="418">
        <f>Channels!D198</f>
        <v>0</v>
      </c>
      <c r="D185" s="418">
        <f>Channels!F198</f>
        <v>0</v>
      </c>
      <c r="E185" s="418">
        <f>Channels!G198</f>
        <v>0</v>
      </c>
      <c r="F185" s="418">
        <f>Channels!H198</f>
        <v>0</v>
      </c>
      <c r="G185" s="418">
        <f>Channels!J198</f>
        <v>0</v>
      </c>
      <c r="H185" s="418">
        <f>Channels!K198</f>
        <v>0</v>
      </c>
      <c r="I185" s="418">
        <f>Channels!L198</f>
        <v>0</v>
      </c>
      <c r="J185" s="418">
        <f>Channels!N198</f>
        <v>0</v>
      </c>
      <c r="K185" s="418">
        <f>Channels!O198</f>
        <v>0</v>
      </c>
      <c r="L185" s="418">
        <f>Channels!P198</f>
        <v>0</v>
      </c>
      <c r="M185" s="418">
        <f>Channels!R198</f>
        <v>0</v>
      </c>
      <c r="N185" s="418">
        <f>Channels!S198</f>
        <v>0</v>
      </c>
      <c r="O185" s="418">
        <f>Channels!T198</f>
        <v>0</v>
      </c>
      <c r="P185" s="418">
        <f>Channels!V198</f>
        <v>0</v>
      </c>
      <c r="Q185" s="418">
        <f>Channels!W198</f>
        <v>0</v>
      </c>
      <c r="R185" s="418">
        <f>Channels!X198</f>
        <v>0</v>
      </c>
    </row>
    <row r="186" spans="1:18" ht="12.75" customHeight="1" x14ac:dyDescent="0.2">
      <c r="A186" s="418">
        <f>Channels!B53</f>
        <v>0</v>
      </c>
      <c r="B186" s="418">
        <f>Channels!C53</f>
        <v>0</v>
      </c>
      <c r="C186" s="418">
        <f>Channels!D53</f>
        <v>0</v>
      </c>
      <c r="D186" s="418">
        <f>Channels!F53</f>
        <v>0</v>
      </c>
      <c r="E186" s="418">
        <f>Channels!G53</f>
        <v>0</v>
      </c>
      <c r="F186" s="418">
        <f>Channels!H53</f>
        <v>0</v>
      </c>
      <c r="G186" s="418">
        <f>Channels!J53</f>
        <v>0</v>
      </c>
      <c r="H186" s="418">
        <f>Channels!K53</f>
        <v>0</v>
      </c>
      <c r="I186" s="418">
        <f>Channels!L53</f>
        <v>0</v>
      </c>
      <c r="J186" s="418">
        <f>Channels!N53</f>
        <v>0</v>
      </c>
      <c r="K186" s="418">
        <f>Channels!O53</f>
        <v>0</v>
      </c>
      <c r="L186" s="418">
        <f>Channels!P53</f>
        <v>0</v>
      </c>
      <c r="M186" s="418">
        <f>Channels!R53</f>
        <v>0</v>
      </c>
      <c r="N186" s="418">
        <f>Channels!S53</f>
        <v>0</v>
      </c>
      <c r="O186" s="418">
        <f>Channels!T53</f>
        <v>0</v>
      </c>
      <c r="P186" s="418">
        <f>Channels!V53</f>
        <v>0</v>
      </c>
      <c r="Q186" s="418">
        <f>Channels!W53</f>
        <v>0</v>
      </c>
      <c r="R186" s="418">
        <f>Channels!X53</f>
        <v>0</v>
      </c>
    </row>
    <row r="187" spans="1:18" ht="12.75" customHeight="1" x14ac:dyDescent="0.2">
      <c r="A187" s="418">
        <f>Channels!B10</f>
        <v>0</v>
      </c>
      <c r="B187" s="418">
        <f>Channels!C10</f>
        <v>0</v>
      </c>
      <c r="C187" s="418">
        <f>Channels!D10</f>
        <v>55000</v>
      </c>
      <c r="D187" s="418">
        <f>Channels!F10</f>
        <v>55000</v>
      </c>
      <c r="E187" s="418">
        <f>Channels!G10</f>
        <v>0</v>
      </c>
      <c r="F187" s="418">
        <f>Channels!H10</f>
        <v>40000</v>
      </c>
      <c r="G187" s="418">
        <f>Channels!J10</f>
        <v>40000</v>
      </c>
      <c r="H187" s="418">
        <f>Channels!K10</f>
        <v>40000</v>
      </c>
      <c r="I187" s="418">
        <f>Channels!L10</f>
        <v>0</v>
      </c>
      <c r="J187" s="418">
        <f>Channels!N10</f>
        <v>0</v>
      </c>
      <c r="K187" s="418">
        <f>Channels!O10</f>
        <v>0</v>
      </c>
      <c r="L187" s="418">
        <f>Channels!P10</f>
        <v>0</v>
      </c>
      <c r="M187" s="418">
        <f>Channels!R10</f>
        <v>0</v>
      </c>
      <c r="N187" s="418">
        <f>Channels!S10</f>
        <v>0</v>
      </c>
      <c r="O187" s="418">
        <f>Channels!T10</f>
        <v>0</v>
      </c>
      <c r="P187" s="418">
        <f>Channels!V10</f>
        <v>0</v>
      </c>
      <c r="Q187" s="418">
        <f>Channels!W10</f>
        <v>0</v>
      </c>
      <c r="R187" s="418">
        <f>Channels!X10</f>
        <v>0</v>
      </c>
    </row>
    <row r="188" spans="1:18" ht="12.75" customHeight="1" x14ac:dyDescent="0.2">
      <c r="A188" s="418">
        <f>Channels!B11</f>
        <v>0</v>
      </c>
      <c r="B188" s="418">
        <f>Channels!C11</f>
        <v>0</v>
      </c>
      <c r="C188" s="418">
        <f>Channels!D11</f>
        <v>112750</v>
      </c>
      <c r="D188" s="418">
        <f>Channels!F11</f>
        <v>112750</v>
      </c>
      <c r="E188" s="418">
        <f>Channels!G11</f>
        <v>0</v>
      </c>
      <c r="F188" s="418">
        <f>Channels!H11</f>
        <v>82000</v>
      </c>
      <c r="G188" s="418">
        <f>Channels!J11</f>
        <v>82000</v>
      </c>
      <c r="H188" s="418">
        <f>Channels!K11</f>
        <v>82000</v>
      </c>
      <c r="I188" s="418">
        <f>Channels!L11</f>
        <v>0</v>
      </c>
      <c r="J188" s="418">
        <f>Channels!N11</f>
        <v>0</v>
      </c>
      <c r="K188" s="418">
        <f>Channels!O11</f>
        <v>0</v>
      </c>
      <c r="L188" s="418">
        <f>Channels!P11</f>
        <v>0</v>
      </c>
      <c r="M188" s="418">
        <f>Channels!R11</f>
        <v>0</v>
      </c>
      <c r="N188" s="418">
        <f>Channels!S11</f>
        <v>0</v>
      </c>
      <c r="O188" s="418">
        <f>Channels!T11</f>
        <v>0</v>
      </c>
      <c r="P188" s="418">
        <f>Channels!V11</f>
        <v>0</v>
      </c>
      <c r="Q188" s="418">
        <f>Channels!W11</f>
        <v>0</v>
      </c>
      <c r="R188" s="418">
        <f>Channels!X11</f>
        <v>0</v>
      </c>
    </row>
    <row r="189" spans="1:18" ht="12.75" customHeight="1" x14ac:dyDescent="0.2">
      <c r="A189" s="418">
        <f>Channels!B425</f>
        <v>0</v>
      </c>
      <c r="B189" s="418">
        <f>Channels!C425</f>
        <v>0</v>
      </c>
      <c r="C189" s="418">
        <f>Channels!D425</f>
        <v>27500</v>
      </c>
      <c r="D189" s="418">
        <f>Channels!F425</f>
        <v>27500</v>
      </c>
      <c r="E189" s="418">
        <f>Channels!G425</f>
        <v>0</v>
      </c>
      <c r="F189" s="418">
        <f>Channels!H425</f>
        <v>20000</v>
      </c>
      <c r="G189" s="418">
        <f>Channels!J425</f>
        <v>5869.5535144699952</v>
      </c>
      <c r="H189" s="418">
        <f>Channels!K425</f>
        <v>2293.3800267919764</v>
      </c>
      <c r="I189" s="418">
        <f>Channels!L425</f>
        <v>0</v>
      </c>
      <c r="J189" s="418">
        <f>Channels!N425</f>
        <v>0</v>
      </c>
      <c r="K189" s="418">
        <f>Channels!O425</f>
        <v>0</v>
      </c>
      <c r="L189" s="418">
        <f>Channels!P425</f>
        <v>0</v>
      </c>
      <c r="M189" s="418">
        <f>Channels!R425</f>
        <v>0</v>
      </c>
      <c r="N189" s="418">
        <f>Channels!S425</f>
        <v>0</v>
      </c>
      <c r="O189" s="418">
        <f>Channels!T425</f>
        <v>0</v>
      </c>
      <c r="P189" s="418">
        <f>Channels!V425</f>
        <v>0</v>
      </c>
      <c r="Q189" s="418">
        <f>Channels!W425</f>
        <v>0</v>
      </c>
      <c r="R189" s="418">
        <f>Channels!X425</f>
        <v>0</v>
      </c>
    </row>
    <row r="190" spans="1:18" ht="12.75" customHeight="1" x14ac:dyDescent="0.2">
      <c r="A190" s="418">
        <f>Channels!B428</f>
        <v>0</v>
      </c>
      <c r="B190" s="418">
        <f>Channels!C428</f>
        <v>0</v>
      </c>
      <c r="C190" s="418">
        <f>Channels!D428</f>
        <v>27500</v>
      </c>
      <c r="D190" s="418">
        <f>Channels!F428</f>
        <v>27500</v>
      </c>
      <c r="E190" s="418">
        <f>Channels!G428</f>
        <v>0</v>
      </c>
      <c r="F190" s="418">
        <f>Channels!H428</f>
        <v>20000</v>
      </c>
      <c r="G190" s="418">
        <f>Channels!J428</f>
        <v>5869.5535144699952</v>
      </c>
      <c r="H190" s="418">
        <f>Channels!K428</f>
        <v>2293.3800267919764</v>
      </c>
      <c r="I190" s="418">
        <f>Channels!L428</f>
        <v>0</v>
      </c>
      <c r="J190" s="418">
        <f>Channels!N428</f>
        <v>0</v>
      </c>
      <c r="K190" s="418">
        <f>Channels!O428</f>
        <v>0</v>
      </c>
      <c r="L190" s="418">
        <f>Channels!P428</f>
        <v>0</v>
      </c>
      <c r="M190" s="418">
        <f>Channels!R428</f>
        <v>0</v>
      </c>
      <c r="N190" s="418">
        <f>Channels!S428</f>
        <v>0</v>
      </c>
      <c r="O190" s="418">
        <f>Channels!T428</f>
        <v>0</v>
      </c>
      <c r="P190" s="418">
        <f>Channels!V428</f>
        <v>0</v>
      </c>
      <c r="Q190" s="418">
        <f>Channels!W428</f>
        <v>0</v>
      </c>
      <c r="R190" s="418">
        <f>Channels!X428</f>
        <v>0</v>
      </c>
    </row>
    <row r="191" spans="1:18" ht="12.75" customHeight="1" x14ac:dyDescent="0.2">
      <c r="A191" s="418">
        <f>Channels!B112</f>
        <v>0</v>
      </c>
      <c r="B191" s="418">
        <f>Channels!C112</f>
        <v>0</v>
      </c>
      <c r="C191" s="418">
        <f>Channels!D112</f>
        <v>55000</v>
      </c>
      <c r="D191" s="418">
        <f>Channels!F112</f>
        <v>55000</v>
      </c>
      <c r="E191" s="418">
        <f>Channels!G112</f>
        <v>0</v>
      </c>
      <c r="F191" s="418">
        <f>Channels!H112</f>
        <v>40000</v>
      </c>
      <c r="G191" s="418">
        <f>Channels!J112</f>
        <v>11739.10702893999</v>
      </c>
      <c r="H191" s="418">
        <f>Channels!K112</f>
        <v>4586.7600535839529</v>
      </c>
      <c r="I191" s="418">
        <f>Channels!L112</f>
        <v>0</v>
      </c>
      <c r="J191" s="418">
        <f>Channels!N112</f>
        <v>0</v>
      </c>
      <c r="K191" s="418">
        <f>Channels!O112</f>
        <v>0</v>
      </c>
      <c r="L191" s="418">
        <f>Channels!P112</f>
        <v>0</v>
      </c>
      <c r="M191" s="418">
        <f>Channels!R112</f>
        <v>0</v>
      </c>
      <c r="N191" s="418">
        <f>Channels!S112</f>
        <v>0</v>
      </c>
      <c r="O191" s="418">
        <f>Channels!T112</f>
        <v>0</v>
      </c>
      <c r="P191" s="418">
        <f>Channels!V112</f>
        <v>0</v>
      </c>
      <c r="Q191" s="418">
        <f>Channels!W112</f>
        <v>0</v>
      </c>
      <c r="R191" s="418">
        <f>Channels!X112</f>
        <v>0</v>
      </c>
    </row>
    <row r="192" spans="1:18" ht="12.75" customHeight="1" x14ac:dyDescent="0.2">
      <c r="A192" s="418">
        <f>Channels!B435</f>
        <v>0</v>
      </c>
      <c r="B192" s="418">
        <f>Channels!C435</f>
        <v>0</v>
      </c>
      <c r="C192" s="418">
        <f>Channels!D435</f>
        <v>0</v>
      </c>
      <c r="D192" s="418">
        <f>Channels!F435</f>
        <v>0</v>
      </c>
      <c r="E192" s="418">
        <f>Channels!G435</f>
        <v>0</v>
      </c>
      <c r="F192" s="418">
        <f>Channels!H435</f>
        <v>0</v>
      </c>
      <c r="G192" s="418">
        <f>Channels!J435</f>
        <v>0</v>
      </c>
      <c r="H192" s="418">
        <f>Channels!K435</f>
        <v>0</v>
      </c>
      <c r="I192" s="418">
        <f>Channels!L435</f>
        <v>0</v>
      </c>
      <c r="J192" s="418">
        <f>Channels!N435</f>
        <v>0</v>
      </c>
      <c r="K192" s="418">
        <f>Channels!O435</f>
        <v>0</v>
      </c>
      <c r="L192" s="418">
        <f>Channels!P435</f>
        <v>0</v>
      </c>
      <c r="M192" s="418">
        <f>Channels!R435</f>
        <v>0</v>
      </c>
      <c r="N192" s="418">
        <f>Channels!S435</f>
        <v>0</v>
      </c>
      <c r="O192" s="418">
        <f>Channels!T435</f>
        <v>0</v>
      </c>
      <c r="P192" s="418">
        <f>Channels!V435</f>
        <v>0</v>
      </c>
      <c r="Q192" s="418">
        <f>Channels!W435</f>
        <v>0</v>
      </c>
      <c r="R192" s="418">
        <f>Channels!X435</f>
        <v>0</v>
      </c>
    </row>
    <row r="193" spans="1:18" ht="12.75" customHeight="1" x14ac:dyDescent="0.2">
      <c r="A193" s="418">
        <f>Channels!B438</f>
        <v>0</v>
      </c>
      <c r="B193" s="418">
        <f>Channels!C438</f>
        <v>0</v>
      </c>
      <c r="C193" s="418">
        <f>Channels!D438</f>
        <v>0</v>
      </c>
      <c r="D193" s="418">
        <f>Channels!F438</f>
        <v>0</v>
      </c>
      <c r="E193" s="418">
        <f>Channels!G438</f>
        <v>0</v>
      </c>
      <c r="F193" s="418">
        <f>Channels!H438</f>
        <v>0</v>
      </c>
      <c r="G193" s="418">
        <f>Channels!J438</f>
        <v>0</v>
      </c>
      <c r="H193" s="418">
        <f>Channels!K438</f>
        <v>0</v>
      </c>
      <c r="I193" s="418">
        <f>Channels!L438</f>
        <v>0</v>
      </c>
      <c r="J193" s="418">
        <f>Channels!N438</f>
        <v>0</v>
      </c>
      <c r="K193" s="418">
        <f>Channels!O438</f>
        <v>0</v>
      </c>
      <c r="L193" s="418">
        <f>Channels!P438</f>
        <v>0</v>
      </c>
      <c r="M193" s="418">
        <f>Channels!R438</f>
        <v>0</v>
      </c>
      <c r="N193" s="418">
        <f>Channels!S438</f>
        <v>0</v>
      </c>
      <c r="O193" s="418">
        <f>Channels!T438</f>
        <v>0</v>
      </c>
      <c r="P193" s="418">
        <f>Channels!V438</f>
        <v>0</v>
      </c>
      <c r="Q193" s="418">
        <f>Channels!W438</f>
        <v>0</v>
      </c>
      <c r="R193" s="418">
        <f>Channels!X438</f>
        <v>0</v>
      </c>
    </row>
    <row r="194" spans="1:18" ht="12.75" customHeight="1" x14ac:dyDescent="0.2">
      <c r="A194" s="418">
        <f>Channels!B115</f>
        <v>0</v>
      </c>
      <c r="B194" s="418">
        <f>Channels!C115</f>
        <v>0</v>
      </c>
      <c r="C194" s="418">
        <f>Channels!D115</f>
        <v>0</v>
      </c>
      <c r="D194" s="418">
        <f>Channels!F115</f>
        <v>0</v>
      </c>
      <c r="E194" s="418">
        <f>Channels!G115</f>
        <v>0</v>
      </c>
      <c r="F194" s="418">
        <f>Channels!H115</f>
        <v>0</v>
      </c>
      <c r="G194" s="418">
        <f>Channels!J115</f>
        <v>0</v>
      </c>
      <c r="H194" s="418">
        <f>Channels!K115</f>
        <v>0</v>
      </c>
      <c r="I194" s="418">
        <f>Channels!L115</f>
        <v>0</v>
      </c>
      <c r="J194" s="418">
        <f>Channels!N115</f>
        <v>0</v>
      </c>
      <c r="K194" s="418">
        <f>Channels!O115</f>
        <v>0</v>
      </c>
      <c r="L194" s="418">
        <f>Channels!P115</f>
        <v>0</v>
      </c>
      <c r="M194" s="418">
        <f>Channels!R115</f>
        <v>0</v>
      </c>
      <c r="N194" s="418">
        <f>Channels!S115</f>
        <v>0</v>
      </c>
      <c r="O194" s="418">
        <f>Channels!T115</f>
        <v>0</v>
      </c>
      <c r="P194" s="418">
        <f>Channels!V115</f>
        <v>0</v>
      </c>
      <c r="Q194" s="418">
        <f>Channels!W115</f>
        <v>0</v>
      </c>
      <c r="R194" s="418">
        <f>Channels!X115</f>
        <v>0</v>
      </c>
    </row>
    <row r="195" spans="1:18" ht="12.75" customHeight="1" x14ac:dyDescent="0.2">
      <c r="A195" s="418">
        <f>Channels!B19</f>
        <v>0</v>
      </c>
      <c r="B195" s="418">
        <f>Channels!C19</f>
        <v>0</v>
      </c>
      <c r="C195" s="418">
        <f>Channels!D19</f>
        <v>55000</v>
      </c>
      <c r="D195" s="418">
        <f>Channels!F19</f>
        <v>55000</v>
      </c>
      <c r="E195" s="418">
        <f>Channels!G19</f>
        <v>0</v>
      </c>
      <c r="F195" s="418">
        <f>Channels!H19</f>
        <v>40000</v>
      </c>
      <c r="G195" s="418">
        <f>Channels!J19</f>
        <v>11739.10702893999</v>
      </c>
      <c r="H195" s="418">
        <f>Channels!K19</f>
        <v>4586.7600535839529</v>
      </c>
      <c r="I195" s="418">
        <f>Channels!L19</f>
        <v>0</v>
      </c>
      <c r="J195" s="418">
        <f>Channels!N19</f>
        <v>0</v>
      </c>
      <c r="K195" s="418">
        <f>Channels!O19</f>
        <v>0</v>
      </c>
      <c r="L195" s="418">
        <f>Channels!P19</f>
        <v>0</v>
      </c>
      <c r="M195" s="418">
        <f>Channels!R19</f>
        <v>0</v>
      </c>
      <c r="N195" s="418">
        <f>Channels!S19</f>
        <v>0</v>
      </c>
      <c r="O195" s="418">
        <f>Channels!T19</f>
        <v>0</v>
      </c>
      <c r="P195" s="418">
        <f>Channels!V19</f>
        <v>0</v>
      </c>
      <c r="Q195" s="418">
        <f>Channels!W19</f>
        <v>0</v>
      </c>
      <c r="R195" s="418">
        <f>Channels!X19</f>
        <v>0</v>
      </c>
    </row>
    <row r="196" spans="1:18" ht="12.75" customHeight="1" x14ac:dyDescent="0.2">
      <c r="A196" s="418">
        <f>Channels!B456</f>
        <v>0</v>
      </c>
      <c r="B196" s="418">
        <f>Channels!C456</f>
        <v>0</v>
      </c>
      <c r="C196" s="418">
        <f>Channels!D456</f>
        <v>27500</v>
      </c>
      <c r="D196" s="418">
        <f>Channels!F456</f>
        <v>27500</v>
      </c>
      <c r="E196" s="418">
        <f>Channels!G456</f>
        <v>0</v>
      </c>
      <c r="F196" s="418">
        <f>Channels!H456</f>
        <v>20000</v>
      </c>
      <c r="G196" s="418">
        <f>Channels!J456</f>
        <v>20000</v>
      </c>
      <c r="H196" s="418">
        <f>Channels!K456</f>
        <v>16458.676005358397</v>
      </c>
      <c r="I196" s="418">
        <f>Channels!L456</f>
        <v>0</v>
      </c>
      <c r="J196" s="418">
        <f>Channels!N456</f>
        <v>0</v>
      </c>
      <c r="K196" s="418">
        <f>Channels!O456</f>
        <v>0</v>
      </c>
      <c r="L196" s="418">
        <f>Channels!P456</f>
        <v>0</v>
      </c>
      <c r="M196" s="418">
        <f>Channels!R456</f>
        <v>0</v>
      </c>
      <c r="N196" s="418">
        <f>Channels!S456</f>
        <v>0</v>
      </c>
      <c r="O196" s="418">
        <f>Channels!T456</f>
        <v>0</v>
      </c>
      <c r="P196" s="418">
        <f>Channels!V456</f>
        <v>0</v>
      </c>
      <c r="Q196" s="418">
        <f>Channels!W456</f>
        <v>0</v>
      </c>
      <c r="R196" s="418">
        <f>Channels!X456</f>
        <v>0</v>
      </c>
    </row>
    <row r="197" spans="1:18" ht="12.75" customHeight="1" x14ac:dyDescent="0.2">
      <c r="A197" s="418">
        <f>Channels!B459</f>
        <v>0</v>
      </c>
      <c r="B197" s="418">
        <f>Channels!C459</f>
        <v>0</v>
      </c>
      <c r="C197" s="418">
        <f>Channels!D459</f>
        <v>27500</v>
      </c>
      <c r="D197" s="418">
        <f>Channels!F459</f>
        <v>27500</v>
      </c>
      <c r="E197" s="418">
        <f>Channels!G459</f>
        <v>0</v>
      </c>
      <c r="F197" s="418">
        <f>Channels!H459</f>
        <v>20000</v>
      </c>
      <c r="G197" s="418">
        <f>Channels!J459</f>
        <v>20000</v>
      </c>
      <c r="H197" s="418">
        <f>Channels!K459</f>
        <v>16458.676005358397</v>
      </c>
      <c r="I197" s="418">
        <f>Channels!L459</f>
        <v>0</v>
      </c>
      <c r="J197" s="418">
        <f>Channels!N459</f>
        <v>0</v>
      </c>
      <c r="K197" s="418">
        <f>Channels!O459</f>
        <v>0</v>
      </c>
      <c r="L197" s="418">
        <f>Channels!P459</f>
        <v>0</v>
      </c>
      <c r="M197" s="418">
        <f>Channels!R459</f>
        <v>0</v>
      </c>
      <c r="N197" s="418">
        <f>Channels!S459</f>
        <v>0</v>
      </c>
      <c r="O197" s="418">
        <f>Channels!T459</f>
        <v>0</v>
      </c>
      <c r="P197" s="418">
        <f>Channels!V459</f>
        <v>0</v>
      </c>
      <c r="Q197" s="418">
        <f>Channels!W459</f>
        <v>0</v>
      </c>
      <c r="R197" s="418">
        <f>Channels!X459</f>
        <v>0</v>
      </c>
    </row>
    <row r="198" spans="1:18" ht="12.75" customHeight="1" x14ac:dyDescent="0.2">
      <c r="A198" s="418">
        <f>Channels!B122</f>
        <v>0</v>
      </c>
      <c r="B198" s="418">
        <f>Channels!C122</f>
        <v>0</v>
      </c>
      <c r="C198" s="418">
        <f>Channels!D122</f>
        <v>55000</v>
      </c>
      <c r="D198" s="418">
        <f>Channels!F122</f>
        <v>55000</v>
      </c>
      <c r="E198" s="418">
        <f>Channels!G122</f>
        <v>0</v>
      </c>
      <c r="F198" s="418">
        <f>Channels!H122</f>
        <v>40000</v>
      </c>
      <c r="G198" s="418">
        <f>Channels!J122</f>
        <v>40000</v>
      </c>
      <c r="H198" s="418">
        <f>Channels!K122</f>
        <v>32917.352010716793</v>
      </c>
      <c r="I198" s="418">
        <f>Channels!L122</f>
        <v>0</v>
      </c>
      <c r="J198" s="418">
        <f>Channels!N122</f>
        <v>0</v>
      </c>
      <c r="K198" s="418">
        <f>Channels!O122</f>
        <v>0</v>
      </c>
      <c r="L198" s="418">
        <f>Channels!P122</f>
        <v>0</v>
      </c>
      <c r="M198" s="418">
        <f>Channels!R122</f>
        <v>0</v>
      </c>
      <c r="N198" s="418">
        <f>Channels!S122</f>
        <v>0</v>
      </c>
      <c r="O198" s="418">
        <f>Channels!T122</f>
        <v>0</v>
      </c>
      <c r="P198" s="418">
        <f>Channels!V122</f>
        <v>0</v>
      </c>
      <c r="Q198" s="418">
        <f>Channels!W122</f>
        <v>0</v>
      </c>
      <c r="R198" s="418">
        <f>Channels!X122</f>
        <v>0</v>
      </c>
    </row>
    <row r="199" spans="1:18" ht="12.75" customHeight="1" x14ac:dyDescent="0.2">
      <c r="A199" s="418">
        <f>Channels!B466</f>
        <v>0</v>
      </c>
      <c r="B199" s="418">
        <f>Channels!C466</f>
        <v>0</v>
      </c>
      <c r="C199" s="418">
        <f>Channels!D466</f>
        <v>0</v>
      </c>
      <c r="D199" s="418">
        <f>Channels!F466</f>
        <v>0</v>
      </c>
      <c r="E199" s="418">
        <f>Channels!G466</f>
        <v>0</v>
      </c>
      <c r="F199" s="418">
        <f>Channels!H466</f>
        <v>0</v>
      </c>
      <c r="G199" s="418">
        <f>Channels!J466</f>
        <v>0</v>
      </c>
      <c r="H199" s="418">
        <f>Channels!K466</f>
        <v>0</v>
      </c>
      <c r="I199" s="418">
        <f>Channels!L466</f>
        <v>0</v>
      </c>
      <c r="J199" s="418">
        <f>Channels!N466</f>
        <v>0</v>
      </c>
      <c r="K199" s="418">
        <f>Channels!O466</f>
        <v>0</v>
      </c>
      <c r="L199" s="418">
        <f>Channels!P466</f>
        <v>0</v>
      </c>
      <c r="M199" s="418">
        <f>Channels!R466</f>
        <v>0</v>
      </c>
      <c r="N199" s="418">
        <f>Channels!S466</f>
        <v>0</v>
      </c>
      <c r="O199" s="418">
        <f>Channels!T466</f>
        <v>0</v>
      </c>
      <c r="P199" s="418">
        <f>Channels!V466</f>
        <v>0</v>
      </c>
      <c r="Q199" s="418">
        <f>Channels!W466</f>
        <v>0</v>
      </c>
      <c r="R199" s="418">
        <f>Channels!X466</f>
        <v>0</v>
      </c>
    </row>
    <row r="200" spans="1:18" ht="12.75" customHeight="1" x14ac:dyDescent="0.2">
      <c r="A200" s="418">
        <f>Channels!B469</f>
        <v>0</v>
      </c>
      <c r="B200" s="418">
        <f>Channels!C469</f>
        <v>0</v>
      </c>
      <c r="C200" s="418">
        <f>Channels!D469</f>
        <v>0</v>
      </c>
      <c r="D200" s="418">
        <f>Channels!F469</f>
        <v>0</v>
      </c>
      <c r="E200" s="418">
        <f>Channels!G469</f>
        <v>0</v>
      </c>
      <c r="F200" s="418">
        <f>Channels!H469</f>
        <v>0</v>
      </c>
      <c r="G200" s="418">
        <f>Channels!J469</f>
        <v>0</v>
      </c>
      <c r="H200" s="418">
        <f>Channels!K469</f>
        <v>0</v>
      </c>
      <c r="I200" s="418">
        <f>Channels!L469</f>
        <v>0</v>
      </c>
      <c r="J200" s="418">
        <f>Channels!N469</f>
        <v>0</v>
      </c>
      <c r="K200" s="418">
        <f>Channels!O469</f>
        <v>0</v>
      </c>
      <c r="L200" s="418">
        <f>Channels!P469</f>
        <v>0</v>
      </c>
      <c r="M200" s="418">
        <f>Channels!R469</f>
        <v>0</v>
      </c>
      <c r="N200" s="418">
        <f>Channels!S469</f>
        <v>0</v>
      </c>
      <c r="O200" s="418">
        <f>Channels!T469</f>
        <v>0</v>
      </c>
      <c r="P200" s="418">
        <f>Channels!V469</f>
        <v>0</v>
      </c>
      <c r="Q200" s="418">
        <f>Channels!W469</f>
        <v>0</v>
      </c>
      <c r="R200" s="418">
        <f>Channels!X469</f>
        <v>0</v>
      </c>
    </row>
    <row r="201" spans="1:18" ht="12.75" customHeight="1" x14ac:dyDescent="0.2">
      <c r="A201" s="418">
        <f>Channels!B125</f>
        <v>0</v>
      </c>
      <c r="B201" s="418">
        <f>Channels!C125</f>
        <v>0</v>
      </c>
      <c r="C201" s="418">
        <f>Channels!D125</f>
        <v>0</v>
      </c>
      <c r="D201" s="418">
        <f>Channels!F125</f>
        <v>0</v>
      </c>
      <c r="E201" s="418">
        <f>Channels!G125</f>
        <v>0</v>
      </c>
      <c r="F201" s="418">
        <f>Channels!H125</f>
        <v>0</v>
      </c>
      <c r="G201" s="418">
        <f>Channels!J125</f>
        <v>0</v>
      </c>
      <c r="H201" s="418">
        <f>Channels!K125</f>
        <v>0</v>
      </c>
      <c r="I201" s="418">
        <f>Channels!L125</f>
        <v>0</v>
      </c>
      <c r="J201" s="418">
        <f>Channels!N125</f>
        <v>0</v>
      </c>
      <c r="K201" s="418">
        <f>Channels!O125</f>
        <v>0</v>
      </c>
      <c r="L201" s="418">
        <f>Channels!P125</f>
        <v>0</v>
      </c>
      <c r="M201" s="418">
        <f>Channels!R125</f>
        <v>0</v>
      </c>
      <c r="N201" s="418">
        <f>Channels!S125</f>
        <v>0</v>
      </c>
      <c r="O201" s="418">
        <f>Channels!T125</f>
        <v>0</v>
      </c>
      <c r="P201" s="418">
        <f>Channels!V125</f>
        <v>0</v>
      </c>
      <c r="Q201" s="418">
        <f>Channels!W125</f>
        <v>0</v>
      </c>
      <c r="R201" s="418">
        <f>Channels!X125</f>
        <v>0</v>
      </c>
    </row>
    <row r="202" spans="1:18" ht="12.75" customHeight="1" x14ac:dyDescent="0.2">
      <c r="A202" s="418">
        <f>Channels!B22</f>
        <v>0</v>
      </c>
      <c r="B202" s="418">
        <f>Channels!C22</f>
        <v>0</v>
      </c>
      <c r="C202" s="418">
        <f>Channels!D22</f>
        <v>55000</v>
      </c>
      <c r="D202" s="418">
        <f>Channels!F22</f>
        <v>55000</v>
      </c>
      <c r="E202" s="418">
        <f>Channels!G22</f>
        <v>0</v>
      </c>
      <c r="F202" s="418">
        <f>Channels!H22</f>
        <v>40000</v>
      </c>
      <c r="G202" s="418">
        <f>Channels!J22</f>
        <v>40000</v>
      </c>
      <c r="H202" s="418">
        <f>Channels!K22</f>
        <v>32917.352010716793</v>
      </c>
      <c r="I202" s="418">
        <f>Channels!L22</f>
        <v>0</v>
      </c>
      <c r="J202" s="418">
        <f>Channels!N22</f>
        <v>0</v>
      </c>
      <c r="K202" s="418">
        <f>Channels!O22</f>
        <v>0</v>
      </c>
      <c r="L202" s="418">
        <f>Channels!P22</f>
        <v>0</v>
      </c>
      <c r="M202" s="418">
        <f>Channels!R22</f>
        <v>0</v>
      </c>
      <c r="N202" s="418">
        <f>Channels!S22</f>
        <v>0</v>
      </c>
      <c r="O202" s="418">
        <f>Channels!T22</f>
        <v>0</v>
      </c>
      <c r="P202" s="418">
        <f>Channels!V22</f>
        <v>0</v>
      </c>
      <c r="Q202" s="418">
        <f>Channels!W22</f>
        <v>0</v>
      </c>
      <c r="R202" s="418">
        <f>Channels!X22</f>
        <v>0</v>
      </c>
    </row>
    <row r="203" spans="1:18" ht="12.75" customHeight="1" x14ac:dyDescent="0.2">
      <c r="A203" s="418">
        <f>Channels!B25</f>
        <v>0</v>
      </c>
      <c r="B203" s="418">
        <f>Channels!C25</f>
        <v>0</v>
      </c>
      <c r="C203" s="418">
        <f>Channels!D25</f>
        <v>110000</v>
      </c>
      <c r="D203" s="418">
        <f>Channels!F25</f>
        <v>110000</v>
      </c>
      <c r="E203" s="418">
        <f>Channels!G25</f>
        <v>0</v>
      </c>
      <c r="F203" s="418">
        <f>Channels!H25</f>
        <v>80000</v>
      </c>
      <c r="G203" s="418">
        <f>Channels!J25</f>
        <v>51739.107028939994</v>
      </c>
      <c r="H203" s="418">
        <f>Channels!K25</f>
        <v>37504.112064300745</v>
      </c>
      <c r="I203" s="418">
        <f>Channels!L25</f>
        <v>0</v>
      </c>
      <c r="J203" s="418">
        <f>Channels!N25</f>
        <v>0</v>
      </c>
      <c r="K203" s="418">
        <f>Channels!O25</f>
        <v>0</v>
      </c>
      <c r="L203" s="418">
        <f>Channels!P25</f>
        <v>0</v>
      </c>
      <c r="M203" s="418">
        <f>Channels!R25</f>
        <v>0</v>
      </c>
      <c r="N203" s="418">
        <f>Channels!S25</f>
        <v>0</v>
      </c>
      <c r="O203" s="418">
        <f>Channels!T25</f>
        <v>0</v>
      </c>
      <c r="P203" s="418">
        <f>Channels!V25</f>
        <v>0</v>
      </c>
      <c r="Q203" s="418">
        <f>Channels!W25</f>
        <v>0</v>
      </c>
      <c r="R203" s="418">
        <f>Channels!X25</f>
        <v>0</v>
      </c>
    </row>
    <row r="204" spans="1:18" ht="12.75" customHeight="1" x14ac:dyDescent="0.2">
      <c r="A204" s="423">
        <f>Channels!B561</f>
        <v>0</v>
      </c>
      <c r="B204" s="423">
        <f>Channels!C561</f>
        <v>0</v>
      </c>
      <c r="C204" s="423">
        <f>Channels!D561</f>
        <v>0</v>
      </c>
      <c r="D204" s="423">
        <f>Channels!F561</f>
        <v>0</v>
      </c>
      <c r="E204" s="423">
        <f>Channels!G561</f>
        <v>0</v>
      </c>
      <c r="F204" s="423">
        <f>Channels!H561</f>
        <v>0</v>
      </c>
      <c r="G204" s="423">
        <f>Channels!J561</f>
        <v>0</v>
      </c>
      <c r="H204" s="423">
        <f>Channels!K561</f>
        <v>0</v>
      </c>
      <c r="I204" s="423">
        <f>Channels!L561</f>
        <v>0</v>
      </c>
      <c r="J204" s="423">
        <f>Channels!N561</f>
        <v>0</v>
      </c>
      <c r="K204" s="423">
        <f>Channels!O561</f>
        <v>0</v>
      </c>
      <c r="L204" s="423">
        <f>Channels!P561</f>
        <v>0</v>
      </c>
      <c r="M204" s="423">
        <f>Channels!R561</f>
        <v>0</v>
      </c>
      <c r="N204" s="423">
        <f>Channels!S561</f>
        <v>0</v>
      </c>
      <c r="O204" s="423">
        <f>Channels!T561</f>
        <v>0</v>
      </c>
      <c r="P204" s="423">
        <f>Channels!V561</f>
        <v>0</v>
      </c>
      <c r="Q204" s="423">
        <f>Channels!W561</f>
        <v>0</v>
      </c>
      <c r="R204" s="423">
        <f>Channels!X561</f>
        <v>0</v>
      </c>
    </row>
    <row r="205" spans="1:18" ht="12.75" customHeight="1" x14ac:dyDescent="0.2">
      <c r="A205" s="423">
        <f>Channels!B562</f>
        <v>0</v>
      </c>
      <c r="B205" s="423">
        <f>Channels!C562</f>
        <v>0</v>
      </c>
      <c r="C205" s="423">
        <f>Channels!D562</f>
        <v>0</v>
      </c>
      <c r="D205" s="423">
        <f>Channels!F562</f>
        <v>0</v>
      </c>
      <c r="E205" s="423">
        <f>Channels!G562</f>
        <v>0</v>
      </c>
      <c r="F205" s="423">
        <f>Channels!H562</f>
        <v>0</v>
      </c>
      <c r="G205" s="423">
        <f>Channels!J562</f>
        <v>0</v>
      </c>
      <c r="H205" s="423">
        <f>Channels!K562</f>
        <v>0</v>
      </c>
      <c r="I205" s="423">
        <f>Channels!L562</f>
        <v>0</v>
      </c>
      <c r="J205" s="423">
        <f>Channels!N562</f>
        <v>0</v>
      </c>
      <c r="K205" s="423">
        <f>Channels!O562</f>
        <v>0</v>
      </c>
      <c r="L205" s="423">
        <f>Channels!P562</f>
        <v>0</v>
      </c>
      <c r="M205" s="423">
        <f>Channels!R562</f>
        <v>0</v>
      </c>
      <c r="N205" s="423">
        <f>Channels!S562</f>
        <v>0</v>
      </c>
      <c r="O205" s="423">
        <f>Channels!T562</f>
        <v>0</v>
      </c>
      <c r="P205" s="423">
        <f>Channels!V562</f>
        <v>0</v>
      </c>
      <c r="Q205" s="423">
        <f>Channels!W562</f>
        <v>0</v>
      </c>
      <c r="R205" s="423">
        <f>Channels!X562</f>
        <v>0</v>
      </c>
    </row>
    <row r="206" spans="1:18" ht="12.75" customHeight="1" x14ac:dyDescent="0.2">
      <c r="A206" s="423">
        <f>Channels!B563</f>
        <v>0</v>
      </c>
      <c r="B206" s="423">
        <f>Channels!C563</f>
        <v>0</v>
      </c>
      <c r="C206" s="423">
        <f>Channels!D563</f>
        <v>0</v>
      </c>
      <c r="D206" s="423">
        <f>Channels!F563</f>
        <v>0</v>
      </c>
      <c r="E206" s="423">
        <f>Channels!G563</f>
        <v>0</v>
      </c>
      <c r="F206" s="423">
        <f>Channels!H563</f>
        <v>0</v>
      </c>
      <c r="G206" s="423">
        <f>Channels!J563</f>
        <v>0</v>
      </c>
      <c r="H206" s="423">
        <f>Channels!K563</f>
        <v>0</v>
      </c>
      <c r="I206" s="423">
        <f>Channels!L563</f>
        <v>0</v>
      </c>
      <c r="J206" s="423">
        <f>Channels!N563</f>
        <v>0</v>
      </c>
      <c r="K206" s="423">
        <f>Channels!O563</f>
        <v>0</v>
      </c>
      <c r="L206" s="423">
        <f>Channels!P563</f>
        <v>0</v>
      </c>
      <c r="M206" s="423">
        <f>Channels!R563</f>
        <v>0</v>
      </c>
      <c r="N206" s="423">
        <f>Channels!S563</f>
        <v>0</v>
      </c>
      <c r="O206" s="423">
        <f>Channels!T563</f>
        <v>0</v>
      </c>
      <c r="P206" s="423">
        <f>Channels!V563</f>
        <v>0</v>
      </c>
      <c r="Q206" s="423">
        <f>Channels!W563</f>
        <v>0</v>
      </c>
      <c r="R206" s="423">
        <f>Channels!X563</f>
        <v>0</v>
      </c>
    </row>
    <row r="207" spans="1:18" ht="12.75" customHeight="1" x14ac:dyDescent="0.2">
      <c r="A207" s="423">
        <f>Channels!B565</f>
        <v>0</v>
      </c>
      <c r="B207" s="423">
        <f>Channels!C565</f>
        <v>0</v>
      </c>
      <c r="C207" s="423">
        <f>Channels!D565</f>
        <v>0</v>
      </c>
      <c r="D207" s="423">
        <f>Channels!F565</f>
        <v>0</v>
      </c>
      <c r="E207" s="423">
        <f>Channels!G565</f>
        <v>0</v>
      </c>
      <c r="F207" s="423">
        <f>Channels!H565</f>
        <v>0</v>
      </c>
      <c r="G207" s="423">
        <f>Channels!J565</f>
        <v>0</v>
      </c>
      <c r="H207" s="423">
        <f>Channels!K565</f>
        <v>0</v>
      </c>
      <c r="I207" s="423">
        <f>Channels!L565</f>
        <v>0</v>
      </c>
      <c r="J207" s="423">
        <f>Channels!N565</f>
        <v>0</v>
      </c>
      <c r="K207" s="423">
        <f>Channels!O565</f>
        <v>0</v>
      </c>
      <c r="L207" s="423">
        <f>Channels!P565</f>
        <v>0</v>
      </c>
      <c r="M207" s="423">
        <f>Channels!R565</f>
        <v>0</v>
      </c>
      <c r="N207" s="423">
        <f>Channels!S565</f>
        <v>0</v>
      </c>
      <c r="O207" s="423">
        <f>Channels!T565</f>
        <v>0</v>
      </c>
      <c r="P207" s="423">
        <f>Channels!V565</f>
        <v>0</v>
      </c>
      <c r="Q207" s="423">
        <f>Channels!W565</f>
        <v>0</v>
      </c>
      <c r="R207" s="423">
        <f>Channels!X565</f>
        <v>0</v>
      </c>
    </row>
    <row r="208" spans="1:18" ht="12.75" customHeight="1" x14ac:dyDescent="0.2">
      <c r="A208" s="423">
        <f>Channels!B566</f>
        <v>0</v>
      </c>
      <c r="B208" s="423">
        <f>Channels!C566</f>
        <v>0</v>
      </c>
      <c r="C208" s="423">
        <f>Channels!D566</f>
        <v>0</v>
      </c>
      <c r="D208" s="423">
        <f>Channels!F566</f>
        <v>0</v>
      </c>
      <c r="E208" s="423">
        <f>Channels!G566</f>
        <v>0</v>
      </c>
      <c r="F208" s="423">
        <f>Channels!H566</f>
        <v>0</v>
      </c>
      <c r="G208" s="423">
        <f>Channels!J566</f>
        <v>0</v>
      </c>
      <c r="H208" s="423">
        <f>Channels!K566</f>
        <v>0</v>
      </c>
      <c r="I208" s="423">
        <f>Channels!L566</f>
        <v>0</v>
      </c>
      <c r="J208" s="423">
        <f>Channels!N566</f>
        <v>0</v>
      </c>
      <c r="K208" s="423">
        <f>Channels!O566</f>
        <v>0</v>
      </c>
      <c r="L208" s="423">
        <f>Channels!P566</f>
        <v>0</v>
      </c>
      <c r="M208" s="423">
        <f>Channels!R566</f>
        <v>0</v>
      </c>
      <c r="N208" s="423">
        <f>Channels!S566</f>
        <v>0</v>
      </c>
      <c r="O208" s="423">
        <f>Channels!T566</f>
        <v>0</v>
      </c>
      <c r="P208" s="423">
        <f>Channels!V566</f>
        <v>0</v>
      </c>
      <c r="Q208" s="423">
        <f>Channels!W566</f>
        <v>0</v>
      </c>
      <c r="R208" s="423">
        <f>Channels!X566</f>
        <v>0</v>
      </c>
    </row>
    <row r="209" spans="1:18" ht="12.75" customHeight="1" x14ac:dyDescent="0.2">
      <c r="A209" s="423">
        <f>Channels!B567</f>
        <v>0</v>
      </c>
      <c r="B209" s="423">
        <f>Channels!C567</f>
        <v>0</v>
      </c>
      <c r="C209" s="423">
        <f>Channels!D567</f>
        <v>0</v>
      </c>
      <c r="D209" s="423">
        <f>Channels!F567</f>
        <v>0</v>
      </c>
      <c r="E209" s="423">
        <f>Channels!G567</f>
        <v>0</v>
      </c>
      <c r="F209" s="423">
        <f>Channels!H567</f>
        <v>0</v>
      </c>
      <c r="G209" s="423">
        <f>Channels!J567</f>
        <v>0</v>
      </c>
      <c r="H209" s="423">
        <f>Channels!K567</f>
        <v>0</v>
      </c>
      <c r="I209" s="423">
        <f>Channels!L567</f>
        <v>0</v>
      </c>
      <c r="J209" s="423">
        <f>Channels!N567</f>
        <v>0</v>
      </c>
      <c r="K209" s="423">
        <f>Channels!O567</f>
        <v>0</v>
      </c>
      <c r="L209" s="423">
        <f>Channels!P567</f>
        <v>0</v>
      </c>
      <c r="M209" s="423">
        <f>Channels!R567</f>
        <v>0</v>
      </c>
      <c r="N209" s="423">
        <f>Channels!S567</f>
        <v>0</v>
      </c>
      <c r="O209" s="423">
        <f>Channels!T567</f>
        <v>0</v>
      </c>
      <c r="P209" s="423">
        <f>Channels!V567</f>
        <v>0</v>
      </c>
      <c r="Q209" s="423">
        <f>Channels!W567</f>
        <v>0</v>
      </c>
      <c r="R209" s="423">
        <f>Channels!X567</f>
        <v>0</v>
      </c>
    </row>
    <row r="210" spans="1:18" ht="12.75" customHeight="1" x14ac:dyDescent="0.2">
      <c r="A210" s="423">
        <f>Channels!B568</f>
        <v>0</v>
      </c>
      <c r="B210" s="423">
        <f>Channels!C568</f>
        <v>0</v>
      </c>
      <c r="C210" s="423">
        <f>Channels!D568</f>
        <v>0</v>
      </c>
      <c r="D210" s="423">
        <f>Channels!F568</f>
        <v>0</v>
      </c>
      <c r="E210" s="423">
        <f>Channels!G568</f>
        <v>0</v>
      </c>
      <c r="F210" s="423">
        <f>Channels!H568</f>
        <v>0</v>
      </c>
      <c r="G210" s="423">
        <f>Channels!J568</f>
        <v>0</v>
      </c>
      <c r="H210" s="423">
        <f>Channels!K568</f>
        <v>0</v>
      </c>
      <c r="I210" s="423">
        <f>Channels!L568</f>
        <v>0</v>
      </c>
      <c r="J210" s="423">
        <f>Channels!N568</f>
        <v>0</v>
      </c>
      <c r="K210" s="423">
        <f>Channels!O568</f>
        <v>0</v>
      </c>
      <c r="L210" s="423">
        <f>Channels!P568</f>
        <v>0</v>
      </c>
      <c r="M210" s="423">
        <f>Channels!R568</f>
        <v>0</v>
      </c>
      <c r="N210" s="423">
        <f>Channels!S568</f>
        <v>0</v>
      </c>
      <c r="O210" s="423">
        <f>Channels!T568</f>
        <v>0</v>
      </c>
      <c r="P210" s="423">
        <f>Channels!V568</f>
        <v>0</v>
      </c>
      <c r="Q210" s="423">
        <f>Channels!W568</f>
        <v>0</v>
      </c>
      <c r="R210" s="423">
        <f>Channels!X568</f>
        <v>0</v>
      </c>
    </row>
    <row r="211" spans="1:18" ht="12.75" customHeight="1" x14ac:dyDescent="0.2">
      <c r="A211" s="418">
        <f>'GM CostSvcs'!B377</f>
        <v>0</v>
      </c>
      <c r="B211" s="418">
        <f>'GM CostSvcs'!C377</f>
        <v>0</v>
      </c>
      <c r="C211" s="418">
        <f>'GM CostSvcs'!D377</f>
        <v>0</v>
      </c>
      <c r="D211" s="418">
        <f>'GM CostSvcs'!F377</f>
        <v>0</v>
      </c>
      <c r="E211" s="418">
        <f>'GM CostSvcs'!G377</f>
        <v>0</v>
      </c>
      <c r="F211" s="418">
        <f>'GM CostSvcs'!H377</f>
        <v>0</v>
      </c>
      <c r="G211" s="418">
        <f>'GM CostSvcs'!J377</f>
        <v>0</v>
      </c>
      <c r="H211" s="418">
        <f>'GM CostSvcs'!K377</f>
        <v>7082.6479892832094</v>
      </c>
      <c r="I211" s="418">
        <f>'GM CostSvcs'!L377</f>
        <v>0</v>
      </c>
      <c r="J211" s="418">
        <f>'GM CostSvcs'!N377</f>
        <v>0</v>
      </c>
      <c r="K211" s="418">
        <f>'GM CostSvcs'!O377</f>
        <v>0</v>
      </c>
      <c r="L211" s="418">
        <f>'GM CostSvcs'!P377</f>
        <v>0</v>
      </c>
      <c r="M211" s="418">
        <f>'GM CostSvcs'!R377</f>
        <v>0</v>
      </c>
      <c r="N211" s="418">
        <f>'GM CostSvcs'!S377</f>
        <v>0</v>
      </c>
      <c r="O211" s="418">
        <f>'GM CostSvcs'!T377</f>
        <v>0</v>
      </c>
      <c r="P211" s="418">
        <f>'GM CostSvcs'!V377</f>
        <v>0</v>
      </c>
      <c r="Q211" s="418">
        <f>'GM CostSvcs'!W377</f>
        <v>0</v>
      </c>
      <c r="R211" s="418">
        <f>'GM CostSvcs'!X377</f>
        <v>0</v>
      </c>
    </row>
    <row r="212" spans="1:18" ht="12.75" customHeight="1" x14ac:dyDescent="0.2">
      <c r="A212" s="418">
        <f>'GM CostSvcs'!B378</f>
        <v>0</v>
      </c>
      <c r="B212" s="418">
        <f>'GM CostSvcs'!C378</f>
        <v>0</v>
      </c>
      <c r="C212" s="418">
        <f>'GM CostSvcs'!D378</f>
        <v>0</v>
      </c>
      <c r="D212" s="418">
        <f>'GM CostSvcs'!F378</f>
        <v>0</v>
      </c>
      <c r="E212" s="418">
        <f>'GM CostSvcs'!G378</f>
        <v>0</v>
      </c>
      <c r="F212" s="418">
        <f>'GM CostSvcs'!H378</f>
        <v>0</v>
      </c>
      <c r="G212" s="418">
        <f>'GM CostSvcs'!J378</f>
        <v>0</v>
      </c>
      <c r="H212" s="418">
        <f>'GM CostSvcs'!K378</f>
        <v>7082.6479892832094</v>
      </c>
      <c r="I212" s="418">
        <f>'GM CostSvcs'!L378</f>
        <v>0</v>
      </c>
      <c r="J212" s="418">
        <f>'GM CostSvcs'!N378</f>
        <v>0</v>
      </c>
      <c r="K212" s="418">
        <f>'GM CostSvcs'!O378</f>
        <v>0</v>
      </c>
      <c r="L212" s="418">
        <f>'GM CostSvcs'!P378</f>
        <v>0</v>
      </c>
      <c r="M212" s="418">
        <f>'GM CostSvcs'!R378</f>
        <v>0</v>
      </c>
      <c r="N212" s="418">
        <f>'GM CostSvcs'!S378</f>
        <v>0</v>
      </c>
      <c r="O212" s="418">
        <f>'GM CostSvcs'!T378</f>
        <v>0</v>
      </c>
      <c r="P212" s="418">
        <f>'GM CostSvcs'!V378</f>
        <v>0</v>
      </c>
      <c r="Q212" s="418">
        <f>'GM CostSvcs'!W378</f>
        <v>0</v>
      </c>
      <c r="R212" s="418">
        <f>'GM CostSvcs'!X378</f>
        <v>0</v>
      </c>
    </row>
    <row r="213" spans="1:18" ht="12.75" customHeight="1" x14ac:dyDescent="0.2">
      <c r="A213" s="418">
        <f>'GM CostSvcs'!B379</f>
        <v>0</v>
      </c>
      <c r="B213" s="418">
        <f>'GM CostSvcs'!C379</f>
        <v>0</v>
      </c>
      <c r="C213" s="418">
        <f>'GM CostSvcs'!D379</f>
        <v>0</v>
      </c>
      <c r="D213" s="418">
        <f>'GM CostSvcs'!F379</f>
        <v>0</v>
      </c>
      <c r="E213" s="418">
        <f>'GM CostSvcs'!G379</f>
        <v>0</v>
      </c>
      <c r="F213" s="418">
        <f>'GM CostSvcs'!H379</f>
        <v>0</v>
      </c>
      <c r="G213" s="418">
        <f>'GM CostSvcs'!J379</f>
        <v>0</v>
      </c>
      <c r="H213" s="418">
        <f>'GM CostSvcs'!K379</f>
        <v>14165.295978566419</v>
      </c>
      <c r="I213" s="418">
        <f>'GM CostSvcs'!L379</f>
        <v>0</v>
      </c>
      <c r="J213" s="418">
        <f>'GM CostSvcs'!N379</f>
        <v>0</v>
      </c>
      <c r="K213" s="418">
        <f>'GM CostSvcs'!O379</f>
        <v>0</v>
      </c>
      <c r="L213" s="418">
        <f>'GM CostSvcs'!P379</f>
        <v>0</v>
      </c>
      <c r="M213" s="418">
        <f>'GM CostSvcs'!R379</f>
        <v>0</v>
      </c>
      <c r="N213" s="418">
        <f>'GM CostSvcs'!S379</f>
        <v>0</v>
      </c>
      <c r="O213" s="418">
        <f>'GM CostSvcs'!T379</f>
        <v>0</v>
      </c>
      <c r="P213" s="418">
        <f>'GM CostSvcs'!V379</f>
        <v>0</v>
      </c>
      <c r="Q213" s="418">
        <f>'GM CostSvcs'!W379</f>
        <v>0</v>
      </c>
      <c r="R213" s="418">
        <f>'GM CostSvcs'!X379</f>
        <v>0</v>
      </c>
    </row>
    <row r="214" spans="1:18" ht="12.75" customHeight="1" x14ac:dyDescent="0.2">
      <c r="A214" s="418">
        <f>'GM CostSvcs'!B381</f>
        <v>0</v>
      </c>
      <c r="B214" s="418">
        <f>'GM CostSvcs'!C381</f>
        <v>0</v>
      </c>
      <c r="C214" s="418">
        <f>'GM CostSvcs'!D381</f>
        <v>0</v>
      </c>
      <c r="D214" s="418">
        <f>'GM CostSvcs'!F381</f>
        <v>0</v>
      </c>
      <c r="E214" s="418">
        <f>'GM CostSvcs'!G381</f>
        <v>0</v>
      </c>
      <c r="F214" s="418">
        <f>'GM CostSvcs'!H381</f>
        <v>0</v>
      </c>
      <c r="G214" s="418">
        <f>'GM CostSvcs'!J381</f>
        <v>0</v>
      </c>
      <c r="H214" s="418">
        <f>'GM CostSvcs'!K381</f>
        <v>0</v>
      </c>
      <c r="I214" s="418">
        <f>'GM CostSvcs'!L381</f>
        <v>0</v>
      </c>
      <c r="J214" s="418">
        <f>'GM CostSvcs'!N381</f>
        <v>0</v>
      </c>
      <c r="K214" s="418">
        <f>'GM CostSvcs'!O381</f>
        <v>0</v>
      </c>
      <c r="L214" s="418">
        <f>'GM CostSvcs'!P381</f>
        <v>0</v>
      </c>
      <c r="M214" s="418">
        <f>'GM CostSvcs'!R381</f>
        <v>0</v>
      </c>
      <c r="N214" s="418">
        <f>'GM CostSvcs'!S381</f>
        <v>0</v>
      </c>
      <c r="O214" s="418">
        <f>'GM CostSvcs'!T381</f>
        <v>0</v>
      </c>
      <c r="P214" s="418">
        <f>'GM CostSvcs'!V381</f>
        <v>0</v>
      </c>
      <c r="Q214" s="418">
        <f>'GM CostSvcs'!W381</f>
        <v>0</v>
      </c>
      <c r="R214" s="418">
        <f>'GM CostSvcs'!X381</f>
        <v>0</v>
      </c>
    </row>
    <row r="215" spans="1:18" ht="12.75" customHeight="1" x14ac:dyDescent="0.2">
      <c r="A215" s="418">
        <f>'GM CostSvcs'!B382</f>
        <v>0</v>
      </c>
      <c r="B215" s="418">
        <f>'GM CostSvcs'!C382</f>
        <v>0</v>
      </c>
      <c r="C215" s="418">
        <f>'GM CostSvcs'!D382</f>
        <v>0</v>
      </c>
      <c r="D215" s="418">
        <f>'GM CostSvcs'!F382</f>
        <v>0</v>
      </c>
      <c r="E215" s="418">
        <f>'GM CostSvcs'!G382</f>
        <v>0</v>
      </c>
      <c r="F215" s="418">
        <f>'GM CostSvcs'!H382</f>
        <v>0</v>
      </c>
      <c r="G215" s="418">
        <f>'GM CostSvcs'!J382</f>
        <v>0</v>
      </c>
      <c r="H215" s="418">
        <f>'GM CostSvcs'!K382</f>
        <v>0</v>
      </c>
      <c r="I215" s="418">
        <f>'GM CostSvcs'!L382</f>
        <v>0</v>
      </c>
      <c r="J215" s="418">
        <f>'GM CostSvcs'!N382</f>
        <v>0</v>
      </c>
      <c r="K215" s="418">
        <f>'GM CostSvcs'!O382</f>
        <v>0</v>
      </c>
      <c r="L215" s="418">
        <f>'GM CostSvcs'!P382</f>
        <v>0</v>
      </c>
      <c r="M215" s="418">
        <f>'GM CostSvcs'!R382</f>
        <v>0</v>
      </c>
      <c r="N215" s="418">
        <f>'GM CostSvcs'!S382</f>
        <v>0</v>
      </c>
      <c r="O215" s="418">
        <f>'GM CostSvcs'!T382</f>
        <v>0</v>
      </c>
      <c r="P215" s="418">
        <f>'GM CostSvcs'!V382</f>
        <v>0</v>
      </c>
      <c r="Q215" s="418">
        <f>'GM CostSvcs'!W382</f>
        <v>0</v>
      </c>
      <c r="R215" s="418">
        <f>'GM CostSvcs'!X382</f>
        <v>0</v>
      </c>
    </row>
    <row r="216" spans="1:18" ht="12.75" customHeight="1" x14ac:dyDescent="0.2">
      <c r="A216" s="418">
        <f>'GM CostSvcs'!B383</f>
        <v>0</v>
      </c>
      <c r="B216" s="418">
        <f>'GM CostSvcs'!C383</f>
        <v>0</v>
      </c>
      <c r="C216" s="418">
        <f>'GM CostSvcs'!D383</f>
        <v>0</v>
      </c>
      <c r="D216" s="418">
        <f>'GM CostSvcs'!F383</f>
        <v>0</v>
      </c>
      <c r="E216" s="418">
        <f>'GM CostSvcs'!G383</f>
        <v>0</v>
      </c>
      <c r="F216" s="418">
        <f>'GM CostSvcs'!H383</f>
        <v>0</v>
      </c>
      <c r="G216" s="418">
        <f>'GM CostSvcs'!J383</f>
        <v>0</v>
      </c>
      <c r="H216" s="418">
        <f>'GM CostSvcs'!K383</f>
        <v>0</v>
      </c>
      <c r="I216" s="418">
        <f>'GM CostSvcs'!L383</f>
        <v>0</v>
      </c>
      <c r="J216" s="418">
        <f>'GM CostSvcs'!N383</f>
        <v>0</v>
      </c>
      <c r="K216" s="418">
        <f>'GM CostSvcs'!O383</f>
        <v>0</v>
      </c>
      <c r="L216" s="418">
        <f>'GM CostSvcs'!P383</f>
        <v>0</v>
      </c>
      <c r="M216" s="418">
        <f>'GM CostSvcs'!R383</f>
        <v>0</v>
      </c>
      <c r="N216" s="418">
        <f>'GM CostSvcs'!S383</f>
        <v>0</v>
      </c>
      <c r="O216" s="418">
        <f>'GM CostSvcs'!T383</f>
        <v>0</v>
      </c>
      <c r="P216" s="418">
        <f>'GM CostSvcs'!V383</f>
        <v>0</v>
      </c>
      <c r="Q216" s="418">
        <f>'GM CostSvcs'!W383</f>
        <v>0</v>
      </c>
      <c r="R216" s="418">
        <f>'GM CostSvcs'!X383</f>
        <v>0</v>
      </c>
    </row>
    <row r="217" spans="1:18" ht="12.75" customHeight="1" x14ac:dyDescent="0.2">
      <c r="A217" s="418">
        <f>'GM CostSvcs'!B384</f>
        <v>0</v>
      </c>
      <c r="B217" s="418">
        <f>'GM CostSvcs'!C384</f>
        <v>0</v>
      </c>
      <c r="C217" s="418">
        <f>'GM CostSvcs'!D384</f>
        <v>0</v>
      </c>
      <c r="D217" s="418">
        <f>'GM CostSvcs'!F384</f>
        <v>0</v>
      </c>
      <c r="E217" s="418">
        <f>'GM CostSvcs'!G384</f>
        <v>0</v>
      </c>
      <c r="F217" s="418">
        <f>'GM CostSvcs'!H384</f>
        <v>0</v>
      </c>
      <c r="G217" s="418">
        <f>'GM CostSvcs'!J384</f>
        <v>0</v>
      </c>
      <c r="H217" s="418">
        <f>'GM CostSvcs'!K384</f>
        <v>14165.295978566419</v>
      </c>
      <c r="I217" s="418">
        <f>'GM CostSvcs'!L384</f>
        <v>0</v>
      </c>
      <c r="J217" s="418">
        <f>'GM CostSvcs'!N384</f>
        <v>0</v>
      </c>
      <c r="K217" s="418">
        <f>'GM CostSvcs'!O384</f>
        <v>0</v>
      </c>
      <c r="L217" s="418">
        <f>'GM CostSvcs'!P384</f>
        <v>0</v>
      </c>
      <c r="M217" s="418">
        <f>'GM CostSvcs'!R384</f>
        <v>0</v>
      </c>
      <c r="N217" s="418">
        <f>'GM CostSvcs'!S384</f>
        <v>0</v>
      </c>
      <c r="O217" s="418">
        <f>'GM CostSvcs'!T384</f>
        <v>0</v>
      </c>
      <c r="P217" s="418">
        <f>'GM CostSvcs'!V384</f>
        <v>0</v>
      </c>
      <c r="Q217" s="418">
        <f>'GM CostSvcs'!W384</f>
        <v>0</v>
      </c>
      <c r="R217" s="418">
        <f>'GM CostSvcs'!X384</f>
        <v>0</v>
      </c>
    </row>
    <row r="218" spans="1:18" ht="12.75" customHeight="1" x14ac:dyDescent="0.2">
      <c r="A218" s="423">
        <f>'GM CostSvcs'!B448</f>
        <v>0</v>
      </c>
      <c r="B218" s="423">
        <f>'GM CostSvcs'!C448</f>
        <v>0</v>
      </c>
      <c r="C218" s="423">
        <f>'GM CostSvcs'!D448</f>
        <v>0</v>
      </c>
      <c r="D218" s="423">
        <f>'GM CostSvcs'!F448</f>
        <v>0</v>
      </c>
      <c r="E218" s="423">
        <f>'GM CostSvcs'!G448</f>
        <v>0</v>
      </c>
      <c r="F218" s="423">
        <f>'GM CostSvcs'!H448</f>
        <v>0</v>
      </c>
      <c r="G218" s="423">
        <f>'GM CostSvcs'!J448</f>
        <v>0</v>
      </c>
      <c r="H218" s="423">
        <f>'GM CostSvcs'!K448</f>
        <v>0</v>
      </c>
      <c r="I218" s="423">
        <f>'GM CostSvcs'!L448</f>
        <v>0</v>
      </c>
      <c r="J218" s="423">
        <f>'GM CostSvcs'!N448</f>
        <v>0</v>
      </c>
      <c r="K218" s="423">
        <f>'GM CostSvcs'!O448</f>
        <v>0</v>
      </c>
      <c r="L218" s="423">
        <f>'GM CostSvcs'!P448</f>
        <v>0</v>
      </c>
      <c r="M218" s="423">
        <f>'GM CostSvcs'!R448</f>
        <v>0</v>
      </c>
      <c r="N218" s="423">
        <f>'GM CostSvcs'!S448</f>
        <v>0</v>
      </c>
      <c r="O218" s="423">
        <f>'GM CostSvcs'!T448</f>
        <v>0</v>
      </c>
      <c r="P218" s="423">
        <f>'GM CostSvcs'!V448</f>
        <v>0</v>
      </c>
      <c r="Q218" s="423">
        <f>'GM CostSvcs'!W448</f>
        <v>0</v>
      </c>
      <c r="R218" s="423">
        <f>'GM CostSvcs'!X448</f>
        <v>0</v>
      </c>
    </row>
    <row r="219" spans="1:18" ht="12.75" customHeight="1" x14ac:dyDescent="0.2">
      <c r="A219" s="423">
        <f>'GM CostSvcs'!B449</f>
        <v>0</v>
      </c>
      <c r="B219" s="423">
        <f>'GM CostSvcs'!C449</f>
        <v>0</v>
      </c>
      <c r="C219" s="423">
        <f>'GM CostSvcs'!D449</f>
        <v>0</v>
      </c>
      <c r="D219" s="423">
        <f>'GM CostSvcs'!F449</f>
        <v>0</v>
      </c>
      <c r="E219" s="423">
        <f>'GM CostSvcs'!G449</f>
        <v>0</v>
      </c>
      <c r="F219" s="423">
        <f>'GM CostSvcs'!H449</f>
        <v>0</v>
      </c>
      <c r="G219" s="423">
        <f>'GM CostSvcs'!J449</f>
        <v>0</v>
      </c>
      <c r="H219" s="423">
        <f>'GM CostSvcs'!K449</f>
        <v>0</v>
      </c>
      <c r="I219" s="423">
        <f>'GM CostSvcs'!L449</f>
        <v>0</v>
      </c>
      <c r="J219" s="423">
        <f>'GM CostSvcs'!N449</f>
        <v>0</v>
      </c>
      <c r="K219" s="423">
        <f>'GM CostSvcs'!O449</f>
        <v>0</v>
      </c>
      <c r="L219" s="423">
        <f>'GM CostSvcs'!P449</f>
        <v>0</v>
      </c>
      <c r="M219" s="423">
        <f>'GM CostSvcs'!R449</f>
        <v>0</v>
      </c>
      <c r="N219" s="423">
        <f>'GM CostSvcs'!S449</f>
        <v>0</v>
      </c>
      <c r="O219" s="423">
        <f>'GM CostSvcs'!T449</f>
        <v>0</v>
      </c>
      <c r="P219" s="423">
        <f>'GM CostSvcs'!V449</f>
        <v>0</v>
      </c>
      <c r="Q219" s="423">
        <f>'GM CostSvcs'!W449</f>
        <v>0</v>
      </c>
      <c r="R219" s="423">
        <f>'GM CostSvcs'!X449</f>
        <v>0</v>
      </c>
    </row>
    <row r="220" spans="1:18" ht="12.75" customHeight="1" x14ac:dyDescent="0.2">
      <c r="A220" s="423">
        <f>'GM CostSvcs'!B450</f>
        <v>0</v>
      </c>
      <c r="B220" s="423">
        <f>'GM CostSvcs'!C450</f>
        <v>0</v>
      </c>
      <c r="C220" s="423">
        <f>'GM CostSvcs'!D450</f>
        <v>0</v>
      </c>
      <c r="D220" s="423">
        <f>'GM CostSvcs'!F450</f>
        <v>0</v>
      </c>
      <c r="E220" s="423">
        <f>'GM CostSvcs'!G450</f>
        <v>0</v>
      </c>
      <c r="F220" s="423">
        <f>'GM CostSvcs'!H450</f>
        <v>0</v>
      </c>
      <c r="G220" s="423">
        <f>'GM CostSvcs'!J450</f>
        <v>0</v>
      </c>
      <c r="H220" s="423">
        <f>'GM CostSvcs'!K450</f>
        <v>0</v>
      </c>
      <c r="I220" s="423">
        <f>'GM CostSvcs'!L450</f>
        <v>0</v>
      </c>
      <c r="J220" s="423">
        <f>'GM CostSvcs'!N450</f>
        <v>0</v>
      </c>
      <c r="K220" s="423">
        <f>'GM CostSvcs'!O450</f>
        <v>0</v>
      </c>
      <c r="L220" s="423">
        <f>'GM CostSvcs'!P450</f>
        <v>0</v>
      </c>
      <c r="M220" s="423">
        <f>'GM CostSvcs'!R450</f>
        <v>0</v>
      </c>
      <c r="N220" s="423">
        <f>'GM CostSvcs'!S450</f>
        <v>0</v>
      </c>
      <c r="O220" s="423">
        <f>'GM CostSvcs'!T450</f>
        <v>0</v>
      </c>
      <c r="P220" s="423">
        <f>'GM CostSvcs'!V450</f>
        <v>0</v>
      </c>
      <c r="Q220" s="423">
        <f>'GM CostSvcs'!W450</f>
        <v>0</v>
      </c>
      <c r="R220" s="423">
        <f>'GM CostSvcs'!X450</f>
        <v>0</v>
      </c>
    </row>
    <row r="221" spans="1:18" ht="12.75" customHeight="1" x14ac:dyDescent="0.2">
      <c r="A221" s="423">
        <f>'GM CostSvcs'!B452</f>
        <v>0</v>
      </c>
      <c r="B221" s="423">
        <f>'GM CostSvcs'!C452</f>
        <v>0</v>
      </c>
      <c r="C221" s="423">
        <f>'GM CostSvcs'!D452</f>
        <v>0</v>
      </c>
      <c r="D221" s="423">
        <f>'GM CostSvcs'!F452</f>
        <v>0</v>
      </c>
      <c r="E221" s="423">
        <f>'GM CostSvcs'!G452</f>
        <v>0</v>
      </c>
      <c r="F221" s="423">
        <f>'GM CostSvcs'!H452</f>
        <v>0</v>
      </c>
      <c r="G221" s="423">
        <f>'GM CostSvcs'!J452</f>
        <v>0</v>
      </c>
      <c r="H221" s="423">
        <f>'GM CostSvcs'!K452</f>
        <v>0</v>
      </c>
      <c r="I221" s="423">
        <f>'GM CostSvcs'!L452</f>
        <v>0</v>
      </c>
      <c r="J221" s="423">
        <f>'GM CostSvcs'!N452</f>
        <v>0</v>
      </c>
      <c r="K221" s="423">
        <f>'GM CostSvcs'!O452</f>
        <v>0</v>
      </c>
      <c r="L221" s="423">
        <f>'GM CostSvcs'!P452</f>
        <v>0</v>
      </c>
      <c r="M221" s="423">
        <f>'GM CostSvcs'!R452</f>
        <v>0</v>
      </c>
      <c r="N221" s="423">
        <f>'GM CostSvcs'!S452</f>
        <v>0</v>
      </c>
      <c r="O221" s="423">
        <f>'GM CostSvcs'!T452</f>
        <v>0</v>
      </c>
      <c r="P221" s="423">
        <f>'GM CostSvcs'!V452</f>
        <v>0</v>
      </c>
      <c r="Q221" s="423">
        <f>'GM CostSvcs'!W452</f>
        <v>0</v>
      </c>
      <c r="R221" s="423">
        <f>'GM CostSvcs'!X452</f>
        <v>0</v>
      </c>
    </row>
    <row r="222" spans="1:18" ht="12.75" customHeight="1" x14ac:dyDescent="0.2">
      <c r="A222" s="423">
        <f>'GM CostSvcs'!B453</f>
        <v>0</v>
      </c>
      <c r="B222" s="423">
        <f>'GM CostSvcs'!C453</f>
        <v>0</v>
      </c>
      <c r="C222" s="423">
        <f>'GM CostSvcs'!D453</f>
        <v>0</v>
      </c>
      <c r="D222" s="423">
        <f>'GM CostSvcs'!F453</f>
        <v>0</v>
      </c>
      <c r="E222" s="423">
        <f>'GM CostSvcs'!G453</f>
        <v>0</v>
      </c>
      <c r="F222" s="423">
        <f>'GM CostSvcs'!H453</f>
        <v>0</v>
      </c>
      <c r="G222" s="423">
        <f>'GM CostSvcs'!J453</f>
        <v>0</v>
      </c>
      <c r="H222" s="423">
        <f>'GM CostSvcs'!K453</f>
        <v>0</v>
      </c>
      <c r="I222" s="423">
        <f>'GM CostSvcs'!L453</f>
        <v>0</v>
      </c>
      <c r="J222" s="423">
        <f>'GM CostSvcs'!N453</f>
        <v>0</v>
      </c>
      <c r="K222" s="423">
        <f>'GM CostSvcs'!O453</f>
        <v>0</v>
      </c>
      <c r="L222" s="423">
        <f>'GM CostSvcs'!P453</f>
        <v>0</v>
      </c>
      <c r="M222" s="423">
        <f>'GM CostSvcs'!R453</f>
        <v>0</v>
      </c>
      <c r="N222" s="423">
        <f>'GM CostSvcs'!S453</f>
        <v>0</v>
      </c>
      <c r="O222" s="423">
        <f>'GM CostSvcs'!T453</f>
        <v>0</v>
      </c>
      <c r="P222" s="423">
        <f>'GM CostSvcs'!V453</f>
        <v>0</v>
      </c>
      <c r="Q222" s="423">
        <f>'GM CostSvcs'!W453</f>
        <v>0</v>
      </c>
      <c r="R222" s="423">
        <f>'GM CostSvcs'!X453</f>
        <v>0</v>
      </c>
    </row>
    <row r="223" spans="1:18" ht="12.75" customHeight="1" x14ac:dyDescent="0.2">
      <c r="A223" s="423">
        <f>'GM CostSvcs'!B454</f>
        <v>0</v>
      </c>
      <c r="B223" s="423">
        <f>'GM CostSvcs'!C454</f>
        <v>0</v>
      </c>
      <c r="C223" s="423">
        <f>'GM CostSvcs'!D454</f>
        <v>0</v>
      </c>
      <c r="D223" s="423">
        <f>'GM CostSvcs'!F454</f>
        <v>0</v>
      </c>
      <c r="E223" s="423">
        <f>'GM CostSvcs'!G454</f>
        <v>0</v>
      </c>
      <c r="F223" s="423">
        <f>'GM CostSvcs'!H454</f>
        <v>0</v>
      </c>
      <c r="G223" s="423">
        <f>'GM CostSvcs'!J454</f>
        <v>0</v>
      </c>
      <c r="H223" s="423">
        <f>'GM CostSvcs'!K454</f>
        <v>0</v>
      </c>
      <c r="I223" s="423">
        <f>'GM CostSvcs'!L454</f>
        <v>0</v>
      </c>
      <c r="J223" s="423">
        <f>'GM CostSvcs'!N454</f>
        <v>0</v>
      </c>
      <c r="K223" s="423">
        <f>'GM CostSvcs'!O454</f>
        <v>0</v>
      </c>
      <c r="L223" s="423">
        <f>'GM CostSvcs'!P454</f>
        <v>0</v>
      </c>
      <c r="M223" s="423">
        <f>'GM CostSvcs'!R454</f>
        <v>0</v>
      </c>
      <c r="N223" s="423">
        <f>'GM CostSvcs'!S454</f>
        <v>0</v>
      </c>
      <c r="O223" s="423">
        <f>'GM CostSvcs'!T454</f>
        <v>0</v>
      </c>
      <c r="P223" s="423">
        <f>'GM CostSvcs'!V454</f>
        <v>0</v>
      </c>
      <c r="Q223" s="423">
        <f>'GM CostSvcs'!W454</f>
        <v>0</v>
      </c>
      <c r="R223" s="423">
        <f>'GM CostSvcs'!X454</f>
        <v>0</v>
      </c>
    </row>
    <row r="224" spans="1:18" ht="12.75" customHeight="1" x14ac:dyDescent="0.2">
      <c r="A224" s="423">
        <f>'GM CostSvcs'!B455</f>
        <v>0</v>
      </c>
      <c r="B224" s="423">
        <f>'GM CostSvcs'!C455</f>
        <v>0</v>
      </c>
      <c r="C224" s="423">
        <f>'GM CostSvcs'!D455</f>
        <v>0</v>
      </c>
      <c r="D224" s="423">
        <f>'GM CostSvcs'!F455</f>
        <v>0</v>
      </c>
      <c r="E224" s="423">
        <f>'GM CostSvcs'!G455</f>
        <v>0</v>
      </c>
      <c r="F224" s="423">
        <f>'GM CostSvcs'!H455</f>
        <v>0</v>
      </c>
      <c r="G224" s="423">
        <f>'GM CostSvcs'!J455</f>
        <v>0</v>
      </c>
      <c r="H224" s="423">
        <f>'GM CostSvcs'!K455</f>
        <v>0</v>
      </c>
      <c r="I224" s="423">
        <f>'GM CostSvcs'!L455</f>
        <v>0</v>
      </c>
      <c r="J224" s="423">
        <f>'GM CostSvcs'!N455</f>
        <v>0</v>
      </c>
      <c r="K224" s="423">
        <f>'GM CostSvcs'!O455</f>
        <v>0</v>
      </c>
      <c r="L224" s="423">
        <f>'GM CostSvcs'!P455</f>
        <v>0</v>
      </c>
      <c r="M224" s="423">
        <f>'GM CostSvcs'!R455</f>
        <v>0</v>
      </c>
      <c r="N224" s="423">
        <f>'GM CostSvcs'!S455</f>
        <v>0</v>
      </c>
      <c r="O224" s="423">
        <f>'GM CostSvcs'!T455</f>
        <v>0</v>
      </c>
      <c r="P224" s="423">
        <f>'GM CostSvcs'!V455</f>
        <v>0</v>
      </c>
      <c r="Q224" s="423">
        <f>'GM CostSvcs'!W455</f>
        <v>0</v>
      </c>
      <c r="R224" s="423">
        <f>'GM CostSvcs'!X455</f>
        <v>0</v>
      </c>
    </row>
    <row r="226" spans="1:1" ht="12.75" customHeight="1" x14ac:dyDescent="0.2">
      <c r="A226" t="s">
        <v>3705</v>
      </c>
    </row>
    <row r="227" spans="1:1" ht="12.75" customHeight="1" x14ac:dyDescent="0.2">
      <c r="A227" t="s">
        <v>3772</v>
      </c>
    </row>
    <row r="228" spans="1:1" ht="12.75" customHeight="1" x14ac:dyDescent="0.2">
      <c r="A228" s="424" t="s">
        <v>5754</v>
      </c>
    </row>
    <row r="229" spans="1:1" ht="12.75" customHeight="1" x14ac:dyDescent="0.2">
      <c r="A229" s="424" t="s">
        <v>5122</v>
      </c>
    </row>
    <row r="230" spans="1:1" ht="12.75" customHeight="1" x14ac:dyDescent="0.2">
      <c r="A230" t="s">
        <v>5273</v>
      </c>
    </row>
    <row r="231" spans="1:1" ht="12.75" customHeight="1" x14ac:dyDescent="0.2">
      <c r="A231" t="s">
        <v>678</v>
      </c>
    </row>
    <row r="232" spans="1:1" ht="12.75" customHeight="1" x14ac:dyDescent="0.2">
      <c r="A232" s="424" t="s">
        <v>3659</v>
      </c>
    </row>
    <row r="233" spans="1:1" ht="12.75" customHeight="1" x14ac:dyDescent="0.2">
      <c r="A233" s="424" t="s">
        <v>998</v>
      </c>
    </row>
    <row r="234" spans="1:1" ht="12.75" customHeight="1" x14ac:dyDescent="0.2">
      <c r="A234" s="424" t="s">
        <v>5255</v>
      </c>
    </row>
    <row r="235" spans="1:1" ht="12.75" customHeight="1" x14ac:dyDescent="0.2">
      <c r="A235" s="424" t="s">
        <v>795</v>
      </c>
    </row>
    <row r="236" spans="1:1" ht="12.75" customHeight="1" x14ac:dyDescent="0.2">
      <c r="A236" t="s">
        <v>593</v>
      </c>
    </row>
    <row r="237" spans="1:1" ht="12.75" customHeight="1" x14ac:dyDescent="0.2">
      <c r="A237" t="s">
        <v>5659</v>
      </c>
    </row>
    <row r="238" spans="1:1" ht="12.75" customHeight="1" x14ac:dyDescent="0.2">
      <c r="A238" s="424" t="s">
        <v>5219</v>
      </c>
    </row>
    <row r="239" spans="1:1" ht="12.75" customHeight="1" x14ac:dyDescent="0.2">
      <c r="A239" s="424" t="s">
        <v>273</v>
      </c>
    </row>
    <row r="240" spans="1:1" ht="12.75" customHeight="1" x14ac:dyDescent="0.2">
      <c r="A240" t="s">
        <v>4819</v>
      </c>
    </row>
    <row r="241" spans="1:1" ht="12.75" customHeight="1" x14ac:dyDescent="0.2">
      <c r="A241" t="s">
        <v>4040</v>
      </c>
    </row>
    <row r="242" spans="1:1" ht="12.75" customHeight="1" x14ac:dyDescent="0.2">
      <c r="A242" s="424" t="s">
        <v>1605</v>
      </c>
    </row>
    <row r="243" spans="1:1" ht="12.75" customHeight="1" x14ac:dyDescent="0.2">
      <c r="A243" s="424" t="s">
        <v>274</v>
      </c>
    </row>
    <row r="244" spans="1:1" ht="12.75" customHeight="1" x14ac:dyDescent="0.2">
      <c r="A244" s="424" t="s">
        <v>1783</v>
      </c>
    </row>
    <row r="245" spans="1:1" ht="12.75" customHeight="1" x14ac:dyDescent="0.2">
      <c r="A245" s="424" t="s">
        <v>4044</v>
      </c>
    </row>
    <row r="246" spans="1:1" ht="12.75" customHeight="1" x14ac:dyDescent="0.2">
      <c r="A246" t="s">
        <v>2590</v>
      </c>
    </row>
    <row r="247" spans="1:1" ht="12.75" customHeight="1" x14ac:dyDescent="0.2">
      <c r="A247" t="s">
        <v>3753</v>
      </c>
    </row>
    <row r="248" spans="1:1" ht="12.75" customHeight="1" x14ac:dyDescent="0.2">
      <c r="A248" s="424" t="s">
        <v>2818</v>
      </c>
    </row>
    <row r="249" spans="1:1" ht="12.75" customHeight="1" x14ac:dyDescent="0.2">
      <c r="A249" s="424" t="s">
        <v>4055</v>
      </c>
    </row>
    <row r="250" spans="1:1" ht="12.75" customHeight="1" x14ac:dyDescent="0.2">
      <c r="A250" t="s">
        <v>5020</v>
      </c>
    </row>
    <row r="251" spans="1:1" ht="12.75" customHeight="1" x14ac:dyDescent="0.2">
      <c r="A251" t="s">
        <v>5227</v>
      </c>
    </row>
    <row r="252" spans="1:1" ht="12.75" customHeight="1" x14ac:dyDescent="0.2">
      <c r="A252" s="424" t="s">
        <v>3273</v>
      </c>
    </row>
    <row r="253" spans="1:1" ht="12.75" customHeight="1" x14ac:dyDescent="0.2">
      <c r="A253" s="424" t="s">
        <v>4056</v>
      </c>
    </row>
    <row r="254" spans="1:1" ht="12.75" customHeight="1" x14ac:dyDescent="0.2">
      <c r="A254" s="424" t="s">
        <v>4304</v>
      </c>
    </row>
    <row r="255" spans="1:1" ht="12.75" customHeight="1" x14ac:dyDescent="0.2">
      <c r="A255" s="424" t="s">
        <v>4651</v>
      </c>
    </row>
    <row r="256" spans="1:1" ht="12.75" customHeight="1" x14ac:dyDescent="0.2">
      <c r="A256" t="s">
        <v>4520</v>
      </c>
    </row>
    <row r="257" spans="1:1" ht="12.75" customHeight="1" x14ac:dyDescent="0.2">
      <c r="A257" t="s">
        <v>3964</v>
      </c>
    </row>
    <row r="258" spans="1:1" ht="12.75" customHeight="1" x14ac:dyDescent="0.2">
      <c r="A258" s="424" t="s">
        <v>1895</v>
      </c>
    </row>
    <row r="259" spans="1:1" ht="12.75" customHeight="1" x14ac:dyDescent="0.2">
      <c r="A259" s="424" t="s">
        <v>3166</v>
      </c>
    </row>
    <row r="260" spans="1:1" ht="12.75" customHeight="1" x14ac:dyDescent="0.2">
      <c r="A260" t="s">
        <v>4630</v>
      </c>
    </row>
    <row r="261" spans="1:1" ht="12.75" customHeight="1" x14ac:dyDescent="0.2">
      <c r="A261" t="s">
        <v>3838</v>
      </c>
    </row>
    <row r="262" spans="1:1" ht="12.75" customHeight="1" x14ac:dyDescent="0.2">
      <c r="A262" s="424" t="s">
        <v>5690</v>
      </c>
    </row>
    <row r="263" spans="1:1" ht="12.75" customHeight="1" x14ac:dyDescent="0.2">
      <c r="A263" s="424" t="s">
        <v>5165</v>
      </c>
    </row>
    <row r="264" spans="1:1" ht="12.75" customHeight="1" x14ac:dyDescent="0.2">
      <c r="A264" s="424" t="s">
        <v>1572</v>
      </c>
    </row>
    <row r="265" spans="1:1" ht="12.75" customHeight="1" x14ac:dyDescent="0.2">
      <c r="A265" s="424" t="s">
        <v>3497</v>
      </c>
    </row>
    <row r="266" spans="1:1" ht="12.75" customHeight="1" x14ac:dyDescent="0.2">
      <c r="A266" s="424" t="s">
        <v>7</v>
      </c>
    </row>
    <row r="267" spans="1:1" ht="12.75" customHeight="1" x14ac:dyDescent="0.2">
      <c r="A267" t="s">
        <v>4655</v>
      </c>
    </row>
    <row r="268" spans="1:1" ht="12.75" customHeight="1" x14ac:dyDescent="0.2">
      <c r="A268" t="s">
        <v>2378</v>
      </c>
    </row>
    <row r="269" spans="1:1" ht="12.75" customHeight="1" x14ac:dyDescent="0.2">
      <c r="A269" s="424" t="s">
        <v>2349</v>
      </c>
    </row>
    <row r="270" spans="1:1" ht="12.75" customHeight="1" x14ac:dyDescent="0.2">
      <c r="A270" s="424" t="s">
        <v>1849</v>
      </c>
    </row>
    <row r="271" spans="1:1" ht="12.75" customHeight="1" x14ac:dyDescent="0.2">
      <c r="A271" t="s">
        <v>5184</v>
      </c>
    </row>
    <row r="272" spans="1:1" ht="12.75" customHeight="1" x14ac:dyDescent="0.2">
      <c r="A272" t="s">
        <v>2082</v>
      </c>
    </row>
    <row r="273" spans="1:1" ht="12.75" customHeight="1" x14ac:dyDescent="0.2">
      <c r="A273" s="424" t="s">
        <v>1351</v>
      </c>
    </row>
    <row r="274" spans="1:1" ht="12.75" customHeight="1" x14ac:dyDescent="0.2">
      <c r="A274" s="424" t="s">
        <v>4102</v>
      </c>
    </row>
    <row r="275" spans="1:1" ht="12.75" customHeight="1" x14ac:dyDescent="0.2">
      <c r="A275" s="424" t="s">
        <v>4612</v>
      </c>
    </row>
    <row r="276" spans="1:1" ht="12.75" customHeight="1" x14ac:dyDescent="0.2">
      <c r="A276" s="424" t="s">
        <v>3342</v>
      </c>
    </row>
    <row r="277" spans="1:1" ht="12.75" customHeight="1" x14ac:dyDescent="0.2">
      <c r="A277" t="s">
        <v>4250</v>
      </c>
    </row>
    <row r="278" spans="1:1" ht="12.75" customHeight="1" x14ac:dyDescent="0.2">
      <c r="A278" t="s">
        <v>112</v>
      </c>
    </row>
    <row r="279" spans="1:1" ht="12.75" customHeight="1" x14ac:dyDescent="0.2">
      <c r="A279" s="424" t="s">
        <v>4786</v>
      </c>
    </row>
    <row r="280" spans="1:1" ht="12.75" customHeight="1" x14ac:dyDescent="0.2">
      <c r="A280" s="424" t="s">
        <v>3333</v>
      </c>
    </row>
    <row r="281" spans="1:1" ht="12.75" customHeight="1" x14ac:dyDescent="0.2">
      <c r="A281" t="s">
        <v>5702</v>
      </c>
    </row>
    <row r="282" spans="1:1" ht="12.75" customHeight="1" x14ac:dyDescent="0.2">
      <c r="A282" t="s">
        <v>2545</v>
      </c>
    </row>
    <row r="283" spans="1:1" ht="12.75" customHeight="1" x14ac:dyDescent="0.2">
      <c r="A283" s="424" t="s">
        <v>5874</v>
      </c>
    </row>
    <row r="284" spans="1:1" ht="12.75" customHeight="1" x14ac:dyDescent="0.2">
      <c r="A284" s="424" t="s">
        <v>3966</v>
      </c>
    </row>
    <row r="285" spans="1:1" ht="12.75" customHeight="1" x14ac:dyDescent="0.2">
      <c r="A285" s="424" t="s">
        <v>1309</v>
      </c>
    </row>
    <row r="286" spans="1:1" ht="12.75" customHeight="1" x14ac:dyDescent="0.2">
      <c r="A286" s="424" t="s">
        <v>2002</v>
      </c>
    </row>
    <row r="287" spans="1:1" ht="12.75" customHeight="1" x14ac:dyDescent="0.2">
      <c r="A287" t="s">
        <v>1671</v>
      </c>
    </row>
    <row r="288" spans="1:1" ht="12.75" customHeight="1" x14ac:dyDescent="0.2">
      <c r="A288" t="s">
        <v>1746</v>
      </c>
    </row>
    <row r="289" spans="1:1" ht="12.75" customHeight="1" x14ac:dyDescent="0.2">
      <c r="A289" s="424" t="s">
        <v>1937</v>
      </c>
    </row>
    <row r="290" spans="1:1" ht="12.75" customHeight="1" x14ac:dyDescent="0.2">
      <c r="A290" s="424" t="s">
        <v>920</v>
      </c>
    </row>
    <row r="291" spans="1:1" ht="12.75" customHeight="1" x14ac:dyDescent="0.2">
      <c r="A291" t="s">
        <v>1412</v>
      </c>
    </row>
    <row r="292" spans="1:1" ht="12.75" customHeight="1" x14ac:dyDescent="0.2">
      <c r="A292" t="s">
        <v>1586</v>
      </c>
    </row>
    <row r="293" spans="1:1" ht="12.75" customHeight="1" x14ac:dyDescent="0.2">
      <c r="A293" s="424" t="s">
        <v>5611</v>
      </c>
    </row>
    <row r="294" spans="1:1" ht="12.75" customHeight="1" x14ac:dyDescent="0.2">
      <c r="A294" s="424" t="s">
        <v>5798</v>
      </c>
    </row>
    <row r="295" spans="1:1" ht="12.75" customHeight="1" x14ac:dyDescent="0.2">
      <c r="A295" s="424" t="s">
        <v>608</v>
      </c>
    </row>
    <row r="296" spans="1:1" ht="12.75" customHeight="1" x14ac:dyDescent="0.2">
      <c r="A296" s="424" t="s">
        <v>5655</v>
      </c>
    </row>
    <row r="297" spans="1:1" ht="12.75" customHeight="1" x14ac:dyDescent="0.2">
      <c r="A297" t="s">
        <v>2337</v>
      </c>
    </row>
    <row r="298" spans="1:1" ht="12.75" customHeight="1" x14ac:dyDescent="0.2">
      <c r="A298" t="s">
        <v>3726</v>
      </c>
    </row>
    <row r="299" spans="1:1" ht="12.75" customHeight="1" x14ac:dyDescent="0.2">
      <c r="A299" s="424" t="s">
        <v>2474</v>
      </c>
    </row>
    <row r="300" spans="1:1" ht="12.75" customHeight="1" x14ac:dyDescent="0.2">
      <c r="A300" s="424" t="s">
        <v>1490</v>
      </c>
    </row>
    <row r="301" spans="1:1" ht="12.75" customHeight="1" x14ac:dyDescent="0.2">
      <c r="A301" t="s">
        <v>5652</v>
      </c>
    </row>
    <row r="302" spans="1:1" ht="12.75" customHeight="1" x14ac:dyDescent="0.2">
      <c r="A302" t="s">
        <v>4284</v>
      </c>
    </row>
    <row r="303" spans="1:1" ht="12.75" customHeight="1" x14ac:dyDescent="0.2">
      <c r="A303" s="424" t="s">
        <v>1252</v>
      </c>
    </row>
    <row r="304" spans="1:1" ht="12.75" customHeight="1" x14ac:dyDescent="0.2">
      <c r="A304" s="424" t="s">
        <v>4936</v>
      </c>
    </row>
    <row r="305" spans="1:1" ht="12.75" customHeight="1" x14ac:dyDescent="0.2">
      <c r="A305" s="424" t="s">
        <v>3746</v>
      </c>
    </row>
    <row r="306" spans="1:1" ht="12.75" customHeight="1" x14ac:dyDescent="0.2">
      <c r="A306" s="424" t="s">
        <v>623</v>
      </c>
    </row>
    <row r="307" spans="1:1" ht="12.75" customHeight="1" x14ac:dyDescent="0.2">
      <c r="A307" s="424" t="s">
        <v>4806</v>
      </c>
    </row>
    <row r="308" spans="1:1" ht="12.75" customHeight="1" x14ac:dyDescent="0.2">
      <c r="A308" t="s">
        <v>5076</v>
      </c>
    </row>
    <row r="309" spans="1:1" ht="12.75" customHeight="1" x14ac:dyDescent="0.2">
      <c r="A309" t="s">
        <v>571</v>
      </c>
    </row>
    <row r="310" spans="1:1" ht="12.75" customHeight="1" x14ac:dyDescent="0.2">
      <c r="A310" t="s">
        <v>2952</v>
      </c>
    </row>
    <row r="311" spans="1:1" ht="12.75" customHeight="1" x14ac:dyDescent="0.2">
      <c r="A311" t="s">
        <v>5423</v>
      </c>
    </row>
    <row r="312" spans="1:1" ht="12.75" customHeight="1" x14ac:dyDescent="0.2">
      <c r="A312" t="s">
        <v>2168</v>
      </c>
    </row>
    <row r="313" spans="1:1" ht="12.75" customHeight="1" x14ac:dyDescent="0.2">
      <c r="A313" t="s">
        <v>4302</v>
      </c>
    </row>
    <row r="314" spans="1:1" ht="12.75" customHeight="1" x14ac:dyDescent="0.2">
      <c r="A314" t="s">
        <v>1794</v>
      </c>
    </row>
    <row r="315" spans="1:1" ht="12.75" customHeight="1" x14ac:dyDescent="0.2">
      <c r="A315" t="s">
        <v>2631</v>
      </c>
    </row>
    <row r="316" spans="1:1" ht="12.75" customHeight="1" x14ac:dyDescent="0.2">
      <c r="A316" t="s">
        <v>4603</v>
      </c>
    </row>
    <row r="317" spans="1:1" ht="12.75" customHeight="1" x14ac:dyDescent="0.2">
      <c r="A317" s="424" t="s">
        <v>5660</v>
      </c>
    </row>
    <row r="318" spans="1:1" ht="12.75" customHeight="1" x14ac:dyDescent="0.2">
      <c r="A318" s="424" t="s">
        <v>2508</v>
      </c>
    </row>
    <row r="319" spans="1:1" ht="12.75" customHeight="1" x14ac:dyDescent="0.2">
      <c r="A319" s="424" t="s">
        <v>2237</v>
      </c>
    </row>
    <row r="320" spans="1:1" ht="12.75" customHeight="1" x14ac:dyDescent="0.2">
      <c r="A320" s="424" t="s">
        <v>1910</v>
      </c>
    </row>
    <row r="321" spans="1:1" ht="12.75" customHeight="1" x14ac:dyDescent="0.2">
      <c r="A321" s="424" t="s">
        <v>3301</v>
      </c>
    </row>
    <row r="322" spans="1:1" ht="12.75" customHeight="1" x14ac:dyDescent="0.2">
      <c r="A322" s="424" t="s">
        <v>4025</v>
      </c>
    </row>
    <row r="323" spans="1:1" ht="12.75" customHeight="1" x14ac:dyDescent="0.2">
      <c r="A323" s="424" t="s">
        <v>101</v>
      </c>
    </row>
    <row r="324" spans="1:1" ht="12.75" customHeight="1" x14ac:dyDescent="0.2">
      <c r="A324" s="424" t="s">
        <v>385</v>
      </c>
    </row>
    <row r="325" spans="1:1" ht="12.75" customHeight="1" x14ac:dyDescent="0.2">
      <c r="A325" s="424" t="s">
        <v>1508</v>
      </c>
    </row>
    <row r="326" spans="1:1" ht="12.75" customHeight="1" x14ac:dyDescent="0.2">
      <c r="A326" s="424" t="s">
        <v>4023</v>
      </c>
    </row>
    <row r="327" spans="1:1" ht="12.75" customHeight="1" x14ac:dyDescent="0.2">
      <c r="A327" s="424" t="s">
        <v>547</v>
      </c>
    </row>
    <row r="328" spans="1:1" ht="12.75" customHeight="1" x14ac:dyDescent="0.2">
      <c r="A328" s="424" t="s">
        <v>3021</v>
      </c>
    </row>
    <row r="329" spans="1:1" ht="12.75" customHeight="1" x14ac:dyDescent="0.2">
      <c r="A329" s="424" t="s">
        <v>3916</v>
      </c>
    </row>
    <row r="330" spans="1:1" ht="12.75" customHeight="1" x14ac:dyDescent="0.2">
      <c r="A330" s="424" t="s">
        <v>3277</v>
      </c>
    </row>
    <row r="331" spans="1:1" ht="12.75" customHeight="1" x14ac:dyDescent="0.2">
      <c r="A331" s="424" t="s">
        <v>5130</v>
      </c>
    </row>
    <row r="332" spans="1:1" ht="12.75" customHeight="1" x14ac:dyDescent="0.2">
      <c r="A332" s="424" t="s">
        <v>263</v>
      </c>
    </row>
    <row r="333" spans="1:1" ht="12.75" customHeight="1" x14ac:dyDescent="0.2">
      <c r="A333" s="424" t="s">
        <v>1765</v>
      </c>
    </row>
    <row r="334" spans="1:1" ht="12.75" customHeight="1" x14ac:dyDescent="0.2">
      <c r="A334" s="424" t="s">
        <v>3642</v>
      </c>
    </row>
    <row r="335" spans="1:1" ht="12.75" customHeight="1" x14ac:dyDescent="0.2">
      <c r="A335" s="424" t="s">
        <v>1912</v>
      </c>
    </row>
    <row r="336" spans="1:1" ht="12.75" customHeight="1" x14ac:dyDescent="0.2">
      <c r="A336" s="424" t="s">
        <v>2655</v>
      </c>
    </row>
    <row r="337" spans="1:1" ht="12.75" customHeight="1" x14ac:dyDescent="0.2">
      <c r="A337" s="424" t="s">
        <v>2173</v>
      </c>
    </row>
    <row r="338" spans="1:1" ht="12.75" customHeight="1" x14ac:dyDescent="0.2">
      <c r="A338" s="424" t="s">
        <v>4350</v>
      </c>
    </row>
    <row r="339" spans="1:1" ht="12.75" customHeight="1" x14ac:dyDescent="0.2">
      <c r="A339" s="424" t="s">
        <v>1863</v>
      </c>
    </row>
    <row r="340" spans="1:1" ht="12.75" customHeight="1" x14ac:dyDescent="0.2">
      <c r="A340" s="424" t="s">
        <v>1616</v>
      </c>
    </row>
    <row r="341" spans="1:1" ht="12.75" customHeight="1" x14ac:dyDescent="0.2">
      <c r="A341" s="424" t="s">
        <v>3316</v>
      </c>
    </row>
    <row r="342" spans="1:1" ht="12.75" customHeight="1" x14ac:dyDescent="0.2">
      <c r="A342" t="s">
        <v>3246</v>
      </c>
    </row>
    <row r="343" spans="1:1" ht="12.75" customHeight="1" x14ac:dyDescent="0.2">
      <c r="A343" t="s">
        <v>5032</v>
      </c>
    </row>
    <row r="344" spans="1:1" ht="12.75" customHeight="1" x14ac:dyDescent="0.2">
      <c r="A344" t="s">
        <v>248</v>
      </c>
    </row>
    <row r="345" spans="1:1" ht="12.75" customHeight="1" x14ac:dyDescent="0.2">
      <c r="A345" t="s">
        <v>934</v>
      </c>
    </row>
    <row r="346" spans="1:1" ht="12.75" customHeight="1" x14ac:dyDescent="0.2">
      <c r="A346" t="s">
        <v>5077</v>
      </c>
    </row>
    <row r="347" spans="1:1" ht="12.75" customHeight="1" x14ac:dyDescent="0.2">
      <c r="A347" t="s">
        <v>5501</v>
      </c>
    </row>
    <row r="348" spans="1:1" ht="12.75" customHeight="1" x14ac:dyDescent="0.2">
      <c r="A348" t="s">
        <v>3538</v>
      </c>
    </row>
    <row r="349" spans="1:1" ht="12.75" customHeight="1" x14ac:dyDescent="0.2">
      <c r="A349" t="s">
        <v>2403</v>
      </c>
    </row>
    <row r="350" spans="1:1" ht="12.75" customHeight="1" x14ac:dyDescent="0.2">
      <c r="A350" t="s">
        <v>1591</v>
      </c>
    </row>
    <row r="351" spans="1:1" ht="12.75" customHeight="1" x14ac:dyDescent="0.2">
      <c r="A351" s="424" t="s">
        <v>885</v>
      </c>
    </row>
    <row r="352" spans="1:1" ht="12.75" customHeight="1" x14ac:dyDescent="0.2">
      <c r="A352" s="424" t="s">
        <v>3623</v>
      </c>
    </row>
    <row r="353" spans="1:1" ht="12.75" customHeight="1" x14ac:dyDescent="0.2">
      <c r="A353" s="424" t="s">
        <v>5506</v>
      </c>
    </row>
    <row r="354" spans="1:1" ht="12.75" customHeight="1" x14ac:dyDescent="0.2">
      <c r="A354" s="424" t="s">
        <v>5664</v>
      </c>
    </row>
    <row r="355" spans="1:1" ht="12.75" customHeight="1" x14ac:dyDescent="0.2">
      <c r="A355" s="424" t="s">
        <v>1352</v>
      </c>
    </row>
    <row r="356" spans="1:1" ht="12.75" customHeight="1" x14ac:dyDescent="0.2">
      <c r="A356" s="424" t="s">
        <v>1730</v>
      </c>
    </row>
    <row r="357" spans="1:1" ht="12.75" customHeight="1" x14ac:dyDescent="0.2">
      <c r="A357" s="424" t="s">
        <v>3594</v>
      </c>
    </row>
    <row r="358" spans="1:1" ht="12.75" customHeight="1" x14ac:dyDescent="0.2">
      <c r="A358" s="424" t="s">
        <v>5824</v>
      </c>
    </row>
    <row r="359" spans="1:1" ht="12.75" customHeight="1" x14ac:dyDescent="0.2">
      <c r="A359" s="424" t="s">
        <v>4032</v>
      </c>
    </row>
    <row r="360" spans="1:1" ht="12.75" customHeight="1" x14ac:dyDescent="0.2">
      <c r="A360" s="424" t="s">
        <v>2162</v>
      </c>
    </row>
    <row r="361" spans="1:1" ht="12.75" customHeight="1" x14ac:dyDescent="0.2">
      <c r="A361" s="424" t="s">
        <v>536</v>
      </c>
    </row>
    <row r="362" spans="1:1" ht="12.75" customHeight="1" x14ac:dyDescent="0.2">
      <c r="A362" s="424" t="s">
        <v>32</v>
      </c>
    </row>
    <row r="363" spans="1:1" ht="12.75" customHeight="1" x14ac:dyDescent="0.2">
      <c r="A363" s="424" t="s">
        <v>2538</v>
      </c>
    </row>
    <row r="364" spans="1:1" ht="12.75" customHeight="1" x14ac:dyDescent="0.2">
      <c r="A364" t="s">
        <v>2700</v>
      </c>
    </row>
    <row r="365" spans="1:1" ht="12.75" customHeight="1" x14ac:dyDescent="0.2">
      <c r="A365" t="s">
        <v>5783</v>
      </c>
    </row>
    <row r="366" spans="1:1" ht="12.75" customHeight="1" x14ac:dyDescent="0.2">
      <c r="A366" t="s">
        <v>803</v>
      </c>
    </row>
    <row r="367" spans="1:1" ht="12.75" customHeight="1" x14ac:dyDescent="0.2">
      <c r="A367" t="s">
        <v>1936</v>
      </c>
    </row>
    <row r="368" spans="1:1" ht="12.75" customHeight="1" x14ac:dyDescent="0.2">
      <c r="A368" t="s">
        <v>5719</v>
      </c>
    </row>
    <row r="369" spans="1:1" ht="12.75" customHeight="1" x14ac:dyDescent="0.2">
      <c r="A369" t="s">
        <v>4490</v>
      </c>
    </row>
    <row r="370" spans="1:1" ht="12.75" customHeight="1" x14ac:dyDescent="0.2">
      <c r="A370" t="s">
        <v>1638</v>
      </c>
    </row>
    <row r="371" spans="1:1" ht="12.75" customHeight="1" x14ac:dyDescent="0.2">
      <c r="A371" t="s">
        <v>4196</v>
      </c>
    </row>
    <row r="372" spans="1:1" ht="12.75" customHeight="1" x14ac:dyDescent="0.2">
      <c r="A372" t="s">
        <v>2475</v>
      </c>
    </row>
    <row r="373" spans="1:1" ht="12.75" customHeight="1" x14ac:dyDescent="0.2">
      <c r="A373" t="s">
        <v>2698</v>
      </c>
    </row>
    <row r="374" spans="1:1" ht="12.75" customHeight="1" x14ac:dyDescent="0.2">
      <c r="A374" t="s">
        <v>3119</v>
      </c>
    </row>
    <row r="375" spans="1:1" ht="12.75" customHeight="1" x14ac:dyDescent="0.2">
      <c r="A375" t="s">
        <v>4648</v>
      </c>
    </row>
    <row r="376" spans="1:1" ht="12.75" customHeight="1" x14ac:dyDescent="0.2">
      <c r="A376" t="s">
        <v>666</v>
      </c>
    </row>
    <row r="377" spans="1:1" ht="12.75" customHeight="1" x14ac:dyDescent="0.2">
      <c r="A377" t="s">
        <v>837</v>
      </c>
    </row>
    <row r="378" spans="1:1" ht="12.75" customHeight="1" x14ac:dyDescent="0.2">
      <c r="A378" t="s">
        <v>909</v>
      </c>
    </row>
    <row r="379" spans="1:1" ht="12.75" customHeight="1" x14ac:dyDescent="0.2">
      <c r="A379" t="s">
        <v>190</v>
      </c>
    </row>
    <row r="380" spans="1:1" ht="12.75" customHeight="1" x14ac:dyDescent="0.2">
      <c r="A380" t="s">
        <v>1773</v>
      </c>
    </row>
    <row r="381" spans="1:1" ht="12.75" customHeight="1" x14ac:dyDescent="0.2">
      <c r="A381" t="s">
        <v>5746</v>
      </c>
    </row>
    <row r="382" spans="1:1" ht="12.75" customHeight="1" x14ac:dyDescent="0.2">
      <c r="A382" t="s">
        <v>2444</v>
      </c>
    </row>
    <row r="383" spans="1:1" ht="12.75" customHeight="1" x14ac:dyDescent="0.2">
      <c r="A383" t="s">
        <v>4173</v>
      </c>
    </row>
    <row r="384" spans="1:1" ht="12.75" customHeight="1" x14ac:dyDescent="0.2">
      <c r="A384" t="s">
        <v>4997</v>
      </c>
    </row>
    <row r="385" spans="1:1" ht="12.75" customHeight="1" x14ac:dyDescent="0.2">
      <c r="A385" s="424" t="s">
        <v>2487</v>
      </c>
    </row>
    <row r="386" spans="1:1" ht="12.75" customHeight="1" x14ac:dyDescent="0.2">
      <c r="A386" s="424" t="s">
        <v>3449</v>
      </c>
    </row>
    <row r="387" spans="1:1" ht="12.75" customHeight="1" x14ac:dyDescent="0.2">
      <c r="A387" s="424" t="s">
        <v>1987</v>
      </c>
    </row>
    <row r="388" spans="1:1" ht="12.75" customHeight="1" x14ac:dyDescent="0.2">
      <c r="A388" s="424" t="s">
        <v>4559</v>
      </c>
    </row>
    <row r="389" spans="1:1" ht="12.75" customHeight="1" x14ac:dyDescent="0.2">
      <c r="A389" s="424" t="s">
        <v>2775</v>
      </c>
    </row>
    <row r="390" spans="1:1" ht="12.75" customHeight="1" x14ac:dyDescent="0.2">
      <c r="A390" s="424" t="s">
        <v>1348</v>
      </c>
    </row>
    <row r="391" spans="1:1" ht="12.75" customHeight="1" x14ac:dyDescent="0.2">
      <c r="A391" s="424" t="s">
        <v>4008</v>
      </c>
    </row>
    <row r="392" spans="1:1" ht="12.75" customHeight="1" x14ac:dyDescent="0.2">
      <c r="A392" s="424" t="s">
        <v>1124</v>
      </c>
    </row>
    <row r="393" spans="1:1" ht="12.75" customHeight="1" x14ac:dyDescent="0.2">
      <c r="A393" s="424" t="s">
        <v>2248</v>
      </c>
    </row>
    <row r="394" spans="1:1" ht="12.75" customHeight="1" x14ac:dyDescent="0.2">
      <c r="A394" s="424" t="s">
        <v>3842</v>
      </c>
    </row>
    <row r="395" spans="1:1" ht="12.75" customHeight="1" x14ac:dyDescent="0.2">
      <c r="A395" s="424" t="s">
        <v>4138</v>
      </c>
    </row>
    <row r="396" spans="1:1" ht="12.75" customHeight="1" x14ac:dyDescent="0.2">
      <c r="A396" s="424" t="s">
        <v>461</v>
      </c>
    </row>
    <row r="397" spans="1:1" ht="12.75" customHeight="1" x14ac:dyDescent="0.2">
      <c r="A397" s="424" t="s">
        <v>1119</v>
      </c>
    </row>
    <row r="398" spans="1:1" ht="12.75" customHeight="1" x14ac:dyDescent="0.2">
      <c r="A398" s="424" t="s">
        <v>2851</v>
      </c>
    </row>
    <row r="399" spans="1:1" ht="12.75" customHeight="1" x14ac:dyDescent="0.2">
      <c r="A399" s="424" t="s">
        <v>4216</v>
      </c>
    </row>
    <row r="400" spans="1:1" ht="12.75" customHeight="1" x14ac:dyDescent="0.2">
      <c r="A400" s="424" t="s">
        <v>1795</v>
      </c>
    </row>
    <row r="401" spans="1:1" ht="12.75" customHeight="1" x14ac:dyDescent="0.2">
      <c r="A401" s="424" t="s">
        <v>2262</v>
      </c>
    </row>
    <row r="402" spans="1:1" ht="12.75" customHeight="1" x14ac:dyDescent="0.2">
      <c r="A402" s="424" t="s">
        <v>720</v>
      </c>
    </row>
    <row r="403" spans="1:1" ht="12.75" customHeight="1" x14ac:dyDescent="0.2">
      <c r="A403" s="424" t="s">
        <v>2086</v>
      </c>
    </row>
    <row r="404" spans="1:1" ht="12.75" customHeight="1" x14ac:dyDescent="0.2">
      <c r="A404" s="424" t="s">
        <v>2930</v>
      </c>
    </row>
    <row r="405" spans="1:1" ht="12.75" customHeight="1" x14ac:dyDescent="0.2">
      <c r="A405" s="424" t="s">
        <v>2260</v>
      </c>
    </row>
    <row r="406" spans="1:1" ht="12.75" customHeight="1" x14ac:dyDescent="0.2">
      <c r="A406" s="424" t="s">
        <v>3809</v>
      </c>
    </row>
    <row r="407" spans="1:1" ht="12.75" customHeight="1" x14ac:dyDescent="0.2">
      <c r="A407" s="424" t="s">
        <v>4379</v>
      </c>
    </row>
    <row r="408" spans="1:1" ht="12.75" customHeight="1" x14ac:dyDescent="0.2">
      <c r="A408" s="424" t="s">
        <v>1299</v>
      </c>
    </row>
    <row r="409" spans="1:1" ht="12.75" customHeight="1" x14ac:dyDescent="0.2">
      <c r="A409" s="424" t="s">
        <v>1640</v>
      </c>
    </row>
    <row r="410" spans="1:1" ht="12.75" customHeight="1" x14ac:dyDescent="0.2">
      <c r="A410" s="424" t="s">
        <v>227</v>
      </c>
    </row>
    <row r="411" spans="1:1" ht="12.75" customHeight="1" x14ac:dyDescent="0.2">
      <c r="A411" s="424" t="s">
        <v>2890</v>
      </c>
    </row>
    <row r="412" spans="1:1" ht="12.75" customHeight="1" x14ac:dyDescent="0.2">
      <c r="A412" s="424" t="s">
        <v>4597</v>
      </c>
    </row>
    <row r="413" spans="1:1" ht="12.75" customHeight="1" x14ac:dyDescent="0.2">
      <c r="A413" s="424" t="s">
        <v>5865</v>
      </c>
    </row>
    <row r="414" spans="1:1" ht="12.75" customHeight="1" x14ac:dyDescent="0.2">
      <c r="A414" s="424" t="s">
        <v>1256</v>
      </c>
    </row>
    <row r="415" spans="1:1" ht="12.75" customHeight="1" x14ac:dyDescent="0.2">
      <c r="A415" s="424" t="s">
        <v>640</v>
      </c>
    </row>
    <row r="416" spans="1:1" ht="12.75" customHeight="1" x14ac:dyDescent="0.2">
      <c r="A416" s="424" t="s">
        <v>2906</v>
      </c>
    </row>
    <row r="417" spans="1:1" ht="12.75" customHeight="1" x14ac:dyDescent="0.2">
      <c r="A417" s="424" t="s">
        <v>5869</v>
      </c>
    </row>
    <row r="418" spans="1:1" ht="12.75" customHeight="1" x14ac:dyDescent="0.2">
      <c r="A418" s="424" t="s">
        <v>1376</v>
      </c>
    </row>
    <row r="419" spans="1:1" ht="12.75" customHeight="1" x14ac:dyDescent="0.2">
      <c r="A419" s="424" t="s">
        <v>120</v>
      </c>
    </row>
    <row r="420" spans="1:1" ht="12.75" customHeight="1" x14ac:dyDescent="0.2">
      <c r="A420" s="424" t="s">
        <v>4667</v>
      </c>
    </row>
    <row r="421" spans="1:1" ht="12.75" customHeight="1" x14ac:dyDescent="0.2">
      <c r="A421" s="424" t="s">
        <v>4363</v>
      </c>
    </row>
    <row r="422" spans="1:1" ht="12.75" customHeight="1" x14ac:dyDescent="0.2">
      <c r="A422" s="424" t="s">
        <v>854</v>
      </c>
    </row>
    <row r="423" spans="1:1" ht="12.75" customHeight="1" x14ac:dyDescent="0.2">
      <c r="A423" s="424" t="s">
        <v>268</v>
      </c>
    </row>
    <row r="424" spans="1:1" ht="12.75" customHeight="1" x14ac:dyDescent="0.2">
      <c r="A424" s="424" t="s">
        <v>4935</v>
      </c>
    </row>
    <row r="425" spans="1:1" ht="12.75" customHeight="1" x14ac:dyDescent="0.2">
      <c r="A425" s="424" t="s">
        <v>5721</v>
      </c>
    </row>
    <row r="426" spans="1:1" ht="12.75" customHeight="1" x14ac:dyDescent="0.2">
      <c r="A426" s="424" t="s">
        <v>2670</v>
      </c>
    </row>
    <row r="427" spans="1:1" ht="12.75" customHeight="1" x14ac:dyDescent="0.2">
      <c r="A427" s="424" t="s">
        <v>4130</v>
      </c>
    </row>
    <row r="428" spans="1:1" ht="12.75" customHeight="1" x14ac:dyDescent="0.2">
      <c r="A428" s="424" t="s">
        <v>3466</v>
      </c>
    </row>
    <row r="429" spans="1:1" ht="12.75" customHeight="1" x14ac:dyDescent="0.2">
      <c r="A429" s="424" t="s">
        <v>4698</v>
      </c>
    </row>
    <row r="430" spans="1:1" ht="12.75" customHeight="1" x14ac:dyDescent="0.2">
      <c r="A430" s="424" t="s">
        <v>1046</v>
      </c>
    </row>
    <row r="431" spans="1:1" ht="12.75" customHeight="1" x14ac:dyDescent="0.2">
      <c r="A431" s="424" t="s">
        <v>2891</v>
      </c>
    </row>
    <row r="432" spans="1:1" ht="12.75" customHeight="1" x14ac:dyDescent="0.2">
      <c r="A432" s="424" t="s">
        <v>1607</v>
      </c>
    </row>
    <row r="433" spans="1:1" ht="12.75" customHeight="1" x14ac:dyDescent="0.2">
      <c r="A433" s="424" t="s">
        <v>5580</v>
      </c>
    </row>
    <row r="434" spans="1:1" ht="12.75" customHeight="1" x14ac:dyDescent="0.2">
      <c r="A434" s="424" t="s">
        <v>1748</v>
      </c>
    </row>
    <row r="435" spans="1:1" ht="12.75" customHeight="1" x14ac:dyDescent="0.2">
      <c r="A435" s="424" t="s">
        <v>2786</v>
      </c>
    </row>
    <row r="436" spans="1:1" ht="12.75" customHeight="1" x14ac:dyDescent="0.2">
      <c r="A436" s="424" t="s">
        <v>2099</v>
      </c>
    </row>
    <row r="437" spans="1:1" ht="12.75" customHeight="1" x14ac:dyDescent="0.2">
      <c r="A437" s="424" t="s">
        <v>1223</v>
      </c>
    </row>
    <row r="438" spans="1:1" ht="12.75" customHeight="1" x14ac:dyDescent="0.2">
      <c r="A438" s="424" t="s">
        <v>136</v>
      </c>
    </row>
    <row r="439" spans="1:1" ht="12.75" customHeight="1" x14ac:dyDescent="0.2">
      <c r="A439" s="424" t="s">
        <v>4774</v>
      </c>
    </row>
    <row r="440" spans="1:1" ht="12.75" customHeight="1" x14ac:dyDescent="0.2">
      <c r="A440" s="424" t="s">
        <v>1734</v>
      </c>
    </row>
    <row r="441" spans="1:1" ht="12.75" customHeight="1" x14ac:dyDescent="0.2">
      <c r="A441" s="424" t="s">
        <v>584</v>
      </c>
    </row>
    <row r="442" spans="1:1" ht="12.75" customHeight="1" x14ac:dyDescent="0.2">
      <c r="A442" s="424" t="s">
        <v>3785</v>
      </c>
    </row>
    <row r="443" spans="1:1" ht="12.75" customHeight="1" x14ac:dyDescent="0.2">
      <c r="A443" s="424" t="s">
        <v>4193</v>
      </c>
    </row>
    <row r="444" spans="1:1" ht="12.75" customHeight="1" x14ac:dyDescent="0.2">
      <c r="A444" s="424" t="s">
        <v>4903</v>
      </c>
    </row>
    <row r="445" spans="1:1" ht="12.75" customHeight="1" x14ac:dyDescent="0.2">
      <c r="A445" s="424" t="s">
        <v>872</v>
      </c>
    </row>
    <row r="446" spans="1:1" ht="12.75" customHeight="1" x14ac:dyDescent="0.2">
      <c r="A446" s="424" t="s">
        <v>5260</v>
      </c>
    </row>
    <row r="447" spans="1:1" ht="12.75" customHeight="1" x14ac:dyDescent="0.2">
      <c r="A447" s="424" t="s">
        <v>4396</v>
      </c>
    </row>
    <row r="448" spans="1:1" ht="12.75" customHeight="1" x14ac:dyDescent="0.2">
      <c r="A448" s="424" t="s">
        <v>4272</v>
      </c>
    </row>
    <row r="449" spans="1:1" ht="12.75" customHeight="1" x14ac:dyDescent="0.2">
      <c r="A449" s="424" t="s">
        <v>144</v>
      </c>
    </row>
    <row r="450" spans="1:1" ht="12.75" customHeight="1" x14ac:dyDescent="0.2">
      <c r="A450" s="424" t="s">
        <v>3460</v>
      </c>
    </row>
    <row r="451" spans="1:1" ht="12.75" customHeight="1" x14ac:dyDescent="0.2">
      <c r="A451" s="424" t="s">
        <v>985</v>
      </c>
    </row>
    <row r="452" spans="1:1" ht="12.75" customHeight="1" x14ac:dyDescent="0.2">
      <c r="A452" s="424" t="s">
        <v>3413</v>
      </c>
    </row>
    <row r="453" spans="1:1" ht="12.75" customHeight="1" x14ac:dyDescent="0.2">
      <c r="A453" s="424" t="s">
        <v>124</v>
      </c>
    </row>
    <row r="454" spans="1:1" ht="12.75" customHeight="1" x14ac:dyDescent="0.2">
      <c r="A454" s="424" t="s">
        <v>580</v>
      </c>
    </row>
    <row r="455" spans="1:1" ht="12.75" customHeight="1" x14ac:dyDescent="0.2">
      <c r="A455" s="424" t="s">
        <v>4914</v>
      </c>
    </row>
    <row r="456" spans="1:1" ht="12.75" customHeight="1" x14ac:dyDescent="0.2">
      <c r="A456" s="424" t="s">
        <v>5398</v>
      </c>
    </row>
    <row r="457" spans="1:1" ht="12.75" customHeight="1" x14ac:dyDescent="0.2">
      <c r="A457" s="424" t="s">
        <v>5169</v>
      </c>
    </row>
    <row r="458" spans="1:1" ht="12.75" customHeight="1" x14ac:dyDescent="0.2">
      <c r="A458" s="424" t="s">
        <v>1600</v>
      </c>
    </row>
    <row r="459" spans="1:1" ht="12.75" customHeight="1" x14ac:dyDescent="0.2">
      <c r="A459" s="424" t="s">
        <v>2319</v>
      </c>
    </row>
    <row r="460" spans="1:1" ht="12.75" customHeight="1" x14ac:dyDescent="0.2">
      <c r="A460" s="424" t="s">
        <v>4327</v>
      </c>
    </row>
    <row r="461" spans="1:1" ht="12.75" customHeight="1" x14ac:dyDescent="0.2">
      <c r="A461" s="424" t="s">
        <v>46</v>
      </c>
    </row>
    <row r="462" spans="1:1" ht="12.75" customHeight="1" x14ac:dyDescent="0.2">
      <c r="A462" s="424" t="s">
        <v>1549</v>
      </c>
    </row>
    <row r="463" spans="1:1" ht="12.75" customHeight="1" x14ac:dyDescent="0.2">
      <c r="A463" s="424" t="s">
        <v>938</v>
      </c>
    </row>
    <row r="464" spans="1:1" ht="12.75" customHeight="1" x14ac:dyDescent="0.2">
      <c r="A464" s="424" t="s">
        <v>2667</v>
      </c>
    </row>
    <row r="465" spans="1:1" ht="12.75" customHeight="1" x14ac:dyDescent="0.2">
      <c r="A465" s="424" t="s">
        <v>5013</v>
      </c>
    </row>
    <row r="466" spans="1:1" ht="12.75" customHeight="1" x14ac:dyDescent="0.2">
      <c r="A466" s="424" t="s">
        <v>5103</v>
      </c>
    </row>
    <row r="467" spans="1:1" ht="12.75" customHeight="1" x14ac:dyDescent="0.2">
      <c r="A467" s="424" t="s">
        <v>2506</v>
      </c>
    </row>
    <row r="468" spans="1:1" ht="12.75" customHeight="1" x14ac:dyDescent="0.2">
      <c r="A468" s="424" t="s">
        <v>3619</v>
      </c>
    </row>
    <row r="469" spans="1:1" ht="12.75" customHeight="1" x14ac:dyDescent="0.2">
      <c r="A469" s="424" t="s">
        <v>858</v>
      </c>
    </row>
    <row r="470" spans="1:1" ht="12.75" customHeight="1" x14ac:dyDescent="0.2">
      <c r="A470" s="424" t="s">
        <v>1077</v>
      </c>
    </row>
    <row r="471" spans="1:1" ht="12.75" customHeight="1" x14ac:dyDescent="0.2">
      <c r="A471" s="424" t="s">
        <v>2249</v>
      </c>
    </row>
    <row r="472" spans="1:1" ht="12.75" customHeight="1" x14ac:dyDescent="0.2">
      <c r="A472" s="424" t="s">
        <v>3064</v>
      </c>
    </row>
    <row r="473" spans="1:1" ht="12.75" customHeight="1" x14ac:dyDescent="0.2">
      <c r="A473" s="424" t="s">
        <v>2156</v>
      </c>
    </row>
    <row r="474" spans="1:1" ht="12.75" customHeight="1" x14ac:dyDescent="0.2">
      <c r="A474" s="424" t="s">
        <v>5844</v>
      </c>
    </row>
    <row r="475" spans="1:1" ht="12.75" customHeight="1" x14ac:dyDescent="0.2">
      <c r="A475" s="424" t="s">
        <v>5693</v>
      </c>
    </row>
    <row r="476" spans="1:1" ht="12.75" customHeight="1" x14ac:dyDescent="0.2">
      <c r="A476" s="424" t="s">
        <v>3795</v>
      </c>
    </row>
    <row r="477" spans="1:1" ht="12.75" customHeight="1" x14ac:dyDescent="0.2">
      <c r="A477" s="424" t="s">
        <v>1879</v>
      </c>
    </row>
    <row r="478" spans="1:1" ht="12.75" customHeight="1" x14ac:dyDescent="0.2">
      <c r="A478" s="424" t="s">
        <v>3641</v>
      </c>
    </row>
    <row r="479" spans="1:1" ht="12.75" customHeight="1" x14ac:dyDescent="0.2">
      <c r="A479" s="424" t="s">
        <v>2278</v>
      </c>
    </row>
    <row r="480" spans="1:1" ht="12.75" customHeight="1" x14ac:dyDescent="0.2">
      <c r="A480" s="424" t="s">
        <v>5894</v>
      </c>
    </row>
    <row r="481" spans="1:1" ht="12.75" customHeight="1" x14ac:dyDescent="0.2">
      <c r="A481" s="424" t="s">
        <v>3446</v>
      </c>
    </row>
    <row r="482" spans="1:1" ht="12.75" customHeight="1" x14ac:dyDescent="0.2">
      <c r="A482" s="424" t="s">
        <v>921</v>
      </c>
    </row>
    <row r="483" spans="1:1" ht="12.75" customHeight="1" x14ac:dyDescent="0.2">
      <c r="A483" s="424" t="s">
        <v>3170</v>
      </c>
    </row>
    <row r="484" spans="1:1" ht="12.75" customHeight="1" x14ac:dyDescent="0.2">
      <c r="A484" s="424" t="s">
        <v>3507</v>
      </c>
    </row>
    <row r="485" spans="1:1" ht="12.75" customHeight="1" x14ac:dyDescent="0.2">
      <c r="A485" s="424" t="s">
        <v>2115</v>
      </c>
    </row>
    <row r="486" spans="1:1" ht="12.75" customHeight="1" x14ac:dyDescent="0.2">
      <c r="A486" s="424" t="s">
        <v>2661</v>
      </c>
    </row>
    <row r="487" spans="1:1" ht="12.75" customHeight="1" x14ac:dyDescent="0.2">
      <c r="A487" s="424" t="s">
        <v>1210</v>
      </c>
    </row>
    <row r="488" spans="1:1" ht="12.75" customHeight="1" x14ac:dyDescent="0.2">
      <c r="A488" s="424" t="s">
        <v>130</v>
      </c>
    </row>
    <row r="489" spans="1:1" ht="12.75" customHeight="1" x14ac:dyDescent="0.2">
      <c r="A489" s="424" t="s">
        <v>84</v>
      </c>
    </row>
    <row r="490" spans="1:1" ht="12.75" customHeight="1" x14ac:dyDescent="0.2">
      <c r="A490" s="424" t="s">
        <v>329</v>
      </c>
    </row>
    <row r="491" spans="1:1" ht="12.75" customHeight="1" x14ac:dyDescent="0.2">
      <c r="A491" s="424" t="s">
        <v>5917</v>
      </c>
    </row>
    <row r="492" spans="1:1" ht="12.75" customHeight="1" x14ac:dyDescent="0.2">
      <c r="A492" s="424" t="s">
        <v>4606</v>
      </c>
    </row>
    <row r="493" spans="1:1" ht="12.75" customHeight="1" x14ac:dyDescent="0.2">
      <c r="A493" s="424" t="s">
        <v>4985</v>
      </c>
    </row>
    <row r="494" spans="1:1" ht="12.75" customHeight="1" x14ac:dyDescent="0.2">
      <c r="A494" s="424" t="s">
        <v>4773</v>
      </c>
    </row>
    <row r="495" spans="1:1" ht="12.75" customHeight="1" x14ac:dyDescent="0.2">
      <c r="A495" s="424" t="s">
        <v>1928</v>
      </c>
    </row>
    <row r="496" spans="1:1" ht="12.75" customHeight="1" x14ac:dyDescent="0.2">
      <c r="A496" s="424" t="s">
        <v>3611</v>
      </c>
    </row>
    <row r="497" spans="1:1" ht="12.75" customHeight="1" x14ac:dyDescent="0.2">
      <c r="A497" s="424" t="s">
        <v>3991</v>
      </c>
    </row>
    <row r="498" spans="1:1" ht="12.75" customHeight="1" x14ac:dyDescent="0.2">
      <c r="A498" s="424" t="s">
        <v>2665</v>
      </c>
    </row>
    <row r="499" spans="1:1" ht="12.75" customHeight="1" x14ac:dyDescent="0.2">
      <c r="A499" s="424" t="s">
        <v>659</v>
      </c>
    </row>
    <row r="500" spans="1:1" ht="12.75" customHeight="1" x14ac:dyDescent="0.2">
      <c r="A500" s="424" t="s">
        <v>5737</v>
      </c>
    </row>
    <row r="501" spans="1:1" ht="12.75" customHeight="1" x14ac:dyDescent="0.2">
      <c r="A501" s="424" t="s">
        <v>4077</v>
      </c>
    </row>
    <row r="502" spans="1:1" ht="12.75" customHeight="1" x14ac:dyDescent="0.2">
      <c r="A502" s="424" t="s">
        <v>2064</v>
      </c>
    </row>
    <row r="503" spans="1:1" ht="12.75" customHeight="1" x14ac:dyDescent="0.2">
      <c r="A503" s="424" t="s">
        <v>2504</v>
      </c>
    </row>
    <row r="504" spans="1:1" ht="12.75" customHeight="1" x14ac:dyDescent="0.2">
      <c r="A504" s="424" t="s">
        <v>5548</v>
      </c>
    </row>
    <row r="505" spans="1:1" ht="12.75" customHeight="1" x14ac:dyDescent="0.2">
      <c r="A505" s="424" t="s">
        <v>4443</v>
      </c>
    </row>
    <row r="506" spans="1:1" ht="12.75" customHeight="1" x14ac:dyDescent="0.2">
      <c r="A506" s="424" t="s">
        <v>5050</v>
      </c>
    </row>
    <row r="507" spans="1:1" ht="12.75" customHeight="1" x14ac:dyDescent="0.2">
      <c r="A507" s="424" t="s">
        <v>5627</v>
      </c>
    </row>
    <row r="508" spans="1:1" ht="12.75" customHeight="1" x14ac:dyDescent="0.2">
      <c r="A508" s="424" t="s">
        <v>4991</v>
      </c>
    </row>
    <row r="509" spans="1:1" ht="12.75" customHeight="1" x14ac:dyDescent="0.2">
      <c r="A509" s="424" t="s">
        <v>923</v>
      </c>
    </row>
    <row r="510" spans="1:1" ht="12.75" customHeight="1" x14ac:dyDescent="0.2">
      <c r="A510" s="424" t="s">
        <v>1219</v>
      </c>
    </row>
    <row r="511" spans="1:1" ht="12.75" customHeight="1" x14ac:dyDescent="0.2">
      <c r="A511" s="424" t="s">
        <v>4934</v>
      </c>
    </row>
    <row r="512" spans="1:1" ht="12.75" customHeight="1" x14ac:dyDescent="0.2">
      <c r="A512" s="424" t="s">
        <v>1327</v>
      </c>
    </row>
    <row r="513" spans="1:1" ht="12.75" customHeight="1" x14ac:dyDescent="0.2">
      <c r="A513" s="424" t="s">
        <v>4434</v>
      </c>
    </row>
    <row r="514" spans="1:1" ht="12.75" customHeight="1" x14ac:dyDescent="0.2">
      <c r="A514" s="424" t="s">
        <v>2242</v>
      </c>
    </row>
    <row r="515" spans="1:1" ht="12.75" customHeight="1" x14ac:dyDescent="0.2">
      <c r="A515" s="424" t="s">
        <v>3079</v>
      </c>
    </row>
    <row r="516" spans="1:1" ht="12.75" customHeight="1" x14ac:dyDescent="0.2">
      <c r="A516" s="424" t="s">
        <v>5303</v>
      </c>
    </row>
    <row r="517" spans="1:1" ht="12.75" customHeight="1" x14ac:dyDescent="0.2">
      <c r="A517" s="424" t="s">
        <v>4003</v>
      </c>
    </row>
    <row r="518" spans="1:1" ht="12.75" customHeight="1" x14ac:dyDescent="0.2">
      <c r="A518" s="424" t="s">
        <v>2839</v>
      </c>
    </row>
    <row r="519" spans="1:1" ht="12.75" customHeight="1" x14ac:dyDescent="0.2">
      <c r="A519" s="424" t="s">
        <v>3672</v>
      </c>
    </row>
    <row r="520" spans="1:1" ht="12.75" customHeight="1" x14ac:dyDescent="0.2">
      <c r="A520" s="424" t="s">
        <v>4437</v>
      </c>
    </row>
    <row r="521" spans="1:1" ht="12.75" customHeight="1" x14ac:dyDescent="0.2">
      <c r="A521" s="424" t="s">
        <v>301</v>
      </c>
    </row>
    <row r="522" spans="1:1" ht="12.75" customHeight="1" x14ac:dyDescent="0.2">
      <c r="A522" s="424" t="s">
        <v>3193</v>
      </c>
    </row>
    <row r="523" spans="1:1" ht="12.75" customHeight="1" x14ac:dyDescent="0.2">
      <c r="A523" s="424" t="s">
        <v>5890</v>
      </c>
    </row>
    <row r="524" spans="1:1" ht="12.75" customHeight="1" x14ac:dyDescent="0.2">
      <c r="A524" s="424" t="s">
        <v>735</v>
      </c>
    </row>
    <row r="525" spans="1:1" ht="12.75" customHeight="1" x14ac:dyDescent="0.2">
      <c r="A525" s="424" t="s">
        <v>2023</v>
      </c>
    </row>
    <row r="526" spans="1:1" ht="12.75" customHeight="1" x14ac:dyDescent="0.2">
      <c r="A526" s="424" t="s">
        <v>1851</v>
      </c>
    </row>
    <row r="527" spans="1:1" ht="12.75" customHeight="1" x14ac:dyDescent="0.2">
      <c r="A527" s="424" t="s">
        <v>5735</v>
      </c>
    </row>
    <row r="528" spans="1:1" ht="12.75" customHeight="1" x14ac:dyDescent="0.2">
      <c r="A528" s="424" t="s">
        <v>357</v>
      </c>
    </row>
    <row r="529" spans="1:1" ht="12.75" customHeight="1" x14ac:dyDescent="0.2">
      <c r="A529" s="424" t="s">
        <v>308</v>
      </c>
    </row>
    <row r="530" spans="1:1" ht="12.75" customHeight="1" x14ac:dyDescent="0.2">
      <c r="A530" s="424" t="s">
        <v>3845</v>
      </c>
    </row>
    <row r="531" spans="1:1" ht="12.75" customHeight="1" x14ac:dyDescent="0.2">
      <c r="A531" s="424" t="s">
        <v>114</v>
      </c>
    </row>
    <row r="532" spans="1:1" ht="12.75" customHeight="1" x14ac:dyDescent="0.2">
      <c r="A532" s="424" t="s">
        <v>2727</v>
      </c>
    </row>
    <row r="533" spans="1:1" ht="12.75" customHeight="1" x14ac:dyDescent="0.2">
      <c r="A533" s="424" t="s">
        <v>431</v>
      </c>
    </row>
    <row r="534" spans="1:1" ht="12.75" customHeight="1" x14ac:dyDescent="0.2">
      <c r="A534" s="424" t="s">
        <v>4410</v>
      </c>
    </row>
    <row r="535" spans="1:1" ht="12.75" customHeight="1" x14ac:dyDescent="0.2">
      <c r="A535" s="424" t="s">
        <v>4925</v>
      </c>
    </row>
    <row r="536" spans="1:1" ht="12.75" customHeight="1" x14ac:dyDescent="0.2">
      <c r="A536" s="424" t="s">
        <v>2536</v>
      </c>
    </row>
    <row r="537" spans="1:1" ht="12.75" customHeight="1" x14ac:dyDescent="0.2">
      <c r="A537" s="424" t="s">
        <v>408</v>
      </c>
    </row>
    <row r="538" spans="1:1" ht="12.75" customHeight="1" x14ac:dyDescent="0.2">
      <c r="A538" s="424" t="s">
        <v>2704</v>
      </c>
    </row>
    <row r="539" spans="1:1" ht="12.75" customHeight="1" x14ac:dyDescent="0.2">
      <c r="A539" s="424" t="s">
        <v>2076</v>
      </c>
    </row>
    <row r="540" spans="1:1" ht="12.75" customHeight="1" x14ac:dyDescent="0.2">
      <c r="A540" s="424" t="s">
        <v>1694</v>
      </c>
    </row>
    <row r="541" spans="1:1" ht="12.75" customHeight="1" x14ac:dyDescent="0.2">
      <c r="A541" s="424" t="s">
        <v>5419</v>
      </c>
    </row>
    <row r="542" spans="1:1" ht="12.75" customHeight="1" x14ac:dyDescent="0.2">
      <c r="A542" s="424" t="s">
        <v>5424</v>
      </c>
    </row>
    <row r="543" spans="1:1" ht="12.75" customHeight="1" x14ac:dyDescent="0.2">
      <c r="A543" s="424" t="s">
        <v>5903</v>
      </c>
    </row>
    <row r="544" spans="1:1" ht="12.75" customHeight="1" x14ac:dyDescent="0.2">
      <c r="A544" s="424" t="s">
        <v>1414</v>
      </c>
    </row>
    <row r="545" spans="1:1" ht="12.75" customHeight="1" x14ac:dyDescent="0.2">
      <c r="A545" s="424" t="s">
        <v>4876</v>
      </c>
    </row>
    <row r="546" spans="1:1" ht="12.75" customHeight="1" x14ac:dyDescent="0.2">
      <c r="A546" s="424" t="s">
        <v>5233</v>
      </c>
    </row>
    <row r="547" spans="1:1" ht="12.75" customHeight="1" x14ac:dyDescent="0.2">
      <c r="A547" s="424" t="s">
        <v>1590</v>
      </c>
    </row>
    <row r="548" spans="1:1" ht="12.75" customHeight="1" x14ac:dyDescent="0.2">
      <c r="A548" s="424" t="s">
        <v>20</v>
      </c>
    </row>
    <row r="549" spans="1:1" ht="12.75" customHeight="1" x14ac:dyDescent="0.2">
      <c r="A549" s="424" t="s">
        <v>411</v>
      </c>
    </row>
    <row r="550" spans="1:1" ht="12.75" customHeight="1" x14ac:dyDescent="0.2">
      <c r="A550" s="424" t="s">
        <v>730</v>
      </c>
    </row>
    <row r="551" spans="1:1" ht="12.75" customHeight="1" x14ac:dyDescent="0.2">
      <c r="A551" s="424" t="s">
        <v>4157</v>
      </c>
    </row>
    <row r="552" spans="1:1" ht="12.75" customHeight="1" x14ac:dyDescent="0.2">
      <c r="A552" s="424" t="s">
        <v>5392</v>
      </c>
    </row>
    <row r="553" spans="1:1" ht="12.75" customHeight="1" x14ac:dyDescent="0.2">
      <c r="A553" s="424" t="s">
        <v>2583</v>
      </c>
    </row>
    <row r="554" spans="1:1" ht="12.75" customHeight="1" x14ac:dyDescent="0.2">
      <c r="A554" s="424" t="s">
        <v>4233</v>
      </c>
    </row>
    <row r="555" spans="1:1" ht="12.75" customHeight="1" x14ac:dyDescent="0.2">
      <c r="A555" s="424" t="s">
        <v>1001</v>
      </c>
    </row>
    <row r="556" spans="1:1" ht="12.75" customHeight="1" x14ac:dyDescent="0.2">
      <c r="A556" s="424" t="s">
        <v>4952</v>
      </c>
    </row>
    <row r="557" spans="1:1" ht="12.75" customHeight="1" x14ac:dyDescent="0.2">
      <c r="A557" s="424" t="s">
        <v>2693</v>
      </c>
    </row>
    <row r="558" spans="1:1" ht="12.75" customHeight="1" x14ac:dyDescent="0.2">
      <c r="A558" s="424" t="s">
        <v>424</v>
      </c>
    </row>
    <row r="559" spans="1:1" ht="12.75" customHeight="1" x14ac:dyDescent="0.2">
      <c r="A559" s="424" t="s">
        <v>5313</v>
      </c>
    </row>
    <row r="560" spans="1:1" ht="12.75" customHeight="1" x14ac:dyDescent="0.2">
      <c r="A560" s="424" t="s">
        <v>4485</v>
      </c>
    </row>
    <row r="561" spans="1:1" ht="12.75" customHeight="1" x14ac:dyDescent="0.2">
      <c r="A561" s="424" t="s">
        <v>5565</v>
      </c>
    </row>
    <row r="562" spans="1:1" ht="12.75" customHeight="1" x14ac:dyDescent="0.2">
      <c r="A562" s="424" t="s">
        <v>3197</v>
      </c>
    </row>
    <row r="563" spans="1:1" ht="12.75" customHeight="1" x14ac:dyDescent="0.2">
      <c r="A563" s="424" t="s">
        <v>3856</v>
      </c>
    </row>
    <row r="564" spans="1:1" ht="12.75" customHeight="1" x14ac:dyDescent="0.2">
      <c r="A564" s="424" t="s">
        <v>520</v>
      </c>
    </row>
    <row r="565" spans="1:1" ht="12.75" customHeight="1" x14ac:dyDescent="0.2">
      <c r="A565" s="424" t="s">
        <v>4857</v>
      </c>
    </row>
    <row r="566" spans="1:1" ht="12.75" customHeight="1" x14ac:dyDescent="0.2">
      <c r="A566" s="424" t="s">
        <v>3874</v>
      </c>
    </row>
    <row r="567" spans="1:1" ht="12.75" customHeight="1" x14ac:dyDescent="0.2">
      <c r="A567" s="424" t="s">
        <v>4462</v>
      </c>
    </row>
    <row r="568" spans="1:1" ht="12.75" customHeight="1" x14ac:dyDescent="0.2">
      <c r="A568" s="424" t="s">
        <v>1006</v>
      </c>
    </row>
    <row r="569" spans="1:1" ht="12.75" customHeight="1" x14ac:dyDescent="0.2">
      <c r="A569" s="424" t="s">
        <v>404</v>
      </c>
    </row>
    <row r="570" spans="1:1" ht="12.75" customHeight="1" x14ac:dyDescent="0.2">
      <c r="A570" s="424" t="s">
        <v>3210</v>
      </c>
    </row>
    <row r="571" spans="1:1" ht="12.75" customHeight="1" x14ac:dyDescent="0.2">
      <c r="A571" s="424" t="s">
        <v>5387</v>
      </c>
    </row>
    <row r="572" spans="1:1" ht="12.75" customHeight="1" x14ac:dyDescent="0.2">
      <c r="A572" s="424" t="s">
        <v>4665</v>
      </c>
    </row>
    <row r="573" spans="1:1" ht="12.75" customHeight="1" x14ac:dyDescent="0.2">
      <c r="A573" s="424" t="s">
        <v>5055</v>
      </c>
    </row>
    <row r="574" spans="1:1" ht="12.75" customHeight="1" x14ac:dyDescent="0.2">
      <c r="A574" s="424" t="s">
        <v>1125</v>
      </c>
    </row>
    <row r="575" spans="1:1" ht="12.75" customHeight="1" x14ac:dyDescent="0.2">
      <c r="A575" s="424" t="s">
        <v>5823</v>
      </c>
    </row>
    <row r="576" spans="1:1" ht="12.75" customHeight="1" x14ac:dyDescent="0.2">
      <c r="A576" s="424" t="s">
        <v>1044</v>
      </c>
    </row>
    <row r="577" spans="1:1" ht="12.75" customHeight="1" x14ac:dyDescent="0.2">
      <c r="A577" s="424" t="s">
        <v>3572</v>
      </c>
    </row>
    <row r="578" spans="1:1" ht="12.75" customHeight="1" x14ac:dyDescent="0.2">
      <c r="A578" s="424" t="s">
        <v>4285</v>
      </c>
    </row>
    <row r="579" spans="1:1" ht="12.75" customHeight="1" x14ac:dyDescent="0.2">
      <c r="A579" s="424" t="s">
        <v>1379</v>
      </c>
    </row>
    <row r="580" spans="1:1" ht="12.75" customHeight="1" x14ac:dyDescent="0.2">
      <c r="A580" s="424" t="s">
        <v>2104</v>
      </c>
    </row>
    <row r="581" spans="1:1" ht="12.75" customHeight="1" x14ac:dyDescent="0.2">
      <c r="A581" s="424" t="s">
        <v>881</v>
      </c>
    </row>
    <row r="582" spans="1:1" ht="12.75" customHeight="1" x14ac:dyDescent="0.2">
      <c r="A582" s="424" t="s">
        <v>3424</v>
      </c>
    </row>
    <row r="583" spans="1:1" ht="12.75" customHeight="1" x14ac:dyDescent="0.2">
      <c r="A583" s="424" t="s">
        <v>1823</v>
      </c>
    </row>
    <row r="584" spans="1:1" ht="12.75" customHeight="1" x14ac:dyDescent="0.2">
      <c r="A584" s="424" t="s">
        <v>1821</v>
      </c>
    </row>
    <row r="585" spans="1:1" ht="12.75" customHeight="1" x14ac:dyDescent="0.2">
      <c r="A585" s="424" t="s">
        <v>3692</v>
      </c>
    </row>
    <row r="586" spans="1:1" ht="12.75" customHeight="1" x14ac:dyDescent="0.2">
      <c r="A586" s="424" t="s">
        <v>1871</v>
      </c>
    </row>
    <row r="587" spans="1:1" ht="12.75" customHeight="1" x14ac:dyDescent="0.2">
      <c r="A587" s="424" t="s">
        <v>1058</v>
      </c>
    </row>
    <row r="588" spans="1:1" ht="12.75" customHeight="1" x14ac:dyDescent="0.2">
      <c r="A588" s="424" t="s">
        <v>494</v>
      </c>
    </row>
    <row r="589" spans="1:1" ht="12.75" customHeight="1" x14ac:dyDescent="0.2">
      <c r="A589" s="424" t="s">
        <v>5361</v>
      </c>
    </row>
    <row r="590" spans="1:1" ht="12.75" customHeight="1" x14ac:dyDescent="0.2">
      <c r="A590" s="424" t="s">
        <v>1339</v>
      </c>
    </row>
    <row r="591" spans="1:1" ht="12.75" customHeight="1" x14ac:dyDescent="0.2">
      <c r="A591" s="424" t="s">
        <v>4795</v>
      </c>
    </row>
    <row r="592" spans="1:1" ht="12.75" customHeight="1" x14ac:dyDescent="0.2">
      <c r="A592" s="424" t="s">
        <v>3994</v>
      </c>
    </row>
    <row r="593" spans="1:1" ht="12.75" customHeight="1" x14ac:dyDescent="0.2">
      <c r="A593" s="424" t="s">
        <v>373</v>
      </c>
    </row>
    <row r="594" spans="1:1" ht="12.75" customHeight="1" x14ac:dyDescent="0.2">
      <c r="A594" s="424" t="s">
        <v>4585</v>
      </c>
    </row>
    <row r="595" spans="1:1" ht="12.75" customHeight="1" x14ac:dyDescent="0.2">
      <c r="A595" s="424" t="s">
        <v>4345</v>
      </c>
    </row>
    <row r="596" spans="1:1" ht="12.75" customHeight="1" x14ac:dyDescent="0.2">
      <c r="A596" s="424" t="s">
        <v>1430</v>
      </c>
    </row>
    <row r="597" spans="1:1" ht="12.75" customHeight="1" x14ac:dyDescent="0.2">
      <c r="A597" s="424" t="s">
        <v>692</v>
      </c>
    </row>
    <row r="598" spans="1:1" ht="12.75" customHeight="1" x14ac:dyDescent="0.2">
      <c r="A598" s="424" t="s">
        <v>1567</v>
      </c>
    </row>
    <row r="599" spans="1:1" ht="12.75" customHeight="1" x14ac:dyDescent="0.2">
      <c r="A599" s="424" t="s">
        <v>1173</v>
      </c>
    </row>
    <row r="600" spans="1:1" ht="12.75" customHeight="1" x14ac:dyDescent="0.2">
      <c r="A600" s="424" t="s">
        <v>5390</v>
      </c>
    </row>
    <row r="601" spans="1:1" ht="12.75" customHeight="1" x14ac:dyDescent="0.2">
      <c r="A601" s="424" t="s">
        <v>4308</v>
      </c>
    </row>
    <row r="602" spans="1:1" ht="12.75" customHeight="1" x14ac:dyDescent="0.2">
      <c r="A602" s="424" t="s">
        <v>1525</v>
      </c>
    </row>
    <row r="603" spans="1:1" ht="12.75" customHeight="1" x14ac:dyDescent="0.2">
      <c r="A603" s="424" t="s">
        <v>360</v>
      </c>
    </row>
    <row r="604" spans="1:1" ht="12.75" customHeight="1" x14ac:dyDescent="0.2">
      <c r="A604" s="424" t="s">
        <v>4022</v>
      </c>
    </row>
    <row r="605" spans="1:1" ht="12.75" customHeight="1" x14ac:dyDescent="0.2">
      <c r="A605" s="424" t="s">
        <v>1043</v>
      </c>
    </row>
    <row r="606" spans="1:1" ht="12.75" customHeight="1" x14ac:dyDescent="0.2">
      <c r="A606" s="424" t="s">
        <v>454</v>
      </c>
    </row>
    <row r="607" spans="1:1" ht="12.75" customHeight="1" x14ac:dyDescent="0.2">
      <c r="A607" s="424" t="s">
        <v>4834</v>
      </c>
    </row>
    <row r="608" spans="1:1" ht="12.75" customHeight="1" x14ac:dyDescent="0.2">
      <c r="A608" s="424" t="s">
        <v>4194</v>
      </c>
    </row>
    <row r="609" spans="1:1" ht="12.75" customHeight="1" x14ac:dyDescent="0.2">
      <c r="A609" s="424" t="s">
        <v>5767</v>
      </c>
    </row>
    <row r="610" spans="1:1" ht="12.75" customHeight="1" x14ac:dyDescent="0.2">
      <c r="A610" s="424" t="s">
        <v>4166</v>
      </c>
    </row>
    <row r="611" spans="1:1" ht="12.75" customHeight="1" x14ac:dyDescent="0.2">
      <c r="A611" s="424" t="s">
        <v>1436</v>
      </c>
    </row>
    <row r="612" spans="1:1" ht="12.75" customHeight="1" x14ac:dyDescent="0.2">
      <c r="A612" s="424" t="s">
        <v>205</v>
      </c>
    </row>
    <row r="613" spans="1:1" ht="12.75" customHeight="1" x14ac:dyDescent="0.2">
      <c r="A613" s="424" t="s">
        <v>155</v>
      </c>
    </row>
    <row r="614" spans="1:1" ht="12.75" customHeight="1" x14ac:dyDescent="0.2">
      <c r="A614" s="424" t="s">
        <v>1132</v>
      </c>
    </row>
    <row r="615" spans="1:1" ht="12.75" customHeight="1" x14ac:dyDescent="0.2">
      <c r="A615" s="424" t="s">
        <v>3227</v>
      </c>
    </row>
    <row r="616" spans="1:1" ht="12.75" customHeight="1" x14ac:dyDescent="0.2">
      <c r="A616" s="424" t="s">
        <v>1597</v>
      </c>
    </row>
    <row r="617" spans="1:1" ht="12.75" customHeight="1" x14ac:dyDescent="0.2">
      <c r="A617" s="424" t="s">
        <v>5793</v>
      </c>
    </row>
    <row r="618" spans="1:1" ht="12.75" customHeight="1" x14ac:dyDescent="0.2">
      <c r="A618" s="424" t="s">
        <v>2040</v>
      </c>
    </row>
    <row r="619" spans="1:1" ht="12.75" customHeight="1" x14ac:dyDescent="0.2">
      <c r="A619" s="424" t="s">
        <v>1973</v>
      </c>
    </row>
    <row r="620" spans="1:1" ht="12.75" customHeight="1" x14ac:dyDescent="0.2">
      <c r="A620" s="424" t="s">
        <v>2188</v>
      </c>
    </row>
    <row r="621" spans="1:1" ht="12.75" customHeight="1" x14ac:dyDescent="0.2">
      <c r="A621" s="424" t="s">
        <v>5604</v>
      </c>
    </row>
    <row r="622" spans="1:1" ht="12.75" customHeight="1" x14ac:dyDescent="0.2">
      <c r="A622" s="424" t="s">
        <v>585</v>
      </c>
    </row>
    <row r="623" spans="1:1" ht="12.75" customHeight="1" x14ac:dyDescent="0.2">
      <c r="A623" s="424" t="s">
        <v>4596</v>
      </c>
    </row>
    <row r="624" spans="1:1" ht="12.75" customHeight="1" x14ac:dyDescent="0.2">
      <c r="A624" s="424" t="s">
        <v>5556</v>
      </c>
    </row>
    <row r="625" spans="1:1" ht="12.75" customHeight="1" x14ac:dyDescent="0.2">
      <c r="A625" s="424" t="s">
        <v>3168</v>
      </c>
    </row>
    <row r="626" spans="1:1" ht="12.75" customHeight="1" x14ac:dyDescent="0.2">
      <c r="A626" s="424" t="s">
        <v>5449</v>
      </c>
    </row>
    <row r="627" spans="1:1" ht="12.75" customHeight="1" x14ac:dyDescent="0.2">
      <c r="A627" s="424" t="s">
        <v>3776</v>
      </c>
    </row>
    <row r="628" spans="1:1" ht="12.75" customHeight="1" x14ac:dyDescent="0.2">
      <c r="A628" s="424" t="s">
        <v>4143</v>
      </c>
    </row>
    <row r="629" spans="1:1" ht="12.75" customHeight="1" x14ac:dyDescent="0.2">
      <c r="A629" s="424" t="s">
        <v>5002</v>
      </c>
    </row>
    <row r="630" spans="1:1" ht="12.75" customHeight="1" x14ac:dyDescent="0.2">
      <c r="A630" s="424" t="s">
        <v>5003</v>
      </c>
    </row>
    <row r="631" spans="1:1" ht="12.75" customHeight="1" x14ac:dyDescent="0.2">
      <c r="A631" s="424" t="s">
        <v>2295</v>
      </c>
    </row>
    <row r="632" spans="1:1" ht="12.75" customHeight="1" x14ac:dyDescent="0.2">
      <c r="A632" s="424" t="s">
        <v>3493</v>
      </c>
    </row>
    <row r="633" spans="1:1" ht="12.75" customHeight="1" x14ac:dyDescent="0.2">
      <c r="A633" s="424" t="s">
        <v>4572</v>
      </c>
    </row>
    <row r="634" spans="1:1" ht="12.75" customHeight="1" x14ac:dyDescent="0.2">
      <c r="A634" s="424" t="s">
        <v>5243</v>
      </c>
    </row>
    <row r="635" spans="1:1" ht="12.75" customHeight="1" x14ac:dyDescent="0.2">
      <c r="A635" s="424" t="s">
        <v>4671</v>
      </c>
    </row>
    <row r="636" spans="1:1" ht="12.75" customHeight="1" x14ac:dyDescent="0.2">
      <c r="A636" s="424" t="s">
        <v>3907</v>
      </c>
    </row>
    <row r="637" spans="1:1" ht="12.75" customHeight="1" x14ac:dyDescent="0.2">
      <c r="A637" s="424" t="s">
        <v>3925</v>
      </c>
    </row>
    <row r="638" spans="1:1" ht="12.75" customHeight="1" x14ac:dyDescent="0.2">
      <c r="A638" s="424" t="s">
        <v>292</v>
      </c>
    </row>
    <row r="639" spans="1:1" ht="12.75" customHeight="1" x14ac:dyDescent="0.2">
      <c r="A639" s="424" t="s">
        <v>3129</v>
      </c>
    </row>
    <row r="640" spans="1:1" ht="12.75" customHeight="1" x14ac:dyDescent="0.2">
      <c r="A640" t="s">
        <v>293</v>
      </c>
    </row>
    <row r="641" spans="1:1" ht="12.75" customHeight="1" x14ac:dyDescent="0.2">
      <c r="A641" t="s">
        <v>1947</v>
      </c>
    </row>
    <row r="642" spans="1:1" ht="12.75" customHeight="1" x14ac:dyDescent="0.2">
      <c r="A642" t="s">
        <v>1323</v>
      </c>
    </row>
    <row r="643" spans="1:1" ht="12.75" customHeight="1" x14ac:dyDescent="0.2">
      <c r="A643" t="s">
        <v>3858</v>
      </c>
    </row>
    <row r="644" spans="1:1" ht="12.75" customHeight="1" x14ac:dyDescent="0.2">
      <c r="A644" t="s">
        <v>3439</v>
      </c>
    </row>
    <row r="645" spans="1:1" ht="12.75" customHeight="1" x14ac:dyDescent="0.2">
      <c r="A645" t="s">
        <v>4850</v>
      </c>
    </row>
    <row r="646" spans="1:1" ht="12.75" customHeight="1" x14ac:dyDescent="0.2">
      <c r="A646" t="s">
        <v>2976</v>
      </c>
    </row>
    <row r="647" spans="1:1" ht="12.75" customHeight="1" x14ac:dyDescent="0.2">
      <c r="A647" t="s">
        <v>607</v>
      </c>
    </row>
    <row r="648" spans="1:1" ht="12.75" customHeight="1" x14ac:dyDescent="0.2">
      <c r="A648" t="s">
        <v>3250</v>
      </c>
    </row>
    <row r="649" spans="1:1" ht="12.75" customHeight="1" x14ac:dyDescent="0.2">
      <c r="A649" s="424" t="s">
        <v>325</v>
      </c>
    </row>
    <row r="650" spans="1:1" ht="12.75" customHeight="1" x14ac:dyDescent="0.2">
      <c r="A650" s="424" t="s">
        <v>5726</v>
      </c>
    </row>
    <row r="651" spans="1:1" ht="12.75" customHeight="1" x14ac:dyDescent="0.2">
      <c r="A651" t="s">
        <v>4902</v>
      </c>
    </row>
    <row r="652" spans="1:1" ht="12.75" customHeight="1" x14ac:dyDescent="0.2">
      <c r="A652" t="s">
        <v>2078</v>
      </c>
    </row>
    <row r="653" spans="1:1" ht="12.75" customHeight="1" x14ac:dyDescent="0.2">
      <c r="A653" t="s">
        <v>5290</v>
      </c>
    </row>
    <row r="654" spans="1:1" ht="12.75" customHeight="1" x14ac:dyDescent="0.2">
      <c r="A654" t="s">
        <v>1550</v>
      </c>
    </row>
    <row r="655" spans="1:1" ht="12.75" customHeight="1" x14ac:dyDescent="0.2">
      <c r="A655" t="s">
        <v>3418</v>
      </c>
    </row>
    <row r="656" spans="1:1" ht="12.75" customHeight="1" x14ac:dyDescent="0.2">
      <c r="A656" t="s">
        <v>949</v>
      </c>
    </row>
    <row r="657" spans="1:1" ht="12.75" customHeight="1" x14ac:dyDescent="0.2">
      <c r="A657" t="s">
        <v>3915</v>
      </c>
    </row>
    <row r="658" spans="1:1" ht="12.75" customHeight="1" x14ac:dyDescent="0.2">
      <c r="A658" t="s">
        <v>3605</v>
      </c>
    </row>
    <row r="659" spans="1:1" ht="12.75" customHeight="1" x14ac:dyDescent="0.2">
      <c r="A659" t="s">
        <v>174</v>
      </c>
    </row>
    <row r="660" spans="1:1" ht="12.75" customHeight="1" x14ac:dyDescent="0.2">
      <c r="A660" t="s">
        <v>4960</v>
      </c>
    </row>
    <row r="661" spans="1:1" ht="12.75" customHeight="1" x14ac:dyDescent="0.2">
      <c r="A661" t="s">
        <v>3862</v>
      </c>
    </row>
    <row r="662" spans="1:1" ht="12.75" customHeight="1" x14ac:dyDescent="0.2">
      <c r="A662" t="s">
        <v>5670</v>
      </c>
    </row>
    <row r="663" spans="1:1" ht="12.75" customHeight="1" x14ac:dyDescent="0.2">
      <c r="A663" t="s">
        <v>5457</v>
      </c>
    </row>
    <row r="664" spans="1:1" ht="12.75" customHeight="1" x14ac:dyDescent="0.2">
      <c r="A664" t="s">
        <v>5699</v>
      </c>
    </row>
    <row r="665" spans="1:1" ht="12.75" customHeight="1" x14ac:dyDescent="0.2">
      <c r="A665" t="s">
        <v>2717</v>
      </c>
    </row>
    <row r="666" spans="1:1" ht="12.75" customHeight="1" x14ac:dyDescent="0.2">
      <c r="A666" t="s">
        <v>2357</v>
      </c>
    </row>
    <row r="667" spans="1:1" ht="12.75" customHeight="1" x14ac:dyDescent="0.2">
      <c r="A667" t="s">
        <v>1796</v>
      </c>
    </row>
    <row r="668" spans="1:1" ht="12.75" customHeight="1" x14ac:dyDescent="0.2">
      <c r="A668" t="s">
        <v>902</v>
      </c>
    </row>
    <row r="669" spans="1:1" ht="12.75" customHeight="1" x14ac:dyDescent="0.2">
      <c r="A669" t="s">
        <v>2236</v>
      </c>
    </row>
    <row r="670" spans="1:1" ht="12.75" customHeight="1" x14ac:dyDescent="0.2">
      <c r="A670" t="s">
        <v>2404</v>
      </c>
    </row>
    <row r="671" spans="1:1" ht="12.75" customHeight="1" x14ac:dyDescent="0.2">
      <c r="A671" t="s">
        <v>1762</v>
      </c>
    </row>
    <row r="672" spans="1:1" ht="12.75" customHeight="1" x14ac:dyDescent="0.2">
      <c r="A672" s="424" t="s">
        <v>3962</v>
      </c>
    </row>
    <row r="673" spans="1:1" ht="12.75" customHeight="1" x14ac:dyDescent="0.2">
      <c r="A673" s="424" t="s">
        <v>1914</v>
      </c>
    </row>
    <row r="674" spans="1:1" ht="12.75" customHeight="1" x14ac:dyDescent="0.2">
      <c r="A674" t="s">
        <v>2604</v>
      </c>
    </row>
    <row r="675" spans="1:1" ht="12.75" customHeight="1" x14ac:dyDescent="0.2">
      <c r="A675" t="s">
        <v>2605</v>
      </c>
    </row>
    <row r="676" spans="1:1" ht="12.75" customHeight="1" x14ac:dyDescent="0.2">
      <c r="A676" t="s">
        <v>5147</v>
      </c>
    </row>
    <row r="677" spans="1:1" ht="12.75" customHeight="1" x14ac:dyDescent="0.2">
      <c r="A677" t="s">
        <v>1031</v>
      </c>
    </row>
    <row r="678" spans="1:1" ht="12.75" customHeight="1" x14ac:dyDescent="0.2">
      <c r="A678" t="s">
        <v>1355</v>
      </c>
    </row>
    <row r="679" spans="1:1" ht="12.75" customHeight="1" x14ac:dyDescent="0.2">
      <c r="A679" t="s">
        <v>4686</v>
      </c>
    </row>
    <row r="680" spans="1:1" ht="12.75" customHeight="1" x14ac:dyDescent="0.2">
      <c r="A680" t="s">
        <v>4432</v>
      </c>
    </row>
    <row r="681" spans="1:1" ht="12.75" customHeight="1" x14ac:dyDescent="0.2">
      <c r="A681" t="s">
        <v>988</v>
      </c>
    </row>
    <row r="682" spans="1:1" ht="12.75" customHeight="1" x14ac:dyDescent="0.2">
      <c r="A682" t="s">
        <v>3343</v>
      </c>
    </row>
    <row r="683" spans="1:1" ht="12.75" customHeight="1" x14ac:dyDescent="0.2">
      <c r="A683" t="s">
        <v>5743</v>
      </c>
    </row>
    <row r="684" spans="1:1" ht="12.75" customHeight="1" x14ac:dyDescent="0.2">
      <c r="A684" t="s">
        <v>1698</v>
      </c>
    </row>
    <row r="685" spans="1:1" ht="12.75" customHeight="1" x14ac:dyDescent="0.2">
      <c r="A685" t="s">
        <v>5454</v>
      </c>
    </row>
    <row r="686" spans="1:1" ht="12.75" customHeight="1" x14ac:dyDescent="0.2">
      <c r="A686" t="s">
        <v>4753</v>
      </c>
    </row>
    <row r="687" spans="1:1" ht="12.75" customHeight="1" x14ac:dyDescent="0.2">
      <c r="A687" t="s">
        <v>61</v>
      </c>
    </row>
    <row r="688" spans="1:1" ht="12.75" customHeight="1" x14ac:dyDescent="0.2">
      <c r="A688" t="s">
        <v>367</v>
      </c>
    </row>
    <row r="689" spans="1:1" ht="12.75" customHeight="1" x14ac:dyDescent="0.2">
      <c r="A689" t="s">
        <v>5159</v>
      </c>
    </row>
    <row r="690" spans="1:1" ht="12.75" customHeight="1" x14ac:dyDescent="0.2">
      <c r="A690" t="s">
        <v>3555</v>
      </c>
    </row>
    <row r="691" spans="1:1" ht="12.75" customHeight="1" x14ac:dyDescent="0.2">
      <c r="A691" t="s">
        <v>2829</v>
      </c>
    </row>
    <row r="692" spans="1:1" ht="12.75" customHeight="1" x14ac:dyDescent="0.2">
      <c r="A692" t="s">
        <v>2305</v>
      </c>
    </row>
    <row r="693" spans="1:1" ht="12.75" customHeight="1" x14ac:dyDescent="0.2">
      <c r="A693" t="s">
        <v>1326</v>
      </c>
    </row>
    <row r="694" spans="1:1" ht="12.75" customHeight="1" x14ac:dyDescent="0.2">
      <c r="A694" t="s">
        <v>1184</v>
      </c>
    </row>
    <row r="695" spans="1:1" ht="12.75" customHeight="1" x14ac:dyDescent="0.2">
      <c r="A695" s="424" t="s">
        <v>2105</v>
      </c>
    </row>
    <row r="696" spans="1:1" ht="12.75" customHeight="1" x14ac:dyDescent="0.2">
      <c r="A696" s="424" t="s">
        <v>5126</v>
      </c>
    </row>
    <row r="697" spans="1:1" ht="12.75" customHeight="1" x14ac:dyDescent="0.2">
      <c r="A697" s="424" t="s">
        <v>1875</v>
      </c>
    </row>
    <row r="698" spans="1:1" ht="12.75" customHeight="1" x14ac:dyDescent="0.2">
      <c r="A698" s="424" t="s">
        <v>1564</v>
      </c>
    </row>
    <row r="699" spans="1:1" ht="12.75" customHeight="1" x14ac:dyDescent="0.2">
      <c r="A699" t="s">
        <v>3630</v>
      </c>
    </row>
    <row r="700" spans="1:1" ht="12.75" customHeight="1" x14ac:dyDescent="0.2">
      <c r="A700" t="s">
        <v>948</v>
      </c>
    </row>
    <row r="701" spans="1:1" ht="12.75" customHeight="1" x14ac:dyDescent="0.2">
      <c r="A701" s="424" t="s">
        <v>3760</v>
      </c>
    </row>
    <row r="702" spans="1:1" ht="12.75" customHeight="1" x14ac:dyDescent="0.2">
      <c r="A702" s="424" t="s">
        <v>5647</v>
      </c>
    </row>
    <row r="703" spans="1:1" ht="12.75" customHeight="1" x14ac:dyDescent="0.2">
      <c r="A703" t="s">
        <v>1623</v>
      </c>
    </row>
    <row r="704" spans="1:1" ht="12.75" customHeight="1" x14ac:dyDescent="0.2">
      <c r="A704" t="s">
        <v>2299</v>
      </c>
    </row>
    <row r="705" spans="1:1" ht="12.75" customHeight="1" x14ac:dyDescent="0.2">
      <c r="A705" t="s">
        <v>4892</v>
      </c>
    </row>
    <row r="706" spans="1:1" ht="12.75" customHeight="1" x14ac:dyDescent="0.2">
      <c r="A706" s="424" t="s">
        <v>4901</v>
      </c>
    </row>
    <row r="707" spans="1:1" ht="12.75" customHeight="1" x14ac:dyDescent="0.2">
      <c r="A707" s="424" t="s">
        <v>3388</v>
      </c>
    </row>
    <row r="708" spans="1:1" ht="12.75" customHeight="1" x14ac:dyDescent="0.2">
      <c r="A708" s="424" t="s">
        <v>2560</v>
      </c>
    </row>
    <row r="709" spans="1:1" ht="12.75" customHeight="1" x14ac:dyDescent="0.2">
      <c r="A709" s="424" t="s">
        <v>474</v>
      </c>
    </row>
    <row r="710" spans="1:1" ht="12.75" customHeight="1" x14ac:dyDescent="0.2">
      <c r="A710" t="s">
        <v>3761</v>
      </c>
    </row>
    <row r="711" spans="1:1" ht="12.75" customHeight="1" x14ac:dyDescent="0.2">
      <c r="A711" t="s">
        <v>5428</v>
      </c>
    </row>
    <row r="712" spans="1:1" ht="12.75" customHeight="1" x14ac:dyDescent="0.2">
      <c r="A712" s="424" t="s">
        <v>387</v>
      </c>
    </row>
    <row r="713" spans="1:1" ht="12.75" customHeight="1" x14ac:dyDescent="0.2">
      <c r="A713" s="424" t="s">
        <v>3002</v>
      </c>
    </row>
    <row r="714" spans="1:1" ht="12.75" customHeight="1" x14ac:dyDescent="0.2">
      <c r="A714" t="s">
        <v>2651</v>
      </c>
    </row>
    <row r="715" spans="1:1" ht="12.75" customHeight="1" x14ac:dyDescent="0.2">
      <c r="A715" t="s">
        <v>1346</v>
      </c>
    </row>
    <row r="716" spans="1:1" ht="12.75" customHeight="1" x14ac:dyDescent="0.2">
      <c r="A716" t="s">
        <v>3264</v>
      </c>
    </row>
    <row r="717" spans="1:1" ht="12.75" customHeight="1" x14ac:dyDescent="0.2">
      <c r="A717" s="424" t="s">
        <v>2505</v>
      </c>
    </row>
    <row r="718" spans="1:1" ht="12.75" customHeight="1" x14ac:dyDescent="0.2">
      <c r="A718" s="424" t="s">
        <v>5839</v>
      </c>
    </row>
    <row r="719" spans="1:1" ht="12.75" customHeight="1" x14ac:dyDescent="0.2">
      <c r="A719" t="s">
        <v>3546</v>
      </c>
    </row>
    <row r="720" spans="1:1" ht="12.75" customHeight="1" x14ac:dyDescent="0.2">
      <c r="A720" t="s">
        <v>3282</v>
      </c>
    </row>
    <row r="721" spans="1:1" ht="12.75" customHeight="1" x14ac:dyDescent="0.2">
      <c r="A721" t="s">
        <v>3048</v>
      </c>
    </row>
    <row r="722" spans="1:1" ht="12.75" customHeight="1" x14ac:dyDescent="0.2">
      <c r="A722" t="s">
        <v>1858</v>
      </c>
    </row>
    <row r="723" spans="1:1" ht="12.75" customHeight="1" x14ac:dyDescent="0.2">
      <c r="A723" t="s">
        <v>3289</v>
      </c>
    </row>
    <row r="724" spans="1:1" ht="12.75" customHeight="1" x14ac:dyDescent="0.2">
      <c r="A724" t="s">
        <v>1012</v>
      </c>
    </row>
    <row r="725" spans="1:1" ht="12.75" customHeight="1" x14ac:dyDescent="0.2">
      <c r="A725" t="s">
        <v>4887</v>
      </c>
    </row>
    <row r="726" spans="1:1" ht="12.75" customHeight="1" x14ac:dyDescent="0.2">
      <c r="A726" t="s">
        <v>290</v>
      </c>
    </row>
    <row r="727" spans="1:1" ht="12.75" customHeight="1" x14ac:dyDescent="0.2">
      <c r="A727" t="s">
        <v>2051</v>
      </c>
    </row>
    <row r="728" spans="1:1" ht="12.75" customHeight="1" x14ac:dyDescent="0.2">
      <c r="A728" s="424" t="s">
        <v>2790</v>
      </c>
    </row>
    <row r="729" spans="1:1" ht="12.75" customHeight="1" x14ac:dyDescent="0.2">
      <c r="A729" s="424" t="s">
        <v>4114</v>
      </c>
    </row>
    <row r="730" spans="1:1" ht="12.75" customHeight="1" x14ac:dyDescent="0.2">
      <c r="A730" s="424" t="s">
        <v>1381</v>
      </c>
    </row>
    <row r="731" spans="1:1" ht="12.75" customHeight="1" x14ac:dyDescent="0.2">
      <c r="A731" s="424" t="s">
        <v>484</v>
      </c>
    </row>
    <row r="732" spans="1:1" ht="12.75" customHeight="1" x14ac:dyDescent="0.2">
      <c r="A732" s="424" t="s">
        <v>2196</v>
      </c>
    </row>
    <row r="733" spans="1:1" ht="12.75" customHeight="1" x14ac:dyDescent="0.2">
      <c r="A733" s="424" t="s">
        <v>192</v>
      </c>
    </row>
    <row r="734" spans="1:1" ht="12.75" customHeight="1" x14ac:dyDescent="0.2">
      <c r="A734" s="424" t="s">
        <v>2039</v>
      </c>
    </row>
    <row r="735" spans="1:1" ht="12.75" customHeight="1" x14ac:dyDescent="0.2">
      <c r="A735" s="424" t="s">
        <v>2036</v>
      </c>
    </row>
    <row r="736" spans="1:1" ht="12.75" customHeight="1" x14ac:dyDescent="0.2">
      <c r="A736" s="424" t="s">
        <v>2596</v>
      </c>
    </row>
    <row r="737" spans="1:1" ht="12.75" customHeight="1" x14ac:dyDescent="0.2">
      <c r="A737" s="424" t="s">
        <v>677</v>
      </c>
    </row>
    <row r="738" spans="1:1" ht="12.75" customHeight="1" x14ac:dyDescent="0.2">
      <c r="A738" s="424" t="s">
        <v>568</v>
      </c>
    </row>
    <row r="739" spans="1:1" ht="12.75" customHeight="1" x14ac:dyDescent="0.2">
      <c r="A739" s="424" t="s">
        <v>5703</v>
      </c>
    </row>
    <row r="740" spans="1:1" ht="12.75" customHeight="1" x14ac:dyDescent="0.2">
      <c r="A740" s="424" t="s">
        <v>3290</v>
      </c>
    </row>
    <row r="741" spans="1:1" ht="12.75" customHeight="1" x14ac:dyDescent="0.2">
      <c r="A741" s="424" t="s">
        <v>2801</v>
      </c>
    </row>
    <row r="742" spans="1:1" ht="12.75" customHeight="1" x14ac:dyDescent="0.2">
      <c r="A742" s="424" t="s">
        <v>2802</v>
      </c>
    </row>
    <row r="743" spans="1:1" ht="12.75" customHeight="1" x14ac:dyDescent="0.2">
      <c r="A743" s="424" t="s">
        <v>1702</v>
      </c>
    </row>
    <row r="744" spans="1:1" ht="12.75" customHeight="1" x14ac:dyDescent="0.2">
      <c r="A744" s="424" t="s">
        <v>976</v>
      </c>
    </row>
    <row r="745" spans="1:1" ht="12.75" customHeight="1" x14ac:dyDescent="0.2">
      <c r="A745" s="424" t="s">
        <v>1120</v>
      </c>
    </row>
    <row r="746" spans="1:1" ht="12.75" customHeight="1" x14ac:dyDescent="0.2">
      <c r="A746" s="424" t="s">
        <v>5430</v>
      </c>
    </row>
    <row r="747" spans="1:1" ht="12.75" customHeight="1" x14ac:dyDescent="0.2">
      <c r="A747" s="424" t="s">
        <v>2741</v>
      </c>
    </row>
    <row r="748" spans="1:1" ht="12.75" customHeight="1" x14ac:dyDescent="0.2">
      <c r="A748" s="424" t="s">
        <v>5484</v>
      </c>
    </row>
    <row r="749" spans="1:1" ht="12.75" customHeight="1" x14ac:dyDescent="0.2">
      <c r="A749" s="424" t="s">
        <v>5235</v>
      </c>
    </row>
    <row r="750" spans="1:1" ht="12.75" customHeight="1" x14ac:dyDescent="0.2">
      <c r="A750" s="424" t="s">
        <v>3988</v>
      </c>
    </row>
    <row r="751" spans="1:1" ht="12.75" customHeight="1" x14ac:dyDescent="0.2">
      <c r="A751" s="424" t="s">
        <v>4303</v>
      </c>
    </row>
    <row r="752" spans="1:1" ht="12.75" customHeight="1" x14ac:dyDescent="0.2">
      <c r="A752" s="424" t="s">
        <v>3062</v>
      </c>
    </row>
    <row r="753" spans="1:1" ht="12.75" customHeight="1" x14ac:dyDescent="0.2">
      <c r="A753" s="424" t="s">
        <v>3321</v>
      </c>
    </row>
    <row r="754" spans="1:1" ht="12.75" customHeight="1" x14ac:dyDescent="0.2">
      <c r="A754" s="424" t="s">
        <v>2421</v>
      </c>
    </row>
    <row r="755" spans="1:1" ht="12.75" customHeight="1" x14ac:dyDescent="0.2">
      <c r="A755" s="424" t="s">
        <v>4224</v>
      </c>
    </row>
    <row r="756" spans="1:1" ht="12.75" customHeight="1" x14ac:dyDescent="0.2">
      <c r="A756" s="424" t="s">
        <v>4883</v>
      </c>
    </row>
    <row r="757" spans="1:1" ht="12.75" customHeight="1" x14ac:dyDescent="0.2">
      <c r="A757" s="424" t="s">
        <v>5762</v>
      </c>
    </row>
    <row r="758" spans="1:1" ht="12.75" customHeight="1" x14ac:dyDescent="0.2">
      <c r="A758" s="424" t="s">
        <v>3684</v>
      </c>
    </row>
    <row r="759" spans="1:1" ht="12.75" customHeight="1" x14ac:dyDescent="0.2">
      <c r="A759" s="424" t="s">
        <v>5149</v>
      </c>
    </row>
    <row r="760" spans="1:1" ht="12.75" customHeight="1" x14ac:dyDescent="0.2">
      <c r="A760" s="424" t="s">
        <v>1060</v>
      </c>
    </row>
    <row r="761" spans="1:1" ht="12.75" customHeight="1" x14ac:dyDescent="0.2">
      <c r="A761" s="424" t="s">
        <v>1563</v>
      </c>
    </row>
    <row r="762" spans="1:1" ht="12.75" customHeight="1" x14ac:dyDescent="0.2">
      <c r="A762" s="424" t="s">
        <v>5808</v>
      </c>
    </row>
    <row r="763" spans="1:1" ht="12.75" customHeight="1" x14ac:dyDescent="0.2">
      <c r="A763" s="424" t="s">
        <v>3348</v>
      </c>
    </row>
    <row r="764" spans="1:1" ht="12.75" customHeight="1" x14ac:dyDescent="0.2">
      <c r="A764" s="424" t="s">
        <v>4564</v>
      </c>
    </row>
    <row r="765" spans="1:1" ht="12.75" customHeight="1" x14ac:dyDescent="0.2">
      <c r="A765" s="424" t="s">
        <v>3040</v>
      </c>
    </row>
    <row r="766" spans="1:1" ht="12.75" customHeight="1" x14ac:dyDescent="0.2">
      <c r="A766" s="424" t="s">
        <v>1942</v>
      </c>
    </row>
    <row r="767" spans="1:1" ht="12.75" customHeight="1" x14ac:dyDescent="0.2">
      <c r="A767" s="424" t="s">
        <v>3077</v>
      </c>
    </row>
    <row r="768" spans="1:1" ht="12.75" customHeight="1" x14ac:dyDescent="0.2">
      <c r="A768" s="424" t="s">
        <v>1488</v>
      </c>
    </row>
    <row r="769" spans="1:1" ht="12.75" customHeight="1" x14ac:dyDescent="0.2">
      <c r="A769" s="424" t="s">
        <v>173</v>
      </c>
    </row>
    <row r="770" spans="1:1" ht="12.75" customHeight="1" x14ac:dyDescent="0.2">
      <c r="A770" s="424" t="s">
        <v>4561</v>
      </c>
    </row>
    <row r="771" spans="1:1" ht="12.75" customHeight="1" x14ac:dyDescent="0.2">
      <c r="A771" s="424" t="s">
        <v>2852</v>
      </c>
    </row>
    <row r="772" spans="1:1" ht="12.75" customHeight="1" x14ac:dyDescent="0.2">
      <c r="A772" s="424" t="s">
        <v>5597</v>
      </c>
    </row>
    <row r="773" spans="1:1" ht="12.75" customHeight="1" x14ac:dyDescent="0.2">
      <c r="A773" s="424" t="s">
        <v>5840</v>
      </c>
    </row>
    <row r="774" spans="1:1" ht="12.75" customHeight="1" x14ac:dyDescent="0.2">
      <c r="A774" s="424" t="s">
        <v>5119</v>
      </c>
    </row>
    <row r="775" spans="1:1" ht="12.75" customHeight="1" x14ac:dyDescent="0.2">
      <c r="A775" s="424" t="s">
        <v>2340</v>
      </c>
    </row>
    <row r="776" spans="1:1" ht="12.75" customHeight="1" x14ac:dyDescent="0.2">
      <c r="A776" s="424" t="s">
        <v>5162</v>
      </c>
    </row>
    <row r="777" spans="1:1" ht="12.75" customHeight="1" x14ac:dyDescent="0.2">
      <c r="A777" s="424" t="s">
        <v>2738</v>
      </c>
    </row>
    <row r="778" spans="1:1" ht="12.75" customHeight="1" x14ac:dyDescent="0.2">
      <c r="A778" s="424" t="s">
        <v>3171</v>
      </c>
    </row>
    <row r="779" spans="1:1" ht="12.75" customHeight="1" x14ac:dyDescent="0.2">
      <c r="A779" s="424" t="s">
        <v>1294</v>
      </c>
    </row>
  </sheetData>
  <pageMargins left="0.75" right="0.75" top="1" bottom="1" header="0.5" footer="0.5"/>
  <pageSetup paperSize="9" orientation="portrait" horizontalDpi="300" verticalDpi="300"/>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129"/>
  <sheetViews>
    <sheetView zoomScaleNormal="100" workbookViewId="0"/>
  </sheetViews>
  <sheetFormatPr defaultRowHeight="12.75" customHeight="1" x14ac:dyDescent="0.2"/>
  <sheetData>
    <row r="1" spans="1:64" ht="12.75" customHeight="1" x14ac:dyDescent="0.2">
      <c r="A1" t="s">
        <v>1803</v>
      </c>
      <c r="B1" t="str">
        <f>Labels!B286</f>
        <v>Time</v>
      </c>
      <c r="C1" t="s">
        <v>2768</v>
      </c>
      <c r="D1" t="str">
        <f>Labels!E286</f>
        <v>This variable counts time in years, starting from the beginning of model time. For example, it increases in value by 0.25 each quarter.</v>
      </c>
      <c r="E1" t="s">
        <v>5651</v>
      </c>
      <c r="F1" t="str">
        <f>Labels!B226</f>
        <v>Revenue</v>
      </c>
      <c r="G1" t="s">
        <v>4341</v>
      </c>
      <c r="H1" t="str">
        <f>Labels!E226</f>
        <v>Revenue from billed hours, segmented by Practice Area, Professional Staff Type, Channel, and time period. Includes small engagments from the sales funnel and T&amp;E billed at cost.</v>
      </c>
      <c r="I1" t="s">
        <v>203</v>
      </c>
      <c r="J1" t="str">
        <f>Labels!B229</f>
        <v>Revenue Growth</v>
      </c>
      <c r="K1" t="s">
        <v>3524</v>
      </c>
      <c r="L1" t="str">
        <f>Labels!E229</f>
        <v>Growth rate of revenue compared to the previous time period, segmented by product, by time period</v>
      </c>
      <c r="M1" t="s">
        <v>1420</v>
      </c>
      <c r="N1" t="str">
        <f>Labels!B162</f>
        <v>Average Billing Rates</v>
      </c>
      <c r="O1" t="s">
        <v>1364</v>
      </c>
      <c r="P1" t="str">
        <f>Labels!E162</f>
        <v>Average actual professional billing rates including discounts below list billing rates, segmented by job type, by time period</v>
      </c>
      <c r="Q1" t="s">
        <v>5344</v>
      </c>
      <c r="R1" t="str">
        <f>Labels!B163</f>
        <v>Billing Rates (Nominal )</v>
      </c>
      <c r="S1" t="s">
        <v>5567</v>
      </c>
      <c r="T1" t="str">
        <f>Labels!E163</f>
        <v>Nominal (listed) hourly professional billing rates, by Practice Area, Prof Staff Type, and time period. You should enter billing rate data for the first time period, and for any time period and product for which the professional billing rate changes.</v>
      </c>
      <c r="U1" t="s">
        <v>2426</v>
      </c>
      <c r="V1" t="str">
        <f>Labels!B161</f>
        <v>Billing Rate Discount %</v>
      </c>
      <c r="W1" t="s">
        <v>731</v>
      </c>
      <c r="X1" t="str">
        <f>Labels!E161</f>
        <v>The percentage by which average professional billing rates are reduced from list billing rates, segmented by job type, by time period. Does not include discounts for major Engagements.</v>
      </c>
      <c r="Y1" t="s">
        <v>1493</v>
      </c>
      <c r="Z1" t="str">
        <f>Labels!B182</f>
        <v>Prof Staff Hours Billed</v>
      </c>
      <c r="AA1" t="s">
        <v>2866</v>
      </c>
      <c r="AB1" t="str">
        <f>Labels!E182</f>
        <v xml:space="preserve">Hours of professsional staff time billed to client engagements (includings small engagements from the sales funnel). Segmented by Practice Area, Professional Staff Type, Channel, and time period. </v>
      </c>
      <c r="AC1" t="s">
        <v>673</v>
      </c>
      <c r="AD1" t="str">
        <f>Labels!B42</f>
        <v>Cost of Services</v>
      </c>
      <c r="AE1" t="s">
        <v>4996</v>
      </c>
      <c r="AF1" t="str">
        <f>Labels!E42</f>
        <v>Cost of providing services in client engagements (including small engagements from the sales funnel), segmented by staff cost and supplies cost, and by time period</v>
      </c>
      <c r="AG1" t="s">
        <v>5857</v>
      </c>
      <c r="AH1" t="str">
        <f>Labels!B98</f>
        <v>Gross Margin</v>
      </c>
      <c r="AI1" t="s">
        <v>898</v>
      </c>
      <c r="AJ1" t="str">
        <f>Labels!E98</f>
        <v>Gross margin amount, segmented by Practice Area, Professional Staff Type, Channel, and time period. Unapplied professional staff time is deducted in the computation.</v>
      </c>
      <c r="AK1" t="s">
        <v>565</v>
      </c>
      <c r="AL1" t="str">
        <f>Labels!B100</f>
        <v>Gross Margin %</v>
      </c>
      <c r="AM1" t="s">
        <v>1678</v>
      </c>
      <c r="AN1" t="str">
        <f>Labels!E100</f>
        <v>Gross margin percent (gross margin / revenue), segmented by Practice Area, Professional Staff Type, Channel, and time period</v>
      </c>
      <c r="AO1" t="s">
        <v>5224</v>
      </c>
      <c r="AP1" t="str">
        <f>Labels!B249</f>
        <v>Support Staff Count</v>
      </c>
      <c r="AQ1" t="s">
        <v>5663</v>
      </c>
      <c r="AR1" t="str">
        <f>Labels!E249</f>
        <v>Support staff headcount, segmented by department and job level, by time period. The support staff count is rounded to half-integers.
Headcount is determined by explicit input data, and may be determined by a revenue-driven formula for later time periods.</v>
      </c>
      <c r="AS1" t="s">
        <v>2243</v>
      </c>
      <c r="AT1" t="str">
        <f>Labels!B253</f>
        <v>Support Staff Count1</v>
      </c>
      <c r="AU1" t="s">
        <v>5588</v>
      </c>
      <c r="AV1" t="str">
        <f>Labels!E253</f>
        <v>Support staff headcount, segmented by department and job level, by time period. The formula allows nonlinear growth of headcount with revenue. Each headcount number is later rounded to half-integers.</v>
      </c>
      <c r="AW1" t="s">
        <v>4784</v>
      </c>
      <c r="AX1" t="str">
        <f>Labels!B251</f>
        <v>Support Staff Count Early</v>
      </c>
      <c r="AY1" t="s">
        <v>4433</v>
      </c>
      <c r="AZ1" t="str">
        <f>Labels!E251</f>
        <v>Support staff headcount for the first few time periods, given explicitly as numerical input. Later headcount is computed from formula count = K0 + K1 *(revenue/1000)^K2. The cutover from explicit input data to the revenue-driven formula is controlled by the variable 'Sup Staff Count Early Cutover'. Excludes profesional staff. 
All headcount by department and job level is later rounded to half-integers.</v>
      </c>
      <c r="BA1" t="s">
        <v>4695</v>
      </c>
      <c r="BB1" t="str">
        <f>Labels!B252</f>
        <v>Support Staff Constants</v>
      </c>
      <c r="BC1" t="s">
        <v>1601</v>
      </c>
      <c r="BD1" t="str">
        <f>Labels!E252</f>
        <v>Constants K0, K1 and K2 used in the computation of support staff headcount (by department and job level) as count = K0 + K1 *(annualized revenue/1000000)^K2</v>
      </c>
      <c r="BE1" t="s">
        <v>1404</v>
      </c>
      <c r="BF1" t="str">
        <f>Labels!B261</f>
        <v>Avg Support Staff Wage</v>
      </c>
      <c r="BG1" t="s">
        <v>954</v>
      </c>
      <c r="BH1" t="str">
        <f>Labels!E261</f>
        <v>The average wage per support staff per time period, segmented by department and job level</v>
      </c>
      <c r="BI1" t="s">
        <v>3867</v>
      </c>
      <c r="BJ1" t="str">
        <f>Labels!B203</f>
        <v>Prof Salary increase %</v>
      </c>
      <c r="BK1" t="s">
        <v>1045</v>
      </c>
      <c r="BL1" t="str">
        <f>Labels!E203</f>
        <v>The rate of increase of professional salaries. The variable 'Wage Increase Annual?' determines whether this rate of increase is interpreted as an annual rate spread over all time periods, or as the actual rate that is applied in each time period.</v>
      </c>
    </row>
    <row r="2" spans="1:64" ht="12.75" customHeight="1" x14ac:dyDescent="0.2">
      <c r="A2" t="s">
        <v>5541</v>
      </c>
      <c r="B2" t="str">
        <f>Labels!B246</f>
        <v>Support Staff Benefits %</v>
      </c>
      <c r="C2" t="s">
        <v>4312</v>
      </c>
      <c r="D2" t="str">
        <f>Labels!E246</f>
        <v>Support staff benefits expense, as a percentage of wages, excluding bonuses and commissions</v>
      </c>
      <c r="E2" t="s">
        <v>4468</v>
      </c>
      <c r="F2" t="str">
        <f>Labels!B234</f>
        <v>Sales Commission</v>
      </c>
      <c r="G2" t="s">
        <v>3648</v>
      </c>
      <c r="H2" t="str">
        <f>Labels!E234</f>
        <v>Sales commission expense paid only on commissionable sales, without employee benefits or wage taxes, by time period.
If no department has the name "Sales", then sales commissions may not be included in operating expenses.</v>
      </c>
      <c r="I2" t="s">
        <v>2358</v>
      </c>
      <c r="J2" t="str">
        <f>Labels!B232</f>
        <v>Sales Commis Rate</v>
      </c>
      <c r="K2" t="s">
        <v>1742</v>
      </c>
      <c r="L2" t="str">
        <f>Labels!E232</f>
        <v>The percentage of revenue paid as sales commissions on those orders that are commissionable, by time period</v>
      </c>
      <c r="M2" t="s">
        <v>971</v>
      </c>
      <c r="N2" t="str">
        <f>Labels!B233</f>
        <v>Sales Commis Rev Share</v>
      </c>
      <c r="O2" t="s">
        <v>4092</v>
      </c>
      <c r="P2" t="str">
        <f>Labels!E233</f>
        <v>The fraction of revenue on which commission is paid, per time period.</v>
      </c>
      <c r="Q2" t="s">
        <v>2811</v>
      </c>
      <c r="R2" t="str">
        <f>Labels!B247</f>
        <v>Support Staff  Bonus</v>
      </c>
      <c r="S2" t="s">
        <v>2460</v>
      </c>
      <c r="T2" t="str">
        <f>Labels!E247</f>
        <v>The bonus pool for support staff, segmented by department, by job level, by time period</v>
      </c>
      <c r="U2" t="s">
        <v>2589</v>
      </c>
      <c r="V2" t="str">
        <f>Labels!B248</f>
        <v>Support Staff  Bonus %</v>
      </c>
      <c r="W2" t="s">
        <v>3327</v>
      </c>
      <c r="X2" t="str">
        <f>Labels!E248</f>
        <v>Bonus pool for support staff as a percentage of wages, by department and job level, by time period</v>
      </c>
      <c r="Y2" t="s">
        <v>5041</v>
      </c>
      <c r="Z2" t="str">
        <f>Labels!B258</f>
        <v>Support Staff Rel Exp</v>
      </c>
      <c r="AA2" t="s">
        <v>1697</v>
      </c>
      <c r="AB2" t="str">
        <f>Labels!E258</f>
        <v>Support staff-related expenses, segmented by department and expense type</v>
      </c>
      <c r="AC2" t="s">
        <v>2479</v>
      </c>
      <c r="AD2" t="str">
        <f>Labels!B148</f>
        <v>Per Sup Staff Exp (Yr)</v>
      </c>
      <c r="AE2" t="s">
        <v>5443</v>
      </c>
      <c r="AF2" t="str">
        <f>Labels!E148</f>
        <v>Annualized employee-related expense per support staff, segmented by department, by expense type, by time period</v>
      </c>
      <c r="AG2" t="s">
        <v>4262</v>
      </c>
      <c r="AH2" t="str">
        <f>Labels!B124</f>
        <v>Mktg Programs Exp</v>
      </c>
      <c r="AI2" t="s">
        <v>2174</v>
      </c>
      <c r="AJ2" t="str">
        <f>Labels!E124</f>
        <v>Marketing department program expenses, by marketing program, by time period</v>
      </c>
      <c r="AK2" t="s">
        <v>3503</v>
      </c>
      <c r="AL2" t="str">
        <f>Labels!B125</f>
        <v>Mktg Pgms Exp Early</v>
      </c>
      <c r="AM2" t="s">
        <v>4545</v>
      </c>
      <c r="AN2" t="str">
        <f>Labels!E125</f>
        <v>Marketing department program expenses for early time periods, segmented by program, by time period. The variable 'Mktg Pgms Exp Early Cutover' specifies the last time period in which the data in this variable is used, after which a revenue-driven formula is used to compute marketing program expenses.</v>
      </c>
      <c r="AO2" t="s">
        <v>3924</v>
      </c>
      <c r="AP2" t="str">
        <f>Labels!B126</f>
        <v>Mktg Prog K</v>
      </c>
      <c r="AQ2" t="s">
        <v>4178</v>
      </c>
      <c r="AR2" t="str">
        <f>Labels!E126</f>
        <v>Constants K0, K1 and K2 used to compute annualized marketing department program expenses as K0 + K1 *(annualized revenue/1000)^K2. This formula is used to compute marketing program expenses after the time specified in variable 'Mktg Pgms Early Cutover'.</v>
      </c>
      <c r="AS2" t="s">
        <v>2145</v>
      </c>
      <c r="AT2" t="str">
        <f>Labels!B93</f>
        <v>Facilities &amp; Utilities Exp</v>
      </c>
      <c r="AU2" t="s">
        <v>5554</v>
      </c>
      <c r="AV2" t="str">
        <f>Labels!E93</f>
        <v>Facilities and utilities expense per time period, segmented by department</v>
      </c>
      <c r="AW2" t="s">
        <v>66</v>
      </c>
      <c r="AX2" t="str">
        <f>Labels!B132</f>
        <v>Office Space (Ksqf/Person)</v>
      </c>
      <c r="AY2" t="s">
        <v>4403</v>
      </c>
      <c r="AZ2" t="str">
        <f>Labels!E132</f>
        <v>Average office space (K sqft / person). Applies only to space that is allocated by employee count, not to space that is independent of employee count.</v>
      </c>
      <c r="BA2" t="s">
        <v>835</v>
      </c>
      <c r="BB2" t="str">
        <f>Labels!B131</f>
        <v>Office Rent ($/sqf/Yr)</v>
      </c>
      <c r="BC2" t="s">
        <v>4076</v>
      </c>
      <c r="BD2" t="str">
        <f>Labels!E131</f>
        <v>Office rental expense ($/sqft/Yr), by time period. Applies only to space that is allocated by employee count, not to space that is independent of employee count.</v>
      </c>
      <c r="BE2" t="s">
        <v>4522</v>
      </c>
      <c r="BF2" t="str">
        <f>Labels!B133</f>
        <v>Office Utilities ($/sqf/Yr)</v>
      </c>
      <c r="BG2" t="s">
        <v>2977</v>
      </c>
      <c r="BH2" t="str">
        <f>Labels!E133</f>
        <v>Office utilities expense ($/sqft/Yr), by time period</v>
      </c>
      <c r="BI2" t="s">
        <v>929</v>
      </c>
      <c r="BJ2" t="str">
        <f>Labels!B130</f>
        <v>Office Maint ($/sqf/Yr)</v>
      </c>
      <c r="BK2" t="s">
        <v>2923</v>
      </c>
      <c r="BL2" t="str">
        <f>Labels!E130</f>
        <v>Office maintenance expense ($/sqft/Yr), by time period. Applies only to space that is allocated by employee count, not to space that is independent of employee count.</v>
      </c>
    </row>
    <row r="3" spans="1:64" ht="12.75" customHeight="1" x14ac:dyDescent="0.2">
      <c r="A3" t="s">
        <v>3088</v>
      </c>
      <c r="B3" t="str">
        <f>Labels!B97</f>
        <v>Gen &amp; Admin Exp</v>
      </c>
      <c r="C3" t="s">
        <v>3181</v>
      </c>
      <c r="D3" t="str">
        <f>Labels!E97</f>
        <v>General &amp; administrative expense</v>
      </c>
      <c r="E3" t="s">
        <v>549</v>
      </c>
      <c r="F3" t="str">
        <f>Labels!B95</f>
        <v>G &amp; A Exp Constants</v>
      </c>
      <c r="G3" t="s">
        <v>873</v>
      </c>
      <c r="H3" t="str">
        <f>Labels!E95</f>
        <v>Constants K0, K1 and K2 that determine annualized G &amp; A expense (by department) as K0 + K1 *(annualized revenue/1000)^K2. If recruiting expense is included in the model, it uses a more detailed cost analysis, and does not use the K constants.</v>
      </c>
      <c r="I3" t="s">
        <v>1539</v>
      </c>
      <c r="J3" t="str">
        <f>Labels!B135</f>
        <v>Operating Expense</v>
      </c>
      <c r="K3" t="s">
        <v>100</v>
      </c>
      <c r="L3" t="str">
        <f>Labels!E135</f>
        <v>Operating expense, segmented by department and expense type, by time period</v>
      </c>
      <c r="M3" t="s">
        <v>500</v>
      </c>
      <c r="N3" t="str">
        <f>Labels!B136</f>
        <v>Operating Margin</v>
      </c>
      <c r="O3" t="s">
        <v>2441</v>
      </c>
      <c r="P3" t="str">
        <f>Labels!E136</f>
        <v>Operating margin amount, per time period</v>
      </c>
      <c r="Q3" t="s">
        <v>3998</v>
      </c>
      <c r="R3" t="str">
        <f>Labels!B137</f>
        <v>Operating Margin %</v>
      </c>
      <c r="S3" t="s">
        <v>5198</v>
      </c>
      <c r="T3" t="str">
        <f>Labels!E137</f>
        <v>The ratio operating margin / revenue, by time period</v>
      </c>
      <c r="U3" t="s">
        <v>3676</v>
      </c>
      <c r="V3" t="str">
        <f>Labels!B94</f>
        <v>Financial Exp</v>
      </c>
      <c r="W3" t="s">
        <v>3582</v>
      </c>
      <c r="X3" t="str">
        <f>Labels!E94</f>
        <v>Financial expense = bad debt expense + interest expense</v>
      </c>
      <c r="Y3" t="s">
        <v>3786</v>
      </c>
      <c r="Z3" t="str">
        <f>Labels!B15</f>
        <v>Bad Debt Expense</v>
      </c>
      <c r="AA3" t="s">
        <v>1913</v>
      </c>
      <c r="AB3" t="str">
        <f>Labels!E15</f>
        <v>The amount of bad debt expense in each accounting period.</v>
      </c>
      <c r="AC3" t="s">
        <v>3164</v>
      </c>
      <c r="AD3" t="str">
        <f>Labels!B16</f>
        <v>Bad Debt %</v>
      </c>
      <c r="AE3" t="s">
        <v>5539</v>
      </c>
      <c r="AF3" t="str">
        <f>Labels!E16</f>
        <v>Bad debt expense expressed as a percent of accounts receivable, for each time period</v>
      </c>
      <c r="AG3" t="s">
        <v>3532</v>
      </c>
      <c r="AH3" t="str">
        <f>Labels!B106</f>
        <v>Net Interest Expense</v>
      </c>
      <c r="AI3" t="s">
        <v>1731</v>
      </c>
      <c r="AJ3" t="str">
        <f>Labels!E106</f>
        <v>Interest expense on short-term debt, long-term loans, and bonds (including bond initiation fees), net of interest earned on starting cash balance, for each time period.
Use of starting cash balance is a simplification that bypasses interdependence of interest earned and cash balances.</v>
      </c>
      <c r="AK3" t="s">
        <v>4576</v>
      </c>
      <c r="AL3" t="str">
        <f>Labels!B109</f>
        <v>Short Interest Rate (Yr)</v>
      </c>
      <c r="AM3" t="s">
        <v>1543</v>
      </c>
      <c r="AN3" t="str">
        <f>Labels!E109</f>
        <v>Annual interest rate on short-term debt, quoted for each time period. The model expresses all input interest rates in annual terms.</v>
      </c>
      <c r="AO3" t="s">
        <v>5211</v>
      </c>
      <c r="AP3" t="str">
        <f>Labels!B108</f>
        <v>Long Interest Rate (Yr)</v>
      </c>
      <c r="AQ3" t="s">
        <v>2476</v>
      </c>
      <c r="AR3" t="str">
        <f>Labels!E108</f>
        <v>Annual interest rate on long-term debt, quoted for each time period. The model expresses all input interest rates in annual terms.</v>
      </c>
      <c r="AS3" t="s">
        <v>5388</v>
      </c>
      <c r="AT3" t="str">
        <f>Labels!B104</f>
        <v>Income Tax</v>
      </c>
      <c r="AU3" t="s">
        <v>2766</v>
      </c>
      <c r="AV3" t="str">
        <f>Labels!E104</f>
        <v>Income tax expense for each time period</v>
      </c>
      <c r="AW3" t="s">
        <v>723</v>
      </c>
      <c r="AX3" t="str">
        <f>Labels!B285</f>
        <v>Taxable Income</v>
      </c>
      <c r="AY3" t="s">
        <v>5108</v>
      </c>
      <c r="AZ3" t="str">
        <f>Labels!E285</f>
        <v>Income subject to income tax. Applicable losses carried forward from previous time periods are already subtracted.</v>
      </c>
      <c r="BA3" t="s">
        <v>2694</v>
      </c>
      <c r="BB3" t="str">
        <f>Labels!B120</f>
        <v>Loss Carry Forward</v>
      </c>
      <c r="BC3" t="s">
        <v>1587</v>
      </c>
      <c r="BD3" t="str">
        <f>Labels!E120</f>
        <v>Losses carried forward from preivous time periods, for use in computation of income tax expense</v>
      </c>
      <c r="BE3" t="s">
        <v>4274</v>
      </c>
      <c r="BF3" t="str">
        <f>Labels!B105</f>
        <v>Income Tax Rate</v>
      </c>
      <c r="BG3" t="s">
        <v>709</v>
      </c>
      <c r="BH3" t="str">
        <f>Labels!E105</f>
        <v>Income tax rate</v>
      </c>
      <c r="BI3" t="s">
        <v>1082</v>
      </c>
      <c r="BJ3" t="str">
        <f>Labels!B127</f>
        <v>Net Income</v>
      </c>
      <c r="BK3" t="s">
        <v>4296</v>
      </c>
      <c r="BL3" t="str">
        <f>Labels!E127</f>
        <v>Net income</v>
      </c>
    </row>
    <row r="4" spans="1:64" ht="12.75" customHeight="1" x14ac:dyDescent="0.2">
      <c r="A4" t="s">
        <v>2274</v>
      </c>
      <c r="B4" t="str">
        <f>Labels!B225</f>
        <v>Return on Sales %</v>
      </c>
      <c r="C4" t="s">
        <v>2632</v>
      </c>
      <c r="D4" t="str">
        <f>Labels!E225</f>
        <v>The ratio net income / revenue, by time period</v>
      </c>
      <c r="E4" t="s">
        <v>3778</v>
      </c>
      <c r="F4" t="str">
        <f>Labels!B14</f>
        <v>Assets</v>
      </c>
      <c r="G4" t="s">
        <v>346</v>
      </c>
      <c r="H4" t="str">
        <f>Labels!E14</f>
        <v>The total assets of the company at the end of each time period</v>
      </c>
      <c r="I4" t="s">
        <v>2706</v>
      </c>
      <c r="J4" t="str">
        <f>Labels!B18</f>
        <v>Ending Cash</v>
      </c>
      <c r="K4" t="s">
        <v>5591</v>
      </c>
      <c r="L4" t="str">
        <f>Labels!E18</f>
        <v>Cash balance at the end of each accounting period</v>
      </c>
      <c r="M4" t="s">
        <v>798</v>
      </c>
      <c r="N4" t="str">
        <f>Labels!B28</f>
        <v>Cash No Short Debt</v>
      </c>
      <c r="O4" t="s">
        <v>1672</v>
      </c>
      <c r="P4" t="str">
        <f>Labels!E28</f>
        <v>Cash balance that would be at the end of each accounting period if the company ends the period with no short term debt. This amount is computed, then the policy for determining the amount of short term debt is applied, then the period-ending cash balance can be computed.</v>
      </c>
      <c r="Q4" t="s">
        <v>757</v>
      </c>
      <c r="R4" t="str">
        <f>Labels!B31</f>
        <v>Cash Target Days</v>
      </c>
      <c r="S4" t="s">
        <v>4470</v>
      </c>
      <c r="T4" t="str">
        <f>Labels!E31</f>
        <v>The target for cash balance at the end of each accounting period, expressed as a number of days of revenue. This is the key parameter in the policy for determining the level of short-term debt to be carried a the end of each accounting period.</v>
      </c>
      <c r="U4" t="s">
        <v>1448</v>
      </c>
      <c r="V4" t="str">
        <f>Labels!B11</f>
        <v>Accounts Receivable</v>
      </c>
      <c r="W4" t="s">
        <v>1110</v>
      </c>
      <c r="X4" t="str">
        <f>Labels!E11</f>
        <v>The estimated amount of accounts receivable at the end of a time period</v>
      </c>
      <c r="Y4" t="s">
        <v>4924</v>
      </c>
      <c r="Z4" t="str">
        <f>Labels!B10</f>
        <v>Accts Receivable Days</v>
      </c>
      <c r="AA4" t="s">
        <v>2214</v>
      </c>
      <c r="AB4" t="str">
        <f>Labels!E10</f>
        <v>The estimated amount of accounts receivable at the end of a time period, expressed as a number of days of revenue. Used to compute accounts receivable.</v>
      </c>
      <c r="AC4" t="s">
        <v>4510</v>
      </c>
      <c r="AD4" t="str">
        <f>Labels!B35</f>
        <v>Chg Accts Rec</v>
      </c>
      <c r="AE4" t="s">
        <v>5715</v>
      </c>
      <c r="AF4" t="str">
        <f>Labels!E35</f>
        <v>Change in accounts receivable from the previous period. The model has a variable for this because (a) this amount will be displayed in the cash flow statement worksheet, and (b) this amount is used in several formulas so it is convenient to store it in a variable.</v>
      </c>
      <c r="AG4" t="s">
        <v>676</v>
      </c>
      <c r="AH4" t="str">
        <f>Labels!B118</f>
        <v>Long Term Assets</v>
      </c>
      <c r="AI4" t="s">
        <v>4252</v>
      </c>
      <c r="AJ4" t="str">
        <f>Labels!E118</f>
        <v xml:space="preserve">Value of long term assets, including tagged and untagged long-term assets, by time period, </v>
      </c>
      <c r="AK4" t="s">
        <v>2732</v>
      </c>
      <c r="AL4" t="str">
        <f>Labels!B117</f>
        <v>Long Asset Purch</v>
      </c>
      <c r="AM4" t="s">
        <v>2580</v>
      </c>
      <c r="AN4" t="str">
        <f>Labels!E117</f>
        <v>Value of purchases of long term assets, including tagged and untagged long-term assets, by time period</v>
      </c>
      <c r="AO4" t="s">
        <v>4164</v>
      </c>
      <c r="AP4" t="str">
        <f>Labels!B54</f>
        <v>Depreciation</v>
      </c>
      <c r="AQ4" t="s">
        <v>2644</v>
      </c>
      <c r="AR4" t="str">
        <f>Labels!E54</f>
        <v>Depreciation expense during each accounting period, segmented by type of asset (hardware, software, equipment &amp; furniture)</v>
      </c>
      <c r="AS4" t="s">
        <v>5714</v>
      </c>
      <c r="AT4" t="str">
        <f>Labels!B289</f>
        <v>Deprec Life (Yrs)</v>
      </c>
      <c r="AU4" t="s">
        <v>5037</v>
      </c>
      <c r="AV4" t="str">
        <f>Labels!E289</f>
        <v>The asset life that determines the rate of depreciation of untagged assets, by type of untagged asset. In the current implementation, life must be an integral number of years &lt;= 9.</v>
      </c>
      <c r="AW4" t="s">
        <v>4574</v>
      </c>
      <c r="AX4" t="str">
        <f>Labels!B116</f>
        <v>Liabilities</v>
      </c>
      <c r="AY4" t="s">
        <v>5091</v>
      </c>
      <c r="AZ4" t="str">
        <f>Labels!E116</f>
        <v>Liabilities, segmented by payables, long and short term debt</v>
      </c>
      <c r="BA4" t="s">
        <v>2880</v>
      </c>
      <c r="BB4" t="str">
        <f>Labels!B8</f>
        <v>Accts Payable</v>
      </c>
      <c r="BC4" t="s">
        <v>3217</v>
      </c>
      <c r="BD4" t="str">
        <f>Labels!E8</f>
        <v>The amount of accounts payable balance at the end of a time period. Purchases of supplies inventory are assumed purchased on a cash basis.</v>
      </c>
      <c r="BE4" t="s">
        <v>5311</v>
      </c>
      <c r="BF4" t="str">
        <f>Labels!B6</f>
        <v>Accts Payable Days</v>
      </c>
      <c r="BG4" t="s">
        <v>1142</v>
      </c>
      <c r="BH4" t="str">
        <f>Labels!E6</f>
        <v>The amount of accounts payables at the end of a time period measured as a number of days of revenue</v>
      </c>
      <c r="BI4" t="s">
        <v>2938</v>
      </c>
      <c r="BJ4" t="str">
        <f>Labels!B7</f>
        <v>Accts Pay Targ Days</v>
      </c>
      <c r="BK4" t="s">
        <v>1896</v>
      </c>
      <c r="BL4" t="str">
        <f>Labels!E7</f>
        <v>The amount of accounts payables at the end of a time period expressed as a target  number of days of revenue. Used to compute payables.</v>
      </c>
    </row>
    <row r="5" spans="1:64" ht="12.75" customHeight="1" x14ac:dyDescent="0.2">
      <c r="A5" t="s">
        <v>33</v>
      </c>
      <c r="B5" t="str">
        <f>Labels!B34</f>
        <v>Chg Accts Pay</v>
      </c>
      <c r="C5" t="s">
        <v>3734</v>
      </c>
      <c r="D5" t="str">
        <f>Labels!E34</f>
        <v>Change in accounts payable from the previous period. The model has a variable for this because (a) this amount will be displayed in the cash flow statement worksheet, and (b) this amount is used in several formulas so it is convenient to store it in a variable.</v>
      </c>
      <c r="E5" t="s">
        <v>5483</v>
      </c>
      <c r="F5" t="str">
        <f>Labels!B210</f>
        <v>Purchases</v>
      </c>
      <c r="G5" t="s">
        <v>3033</v>
      </c>
      <c r="H5" t="str">
        <f>Labels!E210</f>
        <v>Amount of purchases, split out by goods and services, payroll, and income taxes, per period. Used to compute accounts payable.</v>
      </c>
      <c r="I5" t="s">
        <v>3710</v>
      </c>
      <c r="J5" t="str">
        <f>Labels!B245</f>
        <v>Short Term Debt</v>
      </c>
      <c r="K5" t="s">
        <v>197</v>
      </c>
      <c r="L5" t="str">
        <f>Labels!E245</f>
        <v>The amount of short-term debt outstanding at the end of each time period.
This variable contains a formula that expresses a policy: the company takes enough short-term loans to keep cash balances equal to a target number of days of revenue.</v>
      </c>
      <c r="M5" t="s">
        <v>4726</v>
      </c>
      <c r="N5" t="str">
        <f>Labels!B40</f>
        <v>Chg Short Debt</v>
      </c>
      <c r="O5" t="s">
        <v>3899</v>
      </c>
      <c r="P5" t="str">
        <f>Labels!E40</f>
        <v>Change in short-term debt from the previous period. The model has a variable for this because (a) this amount will be displayed in the cash flow statement worksheet, and (b) this amount is used in several formulas so it is convenient to store it in a variable.</v>
      </c>
      <c r="Q5" t="s">
        <v>1990</v>
      </c>
      <c r="R5" t="str">
        <f>Labels!B119</f>
        <v>Long Term Loans</v>
      </c>
      <c r="S5" t="s">
        <v>1238</v>
      </c>
      <c r="T5" t="str">
        <f>Labels!E119</f>
        <v>Principal amount of long-term loans (excluding bonds), by time period</v>
      </c>
      <c r="U5" t="s">
        <v>4391</v>
      </c>
      <c r="V5" t="str">
        <f>Labels!B39</f>
        <v>Chg Long Debt</v>
      </c>
      <c r="W5" t="s">
        <v>5694</v>
      </c>
      <c r="X5" t="str">
        <f>Labels!E39</f>
        <v>Change in long-term debt from the previous period, including loans and bonds. The model has a variable for this because (a) this amount will be displayed in the cash flow statement worksheet, and (b) this amount is used in several formulas so it is convenient to store it in a variable.</v>
      </c>
      <c r="Y5" t="s">
        <v>2967</v>
      </c>
      <c r="Z5" t="str">
        <f>Labels!B91</f>
        <v>Equity</v>
      </c>
      <c r="AA5" t="s">
        <v>5049</v>
      </c>
      <c r="AB5" t="str">
        <f>Labels!E91</f>
        <v>Book value of equity, segmented by paid-in capital and retained earnings</v>
      </c>
      <c r="AC5" t="s">
        <v>5474</v>
      </c>
      <c r="AD5" t="str">
        <f>Labels!B146</f>
        <v>Paid in Capital</v>
      </c>
      <c r="AE5" t="s">
        <v>4762</v>
      </c>
      <c r="AF5" t="str">
        <f>Labels!E146</f>
        <v>The stock of paid in capital at the end of each time period</v>
      </c>
      <c r="AG5" t="s">
        <v>782</v>
      </c>
      <c r="AH5" t="str">
        <f>Labels!B222</f>
        <v>Retained Earnings</v>
      </c>
      <c r="AI5" t="s">
        <v>65</v>
      </c>
      <c r="AJ5" t="str">
        <f>Labels!E222</f>
        <v>The stock of retained earnings at the end of each time period. The value at the start of model time is determined by the accounting identity Retained Earnings = Assets - Liabilities - Paid_In_Capital.</v>
      </c>
      <c r="AK5" t="s">
        <v>158</v>
      </c>
      <c r="AL5" t="str">
        <f>Labels!B128</f>
        <v>Net Stock Issue</v>
      </c>
      <c r="AM5" t="s">
        <v>5667</v>
      </c>
      <c r="AN5" t="str">
        <f>Labels!E128</f>
        <v>Book value of stock issued less buy-backs, by time period.
This variable includes a formula that implements a policy for the sale of stock based on cash balances and recent rates of change of cash balances.</v>
      </c>
      <c r="AO5" t="s">
        <v>4073</v>
      </c>
      <c r="AP5" t="str">
        <f>Labels!B64</f>
        <v>Dividend</v>
      </c>
      <c r="AQ5" t="s">
        <v>961</v>
      </c>
      <c r="AR5" t="str">
        <f>Labels!E64</f>
        <v>The cash dividend payment in each accounting period.
The formula in this variable expresses a dividend policy, based on the relationship between cash balances and revenue, and previous dividends.</v>
      </c>
      <c r="AS5" t="s">
        <v>1965</v>
      </c>
      <c r="AT5" t="str">
        <f>Labels!B17</f>
        <v>Balance Check</v>
      </c>
      <c r="AU5" t="s">
        <v>3599</v>
      </c>
      <c r="AV5" t="str">
        <f>Labels!E17</f>
        <v>A checksum. Equals Assets - Liabilities - Equity, which must be zero if assets, liabilities and equity are accounted for correctly</v>
      </c>
      <c r="AW5" t="s">
        <v>5561</v>
      </c>
      <c r="AX5" t="str">
        <f>Labels!B13</f>
        <v>Asset Turnover</v>
      </c>
      <c r="AY5" t="s">
        <v>5661</v>
      </c>
      <c r="AZ5" t="str">
        <f>Labels!E13</f>
        <v>The ratio (revenue for each time period)/ (assets at the end of each time period)</v>
      </c>
      <c r="BA5" t="s">
        <v>2339</v>
      </c>
      <c r="BB5" t="str">
        <f>Labels!B231</f>
        <v>Revenue / Prof Staff</v>
      </c>
      <c r="BC5" t="s">
        <v>4608</v>
      </c>
      <c r="BD5" t="str">
        <f>Labels!E231</f>
        <v>The ratio (revenue for each time period) / (professional staff count at end of each time period)</v>
      </c>
      <c r="BE5" t="s">
        <v>3014</v>
      </c>
      <c r="BF5" t="str">
        <f>Labels!B256</f>
        <v xml:space="preserve">Support Staff/Rev Million </v>
      </c>
      <c r="BG5" t="s">
        <v>3879</v>
      </c>
      <c r="BH5" t="str">
        <f>Labels!E256</f>
        <v>The ratio (support staff count at end of time period)/ (revenue 000 for time period)</v>
      </c>
      <c r="BI5" t="s">
        <v>1064</v>
      </c>
      <c r="BJ5" t="str">
        <f>Labels!B52</f>
        <v>Current Ratio</v>
      </c>
      <c r="BK5" t="s">
        <v>5499</v>
      </c>
      <c r="BL5" t="str">
        <f>Labels!E52</f>
        <v>The accounting current ratio, equal to current assets / current liabilities</v>
      </c>
    </row>
    <row r="6" spans="1:64" ht="12.75" customHeight="1" x14ac:dyDescent="0.2">
      <c r="A6" t="s">
        <v>64</v>
      </c>
      <c r="B6" t="str">
        <f>Labels!B212</f>
        <v>Quick Ratio</v>
      </c>
      <c r="C6" t="s">
        <v>1720</v>
      </c>
      <c r="D6" t="str">
        <f>Labels!E212</f>
        <v>The ratio (short-term assets less inventory) / short-term liabilities, by time period</v>
      </c>
      <c r="E6" t="s">
        <v>4398</v>
      </c>
      <c r="F6" t="str">
        <f>Labels!B223</f>
        <v>Return on Assets</v>
      </c>
      <c r="G6" t="s">
        <v>4666</v>
      </c>
      <c r="H6" t="str">
        <f>Labels!E223</f>
        <v>The ratio (trailing annual net income) / assets, by time period</v>
      </c>
      <c r="I6" t="s">
        <v>5773</v>
      </c>
      <c r="J6" t="str">
        <f>Labels!B224</f>
        <v>Return on Equity</v>
      </c>
      <c r="K6" t="s">
        <v>1313</v>
      </c>
      <c r="L6" t="str">
        <f>Labels!E224</f>
        <v>The ratio (trailing annual net income) / (book value of equity), by time period</v>
      </c>
      <c r="M6" t="s">
        <v>5264</v>
      </c>
      <c r="N6" t="str">
        <f>Labels!B53</f>
        <v>Debt Ratio</v>
      </c>
      <c r="O6" t="s">
        <v>2776</v>
      </c>
      <c r="P6" t="str">
        <f>Labels!E53</f>
        <v>The accounting debt ratio, equal to the total long and short term debt divided by the total assets</v>
      </c>
      <c r="Q6" t="s">
        <v>5127</v>
      </c>
      <c r="R6" t="str">
        <f>Labels!B160</f>
        <v>Price/Sales Ratio</v>
      </c>
      <c r="S6" t="s">
        <v>2898</v>
      </c>
      <c r="T6" t="str">
        <f>Labels!E160</f>
        <v>The ratio (valuation of equity) / (trailing annual revenue), by time period</v>
      </c>
      <c r="U6" t="s">
        <v>5510</v>
      </c>
      <c r="V6" t="str">
        <f>Labels!B159</f>
        <v>Price Earnings Ratio</v>
      </c>
      <c r="W6" t="s">
        <v>5274</v>
      </c>
      <c r="X6" t="str">
        <f>Labels!E159</f>
        <v>The ratio (value of equity) / (trailing annual net income), by time period</v>
      </c>
      <c r="Y6" t="s">
        <v>4484</v>
      </c>
      <c r="Z6" t="str">
        <f>Labels!B158</f>
        <v>Price Book Multiple</v>
      </c>
      <c r="AA6" t="s">
        <v>4894</v>
      </c>
      <c r="AB6" t="str">
        <f>Labels!E158</f>
        <v>The ratio (valuation of equity) / (book value of equity), by time period</v>
      </c>
      <c r="AC6" t="s">
        <v>5437</v>
      </c>
      <c r="AD6" t="str">
        <f>Labels!B65</f>
        <v>Dividend Yield</v>
      </c>
      <c r="AE6" t="s">
        <v>5213</v>
      </c>
      <c r="AF6" t="str">
        <f>Labels!E65</f>
        <v>The cash dividend payment in each accounting period expressed as a percentage of equity valuation</v>
      </c>
      <c r="AG6" t="s">
        <v>2613</v>
      </c>
      <c r="AH6" t="str">
        <f>Labels!B61</f>
        <v>Discount Factor</v>
      </c>
      <c r="AI6" t="s">
        <v>3814</v>
      </c>
      <c r="AJ6" t="str">
        <f>Labels!E61</f>
        <v>The factor applied to cash flow in each time period to compute its contribution to present value</v>
      </c>
      <c r="AK6" t="s">
        <v>1175</v>
      </c>
      <c r="AL6" t="str">
        <f>Labels!B62</f>
        <v>Discount Rate</v>
      </c>
      <c r="AM6" t="s">
        <v>4703</v>
      </c>
      <c r="AN6" t="str">
        <f>Labels!E62</f>
        <v>The discount rate per time period for computing present values</v>
      </c>
      <c r="AO6" t="s">
        <v>5453</v>
      </c>
      <c r="AP6" t="str">
        <f>Labels!B63</f>
        <v>Discount Rate Direct (Yr)</v>
      </c>
      <c r="AQ6" t="s">
        <v>1130</v>
      </c>
      <c r="AR6" t="str">
        <f>Labels!E63</f>
        <v>The discount rate to be used, if the Discount_Method = "direct". Annual rate is quoted for each time period. The model expresses all input discount rates in annual terms.</v>
      </c>
      <c r="AS6" t="s">
        <v>1304</v>
      </c>
      <c r="AT6" t="str">
        <f>Labels!B295</f>
        <v>Valuation (equity)</v>
      </c>
      <c r="AU6" t="s">
        <v>3589</v>
      </c>
      <c r="AV6" t="str">
        <f>Labels!E295</f>
        <v xml:space="preserve">Valuation of the equity of the company at each point in time, assuming that the company has met plan in all past time periods, using cash flows (including tail cash flows occurring after the end of model time), expectation factors for cash flow, and specified discount rates during model time and after the end of model time. </v>
      </c>
      <c r="AW6" t="s">
        <v>1663</v>
      </c>
      <c r="AX6" t="str">
        <f>Labels!B282</f>
        <v>Tail Future Value</v>
      </c>
      <c r="AY6" t="s">
        <v>516</v>
      </c>
      <c r="AZ6" t="str">
        <f>Labels!E282</f>
        <v>The value of cash flows assumed to occur after the end of model time, discounted to the present value at the end of model time. An asset value for this future cash flow is included in the valuation of the equity of the company.</v>
      </c>
      <c r="BA6" t="s">
        <v>1459</v>
      </c>
      <c r="BB6" t="str">
        <f>Labels!B283</f>
        <v>Tail Growth Rate</v>
      </c>
      <c r="BC6" t="s">
        <v>737</v>
      </c>
      <c r="BD6" t="str">
        <f>Labels!E283</f>
        <v xml:space="preserve">The growth rate per time period assumed for the cash flow occurring after the end of model time. </v>
      </c>
      <c r="BE6" t="s">
        <v>5312</v>
      </c>
      <c r="BF6" t="str">
        <f>Labels!B280</f>
        <v>Tail Discount Rate</v>
      </c>
      <c r="BG6" t="s">
        <v>1128</v>
      </c>
      <c r="BH6" t="str">
        <f>Labels!E280</f>
        <v>The discount rate per time period used for the cash flow occurring after the end of model time</v>
      </c>
      <c r="BI6" t="s">
        <v>2904</v>
      </c>
      <c r="BJ6" t="str">
        <f>Labels!B122</f>
        <v>Mktg Expense</v>
      </c>
      <c r="BK6" t="s">
        <v>2003</v>
      </c>
      <c r="BL6" t="str">
        <f>Labels!E122</f>
        <v>Marketing department expense, by time period. In early time periods, specified as explicit numbers; in later time periods, computed using Cobb-Douglas function of revenue</v>
      </c>
    </row>
    <row r="7" spans="1:64" ht="12.75" customHeight="1" x14ac:dyDescent="0.2">
      <c r="A7" t="s">
        <v>3082</v>
      </c>
      <c r="B7" t="str">
        <f>Labels!B121</f>
        <v>Mktg Exp Ratio</v>
      </c>
      <c r="C7" t="s">
        <v>2936</v>
      </c>
      <c r="D7" t="str">
        <f>Labels!E121</f>
        <v>The ratio marketing department expense / revenue, by time period</v>
      </c>
      <c r="E7" t="s">
        <v>1396</v>
      </c>
      <c r="F7" t="str">
        <f>Labels!B151</f>
        <v>Practice Dev % Rev</v>
      </c>
      <c r="G7" t="s">
        <v>817</v>
      </c>
      <c r="H7" t="str">
        <f>Labels!E151</f>
        <v xml:space="preserve">The ratio of practice development spending to revenue in each accounting period. </v>
      </c>
      <c r="I7" t="s">
        <v>2307</v>
      </c>
      <c r="J7" t="str">
        <f>Labels!B96</f>
        <v>G&amp;A Exp Ratio</v>
      </c>
      <c r="K7" t="s">
        <v>4632</v>
      </c>
      <c r="L7" t="str">
        <f>Labels!E96</f>
        <v>The ratio (operating expense for the Admin department) / revenue, by time period</v>
      </c>
      <c r="M7" t="s">
        <v>1072</v>
      </c>
      <c r="N7" t="str">
        <f>Labels!B134</f>
        <v>Oper Exp Ratio</v>
      </c>
      <c r="O7" t="s">
        <v>5862</v>
      </c>
      <c r="P7" t="str">
        <f>Labels!E134</f>
        <v>The ratio operating expense / revenue, by time period</v>
      </c>
      <c r="Q7" t="s">
        <v>1236</v>
      </c>
      <c r="R7" t="str">
        <f>Labels!B38</f>
        <v>Chg Supplies Inventory</v>
      </c>
      <c r="S7" t="s">
        <v>2181</v>
      </c>
      <c r="T7" t="str">
        <f>Labels!E38</f>
        <v>Change in inventory from the previous period. The model has a variable for this because (a) this amount will be displayed in the cash flow statement worksheet, and (b) this amount is used in several formulas so it is convenient to store it in a variable.</v>
      </c>
      <c r="U7" t="s">
        <v>2934</v>
      </c>
      <c r="V7" t="str">
        <f>Labels!B30</f>
        <v>Starting Cash</v>
      </c>
      <c r="W7" t="s">
        <v>4129</v>
      </c>
      <c r="X7" t="str">
        <f>Labels!E30</f>
        <v>The amount of cash on hand a the start of each time period</v>
      </c>
      <c r="Y7" t="s">
        <v>5336</v>
      </c>
      <c r="Z7" t="str">
        <f>Labels!B20</f>
        <v>Cash Flow Check</v>
      </c>
      <c r="AA7" t="s">
        <v>1528</v>
      </c>
      <c r="AB7" t="str">
        <f>Labels!E20</f>
        <v>A checksum for cash flow. Equals starting cash balance + sources of cash - uses of cash - ending cash balance, which must be zero if cash flows are accounted for correctly.</v>
      </c>
      <c r="AC7" t="s">
        <v>5704</v>
      </c>
      <c r="AD7" t="str">
        <f>Labels!B25</f>
        <v>Operating Cash Flow</v>
      </c>
      <c r="AE7" t="s">
        <v>5380</v>
      </c>
      <c r="AF7" t="str">
        <f>Labels!E25</f>
        <v>Operating cash flow by time period; that is, cash flow adjusted to cancel out capital transactions (dividends, sale of stock, changes in debt)</v>
      </c>
      <c r="AG7" t="s">
        <v>439</v>
      </c>
      <c r="AH7" t="str">
        <f>Labels!B166</f>
        <v>Billings at Nominal Fees</v>
      </c>
      <c r="AI7" t="s">
        <v>721</v>
      </c>
      <c r="AJ7" t="str">
        <f>Labels!E166</f>
        <v>Theoretical staff billings, if billed at nominal fees, segmented by Practice Area, Professional Staff Type, Channel, and time period. Fee discounts for Practice Area and Prof Staff Type are applied, but not discounts for each major Engagement. Used to compute fee discount % and nominal fees averaged over types of billed hours.</v>
      </c>
      <c r="AK7" t="s">
        <v>4693</v>
      </c>
      <c r="AL7" t="str">
        <f>Labels!B115</f>
        <v>IRR with Tail (Yr)</v>
      </c>
      <c r="AM7" t="s">
        <v>3012</v>
      </c>
      <c r="AN7" t="str">
        <f>Labels!E115</f>
        <v>Annualized internal rate of return for cash flow in model time periods and in tail after model time</v>
      </c>
      <c r="AO7" t="s">
        <v>4869</v>
      </c>
      <c r="AP7" t="str">
        <f>Labels!B294</f>
        <v>Untagged Assets</v>
      </c>
      <c r="AQ7" t="s">
        <v>4415</v>
      </c>
      <c r="AR7" t="str">
        <f>Labels!E294</f>
        <v>The book value of each type of untagged asset, by time period</v>
      </c>
      <c r="AS7" t="s">
        <v>707</v>
      </c>
      <c r="AT7" t="str">
        <f>Labels!B291</f>
        <v>Untagged Asset Purch</v>
      </c>
      <c r="AU7" t="s">
        <v>2735</v>
      </c>
      <c r="AV7" t="str">
        <f>Labels!E291</f>
        <v>Purchases of untagged assets, segmented by type of untagged assets, by time period. The model computes initial purchases, purchases per new headcount, and per existing headcount.</v>
      </c>
      <c r="AW7" t="s">
        <v>4418</v>
      </c>
      <c r="AX7" t="str">
        <f>Labels!B269</f>
        <v>Initial Value</v>
      </c>
      <c r="AY7" t="s">
        <v>5016</v>
      </c>
      <c r="AZ7" t="str">
        <f>Labels!E269</f>
        <v>Initial asset value of each tagged asset</v>
      </c>
      <c r="BA7" t="s">
        <v>4998</v>
      </c>
      <c r="BB7" t="str">
        <f>Labels!B276</f>
        <v>Purch Date</v>
      </c>
      <c r="BC7" t="s">
        <v>2793</v>
      </c>
      <c r="BD7" t="str">
        <f>Labels!E276</f>
        <v>Date on which each tagged asset was purchased</v>
      </c>
      <c r="BE7" t="s">
        <v>4921</v>
      </c>
      <c r="BF7" t="str">
        <f>Labels!B266</f>
        <v>Depreciation</v>
      </c>
      <c r="BG7" t="s">
        <v>1405</v>
      </c>
      <c r="BH7" t="str">
        <f>Labels!E266</f>
        <v>Depreciation expense for each tagged asset, by time period. Possible values are "SLN" (linear), "SYD" (sum of digits), and "DDB" (double declining balance); the default method is "SLN".</v>
      </c>
      <c r="BI7" t="s">
        <v>3078</v>
      </c>
      <c r="BJ7" t="str">
        <f>Labels!B271</f>
        <v>Depr Life (Yr)</v>
      </c>
      <c r="BK7" t="s">
        <v>5901</v>
      </c>
      <c r="BL7" t="str">
        <f>Labels!E271</f>
        <v>Depreciation life of each tagged asset</v>
      </c>
    </row>
    <row r="8" spans="1:64" ht="12.75" customHeight="1" x14ac:dyDescent="0.2">
      <c r="A8" t="s">
        <v>947</v>
      </c>
      <c r="B8" t="str">
        <f>Labels!B273</f>
        <v>Physical Life (Yr)</v>
      </c>
      <c r="C8" t="s">
        <v>4169</v>
      </c>
      <c r="D8" t="str">
        <f>Labels!E273</f>
        <v>Physical, useful life of each tagged asset expressed in years</v>
      </c>
      <c r="E8" t="s">
        <v>3762</v>
      </c>
      <c r="F8" t="str">
        <f>Labels!B272</f>
        <v>Physical Life (period)</v>
      </c>
      <c r="G8" t="s">
        <v>3117</v>
      </c>
      <c r="H8" t="str">
        <f>Labels!E272</f>
        <v>Depreciation life of each tagged asset expressed in periods of model time</v>
      </c>
      <c r="I8" t="s">
        <v>3275</v>
      </c>
      <c r="J8" t="str">
        <f>Labels!B270</f>
        <v>Deprec Life (periods)</v>
      </c>
      <c r="K8" t="s">
        <v>897</v>
      </c>
      <c r="L8" t="str">
        <f>Labels!E270</f>
        <v>Depreciation life of each tagged asset expressed in periods of model time</v>
      </c>
      <c r="M8" t="s">
        <v>1328</v>
      </c>
      <c r="N8" t="str">
        <f>Labels!B267</f>
        <v>Depr Method</v>
      </c>
      <c r="O8" t="s">
        <v>548</v>
      </c>
      <c r="P8" t="str">
        <f>Labels!E267</f>
        <v>Depreciation method for each tagged asset. Choose one of SLN, SYD, DDB, or None.</v>
      </c>
      <c r="Q8" t="s">
        <v>5144</v>
      </c>
      <c r="R8" t="str">
        <f>Labels!B268</f>
        <v>Deprec Period</v>
      </c>
      <c r="S8" t="s">
        <v>5374</v>
      </c>
      <c r="T8" t="str">
        <f>Labels!E268</f>
        <v>Variable that counts how many time periods have passed during the life of each tagged asset, for each time period. Negative before period purchased. Zero during period purchased. Constant after end of life. Used as input to depreciation functions that require the number of the time period for which depreciation is computed.</v>
      </c>
      <c r="U8" t="s">
        <v>3072</v>
      </c>
      <c r="V8" t="str">
        <f>Labels!B279</f>
        <v>Tagged Assets</v>
      </c>
      <c r="W8" t="s">
        <v>4626</v>
      </c>
      <c r="X8" t="str">
        <f>Labels!E279</f>
        <v>The book value of each tagged asset, by time period</v>
      </c>
      <c r="Y8" t="s">
        <v>1266</v>
      </c>
      <c r="Z8" t="str">
        <f>Labels!B278</f>
        <v>Salvage Value</v>
      </c>
      <c r="AA8" t="s">
        <v>2860</v>
      </c>
      <c r="AB8" t="str">
        <f>Labels!E278</f>
        <v>Salvage value of each tagged asset</v>
      </c>
      <c r="AC8" t="s">
        <v>2032</v>
      </c>
      <c r="AD8" t="str">
        <f>Labels!B277</f>
        <v>Asset Salvage CF</v>
      </c>
      <c r="AE8" t="s">
        <v>2754</v>
      </c>
      <c r="AF8" t="str">
        <f>Labels!E277</f>
        <v>The salvage value of each tagged asset, assigned to the time period that includes the end of life. This variable is needed to express the salvage value in a time-dependent table needed for cash flow computations.</v>
      </c>
      <c r="AG8" t="s">
        <v>693</v>
      </c>
      <c r="AH8" t="str">
        <f>Labels!B275</f>
        <v>Tagged Asset Purch</v>
      </c>
      <c r="AI8" t="s">
        <v>1424</v>
      </c>
      <c r="AJ8" t="str">
        <f>Labels!E275</f>
        <v>The purchase amount of each tagged asset, assigned to the time period that includes the purchase date. This variable is needed to express the purchase value in a time-dependent table needed for depreciation computations.</v>
      </c>
      <c r="AK8" t="s">
        <v>3222</v>
      </c>
      <c r="AL8" t="str">
        <f>Labels!B288</f>
        <v>Untagged Asset Deprec</v>
      </c>
      <c r="AM8" t="s">
        <v>2879</v>
      </c>
      <c r="AN8" t="str">
        <f>Labels!E288</f>
        <v>Depreciation expense for each type of untagged asset, with individual untagged assets combined, by time period purchased. 
Untagged assets are those not worth the effort to track separately (e.g. desks, PCs). Depreciation method is declining balance, with remaining book value depreciated in the final year of life.</v>
      </c>
      <c r="AO8" t="s">
        <v>2528</v>
      </c>
      <c r="AP8" t="str">
        <f>Labels!B184</f>
        <v>Billed Hours Growth</v>
      </c>
      <c r="AQ8" t="s">
        <v>69</v>
      </c>
      <c r="AR8" t="str">
        <f>Labels!E184</f>
        <v>Measured growth rate of billed staff hours per time period (not annualized)</v>
      </c>
      <c r="AS8" t="s">
        <v>2157</v>
      </c>
      <c r="AT8" t="str">
        <f>Labels!B244</f>
        <v>Selling Exp Ratio</v>
      </c>
      <c r="AU8" t="s">
        <v>2950</v>
      </c>
      <c r="AV8" t="str">
        <f>Labels!E244</f>
        <v>The ratio (sales department expense) / revenue, by time period</v>
      </c>
      <c r="AW8" t="s">
        <v>3172</v>
      </c>
      <c r="AX8" t="str">
        <f>Labels!B111</f>
        <v>IRR Cash Flow w Tail</v>
      </c>
      <c r="AY8" t="s">
        <v>2192</v>
      </c>
      <c r="AZ8" t="str">
        <f>Labels!E111</f>
        <v>Cash flow for computing IRR, including model time periods and value of cash flows in tail after model time</v>
      </c>
      <c r="BA8" t="s">
        <v>3997</v>
      </c>
      <c r="BB8" t="str">
        <f>Labels!B114</f>
        <v>IRR Model Time (Yr)</v>
      </c>
      <c r="BC8" t="s">
        <v>958</v>
      </c>
      <c r="BD8" t="str">
        <f>Labels!E114</f>
        <v>Annualized internal rate of return for model time, excluding cash flows in tail after model time</v>
      </c>
      <c r="BE8" t="s">
        <v>5673</v>
      </c>
      <c r="BF8" t="str">
        <f>Labels!B284</f>
        <v>Tail Growth Rate (Yr)</v>
      </c>
      <c r="BG8" t="s">
        <v>5552</v>
      </c>
      <c r="BH8" t="str">
        <f>Labels!E284</f>
        <v>The annual growth rate assumed for the cash flow occurring after the end of model time. 
The default formula is that the tail growth rate is half the billable hours growth rate for the final period of model time.
The model expresses all input growth rates in annual terms.</v>
      </c>
      <c r="BI8" t="s">
        <v>3090</v>
      </c>
      <c r="BJ8" t="str">
        <f>Labels!B281</f>
        <v>Tail Discount Rate (Yr)</v>
      </c>
      <c r="BK8" t="s">
        <v>2332</v>
      </c>
      <c r="BL8" t="str">
        <f>Labels!E281</f>
        <v>The annual discount rate used for the cash flow occurring after the end of model time. The model tries to express all input discount rates in annual terms.</v>
      </c>
    </row>
    <row r="9" spans="1:64" ht="12.75" customHeight="1" x14ac:dyDescent="0.2">
      <c r="A9" t="s">
        <v>5092</v>
      </c>
      <c r="B9" t="str">
        <f>Labels!B110</f>
        <v>IRR Cash Flow no Tail</v>
      </c>
      <c r="C9" t="s">
        <v>3638</v>
      </c>
      <c r="D9" t="str">
        <f>Labels!E110</f>
        <v>Cash flow for computing IRR, including model time periods, excluding value of cash flows in tail after model time</v>
      </c>
      <c r="E9" t="s">
        <v>796</v>
      </c>
      <c r="F9" t="str">
        <f>Labels!B41</f>
        <v>Company Name</v>
      </c>
      <c r="G9" t="s">
        <v>2193</v>
      </c>
      <c r="H9" t="str">
        <f>Labels!E41</f>
        <v>The name of the organization for which the financial plan is made. The name is stored in a variable so that there is a single channel where the name can be change in ModelSheet and in exported workbooks.</v>
      </c>
      <c r="I9" t="s">
        <v>2660</v>
      </c>
      <c r="J9" t="str">
        <f>Labels!B227</f>
        <v>Revenue CAGR (ex Yr1)</v>
      </c>
      <c r="K9" t="s">
        <v>1129</v>
      </c>
      <c r="L9" t="str">
        <f>Labels!E227</f>
        <v>Cumulative average growth rate of revenue over model time, excluding year 1, using a least squares fit to historical revenue, segmented by product. This method gives a more stable estimate of CAGR than using just the first and last period revenues.</v>
      </c>
      <c r="M9" t="s">
        <v>1004</v>
      </c>
      <c r="N9" t="str">
        <f>Labels!B262</f>
        <v>Initial Avg Support Staff Wage (Yr)</v>
      </c>
      <c r="O9" t="s">
        <v>4246</v>
      </c>
      <c r="P9" t="str">
        <f>Labels!E262</f>
        <v>The average annual wage per support staff, segmented by department and job level, in the initial time period</v>
      </c>
      <c r="Q9" t="s">
        <v>2525</v>
      </c>
      <c r="R9" t="str">
        <f>Labels!B293</f>
        <v>Untagged Asset Purch Parameters</v>
      </c>
      <c r="S9" t="s">
        <v>5240</v>
      </c>
      <c r="T9" t="str">
        <f>Labels!E293</f>
        <v>Purchases of untagged assets 
1) before the start of model time
2) per new employee
3) ANNUAL purchases per existing employee,
all segmented by long asset type</v>
      </c>
      <c r="U9" t="s">
        <v>3346</v>
      </c>
      <c r="V9" t="str">
        <f>Labels!B46</f>
        <v xml:space="preserve">Cost of Services - Supplies </v>
      </c>
      <c r="W9" t="s">
        <v>4085</v>
      </c>
      <c r="X9" t="str">
        <f>Labels!E46</f>
        <v>Cost of direct supplies incurred in client engagements (including small engagements from the sales funnel). Segmented by Practice Area, Professional Staff Type, Channel, and time period.</v>
      </c>
      <c r="Y9" t="s">
        <v>4595</v>
      </c>
      <c r="Z9" t="str">
        <f>Labels!B29</f>
        <v>Total Sources of Cash</v>
      </c>
      <c r="AA9" t="s">
        <v>5641</v>
      </c>
      <c r="AB9" t="str">
        <f>Labels!E29</f>
        <v>Total sources of cash, by time period</v>
      </c>
      <c r="AC9" t="s">
        <v>2069</v>
      </c>
      <c r="AD9" t="str">
        <f>Labels!B32</f>
        <v>Total Uses of Cash</v>
      </c>
      <c r="AE9" t="s">
        <v>423</v>
      </c>
      <c r="AF9" t="str">
        <f>Labels!E32</f>
        <v>Total uses of cash, by time period</v>
      </c>
      <c r="AG9" t="s">
        <v>5408</v>
      </c>
      <c r="AH9" t="str">
        <f>Labels!B19</f>
        <v>Cash Flow</v>
      </c>
      <c r="AI9" t="s">
        <v>2207</v>
      </c>
      <c r="AJ9" t="str">
        <f>Labels!E19</f>
        <v>Change in cash balance by time period</v>
      </c>
      <c r="AK9" t="s">
        <v>5730</v>
      </c>
      <c r="AL9" t="str">
        <f>Labels!B254</f>
        <v>Support Staff Expense</v>
      </c>
      <c r="AM9" t="s">
        <v>3604</v>
      </c>
      <c r="AN9" t="str">
        <f>Labels!E254</f>
        <v>Support staff expense, segmented by job level, by department, for each time period.
Sales commissions go to the Sales department, allocated to employees proportional to wage and salary compensation.</v>
      </c>
      <c r="AO9" t="s">
        <v>490</v>
      </c>
      <c r="AP9" t="str">
        <f>Labels!B292</f>
        <v>Untagged Asset Purch Lagged</v>
      </c>
      <c r="AQ9" t="s">
        <v>4267</v>
      </c>
      <c r="AR9" t="str">
        <f>Labels!E292</f>
        <v>The value of past untagged asset purchases that reach end of life in the current time period</v>
      </c>
      <c r="AS9" t="s">
        <v>3557</v>
      </c>
      <c r="AT9" t="str">
        <f>Labels!B112</f>
        <v>IRR Guess Model Time (Yr)</v>
      </c>
      <c r="AU9" t="s">
        <v>1960</v>
      </c>
      <c r="AV9" t="str">
        <f>Labels!E112</f>
        <v>Initial guess for annualized internal rate of return during model time. (IRR is computed by an iterative method that requires an initial guess.)</v>
      </c>
      <c r="AW9" t="s">
        <v>318</v>
      </c>
      <c r="AX9" t="str">
        <f>Labels!B113</f>
        <v>IRR Guess w Tail (Yr)</v>
      </c>
      <c r="AY9" t="s">
        <v>1577</v>
      </c>
      <c r="AZ9" t="str">
        <f>Labels!E113</f>
        <v>Initial guess for annualized internal rate of return, including estimate of cash flows beyond the end of model time. (IRR is computed by an iterative method that requires an initial guess.)</v>
      </c>
      <c r="BA9" t="s">
        <v>3721</v>
      </c>
      <c r="BB9" t="str">
        <f>Labels!B260</f>
        <v>Turnover % (Yr)</v>
      </c>
      <c r="BC9" t="s">
        <v>1872</v>
      </c>
      <c r="BD9" t="str">
        <f>Labels!E260</f>
        <v>Percentage of support staff that turn over each year, segmented by department and job level, by time period. Because this variable does not depend on time, the rollup values are given for the last period of model time.</v>
      </c>
      <c r="BE9" t="s">
        <v>3718</v>
      </c>
      <c r="BF9" t="str">
        <f>Labels!B214</f>
        <v>Expense % Comp</v>
      </c>
      <c r="BG9" t="s">
        <v>5307</v>
      </c>
      <c r="BH9" t="str">
        <f>Labels!E214</f>
        <v>Recruiting expense as a percentage of annual salary or wage, for those support staff positions that incur recruiting expense, by job level and by department.</v>
      </c>
      <c r="BI9" t="s">
        <v>2439</v>
      </c>
      <c r="BJ9" t="str">
        <f>Labels!B221</f>
        <v>Recruit % Positions</v>
      </c>
      <c r="BK9" t="s">
        <v>213</v>
      </c>
      <c r="BL9" t="str">
        <f>Labels!E221</f>
        <v>Percentage of open positions that incur recruiting expense, by department and job level. Does not apply to the first time period (see Recruit_pct_Pos_Sup_Init).</v>
      </c>
    </row>
    <row r="10" spans="1:64" ht="12.75" customHeight="1" x14ac:dyDescent="0.2">
      <c r="A10" t="s">
        <v>5545</v>
      </c>
      <c r="B10" t="str">
        <f>Labels!B216</f>
        <v>Recruiting Expense</v>
      </c>
      <c r="C10" t="s">
        <v>4313</v>
      </c>
      <c r="D10" t="str">
        <f>Labels!E216</f>
        <v>Recruiting expense for support staff, segmented by department, job level, and time period. This expense is included in G&amp;A expense in the account 'Recruiting', segmented by department.</v>
      </c>
      <c r="E10" t="s">
        <v>1486</v>
      </c>
      <c r="F10" t="str">
        <f>Labels!B219</f>
        <v>Initial Recruit %</v>
      </c>
      <c r="G10" t="s">
        <v>5084</v>
      </c>
      <c r="H10" t="str">
        <f>Labels!E219</f>
        <v>Percentage of employees in the first time period that incur the normal rate of recruiting activity. For startups, this is near 100%; for ongoing businesses, this is zero.</v>
      </c>
      <c r="I10" t="s">
        <v>2379</v>
      </c>
      <c r="J10" t="str">
        <f>Labels!B23</f>
        <v>Cash Flow Expectation Factor</v>
      </c>
      <c r="K10" t="s">
        <v>1693</v>
      </c>
      <c r="L10" t="str">
        <f>Labels!E23</f>
        <v>The ratio (expected cash flow for the next year)/(plan cash flow for the next year), in each time period. The probability model assumes that the annual factors act cumulatively, so that a reduction in cash flow in the next year affects all future time periods in the same proportion. This crude model of compounding of probabilities captures the essential fact that past variances from plan are reasonable predictors of future variances for a long time. 
Time periods that involve the highest risk to future success have the lowest expectation factors. For a startup, the early time periods are more complex, because investment and expense cash flows are more certain than early revenue flows.
The factor for the last time period applies to the entire tail cash flow after the end of model time.</v>
      </c>
      <c r="M10" t="s">
        <v>3633</v>
      </c>
      <c r="N10" t="str">
        <f>Labels!B26</f>
        <v>Expected Operating Cash Flow</v>
      </c>
      <c r="O10" t="s">
        <v>1174</v>
      </c>
      <c r="P10" t="str">
        <f>Labels!E26</f>
        <v>Cash flow at the end of each accounting period adjusted to cancel out capital transactions (dividends, sale of stock, changes in debt), and scaled by the cash flow expectation factor that reflects risk in plan cash flows</v>
      </c>
      <c r="Q10" t="s">
        <v>1290</v>
      </c>
      <c r="R10" t="str">
        <f>Labels!B263</f>
        <v>Support Staff Wage Expense</v>
      </c>
      <c r="S10" t="s">
        <v>1866</v>
      </c>
      <c r="T10" t="str">
        <f>Labels!E263</f>
        <v>Support staff wage expense per time period, segmented by department, by job level. Excludes benefits, payroll taxes, bonuses and commissions.</v>
      </c>
      <c r="U10" t="s">
        <v>5774</v>
      </c>
      <c r="V10" t="str">
        <f>Labels!B107</f>
        <v>Interest % Earned on Cash (Yr)</v>
      </c>
      <c r="W10" t="s">
        <v>4777</v>
      </c>
      <c r="X10" t="str">
        <f>Labels!E107</f>
        <v>Interest rate earned on average cash balance during each time period</v>
      </c>
      <c r="Y10" t="s">
        <v>3547</v>
      </c>
      <c r="Z10" t="str">
        <f>Labels!B259</f>
        <v>Support Staff Turnover</v>
      </c>
      <c r="AA10" t="s">
        <v>2148</v>
      </c>
      <c r="AB10" t="str">
        <f>Labels!E259</f>
        <v>Number of support staff that turn over each year, segmented by department and job level, by time period</v>
      </c>
      <c r="AC10" t="s">
        <v>222</v>
      </c>
      <c r="AD10" t="str">
        <f>Labels!B257</f>
        <v>Support Staff Recruited</v>
      </c>
      <c r="AE10" t="s">
        <v>1052</v>
      </c>
      <c r="AF10" t="str">
        <f>Labels!E257</f>
        <v>Number of support staff that are recruited, segmented by department, job level, and by time period</v>
      </c>
      <c r="AG10" t="s">
        <v>2420</v>
      </c>
      <c r="AH10" t="str">
        <f>Labels!B250</f>
        <v>Support Staff Count Cutover</v>
      </c>
      <c r="AI10" t="s">
        <v>2068</v>
      </c>
      <c r="AJ10" t="str">
        <f>Labels!E250</f>
        <v>Number of early time periods in which explicit input data for early support staff count (in variable Sup Staff Count Early) are used, before the revenue-based formula takes over. Default cutover is one year.</v>
      </c>
      <c r="AK10" t="s">
        <v>3391</v>
      </c>
      <c r="AL10" t="str">
        <f>Labels!B123</f>
        <v>Mktg Pgms Early Cutover</v>
      </c>
      <c r="AM10" t="s">
        <v>1257</v>
      </c>
      <c r="AN10" t="str">
        <f>Labels!E123</f>
        <v>Number of early time periods in which explicit inputs for early marketing program spending (variable Mktg_Pgms_Exp_Early) are used in the model, before the revenue-based formula takes over. Default cutover is one year.</v>
      </c>
      <c r="AO10" t="s">
        <v>3615</v>
      </c>
      <c r="AP10" t="str">
        <f>Labels!B297</f>
        <v>Wage Tax %</v>
      </c>
      <c r="AQ10" t="s">
        <v>4068</v>
      </c>
      <c r="AR10" t="str">
        <f>Labels!E297</f>
        <v>Payroll tax rate as a percentage of payroll. Wages and salaries, bonuses and commissions are taxed, benefits are not taxed.</v>
      </c>
      <c r="AS10" t="s">
        <v>488</v>
      </c>
      <c r="AT10" t="str">
        <f>Labels!B204</f>
        <v>Prof Salary increase period %</v>
      </c>
      <c r="AU10" t="s">
        <v>4566</v>
      </c>
      <c r="AV10" t="str">
        <f>Labels!E204</f>
        <v>The rate of increase of wage rates, by time period</v>
      </c>
      <c r="AW10" t="s">
        <v>2999</v>
      </c>
      <c r="AX10" t="str">
        <f>Labels!B296</f>
        <v>Wage Increase Annual?</v>
      </c>
      <c r="AY10" t="s">
        <v>3244</v>
      </c>
      <c r="AZ10" t="str">
        <f>Labels!E296</f>
        <v>Determines whether the rate of increase in wages is interpreted as an annual rate or as the rate of increase that is applied in each time period</v>
      </c>
      <c r="BA10" t="s">
        <v>2413</v>
      </c>
      <c r="BB10" t="str">
        <f>Labels!B24</f>
        <v>Cash Flow Expect Factor Future</v>
      </c>
      <c r="BC10" t="s">
        <v>4948</v>
      </c>
      <c r="BD10" t="str">
        <f>Labels!E24</f>
        <v>The future cumulative product of the annualized cash flow expectation factor (expected cash flow)/(plan cash flow), for each time period. The factor for the last time period applies to the entire tail cash flow after the end of model time.</v>
      </c>
      <c r="BE10" t="s">
        <v>1300</v>
      </c>
      <c r="BF10" t="str">
        <f>Labels!B36</f>
        <v>Chg Bond Principal</v>
      </c>
      <c r="BG10" t="s">
        <v>2788</v>
      </c>
      <c r="BH10" t="str">
        <f>Labels!E36</f>
        <v>Change in Bond principal from the previous period. The model has a variable for this because (a) this amount will be displayed in the cash flow statement worksheet, and (b) this amount is used in several formulas so it is convenient to store it in a variable.</v>
      </c>
      <c r="BI10" t="s">
        <v>4489</v>
      </c>
      <c r="BJ10" t="str">
        <f>Labels!B22</f>
        <v>Equity Cash Flow</v>
      </c>
      <c r="BK10" t="s">
        <v>4136</v>
      </c>
      <c r="BL10" t="str">
        <f>Labels!E22</f>
        <v>Equity cash flow at the end of each accounting period adjusted to cancel out non-equity transactions (such as changes in short and long term debt and bonds)</v>
      </c>
    </row>
    <row r="11" spans="1:64" ht="12.75" customHeight="1" x14ac:dyDescent="0.2">
      <c r="A11" t="s">
        <v>3949</v>
      </c>
      <c r="B11" t="str">
        <f>Labels!B21</f>
        <v>Expected Equity Cash Flow</v>
      </c>
      <c r="C11" t="s">
        <v>4581</v>
      </c>
      <c r="D11" t="str">
        <f>Labels!E21</f>
        <v>Equity cash flow at the end of each accounting period adjusted to cancel out capital transactions, and scaled by the cash flow expectation factor that reflects risk in plan cash flows</v>
      </c>
      <c r="E11" t="s">
        <v>1584</v>
      </c>
      <c r="F11" t="str">
        <f>Labels!B92</f>
        <v>Other Facilities Exp (Yr)</v>
      </c>
      <c r="G11" t="s">
        <v>4915</v>
      </c>
      <c r="H11" t="str">
        <f>Labels!E92</f>
        <v>Annual facilities expense that is no proportional to employee count</v>
      </c>
      <c r="I11" t="s">
        <v>5407</v>
      </c>
      <c r="J11" t="str">
        <f>Labels!B55</f>
        <v>Cap'd Development (Asset)</v>
      </c>
      <c r="K11" t="s">
        <v>4128</v>
      </c>
      <c r="L11" t="str">
        <f>Labels!E55</f>
        <v>Book value of capitalized development, by time period</v>
      </c>
      <c r="M11" t="s">
        <v>3208</v>
      </c>
      <c r="N11" t="str">
        <f>Labels!B57</f>
        <v>Initial Cap'd Development</v>
      </c>
      <c r="O11" t="s">
        <v>2869</v>
      </c>
      <c r="P11" t="str">
        <f>Labels!E57</f>
        <v>Initial value of capitalized development at the start of model time</v>
      </c>
      <c r="Q11" t="s">
        <v>1434</v>
      </c>
      <c r="R11" t="str">
        <f>Labels!B56</f>
        <v>Capitalized Dev Deprec</v>
      </c>
      <c r="S11" t="s">
        <v>4154</v>
      </c>
      <c r="T11" t="str">
        <f>Labels!E56</f>
        <v>Depreciation expense for capitalized development by time period</v>
      </c>
      <c r="U11" t="s">
        <v>1015</v>
      </c>
      <c r="V11" t="str">
        <f>Labels!B58</f>
        <v>Cap'd Dev Life (Yrs)</v>
      </c>
      <c r="W11" t="s">
        <v>2867</v>
      </c>
      <c r="X11" t="str">
        <f>Labels!E58</f>
        <v>The asset life that determines the rate of depreciation of capitalized development. In the current implementation, life must be an integral number of years &lt;= 9.</v>
      </c>
      <c r="Y11" t="s">
        <v>2215</v>
      </c>
      <c r="Z11" t="str">
        <f>Labels!B59</f>
        <v>New Cap'd Development</v>
      </c>
      <c r="AA11" t="s">
        <v>4202</v>
      </c>
      <c r="AB11" t="str">
        <f>Labels!E59</f>
        <v>Amount of development spending that is capitalized in each time period. This includes a fixed amount (per year, allocated to each time period) plus a percentage of remaining development spending.</v>
      </c>
      <c r="AC11" t="s">
        <v>2892</v>
      </c>
      <c r="AD11" t="str">
        <f>Labels!B60</f>
        <v>Cap'd Dev Period Lagged</v>
      </c>
      <c r="AE11" t="s">
        <v>1334</v>
      </c>
      <c r="AF11" t="str">
        <f>Labels!E60</f>
        <v>The value of past capitalized development expenditure that reaches end of life in the current time period</v>
      </c>
      <c r="AG11" t="s">
        <v>1721</v>
      </c>
      <c r="AH11" t="str">
        <f>Labels!B12</f>
        <v>Initial Accts Receivable</v>
      </c>
      <c r="AI11" t="s">
        <v>363</v>
      </c>
      <c r="AJ11" t="str">
        <f>Labels!E12</f>
        <v>Initial value of accounts receivable at the beginning of model time</v>
      </c>
      <c r="AK11" t="s">
        <v>2926</v>
      </c>
      <c r="AL11" t="str">
        <f>Labels!B9</f>
        <v>Initial Accts Payable</v>
      </c>
      <c r="AM11" t="s">
        <v>5907</v>
      </c>
      <c r="AN11" t="str">
        <f>Labels!E9</f>
        <v>Value of accounts payable at the start of model time, segmented by payables type</v>
      </c>
      <c r="AO11" t="s">
        <v>5347</v>
      </c>
      <c r="AP11" t="str">
        <f>Labels!B139</f>
        <v>Order Backlog (Hrs)</v>
      </c>
      <c r="AQ11" t="s">
        <v>5225</v>
      </c>
      <c r="AR11" t="str">
        <f>Labels!E139</f>
        <v>Order backlog at the end of each time period, expressed in billable hours, segmented by product.</v>
      </c>
      <c r="AS11" t="s">
        <v>4091</v>
      </c>
      <c r="AT11" t="str">
        <f>Labels!B140</f>
        <v>Backlog (Hrs)</v>
      </c>
      <c r="AU11" t="s">
        <v>742</v>
      </c>
      <c r="AV11" t="str">
        <f>Labels!E140</f>
        <v>Order backlog at the start of model time, expressed in billable hours, segmented by Practice Area and Professional Staff Type.</v>
      </c>
      <c r="AW11" t="s">
        <v>2025</v>
      </c>
      <c r="AX11" t="str">
        <f>Labels!B242</f>
        <v>Sales Leads (Hrs)</v>
      </c>
      <c r="AY11" t="s">
        <v>2874</v>
      </c>
      <c r="AZ11" t="str">
        <f>Labels!E242</f>
        <v>The number of qualified sales leads, expressed in billable hours, at the end of each time period, segmented by lead quality, Practice Area, and Professional Staff Type.
The least qualified lead categories are listed first, and the most qualified categories are at the end of the list.</v>
      </c>
      <c r="BA11" t="s">
        <v>1845</v>
      </c>
      <c r="BB11" t="str">
        <f>Labels!B239</f>
        <v>Leads (Hrs)</v>
      </c>
      <c r="BC11" t="s">
        <v>5310</v>
      </c>
      <c r="BD11" t="str">
        <f>Labels!E239</f>
        <v>The number of qualified sales leads, expressed in billable hours, at the start of the first time period, segmented by lead quality and by product.
The least qualified lead categories are listed first, and the most qualified categories are at the end of the list.</v>
      </c>
      <c r="BE11" t="s">
        <v>862</v>
      </c>
      <c r="BF11" t="str">
        <f>Labels!B236</f>
        <v>Sales Lead Hrs Conv % (Yr)</v>
      </c>
      <c r="BG11" t="s">
        <v>2943</v>
      </c>
      <c r="BH11" t="str">
        <f>Labels!E236</f>
        <v>Annualized rate at which qualified sales leads convert to the next-most qualified lead class or to sales orders, segmented by lead quality and by product, for each time period. Sales leads apply to products only, not support.
The least qualified lead categories are listed first, and the most qualified categories are at the end of the list.</v>
      </c>
      <c r="BI11" t="s">
        <v>5214</v>
      </c>
      <c r="BJ11" t="str">
        <f>Labels!B240</f>
        <v>New Sales Leads (Hrs)</v>
      </c>
      <c r="BK11" t="s">
        <v>3437</v>
      </c>
      <c r="BL11" t="str">
        <f>Labels!E240</f>
        <v>New qualified sales leads, expressed in billable hours, segmented by lead quality, Practice Area, and Professional Staff Type, for each time period. Sales leads apply to products only, not support.
The least qualified lead categories are listed first, and the most qualified categories are at the end of the list.</v>
      </c>
    </row>
    <row r="12" spans="1:64" ht="12.75" customHeight="1" x14ac:dyDescent="0.2">
      <c r="A12" t="s">
        <v>1739</v>
      </c>
      <c r="B12" t="str">
        <f>Labels!B238</f>
        <v>Sales Lead Expire Hrs% (Yr)</v>
      </c>
      <c r="C12" t="s">
        <v>689</v>
      </c>
      <c r="D12" t="str">
        <f>Labels!E238</f>
        <v>Annualized rate at which qualified sales leads expire, segmented by lead quality and by product, for each time period. Sales leads apply to products only, not support.</v>
      </c>
      <c r="E12" t="s">
        <v>3061</v>
      </c>
      <c r="F12" t="str">
        <f>Labels!B235</f>
        <v>Sales Lead Conv Hrs%</v>
      </c>
      <c r="G12" t="s">
        <v>3492</v>
      </c>
      <c r="H12" t="str">
        <f>Labels!E235</f>
        <v>Rate at which qualified sales leads convert to next-most qualified lead class or to sales orders, segmented by lead quality and by product, for each time period. Sales leads apply to products only, not support. The least qualified lead categories are listed first, and the most qualified categories are at the end of the list.
A conversion rate of exactly 100%/year is treated as a special case, so that all leads are promoted in the first time period, even if that is a month (or a day).</v>
      </c>
      <c r="I12" t="s">
        <v>4107</v>
      </c>
      <c r="J12" t="str">
        <f>Labels!B237</f>
        <v>Sales Lead Expire Hrs%</v>
      </c>
      <c r="K12" t="s">
        <v>5489</v>
      </c>
      <c r="L12" t="str">
        <f>Labels!E237</f>
        <v>Rate at which qualified sales leads expire, segmented by lead quality and by product, for each time period. Sales leads apply to products only, not support.</v>
      </c>
      <c r="M12" t="s">
        <v>481</v>
      </c>
      <c r="N12" t="str">
        <f>Labels!B143</f>
        <v>Backlog Filled Hrs%</v>
      </c>
      <c r="O12" t="s">
        <v>785</v>
      </c>
      <c r="P12" t="str">
        <f>Labels!E143</f>
        <v>Percentage of order backlog that is fulfilled, in each time period, expressed in billable hours, segmented by product. Backlog applies to products only, not support.</v>
      </c>
      <c r="Q12" t="s">
        <v>5123</v>
      </c>
      <c r="R12" t="str">
        <f>Labels!B142</f>
        <v>Orders (Billed Hrs)</v>
      </c>
      <c r="S12" t="s">
        <v>4945</v>
      </c>
      <c r="T12" t="str">
        <f>Labels!E142</f>
        <v>Staff hours from order backlog (from small engagements in the the sales funnel) that are fulfilled and billed in each time period, segmented by Practice Area and Professional Staff Type</v>
      </c>
      <c r="U12" t="s">
        <v>5888</v>
      </c>
      <c r="V12" t="str">
        <f>Labels!B138</f>
        <v>Order Backlog</v>
      </c>
      <c r="W12" t="s">
        <v>485</v>
      </c>
      <c r="X12" t="str">
        <f>Labels!E138</f>
        <v>Order backlog at the end of each time period, expressed in currency, segmented by product. Note that the initial value at the start of model time uses average hourly fees in the first time period.</v>
      </c>
      <c r="Y12" t="s">
        <v>3477</v>
      </c>
      <c r="Z12" t="str">
        <f>Labels!B141</f>
        <v>Orders Filled</v>
      </c>
      <c r="AA12" t="s">
        <v>4338</v>
      </c>
      <c r="AB12" t="str">
        <f>Labels!E141</f>
        <v>Amount of order backlog that is fulfilled in each time period, expressed in currency, segmented by product. Backlog applies to products only, not support.</v>
      </c>
      <c r="AC12" t="s">
        <v>3919</v>
      </c>
      <c r="AD12" t="str">
        <f>Labels!B241</f>
        <v>Sales Leads</v>
      </c>
      <c r="AE12" t="s">
        <v>5538</v>
      </c>
      <c r="AF12" t="str">
        <f>Labels!E241</f>
        <v>The amount of qualified sales leads, expressed in currency, at the end of each time period, segmented by lead quality and by product. Sales leads apply to products only, not support.
The least qualified lead categories are listed first, and the most qualified categories are at the end of the list.</v>
      </c>
      <c r="AG12" t="s">
        <v>4940</v>
      </c>
      <c r="AH12" t="str">
        <f>Labels!B243</f>
        <v>New Sales Leads</v>
      </c>
      <c r="AI12" t="s">
        <v>2944</v>
      </c>
      <c r="AJ12" t="str">
        <f>Labels!E243</f>
        <v>New qualified sales leads, expressed in currency, in each time period, segmented by lead quality and by product. Sales leads apply to products only, not support.
The least qualified lead categories are listed first, and the most qualified categories are at the end of the list.</v>
      </c>
      <c r="AK12" t="s">
        <v>670</v>
      </c>
      <c r="AL12" t="str">
        <f>Labels!B172</f>
        <v>Professional Staf Cost/Hr</v>
      </c>
      <c r="AM12" t="s">
        <v>2797</v>
      </c>
      <c r="AN12" t="str">
        <f>Labels!E172</f>
        <v xml:space="preserve">Professional staff cost/hour at capacity. Segmented by Practice Area, Professional Staff Type, and time period. Includes benefits, payroll taxes, and general rates of pay increase. </v>
      </c>
      <c r="AO12" t="s">
        <v>1073</v>
      </c>
      <c r="AP12" t="str">
        <f>Labels!B44</f>
        <v xml:space="preserve">Cost of Services - Staff </v>
      </c>
      <c r="AQ12" t="s">
        <v>3498</v>
      </c>
      <c r="AR12" t="str">
        <f>Labels!E44</f>
        <v>Professional staff cost applied to client engagements (including small engagements from the sales funnel), segmented by Practice Area, Professional Staff Type, and time period. Includes cost of professional time applied to engagements but not billed.</v>
      </c>
      <c r="AS12" t="s">
        <v>2499</v>
      </c>
      <c r="AT12" t="str">
        <f>Labels!B206</f>
        <v>Prof Staff Target Util %</v>
      </c>
      <c r="AU12" t="s">
        <v>3554</v>
      </c>
      <c r="AV12" t="str">
        <f>Labels!E206</f>
        <v>Target utilization percent of professional staff hours in client engagements and practice development, segmented by Practice Area, by Professional Staff Type, and by time period. This information is used in the model only if billed professional staff hours are used to project professional headcount.
If you choose to have the model compute staff requirements, then this variable and Professional staff target hours per head are used for this purpose.</v>
      </c>
      <c r="AW12" t="s">
        <v>839</v>
      </c>
      <c r="AX12" t="str">
        <f>Labels!B205</f>
        <v>Prof Staff Targ Hrs/ HC (Yr)</v>
      </c>
      <c r="AY12" t="s">
        <v>4241</v>
      </c>
      <c r="AZ12" t="str">
        <f>Labels!E205</f>
        <v>Theoretical maximum annual billable hours per professional staff person, from which utilization % is computed; segmented by Practice Area and by Professional Staff Type.
If you choose to have the model compute staff requirements, then this variable and Professional staff target utilization % are used for this purpose.</v>
      </c>
      <c r="BA12" t="s">
        <v>2326</v>
      </c>
      <c r="BB12" t="str">
        <f>Labels!B179</f>
        <v>Professional Staff Count1</v>
      </c>
      <c r="BC12" t="s">
        <v>751</v>
      </c>
      <c r="BD12" t="str">
        <f>Labels!E179</f>
        <v>Professional Staff Headcount, segmented by Practice Area, by Professional Staff Type, and by time period. Later in the computations, the Professoinal Staff Headcount is rounded to half-integers.
If you choose to have the model compute staff requirements, then Professional staff target hours per head and Professional staff target utilization % are used for this purpose. 
See comment for Professional Staff Count for more information.</v>
      </c>
      <c r="BE12" t="s">
        <v>255</v>
      </c>
      <c r="BF12" t="str">
        <f>Labels!B177</f>
        <v>Prof_Staff Count Early</v>
      </c>
      <c r="BG12" t="s">
        <v>148</v>
      </c>
      <c r="BH12" t="str">
        <f>Labels!E177</f>
        <v>Professional Staff Headcount for the early part of the model, given explicitly. Segmented by Practice Area, by Profesisonal Staff Type, and by time period. 
After a cutoff time that you specify, Professional Staff Headcount is determined from the planned number of billable hours and the target utilization percent for professional staff. 
All headcount by Practice Area and by Professional Staff Type are later rounded to half-integers.</v>
      </c>
      <c r="BI12" t="s">
        <v>1093</v>
      </c>
      <c r="BJ12" t="str">
        <f>Labels!B176</f>
        <v>Prof Staff Count Cutover</v>
      </c>
      <c r="BK12" t="s">
        <v>2831</v>
      </c>
      <c r="BL12" t="str">
        <f>Labels!E176</f>
        <v>Number of early time periods in which explicit input data for Professional Staff Headcount (in variable Prof_Staff_Count_Early) are used, before the utilization-based formula takes over. 
If the cutoff time is 0, then the the formula determines Professional Staff Headcount for all time periods. If the cutoff time is past the end of model time, then you can specify Professional Staff Headcount for all time periods.</v>
      </c>
    </row>
    <row r="13" spans="1:64" ht="12.75" customHeight="1" x14ac:dyDescent="0.2">
      <c r="A13" t="s">
        <v>1453</v>
      </c>
      <c r="B13" t="str">
        <f>Labels!B175</f>
        <v>Professional Staff Count</v>
      </c>
      <c r="C13" t="s">
        <v>2785</v>
      </c>
      <c r="D13" t="str">
        <f>Labels!E175</f>
        <v>Professional Staff Headcount, segmented by Practice Area, by Profesisonal Staff Type, and by time period. The headcount is rounded to half-integers.
You can set the professional staff headcount explicitly for time periods before a cutoff time that you specify. After the cutoff time, headcount is determined by planned billed staff hours and professional staff target utilzation. 
If the cutoff time is 0, then the the formula determines Professional Staff Headcount for all time periods. If the cutoff time is past the end of model time, then you can specify Professional Staff Headcount for all time periods.</v>
      </c>
      <c r="E13" t="s">
        <v>5142</v>
      </c>
      <c r="F13" t="str">
        <f>Labels!B209</f>
        <v>Professional Staff Utilization %</v>
      </c>
      <c r="G13" t="s">
        <v>1824</v>
      </c>
      <c r="H13" t="str">
        <f>Labels!E209</f>
        <v>Percent of theoretical professional staff hours used in client engagements and practice development, segmented by Practice Area, Professional Staff Type, and time period</v>
      </c>
      <c r="I13" t="s">
        <v>457</v>
      </c>
      <c r="J13" t="str">
        <f>Labels!B173</f>
        <v>Prof Staff Cost Unapplied</v>
      </c>
      <c r="K13" t="s">
        <v>5385</v>
      </c>
      <c r="L13" t="str">
        <f>Labels!E173</f>
        <v>Cost of professional staff time not applied to client Engagements (including small engagements from the sales funnel) or practice development. Segmented by Practice Area, Professional Staff Type, and time period.</v>
      </c>
      <c r="M13" t="s">
        <v>99</v>
      </c>
      <c r="N13" t="str">
        <f>Labels!B189</f>
        <v>Billed Hours Round?</v>
      </c>
      <c r="O13" t="s">
        <v>163</v>
      </c>
      <c r="P13" t="str">
        <f>Labels!E189</f>
        <v>If you want to round billable hours to whole numbers, set to TRUE, else FALSE. Applies to major and minor engagements.</v>
      </c>
      <c r="Q13" t="s">
        <v>2881</v>
      </c>
      <c r="R13" t="str">
        <f>Labels!B73</f>
        <v>Duration</v>
      </c>
      <c r="S13" t="s">
        <v>3416</v>
      </c>
      <c r="T13" t="str">
        <f>Labels!E73</f>
        <v>Duration of each major Engagement that is tracked separately, expressed in number of time periods. Values cannot exceed the number of time periods in Dimension 'Engage_Time'. To increase this limit, change the length of dimension 'Engage Time' when you customize a new temlate, or in ModelSheet Authoring.</v>
      </c>
      <c r="U13" t="s">
        <v>5283</v>
      </c>
      <c r="V13" t="str">
        <f>Labels!B87</f>
        <v>Size (Hrs)</v>
      </c>
      <c r="W13" t="s">
        <v>2883</v>
      </c>
      <c r="X13" t="str">
        <f>Labels!E87</f>
        <v>Size of each major Engagement expressed in billed hours summed over Professional Staff Types</v>
      </c>
      <c r="Y13" t="s">
        <v>1104</v>
      </c>
      <c r="Z13" t="str">
        <f>Labels!B77</f>
        <v>Staff Hrs Applied</v>
      </c>
      <c r="AA13" t="s">
        <v>4483</v>
      </c>
      <c r="AB13" t="str">
        <f>Labels!E77</f>
        <v>Professional staff hours that are applied on major Engagements (regardless of whether they are all billed to  clients), segmented by major Engagment, by Professional STaff Type, and by engagement time period. The values start as defaults determined by input variables Engage_Type_Labor_Pct and Engage_Type_Labor_Slope. You can override the default values as you wish.</v>
      </c>
      <c r="AC13" t="s">
        <v>4505</v>
      </c>
      <c r="AD13" t="str">
        <f>Labels!B89</f>
        <v>Engage Time</v>
      </c>
      <c r="AE13" t="s">
        <v>3873</v>
      </c>
      <c r="AF13" t="str">
        <f>Labels!E89</f>
        <v>The local time in a major Engagement, starting from the start date of the Engagement and counting time periods. To increase this limit, change the maximum duration of an Engagement when you customize a template, or change the number of items in Dimension 'Engage Time' in ModelSheet Authoring.</v>
      </c>
      <c r="AG13" t="s">
        <v>4298</v>
      </c>
      <c r="AH13" t="str">
        <f>Labels!B88</f>
        <v>Start Time Period</v>
      </c>
      <c r="AI13" t="s">
        <v>992</v>
      </c>
      <c r="AJ13" t="str">
        <f>Labels!E88</f>
        <v>Starting time period of each engagement, relative to the start of model time, expressed as an integral number of time periods</v>
      </c>
      <c r="AK13" t="s">
        <v>5334</v>
      </c>
      <c r="AL13" t="str">
        <f>Labels!B79</f>
        <v>Hours Billed</v>
      </c>
      <c r="AM13" t="s">
        <v>5431</v>
      </c>
      <c r="AN13" t="str">
        <f>Labels!E79</f>
        <v>Billable professional staff hours that are actually billed, for each major Engagement, for each Professional Staff Type, in each time period</v>
      </c>
      <c r="AO13" t="s">
        <v>182</v>
      </c>
      <c r="AP13" t="str">
        <f>Labels!B211</f>
        <v>Purchased Supplies</v>
      </c>
      <c r="AQ13" t="s">
        <v>4683</v>
      </c>
      <c r="AR13" t="str">
        <f>Labels!E211</f>
        <v>Purchases of direct supplies, by time period</v>
      </c>
      <c r="AS13" t="s">
        <v>1793</v>
      </c>
      <c r="AT13" t="str">
        <f>Labels!B90</f>
        <v>Engage Types</v>
      </c>
      <c r="AU13" t="s">
        <v>651</v>
      </c>
      <c r="AV13" t="str">
        <f>Labels!E90</f>
        <v>Converts the dimension Engage_Types into an analysis variable for use in lookups. This variable is a technical device with no conceptual significance in the model.</v>
      </c>
      <c r="AW13" t="s">
        <v>4011</v>
      </c>
      <c r="AX13" t="str">
        <f>Labels!B287</f>
        <v>Time Periods</v>
      </c>
      <c r="AY13" t="s">
        <v>3305</v>
      </c>
      <c r="AZ13" t="str">
        <f>Labels!E287</f>
        <v>Counts time in periods of model time, starting from the beginning of model time</v>
      </c>
      <c r="BA13" t="s">
        <v>4402</v>
      </c>
      <c r="BB13" t="str">
        <f>Labels!B82</f>
        <v>Applied Hours % Billed</v>
      </c>
      <c r="BC13" t="s">
        <v>5045</v>
      </c>
      <c r="BD13" t="str">
        <f>Labels!E82</f>
        <v>Percentage of billable hours applied to major Engagements that are actually billed to client. Segmented by major Engagement, by Professional Staff Type, and by time period. Setting this rate below 100% enables the model to record time applied but not billed to the client.</v>
      </c>
      <c r="BE13" t="s">
        <v>5638</v>
      </c>
      <c r="BF13" t="str">
        <f>Labels!B80</f>
        <v>Staff Hrs Billed</v>
      </c>
      <c r="BG13" t="s">
        <v>682</v>
      </c>
      <c r="BH13" t="str">
        <f>Labels!E80</f>
        <v>The professional staff hours actually billed for major Engagments, segmented by Engagement, by Professional Staff Type, and by engagement time period</v>
      </c>
      <c r="BI13" t="s">
        <v>3857</v>
      </c>
      <c r="BJ13" t="str">
        <f>Labels!B193</f>
        <v>Prof Staff Hours Unapplied</v>
      </c>
      <c r="BK13" t="s">
        <v>5626</v>
      </c>
      <c r="BL13" t="str">
        <f>Labels!E193</f>
        <v>Professional staff hours not applied to client engagements (including those from the sales funnel) or practice development. Segmented by Practice Area, Professional Staff Type, and time period.</v>
      </c>
    </row>
    <row r="14" spans="1:64" ht="12.75" customHeight="1" x14ac:dyDescent="0.2">
      <c r="A14" t="s">
        <v>2663</v>
      </c>
      <c r="B14" t="str">
        <f>Labels!B67</f>
        <v>Billings</v>
      </c>
      <c r="C14" t="s">
        <v>857</v>
      </c>
      <c r="D14" t="str">
        <f>Labels!E67</f>
        <v>Billings for staff hours each major Engagement, segmented by Professional Staff Type and by engagement time period. These amounts are net of all fee discount rates. (Time=0 at start time of the engagement.)</v>
      </c>
      <c r="E14" t="s">
        <v>5281</v>
      </c>
      <c r="F14" t="str">
        <f>Labels!B66</f>
        <v>Billings</v>
      </c>
      <c r="G14" t="s">
        <v>2405</v>
      </c>
      <c r="H14" t="str">
        <f>Labels!E66</f>
        <v>Billings for staff time for each major Engagement, segmented by Professional Staff Type, in each time period. Net of all fee discounts. Excludes billings for small engagemenets from the sales funnel.</v>
      </c>
      <c r="I14" t="s">
        <v>1802</v>
      </c>
      <c r="J14" t="str">
        <f>Labels!B190</f>
        <v>Prof Staff Capacity (Hrs)</v>
      </c>
      <c r="K14" t="s">
        <v>3906</v>
      </c>
      <c r="L14" t="str">
        <f>Labels!E190</f>
        <v>Professional staff billable hours capacity, segmented by Practice Area, by Professional Staff Type, and by time period</v>
      </c>
      <c r="M14" t="s">
        <v>2542</v>
      </c>
      <c r="N14" t="str">
        <f>Labels!B76</f>
        <v>Staff Hrs Applied</v>
      </c>
      <c r="O14" t="s">
        <v>4141</v>
      </c>
      <c r="P14" t="str">
        <f>Labels!E76</f>
        <v>Billable hours applied on major Engagements, for each Professional Staff Type, in each time period.</v>
      </c>
      <c r="Q14" t="s">
        <v>5796</v>
      </c>
      <c r="R14" t="str">
        <f>Labels!B83</f>
        <v>Staff Hrs Applied, Unbilled</v>
      </c>
      <c r="S14" t="s">
        <v>1718</v>
      </c>
      <c r="T14" t="str">
        <f>Labels!E83</f>
        <v>Professional staff hours applied on major Engagements but not billed to clients, segmented by major Engagement, by Professional Staff Type, and by time period.</v>
      </c>
      <c r="U14" t="s">
        <v>722</v>
      </c>
      <c r="V14" t="str">
        <f>Labels!B149</f>
        <v>Practice Area</v>
      </c>
      <c r="W14" t="s">
        <v>1078</v>
      </c>
      <c r="X14" t="str">
        <f>Labels!E149</f>
        <v>The Practice Area for each major Engagement that is tracked separately.</v>
      </c>
      <c r="Y14" t="s">
        <v>5035</v>
      </c>
      <c r="Z14" t="str">
        <f>Labels!B198</f>
        <v>Prof Staff Recruited</v>
      </c>
      <c r="AA14" t="s">
        <v>3152</v>
      </c>
      <c r="AB14" t="str">
        <f>Labels!E198</f>
        <v>Number of professional staff that are obtained through the paid recruitment process, segmented by Practice Area, by Profesisonal Staff Type, and by time period</v>
      </c>
      <c r="AC14" t="s">
        <v>5698</v>
      </c>
      <c r="AD14" t="str">
        <f>Labels!B207</f>
        <v>Prof Staff Turnover</v>
      </c>
      <c r="AE14" t="s">
        <v>4048</v>
      </c>
      <c r="AF14" t="str">
        <f>Labels!E207</f>
        <v>Number of professional staff that turn over each year and must be replaced. Segmented by Practice Area, by Professional Staff Type, and by time period.
This information is used in the computation of recruiting expense.</v>
      </c>
      <c r="AG14" t="s">
        <v>3475</v>
      </c>
      <c r="AH14" t="str">
        <f>Labels!B208</f>
        <v>Turnover % (Yr)</v>
      </c>
      <c r="AI14" t="s">
        <v>5001</v>
      </c>
      <c r="AJ14" t="str">
        <f>Labels!E208</f>
        <v>Percentage of professional staff that turn over each year, segmented by Practice Area, and by Professional Staff Type. Used in the computation of recruiting expense.
Because this variable does not depend on time, the rollup values are given for the last period of model time.</v>
      </c>
      <c r="AK14" t="s">
        <v>3527</v>
      </c>
      <c r="AL14" t="str">
        <f>Labels!B199</f>
        <v>Prof Staff Rel Exp</v>
      </c>
      <c r="AM14" t="s">
        <v>5429</v>
      </c>
      <c r="AN14" t="str">
        <f>Labels!E199</f>
        <v>Professional staff-related expenses, segmented by Practice Area, by Professional Staff Type, expense type, and by time period</v>
      </c>
      <c r="AO14" t="s">
        <v>5853</v>
      </c>
      <c r="AP14" t="str">
        <f>Labels!B197</f>
        <v xml:space="preserve">Prof Staff/Rev Million </v>
      </c>
      <c r="AQ14" t="s">
        <v>471</v>
      </c>
      <c r="AR14" t="str">
        <f>Labels!E197</f>
        <v>The ratio (prof staff count at end of time period)/ (revenue 000 for time period), segmented by Practice Area, by Professional Staff Type, and by time period</v>
      </c>
      <c r="AS14" t="s">
        <v>1017</v>
      </c>
      <c r="AT14" t="str">
        <f>Labels!B168</f>
        <v>Prof Staff Bonus %</v>
      </c>
      <c r="AU14" t="s">
        <v>613</v>
      </c>
      <c r="AV14" t="str">
        <f>Labels!E168</f>
        <v>The size of the bonus pool for professional staff as a percentage of wages, segmented by Practice Area, by Professional Staff Type, and by time period</v>
      </c>
      <c r="AW14" t="s">
        <v>4426</v>
      </c>
      <c r="AX14" t="str">
        <f>Labels!B167</f>
        <v>Professional Staff Bonus</v>
      </c>
      <c r="AY14" t="s">
        <v>3436</v>
      </c>
      <c r="AZ14" t="str">
        <f>Labels!E167</f>
        <v>Bonus pool for professional staff, segmented by Practice Area, by Professional Staff Type, and by time period</v>
      </c>
      <c r="BA14" t="s">
        <v>2555</v>
      </c>
      <c r="BB14" t="str">
        <f>Labels!B201</f>
        <v>Professional Staff Salary (Yr)</v>
      </c>
      <c r="BC14" t="s">
        <v>3395</v>
      </c>
      <c r="BD14" t="str">
        <f>Labels!E201</f>
        <v>Average annual salary per professional staff, segmented by Practice Area, by Professional Staff Type, and by time period. Excludes benefits, bonuses, and payroll taxes.</v>
      </c>
      <c r="BE14" t="s">
        <v>4900</v>
      </c>
      <c r="BF14" t="str">
        <f>Labels!B147</f>
        <v>Per Prof Staff Exp (Yr)</v>
      </c>
      <c r="BG14" t="s">
        <v>5222</v>
      </c>
      <c r="BH14" t="str">
        <f>Labels!E147</f>
        <v>Annualized employee-related expense per professional staff, segmented by professional staff type, expense type, and by time period</v>
      </c>
      <c r="BI14" t="s">
        <v>5791</v>
      </c>
      <c r="BJ14" t="str">
        <f>Labels!B200</f>
        <v>Initial Avg Prof Staff Salary (Yr)</v>
      </c>
      <c r="BK14" t="s">
        <v>3891</v>
      </c>
      <c r="BL14" t="str">
        <f>Labels!E200</f>
        <v>The average annual salary paid to each professional staff in the initial time period, segmented by Practice Area and by Professional Staff Type. Excludes benefits, bonuses and payroll taxes. (If the entire model is in $K, then this should be in $K/year.)</v>
      </c>
    </row>
    <row r="15" spans="1:64" ht="12.75" customHeight="1" x14ac:dyDescent="0.2">
      <c r="A15" t="s">
        <v>4406</v>
      </c>
      <c r="B15" t="str">
        <f>Labels!B202</f>
        <v>Prof Staff Salary Cost</v>
      </c>
      <c r="C15" t="s">
        <v>2257</v>
      </c>
      <c r="D15" t="str">
        <f>Labels!E202</f>
        <v>Professional staff salary cost, segmented by Practice Area, by Profesisonal Staff Type, and by time period. Excludes benefits, payroll taxes, bonuses.</v>
      </c>
      <c r="E15" t="s">
        <v>2410</v>
      </c>
      <c r="F15" t="str">
        <f>Labels!B169</f>
        <v>Prof Staff Cost</v>
      </c>
      <c r="G15" t="s">
        <v>2233</v>
      </c>
      <c r="H15" t="str">
        <f>Labels!E169</f>
        <v>Professional staff cost, segmented by Practice Area, Professional Staff Type, and time period. Includes salary, benefits, payroll taxes, bonuses. Also includes the cost of unapplied hours.</v>
      </c>
      <c r="I15" t="s">
        <v>5131</v>
      </c>
      <c r="J15" t="str">
        <f>Labels!B164</f>
        <v>Prof Staff Benefits %</v>
      </c>
      <c r="K15" t="s">
        <v>583</v>
      </c>
      <c r="L15" t="str">
        <f>Labels!E164</f>
        <v>Professional staff benefits expense, as a percentage of salary, excluding bonuses; segmented by job type, by time period</v>
      </c>
      <c r="M15" t="s">
        <v>5646</v>
      </c>
      <c r="N15" t="str">
        <f>Labels!B155</f>
        <v>Practice Development</v>
      </c>
      <c r="O15" t="s">
        <v>3864</v>
      </c>
      <c r="P15" t="str">
        <f>Labels!E155</f>
        <v>Spending on developing assets for practice areas</v>
      </c>
      <c r="Q15" t="s">
        <v>1183</v>
      </c>
      <c r="R15" t="str">
        <f>Labels!B153</f>
        <v>Practice Dev Prof Staff Count</v>
      </c>
      <c r="S15" t="s">
        <v>5242</v>
      </c>
      <c r="T15" t="str">
        <f>Labels!E153</f>
        <v>Professional staff heacount devoted to practice are, segmented by practice area, by job type, by time period</v>
      </c>
      <c r="U15" t="s">
        <v>1934</v>
      </c>
      <c r="V15" t="str">
        <f>Labels!B157</f>
        <v>Practice Dev Sup Staff Count</v>
      </c>
      <c r="W15" t="s">
        <v>1887</v>
      </c>
      <c r="X15" t="str">
        <f>Labels!E157</f>
        <v>Support staff heacount devoted to practice are, segmented by practice area, by department, by job level, by time period</v>
      </c>
      <c r="Y15" t="s">
        <v>4242</v>
      </c>
      <c r="Z15" t="str">
        <f>Labels!B152</f>
        <v>Practice Dev Prof Spending</v>
      </c>
      <c r="AA15" t="s">
        <v>2607</v>
      </c>
      <c r="AB15" t="str">
        <f>Labels!E152</f>
        <v>Professional staff heacount devoted to practice are, segmented by practice area, by job type, by time period</v>
      </c>
      <c r="AC15" t="s">
        <v>2563</v>
      </c>
      <c r="AD15" t="str">
        <f>Labels!B156</f>
        <v>Practice Dev Sup Staff Spend</v>
      </c>
      <c r="AE15" t="s">
        <v>1450</v>
      </c>
      <c r="AF15" t="str">
        <f>Labels!E156</f>
        <v>Support staff spending devoted to practice development, segmented by practice area, by department, by job level, by time period</v>
      </c>
      <c r="AG15" t="s">
        <v>3176</v>
      </c>
      <c r="AH15" t="str">
        <f>Labels!B150</f>
        <v>Practice Dev % Capitalized</v>
      </c>
      <c r="AI15" t="s">
        <v>3780</v>
      </c>
      <c r="AJ15">
        <f>Labels!E150</f>
        <v>0</v>
      </c>
      <c r="AK15" t="s">
        <v>1307</v>
      </c>
      <c r="AL15" t="str">
        <f>Labels!B191</f>
        <v>Prof Staff Capacity (Hrs)</v>
      </c>
      <c r="AM15" t="s">
        <v>3015</v>
      </c>
      <c r="AN15" t="str">
        <f>Labels!E191</f>
        <v>Professional staff billable hours capacity, segmented by Professional Staff Type and by time period. This variable is used for plotting only.</v>
      </c>
      <c r="AO15" t="s">
        <v>3479</v>
      </c>
      <c r="AP15" t="str">
        <f>Labels!B181</f>
        <v>Prof Staff Hrs Applied</v>
      </c>
      <c r="AQ15" t="s">
        <v>4212</v>
      </c>
      <c r="AR15" t="str">
        <f>Labels!E181</f>
        <v>Professional staff hours not applied to client engagements, practice development, or other activities, segmented by practice area, by job type, by time period. This variable is used for plotting only.</v>
      </c>
      <c r="AS15" t="s">
        <v>3831</v>
      </c>
      <c r="AT15" t="str">
        <f>Labels!B213</f>
        <v>Expense % Comp</v>
      </c>
      <c r="AU15" t="s">
        <v>4625</v>
      </c>
      <c r="AV15" t="str">
        <f>Labels!E213</f>
        <v>Recruiting expense as a percentage of annual salary, for those professional staff positions that incur recruiting expense, segmented by job level and by department.</v>
      </c>
      <c r="AW15" t="s">
        <v>4372</v>
      </c>
      <c r="AX15" t="str">
        <f>Labels!B215</f>
        <v>Recruiting Expense</v>
      </c>
      <c r="AY15" t="s">
        <v>4292</v>
      </c>
      <c r="AZ15" t="str">
        <f>Labels!E215</f>
        <v>Recruiting expense for professional staff, segmented by department, job level, and time period. This expense is included in G&amp;A expense in the account 'Recruiting', in the 'Admin' department.</v>
      </c>
      <c r="BA15" t="s">
        <v>814</v>
      </c>
      <c r="BB15" t="str">
        <f>Labels!B218</f>
        <v>Initial Recruit %</v>
      </c>
      <c r="BC15" t="s">
        <v>3458</v>
      </c>
      <c r="BD15" t="str">
        <f>Labels!E218</f>
        <v>Percentage of employees in the first time period that incur the normal rate of recruiting activity. For startups, this is near 100%; for ongoing businesses, this is zero.</v>
      </c>
      <c r="BE15" t="s">
        <v>1787</v>
      </c>
      <c r="BF15" t="str">
        <f>Labels!B220</f>
        <v>Recruit % Positions</v>
      </c>
      <c r="BG15" t="s">
        <v>5321</v>
      </c>
      <c r="BH15" t="str">
        <f>Labels!E220</f>
        <v>Percentage of open positions that incur recruiting expense, by department and job level. Does not apply to the first time period (see Recruit_pct_Pos_Prof_Init).</v>
      </c>
      <c r="BI15" t="s">
        <v>398</v>
      </c>
      <c r="BJ15" t="str">
        <f>Labels!B217</f>
        <v>Recruiting Expense</v>
      </c>
      <c r="BK15" t="s">
        <v>1319</v>
      </c>
      <c r="BL15" t="str">
        <f>Labels!E217</f>
        <v>Total recruiting expense for professional and support staffs. Recruiting expense for support staff is treated as a G&amp;A operating expense in the respective departments. Recruiting expense for professional staff is treated as a G&amp;A operating expense in the Admin department.</v>
      </c>
    </row>
    <row r="16" spans="1:64" ht="12.75" customHeight="1" x14ac:dyDescent="0.2">
      <c r="A16" t="s">
        <v>3869</v>
      </c>
      <c r="B16" t="str">
        <f>Labels!B81</f>
        <v>Staff Hrs Billed</v>
      </c>
      <c r="C16" t="s">
        <v>3581</v>
      </c>
      <c r="D16" t="str">
        <f>Labels!E81</f>
        <v>The professional staff hours actually billed for major Engagments, segmented by Engagement, by Professional Staff Type, and by engagement time period. This variable does not include optional rounding.</v>
      </c>
      <c r="E16" t="s">
        <v>4617</v>
      </c>
      <c r="F16" t="str">
        <f>Labels!B145</f>
        <v>Orders Filled (Hrs)</v>
      </c>
      <c r="G16" t="s">
        <v>3622</v>
      </c>
      <c r="H16" t="str">
        <f>Labels!E145</f>
        <v>Amount of order backlog that is fulfilled in each time period, expressed in bilable hours, segmented by product. This variable does not include optional rounding.</v>
      </c>
      <c r="I16" t="s">
        <v>650</v>
      </c>
      <c r="J16" t="str">
        <f>Labels!B84</f>
        <v>Labor Share %</v>
      </c>
      <c r="K16" t="s">
        <v>1921</v>
      </c>
      <c r="L16" t="str">
        <f>Labels!E84</f>
        <v>Percent of professional staff hours for each professional staff type, for each engagement.</v>
      </c>
      <c r="M16" t="s">
        <v>1854</v>
      </c>
      <c r="N16" t="str">
        <f>Labels!B85</f>
        <v>Labor Ramp</v>
      </c>
      <c r="O16" t="s">
        <v>3188</v>
      </c>
      <c r="P16" t="str">
        <f>Labels!E85</f>
        <v>Early and late labor intensity of each engagement, segmented by Professional Staff Type. The value should be between -1 and 1.
* 0 means labor hours are constant over the duration of the engagement.
* 1 means labor increases linearly over the duration of the engagement.
* -1 nmeans labor declines linearly over the duration of the engagement.</v>
      </c>
      <c r="Q16" t="s">
        <v>3187</v>
      </c>
      <c r="R16" t="str">
        <f>Labels!B103</f>
        <v>Ident Engage Practice Area</v>
      </c>
      <c r="S16" t="s">
        <v>5051</v>
      </c>
      <c r="T16" t="str">
        <f>Labels!E103</f>
        <v>A utility for identifying Engagements and Practice Areas</v>
      </c>
      <c r="U16" t="s">
        <v>89</v>
      </c>
      <c r="V16" t="str">
        <f>Labels!B264</f>
        <v>Wage increase %</v>
      </c>
      <c r="W16" t="s">
        <v>2304</v>
      </c>
      <c r="X16" t="str">
        <f>Labels!E264</f>
        <v>The rate of increase of wage rates for support staff. The variable 'Wage Increase Annual?' determines whether this rate of increase is interpreted as an annual rate spread over all time periods, or as the actual rate that is applied in each time period.</v>
      </c>
      <c r="Y16" t="s">
        <v>2548</v>
      </c>
      <c r="Z16" t="str">
        <f>Labels!B265</f>
        <v>Wage increase period %</v>
      </c>
      <c r="AA16" t="s">
        <v>2810</v>
      </c>
      <c r="AB16" t="str">
        <f>Labels!E265</f>
        <v>The rate of increase of wage rates, by time period</v>
      </c>
      <c r="AC16" t="s">
        <v>521</v>
      </c>
      <c r="AD16" t="str">
        <f>Labels!B48</f>
        <v>Cost of Supplies / Hr</v>
      </c>
      <c r="AE16" t="s">
        <v>3060</v>
      </c>
      <c r="AF16" t="str">
        <f>Labels!E48</f>
        <v>Cost of direct supplies per hour of client services, segmented by Practice Area, Professional Staff Type, and time period</v>
      </c>
      <c r="AG16" t="s">
        <v>777</v>
      </c>
      <c r="AH16" t="str">
        <f>Labels!B180</f>
        <v>Prof Staff Hours Applied</v>
      </c>
      <c r="AI16" t="s">
        <v>2533</v>
      </c>
      <c r="AJ16" t="str">
        <f>Labels!E180</f>
        <v>Professional staff hours applied to client engagements (including small engagements from the sales funnel) or practice development. Segmented by Practice Area, Professional Staff Type, and time period.</v>
      </c>
      <c r="AK16" t="s">
        <v>4205</v>
      </c>
      <c r="AL16" t="str">
        <f>Labels!B192</f>
        <v>Prof Staff Hrs Engagements</v>
      </c>
      <c r="AM16" t="s">
        <v>4352</v>
      </c>
      <c r="AN16" t="str">
        <f>Labels!E192</f>
        <v>Professional staff hours applied to client engagements (including small engagements from the sales funnel). Segmented by Practice Area, Prof Staff Type, Channel (if included in the model), and time period.</v>
      </c>
      <c r="AO16" t="s">
        <v>1485</v>
      </c>
      <c r="AP16" t="str">
        <f>Labels!B171</f>
        <v>Prof Staff Cost Engagements</v>
      </c>
      <c r="AQ16" t="s">
        <v>592</v>
      </c>
      <c r="AR16" t="str">
        <f>Labels!E171</f>
        <v>Cost of professional staff time applied to client Engagements (including those from the sales funnel). Segmented by Practice Area, Professional Staff Type, Channels, and time period.</v>
      </c>
      <c r="AS16" t="s">
        <v>575</v>
      </c>
      <c r="AT16" t="str">
        <f>Labels!B174</f>
        <v>Prof Staff Cost Unbilled</v>
      </c>
      <c r="AU16" t="s">
        <v>5718</v>
      </c>
      <c r="AV16" t="str">
        <f>Labels!E174</f>
        <v>Cost of professional staff time applied to client engagements (including small engagements from the sales funnel) but not billed. Segmented by Practice Area, Professional Staff Type, and time period.</v>
      </c>
      <c r="AW16" t="s">
        <v>1155</v>
      </c>
      <c r="AX16" t="str">
        <f>Labels!B194</f>
        <v>Prof Staff Hours Unbilled</v>
      </c>
      <c r="AY16" t="s">
        <v>4555</v>
      </c>
      <c r="AZ16" t="str">
        <f>Labels!E194</f>
        <v>Professional staff hours applied to client engagements (including small engagements from the sales funnel) but not billed. Segmented by Practice Area, Professional Staff Type, and time period.</v>
      </c>
      <c r="BA16" t="s">
        <v>5911</v>
      </c>
      <c r="BB16" t="str">
        <f>Labels!B170</f>
        <v>Prof Staff Cost Applied</v>
      </c>
      <c r="BC16" t="s">
        <v>1207</v>
      </c>
      <c r="BD16" t="str">
        <f>Labels!E170</f>
        <v>Cost of professional staff time applied to client engagements (including small engagements from the sales funnel), or practice development. Segmented by Practice Area, Professional Staff Type, and time period.</v>
      </c>
      <c r="BE16" t="s">
        <v>5723</v>
      </c>
      <c r="BF16" t="str">
        <f>Labels!B154</f>
        <v>Practice Dev Prof Staff Hrs</v>
      </c>
      <c r="BG16" t="s">
        <v>2302</v>
      </c>
      <c r="BH16" t="str">
        <f>Labels!E154</f>
        <v>Professional staff hours applied to practice development. Segmented by practice area, Professional Staff Type, and time period.</v>
      </c>
      <c r="BI16" t="s">
        <v>1030</v>
      </c>
      <c r="BJ16" t="str">
        <f>Labels!B68</f>
        <v>Sales Channel</v>
      </c>
      <c r="BK16" t="s">
        <v>2424</v>
      </c>
      <c r="BL16" t="str">
        <f>Labels!E68</f>
        <v>The sales channel or segment of the engagement</v>
      </c>
    </row>
    <row r="17" spans="1:64" ht="12.75" customHeight="1" x14ac:dyDescent="0.2">
      <c r="A17" t="s">
        <v>2779</v>
      </c>
      <c r="B17" t="str">
        <f>Labels!B33</f>
        <v>Channels_Dim</v>
      </c>
      <c r="C17" t="s">
        <v>164</v>
      </c>
      <c r="D17" t="str">
        <f>Labels!E33</f>
        <v>Converts the dimension Channels into an analysis variable for use in lookups. This variable is a technical device with no conceptual significance in the model.</v>
      </c>
      <c r="E17" t="s">
        <v>4598</v>
      </c>
      <c r="F17" t="str">
        <f>Labels!B102</f>
        <v>Ident Engage Channel</v>
      </c>
      <c r="G17" t="s">
        <v>4791</v>
      </c>
      <c r="H17" t="str">
        <f>Labels!E102</f>
        <v>A utility for mapping Engagements to Sales Channels</v>
      </c>
      <c r="I17" t="s">
        <v>1685</v>
      </c>
      <c r="J17" t="str">
        <f>Labels!B228</f>
        <v>Revenue</v>
      </c>
      <c r="K17" t="s">
        <v>2527</v>
      </c>
      <c r="L17" t="str">
        <f>Labels!E228</f>
        <v xml:space="preserve">Revenue from billed hours, segmented by Channel, Practice Area, Professional Staff Type, and time period. Includes small engagments from the sales funnel. This variable is for display only. It segments by Channels first, while variable 'Revenue' segments by Practice Area first. </v>
      </c>
      <c r="M17" t="s">
        <v>359</v>
      </c>
      <c r="N17" t="str">
        <f>Labels!B43</f>
        <v>Cost of Services</v>
      </c>
      <c r="O17" t="s">
        <v>3389</v>
      </c>
      <c r="P17" t="str">
        <f>Labels!E43</f>
        <v xml:space="preserve">Cost of providing services in client engagements (including small engagements from the sales funnel), segmented by staff cost and supplies cost, and by time period. This variable is for display only. It segments by Channel first, while variable 'Cost of Services' segments by Practice Area first. </v>
      </c>
      <c r="Q17" t="s">
        <v>5446</v>
      </c>
      <c r="R17" t="str">
        <f>Labels!B99</f>
        <v>Gross Margin</v>
      </c>
      <c r="S17" t="s">
        <v>1113</v>
      </c>
      <c r="T17" t="str">
        <f>Labels!E99</f>
        <v xml:space="preserve">Gross margin amount, segmented by Practice Area, Professional Staff Type, Channel, and time period. Unapplied professional staff time is deducted along with billed hours. This variable is for display only. It segments by Channel first, while variable 'Gross margin' segments by Practice Area first. </v>
      </c>
      <c r="U17" t="s">
        <v>3663</v>
      </c>
      <c r="V17" t="str">
        <f>Labels!B101</f>
        <v>Gross Margin %</v>
      </c>
      <c r="W17" t="s">
        <v>1421</v>
      </c>
      <c r="X17" t="str">
        <f>Labels!E101</f>
        <v xml:space="preserve">Gross margin percent (gross margin / revenue), segmented by Practice Area, Professional Staff Type, Channel, and time period. This variable is for display only. It segments by Channel first, while variable 'Gross margin %' segments by Practice Area first. </v>
      </c>
      <c r="Y17" t="s">
        <v>1855</v>
      </c>
      <c r="Z17" t="str">
        <f>Labels!B45</f>
        <v>Cost of Services - Staff</v>
      </c>
      <c r="AA17" t="s">
        <v>2472</v>
      </c>
      <c r="AB17" t="str">
        <f>Labels!E45</f>
        <v xml:space="preserve">Professional staff cost applied to client engagements (including small engagements from the sales funnel), segmented by Practice Area, Professional Staff Type, Channel, and time period. Includes cost of professional time applied to engagements but not billed. This variable is for display only. It segments by Channel first, while variable 'Cost of Services - Staff' segments by Practice Area first. </v>
      </c>
      <c r="AC17" t="s">
        <v>1377</v>
      </c>
      <c r="AD17" t="str">
        <f>Labels!B47</f>
        <v xml:space="preserve">Cost of Services - Supplies </v>
      </c>
      <c r="AE17" t="s">
        <v>2972</v>
      </c>
      <c r="AF17" t="str">
        <f>Labels!E47</f>
        <v xml:space="preserve">Cost of direct supplies incurred in client engagements (including small engagements from the sales funnel). Segmented by Practice Area, Professional Staff Type, Channel, and time period. This variable is for display only. It segments by Channel first, while variable 'Cost of Services - Supplies' segments by Practice Area first. </v>
      </c>
      <c r="AG17" t="s">
        <v>4343</v>
      </c>
      <c r="AH17" t="str">
        <f>Labels!B183</f>
        <v>Prof Staff Hours Billed</v>
      </c>
      <c r="AI17" t="s">
        <v>2149</v>
      </c>
      <c r="AJ17" t="str">
        <f>Labels!E183</f>
        <v xml:space="preserve">Hours of professsional staff time billed to client engagements (includings small engagements from the sales funnel). Segmented by Practice Area, Professional Staff Type, Channel, and time period. This variable is for display only. It segments by Channel first, while variable 'Prof Staff Hrs Billed' segments by Practice Area first. </v>
      </c>
      <c r="AK17" t="s">
        <v>3147</v>
      </c>
      <c r="AL17" t="str">
        <f>Labels!B195</f>
        <v>Prof Staff Hours Unbilled</v>
      </c>
      <c r="AM17" t="s">
        <v>4447</v>
      </c>
      <c r="AN17" t="str">
        <f>Labels!E195</f>
        <v xml:space="preserve">Professional staff hours applied to client engagements (including small engagements from the sales funnel) but not billed. Segmented by Practice Area, Professional Staff Type, and time period. It segments by Channel first, while variable 'Prof Staff Hrs Unbilled' segments by Practice Area first. </v>
      </c>
      <c r="AO17" t="s">
        <v>2075</v>
      </c>
      <c r="AP17" t="str">
        <f>Labels!B185</f>
        <v>Billed Hours Growth</v>
      </c>
      <c r="AQ17" t="s">
        <v>3764</v>
      </c>
      <c r="AR17" t="str">
        <f>Labels!E185</f>
        <v xml:space="preserve">Measured growth rate of billed staff hours per time period (not annualized). It segments by Channel first, while variable 'Prof Staff Hrs Billed Growth' segments by Practice Area first. </v>
      </c>
      <c r="AS17" t="s">
        <v>4351</v>
      </c>
      <c r="AT17" t="str">
        <f>Labels!B69</f>
        <v>Cost - Staff</v>
      </c>
      <c r="AU17" t="s">
        <v>2980</v>
      </c>
      <c r="AV17" t="str">
        <f>Labels!E69</f>
        <v>Cost of billable hours applied on major Engagements. Segmented by Engagement, Professional Staff Type, and time period.</v>
      </c>
      <c r="AW17" t="s">
        <v>425</v>
      </c>
      <c r="AX17" t="str">
        <f>Labels!B70</f>
        <v>Cost - Supplies</v>
      </c>
      <c r="AY17" t="s">
        <v>2422</v>
      </c>
      <c r="AZ17" t="str">
        <f>Labels!E70</f>
        <v>Cost of direct supplies incurred on major Engagements. Segmented by Engagement, Supply Types, and time period.</v>
      </c>
      <c r="BA17" t="s">
        <v>3182</v>
      </c>
      <c r="BB17" t="str">
        <f>Labels!B74</f>
        <v>Gross Margin</v>
      </c>
      <c r="BC17" t="s">
        <v>1789</v>
      </c>
      <c r="BD17" t="str">
        <f>Labels!E74</f>
        <v>Gross margin for each major Engagement. Segmented by Engagement, Professional Staff Type, and time period. Does not include billings for small engagemenets from the sales funnel.</v>
      </c>
      <c r="BE17" t="s">
        <v>5685</v>
      </c>
      <c r="BF17" t="str">
        <f>Labels!B75</f>
        <v>Gross Margin %</v>
      </c>
      <c r="BG17" t="s">
        <v>219</v>
      </c>
      <c r="BH17" t="str">
        <f>Labels!E75</f>
        <v>Gross margin % for major Engagements. Segmented by Engagement, Professional Staff Type, and time period. Does not include billings for small engagemenets from the sales funnel.</v>
      </c>
      <c r="BI17" t="s">
        <v>4397</v>
      </c>
      <c r="BJ17" t="str">
        <f>Labels!B188</f>
        <v>Prof Staff Hours Billed</v>
      </c>
      <c r="BK17" t="s">
        <v>4928</v>
      </c>
      <c r="BL17" t="str">
        <f>Labels!E188</f>
        <v>Hours of professsional staff time billed to client engagements (includings small engagements from the sales funnel). Segmented by Practice Area, Professional Staff Type, Channel, and time period. This variable is used for plotting only.</v>
      </c>
    </row>
    <row r="18" spans="1:64" ht="12.75" customHeight="1" x14ac:dyDescent="0.2">
      <c r="A18" t="s">
        <v>1051</v>
      </c>
      <c r="B18" t="str">
        <f>Labels!B78</f>
        <v>Prof Staff Hrs Applied</v>
      </c>
      <c r="C18" t="s">
        <v>4051</v>
      </c>
      <c r="D18" t="str">
        <f>Labels!E78</f>
        <v>Billable hours applied on major Engagements, for each Professional Staff Type, in each time period. This variable is used for plotting only.</v>
      </c>
      <c r="E18" t="s">
        <v>904</v>
      </c>
      <c r="F18" t="str">
        <f>Labels!B144</f>
        <v>Orders Filled (Hrs)</v>
      </c>
      <c r="G18" t="s">
        <v>687</v>
      </c>
      <c r="H18" t="str">
        <f>Labels!E144</f>
        <v>Staff hours from order backlog (from small engagements in the the sales funnel) that are fulfilled and billed in each time period, segmented by Practice Area and Professional Staff Type. This variable is used for plotting only.</v>
      </c>
      <c r="I18" t="s">
        <v>5339</v>
      </c>
      <c r="J18" t="str">
        <f>Labels!B37</f>
        <v>Chg Bond Principal</v>
      </c>
      <c r="K18" t="s">
        <v>564</v>
      </c>
      <c r="L18" t="str">
        <f>Labels!E37</f>
        <v>Change in Bond principal from the previous period. The model has a variable for this because (a) this amount will be displayed in the cash flow statement worksheet, and (b) this amount is used in several formulas so it is convenient to store it in a variable. This version of the variable omits times before model start date, and is used for display.</v>
      </c>
      <c r="M18" t="s">
        <v>2176</v>
      </c>
      <c r="N18" t="str">
        <f>Labels!B129</f>
        <v>Net Stock Issue</v>
      </c>
      <c r="O18" t="s">
        <v>4422</v>
      </c>
      <c r="P18" t="str">
        <f>Labels!E129</f>
        <v>Book value of stock issued less buy-backs, by time period.
This variable includes a formula that implements a policy for the sale of stock based on cash balances and recent rates of change of cash balances. This version omits times before the start of model time, and it is used only for display.</v>
      </c>
      <c r="Q18" t="s">
        <v>2900</v>
      </c>
      <c r="R18" t="str">
        <f>Labels!B230</f>
        <v>Revenue Growth</v>
      </c>
      <c r="S18" t="s">
        <v>1924</v>
      </c>
      <c r="T18" t="str">
        <f>Labels!E230</f>
        <v>Growth rate of revenue compared to the previous time period, segmented by product, by time period</v>
      </c>
      <c r="U18" t="s">
        <v>4007</v>
      </c>
      <c r="V18" t="str">
        <f>Labels!B187</f>
        <v>Billed Hours Growth</v>
      </c>
      <c r="W18" t="s">
        <v>1231</v>
      </c>
      <c r="X18" t="str">
        <f>Labels!E187</f>
        <v>Measured growth rate of billed staff hours per time period (not annualized). This version of the variable includes blanks where growth rate is not defined. Used in display.</v>
      </c>
      <c r="Y18" t="s">
        <v>4754</v>
      </c>
      <c r="Z18" t="str">
        <f>Labels!B186</f>
        <v>Billed Hours Growth</v>
      </c>
      <c r="AA18" t="s">
        <v>4601</v>
      </c>
      <c r="AB18" t="str">
        <f>Labels!E186</f>
        <v>Measured growth rate of billed staff hours per time period (not annualized). It segments by Channel first, while variable 'Prof Staff Hrs Billed Growth' segments by Practice Area first. This version of the variable uses blanks where the growth rate is not defined. Used for display.</v>
      </c>
      <c r="AC18" t="s">
        <v>5382</v>
      </c>
      <c r="AD18" t="str">
        <f>Labels!B49</f>
        <v>Travel &amp; Entertainment</v>
      </c>
      <c r="AE18" t="s">
        <v>4842</v>
      </c>
      <c r="AF18" t="str">
        <f>Labels!E49</f>
        <v>Cost of travel and entertainment incurred in client engagements (including small engagements from the sales funnel). Segmented by Practice Area, Professional Staff Type, Channel, and time period.</v>
      </c>
      <c r="AG18" t="s">
        <v>3618</v>
      </c>
      <c r="AH18" t="str">
        <f>Labels!B51</f>
        <v>Travel &amp; Entertainment / Hr</v>
      </c>
      <c r="AI18" t="s">
        <v>1699</v>
      </c>
      <c r="AJ18" t="str">
        <f>Labels!E51</f>
        <v>Cost of travel and entertainment per hour of client services, segmented by Practice Area, Professional Staff Type, and time period</v>
      </c>
      <c r="AK18" t="s">
        <v>102</v>
      </c>
      <c r="AL18" t="str">
        <f>Labels!B50</f>
        <v>Travel and Entertainment</v>
      </c>
      <c r="AM18" t="s">
        <v>4325</v>
      </c>
      <c r="AN18" t="str">
        <f>Labels!E50</f>
        <v xml:space="preserve">Cost of travel and entertainment incurred in client engagements (including small engagements from the sales funnel). Segmented by Practice Area, Professional Staff Type, Channel, and time period. This variable is for display only. It segments by Channel first, while variable 'Cost of Services - Supplies' segments by Practice Area first. </v>
      </c>
      <c r="AO18" t="s">
        <v>4788</v>
      </c>
      <c r="AP18" t="str">
        <f>Labels!B72</f>
        <v>Engage Discount %</v>
      </c>
      <c r="AQ18" t="s">
        <v>3128</v>
      </c>
      <c r="AR18" t="str">
        <f>Labels!E72</f>
        <v>The percentage by which average professional billing rates are reduced from listed billing rates, on each major engagement. This rate is combined with discount rates for the Practice Area and Professional Staff Type.</v>
      </c>
      <c r="AS18" t="s">
        <v>4251</v>
      </c>
      <c r="AT18" t="str">
        <f>Labels!B86</f>
        <v>Revenue at Nominal Fees</v>
      </c>
      <c r="AU18" t="s">
        <v>1707</v>
      </c>
      <c r="AV18" t="str">
        <f>Labels!E86</f>
        <v>Billings for each major Engagement, segmented by Professional Staff Type, in each time period. Fee discount rates by Practice Area and Prof Staff Level are applied, but not Engagement discount rates. Excludes billings for small engagemenets from the sales funnel.</v>
      </c>
      <c r="AW18" t="s">
        <v>3491</v>
      </c>
      <c r="AX18" t="str">
        <f>Labels!B165</f>
        <v>Professional Staff Billings</v>
      </c>
      <c r="AY18" t="s">
        <v>4228</v>
      </c>
      <c r="AZ18" t="str">
        <f>Labels!E165</f>
        <v>Revenue from billed hours, segmented by Practice Area, Professional Staff Type, Channel, and time period. Includes small engagments from the sales funnel and T&amp;E billed at cost.</v>
      </c>
      <c r="BA18" t="s">
        <v>2731</v>
      </c>
      <c r="BB18" t="str">
        <f>Labels!B71</f>
        <v>Cost - Travel &amp; Entertain</v>
      </c>
      <c r="BC18" t="s">
        <v>1074</v>
      </c>
      <c r="BD18" t="str">
        <f>Labels!E71</f>
        <v>Cost of travel &amp; entertainment incurred on major Engagements. Segmented by Engagement and time period.</v>
      </c>
      <c r="BE18" t="s">
        <v>1191</v>
      </c>
      <c r="BF18" t="str">
        <f>Labels!B27</f>
        <v>Initial_Cash</v>
      </c>
      <c r="BG18" t="s">
        <v>317</v>
      </c>
      <c r="BH18" t="str">
        <f>Labels!E27</f>
        <v>Iniital cash balance at the start of model time</v>
      </c>
      <c r="BI18" t="s">
        <v>5442</v>
      </c>
      <c r="BJ18" t="str">
        <f>Labels!B178</f>
        <v>Professional Staff Count</v>
      </c>
      <c r="BK18" t="s">
        <v>1165</v>
      </c>
      <c r="BL18" t="str">
        <f>Labels!E178</f>
        <v>Professional Staff Headcount, segmented by Practice Area, by Profesisonal Staff Type, and by time period. The headcount is rounded to half-integers.
You can set the professional staff headcount explicitly for time periods before a cutoff time that you specify. After the cutoff time, headcount is determined by planned billed staff hours and professional staff target utilzation. 
If the cutoff time is 0, then the the formula determines Professional Staff Headcount for all time periods. If the cutoff time is past the end of model time, then you can specify Professional Staff Headcount for all time periods.</v>
      </c>
    </row>
    <row r="19" spans="1:64" ht="12.75" customHeight="1" x14ac:dyDescent="0.2">
      <c r="A19" t="s">
        <v>4798</v>
      </c>
      <c r="B19" t="str">
        <f>Labels!B196</f>
        <v>Prof Staff Open Positions</v>
      </c>
      <c r="C19" t="s">
        <v>3144</v>
      </c>
      <c r="D19" t="str">
        <f>Labels!E196</f>
        <v>Number of professional staff openings, segmented by Practice Area, by Profesisonal Staff Type, and by time period</v>
      </c>
      <c r="E19" t="s">
        <v>1900</v>
      </c>
      <c r="F19" t="str">
        <f>Labels!B255</f>
        <v>Support Staff Open Positions</v>
      </c>
      <c r="G19" t="s">
        <v>3379</v>
      </c>
      <c r="H19" t="str">
        <f>Labels!E255</f>
        <v>Number of support staff open positions, segmented by department, job level, and by time period</v>
      </c>
      <c r="I19" t="s">
        <v>2719</v>
      </c>
      <c r="J19" t="str">
        <f>Labels!B274</f>
        <v>Asset Name</v>
      </c>
      <c r="K19" t="s">
        <v>4504</v>
      </c>
      <c r="L19" t="str">
        <f>Labels!E274</f>
        <v>The name of each tagged asset</v>
      </c>
      <c r="M19" t="s">
        <v>4968</v>
      </c>
      <c r="N19" t="str">
        <f>Labels!B290</f>
        <v>Asset Type</v>
      </c>
      <c r="O19" t="s">
        <v>3715</v>
      </c>
      <c r="P19" t="str">
        <f>Labels!E290</f>
        <v>The name of each tagged asset type</v>
      </c>
      <c r="Q19" t="s">
        <v>5447</v>
      </c>
      <c r="R19" t="str">
        <f>Labels!E316</f>
        <v>Sales channels or segments that segment revenue, sales leads, hours applied to engagements.</v>
      </c>
      <c r="S19" t="s">
        <v>1893</v>
      </c>
      <c r="T19" t="str">
        <f>Labels!B316</f>
        <v>Channels</v>
      </c>
      <c r="U19" t="s">
        <v>5849</v>
      </c>
      <c r="V19" t="str">
        <f>Labels!D316</f>
        <v>Channel</v>
      </c>
      <c r="W19" t="s">
        <v>1203</v>
      </c>
      <c r="X19" t="str">
        <f>Labels!C316</f>
        <v>Total</v>
      </c>
      <c r="Y19" t="s">
        <v>764</v>
      </c>
      <c r="Z19" t="str">
        <f>Labels!B317</f>
        <v>Channels 1</v>
      </c>
      <c r="AA19" t="s">
        <v>2089</v>
      </c>
      <c r="AB19" t="str">
        <f>Labels!D317</f>
        <v>Channel 1</v>
      </c>
      <c r="AC19" t="s">
        <v>1644</v>
      </c>
      <c r="AD19" t="str">
        <f>Labels!B318</f>
        <v>Channels 2</v>
      </c>
      <c r="AE19" t="s">
        <v>4668</v>
      </c>
      <c r="AF19" t="str">
        <f>Labels!E320</f>
        <v>A list of departments tracked separately in the plan</v>
      </c>
      <c r="AG19" t="s">
        <v>1395</v>
      </c>
      <c r="AH19" t="str">
        <f>Labels!B320</f>
        <v>Department</v>
      </c>
      <c r="AI19" t="s">
        <v>2361</v>
      </c>
      <c r="AJ19" t="str">
        <f>Labels!D320</f>
        <v>Organization</v>
      </c>
      <c r="AK19" t="s">
        <v>3474</v>
      </c>
      <c r="AL19" t="str">
        <f>Labels!C320</f>
        <v>Total</v>
      </c>
      <c r="AM19" t="s">
        <v>5815</v>
      </c>
      <c r="AN19" t="str">
        <f>Labels!B321</f>
        <v>Marketing</v>
      </c>
      <c r="AO19" t="s">
        <v>3876</v>
      </c>
      <c r="AP19" t="str">
        <f>Labels!D321</f>
        <v>Department</v>
      </c>
      <c r="AQ19" t="s">
        <v>2428</v>
      </c>
      <c r="AR19" t="str">
        <f>Labels!B322</f>
        <v>Sales</v>
      </c>
      <c r="AS19" t="s">
        <v>4190</v>
      </c>
      <c r="AT19" t="str">
        <f>Labels!E372</f>
        <v>A list of the types of operating expenses that are tracked separately in the plan</v>
      </c>
      <c r="AU19" t="s">
        <v>2139</v>
      </c>
      <c r="AV19" t="str">
        <f>Labels!B372</f>
        <v>Operating Exp Type</v>
      </c>
      <c r="AW19" t="s">
        <v>2362</v>
      </c>
      <c r="AX19" t="str">
        <f>Labels!D372</f>
        <v>Operating Expense</v>
      </c>
      <c r="AY19" t="s">
        <v>5366</v>
      </c>
      <c r="AZ19" t="str">
        <f>Labels!C372</f>
        <v>Total</v>
      </c>
      <c r="BA19" t="s">
        <v>1315</v>
      </c>
      <c r="BB19" t="str">
        <f>Labels!B373</f>
        <v>Indirect Labor</v>
      </c>
      <c r="BC19" t="s">
        <v>1967</v>
      </c>
      <c r="BD19" t="str">
        <f>Labels!D373</f>
        <v>Expense Type</v>
      </c>
      <c r="BE19" t="s">
        <v>1527</v>
      </c>
      <c r="BF19" t="str">
        <f>Labels!B374</f>
        <v>Employee-Related</v>
      </c>
      <c r="BG19" t="s">
        <v>2578</v>
      </c>
      <c r="BH19" t="str">
        <f>Labels!B375</f>
        <v>Programs</v>
      </c>
      <c r="BI19" t="s">
        <v>1624</v>
      </c>
      <c r="BJ19" t="str">
        <f>Labels!B376</f>
        <v>Dept Exp Accts</v>
      </c>
      <c r="BK19" t="s">
        <v>3836</v>
      </c>
      <c r="BL19" t="str">
        <f>Labels!B377</f>
        <v>Facilities</v>
      </c>
    </row>
    <row r="20" spans="1:64" ht="12.75" customHeight="1" x14ac:dyDescent="0.2">
      <c r="A20" t="s">
        <v>1951</v>
      </c>
      <c r="B20" t="str">
        <f>Labels!B378</f>
        <v>General &amp; Admin</v>
      </c>
      <c r="C20" t="s">
        <v>2733</v>
      </c>
      <c r="D20" t="str">
        <f>Labels!E368</f>
        <v>A list of the marketing programs that are tracked separately in the plan</v>
      </c>
      <c r="E20" t="s">
        <v>1780</v>
      </c>
      <c r="F20" t="str">
        <f>Labels!B368</f>
        <v>Mktg Pgms</v>
      </c>
      <c r="G20" t="s">
        <v>4684</v>
      </c>
      <c r="H20" t="str">
        <f>Labels!D368</f>
        <v>Mktg Programs</v>
      </c>
      <c r="I20" t="s">
        <v>546</v>
      </c>
      <c r="J20" t="str">
        <f>Labels!C368</f>
        <v>Total</v>
      </c>
      <c r="K20" t="s">
        <v>2034</v>
      </c>
      <c r="L20" t="str">
        <f>Labels!B369</f>
        <v>Seminars</v>
      </c>
      <c r="M20" t="s">
        <v>3059</v>
      </c>
      <c r="N20" t="str">
        <f>Labels!D369</f>
        <v>Mktg Pgms 1</v>
      </c>
      <c r="O20" t="s">
        <v>3036</v>
      </c>
      <c r="P20" t="str">
        <f>Labels!B370</f>
        <v>Publications</v>
      </c>
      <c r="Q20" t="s">
        <v>5497</v>
      </c>
      <c r="R20" t="str">
        <f>Labels!E352</f>
        <v>A list of types of general &amp; administrative expenses tracked separately in the plan</v>
      </c>
      <c r="S20" t="s">
        <v>2028</v>
      </c>
      <c r="T20" t="str">
        <f>Labels!B352</f>
        <v>Gen &amp; Admin Exp</v>
      </c>
      <c r="U20" t="s">
        <v>3872</v>
      </c>
      <c r="V20" t="str">
        <f>Labels!D352</f>
        <v>Gen Admin</v>
      </c>
      <c r="W20" t="s">
        <v>1576</v>
      </c>
      <c r="X20" t="str">
        <f>Labels!C352</f>
        <v>Total</v>
      </c>
      <c r="Y20" t="s">
        <v>3452</v>
      </c>
      <c r="Z20" t="str">
        <f>Labels!B353</f>
        <v>GA Exp 1</v>
      </c>
      <c r="AA20" t="s">
        <v>3587</v>
      </c>
      <c r="AB20" t="str">
        <f>Labels!D353</f>
        <v>Gen &amp; Admin Exp 1</v>
      </c>
      <c r="AC20" t="s">
        <v>4488</v>
      </c>
      <c r="AD20" t="str">
        <f>Labels!E329</f>
        <v>A list of types of employee-related operating expenses tracked separately in the plan. Wages and wage-related expenses are tracked separately.</v>
      </c>
      <c r="AE20" t="s">
        <v>5751</v>
      </c>
      <c r="AF20" t="str">
        <f>Labels!B329</f>
        <v>Employee Rel Exp Type</v>
      </c>
      <c r="AG20" t="s">
        <v>5522</v>
      </c>
      <c r="AH20" t="str">
        <f>Labels!D329</f>
        <v>Employee Rel Exp Type</v>
      </c>
      <c r="AI20" t="s">
        <v>4724</v>
      </c>
      <c r="AJ20" t="str">
        <f>Labels!C329</f>
        <v>Total</v>
      </c>
      <c r="AK20" t="s">
        <v>1519</v>
      </c>
      <c r="AL20" t="str">
        <f>Labels!B330</f>
        <v>Supplies</v>
      </c>
      <c r="AM20" t="s">
        <v>1159</v>
      </c>
      <c r="AN20" t="str">
        <f>Labels!D330</f>
        <v>Empl Rel Exp Type 1</v>
      </c>
      <c r="AO20" t="s">
        <v>4854</v>
      </c>
      <c r="AP20" t="str">
        <f>Labels!B331</f>
        <v>Travel Entertain</v>
      </c>
      <c r="AQ20" t="s">
        <v>3893</v>
      </c>
      <c r="AR20" t="str">
        <f>Labels!B332</f>
        <v>Other</v>
      </c>
      <c r="AS20" t="s">
        <v>4743</v>
      </c>
      <c r="AT20" t="str">
        <f>Labels!E300</f>
        <v>A list of the types of accounts payable</v>
      </c>
      <c r="AU20" t="s">
        <v>5712</v>
      </c>
      <c r="AV20" t="str">
        <f>Labels!B300</f>
        <v>Accts Payable Type</v>
      </c>
      <c r="AW20" t="s">
        <v>345</v>
      </c>
      <c r="AX20" t="str">
        <f>Labels!D300</f>
        <v>Accts Payable Type</v>
      </c>
      <c r="AY20" t="s">
        <v>3131</v>
      </c>
      <c r="AZ20" t="str">
        <f>Labels!C300</f>
        <v>Total</v>
      </c>
      <c r="BA20" t="s">
        <v>3191</v>
      </c>
      <c r="BB20" t="str">
        <f>Labels!B301</f>
        <v>Vendor Payables</v>
      </c>
      <c r="BC20" t="s">
        <v>3627</v>
      </c>
      <c r="BD20" t="str">
        <f>Labels!D301</f>
        <v>Accts Pay Type 1</v>
      </c>
      <c r="BE20" t="s">
        <v>2100</v>
      </c>
      <c r="BF20" t="str">
        <f>Labels!B302</f>
        <v>Payroll Payables</v>
      </c>
      <c r="BG20" t="s">
        <v>3526</v>
      </c>
      <c r="BH20" t="str">
        <f>Labels!B303</f>
        <v>Taxes Payable</v>
      </c>
      <c r="BI20" t="s">
        <v>524</v>
      </c>
      <c r="BJ20" t="str">
        <f>Labels!E355</f>
        <v>A list of three constants that are used in Cobb-Douglas exponential functions of the form variable = K0 + K1 * driver_variable ^K2</v>
      </c>
      <c r="BK20" t="s">
        <v>4994</v>
      </c>
      <c r="BL20" t="str">
        <f>Labels!B355</f>
        <v>Constant</v>
      </c>
    </row>
    <row r="21" spans="1:64" ht="12.75" customHeight="1" x14ac:dyDescent="0.2">
      <c r="A21" t="s">
        <v>1148</v>
      </c>
      <c r="B21" t="str">
        <f>Labels!D355</f>
        <v>Constant</v>
      </c>
      <c r="C21" t="s">
        <v>4599</v>
      </c>
      <c r="D21" t="str">
        <f>Labels!C355</f>
        <v>Total</v>
      </c>
      <c r="E21" t="s">
        <v>4265</v>
      </c>
      <c r="F21" t="str">
        <f>Labels!B356</f>
        <v>K0</v>
      </c>
      <c r="G21" t="s">
        <v>5745</v>
      </c>
      <c r="H21" t="str">
        <f>Labels!D356</f>
        <v>Constant</v>
      </c>
      <c r="I21" t="s">
        <v>4264</v>
      </c>
      <c r="J21" t="str">
        <f>Labels!B357</f>
        <v>K1</v>
      </c>
      <c r="K21" t="s">
        <v>4882</v>
      </c>
      <c r="L21" t="str">
        <f>Labels!B358</f>
        <v>K2</v>
      </c>
      <c r="M21" t="s">
        <v>2756</v>
      </c>
      <c r="N21" t="str">
        <f>Labels!E392</f>
        <v>Job levels that are tracked separately in the plan</v>
      </c>
      <c r="O21" t="s">
        <v>708</v>
      </c>
      <c r="P21" t="str">
        <f>Labels!B392</f>
        <v>Sup Staff Levels</v>
      </c>
      <c r="Q21" t="s">
        <v>1728</v>
      </c>
      <c r="R21" t="str">
        <f>Labels!D392</f>
        <v>Sup Job Level</v>
      </c>
      <c r="S21" t="s">
        <v>509</v>
      </c>
      <c r="T21" t="str">
        <f>Labels!C392</f>
        <v>Total</v>
      </c>
      <c r="U21" t="s">
        <v>3236</v>
      </c>
      <c r="V21" t="str">
        <f>Labels!B393</f>
        <v>Manager</v>
      </c>
      <c r="W21" t="s">
        <v>1495</v>
      </c>
      <c r="X21" t="str">
        <f>Labels!D393</f>
        <v>Sup Job Level 1</v>
      </c>
      <c r="Y21" t="s">
        <v>4957</v>
      </c>
      <c r="Z21" t="str">
        <f>Labels!B394</f>
        <v>Contributor</v>
      </c>
      <c r="AA21" t="s">
        <v>3138</v>
      </c>
      <c r="AB21" t="str">
        <f>Labels!E309</f>
        <v>A hierarchical list of the types of assets that are tracked separately in the plan</v>
      </c>
      <c r="AC21" t="s">
        <v>5915</v>
      </c>
      <c r="AD21" t="str">
        <f>Labels!B309</f>
        <v>Assets</v>
      </c>
      <c r="AE21" t="s">
        <v>1943</v>
      </c>
      <c r="AF21" t="str">
        <f>Labels!D309</f>
        <v>Assets</v>
      </c>
      <c r="AG21" t="s">
        <v>4186</v>
      </c>
      <c r="AH21" t="str">
        <f>Labels!C309</f>
        <v>Total</v>
      </c>
      <c r="AI21" t="s">
        <v>511</v>
      </c>
      <c r="AJ21" t="str">
        <f>Labels!B310</f>
        <v>Short Term Assets</v>
      </c>
      <c r="AK21" t="s">
        <v>1579</v>
      </c>
      <c r="AL21" t="str">
        <f>Labels!D310</f>
        <v>Term</v>
      </c>
      <c r="AM21" t="s">
        <v>1788</v>
      </c>
      <c r="AN21" t="str">
        <f>Labels!C310</f>
        <v>Subtotal</v>
      </c>
      <c r="AO21" t="s">
        <v>1066</v>
      </c>
      <c r="AP21" t="str">
        <f>Labels!B311</f>
        <v>Cash</v>
      </c>
      <c r="AQ21" t="s">
        <v>4339</v>
      </c>
      <c r="AR21" t="str">
        <f>Labels!D311</f>
        <v>Asset Type</v>
      </c>
      <c r="AS21" t="s">
        <v>5756</v>
      </c>
      <c r="AT21" t="str">
        <f>Labels!B312</f>
        <v>Accounts Receivable</v>
      </c>
      <c r="AU21" t="s">
        <v>2945</v>
      </c>
      <c r="AV21" t="str">
        <f>Labels!B313</f>
        <v>Inventory</v>
      </c>
      <c r="AW21" t="s">
        <v>3938</v>
      </c>
      <c r="AX21" t="str">
        <f>Labels!B314</f>
        <v>Long Term Assets</v>
      </c>
      <c r="AY21" t="s">
        <v>3596</v>
      </c>
      <c r="AZ21" t="str">
        <f>Labels!E407</f>
        <v>The types of untagged assets that are tracked in the plan</v>
      </c>
      <c r="BA21" t="s">
        <v>2646</v>
      </c>
      <c r="BB21" t="str">
        <f>Labels!B407</f>
        <v>Untagged Asset Type</v>
      </c>
      <c r="BC21" t="s">
        <v>1374</v>
      </c>
      <c r="BD21" t="str">
        <f>Labels!D407</f>
        <v>Untagged Asset</v>
      </c>
      <c r="BE21" t="s">
        <v>2125</v>
      </c>
      <c r="BF21" t="str">
        <f>Labels!C407</f>
        <v>Total</v>
      </c>
      <c r="BG21" t="s">
        <v>1690</v>
      </c>
      <c r="BH21" t="str">
        <f>Labels!B408</f>
        <v>Furniture</v>
      </c>
      <c r="BI21" t="s">
        <v>1953</v>
      </c>
      <c r="BJ21" t="str">
        <f>Labels!D408</f>
        <v>Untagged Asset 1</v>
      </c>
      <c r="BK21" t="s">
        <v>4399</v>
      </c>
      <c r="BL21" t="str">
        <f>Labels!B409</f>
        <v>Office Equip</v>
      </c>
    </row>
    <row r="22" spans="1:64" ht="12.75" customHeight="1" x14ac:dyDescent="0.2">
      <c r="A22" t="s">
        <v>5269</v>
      </c>
      <c r="B22" t="str">
        <f>Labels!E360</f>
        <v>A hierarchical list of the types of liabilities that are tracked separately in the plan</v>
      </c>
      <c r="C22" t="s">
        <v>160</v>
      </c>
      <c r="D22" t="str">
        <f>Labels!B360</f>
        <v>Liabilities</v>
      </c>
      <c r="E22" t="s">
        <v>914</v>
      </c>
      <c r="F22" t="str">
        <f>Labels!D360</f>
        <v>Liabilities</v>
      </c>
      <c r="G22" t="s">
        <v>199</v>
      </c>
      <c r="H22" t="str">
        <f>Labels!C360</f>
        <v>Total</v>
      </c>
      <c r="I22" t="s">
        <v>1809</v>
      </c>
      <c r="J22" t="str">
        <f>Labels!B361</f>
        <v>Short Liabilities</v>
      </c>
      <c r="K22" t="s">
        <v>245</v>
      </c>
      <c r="L22" t="str">
        <f>Labels!D361</f>
        <v>Liabilities 1</v>
      </c>
      <c r="M22" t="s">
        <v>1425</v>
      </c>
      <c r="N22" t="str">
        <f>Labels!C361</f>
        <v>Subtotal</v>
      </c>
      <c r="O22" t="s">
        <v>3723</v>
      </c>
      <c r="P22" t="str">
        <f>Labels!B362</f>
        <v>Accounts Payable</v>
      </c>
      <c r="Q22" t="s">
        <v>4958</v>
      </c>
      <c r="R22" t="str">
        <f>Labels!D362</f>
        <v>Liabilities 2</v>
      </c>
      <c r="S22" t="s">
        <v>4263</v>
      </c>
      <c r="T22" t="str">
        <f>Labels!B363</f>
        <v>Short Term Debt</v>
      </c>
      <c r="U22" t="s">
        <v>3481</v>
      </c>
      <c r="V22" t="str">
        <f>Labels!B364</f>
        <v>Long Liabilities</v>
      </c>
      <c r="W22" t="s">
        <v>876</v>
      </c>
      <c r="X22" t="str">
        <f>Labels!C364</f>
        <v>Subtotal</v>
      </c>
      <c r="Y22" t="s">
        <v>3680</v>
      </c>
      <c r="Z22" t="str">
        <f>Labels!B365</f>
        <v>Long Term Loans</v>
      </c>
      <c r="AA22" t="s">
        <v>4879</v>
      </c>
      <c r="AB22" t="str">
        <f>Labels!B366</f>
        <v>Bonds</v>
      </c>
      <c r="AC22" t="s">
        <v>683</v>
      </c>
      <c r="AD22" t="str">
        <f>Labels!E348</f>
        <v>A list of the equity accounts that are tracked separately in the plan</v>
      </c>
      <c r="AE22" t="s">
        <v>2211</v>
      </c>
      <c r="AF22" t="str">
        <f>Labels!B348</f>
        <v>Equity</v>
      </c>
      <c r="AG22" t="s">
        <v>4005</v>
      </c>
      <c r="AH22" t="str">
        <f>Labels!D348</f>
        <v>Equity</v>
      </c>
      <c r="AI22" t="s">
        <v>342</v>
      </c>
      <c r="AJ22" t="str">
        <f>Labels!C348</f>
        <v>Total</v>
      </c>
      <c r="AK22" t="s">
        <v>4420</v>
      </c>
      <c r="AL22" t="str">
        <f>Labels!B349</f>
        <v>Paid in Capital</v>
      </c>
      <c r="AM22" t="s">
        <v>3616</v>
      </c>
      <c r="AN22" t="str">
        <f>Labels!D349</f>
        <v>Equity 1</v>
      </c>
      <c r="AO22" t="s">
        <v>2380</v>
      </c>
      <c r="AP22" t="str">
        <f>Labels!B350</f>
        <v>Retained Earnings</v>
      </c>
      <c r="AQ22" t="s">
        <v>747</v>
      </c>
      <c r="AR22" t="str">
        <f>Labels!E305</f>
        <v>A list of the assets that are tagged for separate depreciation in the plan.</v>
      </c>
      <c r="AS22" t="s">
        <v>5378</v>
      </c>
      <c r="AT22" t="str">
        <f>Labels!B305</f>
        <v>Asset Tags</v>
      </c>
      <c r="AU22" t="s">
        <v>4528</v>
      </c>
      <c r="AV22" t="str">
        <f>Labels!D305</f>
        <v>Tag</v>
      </c>
      <c r="AW22" t="s">
        <v>4451</v>
      </c>
      <c r="AX22" t="str">
        <f>Labels!C305</f>
        <v>Total</v>
      </c>
      <c r="AY22" t="s">
        <v>1213</v>
      </c>
      <c r="AZ22" t="str">
        <f>Labels!B306</f>
        <v>Building A</v>
      </c>
      <c r="BA22" t="s">
        <v>4142</v>
      </c>
      <c r="BB22" t="str">
        <f>Labels!D306</f>
        <v>Tag 1</v>
      </c>
      <c r="BC22" t="s">
        <v>4074</v>
      </c>
      <c r="BD22" t="str">
        <f>Labels!B307</f>
        <v>Building B</v>
      </c>
      <c r="BE22" t="s">
        <v>4235</v>
      </c>
      <c r="BF22" t="str">
        <f>Labels!E400</f>
        <v>Organizes values of untagged asset purchases at initial time, per new employee, and annually per existing employee, by type of long-term asset.</v>
      </c>
      <c r="BG22" t="s">
        <v>3408</v>
      </c>
      <c r="BH22" t="str">
        <f>Labels!B400</f>
        <v>Untagged Asset Purch Params</v>
      </c>
      <c r="BI22" t="s">
        <v>2285</v>
      </c>
      <c r="BJ22" t="str">
        <f>Labels!D400</f>
        <v>New_Old</v>
      </c>
      <c r="BK22" t="s">
        <v>1243</v>
      </c>
      <c r="BL22" t="str">
        <f>Labels!C400</f>
        <v>Total</v>
      </c>
    </row>
    <row r="23" spans="1:64" ht="12.75" customHeight="1" x14ac:dyDescent="0.2">
      <c r="A23" t="s">
        <v>1757</v>
      </c>
      <c r="B23" t="str">
        <f>Labels!B401</f>
        <v>Initial Purchase</v>
      </c>
      <c r="C23" t="s">
        <v>2659</v>
      </c>
      <c r="D23" t="str">
        <f>Labels!D401</f>
        <v>New_Old</v>
      </c>
      <c r="E23" t="s">
        <v>935</v>
      </c>
      <c r="F23" t="str">
        <f>Labels!B402</f>
        <v>Per New Sup Staff</v>
      </c>
      <c r="G23" t="s">
        <v>808</v>
      </c>
      <c r="H23" t="str">
        <f>Labels!B403</f>
        <v>Per New Prof Staff</v>
      </c>
      <c r="I23" t="s">
        <v>4824</v>
      </c>
      <c r="J23" t="str">
        <f>Labels!B404</f>
        <v>Per Old Sup Staff</v>
      </c>
      <c r="K23" t="s">
        <v>5530</v>
      </c>
      <c r="L23" t="str">
        <f>Labels!B405</f>
        <v>Per Old Prof Staff</v>
      </c>
      <c r="M23" t="s">
        <v>281</v>
      </c>
      <c r="N23" t="str">
        <f>Labels!E324</f>
        <v>Types of non-labor costs tracked in cost of services</v>
      </c>
      <c r="O23" t="s">
        <v>4821</v>
      </c>
      <c r="P23" t="str">
        <f>Labels!B324</f>
        <v>Dir_Cost_Types</v>
      </c>
      <c r="Q23" t="s">
        <v>4122</v>
      </c>
      <c r="R23" t="str">
        <f>Labels!D324</f>
        <v>Cogs_Types</v>
      </c>
      <c r="S23" t="s">
        <v>2821</v>
      </c>
      <c r="T23" t="str">
        <f>Labels!C324</f>
        <v>Total</v>
      </c>
      <c r="U23" t="s">
        <v>2386</v>
      </c>
      <c r="V23" t="str">
        <f>Labels!B325</f>
        <v>Direct Labor</v>
      </c>
      <c r="W23" t="s">
        <v>1386</v>
      </c>
      <c r="X23" t="str">
        <f>Labels!D325</f>
        <v>Cogs_Types</v>
      </c>
      <c r="Y23" t="s">
        <v>1432</v>
      </c>
      <c r="Z23" t="str">
        <f>Labels!B326</f>
        <v>Travel &amp; Entertain</v>
      </c>
      <c r="AA23" t="s">
        <v>479</v>
      </c>
      <c r="AB23" t="str">
        <f>Labels!B327</f>
        <v>Direct Supplies</v>
      </c>
      <c r="AC23" t="s">
        <v>1098</v>
      </c>
      <c r="AD23" t="str">
        <f>Labels!E384</f>
        <v>A list of direct labor job types. The types should be fine enough to distinguish levels of cost per direct labor hour.</v>
      </c>
      <c r="AE23" t="s">
        <v>2185</v>
      </c>
      <c r="AF23" t="str">
        <f>Labels!B384</f>
        <v>Prof Staff  Types</v>
      </c>
      <c r="AG23" t="s">
        <v>3421</v>
      </c>
      <c r="AH23" t="str">
        <f>Labels!D384</f>
        <v>Prof Staff Types</v>
      </c>
      <c r="AI23" t="s">
        <v>1267</v>
      </c>
      <c r="AJ23" t="str">
        <f>Labels!C384</f>
        <v>Total</v>
      </c>
      <c r="AK23" t="s">
        <v>1050</v>
      </c>
      <c r="AL23" t="str">
        <f>Labels!B385</f>
        <v>Prof Level 1</v>
      </c>
      <c r="AM23" t="s">
        <v>1970</v>
      </c>
      <c r="AN23" t="str">
        <f>Labels!D385</f>
        <v>Prof Staff 1</v>
      </c>
      <c r="AO23" t="s">
        <v>5397</v>
      </c>
      <c r="AP23" t="str">
        <f>Labels!B386</f>
        <v>Prof Level 2</v>
      </c>
      <c r="AQ23" t="s">
        <v>1828</v>
      </c>
      <c r="AR23" t="str">
        <f>Labels!E388</f>
        <v>A list of the quality categories for sale leads. The least qualified leads are listed first, and the most qualified are listed last.</v>
      </c>
      <c r="AS23" t="s">
        <v>5200</v>
      </c>
      <c r="AT23" t="str">
        <f>Labels!B388</f>
        <v>Sales Lead Quality</v>
      </c>
      <c r="AU23" t="s">
        <v>2961</v>
      </c>
      <c r="AV23" t="str">
        <f>Labels!D388</f>
        <v>Sales Lead Quality</v>
      </c>
      <c r="AW23" t="s">
        <v>4920</v>
      </c>
      <c r="AX23" t="str">
        <f>Labels!C388</f>
        <v>Total</v>
      </c>
      <c r="AY23" t="s">
        <v>786</v>
      </c>
      <c r="AZ23" t="str">
        <f>Labels!B389</f>
        <v>Lead Qual 1</v>
      </c>
      <c r="BA23" t="s">
        <v>2355</v>
      </c>
      <c r="BB23" t="str">
        <f>Labels!D389</f>
        <v>Lead Quality 1</v>
      </c>
      <c r="BC23" t="s">
        <v>4182</v>
      </c>
      <c r="BD23" t="str">
        <f>Labels!B390</f>
        <v>Lead Qual 2</v>
      </c>
      <c r="BE23" t="s">
        <v>5465</v>
      </c>
      <c r="BF23">
        <f>Labels!E344</f>
        <v>0</v>
      </c>
      <c r="BG23" t="s">
        <v>1615</v>
      </c>
      <c r="BH23" t="str">
        <f>Labels!B344</f>
        <v>Engagements</v>
      </c>
      <c r="BI23" t="s">
        <v>4362</v>
      </c>
      <c r="BJ23" t="str">
        <f>Labels!D344</f>
        <v>Engagements</v>
      </c>
      <c r="BK23" t="s">
        <v>4367</v>
      </c>
      <c r="BL23" t="str">
        <f>Labels!C344</f>
        <v>Total</v>
      </c>
    </row>
    <row r="24" spans="1:64" ht="12.75" customHeight="1" x14ac:dyDescent="0.2">
      <c r="A24" t="s">
        <v>2928</v>
      </c>
      <c r="B24" t="str">
        <f>Labels!B345</f>
        <v>Engage 1</v>
      </c>
      <c r="C24" t="s">
        <v>4556</v>
      </c>
      <c r="D24" t="str">
        <f>Labels!D345</f>
        <v>Engagements 1</v>
      </c>
      <c r="E24" t="s">
        <v>2929</v>
      </c>
      <c r="F24" t="str">
        <f>Labels!B346</f>
        <v>Engage 2</v>
      </c>
      <c r="G24" t="s">
        <v>3276</v>
      </c>
      <c r="H24" t="str">
        <f>Labels!E340</f>
        <v>Engagement Types that determine default values for attributes of major Engaeements. The attributes affected are duration, total professional hours, and the distribution of billable hours by Professional Staff Type within the engaagment duration.</v>
      </c>
      <c r="I24" t="s">
        <v>368</v>
      </c>
      <c r="J24" t="str">
        <f>Labels!B340</f>
        <v>Engage Types</v>
      </c>
      <c r="K24" t="s">
        <v>4329</v>
      </c>
      <c r="L24" t="str">
        <f>Labels!D340</f>
        <v>Engage Types</v>
      </c>
      <c r="M24" t="s">
        <v>4231</v>
      </c>
      <c r="N24" t="str">
        <f>Labels!C340</f>
        <v>Total</v>
      </c>
      <c r="O24" t="s">
        <v>4239</v>
      </c>
      <c r="P24" t="str">
        <f>Labels!B341</f>
        <v>EngageType 1</v>
      </c>
      <c r="Q24" t="s">
        <v>2234</v>
      </c>
      <c r="R24" t="str">
        <f>Labels!D341</f>
        <v>Engage Types</v>
      </c>
      <c r="S24" t="s">
        <v>1055</v>
      </c>
      <c r="T24" t="str">
        <f>Labels!B342</f>
        <v>EngageType 2</v>
      </c>
      <c r="U24" t="s">
        <v>3699</v>
      </c>
      <c r="V24" t="str">
        <f>Labels!E334</f>
        <v>This dimension is 'engagement time' counting time periods from the start of an engagement. This dimension must be as long as the largest engagement duration in the model.</v>
      </c>
      <c r="W24" t="s">
        <v>2609</v>
      </c>
      <c r="X24" t="str">
        <f>Labels!B334</f>
        <v>Engage_Time</v>
      </c>
      <c r="Y24" t="s">
        <v>3359</v>
      </c>
      <c r="Z24" t="str">
        <f>Labels!D334</f>
        <v>Engage Time</v>
      </c>
      <c r="AA24" t="s">
        <v>3308</v>
      </c>
      <c r="AB24" t="str">
        <f>Labels!C334</f>
        <v>Total</v>
      </c>
      <c r="AC24" t="s">
        <v>4471</v>
      </c>
      <c r="AD24" t="str">
        <f>Labels!B335</f>
        <v>Period 1</v>
      </c>
      <c r="AE24" t="s">
        <v>1755</v>
      </c>
      <c r="AF24" t="str">
        <f>Labels!D335</f>
        <v>Engage Time1</v>
      </c>
      <c r="AG24" t="s">
        <v>4472</v>
      </c>
      <c r="AH24" t="str">
        <f>Labels!B336</f>
        <v>Period 2</v>
      </c>
      <c r="AI24" t="s">
        <v>574</v>
      </c>
      <c r="AJ24" t="str">
        <f>Labels!B337</f>
        <v>Period 3</v>
      </c>
      <c r="AK24" t="s">
        <v>4469</v>
      </c>
      <c r="AL24" t="str">
        <f>Labels!B338</f>
        <v>Period 4</v>
      </c>
      <c r="AM24" t="s">
        <v>5006</v>
      </c>
      <c r="AN24">
        <f>Labels!E380</f>
        <v>0</v>
      </c>
      <c r="AO24" t="s">
        <v>760</v>
      </c>
      <c r="AP24" t="str">
        <f>Labels!B380</f>
        <v>Practice Areas</v>
      </c>
      <c r="AQ24" t="s">
        <v>2457</v>
      </c>
      <c r="AR24" t="str">
        <f>Labels!D380</f>
        <v>Practice_Area</v>
      </c>
      <c r="AS24" t="s">
        <v>3233</v>
      </c>
      <c r="AT24" t="str">
        <f>Labels!C380</f>
        <v>Total</v>
      </c>
      <c r="AU24" t="s">
        <v>1554</v>
      </c>
      <c r="AV24" t="str">
        <f>Labels!B381</f>
        <v>Practice 1</v>
      </c>
      <c r="AW24" t="s">
        <v>3313</v>
      </c>
      <c r="AX24" t="str">
        <f>Labels!D381</f>
        <v>Area 1</v>
      </c>
      <c r="AY24" t="s">
        <v>2652</v>
      </c>
      <c r="AZ24" t="str">
        <f>Labels!B382</f>
        <v>Practice 2</v>
      </c>
      <c r="BA24" t="s">
        <v>2990</v>
      </c>
      <c r="BB24" t="str">
        <f>Labels!E396</f>
        <v>Types of direct supplies used</v>
      </c>
      <c r="BC24" t="s">
        <v>943</v>
      </c>
      <c r="BD24" t="str">
        <f>Labels!B396</f>
        <v>Supply Types</v>
      </c>
      <c r="BE24" t="s">
        <v>2888</v>
      </c>
      <c r="BF24" t="str">
        <f>Labels!D396</f>
        <v>Supply_Types</v>
      </c>
      <c r="BG24" t="s">
        <v>4653</v>
      </c>
      <c r="BH24" t="str">
        <f>Labels!C396</f>
        <v>Total</v>
      </c>
      <c r="BI24" t="s">
        <v>2289</v>
      </c>
      <c r="BJ24" t="str">
        <f>Labels!B397</f>
        <v>Supply Type 1</v>
      </c>
      <c r="BK24" t="s">
        <v>1106</v>
      </c>
      <c r="BL24" t="str">
        <f>Labels!D397</f>
        <v>Supply_Types</v>
      </c>
    </row>
    <row r="25" spans="1:64" ht="12.75" customHeight="1" x14ac:dyDescent="0.2">
      <c r="A25" t="s">
        <v>4069</v>
      </c>
      <c r="B25" t="str">
        <f>Labels!B398</f>
        <v>Supply Type 2</v>
      </c>
      <c r="C25" t="s">
        <v>349</v>
      </c>
      <c r="D25">
        <f>Labels!B3</f>
        <v>40179</v>
      </c>
    </row>
    <row r="26" spans="1:64" ht="12.75" customHeight="1" x14ac:dyDescent="0.2">
      <c r="A26" t="s">
        <v>4245</v>
      </c>
      <c r="B26">
        <f>Graphs!A1</f>
        <v>0</v>
      </c>
      <c r="C26" t="s">
        <v>2997</v>
      </c>
      <c r="D26" t="str">
        <f>Inputs!A1</f>
        <v xml:space="preserve"> </v>
      </c>
      <c r="E26" t="s">
        <v>2997</v>
      </c>
      <c r="F26" t="str">
        <f>IncStmt!A1</f>
        <v xml:space="preserve"> </v>
      </c>
      <c r="G26" t="s">
        <v>2997</v>
      </c>
      <c r="H26" t="str">
        <f>BalSht!A1</f>
        <v xml:space="preserve"> </v>
      </c>
      <c r="I26" t="s">
        <v>2997</v>
      </c>
      <c r="J26" t="str">
        <f>CFStmt!A1</f>
        <v xml:space="preserve"> </v>
      </c>
      <c r="K26" t="s">
        <v>2997</v>
      </c>
      <c r="L26" t="str">
        <f>RatioRpt!A1</f>
        <v xml:space="preserve"> </v>
      </c>
      <c r="M26" t="s">
        <v>2997</v>
      </c>
      <c r="N26" t="str">
        <f>Practices!A1</f>
        <v xml:space="preserve"> </v>
      </c>
      <c r="O26" t="s">
        <v>2997</v>
      </c>
      <c r="P26" t="str">
        <f>Channels!A1</f>
        <v xml:space="preserve"> </v>
      </c>
      <c r="Q26" t="s">
        <v>2997</v>
      </c>
      <c r="R26" t="str">
        <f>Engage!A1</f>
        <v xml:space="preserve"> </v>
      </c>
      <c r="S26" t="s">
        <v>2997</v>
      </c>
      <c r="T26" t="str">
        <f>Sales!A1</f>
        <v xml:space="preserve"> </v>
      </c>
      <c r="U26" t="s">
        <v>2997</v>
      </c>
      <c r="V26" t="str">
        <f>'GM CostSvcs'!A1</f>
        <v xml:space="preserve"> </v>
      </c>
      <c r="W26" t="s">
        <v>2997</v>
      </c>
      <c r="X26" t="str">
        <f>'Prof Staff'!A1</f>
        <v xml:space="preserve"> </v>
      </c>
      <c r="Y26" t="s">
        <v>2997</v>
      </c>
      <c r="Z26" t="str">
        <f>OpExp!A1</f>
        <v xml:space="preserve"> </v>
      </c>
      <c r="AA26" t="s">
        <v>2997</v>
      </c>
      <c r="AB26" t="str">
        <f>'Sup Staff'!A1</f>
        <v xml:space="preserve"> </v>
      </c>
      <c r="AC26" t="s">
        <v>2997</v>
      </c>
      <c r="AD26" t="str">
        <f>FinTax!A1</f>
        <v xml:space="preserve"> </v>
      </c>
      <c r="AE26" t="s">
        <v>2997</v>
      </c>
      <c r="AF26" t="str">
        <f>Assets!A1</f>
        <v xml:space="preserve"> </v>
      </c>
      <c r="AG26" t="s">
        <v>2997</v>
      </c>
      <c r="AH26" t="str">
        <f>Liab!A1</f>
        <v xml:space="preserve"> </v>
      </c>
      <c r="AI26" t="s">
        <v>2997</v>
      </c>
      <c r="AJ26" t="str">
        <f>Equity!A1</f>
        <v xml:space="preserve"> </v>
      </c>
      <c r="AK26" t="s">
        <v>2997</v>
      </c>
      <c r="AL26" t="str">
        <f>Value!A1</f>
        <v xml:space="preserve"> </v>
      </c>
      <c r="AM26" t="s">
        <v>2997</v>
      </c>
      <c r="AN26" t="str">
        <f>Formulas!A1</f>
        <v xml:space="preserve"> </v>
      </c>
      <c r="AO26" t="s">
        <v>2997</v>
      </c>
      <c r="AP26" t="str">
        <f>'Plot Support'!A1</f>
        <v xml:space="preserve"> </v>
      </c>
      <c r="AQ26" t="s">
        <v>2997</v>
      </c>
      <c r="AR26" t="str">
        <f>'(Compute)'!A1</f>
        <v xml:space="preserve"> </v>
      </c>
      <c r="AS26" t="s">
        <v>2997</v>
      </c>
      <c r="AT26" t="str">
        <f>'(FnCalls 1)'!A1</f>
        <v xml:space="preserve"> </v>
      </c>
      <c r="AU26" t="s">
        <v>2997</v>
      </c>
      <c r="AV26" t="str">
        <f>'(Tables)'!A1</f>
        <v xml:space="preserve"> </v>
      </c>
      <c r="AW26" t="s">
        <v>2997</v>
      </c>
      <c r="AX26" t="str">
        <f>Labels!A1</f>
        <v xml:space="preserve"> </v>
      </c>
      <c r="AY26" t="s">
        <v>2997</v>
      </c>
      <c r="AZ26">
        <f>'(Ranges)'!A1</f>
        <v>0</v>
      </c>
      <c r="BA26" t="s">
        <v>2997</v>
      </c>
      <c r="BB26" t="str">
        <f>'(Import)'!A1</f>
        <v>:A:0:Time</v>
      </c>
    </row>
    <row r="27" spans="1:64" ht="12.75" customHeight="1" x14ac:dyDescent="0.2">
      <c r="A27" t="s">
        <v>2759</v>
      </c>
      <c r="B27" t="str">
        <f>Inputs!F7</f>
        <v xml:space="preserve"> </v>
      </c>
      <c r="C27" t="s">
        <v>3409</v>
      </c>
      <c r="D27" t="str">
        <f>Inputs!F13</f>
        <v>Practice 1</v>
      </c>
      <c r="E27" t="s">
        <v>5800</v>
      </c>
      <c r="F27" t="str">
        <f>Inputs!G13</f>
        <v>Channels 1</v>
      </c>
      <c r="G27" t="s">
        <v>1704</v>
      </c>
      <c r="H27">
        <f>Inputs!H13</f>
        <v>3</v>
      </c>
      <c r="I27" t="s">
        <v>4678</v>
      </c>
      <c r="J27" t="str">
        <f>Inputs!F14</f>
        <v>Practice 1</v>
      </c>
      <c r="K27" t="s">
        <v>3103</v>
      </c>
      <c r="L27" t="str">
        <f>Inputs!G14</f>
        <v>Channels 1</v>
      </c>
      <c r="M27" t="s">
        <v>3258</v>
      </c>
      <c r="N27">
        <f>Inputs!H14</f>
        <v>6</v>
      </c>
      <c r="O27" t="s">
        <v>5120</v>
      </c>
      <c r="P27">
        <f>Inputs!F20</f>
        <v>1100</v>
      </c>
      <c r="Q27" t="s">
        <v>1003</v>
      </c>
      <c r="R27">
        <f>Inputs!G20</f>
        <v>2</v>
      </c>
      <c r="S27" t="s">
        <v>5596</v>
      </c>
      <c r="T27">
        <f>Inputs!F21</f>
        <v>1200</v>
      </c>
      <c r="U27" t="s">
        <v>3928</v>
      </c>
      <c r="V27">
        <f>Inputs!G21</f>
        <v>3</v>
      </c>
      <c r="W27" t="s">
        <v>745</v>
      </c>
      <c r="X27">
        <f>Inputs!F24</f>
        <v>0.5</v>
      </c>
      <c r="Y27" t="s">
        <v>5904</v>
      </c>
      <c r="Z27">
        <f>Inputs!G24</f>
        <v>0</v>
      </c>
      <c r="AA27" t="s">
        <v>2469</v>
      </c>
      <c r="AB27">
        <f>Inputs!F25</f>
        <v>0.5</v>
      </c>
      <c r="AC27" t="s">
        <v>2</v>
      </c>
      <c r="AD27">
        <f>Inputs!G25</f>
        <v>0</v>
      </c>
      <c r="AE27" t="s">
        <v>1027</v>
      </c>
      <c r="AF27">
        <f>Inputs!F26</f>
        <v>0.5</v>
      </c>
      <c r="AG27" t="s">
        <v>1303</v>
      </c>
      <c r="AH27">
        <f>Inputs!G26</f>
        <v>0</v>
      </c>
      <c r="AI27" t="s">
        <v>1097</v>
      </c>
      <c r="AJ27">
        <f>Inputs!F27</f>
        <v>0.5</v>
      </c>
      <c r="AK27" t="s">
        <v>3161</v>
      </c>
      <c r="AL27">
        <f>Inputs!G27</f>
        <v>0</v>
      </c>
      <c r="AM27" t="s">
        <v>2625</v>
      </c>
      <c r="AN27">
        <f>Inputs!F32</f>
        <v>275</v>
      </c>
      <c r="AO27" t="s">
        <v>1103</v>
      </c>
      <c r="AP27">
        <f>Inputs!G32</f>
        <v>275</v>
      </c>
      <c r="AQ27" t="s">
        <v>4621</v>
      </c>
      <c r="AR27">
        <f>Inputs!H32</f>
        <v>0</v>
      </c>
      <c r="AS27" t="s">
        <v>5106</v>
      </c>
      <c r="AT27">
        <f>Inputs!I32</f>
        <v>0</v>
      </c>
      <c r="AU27" t="s">
        <v>2917</v>
      </c>
      <c r="AV27">
        <f>Inputs!F33</f>
        <v>275</v>
      </c>
      <c r="AW27" t="s">
        <v>3739</v>
      </c>
      <c r="AX27">
        <f>Inputs!G33</f>
        <v>275</v>
      </c>
      <c r="AY27" t="s">
        <v>3257</v>
      </c>
      <c r="AZ27">
        <f>Inputs!H33</f>
        <v>0</v>
      </c>
      <c r="BA27" t="s">
        <v>1091</v>
      </c>
      <c r="BB27">
        <f>Inputs!I33</f>
        <v>0</v>
      </c>
      <c r="BC27" t="s">
        <v>1069</v>
      </c>
      <c r="BD27">
        <f>Inputs!F34</f>
        <v>200</v>
      </c>
      <c r="BE27" t="s">
        <v>1612</v>
      </c>
      <c r="BF27">
        <f>Inputs!G34</f>
        <v>200</v>
      </c>
      <c r="BG27" t="s">
        <v>829</v>
      </c>
      <c r="BH27">
        <f>Inputs!H34</f>
        <v>200</v>
      </c>
      <c r="BI27" t="s">
        <v>922</v>
      </c>
      <c r="BJ27">
        <f>Inputs!I34</f>
        <v>0</v>
      </c>
      <c r="BK27" t="s">
        <v>3219</v>
      </c>
      <c r="BL27">
        <f>Inputs!F35</f>
        <v>200</v>
      </c>
    </row>
    <row r="28" spans="1:64" ht="12.75" customHeight="1" x14ac:dyDescent="0.2">
      <c r="A28" t="s">
        <v>3448</v>
      </c>
      <c r="B28">
        <f>Inputs!G35</f>
        <v>200</v>
      </c>
      <c r="C28" t="s">
        <v>3976</v>
      </c>
      <c r="D28">
        <f>Inputs!H35</f>
        <v>200</v>
      </c>
      <c r="E28" t="s">
        <v>5503</v>
      </c>
      <c r="F28">
        <f>Inputs!I35</f>
        <v>0</v>
      </c>
      <c r="G28" t="s">
        <v>1571</v>
      </c>
      <c r="H28">
        <f>Inputs!F41</f>
        <v>1</v>
      </c>
      <c r="I28" t="s">
        <v>3934</v>
      </c>
      <c r="J28">
        <f>Inputs!G41</f>
        <v>1</v>
      </c>
      <c r="K28" t="s">
        <v>4373</v>
      </c>
      <c r="L28">
        <f>Inputs!H41</f>
        <v>1</v>
      </c>
      <c r="M28" t="s">
        <v>811</v>
      </c>
      <c r="N28">
        <f>Inputs!I41</f>
        <v>1</v>
      </c>
      <c r="O28" t="s">
        <v>499</v>
      </c>
      <c r="P28">
        <f>Inputs!F42</f>
        <v>1</v>
      </c>
      <c r="Q28" t="s">
        <v>1885</v>
      </c>
      <c r="R28">
        <f>Inputs!G42</f>
        <v>1</v>
      </c>
      <c r="S28" t="s">
        <v>5789</v>
      </c>
      <c r="T28">
        <f>Inputs!H42</f>
        <v>1</v>
      </c>
      <c r="U28" t="s">
        <v>5776</v>
      </c>
      <c r="V28">
        <f>Inputs!I42</f>
        <v>1</v>
      </c>
      <c r="W28" t="s">
        <v>4060</v>
      </c>
      <c r="X28">
        <f>Inputs!F43</f>
        <v>1</v>
      </c>
      <c r="Y28" t="s">
        <v>480</v>
      </c>
      <c r="Z28">
        <f>Inputs!G43</f>
        <v>1</v>
      </c>
      <c r="AA28" t="s">
        <v>75</v>
      </c>
      <c r="AB28">
        <f>Inputs!H43</f>
        <v>1</v>
      </c>
      <c r="AC28" t="s">
        <v>3288</v>
      </c>
      <c r="AD28">
        <f>Inputs!I43</f>
        <v>1</v>
      </c>
      <c r="AE28" t="s">
        <v>5107</v>
      </c>
      <c r="AF28">
        <f>Inputs!F44</f>
        <v>1</v>
      </c>
      <c r="AG28" t="s">
        <v>4336</v>
      </c>
      <c r="AH28">
        <f>Inputs!G44</f>
        <v>1</v>
      </c>
      <c r="AI28" t="s">
        <v>2363</v>
      </c>
      <c r="AJ28">
        <f>Inputs!H44</f>
        <v>1</v>
      </c>
      <c r="AK28" t="s">
        <v>2394</v>
      </c>
      <c r="AL28">
        <f>Inputs!I44</f>
        <v>1</v>
      </c>
      <c r="AM28" t="s">
        <v>2389</v>
      </c>
      <c r="AN28" t="b">
        <f>Inputs!F46</f>
        <v>0</v>
      </c>
      <c r="AO28" t="s">
        <v>390</v>
      </c>
      <c r="AP28">
        <f>Inputs!F56</f>
        <v>0</v>
      </c>
      <c r="AQ28" t="s">
        <v>5560</v>
      </c>
      <c r="AR28">
        <f>Inputs!G56</f>
        <v>0</v>
      </c>
      <c r="AS28" t="s">
        <v>3927</v>
      </c>
      <c r="AT28">
        <f>Inputs!F57</f>
        <v>0</v>
      </c>
      <c r="AU28" t="s">
        <v>297</v>
      </c>
      <c r="AV28">
        <f>Inputs!G57</f>
        <v>0</v>
      </c>
      <c r="AW28" t="s">
        <v>1581</v>
      </c>
      <c r="AX28">
        <f>Inputs!F58</f>
        <v>0</v>
      </c>
      <c r="AY28" t="s">
        <v>1726</v>
      </c>
      <c r="AZ28">
        <f>Inputs!G58</f>
        <v>0</v>
      </c>
      <c r="BA28" t="s">
        <v>1089</v>
      </c>
      <c r="BB28">
        <f>Inputs!F59</f>
        <v>0</v>
      </c>
      <c r="BC28" t="s">
        <v>791</v>
      </c>
      <c r="BD28">
        <f>Inputs!G59</f>
        <v>0</v>
      </c>
      <c r="BE28" t="s">
        <v>4133</v>
      </c>
      <c r="BF28">
        <f>Inputs!F60</f>
        <v>0</v>
      </c>
      <c r="BG28" t="s">
        <v>2132</v>
      </c>
      <c r="BH28">
        <f>Inputs!G60</f>
        <v>0</v>
      </c>
      <c r="BI28" t="s">
        <v>1439</v>
      </c>
      <c r="BJ28">
        <f>Inputs!F61</f>
        <v>0</v>
      </c>
      <c r="BK28" t="s">
        <v>1076</v>
      </c>
      <c r="BL28">
        <f>Inputs!G61</f>
        <v>0</v>
      </c>
    </row>
    <row r="29" spans="1:64" ht="12.75" customHeight="1" x14ac:dyDescent="0.2">
      <c r="A29" t="s">
        <v>4108</v>
      </c>
      <c r="B29">
        <f>Inputs!F62</f>
        <v>0</v>
      </c>
      <c r="C29" t="s">
        <v>2606</v>
      </c>
      <c r="D29">
        <f>Inputs!G62</f>
        <v>0</v>
      </c>
      <c r="E29" t="s">
        <v>2270</v>
      </c>
      <c r="F29">
        <f>Inputs!F63</f>
        <v>0</v>
      </c>
      <c r="G29" t="s">
        <v>1976</v>
      </c>
      <c r="H29">
        <f>Inputs!G63</f>
        <v>0</v>
      </c>
      <c r="I29" t="s">
        <v>286</v>
      </c>
      <c r="J29">
        <f>Inputs!M55</f>
        <v>0</v>
      </c>
      <c r="K29" t="s">
        <v>2554</v>
      </c>
      <c r="L29">
        <f>Inputs!M56</f>
        <v>0</v>
      </c>
      <c r="M29" t="s">
        <v>2815</v>
      </c>
      <c r="N29">
        <f>Inputs!M57</f>
        <v>0</v>
      </c>
      <c r="O29" t="s">
        <v>3360</v>
      </c>
      <c r="P29">
        <f>Inputs!M58</f>
        <v>0</v>
      </c>
      <c r="Q29" t="s">
        <v>1555</v>
      </c>
      <c r="R29">
        <f>Inputs!M59</f>
        <v>0</v>
      </c>
      <c r="S29" t="s">
        <v>3238</v>
      </c>
      <c r="T29">
        <f>Inputs!M60</f>
        <v>0</v>
      </c>
      <c r="U29" t="s">
        <v>5284</v>
      </c>
      <c r="V29">
        <f>Inputs!M61</f>
        <v>0</v>
      </c>
      <c r="W29" t="s">
        <v>4969</v>
      </c>
      <c r="X29">
        <f>Inputs!M62</f>
        <v>0</v>
      </c>
      <c r="Y29" t="s">
        <v>2318</v>
      </c>
      <c r="Z29">
        <f>Inputs!F68</f>
        <v>0</v>
      </c>
      <c r="AA29" t="s">
        <v>3729</v>
      </c>
      <c r="AB29">
        <f>Inputs!G68</f>
        <v>0</v>
      </c>
      <c r="AC29" t="s">
        <v>2541</v>
      </c>
      <c r="AD29">
        <f>Inputs!H68</f>
        <v>0</v>
      </c>
      <c r="AE29" t="s">
        <v>5062</v>
      </c>
      <c r="AF29">
        <f>Inputs!I68</f>
        <v>0</v>
      </c>
      <c r="AG29" t="s">
        <v>1101</v>
      </c>
      <c r="AH29">
        <f>Inputs!J68</f>
        <v>0</v>
      </c>
      <c r="AI29" t="s">
        <v>4546</v>
      </c>
      <c r="AJ29">
        <f>Inputs!K68</f>
        <v>0</v>
      </c>
      <c r="AK29" t="s">
        <v>2509</v>
      </c>
      <c r="AL29">
        <f>Inputs!L68</f>
        <v>0</v>
      </c>
      <c r="AM29" t="s">
        <v>288</v>
      </c>
      <c r="AN29">
        <f>Inputs!M68</f>
        <v>0</v>
      </c>
      <c r="AO29" t="s">
        <v>3520</v>
      </c>
      <c r="AP29">
        <f>Inputs!N68</f>
        <v>0</v>
      </c>
      <c r="AQ29" t="s">
        <v>2275</v>
      </c>
      <c r="AR29">
        <f>Inputs!O68</f>
        <v>0</v>
      </c>
      <c r="AS29" t="s">
        <v>5748</v>
      </c>
      <c r="AT29">
        <f>Inputs!P68</f>
        <v>0</v>
      </c>
      <c r="AU29" t="s">
        <v>1713</v>
      </c>
      <c r="AV29">
        <f>Inputs!Q68</f>
        <v>0</v>
      </c>
      <c r="AW29" t="s">
        <v>3711</v>
      </c>
      <c r="AX29">
        <f>Inputs!R68</f>
        <v>0</v>
      </c>
      <c r="AY29" t="s">
        <v>5332</v>
      </c>
      <c r="AZ29">
        <f>Inputs!S68</f>
        <v>0</v>
      </c>
      <c r="BA29" t="s">
        <v>1438</v>
      </c>
      <c r="BB29">
        <f>Inputs!T68</f>
        <v>0</v>
      </c>
      <c r="BC29" t="s">
        <v>576</v>
      </c>
      <c r="BD29">
        <f>Inputs!U68</f>
        <v>0</v>
      </c>
      <c r="BE29" t="s">
        <v>4918</v>
      </c>
      <c r="BF29">
        <f>Inputs!V68</f>
        <v>0</v>
      </c>
      <c r="BG29" t="s">
        <v>4689</v>
      </c>
      <c r="BH29">
        <f>Inputs!W68</f>
        <v>0</v>
      </c>
      <c r="BI29" t="s">
        <v>4137</v>
      </c>
      <c r="BJ29">
        <f>Inputs!F69</f>
        <v>0</v>
      </c>
      <c r="BK29" t="s">
        <v>3629</v>
      </c>
      <c r="BL29">
        <f>Inputs!G69</f>
        <v>0</v>
      </c>
    </row>
    <row r="30" spans="1:64" ht="12.75" customHeight="1" x14ac:dyDescent="0.2">
      <c r="A30" t="s">
        <v>748</v>
      </c>
      <c r="B30">
        <f>Inputs!H69</f>
        <v>0</v>
      </c>
      <c r="C30" t="s">
        <v>3329</v>
      </c>
      <c r="D30">
        <f>Inputs!I69</f>
        <v>0</v>
      </c>
      <c r="E30" t="s">
        <v>5209</v>
      </c>
      <c r="F30">
        <f>Inputs!J69</f>
        <v>0</v>
      </c>
      <c r="G30" t="s">
        <v>2787</v>
      </c>
      <c r="H30">
        <f>Inputs!K69</f>
        <v>0</v>
      </c>
      <c r="I30" t="s">
        <v>712</v>
      </c>
      <c r="J30">
        <f>Inputs!L69</f>
        <v>0</v>
      </c>
      <c r="K30" t="s">
        <v>4449</v>
      </c>
      <c r="L30">
        <f>Inputs!M69</f>
        <v>0</v>
      </c>
      <c r="M30" t="s">
        <v>1722</v>
      </c>
      <c r="N30">
        <f>Inputs!N69</f>
        <v>0</v>
      </c>
      <c r="O30" t="s">
        <v>3942</v>
      </c>
      <c r="P30">
        <f>Inputs!O69</f>
        <v>0</v>
      </c>
      <c r="Q30" t="s">
        <v>5490</v>
      </c>
      <c r="R30">
        <f>Inputs!P69</f>
        <v>0</v>
      </c>
      <c r="S30" t="s">
        <v>1946</v>
      </c>
      <c r="T30">
        <f>Inputs!Q69</f>
        <v>0</v>
      </c>
      <c r="U30" t="s">
        <v>4615</v>
      </c>
      <c r="V30">
        <f>Inputs!R69</f>
        <v>0</v>
      </c>
      <c r="W30" t="s">
        <v>332</v>
      </c>
      <c r="X30">
        <f>Inputs!S69</f>
        <v>0</v>
      </c>
      <c r="Y30" t="s">
        <v>2347</v>
      </c>
      <c r="Z30">
        <f>Inputs!T69</f>
        <v>0</v>
      </c>
      <c r="AA30" t="s">
        <v>1504</v>
      </c>
      <c r="AB30">
        <f>Inputs!U69</f>
        <v>0</v>
      </c>
      <c r="AC30" t="s">
        <v>5846</v>
      </c>
      <c r="AD30">
        <f>Inputs!V69</f>
        <v>0</v>
      </c>
      <c r="AE30" t="s">
        <v>5587</v>
      </c>
      <c r="AF30">
        <f>Inputs!W69</f>
        <v>0</v>
      </c>
      <c r="AG30" t="s">
        <v>4370</v>
      </c>
      <c r="AH30">
        <f>Inputs!F70</f>
        <v>0</v>
      </c>
      <c r="AI30" t="s">
        <v>4650</v>
      </c>
      <c r="AJ30">
        <f>Inputs!G70</f>
        <v>0</v>
      </c>
      <c r="AK30" t="s">
        <v>3465</v>
      </c>
      <c r="AL30">
        <f>Inputs!H70</f>
        <v>0</v>
      </c>
      <c r="AM30" t="s">
        <v>82</v>
      </c>
      <c r="AN30">
        <f>Inputs!I70</f>
        <v>0</v>
      </c>
      <c r="AO30" t="s">
        <v>2045</v>
      </c>
      <c r="AP30">
        <f>Inputs!J70</f>
        <v>0</v>
      </c>
      <c r="AQ30" t="s">
        <v>5455</v>
      </c>
      <c r="AR30">
        <f>Inputs!K70</f>
        <v>0</v>
      </c>
      <c r="AS30" t="s">
        <v>3435</v>
      </c>
      <c r="AT30">
        <f>Inputs!L70</f>
        <v>0</v>
      </c>
      <c r="AU30" t="s">
        <v>1254</v>
      </c>
      <c r="AV30">
        <f>Inputs!M70</f>
        <v>0</v>
      </c>
      <c r="AW30" t="s">
        <v>4442</v>
      </c>
      <c r="AX30">
        <f>Inputs!N70</f>
        <v>0</v>
      </c>
      <c r="AY30" t="s">
        <v>2165</v>
      </c>
      <c r="AZ30">
        <f>Inputs!O70</f>
        <v>0</v>
      </c>
      <c r="BA30" t="s">
        <v>4872</v>
      </c>
      <c r="BB30">
        <f>Inputs!P70</f>
        <v>0</v>
      </c>
      <c r="BC30" t="s">
        <v>3496</v>
      </c>
      <c r="BD30">
        <f>Inputs!Q70</f>
        <v>0</v>
      </c>
      <c r="BE30" t="s">
        <v>2390</v>
      </c>
      <c r="BF30">
        <f>Inputs!R70</f>
        <v>0</v>
      </c>
      <c r="BG30" t="s">
        <v>4013</v>
      </c>
      <c r="BH30">
        <f>Inputs!S70</f>
        <v>0</v>
      </c>
      <c r="BI30" t="s">
        <v>70</v>
      </c>
      <c r="BJ30">
        <f>Inputs!T70</f>
        <v>0</v>
      </c>
      <c r="BK30" t="s">
        <v>5141</v>
      </c>
      <c r="BL30">
        <f>Inputs!U70</f>
        <v>0</v>
      </c>
    </row>
    <row r="31" spans="1:64" ht="12.75" customHeight="1" x14ac:dyDescent="0.2">
      <c r="A31" t="s">
        <v>3621</v>
      </c>
      <c r="B31">
        <f>Inputs!V70</f>
        <v>0</v>
      </c>
      <c r="C31" t="s">
        <v>3385</v>
      </c>
      <c r="D31">
        <f>Inputs!W70</f>
        <v>0</v>
      </c>
      <c r="E31" t="s">
        <v>1712</v>
      </c>
      <c r="F31">
        <f>Inputs!F71</f>
        <v>0</v>
      </c>
      <c r="G31" t="s">
        <v>3797</v>
      </c>
      <c r="H31">
        <f>Inputs!G71</f>
        <v>0</v>
      </c>
      <c r="I31" t="s">
        <v>2616</v>
      </c>
      <c r="J31">
        <f>Inputs!H71</f>
        <v>0</v>
      </c>
      <c r="K31" t="s">
        <v>5138</v>
      </c>
      <c r="L31">
        <f>Inputs!I71</f>
        <v>0</v>
      </c>
      <c r="M31" t="s">
        <v>1177</v>
      </c>
      <c r="N31">
        <f>Inputs!J71</f>
        <v>0</v>
      </c>
      <c r="O31" t="s">
        <v>4614</v>
      </c>
      <c r="P31">
        <f>Inputs!K71</f>
        <v>0</v>
      </c>
      <c r="Q31" t="s">
        <v>280</v>
      </c>
      <c r="R31">
        <f>Inputs!L71</f>
        <v>0</v>
      </c>
      <c r="S31" t="s">
        <v>5412</v>
      </c>
      <c r="T31">
        <f>Inputs!M71</f>
        <v>0</v>
      </c>
      <c r="U31" t="s">
        <v>3588</v>
      </c>
      <c r="V31">
        <f>Inputs!N71</f>
        <v>0</v>
      </c>
      <c r="W31" t="s">
        <v>3490</v>
      </c>
      <c r="X31">
        <f>Inputs!O71</f>
        <v>0</v>
      </c>
      <c r="Y31" t="s">
        <v>2037</v>
      </c>
      <c r="Z31">
        <f>Inputs!P71</f>
        <v>0</v>
      </c>
      <c r="AA31" t="s">
        <v>1861</v>
      </c>
      <c r="AB31">
        <f>Inputs!Q71</f>
        <v>0</v>
      </c>
      <c r="AC31" t="s">
        <v>1204</v>
      </c>
      <c r="AD31">
        <f>Inputs!R71</f>
        <v>0</v>
      </c>
      <c r="AE31" t="s">
        <v>1869</v>
      </c>
      <c r="AF31">
        <f>Inputs!S71</f>
        <v>0</v>
      </c>
      <c r="AG31" t="s">
        <v>4808</v>
      </c>
      <c r="AH31">
        <f>Inputs!T71</f>
        <v>0</v>
      </c>
      <c r="AI31" t="s">
        <v>3983</v>
      </c>
      <c r="AJ31">
        <f>Inputs!U71</f>
        <v>0</v>
      </c>
      <c r="AK31" t="s">
        <v>2454</v>
      </c>
      <c r="AL31">
        <f>Inputs!V71</f>
        <v>0</v>
      </c>
      <c r="AM31" t="s">
        <v>2203</v>
      </c>
      <c r="AN31">
        <f>Inputs!W71</f>
        <v>0</v>
      </c>
      <c r="AO31" t="s">
        <v>5608</v>
      </c>
      <c r="AP31">
        <f>Inputs!F72</f>
        <v>0</v>
      </c>
      <c r="AQ31" t="s">
        <v>2777</v>
      </c>
      <c r="AR31">
        <f>Inputs!G72</f>
        <v>0</v>
      </c>
      <c r="AS31" t="s">
        <v>1561</v>
      </c>
      <c r="AT31">
        <f>Inputs!H72</f>
        <v>0</v>
      </c>
      <c r="AU31" t="s">
        <v>4117</v>
      </c>
      <c r="AV31">
        <f>Inputs!I72</f>
        <v>0</v>
      </c>
      <c r="AW31" t="s">
        <v>98</v>
      </c>
      <c r="AX31">
        <f>Inputs!J72</f>
        <v>0</v>
      </c>
      <c r="AY31" t="s">
        <v>3585</v>
      </c>
      <c r="AZ31">
        <f>Inputs!K72</f>
        <v>0</v>
      </c>
      <c r="BA31" t="s">
        <v>1533</v>
      </c>
      <c r="BB31">
        <f>Inputs!L72</f>
        <v>0</v>
      </c>
      <c r="BC31" t="s">
        <v>3398</v>
      </c>
      <c r="BD31">
        <f>Inputs!M72</f>
        <v>0</v>
      </c>
      <c r="BE31" t="s">
        <v>4871</v>
      </c>
      <c r="BF31">
        <f>Inputs!N72</f>
        <v>0</v>
      </c>
      <c r="BG31" t="s">
        <v>5427</v>
      </c>
      <c r="BH31">
        <f>Inputs!O72</f>
        <v>0</v>
      </c>
      <c r="BI31" t="s">
        <v>1123</v>
      </c>
      <c r="BJ31">
        <f>Inputs!P72</f>
        <v>0</v>
      </c>
      <c r="BK31" t="s">
        <v>3356</v>
      </c>
      <c r="BL31">
        <f>Inputs!Q72</f>
        <v>0</v>
      </c>
    </row>
    <row r="32" spans="1:64" ht="12.75" customHeight="1" x14ac:dyDescent="0.2">
      <c r="A32" t="s">
        <v>5705</v>
      </c>
      <c r="B32">
        <f>Inputs!R72</f>
        <v>0</v>
      </c>
      <c r="C32" t="s">
        <v>1461</v>
      </c>
      <c r="D32">
        <f>Inputs!S72</f>
        <v>0</v>
      </c>
      <c r="E32" t="s">
        <v>4623</v>
      </c>
      <c r="F32">
        <f>Inputs!T72</f>
        <v>0</v>
      </c>
      <c r="G32" t="s">
        <v>2619</v>
      </c>
      <c r="H32">
        <f>Inputs!U72</f>
        <v>0</v>
      </c>
      <c r="I32" t="s">
        <v>1049</v>
      </c>
      <c r="J32">
        <f>Inputs!V72</f>
        <v>0</v>
      </c>
      <c r="K32" t="s">
        <v>799</v>
      </c>
      <c r="L32">
        <f>Inputs!W72</f>
        <v>0</v>
      </c>
      <c r="M32" t="s">
        <v>3434</v>
      </c>
      <c r="N32">
        <f>Inputs!F73</f>
        <v>0</v>
      </c>
      <c r="O32" t="s">
        <v>2803</v>
      </c>
      <c r="P32">
        <f>Inputs!G73</f>
        <v>0</v>
      </c>
      <c r="Q32" t="s">
        <v>1582</v>
      </c>
      <c r="R32">
        <f>Inputs!H73</f>
        <v>0</v>
      </c>
      <c r="S32" t="s">
        <v>4140</v>
      </c>
      <c r="T32">
        <f>Inputs!I73</f>
        <v>0</v>
      </c>
      <c r="U32" t="s">
        <v>126</v>
      </c>
      <c r="V32">
        <f>Inputs!J73</f>
        <v>0</v>
      </c>
      <c r="W32" t="s">
        <v>3606</v>
      </c>
      <c r="X32">
        <f>Inputs!K73</f>
        <v>0</v>
      </c>
      <c r="Y32" t="s">
        <v>1553</v>
      </c>
      <c r="Z32">
        <f>Inputs!L73</f>
        <v>0</v>
      </c>
      <c r="AA32" t="s">
        <v>5254</v>
      </c>
      <c r="AB32">
        <f>Inputs!M73</f>
        <v>0</v>
      </c>
      <c r="AC32" t="s">
        <v>2585</v>
      </c>
      <c r="AD32">
        <f>Inputs!N73</f>
        <v>0</v>
      </c>
      <c r="AE32" t="s">
        <v>595</v>
      </c>
      <c r="AF32">
        <f>Inputs!O73</f>
        <v>0</v>
      </c>
      <c r="AG32" t="s">
        <v>5279</v>
      </c>
      <c r="AH32">
        <f>Inputs!P73</f>
        <v>0</v>
      </c>
      <c r="AI32" t="s">
        <v>3725</v>
      </c>
      <c r="AJ32">
        <f>Inputs!Q73</f>
        <v>0</v>
      </c>
      <c r="AK32" t="s">
        <v>4095</v>
      </c>
      <c r="AL32">
        <f>Inputs!R73</f>
        <v>0</v>
      </c>
      <c r="AM32" t="s">
        <v>5736</v>
      </c>
      <c r="AN32">
        <f>Inputs!S73</f>
        <v>0</v>
      </c>
      <c r="AO32" t="s">
        <v>3896</v>
      </c>
      <c r="AP32">
        <f>Inputs!T73</f>
        <v>0</v>
      </c>
      <c r="AQ32" t="s">
        <v>982</v>
      </c>
      <c r="AR32">
        <f>Inputs!U73</f>
        <v>0</v>
      </c>
      <c r="AS32" t="s">
        <v>5326</v>
      </c>
      <c r="AT32">
        <f>Inputs!V73</f>
        <v>0</v>
      </c>
      <c r="AU32" t="s">
        <v>5061</v>
      </c>
      <c r="AV32">
        <f>Inputs!W73</f>
        <v>0</v>
      </c>
      <c r="AW32" t="s">
        <v>5210</v>
      </c>
      <c r="AX32">
        <f>Inputs!F74</f>
        <v>0</v>
      </c>
      <c r="AY32" t="s">
        <v>5212</v>
      </c>
      <c r="AZ32">
        <f>Inputs!G74</f>
        <v>0</v>
      </c>
      <c r="BA32" t="s">
        <v>4021</v>
      </c>
      <c r="BB32">
        <f>Inputs!H74</f>
        <v>0</v>
      </c>
      <c r="BC32" t="s">
        <v>3749</v>
      </c>
      <c r="BD32">
        <f>Inputs!I74</f>
        <v>0</v>
      </c>
      <c r="BE32" t="s">
        <v>2621</v>
      </c>
      <c r="BF32">
        <f>Inputs!J74</f>
        <v>0</v>
      </c>
      <c r="BG32" t="s">
        <v>5383</v>
      </c>
      <c r="BH32">
        <f>Inputs!K74</f>
        <v>0</v>
      </c>
      <c r="BI32" t="s">
        <v>3989</v>
      </c>
      <c r="BJ32">
        <f>Inputs!L74</f>
        <v>0</v>
      </c>
      <c r="BK32" t="s">
        <v>1817</v>
      </c>
      <c r="BL32">
        <f>Inputs!M74</f>
        <v>0</v>
      </c>
    </row>
    <row r="33" spans="1:64" ht="12.75" customHeight="1" x14ac:dyDescent="0.2">
      <c r="A33" t="s">
        <v>4981</v>
      </c>
      <c r="B33">
        <f>Inputs!N74</f>
        <v>0</v>
      </c>
      <c r="C33" t="s">
        <v>4386</v>
      </c>
      <c r="D33">
        <f>Inputs!O74</f>
        <v>0</v>
      </c>
      <c r="E33" t="s">
        <v>3251</v>
      </c>
      <c r="F33">
        <f>Inputs!P74</f>
        <v>0</v>
      </c>
      <c r="G33" t="s">
        <v>4414</v>
      </c>
      <c r="H33">
        <f>Inputs!Q74</f>
        <v>0</v>
      </c>
      <c r="I33" t="s">
        <v>4647</v>
      </c>
      <c r="J33">
        <f>Inputs!R74</f>
        <v>0</v>
      </c>
      <c r="K33" t="s">
        <v>2857</v>
      </c>
      <c r="L33">
        <f>Inputs!S74</f>
        <v>0</v>
      </c>
      <c r="M33" t="s">
        <v>4804</v>
      </c>
      <c r="N33">
        <f>Inputs!T74</f>
        <v>0</v>
      </c>
      <c r="O33" t="s">
        <v>3980</v>
      </c>
      <c r="P33">
        <f>Inputs!U74</f>
        <v>0</v>
      </c>
      <c r="Q33" t="s">
        <v>2451</v>
      </c>
      <c r="R33">
        <f>Inputs!V74</f>
        <v>0</v>
      </c>
      <c r="S33" t="s">
        <v>2198</v>
      </c>
      <c r="T33">
        <f>Inputs!W74</f>
        <v>0</v>
      </c>
      <c r="U33" t="s">
        <v>4328</v>
      </c>
      <c r="V33">
        <f>Inputs!F75</f>
        <v>0</v>
      </c>
      <c r="W33" t="s">
        <v>3768</v>
      </c>
      <c r="X33">
        <f>Inputs!G75</f>
        <v>0</v>
      </c>
      <c r="Y33" t="s">
        <v>4897</v>
      </c>
      <c r="Z33">
        <f>Inputs!H75</f>
        <v>0</v>
      </c>
      <c r="AA33" t="s">
        <v>5109</v>
      </c>
      <c r="AB33">
        <f>Inputs!I75</f>
        <v>0</v>
      </c>
      <c r="AC33" t="s">
        <v>1145</v>
      </c>
      <c r="AD33">
        <f>Inputs!J75</f>
        <v>0</v>
      </c>
      <c r="AE33" t="s">
        <v>4586</v>
      </c>
      <c r="AF33">
        <f>Inputs!K75</f>
        <v>0</v>
      </c>
      <c r="AG33" t="s">
        <v>3646</v>
      </c>
      <c r="AH33">
        <f>Inputs!L75</f>
        <v>0</v>
      </c>
      <c r="AI33" t="s">
        <v>333</v>
      </c>
      <c r="AJ33">
        <f>Inputs!M75</f>
        <v>0</v>
      </c>
      <c r="AK33" t="s">
        <v>3556</v>
      </c>
      <c r="AL33">
        <f>Inputs!N75</f>
        <v>0</v>
      </c>
      <c r="AM33" t="s">
        <v>3001</v>
      </c>
      <c r="AN33">
        <f>Inputs!O75</f>
        <v>0</v>
      </c>
      <c r="AO33" t="s">
        <v>5875</v>
      </c>
      <c r="AP33">
        <f>Inputs!P75</f>
        <v>0</v>
      </c>
      <c r="AQ33" t="s">
        <v>96</v>
      </c>
      <c r="AR33">
        <f>Inputs!Q75</f>
        <v>0</v>
      </c>
      <c r="AS33" t="s">
        <v>2572</v>
      </c>
      <c r="AT33">
        <f>Inputs!R75</f>
        <v>0</v>
      </c>
      <c r="AU33" t="s">
        <v>2038</v>
      </c>
      <c r="AV33">
        <f>Inputs!S75</f>
        <v>0</v>
      </c>
      <c r="AW33" t="s">
        <v>246</v>
      </c>
      <c r="AX33">
        <f>Inputs!T75</f>
        <v>0</v>
      </c>
      <c r="AY33" t="s">
        <v>5322</v>
      </c>
      <c r="AZ33">
        <f>Inputs!U75</f>
        <v>0</v>
      </c>
      <c r="BA33" t="s">
        <v>3789</v>
      </c>
      <c r="BB33">
        <f>Inputs!V75</f>
        <v>0</v>
      </c>
      <c r="BC33" t="s">
        <v>3549</v>
      </c>
      <c r="BD33">
        <f>Inputs!W75</f>
        <v>0</v>
      </c>
      <c r="BE33" t="s">
        <v>601</v>
      </c>
      <c r="BF33">
        <f>Inputs!F76</f>
        <v>0</v>
      </c>
      <c r="BG33" t="s">
        <v>3462</v>
      </c>
      <c r="BH33">
        <f>Inputs!G76</f>
        <v>0</v>
      </c>
      <c r="BI33" t="s">
        <v>577</v>
      </c>
      <c r="BJ33">
        <f>Inputs!H76</f>
        <v>0</v>
      </c>
      <c r="BK33" t="s">
        <v>1916</v>
      </c>
      <c r="BL33">
        <f>Inputs!I76</f>
        <v>0</v>
      </c>
    </row>
    <row r="34" spans="1:64" ht="12.75" customHeight="1" x14ac:dyDescent="0.2">
      <c r="A34" t="s">
        <v>78</v>
      </c>
      <c r="B34">
        <f>Inputs!J76</f>
        <v>0</v>
      </c>
      <c r="C34" t="s">
        <v>247</v>
      </c>
      <c r="D34">
        <f>Inputs!K76</f>
        <v>0</v>
      </c>
      <c r="E34" t="s">
        <v>4503</v>
      </c>
      <c r="F34">
        <f>Inputs!L76</f>
        <v>0</v>
      </c>
      <c r="G34" t="s">
        <v>2591</v>
      </c>
      <c r="H34">
        <f>Inputs!M76</f>
        <v>0</v>
      </c>
      <c r="I34" t="s">
        <v>1716</v>
      </c>
      <c r="J34">
        <f>Inputs!N76</f>
        <v>0</v>
      </c>
      <c r="K34" t="s">
        <v>3130</v>
      </c>
      <c r="L34">
        <f>Inputs!O76</f>
        <v>0</v>
      </c>
      <c r="M34" t="s">
        <v>3801</v>
      </c>
      <c r="N34">
        <f>Inputs!P76</f>
        <v>0</v>
      </c>
      <c r="O34" t="s">
        <v>1241</v>
      </c>
      <c r="P34">
        <f>Inputs!Q76</f>
        <v>0</v>
      </c>
      <c r="Q34" t="s">
        <v>2915</v>
      </c>
      <c r="R34">
        <f>Inputs!R76</f>
        <v>0</v>
      </c>
      <c r="S34" t="s">
        <v>5639</v>
      </c>
      <c r="T34">
        <f>Inputs!S76</f>
        <v>0</v>
      </c>
      <c r="U34" t="s">
        <v>5178</v>
      </c>
      <c r="V34">
        <f>Inputs!T76</f>
        <v>0</v>
      </c>
      <c r="W34" t="s">
        <v>180</v>
      </c>
      <c r="X34">
        <f>Inputs!U76</f>
        <v>0</v>
      </c>
      <c r="Y34" t="s">
        <v>3046</v>
      </c>
      <c r="Z34">
        <f>Inputs!V76</f>
        <v>0</v>
      </c>
      <c r="AA34" t="s">
        <v>4401</v>
      </c>
      <c r="AB34">
        <f>Inputs!W76</f>
        <v>0</v>
      </c>
      <c r="AC34" t="s">
        <v>2813</v>
      </c>
      <c r="AD34">
        <f>Inputs!F77</f>
        <v>0</v>
      </c>
      <c r="AE34" t="s">
        <v>5220</v>
      </c>
      <c r="AF34">
        <f>Inputs!G77</f>
        <v>0</v>
      </c>
      <c r="AG34" t="s">
        <v>2387</v>
      </c>
      <c r="AH34">
        <f>Inputs!H77</f>
        <v>0</v>
      </c>
      <c r="AI34" t="s">
        <v>3695</v>
      </c>
      <c r="AJ34">
        <f>Inputs!I77</f>
        <v>0</v>
      </c>
      <c r="AK34" t="s">
        <v>1905</v>
      </c>
      <c r="AL34">
        <f>Inputs!J77</f>
        <v>0</v>
      </c>
      <c r="AM34" t="s">
        <v>2081</v>
      </c>
      <c r="AN34">
        <f>Inputs!K77</f>
        <v>0</v>
      </c>
      <c r="AO34" t="s">
        <v>362</v>
      </c>
      <c r="AP34">
        <f>Inputs!L77</f>
        <v>0</v>
      </c>
      <c r="AQ34" t="s">
        <v>4364</v>
      </c>
      <c r="AR34">
        <f>Inputs!M77</f>
        <v>0</v>
      </c>
      <c r="AS34" t="s">
        <v>3519</v>
      </c>
      <c r="AT34">
        <f>Inputs!N77</f>
        <v>0</v>
      </c>
      <c r="AU34" t="s">
        <v>4355</v>
      </c>
      <c r="AV34">
        <f>Inputs!O77</f>
        <v>0</v>
      </c>
      <c r="AW34" t="s">
        <v>3066</v>
      </c>
      <c r="AX34">
        <f>Inputs!P77</f>
        <v>0</v>
      </c>
      <c r="AY34" t="s">
        <v>818</v>
      </c>
      <c r="AZ34">
        <f>Inputs!Q77</f>
        <v>0</v>
      </c>
      <c r="BA34" t="s">
        <v>5031</v>
      </c>
      <c r="BB34">
        <f>Inputs!R77</f>
        <v>0</v>
      </c>
      <c r="BC34" t="s">
        <v>1447</v>
      </c>
      <c r="BD34">
        <f>Inputs!S77</f>
        <v>0</v>
      </c>
      <c r="BE34" t="s">
        <v>975</v>
      </c>
      <c r="BF34">
        <f>Inputs!T77</f>
        <v>0</v>
      </c>
      <c r="BG34" t="s">
        <v>2445</v>
      </c>
      <c r="BH34">
        <f>Inputs!U77</f>
        <v>0</v>
      </c>
      <c r="BI34" t="s">
        <v>5363</v>
      </c>
      <c r="BJ34">
        <f>Inputs!V77</f>
        <v>0</v>
      </c>
      <c r="BK34" t="s">
        <v>159</v>
      </c>
      <c r="BL34">
        <f>Inputs!W77</f>
        <v>0</v>
      </c>
    </row>
    <row r="35" spans="1:64" ht="12.75" customHeight="1" x14ac:dyDescent="0.2">
      <c r="A35" t="s">
        <v>3609</v>
      </c>
      <c r="B35">
        <f>Inputs!F78</f>
        <v>0</v>
      </c>
      <c r="C35" t="s">
        <v>1719</v>
      </c>
      <c r="D35">
        <f>Inputs!G78</f>
        <v>0</v>
      </c>
      <c r="E35" t="s">
        <v>4748</v>
      </c>
      <c r="F35">
        <f>Inputs!H78</f>
        <v>0</v>
      </c>
      <c r="G35" t="s">
        <v>4817</v>
      </c>
      <c r="H35">
        <f>Inputs!I78</f>
        <v>0</v>
      </c>
      <c r="I35" t="s">
        <v>16</v>
      </c>
      <c r="J35">
        <f>Inputs!J78</f>
        <v>0</v>
      </c>
      <c r="K35" t="s">
        <v>13</v>
      </c>
      <c r="L35">
        <f>Inputs!K78</f>
        <v>0</v>
      </c>
      <c r="M35" t="s">
        <v>2798</v>
      </c>
      <c r="N35">
        <f>Inputs!L78</f>
        <v>0</v>
      </c>
      <c r="O35" t="s">
        <v>845</v>
      </c>
      <c r="P35">
        <f>Inputs!M78</f>
        <v>0</v>
      </c>
      <c r="Q35" t="s">
        <v>5889</v>
      </c>
      <c r="R35">
        <f>Inputs!N78</f>
        <v>0</v>
      </c>
      <c r="S35" t="s">
        <v>5747</v>
      </c>
      <c r="T35">
        <f>Inputs!O78</f>
        <v>0</v>
      </c>
      <c r="U35" t="s">
        <v>278</v>
      </c>
      <c r="V35">
        <f>Inputs!P78</f>
        <v>0</v>
      </c>
      <c r="W35" t="s">
        <v>5732</v>
      </c>
      <c r="X35">
        <f>Inputs!Q78</f>
        <v>0</v>
      </c>
      <c r="Y35" t="s">
        <v>2375</v>
      </c>
      <c r="Z35">
        <f>Inputs!R78</f>
        <v>0</v>
      </c>
      <c r="AA35" t="s">
        <v>4638</v>
      </c>
      <c r="AB35">
        <f>Inputs!S78</f>
        <v>0</v>
      </c>
      <c r="AC35" t="s">
        <v>4185</v>
      </c>
      <c r="AD35">
        <f>Inputs!T78</f>
        <v>0</v>
      </c>
      <c r="AE35" t="s">
        <v>5619</v>
      </c>
      <c r="AF35">
        <f>Inputs!U78</f>
        <v>0</v>
      </c>
      <c r="AG35" t="s">
        <v>2042</v>
      </c>
      <c r="AH35">
        <f>Inputs!V78</f>
        <v>0</v>
      </c>
      <c r="AI35" t="s">
        <v>3400</v>
      </c>
      <c r="AJ35">
        <f>Inputs!W78</f>
        <v>0</v>
      </c>
      <c r="AK35" t="s">
        <v>5168</v>
      </c>
      <c r="AL35">
        <f>Inputs!F79</f>
        <v>0</v>
      </c>
      <c r="AM35" t="s">
        <v>2838</v>
      </c>
      <c r="AN35">
        <f>Inputs!G79</f>
        <v>0</v>
      </c>
      <c r="AO35" t="s">
        <v>5854</v>
      </c>
      <c r="AP35">
        <f>Inputs!H79</f>
        <v>0</v>
      </c>
      <c r="AQ35" t="s">
        <v>5143</v>
      </c>
      <c r="AR35">
        <f>Inputs!I79</f>
        <v>0</v>
      </c>
      <c r="AS35" t="s">
        <v>5371</v>
      </c>
      <c r="AT35">
        <f>Inputs!J79</f>
        <v>0</v>
      </c>
      <c r="AU35" t="s">
        <v>2567</v>
      </c>
      <c r="AV35">
        <f>Inputs!K79</f>
        <v>0</v>
      </c>
      <c r="AW35" t="s">
        <v>3875</v>
      </c>
      <c r="AX35">
        <f>Inputs!L79</f>
        <v>0</v>
      </c>
      <c r="AY35" t="s">
        <v>1955</v>
      </c>
      <c r="AZ35">
        <f>Inputs!M79</f>
        <v>0</v>
      </c>
      <c r="BA35" t="s">
        <v>1096</v>
      </c>
      <c r="BB35">
        <f>Inputs!N79</f>
        <v>0</v>
      </c>
      <c r="BC35" t="s">
        <v>1154</v>
      </c>
      <c r="BD35">
        <f>Inputs!O79</f>
        <v>0</v>
      </c>
      <c r="BE35" t="s">
        <v>2819</v>
      </c>
      <c r="BF35">
        <f>Inputs!P79</f>
        <v>0</v>
      </c>
      <c r="BG35" t="s">
        <v>4877</v>
      </c>
      <c r="BH35">
        <f>Inputs!Q79</f>
        <v>0</v>
      </c>
      <c r="BI35" t="s">
        <v>3156</v>
      </c>
      <c r="BJ35">
        <f>Inputs!R79</f>
        <v>0</v>
      </c>
      <c r="BK35" t="s">
        <v>5402</v>
      </c>
      <c r="BL35">
        <f>Inputs!S79</f>
        <v>0</v>
      </c>
    </row>
    <row r="36" spans="1:64" ht="12.75" customHeight="1" x14ac:dyDescent="0.2">
      <c r="A36" t="s">
        <v>4938</v>
      </c>
      <c r="B36">
        <f>Inputs!T79</f>
        <v>0</v>
      </c>
      <c r="C36" t="s">
        <v>501</v>
      </c>
      <c r="D36">
        <f>Inputs!U79</f>
        <v>0</v>
      </c>
      <c r="E36" t="s">
        <v>2822</v>
      </c>
      <c r="F36">
        <f>Inputs!V79</f>
        <v>0</v>
      </c>
      <c r="G36" t="s">
        <v>4158</v>
      </c>
      <c r="H36">
        <f>Inputs!W79</f>
        <v>0</v>
      </c>
      <c r="I36" t="s">
        <v>2171</v>
      </c>
      <c r="J36">
        <f>Inputs!F80</f>
        <v>0</v>
      </c>
      <c r="K36" t="s">
        <v>2615</v>
      </c>
      <c r="L36">
        <f>Inputs!G80</f>
        <v>0</v>
      </c>
      <c r="M36" t="s">
        <v>5621</v>
      </c>
      <c r="N36">
        <f>Inputs!H80</f>
        <v>0</v>
      </c>
      <c r="O36" t="s">
        <v>1047</v>
      </c>
      <c r="P36">
        <f>Inputs!I80</f>
        <v>0</v>
      </c>
      <c r="Q36" t="s">
        <v>5137</v>
      </c>
      <c r="R36">
        <f>Inputs!J80</f>
        <v>0</v>
      </c>
      <c r="S36" t="s">
        <v>5309</v>
      </c>
      <c r="T36">
        <f>Inputs!K80</f>
        <v>0</v>
      </c>
      <c r="U36" t="s">
        <v>3653</v>
      </c>
      <c r="V36">
        <f>Inputs!L80</f>
        <v>0</v>
      </c>
      <c r="W36" t="s">
        <v>1711</v>
      </c>
      <c r="X36">
        <f>Inputs!M80</f>
        <v>0</v>
      </c>
      <c r="Y36" t="s">
        <v>870</v>
      </c>
      <c r="Z36">
        <f>Inputs!N80</f>
        <v>0</v>
      </c>
      <c r="AA36" t="s">
        <v>5071</v>
      </c>
      <c r="AB36">
        <f>Inputs!O80</f>
        <v>0</v>
      </c>
      <c r="AC36" t="s">
        <v>2129</v>
      </c>
      <c r="AD36">
        <f>Inputs!P80</f>
        <v>0</v>
      </c>
      <c r="AE36" t="s">
        <v>3553</v>
      </c>
      <c r="AF36">
        <f>Inputs!Q80</f>
        <v>0</v>
      </c>
      <c r="AG36" t="s">
        <v>2292</v>
      </c>
      <c r="AH36">
        <f>Inputs!R80</f>
        <v>0</v>
      </c>
      <c r="AI36" t="s">
        <v>977</v>
      </c>
      <c r="AJ36">
        <f>Inputs!S80</f>
        <v>0</v>
      </c>
      <c r="AK36" t="s">
        <v>4094</v>
      </c>
      <c r="AL36">
        <f>Inputs!T80</f>
        <v>0</v>
      </c>
      <c r="AM36" t="s">
        <v>5533</v>
      </c>
      <c r="AN36">
        <f>Inputs!U80</f>
        <v>0</v>
      </c>
      <c r="AO36" t="s">
        <v>1950</v>
      </c>
      <c r="AP36">
        <f>Inputs!V80</f>
        <v>0</v>
      </c>
      <c r="AQ36" t="s">
        <v>3314</v>
      </c>
      <c r="AR36">
        <f>Inputs!W80</f>
        <v>0</v>
      </c>
      <c r="AS36" t="s">
        <v>2687</v>
      </c>
      <c r="AT36">
        <f>Inputs!F81</f>
        <v>0</v>
      </c>
      <c r="AU36" t="s">
        <v>4916</v>
      </c>
      <c r="AV36">
        <f>Inputs!G81</f>
        <v>0</v>
      </c>
      <c r="AW36" t="s">
        <v>2102</v>
      </c>
      <c r="AX36">
        <f>Inputs!H81</f>
        <v>0</v>
      </c>
      <c r="AY36" t="s">
        <v>3415</v>
      </c>
      <c r="AZ36">
        <f>Inputs!I81</f>
        <v>0</v>
      </c>
      <c r="BA36" t="s">
        <v>1602</v>
      </c>
      <c r="BB36">
        <f>Inputs!J81</f>
        <v>0</v>
      </c>
      <c r="BC36" t="s">
        <v>1767</v>
      </c>
      <c r="BD36">
        <f>Inputs!K81</f>
        <v>0</v>
      </c>
      <c r="BE36" t="s">
        <v>60</v>
      </c>
      <c r="BF36">
        <f>Inputs!L81</f>
        <v>0</v>
      </c>
      <c r="BG36" t="s">
        <v>4059</v>
      </c>
      <c r="BH36">
        <f>Inputs!M81</f>
        <v>0</v>
      </c>
      <c r="BI36" t="s">
        <v>3229</v>
      </c>
      <c r="BJ36">
        <f>Inputs!N81</f>
        <v>0</v>
      </c>
      <c r="BK36" t="s">
        <v>4161</v>
      </c>
      <c r="BL36">
        <f>Inputs!O81</f>
        <v>0</v>
      </c>
    </row>
    <row r="37" spans="1:64" ht="12.75" customHeight="1" x14ac:dyDescent="0.2">
      <c r="A37" t="s">
        <v>51</v>
      </c>
      <c r="B37">
        <f>Inputs!P81</f>
        <v>0</v>
      </c>
      <c r="C37" t="s">
        <v>1566</v>
      </c>
      <c r="D37">
        <f>Inputs!Q81</f>
        <v>0</v>
      </c>
      <c r="E37" t="s">
        <v>2286</v>
      </c>
      <c r="F37">
        <f>Inputs!R81</f>
        <v>0</v>
      </c>
      <c r="G37" t="s">
        <v>4552</v>
      </c>
      <c r="H37">
        <f>Inputs!S81</f>
        <v>0</v>
      </c>
      <c r="I37" t="s">
        <v>4089</v>
      </c>
      <c r="J37">
        <f>Inputs!T81</f>
        <v>0</v>
      </c>
      <c r="K37" t="s">
        <v>5528</v>
      </c>
      <c r="L37">
        <f>Inputs!U81</f>
        <v>0</v>
      </c>
      <c r="M37" t="s">
        <v>1944</v>
      </c>
      <c r="N37">
        <f>Inputs!V81</f>
        <v>0</v>
      </c>
      <c r="O37" t="s">
        <v>3309</v>
      </c>
      <c r="P37">
        <f>Inputs!W81</f>
        <v>0</v>
      </c>
      <c r="Q37" t="s">
        <v>4473</v>
      </c>
      <c r="R37">
        <f>Inputs!F82</f>
        <v>0</v>
      </c>
      <c r="S37" t="s">
        <v>455</v>
      </c>
      <c r="T37">
        <f>Inputs!G82</f>
        <v>0</v>
      </c>
      <c r="U37" t="s">
        <v>3523</v>
      </c>
      <c r="V37">
        <f>Inputs!H82</f>
        <v>0</v>
      </c>
      <c r="W37" t="s">
        <v>4809</v>
      </c>
      <c r="X37">
        <f>Inputs!I82</f>
        <v>0</v>
      </c>
      <c r="Y37" t="s">
        <v>3049</v>
      </c>
      <c r="Z37">
        <f>Inputs!J82</f>
        <v>0</v>
      </c>
      <c r="AA37" t="s">
        <v>3212</v>
      </c>
      <c r="AB37">
        <f>Inputs!K82</f>
        <v>0</v>
      </c>
      <c r="AC37" t="s">
        <v>1532</v>
      </c>
      <c r="AD37">
        <f>Inputs!L82</f>
        <v>0</v>
      </c>
      <c r="AE37" t="s">
        <v>3535</v>
      </c>
      <c r="AF37">
        <f>Inputs!M82</f>
        <v>0</v>
      </c>
      <c r="AG37" t="s">
        <v>4645</v>
      </c>
      <c r="AH37">
        <f>Inputs!N82</f>
        <v>0</v>
      </c>
      <c r="AI37" t="s">
        <v>1763</v>
      </c>
      <c r="AJ37">
        <f>Inputs!O82</f>
        <v>0</v>
      </c>
      <c r="AK37" t="s">
        <v>4390</v>
      </c>
      <c r="AL37">
        <f>Inputs!P82</f>
        <v>0</v>
      </c>
      <c r="AM37" t="s">
        <v>1100</v>
      </c>
      <c r="AN37">
        <f>Inputs!Q82</f>
        <v>0</v>
      </c>
      <c r="AO37" t="s">
        <v>372</v>
      </c>
      <c r="AP37">
        <f>Inputs!R82</f>
        <v>0</v>
      </c>
      <c r="AQ37" t="s">
        <v>2688</v>
      </c>
      <c r="AR37">
        <f>Inputs!S82</f>
        <v>0</v>
      </c>
      <c r="AS37" t="s">
        <v>1454</v>
      </c>
      <c r="AT37">
        <f>Inputs!T82</f>
        <v>0</v>
      </c>
      <c r="AU37" t="s">
        <v>3669</v>
      </c>
      <c r="AV37">
        <f>Inputs!U82</f>
        <v>0</v>
      </c>
      <c r="AW37" t="s">
        <v>17</v>
      </c>
      <c r="AX37">
        <f>Inputs!V82</f>
        <v>0</v>
      </c>
      <c r="AY37" t="s">
        <v>1419</v>
      </c>
      <c r="AZ37">
        <f>Inputs!W82</f>
        <v>0</v>
      </c>
      <c r="BA37" t="s">
        <v>3577</v>
      </c>
      <c r="BB37">
        <f>Inputs!F83</f>
        <v>0</v>
      </c>
      <c r="BC37" t="s">
        <v>2516</v>
      </c>
      <c r="BD37">
        <f>Inputs!G83</f>
        <v>0</v>
      </c>
      <c r="BE37" t="s">
        <v>5526</v>
      </c>
      <c r="BF37">
        <f>Inputs!H83</f>
        <v>0</v>
      </c>
      <c r="BG37" t="s">
        <v>5677</v>
      </c>
      <c r="BH37">
        <f>Inputs!I83</f>
        <v>0</v>
      </c>
      <c r="BI37" t="s">
        <v>5034</v>
      </c>
      <c r="BJ37">
        <f>Inputs!J83</f>
        <v>0</v>
      </c>
      <c r="BK37" t="s">
        <v>5218</v>
      </c>
      <c r="BL37">
        <f>Inputs!K83</f>
        <v>0</v>
      </c>
    </row>
    <row r="38" spans="1:64" ht="12.75" customHeight="1" x14ac:dyDescent="0.2">
      <c r="A38" t="s">
        <v>3565</v>
      </c>
      <c r="B38">
        <f>Inputs!L83</f>
        <v>0</v>
      </c>
      <c r="C38" t="s">
        <v>5268</v>
      </c>
      <c r="D38">
        <f>Inputs!M83</f>
        <v>0</v>
      </c>
      <c r="E38" t="s">
        <v>772</v>
      </c>
      <c r="F38">
        <f>Inputs!N83</f>
        <v>0</v>
      </c>
      <c r="G38" t="s">
        <v>139</v>
      </c>
      <c r="H38">
        <f>Inputs!O83</f>
        <v>0</v>
      </c>
      <c r="I38" t="s">
        <v>5205</v>
      </c>
      <c r="J38">
        <f>Inputs!P83</f>
        <v>0</v>
      </c>
      <c r="K38" t="s">
        <v>4933</v>
      </c>
      <c r="L38">
        <f>Inputs!Q83</f>
        <v>0</v>
      </c>
      <c r="M38" t="s">
        <v>3440</v>
      </c>
      <c r="N38">
        <f>Inputs!R83</f>
        <v>0</v>
      </c>
      <c r="O38" t="s">
        <v>5692</v>
      </c>
      <c r="P38">
        <f>Inputs!S83</f>
        <v>0</v>
      </c>
      <c r="Q38" t="s">
        <v>5229</v>
      </c>
      <c r="R38">
        <f>Inputs!T83</f>
        <v>0</v>
      </c>
      <c r="S38" t="s">
        <v>5282</v>
      </c>
      <c r="T38">
        <f>Inputs!U83</f>
        <v>0</v>
      </c>
      <c r="U38" t="s">
        <v>3101</v>
      </c>
      <c r="V38">
        <f>Inputs!V83</f>
        <v>0</v>
      </c>
      <c r="W38" t="s">
        <v>4453</v>
      </c>
      <c r="X38">
        <f>Inputs!W83</f>
        <v>0</v>
      </c>
      <c r="Y38" t="s">
        <v>4725</v>
      </c>
      <c r="Z38">
        <f>Inputs!F88</f>
        <v>0.5</v>
      </c>
      <c r="AA38" t="s">
        <v>5070</v>
      </c>
      <c r="AB38">
        <f>Inputs!G88</f>
        <v>0.5</v>
      </c>
      <c r="AC38" t="s">
        <v>4771</v>
      </c>
      <c r="AD38">
        <f>Inputs!H88</f>
        <v>0.5</v>
      </c>
      <c r="AE38" t="s">
        <v>1754</v>
      </c>
      <c r="AF38">
        <f>Inputs!I88</f>
        <v>0.5</v>
      </c>
      <c r="AG38" t="s">
        <v>2614</v>
      </c>
      <c r="AH38">
        <f>Inputs!J88</f>
        <v>0.5</v>
      </c>
      <c r="AI38" t="s">
        <v>5908</v>
      </c>
      <c r="AJ38">
        <f>Inputs!K88</f>
        <v>0.5</v>
      </c>
      <c r="AK38" t="s">
        <v>960</v>
      </c>
      <c r="AL38">
        <f>Inputs!L88</f>
        <v>0.5</v>
      </c>
      <c r="AM38" t="s">
        <v>1996</v>
      </c>
      <c r="AN38">
        <f>Inputs!M88</f>
        <v>0.5</v>
      </c>
      <c r="AO38" t="s">
        <v>2789</v>
      </c>
      <c r="AP38">
        <f>Inputs!N88</f>
        <v>0.5</v>
      </c>
      <c r="AQ38" t="s">
        <v>4654</v>
      </c>
      <c r="AR38">
        <f>Inputs!O88</f>
        <v>0.5</v>
      </c>
      <c r="AS38" t="s">
        <v>4554</v>
      </c>
      <c r="AT38">
        <f>Inputs!P88</f>
        <v>0.5</v>
      </c>
      <c r="AU38" t="s">
        <v>1195</v>
      </c>
      <c r="AV38">
        <f>Inputs!Q88</f>
        <v>0.5</v>
      </c>
      <c r="AW38" t="s">
        <v>3632</v>
      </c>
      <c r="AX38">
        <f>Inputs!R88</f>
        <v>0.5</v>
      </c>
      <c r="AY38" t="s">
        <v>1063</v>
      </c>
      <c r="AZ38">
        <f>Inputs!S88</f>
        <v>0.5</v>
      </c>
      <c r="BA38" t="s">
        <v>2011</v>
      </c>
      <c r="BB38">
        <f>Inputs!T88</f>
        <v>0.5</v>
      </c>
      <c r="BC38" t="s">
        <v>5261</v>
      </c>
      <c r="BD38">
        <f>Inputs!U88</f>
        <v>0.5</v>
      </c>
      <c r="BE38" t="s">
        <v>3224</v>
      </c>
      <c r="BF38">
        <f>Inputs!V88</f>
        <v>0.5</v>
      </c>
      <c r="BG38" t="s">
        <v>3518</v>
      </c>
      <c r="BH38">
        <f>Inputs!W88</f>
        <v>0.5</v>
      </c>
      <c r="BI38" t="s">
        <v>4249</v>
      </c>
      <c r="BJ38">
        <f>Inputs!F89</f>
        <v>0.5</v>
      </c>
      <c r="BK38" t="s">
        <v>5373</v>
      </c>
      <c r="BL38">
        <f>Inputs!G89</f>
        <v>0.5</v>
      </c>
    </row>
    <row r="39" spans="1:64" ht="12.75" customHeight="1" x14ac:dyDescent="0.2">
      <c r="A39" t="s">
        <v>5779</v>
      </c>
      <c r="B39">
        <f>Inputs!H89</f>
        <v>0.5</v>
      </c>
      <c r="C39" t="s">
        <v>249</v>
      </c>
      <c r="D39">
        <f>Inputs!I89</f>
        <v>0.5</v>
      </c>
      <c r="E39" t="s">
        <v>2885</v>
      </c>
      <c r="F39">
        <f>Inputs!J89</f>
        <v>0.5</v>
      </c>
      <c r="G39" t="s">
        <v>5656</v>
      </c>
      <c r="H39">
        <f>Inputs!K89</f>
        <v>0.5</v>
      </c>
      <c r="I39" t="s">
        <v>153</v>
      </c>
      <c r="J39">
        <f>Inputs!L89</f>
        <v>0.5</v>
      </c>
      <c r="K39" t="s">
        <v>4926</v>
      </c>
      <c r="L39">
        <f>Inputs!M89</f>
        <v>0.5</v>
      </c>
      <c r="M39" t="s">
        <v>5191</v>
      </c>
      <c r="N39">
        <f>Inputs!N89</f>
        <v>0.5</v>
      </c>
      <c r="O39" t="s">
        <v>1085</v>
      </c>
      <c r="P39">
        <f>Inputs!O89</f>
        <v>0.5</v>
      </c>
      <c r="Q39" t="s">
        <v>2046</v>
      </c>
      <c r="R39">
        <f>Inputs!P89</f>
        <v>0.5</v>
      </c>
      <c r="S39" t="s">
        <v>3533</v>
      </c>
      <c r="T39">
        <f>Inputs!Q89</f>
        <v>0.5</v>
      </c>
      <c r="U39" t="s">
        <v>840</v>
      </c>
      <c r="V39">
        <f>Inputs!R89</f>
        <v>0.5</v>
      </c>
      <c r="W39" t="s">
        <v>3658</v>
      </c>
      <c r="X39">
        <f>Inputs!S89</f>
        <v>0.5</v>
      </c>
      <c r="Y39" t="s">
        <v>4049</v>
      </c>
      <c r="Z39">
        <f>Inputs!T89</f>
        <v>0.5</v>
      </c>
      <c r="AA39" t="s">
        <v>5173</v>
      </c>
      <c r="AB39">
        <f>Inputs!U89</f>
        <v>0.5</v>
      </c>
      <c r="AC39" t="s">
        <v>5439</v>
      </c>
      <c r="AD39">
        <f>Inputs!V89</f>
        <v>0.5</v>
      </c>
      <c r="AE39" t="s">
        <v>2323</v>
      </c>
      <c r="AF39">
        <f>Inputs!W89</f>
        <v>0.5</v>
      </c>
      <c r="AG39" t="s">
        <v>3430</v>
      </c>
      <c r="AH39">
        <f>Inputs!F90</f>
        <v>0.5</v>
      </c>
      <c r="AI39" t="s">
        <v>3790</v>
      </c>
      <c r="AJ39">
        <f>Inputs!G90</f>
        <v>0.5</v>
      </c>
      <c r="AK39" t="s">
        <v>4195</v>
      </c>
      <c r="AL39">
        <f>Inputs!H90</f>
        <v>0.5</v>
      </c>
      <c r="AM39" t="s">
        <v>5475</v>
      </c>
      <c r="AN39">
        <f>Inputs!I90</f>
        <v>0.5</v>
      </c>
      <c r="AO39" t="s">
        <v>891</v>
      </c>
      <c r="AP39">
        <f>Inputs!J90</f>
        <v>0.5</v>
      </c>
      <c r="AQ39" t="s">
        <v>303</v>
      </c>
      <c r="AR39">
        <f>Inputs!K90</f>
        <v>0.5</v>
      </c>
      <c r="AS39" t="s">
        <v>738</v>
      </c>
      <c r="AT39">
        <f>Inputs!L90</f>
        <v>0.5</v>
      </c>
      <c r="AU39" t="s">
        <v>3371</v>
      </c>
      <c r="AV39">
        <f>Inputs!M90</f>
        <v>0.5</v>
      </c>
      <c r="AW39" t="s">
        <v>3613</v>
      </c>
      <c r="AX39">
        <f>Inputs!N90</f>
        <v>0.5</v>
      </c>
      <c r="AY39" t="s">
        <v>228</v>
      </c>
      <c r="AZ39">
        <f>Inputs!O90</f>
        <v>0.5</v>
      </c>
      <c r="BA39" t="s">
        <v>282</v>
      </c>
      <c r="BB39">
        <f>Inputs!P90</f>
        <v>0.5</v>
      </c>
      <c r="BC39" t="s">
        <v>2714</v>
      </c>
      <c r="BD39">
        <f>Inputs!Q90</f>
        <v>0.5</v>
      </c>
      <c r="BE39" t="s">
        <v>1727</v>
      </c>
      <c r="BF39">
        <f>Inputs!R90</f>
        <v>0.5</v>
      </c>
      <c r="BG39" t="s">
        <v>5017</v>
      </c>
      <c r="BH39">
        <f>Inputs!S90</f>
        <v>0.5</v>
      </c>
      <c r="BI39" t="s">
        <v>5432</v>
      </c>
      <c r="BJ39">
        <f>Inputs!T90</f>
        <v>0.5</v>
      </c>
      <c r="BK39" t="s">
        <v>4431</v>
      </c>
      <c r="BL39">
        <f>Inputs!U90</f>
        <v>0.5</v>
      </c>
    </row>
    <row r="40" spans="1:64" ht="12.75" customHeight="1" x14ac:dyDescent="0.2">
      <c r="A40" t="s">
        <v>4681</v>
      </c>
      <c r="B40">
        <f>Inputs!V90</f>
        <v>0.5</v>
      </c>
      <c r="C40" t="s">
        <v>1585</v>
      </c>
      <c r="D40">
        <f>Inputs!W90</f>
        <v>0.5</v>
      </c>
      <c r="E40" t="s">
        <v>5444</v>
      </c>
      <c r="F40">
        <f>Inputs!F91</f>
        <v>0.5</v>
      </c>
      <c r="G40" t="s">
        <v>391</v>
      </c>
      <c r="H40">
        <f>Inputs!G91</f>
        <v>0.5</v>
      </c>
      <c r="I40" t="s">
        <v>815</v>
      </c>
      <c r="J40">
        <f>Inputs!H91</f>
        <v>0.5</v>
      </c>
      <c r="K40" t="s">
        <v>3539</v>
      </c>
      <c r="L40">
        <f>Inputs!I91</f>
        <v>0.5</v>
      </c>
      <c r="M40" t="s">
        <v>3796</v>
      </c>
      <c r="N40">
        <f>Inputs!J91</f>
        <v>0.5</v>
      </c>
      <c r="O40" t="s">
        <v>2960</v>
      </c>
      <c r="P40">
        <f>Inputs!K91</f>
        <v>0.5</v>
      </c>
      <c r="Q40" t="s">
        <v>5525</v>
      </c>
      <c r="R40">
        <f>Inputs!L91</f>
        <v>0.5</v>
      </c>
      <c r="S40" t="s">
        <v>5870</v>
      </c>
      <c r="T40">
        <f>Inputs!M91</f>
        <v>0.5</v>
      </c>
      <c r="U40" t="s">
        <v>3504</v>
      </c>
      <c r="V40">
        <f>Inputs!N91</f>
        <v>0.5</v>
      </c>
      <c r="W40" t="s">
        <v>379</v>
      </c>
      <c r="X40">
        <f>Inputs!O91</f>
        <v>0.5</v>
      </c>
      <c r="Y40" t="s">
        <v>436</v>
      </c>
      <c r="Z40">
        <f>Inputs!P91</f>
        <v>0.5</v>
      </c>
      <c r="AA40" t="s">
        <v>2862</v>
      </c>
      <c r="AB40">
        <f>Inputs!Q91</f>
        <v>0.5</v>
      </c>
      <c r="AC40" t="s">
        <v>3100</v>
      </c>
      <c r="AD40">
        <f>Inputs!R91</f>
        <v>0.5</v>
      </c>
      <c r="AE40" t="s">
        <v>5881</v>
      </c>
      <c r="AF40">
        <f>Inputs!S91</f>
        <v>0.5</v>
      </c>
      <c r="AG40" t="s">
        <v>369</v>
      </c>
      <c r="AH40">
        <f>Inputs!T91</f>
        <v>0.5</v>
      </c>
      <c r="AI40" t="s">
        <v>1497</v>
      </c>
      <c r="AJ40">
        <f>Inputs!U91</f>
        <v>0.5</v>
      </c>
      <c r="AK40" t="s">
        <v>1751</v>
      </c>
      <c r="AL40">
        <f>Inputs!V91</f>
        <v>0.5</v>
      </c>
      <c r="AM40" t="s">
        <v>2200</v>
      </c>
      <c r="AN40">
        <f>Inputs!W91</f>
        <v>0.5</v>
      </c>
      <c r="AO40" t="s">
        <v>4500</v>
      </c>
      <c r="AP40">
        <f>Inputs!F92</f>
        <v>0.5</v>
      </c>
      <c r="AQ40" t="s">
        <v>3203</v>
      </c>
      <c r="AR40">
        <f>Inputs!G92</f>
        <v>0.5</v>
      </c>
      <c r="AS40" t="s">
        <v>1505</v>
      </c>
      <c r="AT40">
        <f>Inputs!H92</f>
        <v>0.5</v>
      </c>
      <c r="AU40" t="s">
        <v>459</v>
      </c>
      <c r="AV40">
        <f>Inputs!I92</f>
        <v>0.5</v>
      </c>
      <c r="AW40" t="s">
        <v>739</v>
      </c>
      <c r="AX40">
        <f>Inputs!J92</f>
        <v>0.5</v>
      </c>
      <c r="AY40" t="s">
        <v>3548</v>
      </c>
      <c r="AZ40">
        <f>Inputs!K92</f>
        <v>0.5</v>
      </c>
      <c r="BA40" t="s">
        <v>3945</v>
      </c>
      <c r="BB40">
        <f>Inputs!L92</f>
        <v>0.5</v>
      </c>
      <c r="BC40" t="s">
        <v>695</v>
      </c>
      <c r="BD40">
        <f>Inputs!M92</f>
        <v>0.5</v>
      </c>
      <c r="BE40" t="s">
        <v>5775</v>
      </c>
      <c r="BF40">
        <f>Inputs!N92</f>
        <v>0.5</v>
      </c>
      <c r="BG40" t="s">
        <v>4796</v>
      </c>
      <c r="BH40">
        <f>Inputs!O92</f>
        <v>0.5</v>
      </c>
      <c r="BI40" t="s">
        <v>4848</v>
      </c>
      <c r="BJ40">
        <f>Inputs!P92</f>
        <v>0.5</v>
      </c>
      <c r="BK40" t="s">
        <v>1401</v>
      </c>
      <c r="BL40">
        <f>Inputs!Q92</f>
        <v>0.5</v>
      </c>
    </row>
    <row r="41" spans="1:64" ht="12.75" customHeight="1" x14ac:dyDescent="0.2">
      <c r="A41" t="s">
        <v>1340</v>
      </c>
      <c r="B41">
        <f>Inputs!R92</f>
        <v>0.5</v>
      </c>
      <c r="C41" t="s">
        <v>5727</v>
      </c>
      <c r="D41">
        <f>Inputs!S92</f>
        <v>0.5</v>
      </c>
      <c r="E41" t="s">
        <v>3637</v>
      </c>
      <c r="F41">
        <f>Inputs!T92</f>
        <v>0.5</v>
      </c>
      <c r="G41" t="s">
        <v>2629</v>
      </c>
      <c r="H41">
        <f>Inputs!U92</f>
        <v>0.5</v>
      </c>
      <c r="I41" t="s">
        <v>2893</v>
      </c>
      <c r="J41">
        <f>Inputs!V92</f>
        <v>0.5</v>
      </c>
      <c r="K41" t="s">
        <v>4384</v>
      </c>
      <c r="L41">
        <f>Inputs!W92</f>
        <v>0.5</v>
      </c>
      <c r="M41" t="s">
        <v>1415</v>
      </c>
      <c r="N41">
        <f>Inputs!F93</f>
        <v>0.5</v>
      </c>
      <c r="O41" t="s">
        <v>2000</v>
      </c>
      <c r="P41">
        <f>Inputs!G93</f>
        <v>0.5</v>
      </c>
      <c r="Q41" t="s">
        <v>2946</v>
      </c>
      <c r="R41">
        <f>Inputs!H93</f>
        <v>0.5</v>
      </c>
      <c r="S41" t="s">
        <v>1575</v>
      </c>
      <c r="T41">
        <f>Inputs!I93</f>
        <v>0.5</v>
      </c>
      <c r="U41" t="s">
        <v>3235</v>
      </c>
      <c r="V41">
        <f>Inputs!J93</f>
        <v>0.5</v>
      </c>
      <c r="W41" t="s">
        <v>685</v>
      </c>
      <c r="X41">
        <f>Inputs!K93</f>
        <v>0.5</v>
      </c>
      <c r="Y41" t="s">
        <v>1631</v>
      </c>
      <c r="Z41">
        <f>Inputs!L93</f>
        <v>0.5</v>
      </c>
      <c r="AA41" t="s">
        <v>4794</v>
      </c>
      <c r="AB41">
        <f>Inputs!M93</f>
        <v>0.5</v>
      </c>
      <c r="AC41" t="s">
        <v>5584</v>
      </c>
      <c r="AD41">
        <f>Inputs!N93</f>
        <v>0.5</v>
      </c>
      <c r="AE41" t="s">
        <v>1818</v>
      </c>
      <c r="AF41">
        <f>Inputs!O93</f>
        <v>0.5</v>
      </c>
      <c r="AG41" t="s">
        <v>4628</v>
      </c>
      <c r="AH41">
        <f>Inputs!P93</f>
        <v>0.5</v>
      </c>
      <c r="AI41" t="s">
        <v>1112</v>
      </c>
      <c r="AJ41">
        <f>Inputs!Q93</f>
        <v>0.5</v>
      </c>
      <c r="AK41" t="s">
        <v>5105</v>
      </c>
      <c r="AL41">
        <f>Inputs!R93</f>
        <v>0.5</v>
      </c>
      <c r="AM41" t="s">
        <v>2586</v>
      </c>
      <c r="AN41">
        <f>Inputs!S93</f>
        <v>0.5</v>
      </c>
      <c r="AO41" t="s">
        <v>3544</v>
      </c>
      <c r="AP41">
        <f>Inputs!T93</f>
        <v>0.5</v>
      </c>
      <c r="AQ41" t="s">
        <v>3057</v>
      </c>
      <c r="AR41">
        <f>Inputs!U93</f>
        <v>0.5</v>
      </c>
      <c r="AS41" t="s">
        <v>3840</v>
      </c>
      <c r="AT41">
        <f>Inputs!V93</f>
        <v>0.5</v>
      </c>
      <c r="AU41" t="s">
        <v>1279</v>
      </c>
      <c r="AV41">
        <f>Inputs!W93</f>
        <v>0.5</v>
      </c>
      <c r="AW41" t="s">
        <v>1633</v>
      </c>
      <c r="AX41">
        <f>Inputs!F94</f>
        <v>0.5</v>
      </c>
      <c r="AY41" t="s">
        <v>5764</v>
      </c>
      <c r="AZ41">
        <f>Inputs!G94</f>
        <v>0.5</v>
      </c>
      <c r="BA41" t="s">
        <v>5357</v>
      </c>
      <c r="BB41">
        <f>Inputs!H94</f>
        <v>0.5</v>
      </c>
      <c r="BC41" t="s">
        <v>4078</v>
      </c>
      <c r="BD41">
        <f>Inputs!I94</f>
        <v>0.5</v>
      </c>
      <c r="BE41" t="s">
        <v>4360</v>
      </c>
      <c r="BF41">
        <f>Inputs!J94</f>
        <v>0.5</v>
      </c>
      <c r="BG41" t="s">
        <v>2320</v>
      </c>
      <c r="BH41">
        <f>Inputs!K94</f>
        <v>0.5</v>
      </c>
      <c r="BI41" t="s">
        <v>2736</v>
      </c>
      <c r="BJ41">
        <f>Inputs!L94</f>
        <v>0.5</v>
      </c>
      <c r="BK41" t="s">
        <v>4273</v>
      </c>
      <c r="BL41">
        <f>Inputs!M94</f>
        <v>0.5</v>
      </c>
    </row>
    <row r="42" spans="1:64" ht="12.75" customHeight="1" x14ac:dyDescent="0.2">
      <c r="A42" t="s">
        <v>4530</v>
      </c>
      <c r="B42">
        <f>Inputs!N94</f>
        <v>0.5</v>
      </c>
      <c r="C42" t="s">
        <v>2956</v>
      </c>
      <c r="D42">
        <f>Inputs!O94</f>
        <v>0.5</v>
      </c>
      <c r="E42" t="s">
        <v>2964</v>
      </c>
      <c r="F42">
        <f>Inputs!P94</f>
        <v>0.5</v>
      </c>
      <c r="G42" t="s">
        <v>5422</v>
      </c>
      <c r="H42">
        <f>Inputs!Q94</f>
        <v>0.5</v>
      </c>
      <c r="I42" t="s">
        <v>2085</v>
      </c>
      <c r="J42">
        <f>Inputs!R94</f>
        <v>0.5</v>
      </c>
      <c r="K42" t="s">
        <v>40</v>
      </c>
      <c r="L42">
        <f>Inputs!S94</f>
        <v>0.5</v>
      </c>
      <c r="M42" t="s">
        <v>1978</v>
      </c>
      <c r="N42">
        <f>Inputs!T94</f>
        <v>0.5</v>
      </c>
      <c r="O42" t="s">
        <v>4253</v>
      </c>
      <c r="P42">
        <f>Inputs!U94</f>
        <v>0.5</v>
      </c>
      <c r="Q42" t="s">
        <v>4514</v>
      </c>
      <c r="R42">
        <f>Inputs!V94</f>
        <v>0.5</v>
      </c>
      <c r="S42" t="s">
        <v>2486</v>
      </c>
      <c r="T42">
        <f>Inputs!W94</f>
        <v>0.5</v>
      </c>
      <c r="U42" t="s">
        <v>5292</v>
      </c>
      <c r="V42">
        <f>Inputs!F95</f>
        <v>0.5</v>
      </c>
      <c r="W42" t="s">
        <v>4664</v>
      </c>
      <c r="X42">
        <f>Inputs!G95</f>
        <v>0.5</v>
      </c>
      <c r="Y42" t="s">
        <v>5257</v>
      </c>
      <c r="Z42">
        <f>Inputs!H95</f>
        <v>0.5</v>
      </c>
      <c r="AA42" t="s">
        <v>276</v>
      </c>
      <c r="AB42">
        <f>Inputs!I95</f>
        <v>0.5</v>
      </c>
      <c r="AC42" t="s">
        <v>15</v>
      </c>
      <c r="AD42">
        <f>Inputs!J95</f>
        <v>0.5</v>
      </c>
      <c r="AE42" t="s">
        <v>3386</v>
      </c>
      <c r="AF42">
        <f>Inputs!K95</f>
        <v>0.5</v>
      </c>
      <c r="AG42" t="s">
        <v>3779</v>
      </c>
      <c r="AH42">
        <f>Inputs!L95</f>
        <v>0.5</v>
      </c>
      <c r="AI42" t="s">
        <v>2674</v>
      </c>
      <c r="AJ42">
        <f>Inputs!M95</f>
        <v>0.5</v>
      </c>
      <c r="AK42" t="s">
        <v>2939</v>
      </c>
      <c r="AL42">
        <f>Inputs!N95</f>
        <v>0.5</v>
      </c>
      <c r="AM42" t="s">
        <v>1467</v>
      </c>
      <c r="AN42">
        <f>Inputs!O95</f>
        <v>0.5</v>
      </c>
      <c r="AO42" t="s">
        <v>1517</v>
      </c>
      <c r="AP42">
        <f>Inputs!P95</f>
        <v>0.5</v>
      </c>
      <c r="AQ42" t="s">
        <v>3898</v>
      </c>
      <c r="AR42">
        <f>Inputs!Q95</f>
        <v>0.5</v>
      </c>
      <c r="AS42" t="s">
        <v>3883</v>
      </c>
      <c r="AT42">
        <f>Inputs!R95</f>
        <v>0.5</v>
      </c>
      <c r="AU42" t="s">
        <v>787</v>
      </c>
      <c r="AV42">
        <f>Inputs!S95</f>
        <v>0.5</v>
      </c>
      <c r="AW42" t="s">
        <v>1193</v>
      </c>
      <c r="AX42">
        <f>Inputs!T95</f>
        <v>0.5</v>
      </c>
      <c r="AY42" t="s">
        <v>2297</v>
      </c>
      <c r="AZ42">
        <f>Inputs!U95</f>
        <v>0.5</v>
      </c>
      <c r="BA42" t="s">
        <v>1372</v>
      </c>
      <c r="BB42">
        <f>Inputs!V95</f>
        <v>0.5</v>
      </c>
      <c r="BC42" t="s">
        <v>5341</v>
      </c>
      <c r="BD42">
        <f>Inputs!W95</f>
        <v>0.5</v>
      </c>
      <c r="BE42" t="s">
        <v>932</v>
      </c>
      <c r="BF42">
        <f>Inputs!F96</f>
        <v>0.5</v>
      </c>
      <c r="BG42" t="s">
        <v>3067</v>
      </c>
      <c r="BH42">
        <f>Inputs!G96</f>
        <v>0.5</v>
      </c>
      <c r="BI42" t="s">
        <v>1456</v>
      </c>
      <c r="BJ42">
        <f>Inputs!H96</f>
        <v>0.5</v>
      </c>
      <c r="BK42" t="s">
        <v>4400</v>
      </c>
      <c r="BL42">
        <f>Inputs!I96</f>
        <v>0.5</v>
      </c>
    </row>
    <row r="43" spans="1:64" ht="12.75" customHeight="1" x14ac:dyDescent="0.2">
      <c r="A43" t="s">
        <v>1826</v>
      </c>
      <c r="B43">
        <f>Inputs!J96</f>
        <v>0.5</v>
      </c>
      <c r="C43" t="s">
        <v>2783</v>
      </c>
      <c r="D43">
        <f>Inputs!K96</f>
        <v>0.5</v>
      </c>
      <c r="E43" t="s">
        <v>1169</v>
      </c>
      <c r="F43">
        <f>Inputs!L96</f>
        <v>0.5</v>
      </c>
      <c r="G43" t="s">
        <v>5681</v>
      </c>
      <c r="H43">
        <f>Inputs!M96</f>
        <v>0.5</v>
      </c>
      <c r="I43" t="s">
        <v>3137</v>
      </c>
      <c r="J43">
        <f>Inputs!N96</f>
        <v>0.5</v>
      </c>
      <c r="K43" t="s">
        <v>2526</v>
      </c>
      <c r="L43">
        <f>Inputs!O96</f>
        <v>0.5</v>
      </c>
      <c r="M43" t="s">
        <v>1735</v>
      </c>
      <c r="N43">
        <f>Inputs!P96</f>
        <v>0.5</v>
      </c>
      <c r="O43" t="s">
        <v>3163</v>
      </c>
      <c r="P43">
        <f>Inputs!Q96</f>
        <v>0.5</v>
      </c>
      <c r="Q43" t="s">
        <v>3977</v>
      </c>
      <c r="R43">
        <f>Inputs!R96</f>
        <v>0.5</v>
      </c>
      <c r="S43" t="s">
        <v>3278</v>
      </c>
      <c r="T43">
        <f>Inputs!S96</f>
        <v>0.5</v>
      </c>
      <c r="U43" t="s">
        <v>3376</v>
      </c>
      <c r="V43">
        <f>Inputs!T96</f>
        <v>0.5</v>
      </c>
      <c r="W43" t="s">
        <v>1993</v>
      </c>
      <c r="X43">
        <f>Inputs!U96</f>
        <v>0.5</v>
      </c>
      <c r="Y43" t="s">
        <v>5295</v>
      </c>
      <c r="Z43">
        <f>Inputs!V96</f>
        <v>0.5</v>
      </c>
      <c r="AA43" t="s">
        <v>323</v>
      </c>
      <c r="AB43">
        <f>Inputs!W96</f>
        <v>0.5</v>
      </c>
      <c r="AC43" t="s">
        <v>3816</v>
      </c>
      <c r="AD43">
        <f>Inputs!F97</f>
        <v>0.5</v>
      </c>
      <c r="AE43" t="s">
        <v>5155</v>
      </c>
      <c r="AF43">
        <f>Inputs!G97</f>
        <v>0.5</v>
      </c>
      <c r="AG43" t="s">
        <v>1211</v>
      </c>
      <c r="AH43">
        <f>Inputs!H97</f>
        <v>0.5</v>
      </c>
      <c r="AI43" t="s">
        <v>1884</v>
      </c>
      <c r="AJ43">
        <f>Inputs!I97</f>
        <v>0.5</v>
      </c>
      <c r="AK43" t="s">
        <v>2118</v>
      </c>
      <c r="AL43">
        <f>Inputs!J97</f>
        <v>0.5</v>
      </c>
      <c r="AM43" t="s">
        <v>2520</v>
      </c>
      <c r="AN43">
        <f>Inputs!K97</f>
        <v>0.5</v>
      </c>
      <c r="AO43" t="s">
        <v>353</v>
      </c>
      <c r="AP43">
        <f>Inputs!L97</f>
        <v>0.5</v>
      </c>
      <c r="AQ43" t="s">
        <v>5728</v>
      </c>
      <c r="AR43">
        <f>Inputs!M97</f>
        <v>0.5</v>
      </c>
      <c r="AS43" t="s">
        <v>3438</v>
      </c>
      <c r="AT43">
        <f>Inputs!N97</f>
        <v>0.5</v>
      </c>
      <c r="AU43" t="s">
        <v>1361</v>
      </c>
      <c r="AV43">
        <f>Inputs!O97</f>
        <v>0.5</v>
      </c>
      <c r="AW43" t="s">
        <v>4492</v>
      </c>
      <c r="AX43">
        <f>Inputs!P97</f>
        <v>0.5</v>
      </c>
      <c r="AY43" t="s">
        <v>5885</v>
      </c>
      <c r="AZ43">
        <f>Inputs!Q97</f>
        <v>0.5</v>
      </c>
      <c r="BA43" t="s">
        <v>1200</v>
      </c>
      <c r="BB43">
        <f>Inputs!R97</f>
        <v>0.5</v>
      </c>
      <c r="BC43" t="s">
        <v>1603</v>
      </c>
      <c r="BD43">
        <f>Inputs!S97</f>
        <v>0.5</v>
      </c>
      <c r="BE43" t="s">
        <v>5356</v>
      </c>
      <c r="BF43">
        <f>Inputs!T97</f>
        <v>0.5</v>
      </c>
      <c r="BG43" t="s">
        <v>5883</v>
      </c>
      <c r="BH43">
        <f>Inputs!U97</f>
        <v>0.5</v>
      </c>
      <c r="BI43" t="s">
        <v>4682</v>
      </c>
      <c r="BJ43">
        <f>Inputs!V97</f>
        <v>0.5</v>
      </c>
      <c r="BK43" t="s">
        <v>5069</v>
      </c>
      <c r="BL43">
        <f>Inputs!W97</f>
        <v>0.5</v>
      </c>
    </row>
    <row r="44" spans="1:64" ht="12.75" customHeight="1" x14ac:dyDescent="0.2">
      <c r="A44" t="s">
        <v>1410</v>
      </c>
      <c r="B44">
        <f>Inputs!F98</f>
        <v>0.5</v>
      </c>
      <c r="C44" t="s">
        <v>963</v>
      </c>
      <c r="D44">
        <f>Inputs!G98</f>
        <v>0.5</v>
      </c>
      <c r="E44" t="s">
        <v>4721</v>
      </c>
      <c r="F44">
        <f>Inputs!H98</f>
        <v>0.5</v>
      </c>
      <c r="G44" t="s">
        <v>4959</v>
      </c>
      <c r="H44">
        <f>Inputs!I98</f>
        <v>0.5</v>
      </c>
      <c r="I44" t="s">
        <v>4955</v>
      </c>
      <c r="J44">
        <f>Inputs!J98</f>
        <v>0.5</v>
      </c>
      <c r="K44" t="s">
        <v>2303</v>
      </c>
      <c r="L44">
        <f>Inputs!K98</f>
        <v>0.5</v>
      </c>
      <c r="M44" t="s">
        <v>134</v>
      </c>
      <c r="N44">
        <f>Inputs!L98</f>
        <v>0.5</v>
      </c>
      <c r="O44" t="s">
        <v>399</v>
      </c>
      <c r="P44">
        <f>Inputs!M98</f>
        <v>0.5</v>
      </c>
      <c r="Q44" t="s">
        <v>3240</v>
      </c>
      <c r="R44">
        <f>Inputs!N98</f>
        <v>0.5</v>
      </c>
      <c r="S44" t="s">
        <v>2691</v>
      </c>
      <c r="T44">
        <f>Inputs!O98</f>
        <v>0.5</v>
      </c>
      <c r="U44" t="s">
        <v>2739</v>
      </c>
      <c r="V44">
        <f>Inputs!P98</f>
        <v>0.5</v>
      </c>
      <c r="W44" t="s">
        <v>4123</v>
      </c>
      <c r="X44">
        <f>Inputs!Q98</f>
        <v>0.5</v>
      </c>
      <c r="Y44" t="s">
        <v>1857</v>
      </c>
      <c r="Z44">
        <f>Inputs!R98</f>
        <v>0.5</v>
      </c>
      <c r="AA44" t="s">
        <v>2229</v>
      </c>
      <c r="AB44">
        <f>Inputs!S98</f>
        <v>0.5</v>
      </c>
      <c r="AC44" t="s">
        <v>3508</v>
      </c>
      <c r="AD44">
        <f>Inputs!T98</f>
        <v>0.5</v>
      </c>
      <c r="AE44" t="s">
        <v>312</v>
      </c>
      <c r="AF44">
        <f>Inputs!U98</f>
        <v>0.5</v>
      </c>
      <c r="AG44" t="s">
        <v>3154</v>
      </c>
      <c r="AH44">
        <f>Inputs!V98</f>
        <v>0.5</v>
      </c>
      <c r="AI44" t="s">
        <v>3558</v>
      </c>
      <c r="AJ44">
        <f>Inputs!W98</f>
        <v>0.5</v>
      </c>
      <c r="AK44" t="s">
        <v>5004</v>
      </c>
      <c r="AL44">
        <f>Inputs!F99</f>
        <v>0.5</v>
      </c>
      <c r="AM44" t="s">
        <v>3502</v>
      </c>
      <c r="AN44">
        <f>Inputs!G99</f>
        <v>0.5</v>
      </c>
      <c r="AO44" t="s">
        <v>1363</v>
      </c>
      <c r="AP44">
        <f>Inputs!H99</f>
        <v>0.5</v>
      </c>
      <c r="AQ44" t="s">
        <v>5338</v>
      </c>
      <c r="AR44">
        <f>Inputs!I99</f>
        <v>0.5</v>
      </c>
      <c r="AS44" t="s">
        <v>2256</v>
      </c>
      <c r="AT44">
        <f>Inputs!J99</f>
        <v>0.5</v>
      </c>
      <c r="AU44" t="s">
        <v>2678</v>
      </c>
      <c r="AV44">
        <f>Inputs!K99</f>
        <v>0.5</v>
      </c>
      <c r="AW44" t="s">
        <v>510</v>
      </c>
      <c r="AX44">
        <f>Inputs!L99</f>
        <v>0.5</v>
      </c>
      <c r="AY44" t="s">
        <v>2935</v>
      </c>
      <c r="AZ44">
        <f>Inputs!M99</f>
        <v>0.5</v>
      </c>
      <c r="BA44" t="s">
        <v>5701</v>
      </c>
      <c r="BB44">
        <f>Inputs!N99</f>
        <v>0.5</v>
      </c>
      <c r="BC44" t="s">
        <v>2832</v>
      </c>
      <c r="BD44">
        <f>Inputs!O99</f>
        <v>0.5</v>
      </c>
      <c r="BE44" t="s">
        <v>2886</v>
      </c>
      <c r="BF44">
        <f>Inputs!P99</f>
        <v>0.5</v>
      </c>
      <c r="BG44" t="s">
        <v>4278</v>
      </c>
      <c r="BH44">
        <f>Inputs!Q99</f>
        <v>0.5</v>
      </c>
      <c r="BI44" t="s">
        <v>2677</v>
      </c>
      <c r="BJ44">
        <f>Inputs!R99</f>
        <v>0.5</v>
      </c>
      <c r="BK44" t="s">
        <v>3081</v>
      </c>
      <c r="BL44">
        <f>Inputs!S99</f>
        <v>0.5</v>
      </c>
    </row>
    <row r="45" spans="1:64" ht="12.75" customHeight="1" x14ac:dyDescent="0.2">
      <c r="A45" t="s">
        <v>931</v>
      </c>
      <c r="B45">
        <f>Inputs!T99</f>
        <v>0.5</v>
      </c>
      <c r="C45" t="s">
        <v>3319</v>
      </c>
      <c r="D45">
        <f>Inputs!U99</f>
        <v>0.5</v>
      </c>
      <c r="E45" t="s">
        <v>184</v>
      </c>
      <c r="F45">
        <f>Inputs!V99</f>
        <v>0.5</v>
      </c>
      <c r="G45" t="s">
        <v>603</v>
      </c>
      <c r="H45">
        <f>Inputs!W99</f>
        <v>0.5</v>
      </c>
      <c r="I45" t="s">
        <v>4064</v>
      </c>
      <c r="J45">
        <f>Inputs!F100</f>
        <v>0.5</v>
      </c>
      <c r="K45" t="s">
        <v>2287</v>
      </c>
      <c r="L45">
        <f>Inputs!G100</f>
        <v>0.5</v>
      </c>
      <c r="M45" t="s">
        <v>3350</v>
      </c>
      <c r="N45">
        <f>Inputs!H100</f>
        <v>0.5</v>
      </c>
      <c r="O45" t="s">
        <v>3071</v>
      </c>
      <c r="P45">
        <f>Inputs!I100</f>
        <v>0.5</v>
      </c>
      <c r="Q45" t="s">
        <v>969</v>
      </c>
      <c r="R45">
        <f>Inputs!J100</f>
        <v>0.5</v>
      </c>
      <c r="S45" t="s">
        <v>4573</v>
      </c>
      <c r="T45">
        <f>Inputs!K100</f>
        <v>0.5</v>
      </c>
      <c r="U45" t="s">
        <v>5614</v>
      </c>
      <c r="V45">
        <f>Inputs!L100</f>
        <v>0.5</v>
      </c>
      <c r="W45" t="s">
        <v>3185</v>
      </c>
      <c r="X45">
        <f>Inputs!M100</f>
        <v>0.5</v>
      </c>
      <c r="Y45" t="s">
        <v>3283</v>
      </c>
      <c r="Z45">
        <f>Inputs!N100</f>
        <v>0.5</v>
      </c>
      <c r="AA45" t="s">
        <v>3177</v>
      </c>
      <c r="AB45">
        <f>Inputs!O100</f>
        <v>0.5</v>
      </c>
      <c r="AC45" t="s">
        <v>3231</v>
      </c>
      <c r="AD45">
        <f>Inputs!P100</f>
        <v>0.5</v>
      </c>
      <c r="AE45" t="s">
        <v>5863</v>
      </c>
      <c r="AF45">
        <f>Inputs!Q100</f>
        <v>0.5</v>
      </c>
      <c r="AG45" t="s">
        <v>4318</v>
      </c>
      <c r="AH45">
        <f>Inputs!R100</f>
        <v>0.5</v>
      </c>
      <c r="AI45" t="s">
        <v>2029</v>
      </c>
      <c r="AJ45">
        <f>Inputs!S100</f>
        <v>0.5</v>
      </c>
      <c r="AK45" t="s">
        <v>3084</v>
      </c>
      <c r="AL45">
        <f>Inputs!T100</f>
        <v>0.5</v>
      </c>
      <c r="AM45" t="s">
        <v>605</v>
      </c>
      <c r="AN45">
        <f>Inputs!U100</f>
        <v>0.5</v>
      </c>
      <c r="AO45" t="s">
        <v>3261</v>
      </c>
      <c r="AP45">
        <f>Inputs!V100</f>
        <v>0.5</v>
      </c>
      <c r="AQ45" t="s">
        <v>4311</v>
      </c>
      <c r="AR45">
        <f>Inputs!W100</f>
        <v>0.5</v>
      </c>
      <c r="AS45" t="s">
        <v>972</v>
      </c>
      <c r="AT45">
        <f>Inputs!F101</f>
        <v>0.5</v>
      </c>
      <c r="AU45" t="s">
        <v>766</v>
      </c>
      <c r="AV45">
        <f>Inputs!G101</f>
        <v>0.5</v>
      </c>
      <c r="AW45" t="s">
        <v>1888</v>
      </c>
      <c r="AX45">
        <f>Inputs!H101</f>
        <v>0.5</v>
      </c>
      <c r="AY45" t="s">
        <v>5355</v>
      </c>
      <c r="AZ45">
        <f>Inputs!I101</f>
        <v>0.5</v>
      </c>
      <c r="BA45" t="s">
        <v>5492</v>
      </c>
      <c r="BB45">
        <f>Inputs!J101</f>
        <v>0.5</v>
      </c>
      <c r="BC45" t="s">
        <v>1931</v>
      </c>
      <c r="BD45">
        <f>Inputs!K101</f>
        <v>0.5</v>
      </c>
      <c r="BE45" t="s">
        <v>4369</v>
      </c>
      <c r="BF45">
        <f>Inputs!L101</f>
        <v>0.5</v>
      </c>
      <c r="BG45" t="s">
        <v>1963</v>
      </c>
      <c r="BH45">
        <f>Inputs!M101</f>
        <v>0.5</v>
      </c>
      <c r="BI45" t="s">
        <v>2113</v>
      </c>
      <c r="BJ45">
        <f>Inputs!N101</f>
        <v>0.5</v>
      </c>
      <c r="BK45" t="s">
        <v>4026</v>
      </c>
      <c r="BL45">
        <f>Inputs!O101</f>
        <v>0.5</v>
      </c>
    </row>
    <row r="46" spans="1:64" ht="12.75" customHeight="1" x14ac:dyDescent="0.2">
      <c r="A46" t="s">
        <v>4481</v>
      </c>
      <c r="B46">
        <f>Inputs!P101</f>
        <v>0.5</v>
      </c>
      <c r="C46" t="s">
        <v>2902</v>
      </c>
      <c r="D46">
        <f>Inputs!Q101</f>
        <v>0.5</v>
      </c>
      <c r="E46" t="s">
        <v>1248</v>
      </c>
      <c r="F46">
        <f>Inputs!R101</f>
        <v>0.5</v>
      </c>
      <c r="G46" t="s">
        <v>4863</v>
      </c>
      <c r="H46">
        <f>Inputs!S101</f>
        <v>0.5</v>
      </c>
      <c r="I46" t="s">
        <v>59</v>
      </c>
      <c r="J46">
        <f>Inputs!T101</f>
        <v>0.5</v>
      </c>
      <c r="K46" t="s">
        <v>2382</v>
      </c>
      <c r="L46">
        <f>Inputs!U101</f>
        <v>0.5</v>
      </c>
      <c r="M46" t="s">
        <v>3685</v>
      </c>
      <c r="N46">
        <f>Inputs!V101</f>
        <v>0.5</v>
      </c>
      <c r="O46" t="s">
        <v>1477</v>
      </c>
      <c r="P46">
        <f>Inputs!W101</f>
        <v>0.5</v>
      </c>
      <c r="Q46" t="s">
        <v>1242</v>
      </c>
      <c r="R46">
        <f>Inputs!F102</f>
        <v>0.5</v>
      </c>
      <c r="S46" t="s">
        <v>609</v>
      </c>
      <c r="T46">
        <f>Inputs!G102</f>
        <v>0.5</v>
      </c>
      <c r="U46" t="s">
        <v>1676</v>
      </c>
      <c r="V46">
        <f>Inputs!H102</f>
        <v>0.5</v>
      </c>
      <c r="W46" t="s">
        <v>296</v>
      </c>
      <c r="X46">
        <f>Inputs!I102</f>
        <v>0.5</v>
      </c>
      <c r="Y46" t="s">
        <v>5097</v>
      </c>
      <c r="Z46">
        <f>Inputs!J102</f>
        <v>0.5</v>
      </c>
      <c r="AA46" t="s">
        <v>2941</v>
      </c>
      <c r="AB46">
        <f>Inputs!K102</f>
        <v>0.5</v>
      </c>
      <c r="AC46" t="s">
        <v>3970</v>
      </c>
      <c r="AD46">
        <f>Inputs!L102</f>
        <v>0.5</v>
      </c>
      <c r="AE46" t="s">
        <v>1431</v>
      </c>
      <c r="AF46">
        <f>Inputs!M102</f>
        <v>0.5</v>
      </c>
      <c r="AG46" t="s">
        <v>2837</v>
      </c>
      <c r="AH46">
        <f>Inputs!N102</f>
        <v>0.5</v>
      </c>
      <c r="AI46" t="s">
        <v>851</v>
      </c>
      <c r="AJ46">
        <f>Inputs!O102</f>
        <v>0.5</v>
      </c>
      <c r="AK46" t="s">
        <v>863</v>
      </c>
      <c r="AL46">
        <f>Inputs!P102</f>
        <v>0.5</v>
      </c>
      <c r="AM46" t="s">
        <v>3568</v>
      </c>
      <c r="AN46">
        <f>Inputs!Q102</f>
        <v>0.5</v>
      </c>
      <c r="AO46" t="s">
        <v>3149</v>
      </c>
      <c r="AP46">
        <f>Inputs!R102</f>
        <v>0.5</v>
      </c>
      <c r="AQ46" t="s">
        <v>930</v>
      </c>
      <c r="AR46">
        <f>Inputs!S102</f>
        <v>0.5</v>
      </c>
      <c r="AS46" t="s">
        <v>2001</v>
      </c>
      <c r="AT46">
        <f>Inputs!T102</f>
        <v>0.5</v>
      </c>
      <c r="AU46" t="s">
        <v>5325</v>
      </c>
      <c r="AV46">
        <f>Inputs!U102</f>
        <v>0.5</v>
      </c>
      <c r="AW46" t="s">
        <v>5416</v>
      </c>
      <c r="AX46">
        <f>Inputs!V102</f>
        <v>0.5</v>
      </c>
      <c r="AY46" t="s">
        <v>3241</v>
      </c>
      <c r="AZ46">
        <f>Inputs!W102</f>
        <v>0.5</v>
      </c>
      <c r="BA46" t="s">
        <v>736</v>
      </c>
      <c r="BB46">
        <f>Inputs!F103</f>
        <v>0.5</v>
      </c>
      <c r="BC46" t="s">
        <v>611</v>
      </c>
      <c r="BD46">
        <f>Inputs!G103</f>
        <v>0.5</v>
      </c>
      <c r="BE46" t="s">
        <v>865</v>
      </c>
      <c r="BF46">
        <f>Inputs!H103</f>
        <v>0.5</v>
      </c>
      <c r="BG46" t="s">
        <v>5795</v>
      </c>
      <c r="BH46">
        <f>Inputs!I103</f>
        <v>0.5</v>
      </c>
      <c r="BI46" t="s">
        <v>4589</v>
      </c>
      <c r="BJ46">
        <f>Inputs!J103</f>
        <v>0.5</v>
      </c>
      <c r="BK46" t="s">
        <v>2298</v>
      </c>
      <c r="BL46">
        <f>Inputs!K103</f>
        <v>0.5</v>
      </c>
    </row>
    <row r="47" spans="1:64" ht="12.75" customHeight="1" x14ac:dyDescent="0.2">
      <c r="A47" t="s">
        <v>3365</v>
      </c>
      <c r="B47">
        <f>Inputs!L103</f>
        <v>0.5</v>
      </c>
      <c r="C47" t="s">
        <v>1039</v>
      </c>
      <c r="D47">
        <f>Inputs!M103</f>
        <v>0.5</v>
      </c>
      <c r="E47" t="s">
        <v>1134</v>
      </c>
      <c r="F47">
        <f>Inputs!N103</f>
        <v>0.5</v>
      </c>
      <c r="G47" t="s">
        <v>1233</v>
      </c>
      <c r="H47">
        <f>Inputs!O103</f>
        <v>0.5</v>
      </c>
      <c r="I47" t="s">
        <v>1296</v>
      </c>
      <c r="J47">
        <f>Inputs!P103</f>
        <v>0.5</v>
      </c>
      <c r="K47" t="s">
        <v>1139</v>
      </c>
      <c r="L47">
        <f>Inputs!Q103</f>
        <v>0.5</v>
      </c>
      <c r="M47" t="s">
        <v>850</v>
      </c>
      <c r="N47">
        <f>Inputs!R103</f>
        <v>0.5</v>
      </c>
      <c r="O47" t="s">
        <v>4458</v>
      </c>
      <c r="P47">
        <f>Inputs!S103</f>
        <v>0.5</v>
      </c>
      <c r="Q47" t="s">
        <v>5495</v>
      </c>
      <c r="R47">
        <f>Inputs!T103</f>
        <v>0.5</v>
      </c>
      <c r="S47" t="s">
        <v>3259</v>
      </c>
      <c r="T47">
        <f>Inputs!U103</f>
        <v>0.5</v>
      </c>
      <c r="U47" t="s">
        <v>3351</v>
      </c>
      <c r="V47">
        <f>Inputs!V103</f>
        <v>0.5</v>
      </c>
      <c r="W47" t="s">
        <v>1034</v>
      </c>
      <c r="X47">
        <f>Inputs!W103</f>
        <v>0.5</v>
      </c>
      <c r="Y47" t="s">
        <v>2703</v>
      </c>
      <c r="Z47">
        <f>Inputs!F105</f>
        <v>0.3</v>
      </c>
      <c r="AA47" t="s">
        <v>779</v>
      </c>
      <c r="AB47">
        <f>Inputs!G105</f>
        <v>0.3</v>
      </c>
      <c r="AC47" t="s">
        <v>514</v>
      </c>
      <c r="AD47">
        <f>Inputs!H105</f>
        <v>0.3</v>
      </c>
      <c r="AE47" t="s">
        <v>4893</v>
      </c>
      <c r="AF47">
        <f>Inputs!I105</f>
        <v>0.3</v>
      </c>
      <c r="AG47" t="s">
        <v>4720</v>
      </c>
      <c r="AH47">
        <f>Inputs!J105</f>
        <v>0.3</v>
      </c>
      <c r="AI47" t="s">
        <v>2083</v>
      </c>
      <c r="AJ47">
        <f>Inputs!K105</f>
        <v>0.3</v>
      </c>
      <c r="AK47" t="s">
        <v>2481</v>
      </c>
      <c r="AL47">
        <f>Inputs!L105</f>
        <v>0.3</v>
      </c>
      <c r="AM47" t="s">
        <v>1926</v>
      </c>
      <c r="AN47">
        <f>Inputs!M105</f>
        <v>0.3</v>
      </c>
      <c r="AO47" t="s">
        <v>4513</v>
      </c>
      <c r="AP47">
        <f>Inputs!N105</f>
        <v>0.3</v>
      </c>
      <c r="AQ47" t="s">
        <v>4567</v>
      </c>
      <c r="AR47">
        <f>Inputs!O105</f>
        <v>0.3</v>
      </c>
      <c r="AS47" t="s">
        <v>3159</v>
      </c>
      <c r="AT47">
        <f>Inputs!P105</f>
        <v>0.3</v>
      </c>
      <c r="AU47" t="s">
        <v>1295</v>
      </c>
      <c r="AV47">
        <f>Inputs!Q105</f>
        <v>0.3</v>
      </c>
      <c r="AW47" t="s">
        <v>4575</v>
      </c>
      <c r="AX47">
        <f>Inputs!R105</f>
        <v>0.3</v>
      </c>
      <c r="AY47" t="s">
        <v>4662</v>
      </c>
      <c r="AZ47">
        <f>Inputs!S105</f>
        <v>0.3</v>
      </c>
      <c r="BA47" t="s">
        <v>1753</v>
      </c>
      <c r="BB47">
        <f>Inputs!T105</f>
        <v>0.3</v>
      </c>
      <c r="BC47" t="s">
        <v>1573</v>
      </c>
      <c r="BD47">
        <f>Inputs!U105</f>
        <v>0.3</v>
      </c>
      <c r="BE47" t="s">
        <v>2653</v>
      </c>
      <c r="BF47">
        <f>Inputs!V105</f>
        <v>0.3</v>
      </c>
      <c r="BG47" t="s">
        <v>621</v>
      </c>
      <c r="BH47">
        <f>Inputs!W105</f>
        <v>0.3</v>
      </c>
      <c r="BI47" t="s">
        <v>1259</v>
      </c>
      <c r="BJ47">
        <f>Inputs!F106</f>
        <v>0.3</v>
      </c>
      <c r="BK47" t="s">
        <v>2562</v>
      </c>
      <c r="BL47">
        <f>Inputs!G106</f>
        <v>0.3</v>
      </c>
    </row>
    <row r="48" spans="1:64" ht="12.75" customHeight="1" x14ac:dyDescent="0.2">
      <c r="A48" t="s">
        <v>5480</v>
      </c>
      <c r="B48">
        <f>Inputs!H106</f>
        <v>0.3</v>
      </c>
      <c r="C48" t="s">
        <v>5293</v>
      </c>
      <c r="D48">
        <f>Inputs!I106</f>
        <v>0.3</v>
      </c>
      <c r="E48" t="s">
        <v>502</v>
      </c>
      <c r="F48">
        <f>Inputs!J106</f>
        <v>0.3</v>
      </c>
      <c r="G48" t="s">
        <v>3712</v>
      </c>
      <c r="H48">
        <f>Inputs!K106</f>
        <v>0.3</v>
      </c>
      <c r="I48" t="s">
        <v>4106</v>
      </c>
      <c r="J48">
        <f>Inputs!L106</f>
        <v>0.3</v>
      </c>
      <c r="K48" t="s">
        <v>3563</v>
      </c>
      <c r="L48">
        <f>Inputs!M106</f>
        <v>0.3</v>
      </c>
      <c r="M48" t="s">
        <v>224</v>
      </c>
      <c r="N48">
        <f>Inputs!N106</f>
        <v>0.3</v>
      </c>
      <c r="O48" t="s">
        <v>604</v>
      </c>
      <c r="P48">
        <f>Inputs!O106</f>
        <v>0.3</v>
      </c>
      <c r="Q48" t="s">
        <v>4732</v>
      </c>
      <c r="R48">
        <f>Inputs!P106</f>
        <v>0.3</v>
      </c>
      <c r="S48" t="s">
        <v>3243</v>
      </c>
      <c r="T48">
        <f>Inputs!Q106</f>
        <v>0.3</v>
      </c>
      <c r="U48" t="s">
        <v>4086</v>
      </c>
      <c r="V48">
        <f>Inputs!R106</f>
        <v>0.3</v>
      </c>
      <c r="W48" t="s">
        <v>4764</v>
      </c>
      <c r="X48">
        <f>Inputs!S106</f>
        <v>0.3</v>
      </c>
      <c r="Y48" t="s">
        <v>1835</v>
      </c>
      <c r="Z48">
        <f>Inputs!T106</f>
        <v>0.3</v>
      </c>
      <c r="AA48" t="s">
        <v>1648</v>
      </c>
      <c r="AB48">
        <f>Inputs!U106</f>
        <v>0.3</v>
      </c>
      <c r="AC48" t="s">
        <v>2771</v>
      </c>
      <c r="AD48">
        <f>Inputs!V106</f>
        <v>0.3</v>
      </c>
      <c r="AE48" t="s">
        <v>9</v>
      </c>
      <c r="AF48">
        <f>Inputs!W106</f>
        <v>0.3</v>
      </c>
      <c r="AG48" t="s">
        <v>2284</v>
      </c>
      <c r="AH48">
        <f>Inputs!F107</f>
        <v>0.3</v>
      </c>
      <c r="AI48" t="s">
        <v>4028</v>
      </c>
      <c r="AJ48">
        <f>Inputs!G107</f>
        <v>0.3</v>
      </c>
      <c r="AK48" t="s">
        <v>1891</v>
      </c>
      <c r="AL48">
        <f>Inputs!H107</f>
        <v>0.3</v>
      </c>
      <c r="AM48" t="s">
        <v>2322</v>
      </c>
      <c r="AN48">
        <f>Inputs!I107</f>
        <v>0.3</v>
      </c>
      <c r="AO48" t="s">
        <v>4124</v>
      </c>
      <c r="AP48">
        <f>Inputs!J107</f>
        <v>0.3</v>
      </c>
      <c r="AQ48" t="s">
        <v>2187</v>
      </c>
      <c r="AR48">
        <f>Inputs!K107</f>
        <v>0.3</v>
      </c>
      <c r="AS48" t="s">
        <v>344</v>
      </c>
      <c r="AT48">
        <f>Inputs!L107</f>
        <v>0.3</v>
      </c>
      <c r="AU48" t="s">
        <v>3451</v>
      </c>
      <c r="AV48">
        <f>Inputs!M107</f>
        <v>0.3</v>
      </c>
      <c r="AW48" t="s">
        <v>146</v>
      </c>
      <c r="AX48">
        <f>Inputs!N107</f>
        <v>0.3</v>
      </c>
      <c r="AY48" t="s">
        <v>828</v>
      </c>
      <c r="AZ48">
        <f>Inputs!O107</f>
        <v>0.3</v>
      </c>
      <c r="BA48" t="s">
        <v>206</v>
      </c>
      <c r="BB48">
        <f>Inputs!P107</f>
        <v>0.3</v>
      </c>
      <c r="BC48" t="s">
        <v>334</v>
      </c>
      <c r="BD48">
        <f>Inputs!Q107</f>
        <v>0.3</v>
      </c>
      <c r="BE48" t="s">
        <v>984</v>
      </c>
      <c r="BF48">
        <f>Inputs!R107</f>
        <v>0.3</v>
      </c>
      <c r="BG48" t="s">
        <v>3914</v>
      </c>
      <c r="BH48">
        <f>Inputs!S107</f>
        <v>0.3</v>
      </c>
      <c r="BI48" t="s">
        <v>210</v>
      </c>
      <c r="BJ48">
        <f>Inputs!T107</f>
        <v>0.3</v>
      </c>
      <c r="BK48" t="s">
        <v>663</v>
      </c>
      <c r="BL48">
        <f>Inputs!U107</f>
        <v>0.3</v>
      </c>
    </row>
    <row r="49" spans="1:64" ht="12.75" customHeight="1" x14ac:dyDescent="0.2">
      <c r="A49" t="s">
        <v>2501</v>
      </c>
      <c r="B49">
        <f>Inputs!V107</f>
        <v>0.3</v>
      </c>
      <c r="C49" t="s">
        <v>1384</v>
      </c>
      <c r="D49">
        <f>Inputs!W107</f>
        <v>0.3</v>
      </c>
      <c r="E49" t="s">
        <v>5118</v>
      </c>
      <c r="F49">
        <f>Inputs!F108</f>
        <v>0.3</v>
      </c>
      <c r="G49" t="s">
        <v>725</v>
      </c>
      <c r="H49">
        <f>Inputs!G108</f>
        <v>0.3</v>
      </c>
      <c r="I49" t="s">
        <v>2160</v>
      </c>
      <c r="J49">
        <f>Inputs!H108</f>
        <v>0.3</v>
      </c>
      <c r="K49" t="s">
        <v>5438</v>
      </c>
      <c r="L49">
        <f>Inputs!I108</f>
        <v>0.3</v>
      </c>
      <c r="M49" t="s">
        <v>1380</v>
      </c>
      <c r="N49">
        <f>Inputs!J108</f>
        <v>0.3</v>
      </c>
      <c r="O49" t="s">
        <v>5302</v>
      </c>
      <c r="P49">
        <f>Inputs!K108</f>
        <v>0.3</v>
      </c>
      <c r="Q49" t="s">
        <v>5319</v>
      </c>
      <c r="R49">
        <f>Inputs!L108</f>
        <v>0.3</v>
      </c>
      <c r="S49" t="s">
        <v>3704</v>
      </c>
      <c r="T49">
        <f>Inputs!M108</f>
        <v>0.3</v>
      </c>
      <c r="U49" t="s">
        <v>1163</v>
      </c>
      <c r="V49">
        <f>Inputs!N108</f>
        <v>0.3</v>
      </c>
      <c r="W49" t="s">
        <v>1215</v>
      </c>
      <c r="X49">
        <f>Inputs!O108</f>
        <v>0.3</v>
      </c>
      <c r="Y49" t="s">
        <v>5680</v>
      </c>
      <c r="Z49">
        <f>Inputs!P108</f>
        <v>0.3</v>
      </c>
      <c r="AA49" t="s">
        <v>3782</v>
      </c>
      <c r="AB49">
        <f>Inputs!Q108</f>
        <v>0.3</v>
      </c>
      <c r="AC49" t="s">
        <v>704</v>
      </c>
      <c r="AD49">
        <f>Inputs!R108</f>
        <v>0.3</v>
      </c>
      <c r="AE49" t="s">
        <v>1234</v>
      </c>
      <c r="AF49">
        <f>Inputs!S108</f>
        <v>0.3</v>
      </c>
      <c r="AG49" t="s">
        <v>4947</v>
      </c>
      <c r="AH49">
        <f>Inputs!T108</f>
        <v>0.3</v>
      </c>
      <c r="AI49" t="s">
        <v>2540</v>
      </c>
      <c r="AJ49">
        <f>Inputs!U108</f>
        <v>0.3</v>
      </c>
      <c r="AK49" t="s">
        <v>2981</v>
      </c>
      <c r="AL49">
        <f>Inputs!V108</f>
        <v>0.3</v>
      </c>
      <c r="AM49" t="s">
        <v>2399</v>
      </c>
      <c r="AN49">
        <f>Inputs!W108</f>
        <v>0.3</v>
      </c>
      <c r="AO49" t="s">
        <v>2293</v>
      </c>
      <c r="AP49">
        <f>Inputs!F109</f>
        <v>0.3</v>
      </c>
      <c r="AQ49" t="s">
        <v>467</v>
      </c>
      <c r="AR49">
        <f>Inputs!G109</f>
        <v>0.3</v>
      </c>
      <c r="AS49" t="s">
        <v>4709</v>
      </c>
      <c r="AT49">
        <f>Inputs!H109</f>
        <v>0.3</v>
      </c>
      <c r="AU49" t="s">
        <v>4867</v>
      </c>
      <c r="AV49">
        <f>Inputs!I109</f>
        <v>0.3</v>
      </c>
      <c r="AW49" t="s">
        <v>3939</v>
      </c>
      <c r="AX49">
        <f>Inputs!J109</f>
        <v>0.3</v>
      </c>
      <c r="AY49" t="s">
        <v>2050</v>
      </c>
      <c r="AZ49">
        <f>Inputs!K109</f>
        <v>0.3</v>
      </c>
      <c r="BA49" t="s">
        <v>5057</v>
      </c>
      <c r="BB49">
        <f>Inputs!L109</f>
        <v>0.3</v>
      </c>
      <c r="BC49" t="s">
        <v>348</v>
      </c>
      <c r="BD49">
        <f>Inputs!M109</f>
        <v>0.3</v>
      </c>
      <c r="BE49" t="s">
        <v>3730</v>
      </c>
      <c r="BF49">
        <f>Inputs!N109</f>
        <v>0.3</v>
      </c>
      <c r="BG49" t="s">
        <v>1179</v>
      </c>
      <c r="BH49">
        <f>Inputs!O109</f>
        <v>0.3</v>
      </c>
      <c r="BI49" t="s">
        <v>5640</v>
      </c>
      <c r="BJ49">
        <f>Inputs!P109</f>
        <v>0.3</v>
      </c>
      <c r="BK49" t="s">
        <v>3787</v>
      </c>
      <c r="BL49">
        <f>Inputs!Q109</f>
        <v>0.3</v>
      </c>
    </row>
    <row r="50" spans="1:64" ht="12.75" customHeight="1" x14ac:dyDescent="0.2">
      <c r="A50" t="s">
        <v>2412</v>
      </c>
      <c r="B50">
        <f>Inputs!R109</f>
        <v>0.3</v>
      </c>
      <c r="C50" t="s">
        <v>3848</v>
      </c>
      <c r="D50">
        <f>Inputs!S109</f>
        <v>0.3</v>
      </c>
      <c r="E50" t="s">
        <v>1651</v>
      </c>
      <c r="F50">
        <f>Inputs!T109</f>
        <v>0.3</v>
      </c>
      <c r="G50" t="s">
        <v>5072</v>
      </c>
      <c r="H50">
        <f>Inputs!U109</f>
        <v>0.3</v>
      </c>
      <c r="I50" t="s">
        <v>1014</v>
      </c>
      <c r="J50">
        <f>Inputs!V109</f>
        <v>0.3</v>
      </c>
      <c r="K50" t="s">
        <v>4978</v>
      </c>
      <c r="L50">
        <f>Inputs!W109</f>
        <v>0.3</v>
      </c>
      <c r="M50" t="s">
        <v>1526</v>
      </c>
      <c r="N50">
        <f>Inputs!F110</f>
        <v>0.3</v>
      </c>
      <c r="O50" t="s">
        <v>195</v>
      </c>
      <c r="P50">
        <f>Inputs!G110</f>
        <v>0.3</v>
      </c>
      <c r="Q50" t="s">
        <v>4702</v>
      </c>
      <c r="R50">
        <f>Inputs!H110</f>
        <v>0.3</v>
      </c>
      <c r="S50" t="s">
        <v>878</v>
      </c>
      <c r="T50">
        <f>Inputs!I110</f>
        <v>0.3</v>
      </c>
      <c r="U50" t="s">
        <v>2716</v>
      </c>
      <c r="V50">
        <f>Inputs!J110</f>
        <v>0.3</v>
      </c>
      <c r="W50" t="s">
        <v>5157</v>
      </c>
      <c r="X50">
        <f>Inputs!K110</f>
        <v>0.3</v>
      </c>
      <c r="Y50" t="s">
        <v>417</v>
      </c>
      <c r="Z50">
        <f>Inputs!L110</f>
        <v>0.3</v>
      </c>
      <c r="AA50" t="s">
        <v>2141</v>
      </c>
      <c r="AB50">
        <f>Inputs!M110</f>
        <v>0.3</v>
      </c>
      <c r="AC50" t="s">
        <v>5884</v>
      </c>
      <c r="AD50">
        <f>Inputs!N110</f>
        <v>0.3</v>
      </c>
      <c r="AE50" t="s">
        <v>4847</v>
      </c>
      <c r="AF50">
        <f>Inputs!O110</f>
        <v>0.3</v>
      </c>
      <c r="AG50" t="s">
        <v>2984</v>
      </c>
      <c r="AH50">
        <f>Inputs!P110</f>
        <v>0.3</v>
      </c>
      <c r="AI50" t="s">
        <v>1546</v>
      </c>
      <c r="AJ50">
        <f>Inputs!Q110</f>
        <v>0.3</v>
      </c>
      <c r="AK50" t="s">
        <v>4118</v>
      </c>
      <c r="AL50">
        <f>Inputs!R110</f>
        <v>0.3</v>
      </c>
      <c r="AM50" t="s">
        <v>4012</v>
      </c>
      <c r="AN50">
        <f>Inputs!S110</f>
        <v>0.3</v>
      </c>
      <c r="AO50" t="s">
        <v>853</v>
      </c>
      <c r="AP50">
        <f>Inputs!T110</f>
        <v>0.3</v>
      </c>
      <c r="AQ50" t="s">
        <v>3808</v>
      </c>
      <c r="AR50">
        <f>Inputs!U110</f>
        <v>0.3</v>
      </c>
      <c r="AS50" t="s">
        <v>5612</v>
      </c>
      <c r="AT50">
        <f>Inputs!V110</f>
        <v>0.3</v>
      </c>
      <c r="AU50" t="s">
        <v>2338</v>
      </c>
      <c r="AV50">
        <f>Inputs!W110</f>
        <v>0.3</v>
      </c>
      <c r="AW50" t="s">
        <v>1369</v>
      </c>
      <c r="AX50">
        <f>Inputs!F111</f>
        <v>0.3</v>
      </c>
      <c r="AY50" t="s">
        <v>3124</v>
      </c>
      <c r="AZ50">
        <f>Inputs!G111</f>
        <v>0.3</v>
      </c>
      <c r="BA50" t="s">
        <v>128</v>
      </c>
      <c r="BB50">
        <f>Inputs!H111</f>
        <v>0.3</v>
      </c>
      <c r="BC50" t="s">
        <v>4868</v>
      </c>
      <c r="BD50">
        <f>Inputs!I111</f>
        <v>0.3</v>
      </c>
      <c r="BE50" t="s">
        <v>5266</v>
      </c>
      <c r="BF50">
        <f>Inputs!J111</f>
        <v>0.3</v>
      </c>
      <c r="BG50" t="s">
        <v>5725</v>
      </c>
      <c r="BH50">
        <f>Inputs!K111</f>
        <v>0.3</v>
      </c>
      <c r="BI50" t="s">
        <v>3336</v>
      </c>
      <c r="BJ50">
        <f>Inputs!L111</f>
        <v>0.3</v>
      </c>
      <c r="BK50" t="s">
        <v>4002</v>
      </c>
      <c r="BL50">
        <f>Inputs!M111</f>
        <v>0.3</v>
      </c>
    </row>
    <row r="51" spans="1:64" ht="12.75" customHeight="1" x14ac:dyDescent="0.2">
      <c r="A51" t="s">
        <v>1268</v>
      </c>
      <c r="B51">
        <f>Inputs!N111</f>
        <v>0.3</v>
      </c>
      <c r="C51" t="s">
        <v>236</v>
      </c>
      <c r="D51">
        <f>Inputs!O111</f>
        <v>0.3</v>
      </c>
      <c r="E51" t="s">
        <v>4733</v>
      </c>
      <c r="F51">
        <f>Inputs!P111</f>
        <v>0.3</v>
      </c>
      <c r="G51" t="s">
        <v>2899</v>
      </c>
      <c r="H51">
        <f>Inputs!Q111</f>
        <v>0.3</v>
      </c>
      <c r="I51" t="s">
        <v>1522</v>
      </c>
      <c r="J51">
        <f>Inputs!R111</f>
        <v>0.3</v>
      </c>
      <c r="K51" t="s">
        <v>2218</v>
      </c>
      <c r="L51">
        <f>Inputs!S111</f>
        <v>0.3</v>
      </c>
      <c r="M51" t="s">
        <v>5135</v>
      </c>
      <c r="N51">
        <f>Inputs!T111</f>
        <v>0.3</v>
      </c>
      <c r="O51" t="s">
        <v>4946</v>
      </c>
      <c r="P51">
        <f>Inputs!U111</f>
        <v>0.3</v>
      </c>
      <c r="Q51" t="s">
        <v>154</v>
      </c>
      <c r="R51">
        <f>Inputs!V111</f>
        <v>0.3</v>
      </c>
      <c r="S51" t="s">
        <v>3384</v>
      </c>
      <c r="T51">
        <f>Inputs!W111</f>
        <v>0.3</v>
      </c>
      <c r="U51" t="s">
        <v>2395</v>
      </c>
      <c r="V51">
        <f>Inputs!F112</f>
        <v>0.3</v>
      </c>
      <c r="W51" t="s">
        <v>3877</v>
      </c>
      <c r="X51">
        <f>Inputs!G112</f>
        <v>0.3</v>
      </c>
      <c r="Y51" t="s">
        <v>967</v>
      </c>
      <c r="Z51">
        <f>Inputs!H112</f>
        <v>0.3</v>
      </c>
      <c r="AA51" t="s">
        <v>2301</v>
      </c>
      <c r="AB51">
        <f>Inputs!I112</f>
        <v>0.3</v>
      </c>
      <c r="AC51" t="s">
        <v>3375</v>
      </c>
      <c r="AD51">
        <f>Inputs!J112</f>
        <v>0.3</v>
      </c>
      <c r="AE51" t="s">
        <v>2206</v>
      </c>
      <c r="AF51">
        <f>Inputs!K112</f>
        <v>0.3</v>
      </c>
      <c r="AG51" t="s">
        <v>2627</v>
      </c>
      <c r="AH51">
        <f>Inputs!L112</f>
        <v>0.3</v>
      </c>
      <c r="AI51" t="s">
        <v>3944</v>
      </c>
      <c r="AJ51">
        <f>Inputs!M112</f>
        <v>0.3</v>
      </c>
      <c r="AK51" t="s">
        <v>641</v>
      </c>
      <c r="AL51">
        <f>Inputs!N112</f>
        <v>0.3</v>
      </c>
      <c r="AM51" t="s">
        <v>5717</v>
      </c>
      <c r="AN51">
        <f>Inputs!O112</f>
        <v>0.3</v>
      </c>
      <c r="AO51" t="s">
        <v>4307</v>
      </c>
      <c r="AP51">
        <f>Inputs!P112</f>
        <v>0.3</v>
      </c>
      <c r="AQ51" t="s">
        <v>2453</v>
      </c>
      <c r="AR51">
        <f>Inputs!Q112</f>
        <v>0.3</v>
      </c>
      <c r="AS51" t="s">
        <v>1353</v>
      </c>
      <c r="AT51">
        <f>Inputs!R112</f>
        <v>0.3</v>
      </c>
      <c r="AU51" t="s">
        <v>57</v>
      </c>
      <c r="AV51">
        <f>Inputs!S112</f>
        <v>0.3</v>
      </c>
      <c r="AW51" t="s">
        <v>589</v>
      </c>
      <c r="AX51">
        <f>Inputs!T112</f>
        <v>0.3</v>
      </c>
      <c r="AY51" t="s">
        <v>1785</v>
      </c>
      <c r="AZ51">
        <f>Inputs!U112</f>
        <v>0.3</v>
      </c>
      <c r="BA51" t="s">
        <v>2870</v>
      </c>
      <c r="BB51">
        <f>Inputs!V112</f>
        <v>0.3</v>
      </c>
      <c r="BC51" t="s">
        <v>1688</v>
      </c>
      <c r="BD51">
        <f>Inputs!W112</f>
        <v>0.3</v>
      </c>
      <c r="BE51" t="s">
        <v>3357</v>
      </c>
      <c r="BF51">
        <f>Inputs!F113</f>
        <v>0.3</v>
      </c>
      <c r="BG51" t="s">
        <v>1281</v>
      </c>
      <c r="BH51">
        <f>Inputs!G113</f>
        <v>0.3</v>
      </c>
      <c r="BI51" t="s">
        <v>4282</v>
      </c>
      <c r="BJ51">
        <f>Inputs!H113</f>
        <v>0.3</v>
      </c>
      <c r="BK51" t="s">
        <v>2440</v>
      </c>
      <c r="BL51">
        <f>Inputs!I113</f>
        <v>0.3</v>
      </c>
    </row>
    <row r="52" spans="1:64" ht="12.75" customHeight="1" x14ac:dyDescent="0.2">
      <c r="A52" t="s">
        <v>1999</v>
      </c>
      <c r="B52">
        <f>Inputs!J113</f>
        <v>0.3</v>
      </c>
      <c r="C52" t="s">
        <v>1695</v>
      </c>
      <c r="D52">
        <f>Inputs!K113</f>
        <v>0.3</v>
      </c>
      <c r="E52" t="s">
        <v>2753</v>
      </c>
      <c r="F52">
        <f>Inputs!L113</f>
        <v>0.3</v>
      </c>
      <c r="G52" t="s">
        <v>4286</v>
      </c>
      <c r="H52">
        <f>Inputs!M113</f>
        <v>0.3</v>
      </c>
      <c r="I52" t="s">
        <v>4383</v>
      </c>
      <c r="J52">
        <f>Inputs!N113</f>
        <v>0.3</v>
      </c>
      <c r="K52" t="s">
        <v>370</v>
      </c>
      <c r="L52">
        <f>Inputs!O113</f>
        <v>0.3</v>
      </c>
      <c r="M52" t="s">
        <v>679</v>
      </c>
      <c r="N52">
        <f>Inputs!P113</f>
        <v>0.3</v>
      </c>
      <c r="O52" t="s">
        <v>3649</v>
      </c>
      <c r="P52">
        <f>Inputs!Q113</f>
        <v>0.3</v>
      </c>
      <c r="Q52" t="s">
        <v>1446</v>
      </c>
      <c r="R52">
        <f>Inputs!R113</f>
        <v>0.3</v>
      </c>
      <c r="S52" t="s">
        <v>566</v>
      </c>
      <c r="T52">
        <f>Inputs!S113</f>
        <v>0.3</v>
      </c>
      <c r="U52" t="s">
        <v>2195</v>
      </c>
      <c r="V52">
        <f>Inputs!T113</f>
        <v>0.3</v>
      </c>
      <c r="W52" t="s">
        <v>307</v>
      </c>
      <c r="X52">
        <f>Inputs!U113</f>
        <v>0.3</v>
      </c>
      <c r="Y52" t="s">
        <v>5785</v>
      </c>
      <c r="Z52">
        <f>Inputs!V113</f>
        <v>0.3</v>
      </c>
      <c r="AA52" t="s">
        <v>5496</v>
      </c>
      <c r="AB52">
        <f>Inputs!W113</f>
        <v>0.3</v>
      </c>
      <c r="AC52" t="s">
        <v>4487</v>
      </c>
      <c r="AD52">
        <f>Inputs!F114</f>
        <v>0.3</v>
      </c>
      <c r="AE52" t="s">
        <v>4324</v>
      </c>
      <c r="AF52">
        <f>Inputs!G114</f>
        <v>0.3</v>
      </c>
      <c r="AG52" t="s">
        <v>5909</v>
      </c>
      <c r="AH52">
        <f>Inputs!H114</f>
        <v>0.3</v>
      </c>
      <c r="AI52" t="s">
        <v>4105</v>
      </c>
      <c r="AJ52">
        <f>Inputs!I114</f>
        <v>0.3</v>
      </c>
      <c r="AK52" t="s">
        <v>3677</v>
      </c>
      <c r="AL52">
        <f>Inputs!J114</f>
        <v>0.3</v>
      </c>
      <c r="AM52" t="s">
        <v>2452</v>
      </c>
      <c r="AN52">
        <f>Inputs!K114</f>
        <v>0.3</v>
      </c>
      <c r="AO52" t="s">
        <v>366</v>
      </c>
      <c r="AP52">
        <f>Inputs!L114</f>
        <v>0.3</v>
      </c>
      <c r="AQ52" t="s">
        <v>5914</v>
      </c>
      <c r="AR52">
        <f>Inputs!M114</f>
        <v>0.3</v>
      </c>
      <c r="AS52" t="s">
        <v>132</v>
      </c>
      <c r="AT52">
        <f>Inputs!N114</f>
        <v>0.3</v>
      </c>
      <c r="AU52" t="s">
        <v>2986</v>
      </c>
      <c r="AV52">
        <f>Inputs!O114</f>
        <v>0.3</v>
      </c>
      <c r="AW52" t="s">
        <v>3274</v>
      </c>
      <c r="AX52">
        <f>Inputs!P114</f>
        <v>0.3</v>
      </c>
      <c r="AY52" t="s">
        <v>287</v>
      </c>
      <c r="AZ52">
        <f>Inputs!Q114</f>
        <v>0.3</v>
      </c>
      <c r="BA52" t="s">
        <v>1514</v>
      </c>
      <c r="BB52">
        <f>Inputs!R114</f>
        <v>0.3</v>
      </c>
      <c r="BC52" t="s">
        <v>642</v>
      </c>
      <c r="BD52">
        <f>Inputs!S114</f>
        <v>0.3</v>
      </c>
      <c r="BE52" t="s">
        <v>2268</v>
      </c>
      <c r="BF52">
        <f>Inputs!T114</f>
        <v>0.3</v>
      </c>
      <c r="BG52" t="s">
        <v>426</v>
      </c>
      <c r="BH52">
        <f>Inputs!U114</f>
        <v>0.3</v>
      </c>
      <c r="BI52" t="s">
        <v>5896</v>
      </c>
      <c r="BJ52">
        <f>Inputs!V114</f>
        <v>0.3</v>
      </c>
      <c r="BK52" t="s">
        <v>5568</v>
      </c>
      <c r="BL52">
        <f>Inputs!W114</f>
        <v>0.3</v>
      </c>
    </row>
    <row r="53" spans="1:64" ht="12.75" customHeight="1" x14ac:dyDescent="0.2">
      <c r="A53" t="s">
        <v>1850</v>
      </c>
      <c r="B53">
        <f>Inputs!F115</f>
        <v>0.3</v>
      </c>
      <c r="C53" t="s">
        <v>5794</v>
      </c>
      <c r="D53">
        <f>Inputs!G115</f>
        <v>0.3</v>
      </c>
      <c r="E53" t="s">
        <v>2273</v>
      </c>
      <c r="F53">
        <f>Inputs!H115</f>
        <v>0.3</v>
      </c>
      <c r="G53" t="s">
        <v>2240</v>
      </c>
      <c r="H53">
        <f>Inputs!I115</f>
        <v>0.3</v>
      </c>
      <c r="I53" t="s">
        <v>1390</v>
      </c>
      <c r="J53">
        <f>Inputs!J115</f>
        <v>0.3</v>
      </c>
      <c r="K53" t="s">
        <v>1813</v>
      </c>
      <c r="L53">
        <f>Inputs!K115</f>
        <v>0.3</v>
      </c>
      <c r="M53" t="s">
        <v>1948</v>
      </c>
      <c r="N53">
        <f>Inputs!L115</f>
        <v>0.3</v>
      </c>
      <c r="O53" t="s">
        <v>5803</v>
      </c>
      <c r="P53">
        <f>Inputs!M115</f>
        <v>0.3</v>
      </c>
      <c r="Q53" t="s">
        <v>754</v>
      </c>
      <c r="R53">
        <f>Inputs!N115</f>
        <v>0.3</v>
      </c>
      <c r="S53" t="s">
        <v>62</v>
      </c>
      <c r="T53">
        <f>Inputs!O115</f>
        <v>0.3</v>
      </c>
      <c r="U53" t="s">
        <v>365</v>
      </c>
      <c r="V53">
        <f>Inputs!P115</f>
        <v>0.3</v>
      </c>
      <c r="W53" t="s">
        <v>3366</v>
      </c>
      <c r="X53">
        <f>Inputs!Q115</f>
        <v>0.3</v>
      </c>
      <c r="Y53" t="s">
        <v>4268</v>
      </c>
      <c r="Z53">
        <f>Inputs!R115</f>
        <v>0.3</v>
      </c>
      <c r="AA53" t="s">
        <v>4163</v>
      </c>
      <c r="AB53">
        <f>Inputs!S115</f>
        <v>0.3</v>
      </c>
      <c r="AC53" t="s">
        <v>615</v>
      </c>
      <c r="AD53">
        <f>Inputs!T115</f>
        <v>0.3</v>
      </c>
      <c r="AE53" t="s">
        <v>5318</v>
      </c>
      <c r="AF53">
        <f>Inputs!U115</f>
        <v>0.3</v>
      </c>
      <c r="AG53" t="s">
        <v>5636</v>
      </c>
      <c r="AH53">
        <f>Inputs!V115</f>
        <v>0.3</v>
      </c>
      <c r="AI53" t="s">
        <v>152</v>
      </c>
      <c r="AJ53">
        <f>Inputs!W115</f>
        <v>0.3</v>
      </c>
      <c r="AK53" t="s">
        <v>4712</v>
      </c>
      <c r="AL53">
        <f>Inputs!F116</f>
        <v>0.3</v>
      </c>
      <c r="AM53" t="s">
        <v>133</v>
      </c>
      <c r="AN53">
        <f>Inputs!G116</f>
        <v>0.3</v>
      </c>
      <c r="AO53" t="s">
        <v>2534</v>
      </c>
      <c r="AP53">
        <f>Inputs!H116</f>
        <v>0.3</v>
      </c>
      <c r="AQ53" t="s">
        <v>4211</v>
      </c>
      <c r="AR53">
        <f>Inputs!I116</f>
        <v>0.3</v>
      </c>
      <c r="AS53" t="s">
        <v>4526</v>
      </c>
      <c r="AT53">
        <f>Inputs!J116</f>
        <v>0.3</v>
      </c>
      <c r="AU53" t="s">
        <v>1053</v>
      </c>
      <c r="AV53">
        <f>Inputs!K116</f>
        <v>0.3</v>
      </c>
      <c r="AW53" t="s">
        <v>999</v>
      </c>
      <c r="AX53">
        <f>Inputs!L116</f>
        <v>0.3</v>
      </c>
      <c r="AY53" t="s">
        <v>95</v>
      </c>
      <c r="AZ53">
        <f>Inputs!M116</f>
        <v>0.3</v>
      </c>
      <c r="BA53" t="s">
        <v>4116</v>
      </c>
      <c r="BB53">
        <f>Inputs!N116</f>
        <v>0.3</v>
      </c>
      <c r="BC53" t="s">
        <v>4498</v>
      </c>
      <c r="BD53">
        <f>Inputs!O116</f>
        <v>0.3</v>
      </c>
      <c r="BE53" t="s">
        <v>4772</v>
      </c>
      <c r="BF53">
        <f>Inputs!P116</f>
        <v>0.3</v>
      </c>
      <c r="BG53" t="s">
        <v>1853</v>
      </c>
      <c r="BH53">
        <f>Inputs!Q116</f>
        <v>0.3</v>
      </c>
      <c r="BI53" t="s">
        <v>3116</v>
      </c>
      <c r="BJ53">
        <f>Inputs!R116</f>
        <v>0.3</v>
      </c>
      <c r="BK53" t="s">
        <v>3018</v>
      </c>
      <c r="BL53">
        <f>Inputs!S116</f>
        <v>0.3</v>
      </c>
    </row>
    <row r="54" spans="1:64" ht="12.75" customHeight="1" x14ac:dyDescent="0.2">
      <c r="A54" t="s">
        <v>5349</v>
      </c>
      <c r="B54">
        <f>Inputs!T116</f>
        <v>0.3</v>
      </c>
      <c r="C54" t="s">
        <v>1302</v>
      </c>
      <c r="D54">
        <f>Inputs!U116</f>
        <v>0.3</v>
      </c>
      <c r="E54" t="s">
        <v>1596</v>
      </c>
      <c r="F54">
        <f>Inputs!V116</f>
        <v>0.3</v>
      </c>
      <c r="G54" t="s">
        <v>2049</v>
      </c>
      <c r="H54">
        <f>Inputs!W116</f>
        <v>0.3</v>
      </c>
      <c r="I54" t="s">
        <v>1985</v>
      </c>
      <c r="J54">
        <f>Inputs!F117</f>
        <v>0.3</v>
      </c>
      <c r="K54" t="s">
        <v>2796</v>
      </c>
      <c r="L54">
        <f>Inputs!G117</f>
        <v>0.3</v>
      </c>
      <c r="M54" t="s">
        <v>5113</v>
      </c>
      <c r="N54">
        <f>Inputs!H117</f>
        <v>0.3</v>
      </c>
      <c r="O54" t="s">
        <v>925</v>
      </c>
      <c r="P54">
        <f>Inputs!I117</f>
        <v>0.3</v>
      </c>
      <c r="Q54" t="s">
        <v>1249</v>
      </c>
      <c r="R54">
        <f>Inputs!J117</f>
        <v>0.3</v>
      </c>
      <c r="S54" t="s">
        <v>1670</v>
      </c>
      <c r="T54">
        <f>Inputs!K117</f>
        <v>0.3</v>
      </c>
      <c r="U54" t="s">
        <v>3511</v>
      </c>
      <c r="V54">
        <f>Inputs!L117</f>
        <v>0.3</v>
      </c>
      <c r="W54" t="s">
        <v>2760</v>
      </c>
      <c r="X54">
        <f>Inputs!M117</f>
        <v>0.3</v>
      </c>
      <c r="Y54" t="s">
        <v>3597</v>
      </c>
      <c r="Z54">
        <f>Inputs!N117</f>
        <v>0.3</v>
      </c>
      <c r="AA54" t="s">
        <v>2922</v>
      </c>
      <c r="AB54">
        <f>Inputs!O117</f>
        <v>0.3</v>
      </c>
      <c r="AC54" t="s">
        <v>3249</v>
      </c>
      <c r="AD54">
        <f>Inputs!P117</f>
        <v>0.3</v>
      </c>
      <c r="AE54" t="s">
        <v>266</v>
      </c>
      <c r="AF54">
        <f>Inputs!Q117</f>
        <v>0.3</v>
      </c>
      <c r="AG54" t="s">
        <v>5707</v>
      </c>
      <c r="AH54">
        <f>Inputs!R117</f>
        <v>0.3</v>
      </c>
      <c r="AI54" t="s">
        <v>5603</v>
      </c>
      <c r="AJ54">
        <f>Inputs!S117</f>
        <v>0.3</v>
      </c>
      <c r="AK54" t="s">
        <v>2095</v>
      </c>
      <c r="AL54">
        <f>Inputs!T117</f>
        <v>0.3</v>
      </c>
      <c r="AM54" t="s">
        <v>3902</v>
      </c>
      <c r="AN54">
        <f>Inputs!U117</f>
        <v>0.3</v>
      </c>
      <c r="AO54" t="s">
        <v>4215</v>
      </c>
      <c r="AP54">
        <f>Inputs!V117</f>
        <v>0.3</v>
      </c>
      <c r="AQ54" t="s">
        <v>4644</v>
      </c>
      <c r="AR54">
        <f>Inputs!W117</f>
        <v>0.3</v>
      </c>
      <c r="AS54" t="s">
        <v>1136</v>
      </c>
      <c r="AT54">
        <f>Inputs!F118</f>
        <v>0.3</v>
      </c>
      <c r="AU54" t="s">
        <v>3054</v>
      </c>
      <c r="AV54">
        <f>Inputs!G118</f>
        <v>0.3</v>
      </c>
      <c r="AW54" t="s">
        <v>5384</v>
      </c>
      <c r="AX54">
        <f>Inputs!H118</f>
        <v>0.3</v>
      </c>
      <c r="AY54" t="s">
        <v>5082</v>
      </c>
      <c r="AZ54">
        <f>Inputs!I118</f>
        <v>0.3</v>
      </c>
      <c r="BA54" t="s">
        <v>237</v>
      </c>
      <c r="BB54">
        <f>Inputs!J118</f>
        <v>0.3</v>
      </c>
      <c r="BC54" t="s">
        <v>5058</v>
      </c>
      <c r="BD54">
        <f>Inputs!K118</f>
        <v>0.3</v>
      </c>
      <c r="BE54" t="s">
        <v>1013</v>
      </c>
      <c r="BF54">
        <f>Inputs!L118</f>
        <v>0.3</v>
      </c>
      <c r="BG54" t="s">
        <v>4649</v>
      </c>
      <c r="BH54">
        <f>Inputs!M118</f>
        <v>0.3</v>
      </c>
      <c r="BI54" t="s">
        <v>5482</v>
      </c>
      <c r="BJ54">
        <f>Inputs!N118</f>
        <v>0.3</v>
      </c>
      <c r="BK54" t="s">
        <v>1784</v>
      </c>
      <c r="BL54">
        <f>Inputs!O118</f>
        <v>0.3</v>
      </c>
    </row>
    <row r="55" spans="1:64" ht="12.75" customHeight="1" x14ac:dyDescent="0.2">
      <c r="A55" t="s">
        <v>2098</v>
      </c>
      <c r="B55">
        <f>Inputs!P118</f>
        <v>0.3</v>
      </c>
      <c r="C55" t="s">
        <v>5010</v>
      </c>
      <c r="D55">
        <f>Inputs!Q118</f>
        <v>0.3</v>
      </c>
      <c r="E55" t="s">
        <v>1808</v>
      </c>
      <c r="F55">
        <f>Inputs!R118</f>
        <v>0.3</v>
      </c>
      <c r="G55" t="s">
        <v>1458</v>
      </c>
      <c r="H55">
        <f>Inputs!S118</f>
        <v>0.3</v>
      </c>
      <c r="I55" t="s">
        <v>2584</v>
      </c>
      <c r="J55">
        <f>Inputs!T118</f>
        <v>0.3</v>
      </c>
      <c r="K55" t="s">
        <v>2855</v>
      </c>
      <c r="L55">
        <f>Inputs!U118</f>
        <v>0.3</v>
      </c>
      <c r="M55" t="s">
        <v>3205</v>
      </c>
      <c r="N55">
        <f>Inputs!V118</f>
        <v>0.3</v>
      </c>
      <c r="O55" t="s">
        <v>2131</v>
      </c>
      <c r="P55">
        <f>Inputs!W118</f>
        <v>0.3</v>
      </c>
      <c r="Q55" t="s">
        <v>483</v>
      </c>
      <c r="R55">
        <f>Inputs!F119</f>
        <v>0.3</v>
      </c>
      <c r="S55" t="s">
        <v>5116</v>
      </c>
      <c r="T55">
        <f>Inputs!G119</f>
        <v>0.3</v>
      </c>
      <c r="U55" t="s">
        <v>842</v>
      </c>
      <c r="V55">
        <f>Inputs!H119</f>
        <v>0.3</v>
      </c>
      <c r="W55" t="s">
        <v>4779</v>
      </c>
      <c r="X55">
        <f>Inputs!I119</f>
        <v>0.3</v>
      </c>
      <c r="Y55" t="s">
        <v>4366</v>
      </c>
      <c r="Z55">
        <f>Inputs!J119</f>
        <v>0.3</v>
      </c>
      <c r="AA55" t="s">
        <v>4027</v>
      </c>
      <c r="AB55">
        <f>Inputs!K119</f>
        <v>0.3</v>
      </c>
      <c r="AC55" t="s">
        <v>5083</v>
      </c>
      <c r="AD55">
        <f>Inputs!L119</f>
        <v>0.3</v>
      </c>
      <c r="AE55" t="s">
        <v>3069</v>
      </c>
      <c r="AF55">
        <f>Inputs!M119</f>
        <v>0.3</v>
      </c>
      <c r="AG55" t="s">
        <v>843</v>
      </c>
      <c r="AH55">
        <f>Inputs!N119</f>
        <v>0.3</v>
      </c>
      <c r="AI55" t="s">
        <v>1838</v>
      </c>
      <c r="AJ55">
        <f>Inputs!O119</f>
        <v>0.3</v>
      </c>
      <c r="AK55" t="s">
        <v>789</v>
      </c>
      <c r="AL55">
        <f>Inputs!P119</f>
        <v>0.3</v>
      </c>
      <c r="AM55" t="s">
        <v>5059</v>
      </c>
      <c r="AN55">
        <f>Inputs!Q119</f>
        <v>0.3</v>
      </c>
      <c r="AO55" t="s">
        <v>5066</v>
      </c>
      <c r="AP55">
        <f>Inputs!R119</f>
        <v>0.3</v>
      </c>
      <c r="AQ55" t="s">
        <v>4238</v>
      </c>
      <c r="AR55">
        <f>Inputs!S119</f>
        <v>0.3</v>
      </c>
      <c r="AS55" t="s">
        <v>5837</v>
      </c>
      <c r="AT55">
        <f>Inputs!T119</f>
        <v>0.3</v>
      </c>
      <c r="AU55" t="s">
        <v>4030</v>
      </c>
      <c r="AV55">
        <f>Inputs!U119</f>
        <v>0.3</v>
      </c>
      <c r="AW55" t="s">
        <v>3602</v>
      </c>
      <c r="AX55">
        <f>Inputs!V119</f>
        <v>0.3</v>
      </c>
      <c r="AY55" t="s">
        <v>3285</v>
      </c>
      <c r="AZ55">
        <f>Inputs!W119</f>
        <v>0.3</v>
      </c>
      <c r="BA55" t="s">
        <v>1969</v>
      </c>
      <c r="BB55">
        <f>Inputs!F120</f>
        <v>0.3</v>
      </c>
      <c r="BC55" t="s">
        <v>848</v>
      </c>
      <c r="BD55">
        <f>Inputs!G120</f>
        <v>0.3</v>
      </c>
      <c r="BE55" t="s">
        <v>2467</v>
      </c>
      <c r="BF55">
        <f>Inputs!H120</f>
        <v>0.3</v>
      </c>
      <c r="BG55" t="s">
        <v>2178</v>
      </c>
      <c r="BH55">
        <f>Inputs!I120</f>
        <v>0.3</v>
      </c>
      <c r="BI55" t="s">
        <v>1708</v>
      </c>
      <c r="BJ55">
        <f>Inputs!J120</f>
        <v>0.3</v>
      </c>
      <c r="BK55" t="s">
        <v>2433</v>
      </c>
      <c r="BL55">
        <f>Inputs!K120</f>
        <v>0.3</v>
      </c>
    </row>
    <row r="56" spans="1:64" ht="12.75" customHeight="1" x14ac:dyDescent="0.2">
      <c r="A56" t="s">
        <v>3971</v>
      </c>
      <c r="B56">
        <f>Inputs!L120</f>
        <v>0.3</v>
      </c>
      <c r="C56" t="s">
        <v>950</v>
      </c>
      <c r="D56">
        <f>Inputs!M120</f>
        <v>0.3</v>
      </c>
      <c r="E56" t="s">
        <v>5207</v>
      </c>
      <c r="F56">
        <f>Inputs!N120</f>
        <v>0.3</v>
      </c>
      <c r="G56" t="s">
        <v>2227</v>
      </c>
      <c r="H56">
        <f>Inputs!O120</f>
        <v>0.3</v>
      </c>
      <c r="I56" t="s">
        <v>2523</v>
      </c>
      <c r="J56">
        <f>Inputs!P120</f>
        <v>0.3</v>
      </c>
      <c r="K56" t="s">
        <v>5456</v>
      </c>
      <c r="L56">
        <f>Inputs!Q120</f>
        <v>0.3</v>
      </c>
      <c r="M56" t="s">
        <v>5716</v>
      </c>
      <c r="N56">
        <f>Inputs!R120</f>
        <v>0.3</v>
      </c>
      <c r="O56" t="s">
        <v>462</v>
      </c>
      <c r="P56">
        <f>Inputs!S120</f>
        <v>0.3</v>
      </c>
      <c r="Q56" t="s">
        <v>2107</v>
      </c>
      <c r="R56">
        <f>Inputs!T120</f>
        <v>0.3</v>
      </c>
      <c r="S56" t="s">
        <v>4006</v>
      </c>
      <c r="T56">
        <f>Inputs!U120</f>
        <v>0.3</v>
      </c>
      <c r="U56" t="s">
        <v>1209</v>
      </c>
      <c r="V56">
        <f>Inputs!V120</f>
        <v>0.3</v>
      </c>
      <c r="W56" t="s">
        <v>3087</v>
      </c>
      <c r="X56">
        <f>Inputs!W120</f>
        <v>0.3</v>
      </c>
      <c r="Y56" t="s">
        <v>3992</v>
      </c>
      <c r="Z56">
        <f>Inputs!F122</f>
        <v>0.5</v>
      </c>
      <c r="AA56" t="s">
        <v>2391</v>
      </c>
      <c r="AB56">
        <f>Inputs!G122</f>
        <v>0.5</v>
      </c>
      <c r="AC56" t="s">
        <v>4144</v>
      </c>
      <c r="AD56">
        <f>Inputs!H122</f>
        <v>0.5</v>
      </c>
      <c r="AE56" t="s">
        <v>5177</v>
      </c>
      <c r="AF56">
        <f>Inputs!I122</f>
        <v>0.5</v>
      </c>
      <c r="AG56" t="s">
        <v>3941</v>
      </c>
      <c r="AH56">
        <f>Inputs!J122</f>
        <v>0.5</v>
      </c>
      <c r="AI56" t="s">
        <v>2827</v>
      </c>
      <c r="AJ56">
        <f>Inputs!K122</f>
        <v>0.5</v>
      </c>
      <c r="AK56" t="s">
        <v>4577</v>
      </c>
      <c r="AL56">
        <f>Inputs!L122</f>
        <v>0.5</v>
      </c>
      <c r="AM56" t="s">
        <v>1400</v>
      </c>
      <c r="AN56">
        <f>Inputs!M122</f>
        <v>0.5</v>
      </c>
      <c r="AO56" t="s">
        <v>115</v>
      </c>
      <c r="AP56">
        <f>Inputs!N122</f>
        <v>0.5</v>
      </c>
      <c r="AQ56" t="s">
        <v>644</v>
      </c>
      <c r="AR56">
        <f>Inputs!O122</f>
        <v>0.5</v>
      </c>
      <c r="AS56" t="s">
        <v>4609</v>
      </c>
      <c r="AT56">
        <f>Inputs!P122</f>
        <v>0.5</v>
      </c>
      <c r="AU56" t="s">
        <v>5100</v>
      </c>
      <c r="AV56">
        <f>Inputs!Q122</f>
        <v>0.5</v>
      </c>
      <c r="AW56" t="s">
        <v>763</v>
      </c>
      <c r="AX56">
        <f>Inputs!R122</f>
        <v>0.5</v>
      </c>
      <c r="AY56" t="s">
        <v>5512</v>
      </c>
      <c r="AZ56">
        <f>Inputs!S122</f>
        <v>0.5</v>
      </c>
      <c r="BA56" t="s">
        <v>1402</v>
      </c>
      <c r="BB56">
        <f>Inputs!T122</f>
        <v>0.5</v>
      </c>
      <c r="BC56" t="s">
        <v>2447</v>
      </c>
      <c r="BD56">
        <f>Inputs!U122</f>
        <v>0.5</v>
      </c>
      <c r="BE56" t="s">
        <v>1188</v>
      </c>
      <c r="BF56">
        <f>Inputs!V122</f>
        <v>0.5</v>
      </c>
      <c r="BG56" t="s">
        <v>11</v>
      </c>
      <c r="BH56">
        <f>Inputs!W122</f>
        <v>0.5</v>
      </c>
      <c r="BI56" t="s">
        <v>4539</v>
      </c>
      <c r="BJ56">
        <f>Inputs!F123</f>
        <v>0.5</v>
      </c>
      <c r="BK56" t="s">
        <v>956</v>
      </c>
      <c r="BL56">
        <f>Inputs!G123</f>
        <v>0.5</v>
      </c>
    </row>
    <row r="57" spans="1:64" ht="12.75" customHeight="1" x14ac:dyDescent="0.2">
      <c r="A57" t="s">
        <v>2745</v>
      </c>
      <c r="B57">
        <f>Inputs!H123</f>
        <v>0.5</v>
      </c>
      <c r="C57" t="s">
        <v>3775</v>
      </c>
      <c r="D57">
        <f>Inputs!I123</f>
        <v>0.5</v>
      </c>
      <c r="E57" t="s">
        <v>2470</v>
      </c>
      <c r="F57">
        <f>Inputs!J123</f>
        <v>0.5</v>
      </c>
      <c r="G57" t="s">
        <v>1391</v>
      </c>
      <c r="H57">
        <f>Inputs!K123</f>
        <v>0.5</v>
      </c>
      <c r="I57" t="s">
        <v>3169</v>
      </c>
      <c r="J57">
        <f>Inputs!L123</f>
        <v>0.5</v>
      </c>
      <c r="K57" t="s">
        <v>5867</v>
      </c>
      <c r="L57">
        <f>Inputs!M123</f>
        <v>0.5</v>
      </c>
      <c r="M57" t="s">
        <v>4627</v>
      </c>
      <c r="N57">
        <f>Inputs!N123</f>
        <v>0.5</v>
      </c>
      <c r="O57" t="s">
        <v>5253</v>
      </c>
      <c r="P57">
        <f>Inputs!O123</f>
        <v>0.5</v>
      </c>
      <c r="Q57" t="s">
        <v>5868</v>
      </c>
      <c r="R57">
        <f>Inputs!P123</f>
        <v>0.5</v>
      </c>
      <c r="S57" t="s">
        <v>5878</v>
      </c>
      <c r="T57">
        <f>Inputs!Q123</f>
        <v>0.5</v>
      </c>
      <c r="U57" t="s">
        <v>5406</v>
      </c>
      <c r="V57">
        <f>Inputs!R123</f>
        <v>0.5</v>
      </c>
      <c r="W57" t="s">
        <v>4283</v>
      </c>
      <c r="X57">
        <f>Inputs!S123</f>
        <v>0.5</v>
      </c>
      <c r="Y57" t="s">
        <v>118</v>
      </c>
      <c r="Z57">
        <f>Inputs!T123</f>
        <v>0.5</v>
      </c>
      <c r="AA57" t="s">
        <v>1189</v>
      </c>
      <c r="AB57">
        <f>Inputs!U123</f>
        <v>0.5</v>
      </c>
      <c r="AC57" t="s">
        <v>5830</v>
      </c>
      <c r="AD57">
        <f>Inputs!V123</f>
        <v>0.5</v>
      </c>
      <c r="AE57" t="s">
        <v>4696</v>
      </c>
      <c r="AF57">
        <f>Inputs!W123</f>
        <v>0.5</v>
      </c>
      <c r="AG57" t="s">
        <v>2971</v>
      </c>
      <c r="AH57">
        <f>Inputs!F124</f>
        <v>0.5</v>
      </c>
      <c r="AI57" t="s">
        <v>5617</v>
      </c>
      <c r="AJ57">
        <f>Inputs!G124</f>
        <v>0.5</v>
      </c>
      <c r="AK57" t="s">
        <v>1080</v>
      </c>
      <c r="AL57">
        <f>Inputs!H124</f>
        <v>0.5</v>
      </c>
      <c r="AM57" t="s">
        <v>2962</v>
      </c>
      <c r="AN57">
        <f>Inputs!I124</f>
        <v>0.5</v>
      </c>
      <c r="AO57" t="s">
        <v>2124</v>
      </c>
      <c r="AP57">
        <f>Inputs!J124</f>
        <v>0.5</v>
      </c>
      <c r="AQ57" t="s">
        <v>127</v>
      </c>
      <c r="AR57">
        <f>Inputs!K124</f>
        <v>0.5</v>
      </c>
      <c r="AS57" t="s">
        <v>4176</v>
      </c>
      <c r="AT57">
        <f>Inputs!L124</f>
        <v>0.5</v>
      </c>
      <c r="AU57" t="s">
        <v>5841</v>
      </c>
      <c r="AV57">
        <f>Inputs!M124</f>
        <v>0.5</v>
      </c>
      <c r="AW57" t="s">
        <v>4995</v>
      </c>
      <c r="AX57">
        <f>Inputs!N124</f>
        <v>0.5</v>
      </c>
      <c r="AY57" t="s">
        <v>3850</v>
      </c>
      <c r="AZ57">
        <f>Inputs!O124</f>
        <v>0.5</v>
      </c>
      <c r="BA57" t="s">
        <v>3757</v>
      </c>
      <c r="BB57">
        <f>Inputs!P124</f>
        <v>0.5</v>
      </c>
      <c r="BC57" t="s">
        <v>833</v>
      </c>
      <c r="BD57">
        <f>Inputs!Q124</f>
        <v>0.5</v>
      </c>
      <c r="BE57" t="s">
        <v>4785</v>
      </c>
      <c r="BF57">
        <f>Inputs!R124</f>
        <v>0.5</v>
      </c>
      <c r="BG57" t="s">
        <v>2875</v>
      </c>
      <c r="BH57">
        <f>Inputs!S124</f>
        <v>0.5</v>
      </c>
      <c r="BI57" t="s">
        <v>4517</v>
      </c>
      <c r="BJ57">
        <f>Inputs!T124</f>
        <v>0.5</v>
      </c>
      <c r="BK57" t="s">
        <v>3590</v>
      </c>
      <c r="BL57">
        <f>Inputs!U124</f>
        <v>0.5</v>
      </c>
    </row>
    <row r="58" spans="1:64" ht="12.75" customHeight="1" x14ac:dyDescent="0.2">
      <c r="A58" t="s">
        <v>5216</v>
      </c>
      <c r="B58">
        <f>Inputs!V124</f>
        <v>0.5</v>
      </c>
      <c r="C58" t="s">
        <v>3298</v>
      </c>
      <c r="D58">
        <f>Inputs!W124</f>
        <v>0.5</v>
      </c>
      <c r="E58" t="s">
        <v>3374</v>
      </c>
      <c r="F58">
        <f>Inputs!F125</f>
        <v>0.5</v>
      </c>
      <c r="G58" t="s">
        <v>2071</v>
      </c>
      <c r="H58">
        <f>Inputs!G125</f>
        <v>0.5</v>
      </c>
      <c r="I58" t="s">
        <v>3419</v>
      </c>
      <c r="J58">
        <f>Inputs!H125</f>
        <v>0.5</v>
      </c>
      <c r="K58" t="s">
        <v>5232</v>
      </c>
      <c r="L58">
        <f>Inputs!I125</f>
        <v>0.5</v>
      </c>
      <c r="M58" t="s">
        <v>4430</v>
      </c>
      <c r="N58">
        <f>Inputs!J125</f>
        <v>0.5</v>
      </c>
      <c r="O58" t="s">
        <v>2484</v>
      </c>
      <c r="P58">
        <f>Inputs!K125</f>
        <v>0.5</v>
      </c>
      <c r="Q58" t="s">
        <v>3823</v>
      </c>
      <c r="R58">
        <f>Inputs!L125</f>
        <v>0.5</v>
      </c>
      <c r="S58" t="s">
        <v>2276</v>
      </c>
      <c r="T58">
        <f>Inputs!M125</f>
        <v>0.5</v>
      </c>
      <c r="U58" t="s">
        <v>1449</v>
      </c>
      <c r="V58">
        <f>Inputs!N125</f>
        <v>0.5</v>
      </c>
      <c r="W58" t="s">
        <v>4423</v>
      </c>
      <c r="X58">
        <f>Inputs!O125</f>
        <v>0.5</v>
      </c>
      <c r="Y58" t="s">
        <v>4992</v>
      </c>
      <c r="Z58">
        <f>Inputs!P125</f>
        <v>0.5</v>
      </c>
      <c r="AA58" t="s">
        <v>5040</v>
      </c>
      <c r="AB58">
        <f>Inputs!Q125</f>
        <v>0.5</v>
      </c>
      <c r="AC58" t="s">
        <v>3569</v>
      </c>
      <c r="AD58">
        <f>Inputs!R125</f>
        <v>0.5</v>
      </c>
      <c r="AE58" t="s">
        <v>1608</v>
      </c>
      <c r="AF58">
        <f>Inputs!S125</f>
        <v>0.5</v>
      </c>
      <c r="AG58" t="s">
        <v>2983</v>
      </c>
      <c r="AH58">
        <f>Inputs!T125</f>
        <v>0.5</v>
      </c>
      <c r="AI58" t="s">
        <v>4790</v>
      </c>
      <c r="AJ58">
        <f>Inputs!U125</f>
        <v>0.5</v>
      </c>
      <c r="AK58" t="s">
        <v>3978</v>
      </c>
      <c r="AL58">
        <f>Inputs!V125</f>
        <v>0.5</v>
      </c>
      <c r="AM58" t="s">
        <v>2054</v>
      </c>
      <c r="AN58">
        <f>Inputs!W125</f>
        <v>0.5</v>
      </c>
      <c r="AO58" t="s">
        <v>1172</v>
      </c>
      <c r="AP58">
        <f>Inputs!F126</f>
        <v>0.5</v>
      </c>
      <c r="AQ58" t="s">
        <v>906</v>
      </c>
      <c r="AR58">
        <f>Inputs!G126</f>
        <v>0.5</v>
      </c>
      <c r="AS58" t="s">
        <v>2699</v>
      </c>
      <c r="AT58">
        <f>Inputs!H126</f>
        <v>0.5</v>
      </c>
      <c r="AU58" t="s">
        <v>3691</v>
      </c>
      <c r="AV58">
        <f>Inputs!I126</f>
        <v>0.5</v>
      </c>
      <c r="AW58" t="s">
        <v>2449</v>
      </c>
      <c r="AX58">
        <f>Inputs!J126</f>
        <v>0.5</v>
      </c>
      <c r="AY58" t="s">
        <v>2080</v>
      </c>
      <c r="AZ58">
        <f>Inputs!K126</f>
        <v>0.5</v>
      </c>
      <c r="BA58" t="s">
        <v>3123</v>
      </c>
      <c r="BB58">
        <f>Inputs!L126</f>
        <v>0.5</v>
      </c>
      <c r="BC58" t="s">
        <v>5818</v>
      </c>
      <c r="BD58">
        <f>Inputs!M126</f>
        <v>0.5</v>
      </c>
      <c r="BE58" t="s">
        <v>4578</v>
      </c>
      <c r="BF58">
        <f>Inputs!N126</f>
        <v>0.5</v>
      </c>
      <c r="BG58" t="s">
        <v>5095</v>
      </c>
      <c r="BH58">
        <f>Inputs!O126</f>
        <v>0.5</v>
      </c>
      <c r="BI58" t="s">
        <v>2184</v>
      </c>
      <c r="BJ58">
        <f>Inputs!P126</f>
        <v>0.5</v>
      </c>
      <c r="BK58" t="s">
        <v>3828</v>
      </c>
      <c r="BL58">
        <f>Inputs!Q126</f>
        <v>0.5</v>
      </c>
    </row>
    <row r="59" spans="1:64" ht="12.75" customHeight="1" x14ac:dyDescent="0.2">
      <c r="A59" t="s">
        <v>2109</v>
      </c>
      <c r="B59">
        <f>Inputs!R126</f>
        <v>0.5</v>
      </c>
      <c r="C59" t="s">
        <v>946</v>
      </c>
      <c r="D59">
        <f>Inputs!S126</f>
        <v>0.5</v>
      </c>
      <c r="E59" t="s">
        <v>2734</v>
      </c>
      <c r="F59">
        <f>Inputs!T126</f>
        <v>0.5</v>
      </c>
      <c r="G59" t="s">
        <v>3758</v>
      </c>
      <c r="H59">
        <f>Inputs!U126</f>
        <v>0.5</v>
      </c>
      <c r="I59" t="s">
        <v>2517</v>
      </c>
      <c r="J59">
        <f>Inputs!V126</f>
        <v>0.5</v>
      </c>
      <c r="K59" t="s">
        <v>1375</v>
      </c>
      <c r="L59">
        <f>Inputs!W126</f>
        <v>0.5</v>
      </c>
      <c r="M59" t="s">
        <v>1687</v>
      </c>
      <c r="N59">
        <f>Inputs!F127</f>
        <v>0.5</v>
      </c>
      <c r="O59" t="s">
        <v>3086</v>
      </c>
      <c r="P59">
        <f>Inputs!G127</f>
        <v>0.5</v>
      </c>
      <c r="Q59" t="s">
        <v>4823</v>
      </c>
      <c r="R59">
        <f>Inputs!H127</f>
        <v>0.5</v>
      </c>
      <c r="S59" t="s">
        <v>5879</v>
      </c>
      <c r="T59">
        <f>Inputs!I127</f>
        <v>0.5</v>
      </c>
      <c r="U59" t="s">
        <v>4637</v>
      </c>
      <c r="V59">
        <f>Inputs!J127</f>
        <v>0.5</v>
      </c>
      <c r="W59" t="s">
        <v>1451</v>
      </c>
      <c r="X59">
        <f>Inputs!K127</f>
        <v>0.5</v>
      </c>
      <c r="Y59" t="s">
        <v>5250</v>
      </c>
      <c r="Z59">
        <f>Inputs!L127</f>
        <v>0.5</v>
      </c>
      <c r="AA59" t="s">
        <v>2150</v>
      </c>
      <c r="AB59">
        <f>Inputs!M127</f>
        <v>0.5</v>
      </c>
      <c r="AC59" t="s">
        <v>879</v>
      </c>
      <c r="AD59">
        <f>Inputs!N127</f>
        <v>0.5</v>
      </c>
      <c r="AE59" t="s">
        <v>2720</v>
      </c>
      <c r="AF59">
        <f>Inputs!O127</f>
        <v>0.5</v>
      </c>
      <c r="AG59" t="s">
        <v>2912</v>
      </c>
      <c r="AH59">
        <f>Inputs!P127</f>
        <v>0.5</v>
      </c>
      <c r="AI59" t="s">
        <v>586</v>
      </c>
      <c r="AJ59">
        <f>Inputs!Q127</f>
        <v>0.5</v>
      </c>
      <c r="AK59" t="s">
        <v>557</v>
      </c>
      <c r="AL59">
        <f>Inputs!R127</f>
        <v>0.5</v>
      </c>
      <c r="AM59" t="s">
        <v>5358</v>
      </c>
      <c r="AN59">
        <f>Inputs!S127</f>
        <v>0.5</v>
      </c>
      <c r="AO59" t="s">
        <v>1253</v>
      </c>
      <c r="AP59">
        <f>Inputs!T127</f>
        <v>0.5</v>
      </c>
      <c r="AQ59" t="s">
        <v>2245</v>
      </c>
      <c r="AR59">
        <f>Inputs!U127</f>
        <v>0.5</v>
      </c>
      <c r="AS59" t="s">
        <v>1029</v>
      </c>
      <c r="AT59">
        <f>Inputs!V127</f>
        <v>0.5</v>
      </c>
      <c r="AU59" t="s">
        <v>5782</v>
      </c>
      <c r="AV59">
        <f>Inputs!W127</f>
        <v>0.5</v>
      </c>
      <c r="AW59" t="s">
        <v>5877</v>
      </c>
      <c r="AX59">
        <f>Inputs!F128</f>
        <v>0.5</v>
      </c>
      <c r="AY59" t="s">
        <v>34</v>
      </c>
      <c r="AZ59">
        <f>Inputs!G128</f>
        <v>0.5</v>
      </c>
      <c r="BA59" t="s">
        <v>4605</v>
      </c>
      <c r="BB59">
        <f>Inputs!H128</f>
        <v>0.5</v>
      </c>
      <c r="BC59" t="s">
        <v>5183</v>
      </c>
      <c r="BD59">
        <f>Inputs!I128</f>
        <v>0.5</v>
      </c>
      <c r="BE59" t="s">
        <v>4382</v>
      </c>
      <c r="BF59">
        <f>Inputs!J128</f>
        <v>0.5</v>
      </c>
      <c r="BG59" t="s">
        <v>2436</v>
      </c>
      <c r="BH59">
        <f>Inputs!K128</f>
        <v>0.5</v>
      </c>
      <c r="BI59" t="s">
        <v>3774</v>
      </c>
      <c r="BJ59">
        <f>Inputs!L128</f>
        <v>0.5</v>
      </c>
      <c r="BK59" t="s">
        <v>2226</v>
      </c>
      <c r="BL59">
        <f>Inputs!M128</f>
        <v>0.5</v>
      </c>
    </row>
    <row r="60" spans="1:64" ht="12.75" customHeight="1" x14ac:dyDescent="0.2">
      <c r="A60" t="s">
        <v>1394</v>
      </c>
      <c r="B60">
        <f>Inputs!N128</f>
        <v>0.5</v>
      </c>
      <c r="C60" t="s">
        <v>4275</v>
      </c>
      <c r="D60">
        <f>Inputs!O128</f>
        <v>0.5</v>
      </c>
      <c r="E60" t="s">
        <v>1370</v>
      </c>
      <c r="F60">
        <f>Inputs!P128</f>
        <v>0.5</v>
      </c>
      <c r="G60" t="s">
        <v>3923</v>
      </c>
      <c r="H60">
        <f>Inputs!Q128</f>
        <v>0.5</v>
      </c>
      <c r="I60" t="s">
        <v>4691</v>
      </c>
      <c r="J60">
        <f>Inputs!R128</f>
        <v>0.5</v>
      </c>
      <c r="K60" t="s">
        <v>2079</v>
      </c>
      <c r="L60">
        <f>Inputs!S128</f>
        <v>0.5</v>
      </c>
      <c r="M60" t="s">
        <v>3382</v>
      </c>
      <c r="N60">
        <f>Inputs!T128</f>
        <v>0.5</v>
      </c>
      <c r="O60" t="s">
        <v>5239</v>
      </c>
      <c r="P60">
        <f>Inputs!U128</f>
        <v>0.5</v>
      </c>
      <c r="Q60" t="s">
        <v>4438</v>
      </c>
      <c r="R60">
        <f>Inputs!V128</f>
        <v>0.5</v>
      </c>
      <c r="S60" t="s">
        <v>2492</v>
      </c>
      <c r="T60">
        <f>Inputs!W128</f>
        <v>0.5</v>
      </c>
      <c r="U60" t="s">
        <v>495</v>
      </c>
      <c r="V60">
        <f>Inputs!F129</f>
        <v>0.5</v>
      </c>
      <c r="W60" t="s">
        <v>3120</v>
      </c>
      <c r="X60">
        <f>Inputs!G129</f>
        <v>0.5</v>
      </c>
      <c r="Y60" t="s">
        <v>4460</v>
      </c>
      <c r="Z60">
        <f>Inputs!H129</f>
        <v>0.5</v>
      </c>
      <c r="AA60" t="s">
        <v>377</v>
      </c>
      <c r="AB60">
        <f>Inputs!I129</f>
        <v>0.5</v>
      </c>
      <c r="AC60" t="s">
        <v>5502</v>
      </c>
      <c r="AD60">
        <f>Inputs!J129</f>
        <v>0.5</v>
      </c>
      <c r="AE60" t="s">
        <v>4881</v>
      </c>
      <c r="AF60">
        <f>Inputs!K129</f>
        <v>0.5</v>
      </c>
      <c r="AG60" t="s">
        <v>4855</v>
      </c>
      <c r="AH60">
        <f>Inputs!L129</f>
        <v>0.5</v>
      </c>
      <c r="AI60" t="s">
        <v>3377</v>
      </c>
      <c r="AJ60">
        <f>Inputs!M129</f>
        <v>0.5</v>
      </c>
      <c r="AK60" t="s">
        <v>2549</v>
      </c>
      <c r="AL60">
        <f>Inputs!N129</f>
        <v>0.5</v>
      </c>
      <c r="AM60" t="s">
        <v>1908</v>
      </c>
      <c r="AN60">
        <f>Inputs!O129</f>
        <v>0.5</v>
      </c>
      <c r="AO60" t="s">
        <v>2067</v>
      </c>
      <c r="AP60">
        <f>Inputs!P129</f>
        <v>0.5</v>
      </c>
      <c r="AQ60" t="s">
        <v>447</v>
      </c>
      <c r="AR60">
        <f>Inputs!Q129</f>
        <v>0.5</v>
      </c>
      <c r="AS60" t="s">
        <v>1337</v>
      </c>
      <c r="AT60">
        <f>Inputs!R129</f>
        <v>0.5</v>
      </c>
      <c r="AU60" t="s">
        <v>527</v>
      </c>
      <c r="AV60">
        <f>Inputs!S129</f>
        <v>0.5</v>
      </c>
      <c r="AW60" t="s">
        <v>1899</v>
      </c>
      <c r="AX60">
        <f>Inputs!T129</f>
        <v>0.5</v>
      </c>
      <c r="AY60" t="s">
        <v>3745</v>
      </c>
      <c r="AZ60">
        <f>Inputs!U129</f>
        <v>0.5</v>
      </c>
      <c r="BA60" t="s">
        <v>2940</v>
      </c>
      <c r="BB60">
        <f>Inputs!V129</f>
        <v>0.5</v>
      </c>
      <c r="BC60" t="s">
        <v>962</v>
      </c>
      <c r="BD60">
        <f>Inputs!W129</f>
        <v>0.5</v>
      </c>
      <c r="BE60" t="s">
        <v>978</v>
      </c>
      <c r="BF60">
        <f>Inputs!F138</f>
        <v>200</v>
      </c>
      <c r="BG60" t="s">
        <v>4199</v>
      </c>
      <c r="BH60">
        <f>Inputs!G138</f>
        <v>200</v>
      </c>
      <c r="BI60" t="s">
        <v>3352</v>
      </c>
      <c r="BJ60">
        <f>Inputs!H138</f>
        <v>200</v>
      </c>
      <c r="BK60" t="s">
        <v>4261</v>
      </c>
      <c r="BL60">
        <f>Inputs!I138</f>
        <v>200</v>
      </c>
    </row>
    <row r="61" spans="1:64" ht="12.75" customHeight="1" x14ac:dyDescent="0.2">
      <c r="A61" t="s">
        <v>3028</v>
      </c>
      <c r="B61">
        <f>Inputs!J138</f>
        <v>200</v>
      </c>
      <c r="C61" t="s">
        <v>3099</v>
      </c>
      <c r="D61">
        <f>Inputs!K138</f>
        <v>200</v>
      </c>
      <c r="E61" t="s">
        <v>3234</v>
      </c>
      <c r="F61">
        <f>Inputs!L138</f>
        <v>200</v>
      </c>
      <c r="G61" t="s">
        <v>4672</v>
      </c>
      <c r="H61">
        <f>Inputs!M138</f>
        <v>200</v>
      </c>
      <c r="I61" t="s">
        <v>3443</v>
      </c>
      <c r="J61">
        <f>Inputs!N138</f>
        <v>200</v>
      </c>
      <c r="K61" t="s">
        <v>4121</v>
      </c>
      <c r="L61">
        <f>Inputs!O138</f>
        <v>200</v>
      </c>
      <c r="M61" t="s">
        <v>2878</v>
      </c>
      <c r="N61">
        <f>Inputs!P138</f>
        <v>200</v>
      </c>
      <c r="O61" t="s">
        <v>3150</v>
      </c>
      <c r="P61">
        <f>Inputs!Q138</f>
        <v>200</v>
      </c>
      <c r="Q61" t="s">
        <v>4208</v>
      </c>
      <c r="R61">
        <f>Inputs!R138</f>
        <v>200</v>
      </c>
      <c r="S61" t="s">
        <v>3742</v>
      </c>
      <c r="T61">
        <f>Inputs!S138</f>
        <v>200</v>
      </c>
      <c r="U61" t="s">
        <v>2894</v>
      </c>
      <c r="V61">
        <f>Inputs!T138</f>
        <v>200</v>
      </c>
      <c r="W61" t="s">
        <v>2222</v>
      </c>
      <c r="X61">
        <f>Inputs!U138</f>
        <v>200</v>
      </c>
      <c r="Y61" t="s">
        <v>2557</v>
      </c>
      <c r="Z61">
        <f>Inputs!V138</f>
        <v>200</v>
      </c>
      <c r="AA61" t="s">
        <v>2634</v>
      </c>
      <c r="AB61">
        <f>Inputs!W138</f>
        <v>200</v>
      </c>
      <c r="AC61" t="s">
        <v>1769</v>
      </c>
      <c r="AD61">
        <f>Inputs!F139</f>
        <v>200</v>
      </c>
      <c r="AE61" t="s">
        <v>2427</v>
      </c>
      <c r="AF61">
        <f>Inputs!G139</f>
        <v>200</v>
      </c>
      <c r="AG61" t="s">
        <v>4280</v>
      </c>
      <c r="AH61">
        <f>Inputs!H139</f>
        <v>200</v>
      </c>
      <c r="AI61" t="s">
        <v>2446</v>
      </c>
      <c r="AJ61">
        <f>Inputs!I139</f>
        <v>200</v>
      </c>
      <c r="AK61" t="s">
        <v>1187</v>
      </c>
      <c r="AL61">
        <f>Inputs!J139</f>
        <v>200</v>
      </c>
      <c r="AM61" t="s">
        <v>1270</v>
      </c>
      <c r="AN61">
        <f>Inputs!K139</f>
        <v>200</v>
      </c>
      <c r="AO61" t="s">
        <v>1445</v>
      </c>
      <c r="AP61">
        <f>Inputs!L139</f>
        <v>200</v>
      </c>
      <c r="AQ61" t="s">
        <v>2913</v>
      </c>
      <c r="AR61">
        <f>Inputs!M139</f>
        <v>200</v>
      </c>
      <c r="AS61" t="s">
        <v>1645</v>
      </c>
      <c r="AT61">
        <f>Inputs!N139</f>
        <v>200</v>
      </c>
      <c r="AU61" t="s">
        <v>3929</v>
      </c>
      <c r="AV61">
        <f>Inputs!O139</f>
        <v>200</v>
      </c>
      <c r="AW61" t="s">
        <v>4029</v>
      </c>
      <c r="AX61">
        <f>Inputs!P139</f>
        <v>200</v>
      </c>
      <c r="AY61" t="s">
        <v>2620</v>
      </c>
      <c r="AZ61">
        <f>Inputs!Q139</f>
        <v>200</v>
      </c>
      <c r="BA61" t="s">
        <v>1992</v>
      </c>
      <c r="BB61">
        <f>Inputs!R139</f>
        <v>200</v>
      </c>
      <c r="BC61" t="s">
        <v>1513</v>
      </c>
      <c r="BD61">
        <f>Inputs!S139</f>
        <v>200</v>
      </c>
      <c r="BE61" t="s">
        <v>2859</v>
      </c>
      <c r="BF61">
        <f>Inputs!T139</f>
        <v>200</v>
      </c>
      <c r="BG61" t="s">
        <v>1406</v>
      </c>
      <c r="BH61">
        <f>Inputs!U139</f>
        <v>200</v>
      </c>
      <c r="BI61" t="s">
        <v>240</v>
      </c>
      <c r="BJ61">
        <f>Inputs!V139</f>
        <v>200</v>
      </c>
      <c r="BK61" t="s">
        <v>314</v>
      </c>
      <c r="BL61">
        <f>Inputs!W139</f>
        <v>200</v>
      </c>
    </row>
    <row r="62" spans="1:64" ht="12.75" customHeight="1" x14ac:dyDescent="0.2">
      <c r="A62" t="s">
        <v>5015</v>
      </c>
      <c r="B62">
        <f>Inputs!F140</f>
        <v>200</v>
      </c>
      <c r="C62" t="s">
        <v>5892</v>
      </c>
      <c r="D62">
        <f>Inputs!G140</f>
        <v>200</v>
      </c>
      <c r="E62" t="s">
        <v>4972</v>
      </c>
      <c r="F62">
        <f>Inputs!H140</f>
        <v>200</v>
      </c>
      <c r="G62" t="s">
        <v>5910</v>
      </c>
      <c r="H62">
        <f>Inputs!I140</f>
        <v>200</v>
      </c>
      <c r="I62" t="s">
        <v>4670</v>
      </c>
      <c r="J62">
        <f>Inputs!J140</f>
        <v>200</v>
      </c>
      <c r="K62" t="s">
        <v>4736</v>
      </c>
      <c r="L62">
        <f>Inputs!K140</f>
        <v>200</v>
      </c>
      <c r="M62" t="s">
        <v>4860</v>
      </c>
      <c r="N62">
        <f>Inputs!L140</f>
        <v>200</v>
      </c>
      <c r="O62" t="s">
        <v>419</v>
      </c>
      <c r="P62">
        <f>Inputs!M140</f>
        <v>200</v>
      </c>
      <c r="Q62" t="s">
        <v>5063</v>
      </c>
      <c r="R62">
        <f>Inputs!N140</f>
        <v>200</v>
      </c>
      <c r="S62" t="s">
        <v>1749</v>
      </c>
      <c r="T62">
        <f>Inputs!O140</f>
        <v>200</v>
      </c>
      <c r="U62" t="s">
        <v>2824</v>
      </c>
      <c r="V62">
        <f>Inputs!P140</f>
        <v>200</v>
      </c>
      <c r="W62" t="s">
        <v>1867</v>
      </c>
      <c r="X62">
        <f>Inputs!Q140</f>
        <v>200</v>
      </c>
      <c r="Y62" t="s">
        <v>4565</v>
      </c>
      <c r="Z62">
        <f>Inputs!R140</f>
        <v>200</v>
      </c>
      <c r="AA62" t="s">
        <v>4087</v>
      </c>
      <c r="AB62">
        <f>Inputs!S140</f>
        <v>200</v>
      </c>
      <c r="AC62" t="s">
        <v>3200</v>
      </c>
      <c r="AD62">
        <f>Inputs!T140</f>
        <v>200</v>
      </c>
      <c r="AE62" t="s">
        <v>4097</v>
      </c>
      <c r="AF62">
        <f>Inputs!U140</f>
        <v>200</v>
      </c>
      <c r="AG62" t="s">
        <v>2873</v>
      </c>
      <c r="AH62">
        <f>Inputs!V140</f>
        <v>200</v>
      </c>
      <c r="AI62" t="s">
        <v>166</v>
      </c>
      <c r="AJ62">
        <f>Inputs!W140</f>
        <v>200</v>
      </c>
      <c r="AK62" t="s">
        <v>3851</v>
      </c>
      <c r="AL62">
        <f>Inputs!F141</f>
        <v>200</v>
      </c>
      <c r="AM62" t="s">
        <v>2219</v>
      </c>
      <c r="AN62">
        <f>Inputs!G141</f>
        <v>200</v>
      </c>
      <c r="AO62" t="s">
        <v>1318</v>
      </c>
      <c r="AP62">
        <f>Inputs!H141</f>
        <v>200</v>
      </c>
      <c r="AQ62" t="s">
        <v>2280</v>
      </c>
      <c r="AR62">
        <f>Inputs!I141</f>
        <v>200</v>
      </c>
      <c r="AS62" t="s">
        <v>1018</v>
      </c>
      <c r="AT62">
        <f>Inputs!J141</f>
        <v>200</v>
      </c>
      <c r="AU62" t="s">
        <v>1048</v>
      </c>
      <c r="AV62">
        <f>Inputs!K141</f>
        <v>200</v>
      </c>
      <c r="AW62" t="s">
        <v>1235</v>
      </c>
      <c r="AX62">
        <f>Inputs!L141</f>
        <v>200</v>
      </c>
      <c r="AY62" t="s">
        <v>2709</v>
      </c>
      <c r="AZ62">
        <f>Inputs!M141</f>
        <v>200</v>
      </c>
      <c r="BA62" t="s">
        <v>3019</v>
      </c>
      <c r="BB62">
        <f>Inputs!N141</f>
        <v>200</v>
      </c>
      <c r="BC62" t="s">
        <v>718</v>
      </c>
      <c r="BD62">
        <f>Inputs!O141</f>
        <v>200</v>
      </c>
      <c r="BE62" t="s">
        <v>824</v>
      </c>
      <c r="BF62">
        <f>Inputs!P141</f>
        <v>200</v>
      </c>
      <c r="BG62" t="s">
        <v>3671</v>
      </c>
      <c r="BH62">
        <f>Inputs!Q141</f>
        <v>200</v>
      </c>
      <c r="BI62" t="s">
        <v>410</v>
      </c>
      <c r="BJ62">
        <f>Inputs!R141</f>
        <v>200</v>
      </c>
      <c r="BK62" t="s">
        <v>5852</v>
      </c>
      <c r="BL62">
        <f>Inputs!S141</f>
        <v>200</v>
      </c>
    </row>
    <row r="63" spans="1:64" ht="12.75" customHeight="1" x14ac:dyDescent="0.2">
      <c r="A63" t="s">
        <v>4932</v>
      </c>
      <c r="B63">
        <f>Inputs!T141</f>
        <v>200</v>
      </c>
      <c r="C63" t="s">
        <v>1284</v>
      </c>
      <c r="D63">
        <f>Inputs!U141</f>
        <v>200</v>
      </c>
      <c r="E63" t="s">
        <v>4622</v>
      </c>
      <c r="F63">
        <f>Inputs!V141</f>
        <v>200</v>
      </c>
      <c r="G63" t="s">
        <v>4690</v>
      </c>
      <c r="H63">
        <f>Inputs!W141</f>
        <v>200</v>
      </c>
      <c r="I63" t="s">
        <v>5156</v>
      </c>
      <c r="J63">
        <f>Inputs!F143</f>
        <v>0</v>
      </c>
      <c r="K63" t="s">
        <v>1799</v>
      </c>
      <c r="L63">
        <f>Inputs!G143</f>
        <v>0</v>
      </c>
      <c r="M63" t="s">
        <v>4970</v>
      </c>
      <c r="N63">
        <f>Inputs!H143</f>
        <v>0</v>
      </c>
      <c r="O63" t="s">
        <v>4065</v>
      </c>
      <c r="P63">
        <f>Inputs!I143</f>
        <v>0</v>
      </c>
      <c r="Q63" t="s">
        <v>5000</v>
      </c>
      <c r="R63">
        <f>Inputs!J143</f>
        <v>0</v>
      </c>
      <c r="S63" t="s">
        <v>732</v>
      </c>
      <c r="T63">
        <f>Inputs!K143</f>
        <v>0</v>
      </c>
      <c r="U63" t="s">
        <v>1650</v>
      </c>
      <c r="V63">
        <f>Inputs!L143</f>
        <v>0</v>
      </c>
      <c r="W63" t="s">
        <v>2884</v>
      </c>
      <c r="X63">
        <f>Inputs!M143</f>
        <v>0</v>
      </c>
      <c r="Y63" t="s">
        <v>493</v>
      </c>
      <c r="Z63">
        <f>Inputs!N143</f>
        <v>0</v>
      </c>
      <c r="AA63" t="s">
        <v>5753</v>
      </c>
      <c r="AB63">
        <f>Inputs!O143</f>
        <v>0</v>
      </c>
      <c r="AC63" t="s">
        <v>2269</v>
      </c>
      <c r="AD63">
        <f>Inputs!P143</f>
        <v>0</v>
      </c>
      <c r="AE63" t="s">
        <v>2423</v>
      </c>
      <c r="AF63">
        <f>Inputs!Q143</f>
        <v>0</v>
      </c>
      <c r="AG63" t="s">
        <v>3984</v>
      </c>
      <c r="AH63">
        <f>Inputs!R143</f>
        <v>0</v>
      </c>
      <c r="AI63" t="s">
        <v>5582</v>
      </c>
      <c r="AJ63">
        <f>Inputs!S143</f>
        <v>0</v>
      </c>
      <c r="AK63" t="s">
        <v>5265</v>
      </c>
      <c r="AL63">
        <f>Inputs!T143</f>
        <v>0</v>
      </c>
      <c r="AM63" t="s">
        <v>1833</v>
      </c>
      <c r="AN63">
        <f>Inputs!U143</f>
        <v>0</v>
      </c>
      <c r="AO63" t="s">
        <v>2809</v>
      </c>
      <c r="AP63">
        <f>Inputs!V143</f>
        <v>0</v>
      </c>
      <c r="AQ63" t="s">
        <v>1321</v>
      </c>
      <c r="AR63">
        <f>Inputs!W143</f>
        <v>0</v>
      </c>
      <c r="AS63" t="s">
        <v>5799</v>
      </c>
      <c r="AT63">
        <f>Inputs!F144</f>
        <v>0</v>
      </c>
      <c r="AU63" t="s">
        <v>5188</v>
      </c>
      <c r="AV63">
        <f>Inputs!G144</f>
        <v>0</v>
      </c>
      <c r="AW63" t="s">
        <v>5635</v>
      </c>
      <c r="AX63">
        <f>Inputs!H144</f>
        <v>0</v>
      </c>
      <c r="AY63" t="s">
        <v>29</v>
      </c>
      <c r="AZ63">
        <f>Inputs!I144</f>
        <v>0</v>
      </c>
      <c r="BA63" t="s">
        <v>1759</v>
      </c>
      <c r="BB63">
        <f>Inputs!J144</f>
        <v>0</v>
      </c>
      <c r="BC63" t="s">
        <v>1170</v>
      </c>
      <c r="BD63">
        <f>Inputs!K144</f>
        <v>0</v>
      </c>
      <c r="BE63" t="s">
        <v>1568</v>
      </c>
      <c r="BF63">
        <f>Inputs!L144</f>
        <v>0</v>
      </c>
      <c r="BG63" t="s">
        <v>1935</v>
      </c>
      <c r="BH63">
        <f>Inputs!M144</f>
        <v>0</v>
      </c>
      <c r="BI63" t="s">
        <v>283</v>
      </c>
      <c r="BJ63">
        <f>Inputs!N144</f>
        <v>0</v>
      </c>
      <c r="BK63" t="s">
        <v>2225</v>
      </c>
      <c r="BL63">
        <f>Inputs!O144</f>
        <v>0</v>
      </c>
    </row>
    <row r="64" spans="1:64" ht="12.75" customHeight="1" x14ac:dyDescent="0.2">
      <c r="A64" t="s">
        <v>4618</v>
      </c>
      <c r="B64">
        <f>Inputs!P144</f>
        <v>0</v>
      </c>
      <c r="C64" t="s">
        <v>4749</v>
      </c>
      <c r="D64">
        <f>Inputs!Q144</f>
        <v>0</v>
      </c>
      <c r="E64" t="s">
        <v>5700</v>
      </c>
      <c r="F64">
        <f>Inputs!R144</f>
        <v>0</v>
      </c>
      <c r="G64" t="s">
        <v>5022</v>
      </c>
      <c r="H64">
        <f>Inputs!S144</f>
        <v>0</v>
      </c>
      <c r="I64" t="s">
        <v>5481</v>
      </c>
      <c r="J64">
        <f>Inputs!T144</f>
        <v>0</v>
      </c>
      <c r="K64" t="s">
        <v>3631</v>
      </c>
      <c r="L64">
        <f>Inputs!U144</f>
        <v>0</v>
      </c>
      <c r="M64" t="s">
        <v>1667</v>
      </c>
      <c r="N64">
        <f>Inputs!V144</f>
        <v>0</v>
      </c>
      <c r="O64" t="s">
        <v>1009</v>
      </c>
      <c r="P64">
        <f>Inputs!W144</f>
        <v>0</v>
      </c>
      <c r="Q64" t="s">
        <v>4814</v>
      </c>
      <c r="R64">
        <f>Inputs!F145</f>
        <v>0</v>
      </c>
      <c r="S64" t="s">
        <v>178</v>
      </c>
      <c r="T64">
        <f>Inputs!G145</f>
        <v>0</v>
      </c>
      <c r="U64" t="s">
        <v>2406</v>
      </c>
      <c r="V64">
        <f>Inputs!H145</f>
        <v>0</v>
      </c>
      <c r="W64" t="s">
        <v>5462</v>
      </c>
      <c r="X64">
        <f>Inputs!I145</f>
        <v>0</v>
      </c>
      <c r="Y64" t="s">
        <v>1117</v>
      </c>
      <c r="Z64">
        <f>Inputs!J145</f>
        <v>0</v>
      </c>
      <c r="AA64" t="s">
        <v>5044</v>
      </c>
      <c r="AB64">
        <f>Inputs!K145</f>
        <v>0</v>
      </c>
      <c r="AC64" t="s">
        <v>3870</v>
      </c>
      <c r="AD64">
        <f>Inputs!L145</f>
        <v>0</v>
      </c>
      <c r="AE64" t="s">
        <v>3769</v>
      </c>
      <c r="AF64">
        <f>Inputs!M145</f>
        <v>0</v>
      </c>
      <c r="AG64" t="s">
        <v>2512</v>
      </c>
      <c r="AH64">
        <f>Inputs!N145</f>
        <v>0</v>
      </c>
      <c r="AI64" t="s">
        <v>5477</v>
      </c>
      <c r="AJ64">
        <f>Inputs!O145</f>
        <v>0</v>
      </c>
      <c r="AK64" t="s">
        <v>987</v>
      </c>
      <c r="AL64">
        <f>Inputs!P145</f>
        <v>0</v>
      </c>
      <c r="AM64" t="s">
        <v>5607</v>
      </c>
      <c r="AN64">
        <f>Inputs!Q145</f>
        <v>0</v>
      </c>
      <c r="AO64" t="s">
        <v>1365</v>
      </c>
      <c r="AP64">
        <f>Inputs!R145</f>
        <v>0</v>
      </c>
      <c r="AQ64" t="s">
        <v>3990</v>
      </c>
      <c r="AR64">
        <f>Inputs!S145</f>
        <v>0</v>
      </c>
      <c r="AS64" t="s">
        <v>264</v>
      </c>
      <c r="AT64">
        <f>Inputs!T145</f>
        <v>0</v>
      </c>
      <c r="AU64" t="s">
        <v>3253</v>
      </c>
      <c r="AV64">
        <f>Inputs!U145</f>
        <v>0</v>
      </c>
      <c r="AW64" t="s">
        <v>4759</v>
      </c>
      <c r="AX64">
        <f>Inputs!V145</f>
        <v>0</v>
      </c>
      <c r="AY64" t="s">
        <v>2854</v>
      </c>
      <c r="AZ64">
        <f>Inputs!W145</f>
        <v>0</v>
      </c>
      <c r="BA64" t="s">
        <v>755</v>
      </c>
      <c r="BB64">
        <f>Inputs!F146</f>
        <v>0</v>
      </c>
      <c r="BC64" t="s">
        <v>3651</v>
      </c>
      <c r="BD64">
        <f>Inputs!G146</f>
        <v>0</v>
      </c>
      <c r="BE64" t="s">
        <v>645</v>
      </c>
      <c r="BF64">
        <f>Inputs!H146</f>
        <v>0</v>
      </c>
      <c r="BG64" t="s">
        <v>1520</v>
      </c>
      <c r="BH64">
        <f>Inputs!I146</f>
        <v>0</v>
      </c>
      <c r="BI64" t="s">
        <v>3771</v>
      </c>
      <c r="BJ64">
        <f>Inputs!J146</f>
        <v>0</v>
      </c>
      <c r="BK64" t="s">
        <v>5448</v>
      </c>
      <c r="BL64">
        <f>Inputs!K146</f>
        <v>0</v>
      </c>
    </row>
    <row r="65" spans="1:64" ht="12.75" customHeight="1" x14ac:dyDescent="0.2">
      <c r="A65" t="s">
        <v>5467</v>
      </c>
      <c r="B65">
        <f>Inputs!L146</f>
        <v>0</v>
      </c>
      <c r="C65" t="s">
        <v>3345</v>
      </c>
      <c r="D65">
        <f>Inputs!M146</f>
        <v>0</v>
      </c>
      <c r="E65" t="s">
        <v>2277</v>
      </c>
      <c r="F65">
        <f>Inputs!N146</f>
        <v>0</v>
      </c>
      <c r="G65" t="s">
        <v>175</v>
      </c>
      <c r="H65">
        <f>Inputs!O146</f>
        <v>0</v>
      </c>
      <c r="I65" t="s">
        <v>3320</v>
      </c>
      <c r="J65">
        <f>Inputs!P146</f>
        <v>0</v>
      </c>
      <c r="K65" t="s">
        <v>2058</v>
      </c>
      <c r="L65">
        <f>Inputs!Q146</f>
        <v>0</v>
      </c>
      <c r="M65" t="s">
        <v>1798</v>
      </c>
      <c r="N65">
        <f>Inputs!R146</f>
        <v>0</v>
      </c>
      <c r="O65" t="s">
        <v>3506</v>
      </c>
      <c r="P65">
        <f>Inputs!S146</f>
        <v>0</v>
      </c>
      <c r="Q65" t="s">
        <v>3770</v>
      </c>
      <c r="R65">
        <f>Inputs!T146</f>
        <v>0</v>
      </c>
      <c r="S65" t="s">
        <v>1371</v>
      </c>
      <c r="T65">
        <f>Inputs!U146</f>
        <v>0</v>
      </c>
      <c r="U65" t="s">
        <v>3620</v>
      </c>
      <c r="V65">
        <f>Inputs!V146</f>
        <v>0</v>
      </c>
      <c r="W65" t="s">
        <v>5296</v>
      </c>
      <c r="X65">
        <f>Inputs!W146</f>
        <v>0</v>
      </c>
      <c r="Y65" t="s">
        <v>3412</v>
      </c>
      <c r="Z65">
        <f>Inputs!F148</f>
        <v>0</v>
      </c>
      <c r="AA65" t="s">
        <v>2642</v>
      </c>
      <c r="AB65">
        <f>Inputs!G148</f>
        <v>0</v>
      </c>
      <c r="AC65" t="s">
        <v>1805</v>
      </c>
      <c r="AD65">
        <f>Inputs!H148</f>
        <v>0</v>
      </c>
      <c r="AE65" t="s">
        <v>216</v>
      </c>
      <c r="AF65">
        <f>Inputs!I148</f>
        <v>0</v>
      </c>
      <c r="AG65" t="s">
        <v>4973</v>
      </c>
      <c r="AH65">
        <f>Inputs!J148</f>
        <v>0</v>
      </c>
      <c r="AI65" t="s">
        <v>4045</v>
      </c>
      <c r="AJ65">
        <f>Inputs!K148</f>
        <v>0</v>
      </c>
      <c r="AK65" t="s">
        <v>4197</v>
      </c>
      <c r="AL65">
        <f>Inputs!L148</f>
        <v>0</v>
      </c>
      <c r="AM65" t="s">
        <v>1627</v>
      </c>
      <c r="AN65">
        <f>Inputs!M148</f>
        <v>0</v>
      </c>
      <c r="AO65" t="s">
        <v>1815</v>
      </c>
      <c r="AP65">
        <f>Inputs!N148</f>
        <v>0</v>
      </c>
      <c r="AQ65" t="s">
        <v>1592</v>
      </c>
      <c r="AR65">
        <f>Inputs!O148</f>
        <v>0</v>
      </c>
      <c r="AS65" t="s">
        <v>4368</v>
      </c>
      <c r="AT65">
        <f>Inputs!P148</f>
        <v>0</v>
      </c>
      <c r="AU65" t="s">
        <v>1806</v>
      </c>
      <c r="AV65">
        <f>Inputs!Q148</f>
        <v>0</v>
      </c>
      <c r="AW65" t="s">
        <v>3268</v>
      </c>
      <c r="AX65">
        <f>Inputs!R148</f>
        <v>0</v>
      </c>
      <c r="AY65" t="s">
        <v>1059</v>
      </c>
      <c r="AZ65">
        <f>Inputs!S148</f>
        <v>0</v>
      </c>
      <c r="BA65" t="s">
        <v>183</v>
      </c>
      <c r="BB65">
        <f>Inputs!T148</f>
        <v>0</v>
      </c>
      <c r="BC65" t="s">
        <v>4455</v>
      </c>
      <c r="BD65">
        <f>Inputs!U148</f>
        <v>0</v>
      </c>
      <c r="BE65" t="s">
        <v>4633</v>
      </c>
      <c r="BF65">
        <f>Inputs!V148</f>
        <v>0</v>
      </c>
      <c r="BG65" t="s">
        <v>2356</v>
      </c>
      <c r="BH65">
        <f>Inputs!W148</f>
        <v>0</v>
      </c>
      <c r="BI65" t="s">
        <v>5850</v>
      </c>
      <c r="BJ65">
        <f>Inputs!F149</f>
        <v>0</v>
      </c>
      <c r="BK65" t="s">
        <v>3016</v>
      </c>
      <c r="BL65">
        <f>Inputs!G149</f>
        <v>0</v>
      </c>
    </row>
    <row r="66" spans="1:64" ht="12.75" customHeight="1" x14ac:dyDescent="0.2">
      <c r="A66" t="s">
        <v>117</v>
      </c>
      <c r="B66">
        <f>Inputs!H149</f>
        <v>0</v>
      </c>
      <c r="C66" t="s">
        <v>4982</v>
      </c>
      <c r="D66">
        <f>Inputs!I149</f>
        <v>0</v>
      </c>
      <c r="E66" t="s">
        <v>5181</v>
      </c>
      <c r="F66">
        <f>Inputs!J149</f>
        <v>0</v>
      </c>
      <c r="G66" t="s">
        <v>4429</v>
      </c>
      <c r="H66">
        <f>Inputs!K149</f>
        <v>0</v>
      </c>
      <c r="I66" t="s">
        <v>4569</v>
      </c>
      <c r="J66">
        <f>Inputs!L149</f>
        <v>0</v>
      </c>
      <c r="K66" t="s">
        <v>476</v>
      </c>
      <c r="L66">
        <f>Inputs!M149</f>
        <v>0</v>
      </c>
      <c r="M66" t="s">
        <v>1220</v>
      </c>
      <c r="N66">
        <f>Inputs!N149</f>
        <v>0</v>
      </c>
      <c r="O66" t="s">
        <v>1637</v>
      </c>
      <c r="P66">
        <f>Inputs!O149</f>
        <v>0</v>
      </c>
      <c r="Q66" t="s">
        <v>4279</v>
      </c>
      <c r="R66">
        <f>Inputs!P149</f>
        <v>0</v>
      </c>
      <c r="S66" t="s">
        <v>1811</v>
      </c>
      <c r="T66">
        <f>Inputs!Q149</f>
        <v>0</v>
      </c>
      <c r="U66" t="s">
        <v>2373</v>
      </c>
      <c r="V66">
        <f>Inputs!R149</f>
        <v>0</v>
      </c>
      <c r="W66" t="s">
        <v>1679</v>
      </c>
      <c r="X66">
        <f>Inputs!S149</f>
        <v>0</v>
      </c>
      <c r="Y66" t="s">
        <v>823</v>
      </c>
      <c r="Z66">
        <f>Inputs!T149</f>
        <v>0</v>
      </c>
      <c r="AA66" t="s">
        <v>3566</v>
      </c>
      <c r="AB66">
        <f>Inputs!U149</f>
        <v>0</v>
      </c>
      <c r="AC66" t="s">
        <v>3751</v>
      </c>
      <c r="AD66">
        <f>Inputs!V149</f>
        <v>0</v>
      </c>
      <c r="AE66" t="s">
        <v>2989</v>
      </c>
      <c r="AF66">
        <f>Inputs!W149</f>
        <v>0</v>
      </c>
      <c r="AG66" t="s">
        <v>2626</v>
      </c>
      <c r="AH66">
        <f>Inputs!F153</f>
        <v>5</v>
      </c>
      <c r="AI66" t="s">
        <v>894</v>
      </c>
      <c r="AJ66">
        <f>Inputs!G153</f>
        <v>5</v>
      </c>
      <c r="AK66" t="s">
        <v>1341</v>
      </c>
      <c r="AL66">
        <f>Inputs!H153</f>
        <v>5</v>
      </c>
      <c r="AM66" t="s">
        <v>3706</v>
      </c>
      <c r="AN66">
        <f>Inputs!I153</f>
        <v>5</v>
      </c>
      <c r="AO66" t="s">
        <v>5395</v>
      </c>
      <c r="AP66">
        <f>Inputs!J153</f>
        <v>5</v>
      </c>
      <c r="AQ66" t="s">
        <v>4281</v>
      </c>
      <c r="AR66">
        <f>Inputs!K153</f>
        <v>5</v>
      </c>
      <c r="AS66" t="s">
        <v>5845</v>
      </c>
      <c r="AT66">
        <f>Inputs!L153</f>
        <v>5</v>
      </c>
      <c r="AU66" t="s">
        <v>3004</v>
      </c>
      <c r="AV66">
        <f>Inputs!M153</f>
        <v>5</v>
      </c>
      <c r="AW66" t="s">
        <v>2987</v>
      </c>
      <c r="AX66">
        <f>Inputs!N153</f>
        <v>5</v>
      </c>
      <c r="AY66" t="s">
        <v>4646</v>
      </c>
      <c r="AZ66">
        <f>Inputs!O153</f>
        <v>5</v>
      </c>
      <c r="BA66" t="s">
        <v>4479</v>
      </c>
      <c r="BB66">
        <f>Inputs!P153</f>
        <v>5</v>
      </c>
      <c r="BC66" t="s">
        <v>4730</v>
      </c>
      <c r="BD66">
        <f>Inputs!Q153</f>
        <v>5</v>
      </c>
      <c r="BE66" t="s">
        <v>4529</v>
      </c>
      <c r="BF66">
        <f>Inputs!R153</f>
        <v>5</v>
      </c>
      <c r="BG66" t="s">
        <v>4531</v>
      </c>
      <c r="BH66">
        <f>Inputs!S153</f>
        <v>5</v>
      </c>
      <c r="BI66" t="s">
        <v>4944</v>
      </c>
      <c r="BJ66">
        <f>Inputs!T153</f>
        <v>5</v>
      </c>
      <c r="BK66" t="s">
        <v>1443</v>
      </c>
      <c r="BL66">
        <f>Inputs!U153</f>
        <v>5</v>
      </c>
    </row>
    <row r="67" spans="1:64" ht="12.75" customHeight="1" x14ac:dyDescent="0.2">
      <c r="A67" t="s">
        <v>3158</v>
      </c>
      <c r="B67">
        <f>Inputs!V153</f>
        <v>5</v>
      </c>
      <c r="C67" t="s">
        <v>3160</v>
      </c>
      <c r="D67">
        <f>Inputs!W153</f>
        <v>5</v>
      </c>
      <c r="E67" t="s">
        <v>2204</v>
      </c>
      <c r="F67">
        <f>Inputs!F154</f>
        <v>5</v>
      </c>
      <c r="G67" t="s">
        <v>724</v>
      </c>
      <c r="H67">
        <f>Inputs!G154</f>
        <v>5</v>
      </c>
      <c r="I67" t="s">
        <v>1786</v>
      </c>
      <c r="J67">
        <f>Inputs!H154</f>
        <v>5</v>
      </c>
      <c r="K67" t="s">
        <v>4975</v>
      </c>
      <c r="L67">
        <f>Inputs!I154</f>
        <v>5</v>
      </c>
      <c r="M67" t="s">
        <v>68</v>
      </c>
      <c r="N67">
        <f>Inputs!J154</f>
        <v>5</v>
      </c>
      <c r="O67" t="s">
        <v>2376</v>
      </c>
      <c r="P67">
        <f>Inputs!K154</f>
        <v>5</v>
      </c>
      <c r="Q67" t="s">
        <v>2074</v>
      </c>
      <c r="R67">
        <f>Inputs!L154</f>
        <v>5</v>
      </c>
      <c r="S67" t="s">
        <v>3688</v>
      </c>
      <c r="T67">
        <f>Inputs!M154</f>
        <v>5</v>
      </c>
      <c r="U67" t="s">
        <v>1368</v>
      </c>
      <c r="V67">
        <f>Inputs!N154</f>
        <v>5</v>
      </c>
      <c r="W67" t="s">
        <v>1844</v>
      </c>
      <c r="X67">
        <f>Inputs!O154</f>
        <v>5</v>
      </c>
      <c r="Y67" t="s">
        <v>327</v>
      </c>
      <c r="Z67">
        <f>Inputs!P154</f>
        <v>5</v>
      </c>
      <c r="AA67" t="s">
        <v>652</v>
      </c>
      <c r="AB67">
        <f>Inputs!Q154</f>
        <v>5</v>
      </c>
      <c r="AC67" t="s">
        <v>5110</v>
      </c>
      <c r="AD67">
        <f>Inputs!R154</f>
        <v>5</v>
      </c>
      <c r="AE67" t="s">
        <v>4387</v>
      </c>
      <c r="AF67">
        <f>Inputs!S154</f>
        <v>5</v>
      </c>
      <c r="AG67" t="s">
        <v>4018</v>
      </c>
      <c r="AH67">
        <f>Inputs!T154</f>
        <v>5</v>
      </c>
      <c r="AI67" t="s">
        <v>2636</v>
      </c>
      <c r="AJ67">
        <f>Inputs!U154</f>
        <v>5</v>
      </c>
      <c r="AK67" t="s">
        <v>3617</v>
      </c>
      <c r="AL67">
        <f>Inputs!V154</f>
        <v>5</v>
      </c>
      <c r="AM67" t="s">
        <v>5872</v>
      </c>
      <c r="AN67">
        <f>Inputs!W154</f>
        <v>5</v>
      </c>
      <c r="AO67" t="s">
        <v>4217</v>
      </c>
      <c r="AP67">
        <f>Inputs!F155</f>
        <v>5</v>
      </c>
      <c r="AQ67" t="s">
        <v>2502</v>
      </c>
      <c r="AR67">
        <f>Inputs!G155</f>
        <v>5</v>
      </c>
      <c r="AS67" t="s">
        <v>21</v>
      </c>
      <c r="AT67">
        <f>Inputs!H155</f>
        <v>5</v>
      </c>
      <c r="AU67" t="s">
        <v>5278</v>
      </c>
      <c r="AV67">
        <f>Inputs!I155</f>
        <v>5</v>
      </c>
      <c r="AW67" t="s">
        <v>371</v>
      </c>
      <c r="AX67">
        <f>Inputs!J155</f>
        <v>5</v>
      </c>
      <c r="AY67" t="s">
        <v>1107</v>
      </c>
      <c r="AZ67">
        <f>Inputs!K155</f>
        <v>5</v>
      </c>
      <c r="BA67" t="s">
        <v>790</v>
      </c>
      <c r="BB67">
        <f>Inputs!L155</f>
        <v>5</v>
      </c>
      <c r="BC67" t="s">
        <v>1088</v>
      </c>
      <c r="BD67">
        <f>Inputs!M155</f>
        <v>5</v>
      </c>
      <c r="BE67" t="s">
        <v>4629</v>
      </c>
      <c r="BF67">
        <f>Inputs!N155</f>
        <v>5</v>
      </c>
      <c r="BG67" t="s">
        <v>1772</v>
      </c>
      <c r="BH67">
        <f>Inputs!O155</f>
        <v>5</v>
      </c>
      <c r="BI67" t="s">
        <v>294</v>
      </c>
      <c r="BJ67">
        <f>Inputs!P155</f>
        <v>5</v>
      </c>
      <c r="BK67" t="s">
        <v>581</v>
      </c>
      <c r="BL67">
        <f>Inputs!Q155</f>
        <v>5</v>
      </c>
    </row>
    <row r="68" spans="1:64" ht="12.75" customHeight="1" x14ac:dyDescent="0.2">
      <c r="A68" t="s">
        <v>4004</v>
      </c>
      <c r="B68">
        <f>Inputs!R155</f>
        <v>5</v>
      </c>
      <c r="C68" t="s">
        <v>4717</v>
      </c>
      <c r="D68">
        <f>Inputs!S155</f>
        <v>5</v>
      </c>
      <c r="E68" t="s">
        <v>5404</v>
      </c>
      <c r="F68">
        <f>Inputs!T155</f>
        <v>5</v>
      </c>
      <c r="G68" t="s">
        <v>1634</v>
      </c>
      <c r="H68">
        <f>Inputs!U155</f>
        <v>5</v>
      </c>
      <c r="I68" t="s">
        <v>2650</v>
      </c>
      <c r="J68">
        <f>Inputs!V155</f>
        <v>5</v>
      </c>
      <c r="K68" t="s">
        <v>319</v>
      </c>
      <c r="L68">
        <f>Inputs!W155</f>
        <v>5</v>
      </c>
      <c r="M68" t="s">
        <v>4353</v>
      </c>
      <c r="N68">
        <f>Inputs!F156</f>
        <v>5</v>
      </c>
      <c r="O68" t="s">
        <v>1274</v>
      </c>
      <c r="P68">
        <f>Inputs!G156</f>
        <v>5</v>
      </c>
      <c r="Q68" t="s">
        <v>5551</v>
      </c>
      <c r="R68">
        <f>Inputs!H156</f>
        <v>5</v>
      </c>
      <c r="S68" t="s">
        <v>2052</v>
      </c>
      <c r="T68">
        <f>Inputs!I156</f>
        <v>5</v>
      </c>
      <c r="U68" t="s">
        <v>3783</v>
      </c>
      <c r="V68">
        <f>Inputs!J156</f>
        <v>5</v>
      </c>
      <c r="W68" t="s">
        <v>3750</v>
      </c>
      <c r="X68">
        <f>Inputs!K156</f>
        <v>5</v>
      </c>
      <c r="Y68" t="s">
        <v>4187</v>
      </c>
      <c r="Z68">
        <f>Inputs!L156</f>
        <v>5</v>
      </c>
      <c r="AA68" t="s">
        <v>3731</v>
      </c>
      <c r="AB68">
        <f>Inputs!M156</f>
        <v>5</v>
      </c>
      <c r="AC68" t="s">
        <v>2142</v>
      </c>
      <c r="AD68">
        <f>Inputs!N156</f>
        <v>5</v>
      </c>
      <c r="AE68" t="s">
        <v>667</v>
      </c>
      <c r="AF68">
        <f>Inputs!O156</f>
        <v>5</v>
      </c>
      <c r="AG68" t="s">
        <v>991</v>
      </c>
      <c r="AH68">
        <f>Inputs!P156</f>
        <v>5</v>
      </c>
      <c r="AI68" t="s">
        <v>5379</v>
      </c>
      <c r="AJ68">
        <f>Inputs!Q156</f>
        <v>5</v>
      </c>
      <c r="AK68" t="s">
        <v>28</v>
      </c>
      <c r="AL68">
        <f>Inputs!R156</f>
        <v>5</v>
      </c>
      <c r="AM68" t="s">
        <v>1760</v>
      </c>
      <c r="AN68">
        <f>Inputs!S156</f>
        <v>5</v>
      </c>
      <c r="AO68" t="s">
        <v>443</v>
      </c>
      <c r="AP68">
        <f>Inputs!T156</f>
        <v>5</v>
      </c>
      <c r="AQ68" t="s">
        <v>2844</v>
      </c>
      <c r="AR68">
        <f>Inputs!U156</f>
        <v>5</v>
      </c>
      <c r="AS68" t="s">
        <v>4582</v>
      </c>
      <c r="AT68">
        <f>Inputs!V156</f>
        <v>5</v>
      </c>
      <c r="AU68" t="s">
        <v>4544</v>
      </c>
      <c r="AV68">
        <f>Inputs!W156</f>
        <v>5</v>
      </c>
      <c r="AW68" t="s">
        <v>4317</v>
      </c>
      <c r="AX68">
        <f>Inputs!F157</f>
        <v>5</v>
      </c>
      <c r="AY68" t="s">
        <v>965</v>
      </c>
      <c r="AZ68">
        <f>Inputs!G157</f>
        <v>5</v>
      </c>
      <c r="BA68" t="s">
        <v>643</v>
      </c>
      <c r="BB68">
        <f>Inputs!H157</f>
        <v>5</v>
      </c>
      <c r="BC68" t="s">
        <v>5124</v>
      </c>
      <c r="BD68">
        <f>Inputs!I157</f>
        <v>5</v>
      </c>
      <c r="BE68" t="s">
        <v>181</v>
      </c>
      <c r="BF68">
        <f>Inputs!J157</f>
        <v>5</v>
      </c>
      <c r="BG68" t="s">
        <v>2477</v>
      </c>
      <c r="BH68">
        <f>Inputs!K157</f>
        <v>5</v>
      </c>
      <c r="BI68" t="s">
        <v>5810</v>
      </c>
      <c r="BJ68">
        <f>Inputs!L157</f>
        <v>5</v>
      </c>
      <c r="BK68" t="s">
        <v>3825</v>
      </c>
      <c r="BL68">
        <f>Inputs!M157</f>
        <v>5</v>
      </c>
    </row>
    <row r="69" spans="1:64" ht="12.75" customHeight="1" x14ac:dyDescent="0.2">
      <c r="A69" t="s">
        <v>1471</v>
      </c>
      <c r="B69">
        <f>Inputs!N157</f>
        <v>5</v>
      </c>
      <c r="C69" t="s">
        <v>4053</v>
      </c>
      <c r="D69">
        <f>Inputs!O157</f>
        <v>5</v>
      </c>
      <c r="E69" t="s">
        <v>2588</v>
      </c>
      <c r="F69">
        <f>Inputs!P157</f>
        <v>5</v>
      </c>
      <c r="G69" t="s">
        <v>2895</v>
      </c>
      <c r="H69">
        <f>Inputs!Q157</f>
        <v>5</v>
      </c>
      <c r="I69" t="s">
        <v>4558</v>
      </c>
      <c r="J69">
        <f>Inputs!R157</f>
        <v>5</v>
      </c>
      <c r="K69" t="s">
        <v>918</v>
      </c>
      <c r="L69">
        <f>Inputs!S157</f>
        <v>5</v>
      </c>
      <c r="M69" t="s">
        <v>596</v>
      </c>
      <c r="N69">
        <f>Inputs!T157</f>
        <v>5</v>
      </c>
      <c r="O69" t="s">
        <v>5073</v>
      </c>
      <c r="P69">
        <f>Inputs!U157</f>
        <v>5</v>
      </c>
      <c r="Q69" t="s">
        <v>2764</v>
      </c>
      <c r="R69">
        <f>Inputs!V157</f>
        <v>5</v>
      </c>
      <c r="S69" t="s">
        <v>2435</v>
      </c>
      <c r="T69">
        <f>Inputs!W157</f>
        <v>5</v>
      </c>
      <c r="U69" t="s">
        <v>4320</v>
      </c>
      <c r="V69">
        <f>Inputs!F158</f>
        <v>5</v>
      </c>
      <c r="W69" t="s">
        <v>1881</v>
      </c>
      <c r="X69">
        <f>Inputs!G158</f>
        <v>5</v>
      </c>
      <c r="Y69" t="s">
        <v>4547</v>
      </c>
      <c r="Z69">
        <f>Inputs!H158</f>
        <v>5</v>
      </c>
      <c r="AA69" t="s">
        <v>4832</v>
      </c>
      <c r="AB69">
        <f>Inputs!I158</f>
        <v>5</v>
      </c>
      <c r="AC69" t="s">
        <v>1152</v>
      </c>
      <c r="AD69">
        <f>Inputs!J158</f>
        <v>5</v>
      </c>
      <c r="AE69" t="s">
        <v>3390</v>
      </c>
      <c r="AF69">
        <f>Inputs!K158</f>
        <v>5</v>
      </c>
      <c r="AG69" t="s">
        <v>3075</v>
      </c>
      <c r="AH69">
        <f>Inputs!L158</f>
        <v>5</v>
      </c>
      <c r="AI69" t="s">
        <v>4718</v>
      </c>
      <c r="AJ69">
        <f>Inputs!M158</f>
        <v>5</v>
      </c>
      <c r="AK69" t="s">
        <v>4956</v>
      </c>
      <c r="AL69">
        <f>Inputs!N158</f>
        <v>5</v>
      </c>
      <c r="AM69" t="s">
        <v>456</v>
      </c>
      <c r="AN69">
        <f>Inputs!O158</f>
        <v>5</v>
      </c>
      <c r="AO69" t="s">
        <v>4899</v>
      </c>
      <c r="AP69">
        <f>Inputs!P158</f>
        <v>5</v>
      </c>
      <c r="AQ69" t="s">
        <v>5221</v>
      </c>
      <c r="AR69">
        <f>Inputs!Q158</f>
        <v>5</v>
      </c>
      <c r="AS69" t="s">
        <v>5886</v>
      </c>
      <c r="AT69">
        <f>Inputs!R158</f>
        <v>5</v>
      </c>
      <c r="AU69" t="s">
        <v>2272</v>
      </c>
      <c r="AV69">
        <f>Inputs!S158</f>
        <v>5</v>
      </c>
      <c r="AW69" t="s">
        <v>1957</v>
      </c>
      <c r="AX69">
        <f>Inputs!T158</f>
        <v>5</v>
      </c>
      <c r="AY69" t="s">
        <v>526</v>
      </c>
      <c r="AZ69">
        <f>Inputs!U158</f>
        <v>5</v>
      </c>
      <c r="BA69" t="s">
        <v>1545</v>
      </c>
      <c r="BB69">
        <f>Inputs!V158</f>
        <v>5</v>
      </c>
      <c r="BC69" t="s">
        <v>3765</v>
      </c>
      <c r="BD69">
        <f>Inputs!W158</f>
        <v>5</v>
      </c>
      <c r="BE69" t="s">
        <v>2092</v>
      </c>
      <c r="BF69">
        <f>Inputs!F159</f>
        <v>5</v>
      </c>
      <c r="BG69" t="s">
        <v>2780</v>
      </c>
      <c r="BH69">
        <f>Inputs!G159</f>
        <v>5</v>
      </c>
      <c r="BI69" t="s">
        <v>3214</v>
      </c>
      <c r="BJ69">
        <f>Inputs!H159</f>
        <v>5</v>
      </c>
      <c r="BK69" t="s">
        <v>4171</v>
      </c>
      <c r="BL69">
        <f>Inputs!I159</f>
        <v>5</v>
      </c>
    </row>
    <row r="70" spans="1:64" ht="12.75" customHeight="1" x14ac:dyDescent="0.2">
      <c r="A70" t="s">
        <v>1383</v>
      </c>
      <c r="B70">
        <f>Inputs!J159</f>
        <v>5</v>
      </c>
      <c r="C70" t="s">
        <v>1385</v>
      </c>
      <c r="D70">
        <f>Inputs!K159</f>
        <v>5</v>
      </c>
      <c r="E70" t="s">
        <v>1822</v>
      </c>
      <c r="F70">
        <f>Inputs!L159</f>
        <v>5</v>
      </c>
      <c r="G70" t="s">
        <v>1614</v>
      </c>
      <c r="H70">
        <f>Inputs!M159</f>
        <v>5</v>
      </c>
      <c r="I70" t="s">
        <v>5644</v>
      </c>
      <c r="J70">
        <f>Inputs!N159</f>
        <v>5</v>
      </c>
      <c r="K70" t="s">
        <v>1968</v>
      </c>
      <c r="L70">
        <f>Inputs!O159</f>
        <v>5</v>
      </c>
      <c r="M70" t="s">
        <v>497</v>
      </c>
      <c r="N70">
        <f>Inputs!P159</f>
        <v>5</v>
      </c>
      <c r="O70" t="s">
        <v>819</v>
      </c>
      <c r="P70">
        <f>Inputs!Q159</f>
        <v>5</v>
      </c>
      <c r="Q70" t="s">
        <v>3143</v>
      </c>
      <c r="R70">
        <f>Inputs!R159</f>
        <v>5</v>
      </c>
      <c r="S70" t="s">
        <v>3145</v>
      </c>
      <c r="T70">
        <f>Inputs!S159</f>
        <v>5</v>
      </c>
      <c r="U70" t="s">
        <v>3583</v>
      </c>
      <c r="V70">
        <f>Inputs!T159</f>
        <v>5</v>
      </c>
      <c r="W70" t="s">
        <v>3</v>
      </c>
      <c r="X70">
        <f>Inputs!U159</f>
        <v>5</v>
      </c>
      <c r="Y70" t="s">
        <v>1611</v>
      </c>
      <c r="Z70">
        <f>Inputs!V159</f>
        <v>5</v>
      </c>
      <c r="AA70" t="s">
        <v>1745</v>
      </c>
      <c r="AB70">
        <f>Inputs!W159</f>
        <v>5</v>
      </c>
      <c r="AC70" t="s">
        <v>5115</v>
      </c>
      <c r="AD70">
        <f>Inputs!F160</f>
        <v>5</v>
      </c>
      <c r="AE70" t="s">
        <v>5609</v>
      </c>
      <c r="AF70">
        <f>Inputs!G160</f>
        <v>5</v>
      </c>
      <c r="AG70" t="s">
        <v>5473</v>
      </c>
      <c r="AH70">
        <f>Inputs!H160</f>
        <v>5</v>
      </c>
      <c r="AI70" t="s">
        <v>2401</v>
      </c>
      <c r="AJ70">
        <f>Inputs!I160</f>
        <v>5</v>
      </c>
      <c r="AK70" t="s">
        <v>4096</v>
      </c>
      <c r="AL70">
        <f>Inputs!J160</f>
        <v>5</v>
      </c>
      <c r="AM70" t="s">
        <v>4098</v>
      </c>
      <c r="AN70">
        <f>Inputs!K160</f>
        <v>5</v>
      </c>
      <c r="AO70" t="s">
        <v>4548</v>
      </c>
      <c r="AP70">
        <f>Inputs!L160</f>
        <v>5</v>
      </c>
      <c r="AQ70" t="s">
        <v>4082</v>
      </c>
      <c r="AR70">
        <f>Inputs!M160</f>
        <v>5</v>
      </c>
      <c r="AS70" t="s">
        <v>2494</v>
      </c>
      <c r="AT70">
        <f>Inputs!N160</f>
        <v>5</v>
      </c>
      <c r="AU70" t="s">
        <v>533</v>
      </c>
      <c r="AV70">
        <f>Inputs!O160</f>
        <v>5</v>
      </c>
      <c r="AW70" t="s">
        <v>4971</v>
      </c>
      <c r="AX70">
        <f>Inputs!P160</f>
        <v>5</v>
      </c>
      <c r="AY70" t="s">
        <v>5249</v>
      </c>
      <c r="AZ70">
        <f>Inputs!Q160</f>
        <v>5</v>
      </c>
      <c r="BA70" t="s">
        <v>3226</v>
      </c>
      <c r="BB70">
        <f>Inputs!R160</f>
        <v>5</v>
      </c>
      <c r="BC70" t="s">
        <v>5121</v>
      </c>
      <c r="BD70">
        <f>Inputs!S160</f>
        <v>5</v>
      </c>
      <c r="BE70" t="s">
        <v>3662</v>
      </c>
      <c r="BF70">
        <f>Inputs!T160</f>
        <v>5</v>
      </c>
      <c r="BG70" t="s">
        <v>86</v>
      </c>
      <c r="BH70">
        <f>Inputs!U160</f>
        <v>5</v>
      </c>
      <c r="BI70" t="s">
        <v>1834</v>
      </c>
      <c r="BJ70">
        <f>Inputs!V160</f>
        <v>5</v>
      </c>
      <c r="BK70" t="s">
        <v>1836</v>
      </c>
      <c r="BL70">
        <f>Inputs!W160</f>
        <v>5</v>
      </c>
    </row>
    <row r="71" spans="1:64" ht="12.75" customHeight="1" x14ac:dyDescent="0.2">
      <c r="A71" t="s">
        <v>1723</v>
      </c>
      <c r="B71">
        <f>Inputs!F161</f>
        <v>0</v>
      </c>
      <c r="C71" t="s">
        <v>1738</v>
      </c>
      <c r="D71">
        <f>Inputs!G161</f>
        <v>0</v>
      </c>
      <c r="E71" t="s">
        <v>910</v>
      </c>
      <c r="F71">
        <f>Inputs!H161</f>
        <v>0</v>
      </c>
      <c r="G71" t="s">
        <v>4583</v>
      </c>
      <c r="H71">
        <f>Inputs!I161</f>
        <v>0</v>
      </c>
      <c r="I71" t="s">
        <v>4080</v>
      </c>
      <c r="J71">
        <f>Inputs!J161</f>
        <v>0</v>
      </c>
      <c r="K71" t="s">
        <v>3325</v>
      </c>
      <c r="L71">
        <f>Inputs!K161</f>
        <v>0</v>
      </c>
      <c r="M71" t="s">
        <v>5399</v>
      </c>
      <c r="N71">
        <f>Inputs!L161</f>
        <v>0</v>
      </c>
      <c r="O71" t="s">
        <v>1167</v>
      </c>
      <c r="P71">
        <f>Inputs!M161</f>
        <v>0</v>
      </c>
      <c r="Q71" t="s">
        <v>5471</v>
      </c>
      <c r="R71">
        <f>Inputs!N161</f>
        <v>0</v>
      </c>
      <c r="S71" t="s">
        <v>2154</v>
      </c>
      <c r="T71">
        <f>Inputs!O161</f>
        <v>0</v>
      </c>
      <c r="U71" t="s">
        <v>3735</v>
      </c>
      <c r="V71">
        <f>Inputs!P161</f>
        <v>0</v>
      </c>
      <c r="W71" t="s">
        <v>5709</v>
      </c>
      <c r="X71">
        <f>Inputs!Q161</f>
        <v>0</v>
      </c>
      <c r="Y71" t="s">
        <v>5403</v>
      </c>
      <c r="Z71">
        <f>Inputs!R161</f>
        <v>0</v>
      </c>
      <c r="AA71" t="s">
        <v>2210</v>
      </c>
      <c r="AB71">
        <f>Inputs!S161</f>
        <v>0</v>
      </c>
      <c r="AC71" t="s">
        <v>4072</v>
      </c>
      <c r="AD71">
        <f>Inputs!T161</f>
        <v>0</v>
      </c>
      <c r="AE71" t="s">
        <v>2919</v>
      </c>
      <c r="AF71">
        <f>Inputs!U161</f>
        <v>0</v>
      </c>
      <c r="AG71" t="s">
        <v>5576</v>
      </c>
      <c r="AH71">
        <f>Inputs!V161</f>
        <v>0</v>
      </c>
      <c r="AI71" t="s">
        <v>4071</v>
      </c>
      <c r="AJ71">
        <f>Inputs!W161</f>
        <v>0</v>
      </c>
      <c r="AK71" t="s">
        <v>5353</v>
      </c>
      <c r="AL71">
        <f>Inputs!F162</f>
        <v>0</v>
      </c>
      <c r="AM71" t="s">
        <v>1116</v>
      </c>
      <c r="AN71">
        <f>Inputs!G162</f>
        <v>0</v>
      </c>
      <c r="AO71" t="s">
        <v>635</v>
      </c>
      <c r="AP71">
        <f>Inputs!H162</f>
        <v>0</v>
      </c>
      <c r="AQ71" t="s">
        <v>5294</v>
      </c>
      <c r="AR71">
        <f>Inputs!I162</f>
        <v>0</v>
      </c>
      <c r="AS71" t="s">
        <v>2593</v>
      </c>
      <c r="AT71">
        <f>Inputs!J162</f>
        <v>0</v>
      </c>
      <c r="AU71" t="s">
        <v>1056</v>
      </c>
      <c r="AV71">
        <f>Inputs!K162</f>
        <v>0</v>
      </c>
      <c r="AW71" t="s">
        <v>3901</v>
      </c>
      <c r="AX71">
        <f>Inputs!L162</f>
        <v>0</v>
      </c>
      <c r="AY71" t="s">
        <v>5012</v>
      </c>
      <c r="AZ71">
        <f>Inputs!M162</f>
        <v>0</v>
      </c>
      <c r="BA71" t="s">
        <v>5440</v>
      </c>
      <c r="BB71">
        <f>Inputs!N162</f>
        <v>0</v>
      </c>
      <c r="BC71" t="s">
        <v>5134</v>
      </c>
      <c r="BD71">
        <f>Inputs!O162</f>
        <v>0</v>
      </c>
      <c r="BE71" t="s">
        <v>4015</v>
      </c>
      <c r="BF71">
        <f>Inputs!P162</f>
        <v>0</v>
      </c>
      <c r="BG71" t="s">
        <v>539</v>
      </c>
      <c r="BH71">
        <f>Inputs!Q162</f>
        <v>0</v>
      </c>
      <c r="BI71" t="s">
        <v>866</v>
      </c>
      <c r="BJ71">
        <f>Inputs!R162</f>
        <v>0</v>
      </c>
      <c r="BK71" t="s">
        <v>5271</v>
      </c>
      <c r="BL71">
        <f>Inputs!S162</f>
        <v>0</v>
      </c>
    </row>
    <row r="72" spans="1:64" ht="12.75" customHeight="1" x14ac:dyDescent="0.2">
      <c r="A72" t="s">
        <v>5411</v>
      </c>
      <c r="B72">
        <f>Inputs!T162</f>
        <v>0</v>
      </c>
      <c r="C72" t="s">
        <v>4244</v>
      </c>
      <c r="D72">
        <f>Inputs!U162</f>
        <v>0</v>
      </c>
      <c r="E72" t="s">
        <v>1038</v>
      </c>
      <c r="F72">
        <f>Inputs!V162</f>
        <v>0</v>
      </c>
      <c r="G72" t="s">
        <v>5410</v>
      </c>
      <c r="H72">
        <f>Inputs!W162</f>
        <v>0</v>
      </c>
      <c r="I72" t="s">
        <v>5327</v>
      </c>
      <c r="J72">
        <f>Inputs!F163</f>
        <v>0</v>
      </c>
      <c r="K72" t="s">
        <v>5193</v>
      </c>
      <c r="L72">
        <f>Inputs!G163</f>
        <v>0</v>
      </c>
      <c r="M72" t="s">
        <v>993</v>
      </c>
      <c r="N72">
        <f>Inputs!H163</f>
        <v>0</v>
      </c>
      <c r="O72" t="s">
        <v>232</v>
      </c>
      <c r="P72">
        <f>Inputs!I163</f>
        <v>0</v>
      </c>
      <c r="Q72" t="s">
        <v>1959</v>
      </c>
      <c r="R72">
        <f>Inputs!J163</f>
        <v>0</v>
      </c>
      <c r="S72" t="s">
        <v>1501</v>
      </c>
      <c r="T72">
        <f>Inputs!K163</f>
        <v>0</v>
      </c>
      <c r="U72" t="s">
        <v>4316</v>
      </c>
      <c r="V72">
        <f>Inputs!L163</f>
        <v>0</v>
      </c>
      <c r="W72" t="s">
        <v>2462</v>
      </c>
      <c r="X72">
        <f>Inputs!M163</f>
        <v>0</v>
      </c>
      <c r="Y72" t="s">
        <v>3307</v>
      </c>
      <c r="Z72">
        <f>Inputs!N163</f>
        <v>0</v>
      </c>
      <c r="AA72" t="s">
        <v>215</v>
      </c>
      <c r="AB72">
        <f>Inputs!O163</f>
        <v>0</v>
      </c>
      <c r="AC72" t="s">
        <v>2511</v>
      </c>
      <c r="AD72">
        <f>Inputs!P163</f>
        <v>0</v>
      </c>
      <c r="AE72" t="s">
        <v>4113</v>
      </c>
      <c r="AF72">
        <f>Inputs!Q163</f>
        <v>0</v>
      </c>
      <c r="AG72" t="s">
        <v>4326</v>
      </c>
      <c r="AH72">
        <f>Inputs!R163</f>
        <v>0</v>
      </c>
      <c r="AI72" t="s">
        <v>5367</v>
      </c>
      <c r="AJ72">
        <f>Inputs!S163</f>
        <v>0</v>
      </c>
      <c r="AK72" t="s">
        <v>4203</v>
      </c>
      <c r="AL72">
        <f>Inputs!T163</f>
        <v>0</v>
      </c>
      <c r="AM72" t="s">
        <v>3441</v>
      </c>
      <c r="AN72">
        <f>Inputs!U163</f>
        <v>0</v>
      </c>
      <c r="AO72" t="s">
        <v>3645</v>
      </c>
      <c r="AP72">
        <f>Inputs!V163</f>
        <v>0</v>
      </c>
      <c r="AQ72" t="s">
        <v>4700</v>
      </c>
      <c r="AR72">
        <f>Inputs!W163</f>
        <v>0</v>
      </c>
      <c r="AS72" t="s">
        <v>657</v>
      </c>
      <c r="AT72">
        <f>Inputs!F164</f>
        <v>0</v>
      </c>
      <c r="AU72" t="s">
        <v>3700</v>
      </c>
      <c r="AV72">
        <f>Inputs!G164</f>
        <v>0</v>
      </c>
      <c r="AW72" t="s">
        <v>1766</v>
      </c>
      <c r="AX72">
        <f>Inputs!H164</f>
        <v>0</v>
      </c>
      <c r="AY72" t="s">
        <v>3293</v>
      </c>
      <c r="AZ72">
        <f>Inputs!I164</f>
        <v>0</v>
      </c>
      <c r="BA72" t="s">
        <v>413</v>
      </c>
      <c r="BB72">
        <f>Inputs!J164</f>
        <v>0</v>
      </c>
      <c r="BC72" t="s">
        <v>1362</v>
      </c>
      <c r="BD72">
        <f>Inputs!K164</f>
        <v>0</v>
      </c>
      <c r="BE72" t="s">
        <v>1668</v>
      </c>
      <c r="BF72">
        <f>Inputs!L164</f>
        <v>0</v>
      </c>
      <c r="BG72" t="s">
        <v>933</v>
      </c>
      <c r="BH72">
        <f>Inputs!M164</f>
        <v>0</v>
      </c>
      <c r="BI72" t="s">
        <v>2641</v>
      </c>
      <c r="BJ72">
        <f>Inputs!N164</f>
        <v>0</v>
      </c>
      <c r="BK72" t="s">
        <v>4392</v>
      </c>
      <c r="BL72">
        <f>Inputs!O164</f>
        <v>0</v>
      </c>
    </row>
    <row r="73" spans="1:64" ht="12.75" customHeight="1" x14ac:dyDescent="0.2">
      <c r="A73" t="s">
        <v>3213</v>
      </c>
      <c r="B73">
        <f>Inputs!P164</f>
        <v>0</v>
      </c>
      <c r="C73" t="s">
        <v>5860</v>
      </c>
      <c r="D73">
        <f>Inputs!Q164</f>
        <v>0</v>
      </c>
      <c r="E73" t="s">
        <v>4874</v>
      </c>
      <c r="F73">
        <f>Inputs!R164</f>
        <v>0</v>
      </c>
      <c r="G73" t="s">
        <v>528</v>
      </c>
      <c r="H73">
        <f>Inputs!S164</f>
        <v>0</v>
      </c>
      <c r="I73" t="s">
        <v>244</v>
      </c>
      <c r="J73">
        <f>Inputs!T164</f>
        <v>0</v>
      </c>
      <c r="K73" t="s">
        <v>5409</v>
      </c>
      <c r="L73">
        <f>Inputs!U164</f>
        <v>0</v>
      </c>
      <c r="M73" t="s">
        <v>4697</v>
      </c>
      <c r="N73">
        <f>Inputs!V164</f>
        <v>0</v>
      </c>
      <c r="O73" t="s">
        <v>4837</v>
      </c>
      <c r="P73">
        <f>Inputs!W164</f>
        <v>0</v>
      </c>
      <c r="Q73" t="s">
        <v>2575</v>
      </c>
      <c r="R73">
        <f>Inputs!F165</f>
        <v>0</v>
      </c>
      <c r="S73" t="s">
        <v>1422</v>
      </c>
      <c r="T73">
        <f>Inputs!G165</f>
        <v>0</v>
      </c>
      <c r="U73" t="s">
        <v>1551</v>
      </c>
      <c r="V73">
        <f>Inputs!H165</f>
        <v>0</v>
      </c>
      <c r="W73" t="s">
        <v>4979</v>
      </c>
      <c r="X73">
        <f>Inputs!I165</f>
        <v>0</v>
      </c>
      <c r="Y73" t="s">
        <v>4747</v>
      </c>
      <c r="Z73">
        <f>Inputs!J165</f>
        <v>0</v>
      </c>
      <c r="AA73" t="s">
        <v>3262</v>
      </c>
      <c r="AB73">
        <f>Inputs!K165</f>
        <v>0</v>
      </c>
      <c r="AC73" t="s">
        <v>169</v>
      </c>
      <c r="AD73">
        <f>Inputs!L165</f>
        <v>0</v>
      </c>
      <c r="AE73" t="s">
        <v>807</v>
      </c>
      <c r="AF73">
        <f>Inputs!M165</f>
        <v>0</v>
      </c>
      <c r="AG73" t="s">
        <v>1700</v>
      </c>
      <c r="AH73">
        <f>Inputs!N165</f>
        <v>0</v>
      </c>
      <c r="AI73" t="s">
        <v>4125</v>
      </c>
      <c r="AJ73">
        <f>Inputs!O165</f>
        <v>0</v>
      </c>
      <c r="AK73" t="s">
        <v>5176</v>
      </c>
      <c r="AL73">
        <f>Inputs!P165</f>
        <v>0</v>
      </c>
      <c r="AM73" t="s">
        <v>5873</v>
      </c>
      <c r="AN73">
        <f>Inputs!Q165</f>
        <v>0</v>
      </c>
      <c r="AO73" t="s">
        <v>1958</v>
      </c>
      <c r="AP73">
        <f>Inputs!R165</f>
        <v>0</v>
      </c>
      <c r="AQ73" t="s">
        <v>3175</v>
      </c>
      <c r="AR73">
        <f>Inputs!S165</f>
        <v>0</v>
      </c>
      <c r="AS73" t="s">
        <v>3355</v>
      </c>
      <c r="AT73">
        <f>Inputs!T165</f>
        <v>0</v>
      </c>
      <c r="AU73" t="s">
        <v>2180</v>
      </c>
      <c r="AV73">
        <f>Inputs!U165</f>
        <v>0</v>
      </c>
      <c r="AW73" t="s">
        <v>4836</v>
      </c>
      <c r="AX73">
        <f>Inputs!V165</f>
        <v>0</v>
      </c>
      <c r="AY73" t="s">
        <v>3354</v>
      </c>
      <c r="AZ73">
        <f>Inputs!W165</f>
        <v>0</v>
      </c>
      <c r="BA73" t="s">
        <v>4755</v>
      </c>
      <c r="BB73">
        <f>Inputs!F166</f>
        <v>0</v>
      </c>
      <c r="BC73" t="s">
        <v>1661</v>
      </c>
      <c r="BD73">
        <f>Inputs!G166</f>
        <v>0</v>
      </c>
      <c r="BE73" t="s">
        <v>1839</v>
      </c>
      <c r="BF73">
        <f>Inputs!H166</f>
        <v>0</v>
      </c>
      <c r="BG73" t="s">
        <v>2365</v>
      </c>
      <c r="BH73">
        <f>Inputs!I166</f>
        <v>0</v>
      </c>
      <c r="BI73" t="s">
        <v>4983</v>
      </c>
      <c r="BJ73">
        <f>Inputs!J166</f>
        <v>0</v>
      </c>
      <c r="BK73" t="s">
        <v>3505</v>
      </c>
      <c r="BL73">
        <f>Inputs!K166</f>
        <v>0</v>
      </c>
    </row>
    <row r="74" spans="1:64" ht="12.75" customHeight="1" x14ac:dyDescent="0.2">
      <c r="A74" t="s">
        <v>463</v>
      </c>
      <c r="B74">
        <f>Inputs!L166</f>
        <v>0</v>
      </c>
      <c r="C74" t="s">
        <v>4290</v>
      </c>
      <c r="D74">
        <f>Inputs!M166</f>
        <v>0</v>
      </c>
      <c r="E74" t="s">
        <v>2009</v>
      </c>
      <c r="F74">
        <f>Inputs!N166</f>
        <v>0</v>
      </c>
      <c r="G74" t="s">
        <v>4811</v>
      </c>
      <c r="H74">
        <f>Inputs!O166</f>
        <v>0</v>
      </c>
      <c r="I74" t="s">
        <v>4417</v>
      </c>
      <c r="J74">
        <f>Inputs!P166</f>
        <v>0</v>
      </c>
      <c r="K74" t="s">
        <v>1378</v>
      </c>
      <c r="L74">
        <f>Inputs!Q166</f>
        <v>0</v>
      </c>
      <c r="M74" t="s">
        <v>299</v>
      </c>
      <c r="N74">
        <f>Inputs!R166</f>
        <v>0</v>
      </c>
      <c r="O74" t="s">
        <v>4711</v>
      </c>
      <c r="P74">
        <f>Inputs!S166</f>
        <v>0</v>
      </c>
      <c r="Q74" t="s">
        <v>4866</v>
      </c>
      <c r="R74">
        <f>Inputs!T166</f>
        <v>0</v>
      </c>
      <c r="S74" t="s">
        <v>3714</v>
      </c>
      <c r="T74">
        <f>Inputs!U166</f>
        <v>0</v>
      </c>
      <c r="U74" t="s">
        <v>2846</v>
      </c>
      <c r="V74">
        <f>Inputs!V166</f>
        <v>0</v>
      </c>
      <c r="W74" t="s">
        <v>361</v>
      </c>
      <c r="X74">
        <f>Inputs!W166</f>
        <v>0</v>
      </c>
      <c r="Y74" t="s">
        <v>3754</v>
      </c>
      <c r="Z74">
        <f>Inputs!F167</f>
        <v>0</v>
      </c>
      <c r="AA74" t="s">
        <v>269</v>
      </c>
      <c r="AB74">
        <f>Inputs!G167</f>
        <v>0</v>
      </c>
      <c r="AC74" t="s">
        <v>1998</v>
      </c>
      <c r="AD74">
        <f>Inputs!H167</f>
        <v>0</v>
      </c>
      <c r="AE74" t="s">
        <v>1212</v>
      </c>
      <c r="AF74">
        <f>Inputs!I167</f>
        <v>0</v>
      </c>
      <c r="AG74" t="s">
        <v>2918</v>
      </c>
      <c r="AH74">
        <f>Inputs!J167</f>
        <v>0</v>
      </c>
      <c r="AI74" t="s">
        <v>2495</v>
      </c>
      <c r="AJ74">
        <f>Inputs!K167</f>
        <v>0</v>
      </c>
      <c r="AK74" t="s">
        <v>4172</v>
      </c>
      <c r="AL74">
        <f>Inputs!L167</f>
        <v>0</v>
      </c>
      <c r="AM74" t="s">
        <v>5689</v>
      </c>
      <c r="AN74">
        <f>Inputs!M167</f>
        <v>0</v>
      </c>
      <c r="AO74" t="s">
        <v>5104</v>
      </c>
      <c r="AP74">
        <f>Inputs!N167</f>
        <v>0</v>
      </c>
      <c r="AQ74" t="s">
        <v>2927</v>
      </c>
      <c r="AR74">
        <f>Inputs!O167</f>
        <v>0</v>
      </c>
      <c r="AS74" t="s">
        <v>3957</v>
      </c>
      <c r="AT74">
        <f>Inputs!P167</f>
        <v>0</v>
      </c>
      <c r="AU74" t="s">
        <v>2012</v>
      </c>
      <c r="AV74">
        <f>Inputs!Q167</f>
        <v>0</v>
      </c>
      <c r="AW74" t="s">
        <v>3531</v>
      </c>
      <c r="AX74">
        <f>Inputs!R167</f>
        <v>0</v>
      </c>
      <c r="AY74" t="s">
        <v>1775</v>
      </c>
      <c r="AZ74">
        <f>Inputs!S167</f>
        <v>0</v>
      </c>
      <c r="BA74" t="s">
        <v>3476</v>
      </c>
      <c r="BB74">
        <f>Inputs!T167</f>
        <v>0</v>
      </c>
      <c r="BC74" t="s">
        <v>2708</v>
      </c>
      <c r="BD74">
        <f>Inputs!U167</f>
        <v>0</v>
      </c>
      <c r="BE74" t="s">
        <v>2350</v>
      </c>
      <c r="BF74">
        <f>Inputs!V167</f>
        <v>0</v>
      </c>
      <c r="BG74" t="s">
        <v>3956</v>
      </c>
      <c r="BH74">
        <f>Inputs!W167</f>
        <v>0</v>
      </c>
      <c r="BI74" t="s">
        <v>36</v>
      </c>
      <c r="BJ74">
        <f>Inputs!F168</f>
        <v>0</v>
      </c>
      <c r="BK74" t="s">
        <v>2690</v>
      </c>
      <c r="BL74">
        <f>Inputs!G168</f>
        <v>0</v>
      </c>
    </row>
    <row r="75" spans="1:64" ht="12.75" customHeight="1" x14ac:dyDescent="0.2">
      <c r="A75" t="s">
        <v>1023</v>
      </c>
      <c r="B75">
        <f>Inputs!H168</f>
        <v>0</v>
      </c>
      <c r="C75" t="s">
        <v>5270</v>
      </c>
      <c r="D75">
        <f>Inputs!I168</f>
        <v>0</v>
      </c>
      <c r="E75" t="s">
        <v>1709</v>
      </c>
      <c r="F75">
        <f>Inputs!J168</f>
        <v>0</v>
      </c>
      <c r="G75" t="s">
        <v>1531</v>
      </c>
      <c r="H75">
        <f>Inputs!K168</f>
        <v>0</v>
      </c>
      <c r="I75" t="s">
        <v>2077</v>
      </c>
      <c r="J75">
        <f>Inputs!L168</f>
        <v>0</v>
      </c>
      <c r="K75" t="s">
        <v>2450</v>
      </c>
      <c r="L75">
        <f>Inputs!M168</f>
        <v>0</v>
      </c>
      <c r="M75" t="s">
        <v>4119</v>
      </c>
      <c r="N75">
        <f>Inputs!N168</f>
        <v>0</v>
      </c>
      <c r="O75" t="s">
        <v>5228</v>
      </c>
      <c r="P75">
        <f>Inputs!O168</f>
        <v>0</v>
      </c>
      <c r="Q75" t="s">
        <v>5175</v>
      </c>
      <c r="R75">
        <f>Inputs!P168</f>
        <v>0</v>
      </c>
      <c r="S75" t="s">
        <v>744</v>
      </c>
      <c r="T75">
        <f>Inputs!Q168</f>
        <v>0</v>
      </c>
      <c r="U75" t="s">
        <v>4961</v>
      </c>
      <c r="V75">
        <f>Inputs!R168</f>
        <v>0</v>
      </c>
      <c r="W75" t="s">
        <v>4496</v>
      </c>
      <c r="X75">
        <f>Inputs!S168</f>
        <v>0</v>
      </c>
      <c r="Y75" t="s">
        <v>338</v>
      </c>
      <c r="Z75">
        <f>Inputs!T168</f>
        <v>0</v>
      </c>
      <c r="AA75" t="s">
        <v>5472</v>
      </c>
      <c r="AB75">
        <f>Inputs!U168</f>
        <v>0</v>
      </c>
      <c r="AC75" t="s">
        <v>1288</v>
      </c>
      <c r="AD75">
        <f>Inputs!V168</f>
        <v>0</v>
      </c>
      <c r="AE75" t="s">
        <v>860</v>
      </c>
      <c r="AF75">
        <f>Inputs!W168</f>
        <v>0</v>
      </c>
      <c r="AG75" t="s">
        <v>4516</v>
      </c>
      <c r="AH75">
        <f>Inputs!F169</f>
        <v>0</v>
      </c>
      <c r="AI75" t="s">
        <v>741</v>
      </c>
      <c r="AJ75">
        <f>Inputs!G169</f>
        <v>0</v>
      </c>
      <c r="AK75" t="s">
        <v>690</v>
      </c>
      <c r="AL75">
        <f>Inputs!H169</f>
        <v>0</v>
      </c>
      <c r="AM75" t="s">
        <v>1227</v>
      </c>
      <c r="AN75">
        <f>Inputs!I169</f>
        <v>0</v>
      </c>
      <c r="AO75" t="s">
        <v>2729</v>
      </c>
      <c r="AP75">
        <f>Inputs!J169</f>
        <v>0</v>
      </c>
      <c r="AQ75" t="s">
        <v>5267</v>
      </c>
      <c r="AR75">
        <f>Inputs!K169</f>
        <v>0</v>
      </c>
      <c r="AS75" t="s">
        <v>831</v>
      </c>
      <c r="AT75">
        <f>Inputs!L169</f>
        <v>0</v>
      </c>
      <c r="AU75" t="s">
        <v>2778</v>
      </c>
      <c r="AV75">
        <f>Inputs!M169</f>
        <v>0</v>
      </c>
      <c r="AW75" t="s">
        <v>1144</v>
      </c>
      <c r="AX75">
        <f>Inputs!N169</f>
        <v>0</v>
      </c>
      <c r="AY75" t="s">
        <v>560</v>
      </c>
      <c r="AZ75">
        <f>Inputs!O169</f>
        <v>0</v>
      </c>
      <c r="BA75" t="s">
        <v>5624</v>
      </c>
      <c r="BB75">
        <f>Inputs!P169</f>
        <v>0</v>
      </c>
      <c r="BC75" t="s">
        <v>729</v>
      </c>
      <c r="BD75">
        <f>Inputs!Q169</f>
        <v>0</v>
      </c>
      <c r="BE75" t="s">
        <v>2507</v>
      </c>
      <c r="BF75">
        <f>Inputs!R169</f>
        <v>0</v>
      </c>
      <c r="BG75" t="s">
        <v>2684</v>
      </c>
      <c r="BH75">
        <f>Inputs!S169</f>
        <v>0</v>
      </c>
      <c r="BI75" t="s">
        <v>4147</v>
      </c>
      <c r="BJ75">
        <f>Inputs!T169</f>
        <v>0</v>
      </c>
      <c r="BK75" t="s">
        <v>1530</v>
      </c>
      <c r="BL75">
        <f>Inputs!U169</f>
        <v>0</v>
      </c>
    </row>
    <row r="76" spans="1:64" ht="12.75" customHeight="1" x14ac:dyDescent="0.2">
      <c r="A76" t="s">
        <v>2991</v>
      </c>
      <c r="B76">
        <f>Inputs!V169</f>
        <v>0</v>
      </c>
      <c r="C76" t="s">
        <v>5529</v>
      </c>
      <c r="D76">
        <f>Inputs!W169</f>
        <v>0</v>
      </c>
      <c r="E76" t="s">
        <v>2259</v>
      </c>
      <c r="F76">
        <f>Inputs!F170</f>
        <v>0</v>
      </c>
      <c r="G76" t="s">
        <v>4658</v>
      </c>
      <c r="H76">
        <f>Inputs!G170</f>
        <v>0</v>
      </c>
      <c r="I76" t="s">
        <v>188</v>
      </c>
      <c r="J76">
        <f>Inputs!H170</f>
        <v>0</v>
      </c>
      <c r="K76" t="s">
        <v>5117</v>
      </c>
      <c r="L76">
        <f>Inputs!I170</f>
        <v>0</v>
      </c>
      <c r="M76" t="s">
        <v>259</v>
      </c>
      <c r="N76">
        <f>Inputs!J170</f>
        <v>0</v>
      </c>
      <c r="O76" t="s">
        <v>3317</v>
      </c>
      <c r="P76">
        <f>Inputs!K170</f>
        <v>0</v>
      </c>
      <c r="Q76" t="s">
        <v>4740</v>
      </c>
      <c r="R76">
        <f>Inputs!L170</f>
        <v>0</v>
      </c>
      <c r="S76" t="s">
        <v>771</v>
      </c>
      <c r="T76">
        <f>Inputs!M170</f>
        <v>0</v>
      </c>
      <c r="U76" t="s">
        <v>4896</v>
      </c>
      <c r="V76">
        <f>Inputs!N170</f>
        <v>0</v>
      </c>
      <c r="W76" t="s">
        <v>4844</v>
      </c>
      <c r="X76">
        <f>Inputs!O170</f>
        <v>0</v>
      </c>
      <c r="Y76" t="s">
        <v>3733</v>
      </c>
      <c r="Z76">
        <f>Inputs!P170</f>
        <v>0</v>
      </c>
      <c r="AA76" t="s">
        <v>5766</v>
      </c>
      <c r="AB76">
        <f>Inputs!Q170</f>
        <v>0</v>
      </c>
      <c r="AC76" t="s">
        <v>4745</v>
      </c>
      <c r="AD76">
        <f>Inputs!R170</f>
        <v>0</v>
      </c>
      <c r="AE76" t="s">
        <v>2570</v>
      </c>
      <c r="AF76">
        <f>Inputs!S170</f>
        <v>0</v>
      </c>
      <c r="AG76" t="s">
        <v>5634</v>
      </c>
      <c r="AH76">
        <f>Inputs!T170</f>
        <v>0</v>
      </c>
      <c r="AI76" t="s">
        <v>3652</v>
      </c>
      <c r="AJ76">
        <f>Inputs!U170</f>
        <v>0</v>
      </c>
      <c r="AK76" t="s">
        <v>5068</v>
      </c>
      <c r="AL76">
        <f>Inputs!V170</f>
        <v>0</v>
      </c>
      <c r="AM76" t="s">
        <v>1770</v>
      </c>
      <c r="AN76">
        <f>Inputs!W170</f>
        <v>0</v>
      </c>
      <c r="AO76" t="s">
        <v>3686</v>
      </c>
      <c r="AP76">
        <f>Inputs!F171</f>
        <v>0</v>
      </c>
      <c r="AQ76" t="s">
        <v>2770</v>
      </c>
      <c r="AR76">
        <f>Inputs!G171</f>
        <v>0</v>
      </c>
      <c r="AS76" t="s">
        <v>2372</v>
      </c>
      <c r="AT76">
        <f>Inputs!H171</f>
        <v>0</v>
      </c>
      <c r="AU76" t="s">
        <v>2353</v>
      </c>
      <c r="AV76">
        <f>Inputs!I171</f>
        <v>0</v>
      </c>
      <c r="AW76" t="s">
        <v>3847</v>
      </c>
      <c r="AX76">
        <f>Inputs!J171</f>
        <v>0</v>
      </c>
      <c r="AY76" t="s">
        <v>2143</v>
      </c>
      <c r="AZ76">
        <f>Inputs!K171</f>
        <v>0</v>
      </c>
      <c r="BA76" t="s">
        <v>4818</v>
      </c>
      <c r="BB76">
        <f>Inputs!L171</f>
        <v>0</v>
      </c>
      <c r="BC76" t="s">
        <v>5170</v>
      </c>
      <c r="BD76">
        <f>Inputs!M171</f>
        <v>0</v>
      </c>
      <c r="BE76" t="s">
        <v>4782</v>
      </c>
      <c r="BF76">
        <f>Inputs!N171</f>
        <v>0</v>
      </c>
      <c r="BG76" t="s">
        <v>2138</v>
      </c>
      <c r="BH76">
        <f>Inputs!O171</f>
        <v>0</v>
      </c>
      <c r="BI76" t="s">
        <v>4425</v>
      </c>
      <c r="BJ76">
        <f>Inputs!P171</f>
        <v>0</v>
      </c>
      <c r="BK76" t="s">
        <v>5148</v>
      </c>
      <c r="BL76">
        <f>Inputs!Q171</f>
        <v>0</v>
      </c>
    </row>
    <row r="77" spans="1:64" ht="12.75" customHeight="1" x14ac:dyDescent="0.2">
      <c r="A77" t="s">
        <v>1237</v>
      </c>
      <c r="B77">
        <f>Inputs!R171</f>
        <v>0</v>
      </c>
      <c r="C77" t="s">
        <v>25</v>
      </c>
      <c r="D77">
        <f>Inputs!S171</f>
        <v>0</v>
      </c>
      <c r="E77" t="s">
        <v>5365</v>
      </c>
      <c r="F77">
        <f>Inputs!T171</f>
        <v>0</v>
      </c>
      <c r="G77" t="s">
        <v>3855</v>
      </c>
      <c r="H77">
        <f>Inputs!U171</f>
        <v>0</v>
      </c>
      <c r="I77" t="s">
        <v>3480</v>
      </c>
      <c r="J77">
        <f>Inputs!V171</f>
        <v>0</v>
      </c>
      <c r="K77" t="s">
        <v>2924</v>
      </c>
      <c r="L77">
        <f>Inputs!W171</f>
        <v>0</v>
      </c>
      <c r="M77" t="s">
        <v>4486</v>
      </c>
      <c r="N77">
        <f>Inputs!F172</f>
        <v>0</v>
      </c>
      <c r="O77" t="s">
        <v>5760</v>
      </c>
      <c r="P77">
        <f>Inputs!G172</f>
        <v>0</v>
      </c>
      <c r="Q77" t="s">
        <v>846</v>
      </c>
      <c r="R77">
        <f>Inputs!H172</f>
        <v>0</v>
      </c>
      <c r="S77" t="s">
        <v>827</v>
      </c>
      <c r="T77">
        <f>Inputs!I172</f>
        <v>0</v>
      </c>
      <c r="U77" t="s">
        <v>421</v>
      </c>
      <c r="V77">
        <f>Inputs!J172</f>
        <v>0</v>
      </c>
      <c r="W77" t="s">
        <v>5771</v>
      </c>
      <c r="X77">
        <f>Inputs!K172</f>
        <v>0</v>
      </c>
      <c r="Y77" t="s">
        <v>1465</v>
      </c>
      <c r="Z77">
        <f>Inputs!L172</f>
        <v>0</v>
      </c>
      <c r="AA77" t="s">
        <v>3681</v>
      </c>
      <c r="AB77">
        <f>Inputs!M172</f>
        <v>0</v>
      </c>
      <c r="AC77" t="s">
        <v>3303</v>
      </c>
      <c r="AD77">
        <f>Inputs!N172</f>
        <v>0</v>
      </c>
      <c r="AE77" t="s">
        <v>5415</v>
      </c>
      <c r="AF77">
        <f>Inputs!O172</f>
        <v>0</v>
      </c>
      <c r="AG77" t="s">
        <v>196</v>
      </c>
      <c r="AH77">
        <f>Inputs!P172</f>
        <v>0</v>
      </c>
      <c r="AI77" t="s">
        <v>171</v>
      </c>
      <c r="AJ77">
        <f>Inputs!Q172</f>
        <v>0</v>
      </c>
      <c r="AK77" t="s">
        <v>5320</v>
      </c>
      <c r="AL77">
        <f>Inputs!R172</f>
        <v>0</v>
      </c>
      <c r="AM77" t="s">
        <v>1409</v>
      </c>
      <c r="AN77">
        <f>Inputs!S172</f>
        <v>0</v>
      </c>
      <c r="AO77" t="s">
        <v>1011</v>
      </c>
      <c r="AP77">
        <f>Inputs!T172</f>
        <v>0</v>
      </c>
      <c r="AQ77" t="s">
        <v>5180</v>
      </c>
      <c r="AR77">
        <f>Inputs!U172</f>
        <v>0</v>
      </c>
      <c r="AS77" t="s">
        <v>4467</v>
      </c>
      <c r="AT77">
        <f>Inputs!V172</f>
        <v>0</v>
      </c>
      <c r="AU77" t="s">
        <v>4247</v>
      </c>
      <c r="AV77">
        <f>Inputs!W172</f>
        <v>0</v>
      </c>
      <c r="AW77" t="s">
        <v>1569</v>
      </c>
      <c r="AX77">
        <f>Inputs!F173</f>
        <v>0</v>
      </c>
      <c r="AY77" t="s">
        <v>629</v>
      </c>
      <c r="AZ77">
        <f>Inputs!G173</f>
        <v>0</v>
      </c>
      <c r="BA77" t="s">
        <v>2110</v>
      </c>
      <c r="BB77">
        <f>Inputs!H173</f>
        <v>0</v>
      </c>
      <c r="BC77" t="s">
        <v>1121</v>
      </c>
      <c r="BD77">
        <f>Inputs!I173</f>
        <v>0</v>
      </c>
      <c r="BE77" t="s">
        <v>5633</v>
      </c>
      <c r="BF77">
        <f>Inputs!J173</f>
        <v>0</v>
      </c>
      <c r="BG77" t="s">
        <v>5164</v>
      </c>
      <c r="BH77">
        <f>Inputs!K173</f>
        <v>0</v>
      </c>
      <c r="BI77" t="s">
        <v>2767</v>
      </c>
      <c r="BJ77">
        <f>Inputs!L173</f>
        <v>0</v>
      </c>
      <c r="BK77" t="s">
        <v>2676</v>
      </c>
      <c r="BL77">
        <f>Inputs!M173</f>
        <v>0</v>
      </c>
    </row>
    <row r="78" spans="1:64" ht="12.75" customHeight="1" x14ac:dyDescent="0.2">
      <c r="A78" t="s">
        <v>901</v>
      </c>
      <c r="B78">
        <f>Inputs!N173</f>
        <v>0</v>
      </c>
      <c r="C78" t="s">
        <v>5189</v>
      </c>
      <c r="D78">
        <f>Inputs!O173</f>
        <v>0</v>
      </c>
      <c r="E78" t="s">
        <v>1433</v>
      </c>
      <c r="F78">
        <f>Inputs!P173</f>
        <v>0</v>
      </c>
      <c r="G78" t="s">
        <v>4660</v>
      </c>
      <c r="H78">
        <f>Inputs!Q173</f>
        <v>0</v>
      </c>
      <c r="I78" t="s">
        <v>5386</v>
      </c>
      <c r="J78">
        <f>Inputs!R173</f>
        <v>0</v>
      </c>
      <c r="K78" t="s">
        <v>2096</v>
      </c>
      <c r="L78">
        <f>Inputs!S173</f>
        <v>0</v>
      </c>
      <c r="M78" t="s">
        <v>3578</v>
      </c>
      <c r="N78">
        <f>Inputs!T173</f>
        <v>0</v>
      </c>
      <c r="O78" t="s">
        <v>899</v>
      </c>
      <c r="P78">
        <f>Inputs!U173</f>
        <v>0</v>
      </c>
      <c r="Q78" t="s">
        <v>2396</v>
      </c>
      <c r="R78">
        <f>Inputs!V173</f>
        <v>0</v>
      </c>
      <c r="S78" t="s">
        <v>4937</v>
      </c>
      <c r="T78">
        <f>Inputs!W173</f>
        <v>0</v>
      </c>
      <c r="U78" t="s">
        <v>1660</v>
      </c>
      <c r="V78">
        <f>Inputs!F174</f>
        <v>0</v>
      </c>
      <c r="W78" t="s">
        <v>887</v>
      </c>
      <c r="X78">
        <f>Inputs!G174</f>
        <v>0</v>
      </c>
      <c r="Y78" t="s">
        <v>2911</v>
      </c>
      <c r="Z78">
        <f>Inputs!H174</f>
        <v>0</v>
      </c>
      <c r="AA78" t="s">
        <v>1413</v>
      </c>
      <c r="AB78">
        <f>Inputs!I174</f>
        <v>0</v>
      </c>
      <c r="AC78" t="s">
        <v>150</v>
      </c>
      <c r="AD78">
        <f>Inputs!J174</f>
        <v>0</v>
      </c>
      <c r="AE78" t="s">
        <v>191</v>
      </c>
      <c r="AF78">
        <f>Inputs!K174</f>
        <v>0</v>
      </c>
      <c r="AG78" t="s">
        <v>4519</v>
      </c>
      <c r="AH78">
        <f>Inputs!L174</f>
        <v>0</v>
      </c>
      <c r="AI78" t="s">
        <v>4502</v>
      </c>
      <c r="AJ78">
        <f>Inputs!M174</f>
        <v>0</v>
      </c>
      <c r="AK78" t="s">
        <v>1190</v>
      </c>
      <c r="AL78">
        <f>Inputs!N174</f>
        <v>0</v>
      </c>
      <c r="AM78" t="s">
        <v>4727</v>
      </c>
      <c r="AN78">
        <f>Inputs!O174</f>
        <v>0</v>
      </c>
      <c r="AO78" t="s">
        <v>5906</v>
      </c>
      <c r="AP78">
        <f>Inputs!P174</f>
        <v>0</v>
      </c>
      <c r="AQ78" t="s">
        <v>841</v>
      </c>
      <c r="AR78">
        <f>Inputs!Q174</f>
        <v>0</v>
      </c>
      <c r="AS78" t="s">
        <v>1677</v>
      </c>
      <c r="AT78">
        <f>Inputs!R174</f>
        <v>0</v>
      </c>
      <c r="AU78" t="s">
        <v>4255</v>
      </c>
      <c r="AV78">
        <f>Inputs!S174</f>
        <v>0</v>
      </c>
      <c r="AW78" t="s">
        <v>1278</v>
      </c>
      <c r="AX78">
        <f>Inputs!T174</f>
        <v>0</v>
      </c>
      <c r="AY78" t="s">
        <v>2020</v>
      </c>
      <c r="AZ78">
        <f>Inputs!U174</f>
        <v>0</v>
      </c>
      <c r="BA78" t="s">
        <v>4562</v>
      </c>
      <c r="BB78">
        <f>Inputs!V174</f>
        <v>0</v>
      </c>
      <c r="BC78" t="s">
        <v>1245</v>
      </c>
      <c r="BD78">
        <f>Inputs!W174</f>
        <v>0</v>
      </c>
      <c r="BE78" t="s">
        <v>1669</v>
      </c>
      <c r="BF78">
        <f>Inputs!F175</f>
        <v>0</v>
      </c>
      <c r="BG78" t="s">
        <v>1544</v>
      </c>
      <c r="BH78">
        <f>Inputs!G175</f>
        <v>0</v>
      </c>
      <c r="BI78" t="s">
        <v>4534</v>
      </c>
      <c r="BJ78">
        <f>Inputs!H175</f>
        <v>0</v>
      </c>
      <c r="BK78" t="s">
        <v>2998</v>
      </c>
      <c r="BL78">
        <f>Inputs!I175</f>
        <v>0</v>
      </c>
    </row>
    <row r="79" spans="1:64" ht="12.75" customHeight="1" x14ac:dyDescent="0.2">
      <c r="A79" t="s">
        <v>2861</v>
      </c>
      <c r="B79">
        <f>Inputs!J175</f>
        <v>0</v>
      </c>
      <c r="C79" t="s">
        <v>2090</v>
      </c>
      <c r="D79">
        <f>Inputs!K175</f>
        <v>0</v>
      </c>
      <c r="E79" t="s">
        <v>1682</v>
      </c>
      <c r="F79">
        <f>Inputs!L175</f>
        <v>0</v>
      </c>
      <c r="G79" t="s">
        <v>5855</v>
      </c>
      <c r="H79">
        <f>Inputs!M175</f>
        <v>0</v>
      </c>
      <c r="I79" t="s">
        <v>2592</v>
      </c>
      <c r="J79">
        <f>Inputs!N175</f>
        <v>0</v>
      </c>
      <c r="K79" t="s">
        <v>4799</v>
      </c>
      <c r="L79">
        <f>Inputs!O175</f>
        <v>0</v>
      </c>
      <c r="M79" t="s">
        <v>5912</v>
      </c>
      <c r="N79">
        <f>Inputs!P175</f>
        <v>0</v>
      </c>
      <c r="O79" t="s">
        <v>1594</v>
      </c>
      <c r="P79">
        <f>Inputs!Q175</f>
        <v>0</v>
      </c>
      <c r="Q79" t="s">
        <v>3564</v>
      </c>
      <c r="R79">
        <f>Inputs!R175</f>
        <v>0</v>
      </c>
      <c r="S79" t="s">
        <v>5154</v>
      </c>
      <c r="T79">
        <f>Inputs!S175</f>
        <v>0</v>
      </c>
      <c r="U79" t="s">
        <v>4767</v>
      </c>
      <c r="V79">
        <f>Inputs!T175</f>
        <v>0</v>
      </c>
      <c r="W79" t="s">
        <v>3126</v>
      </c>
      <c r="X79">
        <f>Inputs!U175</f>
        <v>0</v>
      </c>
      <c r="Y79" t="s">
        <v>2740</v>
      </c>
      <c r="Z79">
        <f>Inputs!V175</f>
        <v>0</v>
      </c>
      <c r="AA79" t="s">
        <v>3884</v>
      </c>
      <c r="AB79">
        <f>Inputs!W175</f>
        <v>0</v>
      </c>
      <c r="AC79" t="s">
        <v>3889</v>
      </c>
      <c r="AD79">
        <f>Inputs!F176</f>
        <v>0</v>
      </c>
      <c r="AE79" t="s">
        <v>1373</v>
      </c>
      <c r="AF79">
        <f>Inputs!G176</f>
        <v>0</v>
      </c>
      <c r="AG79" t="s">
        <v>3304</v>
      </c>
      <c r="AH79">
        <f>Inputs!H176</f>
        <v>0</v>
      </c>
      <c r="AI79" t="s">
        <v>3286</v>
      </c>
      <c r="AJ79">
        <f>Inputs!I176</f>
        <v>0</v>
      </c>
      <c r="AK79" t="s">
        <v>2901</v>
      </c>
      <c r="AL79">
        <f>Inputs!J176</f>
        <v>0</v>
      </c>
      <c r="AM79" t="s">
        <v>2328</v>
      </c>
      <c r="AN79">
        <f>Inputs!K176</f>
        <v>0</v>
      </c>
      <c r="AO79" t="s">
        <v>1941</v>
      </c>
      <c r="AP79">
        <f>Inputs!L176</f>
        <v>0</v>
      </c>
      <c r="AQ79" t="s">
        <v>220</v>
      </c>
      <c r="AR79">
        <f>Inputs!M176</f>
        <v>0</v>
      </c>
      <c r="AS79" t="s">
        <v>5761</v>
      </c>
      <c r="AT79">
        <f>Inputs!N176</f>
        <v>0</v>
      </c>
      <c r="AU79" t="s">
        <v>5285</v>
      </c>
      <c r="AV79">
        <f>Inputs!O176</f>
        <v>0</v>
      </c>
      <c r="AW79" t="s">
        <v>529</v>
      </c>
      <c r="AX79">
        <f>Inputs!P176</f>
        <v>0</v>
      </c>
      <c r="AY79" t="s">
        <v>1126</v>
      </c>
      <c r="AZ79">
        <f>Inputs!Q176</f>
        <v>0</v>
      </c>
      <c r="BA79" t="s">
        <v>522</v>
      </c>
      <c r="BB79">
        <f>Inputs!R176</f>
        <v>0</v>
      </c>
      <c r="BC79" t="s">
        <v>2664</v>
      </c>
      <c r="BD79">
        <f>Inputs!S176</f>
        <v>0</v>
      </c>
      <c r="BE79" t="s">
        <v>4905</v>
      </c>
      <c r="BF79">
        <f>Inputs!T176</f>
        <v>0</v>
      </c>
      <c r="BG79" t="s">
        <v>4661</v>
      </c>
      <c r="BH79">
        <f>Inputs!U176</f>
        <v>0</v>
      </c>
      <c r="BI79" t="s">
        <v>5543</v>
      </c>
      <c r="BJ79">
        <f>Inputs!V176</f>
        <v>0</v>
      </c>
      <c r="BK79" t="s">
        <v>3716</v>
      </c>
      <c r="BL79">
        <f>Inputs!W176</f>
        <v>0</v>
      </c>
    </row>
    <row r="80" spans="1:64" ht="12.75" customHeight="1" x14ac:dyDescent="0.2">
      <c r="A80" t="s">
        <v>3643</v>
      </c>
      <c r="B80">
        <f>Inputs!F184</f>
        <v>0</v>
      </c>
      <c r="C80" t="s">
        <v>4835</v>
      </c>
      <c r="D80">
        <f>Inputs!G184</f>
        <v>0</v>
      </c>
      <c r="E80" t="s">
        <v>5197</v>
      </c>
      <c r="F80">
        <f>Inputs!H184</f>
        <v>0</v>
      </c>
      <c r="G80" t="s">
        <v>1054</v>
      </c>
      <c r="H80">
        <f>Inputs!I184</f>
        <v>0</v>
      </c>
      <c r="I80" t="s">
        <v>1095</v>
      </c>
      <c r="J80">
        <f>Inputs!J184</f>
        <v>0</v>
      </c>
      <c r="K80" t="s">
        <v>2026</v>
      </c>
      <c r="L80">
        <f>Inputs!K184</f>
        <v>0</v>
      </c>
      <c r="M80" t="s">
        <v>2383</v>
      </c>
      <c r="N80">
        <f>Inputs!L184</f>
        <v>0</v>
      </c>
      <c r="O80" t="s">
        <v>211</v>
      </c>
      <c r="P80">
        <f>Inputs!M184</f>
        <v>0</v>
      </c>
      <c r="Q80" t="s">
        <v>3263</v>
      </c>
      <c r="R80">
        <f>Inputs!N184</f>
        <v>0</v>
      </c>
      <c r="S80" t="s">
        <v>1156</v>
      </c>
      <c r="T80">
        <f>Inputs!O184</f>
        <v>0</v>
      </c>
      <c r="U80" t="s">
        <v>1358</v>
      </c>
      <c r="V80">
        <f>Inputs!P184</f>
        <v>0</v>
      </c>
      <c r="W80" t="s">
        <v>1897</v>
      </c>
      <c r="X80">
        <f>Inputs!Q184</f>
        <v>0</v>
      </c>
      <c r="Y80" t="s">
        <v>5900</v>
      </c>
      <c r="Z80">
        <f>Inputs!R184</f>
        <v>0</v>
      </c>
      <c r="AA80" t="s">
        <v>1848</v>
      </c>
      <c r="AB80">
        <f>Inputs!S184</f>
        <v>0</v>
      </c>
      <c r="AC80" t="s">
        <v>4411</v>
      </c>
      <c r="AD80">
        <f>Inputs!T184</f>
        <v>0</v>
      </c>
      <c r="AE80" t="s">
        <v>5583</v>
      </c>
      <c r="AF80">
        <f>Inputs!U184</f>
        <v>0</v>
      </c>
      <c r="AG80" t="s">
        <v>258</v>
      </c>
      <c r="AH80">
        <f>Inputs!V184</f>
        <v>0</v>
      </c>
      <c r="AI80" t="s">
        <v>4841</v>
      </c>
      <c r="AJ80">
        <f>Inputs!W184</f>
        <v>0</v>
      </c>
      <c r="AK80" t="s">
        <v>4889</v>
      </c>
      <c r="AL80">
        <f>Inputs!F185</f>
        <v>0</v>
      </c>
      <c r="AM80" t="s">
        <v>1160</v>
      </c>
      <c r="AN80">
        <f>Inputs!G185</f>
        <v>0</v>
      </c>
      <c r="AO80" t="s">
        <v>1518</v>
      </c>
      <c r="AP80">
        <f>Inputs!H185</f>
        <v>0</v>
      </c>
      <c r="AQ80" t="s">
        <v>3270</v>
      </c>
      <c r="AR80">
        <f>Inputs!I185</f>
        <v>0</v>
      </c>
      <c r="AS80" t="s">
        <v>3741</v>
      </c>
      <c r="AT80">
        <f>Inputs!J185</f>
        <v>0</v>
      </c>
      <c r="AU80" t="s">
        <v>4258</v>
      </c>
      <c r="AV80">
        <f>Inputs!K185</f>
        <v>0</v>
      </c>
      <c r="AW80" t="s">
        <v>4532</v>
      </c>
      <c r="AX80">
        <f>Inputs!L185</f>
        <v>0</v>
      </c>
      <c r="AY80" t="s">
        <v>350</v>
      </c>
      <c r="AZ80">
        <f>Inputs!M185</f>
        <v>0</v>
      </c>
      <c r="BA80" t="s">
        <v>389</v>
      </c>
      <c r="BB80">
        <f>Inputs!N185</f>
        <v>0</v>
      </c>
      <c r="BC80" t="s">
        <v>4685</v>
      </c>
      <c r="BD80">
        <f>Inputs!O185</f>
        <v>0</v>
      </c>
      <c r="BE80" t="s">
        <v>1198</v>
      </c>
      <c r="BF80">
        <f>Inputs!P185</f>
        <v>0</v>
      </c>
      <c r="BG80" t="s">
        <v>440</v>
      </c>
      <c r="BH80">
        <f>Inputs!Q185</f>
        <v>0</v>
      </c>
      <c r="BI80" t="s">
        <v>3442</v>
      </c>
      <c r="BJ80">
        <f>Inputs!R185</f>
        <v>0</v>
      </c>
      <c r="BK80" t="s">
        <v>4347</v>
      </c>
      <c r="BL80">
        <f>Inputs!S185</f>
        <v>0</v>
      </c>
    </row>
    <row r="81" spans="1:64" ht="12.75" customHeight="1" x14ac:dyDescent="0.2">
      <c r="A81" t="s">
        <v>4701</v>
      </c>
      <c r="B81">
        <f>Inputs!T185</f>
        <v>0</v>
      </c>
      <c r="C81" t="s">
        <v>530</v>
      </c>
      <c r="D81">
        <f>Inputs!U185</f>
        <v>0</v>
      </c>
      <c r="E81" t="s">
        <v>157</v>
      </c>
      <c r="F81">
        <f>Inputs!V185</f>
        <v>0</v>
      </c>
      <c r="G81" t="s">
        <v>1463</v>
      </c>
      <c r="H81">
        <f>Inputs!W185</f>
        <v>0</v>
      </c>
      <c r="I81" t="s">
        <v>2696</v>
      </c>
      <c r="J81">
        <f>Inputs!F186</f>
        <v>0</v>
      </c>
      <c r="K81" t="s">
        <v>668</v>
      </c>
      <c r="L81">
        <f>Inputs!G186</f>
        <v>0</v>
      </c>
      <c r="M81" t="s">
        <v>2130</v>
      </c>
      <c r="N81">
        <f>Inputs!H186</f>
        <v>0</v>
      </c>
      <c r="O81" t="s">
        <v>2799</v>
      </c>
      <c r="P81">
        <f>Inputs!I186</f>
        <v>0</v>
      </c>
      <c r="Q81" t="s">
        <v>2845</v>
      </c>
      <c r="R81">
        <f>Inputs!J186</f>
        <v>0</v>
      </c>
      <c r="S81" t="s">
        <v>3697</v>
      </c>
      <c r="T81">
        <f>Inputs!K186</f>
        <v>0</v>
      </c>
      <c r="U81" t="s">
        <v>3180</v>
      </c>
      <c r="V81">
        <f>Inputs!L186</f>
        <v>0</v>
      </c>
      <c r="W81" t="s">
        <v>5786</v>
      </c>
      <c r="X81">
        <f>Inputs!M186</f>
        <v>0</v>
      </c>
      <c r="Y81" t="s">
        <v>3113</v>
      </c>
      <c r="Z81">
        <f>Inputs!N186</f>
        <v>0</v>
      </c>
      <c r="AA81" t="s">
        <v>532</v>
      </c>
      <c r="AB81">
        <f>Inputs!O186</f>
        <v>0</v>
      </c>
      <c r="AC81" t="s">
        <v>5605</v>
      </c>
      <c r="AD81">
        <f>Inputs!P186</f>
        <v>0</v>
      </c>
      <c r="AE81" t="s">
        <v>979</v>
      </c>
      <c r="AF81">
        <f>Inputs!Q186</f>
        <v>0</v>
      </c>
      <c r="AG81" t="s">
        <v>3022</v>
      </c>
      <c r="AH81">
        <f>Inputs!R186</f>
        <v>0</v>
      </c>
      <c r="AI81" t="s">
        <v>3530</v>
      </c>
      <c r="AJ81">
        <f>Inputs!S186</f>
        <v>0</v>
      </c>
      <c r="AK81" t="s">
        <v>3363</v>
      </c>
      <c r="AL81">
        <f>Inputs!T186</f>
        <v>0</v>
      </c>
      <c r="AM81" t="s">
        <v>4793</v>
      </c>
      <c r="AN81">
        <f>Inputs!U186</f>
        <v>0</v>
      </c>
      <c r="AO81" t="s">
        <v>3291</v>
      </c>
      <c r="AP81">
        <f>Inputs!V186</f>
        <v>0</v>
      </c>
      <c r="AQ81" t="s">
        <v>3792</v>
      </c>
      <c r="AR81">
        <f>Inputs!W186</f>
        <v>0</v>
      </c>
      <c r="AS81" t="s">
        <v>3399</v>
      </c>
      <c r="AT81">
        <f>Inputs!F187</f>
        <v>0</v>
      </c>
      <c r="AU81" t="s">
        <v>2317</v>
      </c>
      <c r="AV81">
        <f>Inputs!G187</f>
        <v>0</v>
      </c>
      <c r="AW81" t="s">
        <v>519</v>
      </c>
      <c r="AX81">
        <f>Inputs!H187</f>
        <v>0</v>
      </c>
      <c r="AY81" t="s">
        <v>2283</v>
      </c>
      <c r="AZ81">
        <f>Inputs!I187</f>
        <v>0</v>
      </c>
      <c r="BA81" t="s">
        <v>1846</v>
      </c>
      <c r="BB81">
        <f>Inputs!J187</f>
        <v>0</v>
      </c>
      <c r="BC81" t="s">
        <v>2598</v>
      </c>
      <c r="BD81">
        <f>Inputs!K187</f>
        <v>0</v>
      </c>
      <c r="BE81" t="s">
        <v>1264</v>
      </c>
      <c r="BF81">
        <f>Inputs!L187</f>
        <v>0</v>
      </c>
      <c r="BG81" t="s">
        <v>5272</v>
      </c>
      <c r="BH81">
        <f>Inputs!M187</f>
        <v>0</v>
      </c>
      <c r="BI81" t="s">
        <v>5247</v>
      </c>
      <c r="BJ81">
        <f>Inputs!N187</f>
        <v>0</v>
      </c>
      <c r="BK81" t="s">
        <v>6</v>
      </c>
      <c r="BL81">
        <f>Inputs!O187</f>
        <v>0</v>
      </c>
    </row>
    <row r="82" spans="1:64" ht="12.75" customHeight="1" x14ac:dyDescent="0.2">
      <c r="A82" t="s">
        <v>2360</v>
      </c>
      <c r="B82">
        <f>Inputs!P187</f>
        <v>0</v>
      </c>
      <c r="C82" t="s">
        <v>322</v>
      </c>
      <c r="D82">
        <f>Inputs!Q187</f>
        <v>0</v>
      </c>
      <c r="E82" t="s">
        <v>579</v>
      </c>
      <c r="F82">
        <f>Inputs!R187</f>
        <v>0</v>
      </c>
      <c r="G82" t="s">
        <v>2261</v>
      </c>
      <c r="H82">
        <f>Inputs!S187</f>
        <v>0</v>
      </c>
      <c r="I82" t="s">
        <v>619</v>
      </c>
      <c r="J82">
        <f>Inputs!T187</f>
        <v>0</v>
      </c>
      <c r="K82" t="s">
        <v>2384</v>
      </c>
      <c r="L82">
        <f>Inputs!U187</f>
        <v>0</v>
      </c>
      <c r="M82" t="s">
        <v>2814</v>
      </c>
      <c r="N82">
        <f>Inputs!V187</f>
        <v>0</v>
      </c>
      <c r="O82" t="s">
        <v>3324</v>
      </c>
      <c r="P82">
        <f>Inputs!W187</f>
        <v>0</v>
      </c>
      <c r="Q82" t="s">
        <v>4815</v>
      </c>
      <c r="R82">
        <f>Inputs!F189</f>
        <v>0.8</v>
      </c>
      <c r="S82" t="s">
        <v>5405</v>
      </c>
      <c r="T82">
        <f>Inputs!G189</f>
        <v>0.8</v>
      </c>
      <c r="U82" t="s">
        <v>250</v>
      </c>
      <c r="V82">
        <f>Inputs!H189</f>
        <v>0.8</v>
      </c>
      <c r="W82" t="s">
        <v>39</v>
      </c>
      <c r="X82">
        <f>Inputs!I189</f>
        <v>0.8</v>
      </c>
      <c r="Y82" t="s">
        <v>3973</v>
      </c>
      <c r="Z82">
        <f>Inputs!J189</f>
        <v>0.8</v>
      </c>
      <c r="AA82" t="s">
        <v>2920</v>
      </c>
      <c r="AB82">
        <f>Inputs!K189</f>
        <v>0.8</v>
      </c>
      <c r="AC82" t="s">
        <v>4910</v>
      </c>
      <c r="AD82">
        <f>Inputs!L189</f>
        <v>0.8</v>
      </c>
      <c r="AE82" t="s">
        <v>3074</v>
      </c>
      <c r="AF82">
        <f>Inputs!M189</f>
        <v>0.8</v>
      </c>
      <c r="AG82" t="s">
        <v>427</v>
      </c>
      <c r="AH82">
        <f>Inputs!N189</f>
        <v>0.8</v>
      </c>
      <c r="AI82" t="s">
        <v>5186</v>
      </c>
      <c r="AJ82">
        <f>Inputs!O189</f>
        <v>0.8</v>
      </c>
      <c r="AK82" t="s">
        <v>590</v>
      </c>
      <c r="AL82">
        <f>Inputs!P189</f>
        <v>0.8</v>
      </c>
      <c r="AM82" t="s">
        <v>733</v>
      </c>
      <c r="AN82">
        <f>Inputs!Q189</f>
        <v>0.8</v>
      </c>
      <c r="AO82" t="s">
        <v>4192</v>
      </c>
      <c r="AP82">
        <f>Inputs!R189</f>
        <v>0.8</v>
      </c>
      <c r="AQ82" t="s">
        <v>3453</v>
      </c>
      <c r="AR82">
        <f>Inputs!S189</f>
        <v>0.8</v>
      </c>
      <c r="AS82" t="s">
        <v>884</v>
      </c>
      <c r="AT82">
        <f>Inputs!T189</f>
        <v>0.8</v>
      </c>
      <c r="AU82" t="s">
        <v>2430</v>
      </c>
      <c r="AV82">
        <f>Inputs!U189</f>
        <v>0.8</v>
      </c>
      <c r="AW82" t="s">
        <v>2014</v>
      </c>
      <c r="AX82">
        <f>Inputs!V189</f>
        <v>0.8</v>
      </c>
      <c r="AY82" t="s">
        <v>1114</v>
      </c>
      <c r="AZ82">
        <f>Inputs!W189</f>
        <v>0.8</v>
      </c>
      <c r="BA82" t="s">
        <v>3603</v>
      </c>
      <c r="BB82">
        <f>Inputs!F190</f>
        <v>0.8</v>
      </c>
      <c r="BC82" t="s">
        <v>4041</v>
      </c>
      <c r="BD82">
        <f>Inputs!G190</f>
        <v>0.8</v>
      </c>
      <c r="BE82" t="s">
        <v>1354</v>
      </c>
      <c r="BF82">
        <f>Inputs!H190</f>
        <v>0.8</v>
      </c>
      <c r="BG82" t="s">
        <v>1417</v>
      </c>
      <c r="BH82">
        <f>Inputs!I190</f>
        <v>0.8</v>
      </c>
      <c r="BI82" t="s">
        <v>1609</v>
      </c>
      <c r="BJ82">
        <f>Inputs!J190</f>
        <v>0.8</v>
      </c>
      <c r="BK82" t="s">
        <v>4840</v>
      </c>
      <c r="BL82">
        <f>Inputs!K190</f>
        <v>0.8</v>
      </c>
    </row>
    <row r="83" spans="1:64" ht="12.75" customHeight="1" x14ac:dyDescent="0.2">
      <c r="A83" t="s">
        <v>3993</v>
      </c>
      <c r="B83">
        <f>Inputs!L190</f>
        <v>0.8</v>
      </c>
      <c r="C83" t="s">
        <v>1349</v>
      </c>
      <c r="D83">
        <f>Inputs!M190</f>
        <v>0.8</v>
      </c>
      <c r="E83" t="s">
        <v>4594</v>
      </c>
      <c r="F83">
        <f>Inputs!N190</f>
        <v>0.8</v>
      </c>
      <c r="G83" t="s">
        <v>3813</v>
      </c>
      <c r="H83">
        <f>Inputs!O190</f>
        <v>0.8</v>
      </c>
      <c r="I83" t="s">
        <v>2830</v>
      </c>
      <c r="J83">
        <f>Inputs!P190</f>
        <v>0.8</v>
      </c>
      <c r="K83" t="s">
        <v>859</v>
      </c>
      <c r="L83">
        <f>Inputs!Q190</f>
        <v>0.8</v>
      </c>
      <c r="M83" t="s">
        <v>864</v>
      </c>
      <c r="N83">
        <f>Inputs!R190</f>
        <v>0.8</v>
      </c>
      <c r="O83" t="s">
        <v>41</v>
      </c>
      <c r="P83">
        <f>Inputs!S190</f>
        <v>0.8</v>
      </c>
      <c r="Q83" t="s">
        <v>3266</v>
      </c>
      <c r="R83">
        <f>Inputs!T190</f>
        <v>0.8</v>
      </c>
      <c r="S83" t="s">
        <v>3104</v>
      </c>
      <c r="T83">
        <f>Inputs!U190</f>
        <v>0.8</v>
      </c>
      <c r="U83" t="s">
        <v>4536</v>
      </c>
      <c r="V83">
        <f>Inputs!V190</f>
        <v>0.8</v>
      </c>
      <c r="W83" t="s">
        <v>3693</v>
      </c>
      <c r="X83">
        <f>Inputs!W190</f>
        <v>0.8</v>
      </c>
      <c r="Y83" t="s">
        <v>5345</v>
      </c>
      <c r="Z83">
        <f>Inputs!F191</f>
        <v>0.8</v>
      </c>
      <c r="AA83" t="s">
        <v>3853</v>
      </c>
      <c r="AB83">
        <f>Inputs!G191</f>
        <v>0.8</v>
      </c>
      <c r="AC83" t="s">
        <v>482</v>
      </c>
      <c r="AD83">
        <f>Inputs!H191</f>
        <v>0.8</v>
      </c>
      <c r="AE83" t="s">
        <v>306</v>
      </c>
      <c r="AF83">
        <f>Inputs!I191</f>
        <v>0.8</v>
      </c>
      <c r="AG83" t="s">
        <v>4344</v>
      </c>
      <c r="AH83">
        <f>Inputs!J191</f>
        <v>0.8</v>
      </c>
      <c r="AI83" t="s">
        <v>2903</v>
      </c>
      <c r="AJ83">
        <f>Inputs!K191</f>
        <v>0.8</v>
      </c>
      <c r="AK83" t="s">
        <v>37</v>
      </c>
      <c r="AL83">
        <f>Inputs!L191</f>
        <v>0.8</v>
      </c>
      <c r="AM83" t="s">
        <v>3331</v>
      </c>
      <c r="AN83">
        <f>Inputs!M191</f>
        <v>0.8</v>
      </c>
      <c r="AO83" t="s">
        <v>3007</v>
      </c>
      <c r="AP83">
        <f>Inputs!N191</f>
        <v>0.8</v>
      </c>
      <c r="AQ83" t="s">
        <v>3115</v>
      </c>
      <c r="AR83">
        <f>Inputs!O191</f>
        <v>0.8</v>
      </c>
      <c r="AS83" t="s">
        <v>4465</v>
      </c>
      <c r="AT83">
        <f>Inputs!P191</f>
        <v>0.8</v>
      </c>
      <c r="AU83" t="s">
        <v>4535</v>
      </c>
      <c r="AV83">
        <f>Inputs!Q191</f>
        <v>0.8</v>
      </c>
      <c r="AW83" t="s">
        <v>3287</v>
      </c>
      <c r="AX83">
        <f>Inputs!R191</f>
        <v>0.8</v>
      </c>
      <c r="AY83" t="s">
        <v>4152</v>
      </c>
      <c r="AZ83">
        <f>Inputs!S191</f>
        <v>0.8</v>
      </c>
      <c r="BA83" t="s">
        <v>797</v>
      </c>
      <c r="BB83">
        <f>Inputs!T191</f>
        <v>0.8</v>
      </c>
      <c r="BC83" t="s">
        <v>4864</v>
      </c>
      <c r="BD83">
        <f>Inputs!U191</f>
        <v>0.8</v>
      </c>
      <c r="BE83" t="s">
        <v>3892</v>
      </c>
      <c r="BF83">
        <f>Inputs!V191</f>
        <v>0.8</v>
      </c>
      <c r="BG83" t="s">
        <v>4405</v>
      </c>
      <c r="BH83">
        <f>Inputs!W191</f>
        <v>0.8</v>
      </c>
      <c r="BI83" t="s">
        <v>3592</v>
      </c>
      <c r="BJ83">
        <f>Inputs!F192</f>
        <v>0.8</v>
      </c>
      <c r="BK83" t="s">
        <v>243</v>
      </c>
      <c r="BL83">
        <f>Inputs!G192</f>
        <v>0.8</v>
      </c>
    </row>
    <row r="84" spans="1:64" ht="12.75" customHeight="1" x14ac:dyDescent="0.2">
      <c r="A84" t="s">
        <v>2833</v>
      </c>
      <c r="B84">
        <f>Inputs!H192</f>
        <v>0.8</v>
      </c>
      <c r="C84" t="s">
        <v>2675</v>
      </c>
      <c r="D84">
        <f>Inputs!I192</f>
        <v>0.8</v>
      </c>
      <c r="E84" t="s">
        <v>5893</v>
      </c>
      <c r="F84">
        <f>Inputs!J192</f>
        <v>0.8</v>
      </c>
      <c r="G84" t="s">
        <v>3267</v>
      </c>
      <c r="H84">
        <f>Inputs!K192</f>
        <v>0.8</v>
      </c>
      <c r="I84" t="s">
        <v>3023</v>
      </c>
      <c r="J84">
        <f>Inputs!L192</f>
        <v>0.8</v>
      </c>
      <c r="K84" t="s">
        <v>5623</v>
      </c>
      <c r="L84">
        <f>Inputs!M192</f>
        <v>0.8</v>
      </c>
      <c r="M84" t="s">
        <v>3008</v>
      </c>
      <c r="N84">
        <f>Inputs!N192</f>
        <v>0.8</v>
      </c>
      <c r="O84" t="s">
        <v>3097</v>
      </c>
      <c r="P84">
        <f>Inputs!O192</f>
        <v>0.8</v>
      </c>
      <c r="Q84" t="s">
        <v>5187</v>
      </c>
      <c r="R84">
        <f>Inputs!P192</f>
        <v>0.8</v>
      </c>
      <c r="S84" t="s">
        <v>836</v>
      </c>
      <c r="T84">
        <f>Inputs!Q192</f>
        <v>0.8</v>
      </c>
      <c r="U84" t="s">
        <v>2087</v>
      </c>
      <c r="V84">
        <f>Inputs!R192</f>
        <v>0.8</v>
      </c>
      <c r="W84" t="s">
        <v>1923</v>
      </c>
      <c r="X84">
        <f>Inputs!S192</f>
        <v>0.8</v>
      </c>
      <c r="Y84" t="s">
        <v>4463</v>
      </c>
      <c r="Z84">
        <f>Inputs!T192</f>
        <v>0.8</v>
      </c>
      <c r="AA84" t="s">
        <v>4295</v>
      </c>
      <c r="AB84">
        <f>Inputs!U192</f>
        <v>0.8</v>
      </c>
      <c r="AC84" t="s">
        <v>1646</v>
      </c>
      <c r="AD84">
        <f>Inputs!V192</f>
        <v>0.8</v>
      </c>
      <c r="AE84" t="s">
        <v>170</v>
      </c>
      <c r="AF84">
        <f>Inputs!W192</f>
        <v>0.8</v>
      </c>
      <c r="AG84" t="s">
        <v>1537</v>
      </c>
      <c r="AH84">
        <f>Inputs!Z183</f>
        <v>6</v>
      </c>
      <c r="AI84" t="s">
        <v>5315</v>
      </c>
      <c r="AJ84">
        <f>Inputs!F197</f>
        <v>0</v>
      </c>
      <c r="AK84" t="s">
        <v>2807</v>
      </c>
      <c r="AL84">
        <f>Inputs!G197</f>
        <v>0</v>
      </c>
      <c r="AM84" t="s">
        <v>2407</v>
      </c>
      <c r="AN84">
        <f>Inputs!H197</f>
        <v>0</v>
      </c>
      <c r="AO84" t="s">
        <v>43</v>
      </c>
      <c r="AP84">
        <f>Inputs!I197</f>
        <v>0</v>
      </c>
      <c r="AQ84" t="s">
        <v>5572</v>
      </c>
      <c r="AR84">
        <f>Inputs!J197</f>
        <v>0</v>
      </c>
      <c r="AS84" t="s">
        <v>4778</v>
      </c>
      <c r="AT84">
        <f>Inputs!K197</f>
        <v>0</v>
      </c>
      <c r="AU84" t="s">
        <v>4416</v>
      </c>
      <c r="AV84">
        <f>Inputs!L197</f>
        <v>0</v>
      </c>
      <c r="AW84" t="s">
        <v>1756</v>
      </c>
      <c r="AX84">
        <f>Inputs!M197</f>
        <v>0</v>
      </c>
      <c r="AY84" t="s">
        <v>3420</v>
      </c>
      <c r="AZ84">
        <f>Inputs!N197</f>
        <v>0</v>
      </c>
      <c r="BA84" t="s">
        <v>1388</v>
      </c>
      <c r="BB84">
        <f>Inputs!O197</f>
        <v>0</v>
      </c>
      <c r="BC84" t="s">
        <v>200</v>
      </c>
      <c r="BD84">
        <f>Inputs!P197</f>
        <v>0</v>
      </c>
      <c r="BE84" t="s">
        <v>648</v>
      </c>
      <c r="BF84">
        <f>Inputs!Q197</f>
        <v>0</v>
      </c>
      <c r="BG84" t="s">
        <v>587</v>
      </c>
      <c r="BH84">
        <f>Inputs!R197</f>
        <v>0</v>
      </c>
      <c r="BI84" t="s">
        <v>5436</v>
      </c>
      <c r="BJ84">
        <f>Inputs!S197</f>
        <v>0</v>
      </c>
      <c r="BK84" t="s">
        <v>2630</v>
      </c>
      <c r="BL84">
        <f>Inputs!T197</f>
        <v>0</v>
      </c>
    </row>
    <row r="85" spans="1:64" ht="12.75" customHeight="1" x14ac:dyDescent="0.2">
      <c r="A85" t="s">
        <v>2004</v>
      </c>
      <c r="B85">
        <f>Inputs!U197</f>
        <v>0</v>
      </c>
      <c r="C85" t="s">
        <v>5902</v>
      </c>
      <c r="D85">
        <f>Inputs!V197</f>
        <v>0</v>
      </c>
      <c r="E85" t="s">
        <v>806</v>
      </c>
      <c r="F85">
        <f>Inputs!W197</f>
        <v>0</v>
      </c>
      <c r="G85" t="s">
        <v>3521</v>
      </c>
      <c r="H85">
        <f>Inputs!F198</f>
        <v>0</v>
      </c>
      <c r="I85" t="s">
        <v>4954</v>
      </c>
      <c r="J85">
        <f>Inputs!G198</f>
        <v>0</v>
      </c>
      <c r="K85" t="s">
        <v>990</v>
      </c>
      <c r="L85">
        <f>Inputs!H198</f>
        <v>0</v>
      </c>
      <c r="M85" t="s">
        <v>5787</v>
      </c>
      <c r="N85">
        <f>Inputs!I198</f>
        <v>0</v>
      </c>
      <c r="O85" t="s">
        <v>4641</v>
      </c>
      <c r="P85">
        <f>Inputs!J198</f>
        <v>0</v>
      </c>
      <c r="Q85" t="s">
        <v>3584</v>
      </c>
      <c r="R85">
        <f>Inputs!K198</f>
        <v>0</v>
      </c>
      <c r="S85" t="s">
        <v>3190</v>
      </c>
      <c r="T85">
        <f>Inputs!L198</f>
        <v>0</v>
      </c>
      <c r="U85" t="s">
        <v>2103</v>
      </c>
      <c r="V85">
        <f>Inputs!M198</f>
        <v>0</v>
      </c>
      <c r="W85" t="s">
        <v>1659</v>
      </c>
      <c r="X85">
        <f>Inputs!N198</f>
        <v>0</v>
      </c>
      <c r="Y85" t="s">
        <v>2639</v>
      </c>
      <c r="Z85">
        <f>Inputs!O198</f>
        <v>0</v>
      </c>
      <c r="AA85" t="s">
        <v>697</v>
      </c>
      <c r="AB85">
        <f>Inputs!P198</f>
        <v>0</v>
      </c>
      <c r="AC85" t="s">
        <v>4408</v>
      </c>
      <c r="AD85">
        <f>Inputs!Q198</f>
        <v>0</v>
      </c>
      <c r="AE85" t="s">
        <v>3094</v>
      </c>
      <c r="AF85">
        <f>Inputs!R198</f>
        <v>0</v>
      </c>
      <c r="AG85" t="s">
        <v>989</v>
      </c>
      <c r="AH85">
        <f>Inputs!S198</f>
        <v>0</v>
      </c>
      <c r="AI85" t="s">
        <v>1886</v>
      </c>
      <c r="AJ85">
        <f>Inputs!T198</f>
        <v>0</v>
      </c>
      <c r="AK85" t="s">
        <v>1286</v>
      </c>
      <c r="AL85">
        <f>Inputs!U198</f>
        <v>0</v>
      </c>
      <c r="AM85" t="s">
        <v>83</v>
      </c>
      <c r="AN85">
        <f>Inputs!V198</f>
        <v>0</v>
      </c>
      <c r="AO85" t="s">
        <v>492</v>
      </c>
      <c r="AP85">
        <f>Inputs!W198</f>
        <v>0</v>
      </c>
      <c r="AQ85" t="s">
        <v>4042</v>
      </c>
      <c r="AR85">
        <f>Inputs!F199</f>
        <v>0</v>
      </c>
      <c r="AS85" t="s">
        <v>2921</v>
      </c>
      <c r="AT85">
        <f>Inputs!G199</f>
        <v>0</v>
      </c>
      <c r="AU85" t="s">
        <v>3013</v>
      </c>
      <c r="AV85">
        <f>Inputs!H199</f>
        <v>0</v>
      </c>
      <c r="AW85" t="s">
        <v>3812</v>
      </c>
      <c r="AX85">
        <f>Inputs!I199</f>
        <v>0</v>
      </c>
      <c r="AY85" t="s">
        <v>1714</v>
      </c>
      <c r="AZ85">
        <f>Inputs!J199</f>
        <v>0</v>
      </c>
      <c r="BA85" t="s">
        <v>4742</v>
      </c>
      <c r="BB85">
        <f>Inputs!K199</f>
        <v>0</v>
      </c>
      <c r="BC85" t="s">
        <v>802</v>
      </c>
      <c r="BD85">
        <f>Inputs!L199</f>
        <v>0</v>
      </c>
      <c r="BE85" t="s">
        <v>5856</v>
      </c>
      <c r="BF85">
        <f>Inputs!M199</f>
        <v>0</v>
      </c>
      <c r="BG85" t="s">
        <v>888</v>
      </c>
      <c r="BH85">
        <f>Inputs!N199</f>
        <v>0</v>
      </c>
      <c r="BI85" t="s">
        <v>1208</v>
      </c>
      <c r="BJ85">
        <f>Inputs!O199</f>
        <v>0</v>
      </c>
      <c r="BK85" t="s">
        <v>3003</v>
      </c>
      <c r="BL85">
        <f>Inputs!P199</f>
        <v>0</v>
      </c>
    </row>
    <row r="86" spans="1:64" ht="12.75" customHeight="1" x14ac:dyDescent="0.2">
      <c r="A86" t="s">
        <v>5466</v>
      </c>
      <c r="B86">
        <f>Inputs!Q199</f>
        <v>0</v>
      </c>
      <c r="C86" t="s">
        <v>2791</v>
      </c>
      <c r="D86">
        <f>Inputs!R199</f>
        <v>0</v>
      </c>
      <c r="E86" t="s">
        <v>45</v>
      </c>
      <c r="F86">
        <f>Inputs!S199</f>
        <v>0</v>
      </c>
      <c r="G86" t="s">
        <v>2622</v>
      </c>
      <c r="H86">
        <f>Inputs!T199</f>
        <v>0</v>
      </c>
      <c r="I86" t="s">
        <v>5203</v>
      </c>
      <c r="J86">
        <f>Inputs!U199</f>
        <v>0</v>
      </c>
      <c r="K86" t="s">
        <v>4781</v>
      </c>
      <c r="L86">
        <f>Inputs!V199</f>
        <v>0</v>
      </c>
      <c r="M86" t="s">
        <v>3793</v>
      </c>
      <c r="N86">
        <f>Inputs!W199</f>
        <v>0</v>
      </c>
      <c r="O86" t="s">
        <v>1466</v>
      </c>
      <c r="P86">
        <f>Inputs!F200</f>
        <v>0</v>
      </c>
      <c r="Q86" t="s">
        <v>597</v>
      </c>
      <c r="R86">
        <f>Inputs!G200</f>
        <v>0</v>
      </c>
      <c r="S86" t="s">
        <v>2515</v>
      </c>
      <c r="T86">
        <f>Inputs!H200</f>
        <v>0</v>
      </c>
      <c r="U86" t="s">
        <v>1906</v>
      </c>
      <c r="V86">
        <f>Inputs!I200</f>
        <v>0</v>
      </c>
      <c r="W86" t="s">
        <v>355</v>
      </c>
      <c r="X86">
        <f>Inputs!J200</f>
        <v>0</v>
      </c>
      <c r="Y86" t="s">
        <v>403</v>
      </c>
      <c r="Z86">
        <f>Inputs!K200</f>
        <v>0</v>
      </c>
      <c r="AA86" t="s">
        <v>116</v>
      </c>
      <c r="AB86">
        <f>Inputs!L200</f>
        <v>0</v>
      </c>
      <c r="AC86" t="s">
        <v>5598</v>
      </c>
      <c r="AD86">
        <f>Inputs!M200</f>
        <v>0</v>
      </c>
      <c r="AE86" t="s">
        <v>5370</v>
      </c>
      <c r="AF86">
        <f>Inputs!N200</f>
        <v>0</v>
      </c>
      <c r="AG86" t="s">
        <v>375</v>
      </c>
      <c r="AH86">
        <f>Inputs!O200</f>
        <v>0</v>
      </c>
      <c r="AI86" t="s">
        <v>4734</v>
      </c>
      <c r="AJ86">
        <f>Inputs!P200</f>
        <v>0</v>
      </c>
      <c r="AK86" t="s">
        <v>5297</v>
      </c>
      <c r="AL86">
        <f>Inputs!Q200</f>
        <v>0</v>
      </c>
      <c r="AM86" t="s">
        <v>4354</v>
      </c>
      <c r="AN86">
        <f>Inputs!R200</f>
        <v>0</v>
      </c>
      <c r="AO86" t="s">
        <v>5916</v>
      </c>
      <c r="AP86">
        <f>Inputs!S200</f>
        <v>0</v>
      </c>
      <c r="AQ86" t="s">
        <v>3552</v>
      </c>
      <c r="AR86">
        <f>Inputs!T200</f>
        <v>0</v>
      </c>
      <c r="AS86" t="s">
        <v>3423</v>
      </c>
      <c r="AT86">
        <f>Inputs!U200</f>
        <v>0</v>
      </c>
      <c r="AU86" t="s">
        <v>5518</v>
      </c>
      <c r="AV86">
        <f>Inputs!V200</f>
        <v>0</v>
      </c>
      <c r="AW86" t="s">
        <v>1033</v>
      </c>
      <c r="AX86">
        <f>Inputs!W200</f>
        <v>0</v>
      </c>
      <c r="AY86" t="s">
        <v>4917</v>
      </c>
      <c r="AZ86">
        <f>Inputs!AB197</f>
        <v>0</v>
      </c>
      <c r="BA86" t="s">
        <v>2812</v>
      </c>
      <c r="BB86">
        <f>Inputs!AC197</f>
        <v>0</v>
      </c>
      <c r="BC86" t="s">
        <v>5535</v>
      </c>
      <c r="BD86">
        <f>Inputs!AD197</f>
        <v>1</v>
      </c>
      <c r="BE86" t="s">
        <v>5797</v>
      </c>
      <c r="BF86">
        <f>Inputs!AB198</f>
        <v>0</v>
      </c>
      <c r="BG86" t="s">
        <v>1037</v>
      </c>
      <c r="BH86">
        <f>Inputs!AC198</f>
        <v>0</v>
      </c>
      <c r="BI86" t="s">
        <v>3411</v>
      </c>
      <c r="BJ86">
        <f>Inputs!AD198</f>
        <v>1</v>
      </c>
      <c r="BK86" t="s">
        <v>1510</v>
      </c>
      <c r="BL86">
        <f>Inputs!AB199</f>
        <v>0</v>
      </c>
    </row>
    <row r="87" spans="1:64" ht="12.75" customHeight="1" x14ac:dyDescent="0.2">
      <c r="A87" t="s">
        <v>1892</v>
      </c>
      <c r="B87">
        <f>Inputs!AC199</f>
        <v>0</v>
      </c>
      <c r="C87" t="s">
        <v>877</v>
      </c>
      <c r="D87">
        <f>Inputs!AD199</f>
        <v>1</v>
      </c>
      <c r="E87" t="s">
        <v>430</v>
      </c>
      <c r="F87">
        <f>Inputs!AB200</f>
        <v>0</v>
      </c>
      <c r="G87" t="s">
        <v>3401</v>
      </c>
      <c r="H87">
        <f>Inputs!AC200</f>
        <v>0</v>
      </c>
      <c r="I87" t="s">
        <v>1423</v>
      </c>
      <c r="J87">
        <f>Inputs!AD200</f>
        <v>1</v>
      </c>
      <c r="K87" t="s">
        <v>5581</v>
      </c>
      <c r="L87">
        <f>Inputs!AB202</f>
        <v>6</v>
      </c>
      <c r="M87" t="s">
        <v>5090</v>
      </c>
      <c r="N87">
        <f>Inputs!F208</f>
        <v>100000</v>
      </c>
      <c r="O87" t="s">
        <v>4159</v>
      </c>
      <c r="P87">
        <f>Inputs!G208</f>
        <v>100000</v>
      </c>
      <c r="Q87" t="s">
        <v>4912</v>
      </c>
      <c r="R87">
        <f>Inputs!F209</f>
        <v>100000</v>
      </c>
      <c r="S87" t="s">
        <v>2858</v>
      </c>
      <c r="T87">
        <f>Inputs!G209</f>
        <v>100000</v>
      </c>
      <c r="U87" t="s">
        <v>2755</v>
      </c>
      <c r="V87">
        <f>Inputs!F212</f>
        <v>0.03</v>
      </c>
      <c r="W87" t="s">
        <v>3886</v>
      </c>
      <c r="X87">
        <f>Inputs!G212</f>
        <v>0.03</v>
      </c>
      <c r="Y87" t="s">
        <v>5508</v>
      </c>
      <c r="Z87">
        <f>Inputs!H212</f>
        <v>0.03</v>
      </c>
      <c r="AA87" t="s">
        <v>1042</v>
      </c>
      <c r="AB87">
        <f>Inputs!I212</f>
        <v>0.03</v>
      </c>
      <c r="AC87" t="s">
        <v>2267</v>
      </c>
      <c r="AD87">
        <f>Inputs!J212</f>
        <v>0.03</v>
      </c>
      <c r="AE87" t="s">
        <v>1625</v>
      </c>
      <c r="AF87">
        <f>Inputs!K212</f>
        <v>0.03</v>
      </c>
      <c r="AG87" t="s">
        <v>5328</v>
      </c>
      <c r="AH87">
        <f>Inputs!L212</f>
        <v>0.03</v>
      </c>
      <c r="AI87" t="s">
        <v>1606</v>
      </c>
      <c r="AJ87">
        <f>Inputs!M212</f>
        <v>0.03</v>
      </c>
      <c r="AK87" t="s">
        <v>756</v>
      </c>
      <c r="AL87">
        <f>Inputs!N212</f>
        <v>0.03</v>
      </c>
      <c r="AM87" t="s">
        <v>2491</v>
      </c>
      <c r="AN87">
        <f>Inputs!O212</f>
        <v>0.03</v>
      </c>
      <c r="AO87" t="s">
        <v>3656</v>
      </c>
      <c r="AP87">
        <f>Inputs!P212</f>
        <v>0.03</v>
      </c>
      <c r="AQ87" t="s">
        <v>924</v>
      </c>
      <c r="AR87">
        <f>Inputs!Q212</f>
        <v>0.03</v>
      </c>
      <c r="AS87" t="s">
        <v>805</v>
      </c>
      <c r="AT87">
        <f>Inputs!R212</f>
        <v>0.03</v>
      </c>
      <c r="AU87" t="s">
        <v>438</v>
      </c>
      <c r="AV87">
        <f>Inputs!S212</f>
        <v>0.03</v>
      </c>
      <c r="AW87" t="s">
        <v>4699</v>
      </c>
      <c r="AX87">
        <f>Inputs!T212</f>
        <v>0.03</v>
      </c>
      <c r="AY87" t="s">
        <v>2432</v>
      </c>
      <c r="AZ87">
        <f>Inputs!U212</f>
        <v>0.03</v>
      </c>
      <c r="BA87" t="s">
        <v>1444</v>
      </c>
      <c r="BB87">
        <f>Inputs!V212</f>
        <v>0.03</v>
      </c>
      <c r="BC87" t="s">
        <v>4139</v>
      </c>
      <c r="BD87">
        <f>Inputs!W212</f>
        <v>0.03</v>
      </c>
      <c r="BE87" t="s">
        <v>5851</v>
      </c>
      <c r="BF87">
        <f>Inputs!F213</f>
        <v>0.03</v>
      </c>
      <c r="BG87" t="s">
        <v>5814</v>
      </c>
      <c r="BH87">
        <f>Inputs!G213</f>
        <v>0.03</v>
      </c>
      <c r="BI87" t="s">
        <v>5215</v>
      </c>
      <c r="BJ87">
        <f>Inputs!H213</f>
        <v>0.03</v>
      </c>
      <c r="BK87" t="s">
        <v>3000</v>
      </c>
      <c r="BL87">
        <f>Inputs!I213</f>
        <v>0.03</v>
      </c>
    </row>
    <row r="88" spans="1:64" ht="12.75" customHeight="1" x14ac:dyDescent="0.2">
      <c r="A88" t="s">
        <v>3488</v>
      </c>
      <c r="B88">
        <f>Inputs!J213</f>
        <v>0.03</v>
      </c>
      <c r="C88" t="s">
        <v>4540</v>
      </c>
      <c r="D88">
        <f>Inputs!K213</f>
        <v>0.03</v>
      </c>
      <c r="E88" t="s">
        <v>2035</v>
      </c>
      <c r="F88">
        <f>Inputs!L213</f>
        <v>0.03</v>
      </c>
      <c r="G88" t="s">
        <v>2836</v>
      </c>
      <c r="H88">
        <f>Inputs!M213</f>
        <v>0.03</v>
      </c>
      <c r="I88" t="s">
        <v>1984</v>
      </c>
      <c r="J88">
        <f>Inputs!N213</f>
        <v>0.03</v>
      </c>
      <c r="K88" t="s">
        <v>4034</v>
      </c>
      <c r="L88">
        <f>Inputs!O213</f>
        <v>0.03</v>
      </c>
      <c r="M88" t="s">
        <v>3484</v>
      </c>
      <c r="N88">
        <f>Inputs!P213</f>
        <v>0.03</v>
      </c>
      <c r="O88" t="s">
        <v>1261</v>
      </c>
      <c r="P88">
        <f>Inputs!Q213</f>
        <v>0.03</v>
      </c>
      <c r="Q88" t="s">
        <v>3450</v>
      </c>
      <c r="R88">
        <f>Inputs!R213</f>
        <v>0.03</v>
      </c>
      <c r="S88" t="s">
        <v>1480</v>
      </c>
      <c r="T88">
        <f>Inputs!S213</f>
        <v>0.03</v>
      </c>
      <c r="U88" t="s">
        <v>3125</v>
      </c>
      <c r="V88">
        <f>Inputs!T213</f>
        <v>0.03</v>
      </c>
      <c r="W88" t="s">
        <v>2346</v>
      </c>
      <c r="X88">
        <f>Inputs!U213</f>
        <v>0.03</v>
      </c>
      <c r="Y88" t="s">
        <v>1359</v>
      </c>
      <c r="Z88">
        <f>Inputs!V213</f>
        <v>0.03</v>
      </c>
      <c r="AA88" t="s">
        <v>4756</v>
      </c>
      <c r="AB88">
        <f>Inputs!W213</f>
        <v>0.03</v>
      </c>
      <c r="AC88" t="s">
        <v>2794</v>
      </c>
      <c r="AD88">
        <f>Inputs!F215</f>
        <v>0</v>
      </c>
      <c r="AE88" t="s">
        <v>5150</v>
      </c>
      <c r="AF88">
        <f>Inputs!G215</f>
        <v>0</v>
      </c>
      <c r="AG88" t="s">
        <v>5825</v>
      </c>
      <c r="AH88">
        <f>Inputs!H215</f>
        <v>0</v>
      </c>
      <c r="AI88" t="s">
        <v>2925</v>
      </c>
      <c r="AJ88">
        <f>Inputs!I215</f>
        <v>0</v>
      </c>
      <c r="AK88" t="s">
        <v>2820</v>
      </c>
      <c r="AL88">
        <f>Inputs!J215</f>
        <v>0</v>
      </c>
      <c r="AM88" t="s">
        <v>2458</v>
      </c>
      <c r="AN88">
        <f>Inputs!K215</f>
        <v>0</v>
      </c>
      <c r="AO88" t="s">
        <v>3444</v>
      </c>
      <c r="AP88">
        <f>Inputs!L215</f>
        <v>0</v>
      </c>
      <c r="AQ88" t="s">
        <v>1778</v>
      </c>
      <c r="AR88">
        <f>Inputs!M215</f>
        <v>0</v>
      </c>
      <c r="AS88" t="s">
        <v>1975</v>
      </c>
      <c r="AT88">
        <f>Inputs!N215</f>
        <v>0</v>
      </c>
      <c r="AU88" t="s">
        <v>3818</v>
      </c>
      <c r="AV88">
        <f>Inputs!O215</f>
        <v>0</v>
      </c>
      <c r="AW88" t="s">
        <v>4950</v>
      </c>
      <c r="AX88">
        <f>Inputs!P215</f>
        <v>0</v>
      </c>
      <c r="AY88" t="s">
        <v>2189</v>
      </c>
      <c r="AZ88">
        <f>Inputs!Q215</f>
        <v>0</v>
      </c>
      <c r="BA88" t="s">
        <v>1820</v>
      </c>
      <c r="BB88">
        <f>Inputs!R215</f>
        <v>0</v>
      </c>
      <c r="BC88" t="s">
        <v>1743</v>
      </c>
      <c r="BD88">
        <f>Inputs!S215</f>
        <v>0</v>
      </c>
      <c r="BE88" t="s">
        <v>193</v>
      </c>
      <c r="BF88">
        <f>Inputs!T215</f>
        <v>0</v>
      </c>
      <c r="BG88" t="s">
        <v>3295</v>
      </c>
      <c r="BH88">
        <f>Inputs!U215</f>
        <v>0</v>
      </c>
      <c r="BI88" t="s">
        <v>3880</v>
      </c>
      <c r="BJ88">
        <f>Inputs!V215</f>
        <v>0</v>
      </c>
      <c r="BK88" t="s">
        <v>5648</v>
      </c>
      <c r="BL88">
        <f>Inputs!W215</f>
        <v>0</v>
      </c>
    </row>
    <row r="89" spans="1:64" ht="12.75" customHeight="1" x14ac:dyDescent="0.2">
      <c r="A89" t="s">
        <v>4342</v>
      </c>
      <c r="B89">
        <f>Inputs!F216</f>
        <v>0</v>
      </c>
      <c r="C89" t="s">
        <v>4775</v>
      </c>
      <c r="D89">
        <f>Inputs!G216</f>
        <v>0</v>
      </c>
      <c r="E89" t="s">
        <v>3155</v>
      </c>
      <c r="F89">
        <f>Inputs!H216</f>
        <v>0</v>
      </c>
      <c r="G89" t="s">
        <v>2537</v>
      </c>
      <c r="H89">
        <f>Inputs!I216</f>
        <v>0</v>
      </c>
      <c r="I89" t="s">
        <v>3798</v>
      </c>
      <c r="J89">
        <f>Inputs!J216</f>
        <v>0</v>
      </c>
      <c r="K89" t="s">
        <v>3822</v>
      </c>
      <c r="L89">
        <f>Inputs!K216</f>
        <v>0</v>
      </c>
      <c r="M89" t="s">
        <v>5094</v>
      </c>
      <c r="N89">
        <f>Inputs!L216</f>
        <v>0</v>
      </c>
      <c r="O89" t="s">
        <v>3666</v>
      </c>
      <c r="P89">
        <f>Inputs!M216</f>
        <v>0</v>
      </c>
      <c r="Q89" t="s">
        <v>1265</v>
      </c>
      <c r="R89">
        <f>Inputs!N216</f>
        <v>0</v>
      </c>
      <c r="S89" t="s">
        <v>4439</v>
      </c>
      <c r="T89">
        <f>Inputs!O216</f>
        <v>0</v>
      </c>
      <c r="U89" t="s">
        <v>142</v>
      </c>
      <c r="V89">
        <f>Inputs!P216</f>
        <v>0</v>
      </c>
      <c r="W89" t="s">
        <v>4604</v>
      </c>
      <c r="X89">
        <f>Inputs!Q216</f>
        <v>0</v>
      </c>
      <c r="Y89" t="s">
        <v>552</v>
      </c>
      <c r="Z89">
        <f>Inputs!R216</f>
        <v>0</v>
      </c>
      <c r="AA89" t="s">
        <v>3387</v>
      </c>
      <c r="AB89">
        <f>Inputs!S216</f>
        <v>0</v>
      </c>
      <c r="AC89" t="s">
        <v>622</v>
      </c>
      <c r="AD89">
        <f>Inputs!T216</f>
        <v>0</v>
      </c>
      <c r="AE89" t="s">
        <v>4801</v>
      </c>
      <c r="AF89">
        <f>Inputs!U216</f>
        <v>0</v>
      </c>
      <c r="AG89" t="s">
        <v>981</v>
      </c>
      <c r="AH89">
        <f>Inputs!V216</f>
        <v>0</v>
      </c>
      <c r="AI89" t="s">
        <v>2112</v>
      </c>
      <c r="AJ89">
        <f>Inputs!W216</f>
        <v>0</v>
      </c>
      <c r="AK89" t="s">
        <v>5237</v>
      </c>
      <c r="AL89">
        <f>Inputs!F217</f>
        <v>0</v>
      </c>
      <c r="AM89" t="s">
        <v>2806</v>
      </c>
      <c r="AN89">
        <f>Inputs!G217</f>
        <v>0</v>
      </c>
      <c r="AO89" t="s">
        <v>4904</v>
      </c>
      <c r="AP89">
        <f>Inputs!H217</f>
        <v>0</v>
      </c>
      <c r="AQ89" t="s">
        <v>2784</v>
      </c>
      <c r="AR89">
        <f>Inputs!I217</f>
        <v>0</v>
      </c>
      <c r="AS89" t="s">
        <v>928</v>
      </c>
      <c r="AT89">
        <f>Inputs!J217</f>
        <v>0</v>
      </c>
      <c r="AU89" t="s">
        <v>5679</v>
      </c>
      <c r="AV89">
        <f>Inputs!K217</f>
        <v>0</v>
      </c>
      <c r="AW89" t="s">
        <v>5346</v>
      </c>
      <c r="AX89">
        <f>Inputs!L217</f>
        <v>0</v>
      </c>
      <c r="AY89" t="s">
        <v>1595</v>
      </c>
      <c r="AZ89">
        <f>Inputs!M217</f>
        <v>0</v>
      </c>
      <c r="BA89" t="s">
        <v>1500</v>
      </c>
      <c r="BB89">
        <f>Inputs!N217</f>
        <v>0</v>
      </c>
      <c r="BC89" t="s">
        <v>4385</v>
      </c>
      <c r="BD89">
        <f>Inputs!O217</f>
        <v>0</v>
      </c>
      <c r="BE89" t="s">
        <v>4189</v>
      </c>
      <c r="BF89">
        <f>Inputs!P217</f>
        <v>0</v>
      </c>
      <c r="BG89" t="s">
        <v>2608</v>
      </c>
      <c r="BH89">
        <f>Inputs!Q217</f>
        <v>0</v>
      </c>
      <c r="BI89" t="s">
        <v>5590</v>
      </c>
      <c r="BJ89">
        <f>Inputs!R217</f>
        <v>0</v>
      </c>
      <c r="BK89" t="s">
        <v>2522</v>
      </c>
      <c r="BL89">
        <f>Inputs!S217</f>
        <v>0</v>
      </c>
    </row>
    <row r="90" spans="1:64" ht="12.75" customHeight="1" x14ac:dyDescent="0.2">
      <c r="A90" t="s">
        <v>2418</v>
      </c>
      <c r="B90">
        <f>Inputs!T217</f>
        <v>0</v>
      </c>
      <c r="C90" t="s">
        <v>204</v>
      </c>
      <c r="D90">
        <f>Inputs!U217</f>
        <v>0</v>
      </c>
      <c r="E90" t="s">
        <v>94</v>
      </c>
      <c r="F90">
        <f>Inputs!V217</f>
        <v>0</v>
      </c>
      <c r="G90" t="s">
        <v>2958</v>
      </c>
      <c r="H90">
        <f>Inputs!W217</f>
        <v>0</v>
      </c>
      <c r="I90" t="s">
        <v>4744</v>
      </c>
      <c r="J90">
        <f>Inputs!F218</f>
        <v>0</v>
      </c>
      <c r="K90" t="s">
        <v>2649</v>
      </c>
      <c r="L90">
        <f>Inputs!G218</f>
        <v>0</v>
      </c>
      <c r="M90" t="s">
        <v>4579</v>
      </c>
      <c r="N90">
        <f>Inputs!H218</f>
        <v>0</v>
      </c>
      <c r="O90" t="s">
        <v>335</v>
      </c>
      <c r="P90">
        <f>Inputs!I218</f>
        <v>0</v>
      </c>
      <c r="Q90" t="s">
        <v>393</v>
      </c>
      <c r="R90">
        <f>Inputs!J218</f>
        <v>0</v>
      </c>
      <c r="S90" t="s">
        <v>4229</v>
      </c>
      <c r="T90">
        <f>Inputs!K218</f>
        <v>0</v>
      </c>
      <c r="U90" t="s">
        <v>543</v>
      </c>
      <c r="V90">
        <f>Inputs!L218</f>
        <v>0</v>
      </c>
      <c r="W90" t="s">
        <v>5074</v>
      </c>
      <c r="X90">
        <f>Inputs!M218</f>
        <v>0</v>
      </c>
      <c r="Y90" t="s">
        <v>1435</v>
      </c>
      <c r="Z90">
        <f>Inputs!N218</f>
        <v>0</v>
      </c>
      <c r="AA90" t="s">
        <v>1717</v>
      </c>
      <c r="AB90">
        <f>Inputs!O218</f>
        <v>0</v>
      </c>
      <c r="AC90" t="s">
        <v>3650</v>
      </c>
      <c r="AD90">
        <f>Inputs!P218</f>
        <v>0</v>
      </c>
      <c r="AE90" t="s">
        <v>4951</v>
      </c>
      <c r="AF90">
        <f>Inputs!Q218</f>
        <v>0</v>
      </c>
      <c r="AG90" t="s">
        <v>4170</v>
      </c>
      <c r="AH90">
        <f>Inputs!R218</f>
        <v>0</v>
      </c>
      <c r="AI90" t="s">
        <v>2711</v>
      </c>
      <c r="AJ90">
        <f>Inputs!S218</f>
        <v>0</v>
      </c>
      <c r="AK90" t="s">
        <v>2769</v>
      </c>
      <c r="AL90">
        <f>Inputs!T218</f>
        <v>0</v>
      </c>
      <c r="AM90" t="s">
        <v>433</v>
      </c>
      <c r="AN90">
        <f>Inputs!U218</f>
        <v>0</v>
      </c>
      <c r="AO90" t="s">
        <v>324</v>
      </c>
      <c r="AP90">
        <f>Inputs!V218</f>
        <v>0</v>
      </c>
      <c r="AQ90" t="s">
        <v>3031</v>
      </c>
      <c r="AR90">
        <f>Inputs!W218</f>
        <v>0</v>
      </c>
      <c r="AS90" t="s">
        <v>1276</v>
      </c>
      <c r="AT90">
        <f>Inputs!F220</f>
        <v>0.15</v>
      </c>
      <c r="AU90" t="s">
        <v>3133</v>
      </c>
      <c r="AV90">
        <f>Inputs!G220</f>
        <v>0.15</v>
      </c>
      <c r="AW90" t="s">
        <v>4642</v>
      </c>
      <c r="AX90">
        <f>Inputs!H220</f>
        <v>0.15</v>
      </c>
      <c r="AY90" t="s">
        <v>3347</v>
      </c>
      <c r="AZ90">
        <f>Inputs!I220</f>
        <v>0.15</v>
      </c>
      <c r="BA90" t="s">
        <v>343</v>
      </c>
      <c r="BB90">
        <f>Inputs!J220</f>
        <v>0.15</v>
      </c>
      <c r="BC90" t="s">
        <v>5333</v>
      </c>
      <c r="BD90">
        <f>Inputs!K220</f>
        <v>0.15</v>
      </c>
      <c r="BE90" t="s">
        <v>4254</v>
      </c>
      <c r="BF90">
        <f>Inputs!L220</f>
        <v>0.15</v>
      </c>
      <c r="BG90" t="s">
        <v>1630</v>
      </c>
      <c r="BH90">
        <f>Inputs!M220</f>
        <v>0.15</v>
      </c>
      <c r="BI90" t="s">
        <v>1859</v>
      </c>
      <c r="BJ90">
        <f>Inputs!N220</f>
        <v>0.15</v>
      </c>
      <c r="BK90" t="s">
        <v>4652</v>
      </c>
      <c r="BL90">
        <f>Inputs!O220</f>
        <v>0.15</v>
      </c>
    </row>
    <row r="91" spans="1:64" ht="12.75" customHeight="1" x14ac:dyDescent="0.2">
      <c r="A91" t="s">
        <v>3950</v>
      </c>
      <c r="B91">
        <f>Inputs!P220</f>
        <v>0.15</v>
      </c>
      <c r="C91" t="s">
        <v>3657</v>
      </c>
      <c r="D91">
        <f>Inputs!Q220</f>
        <v>0.15</v>
      </c>
      <c r="E91" t="s">
        <v>856</v>
      </c>
      <c r="F91">
        <f>Inputs!R220</f>
        <v>0.15</v>
      </c>
      <c r="G91" t="s">
        <v>3271</v>
      </c>
      <c r="H91">
        <f>Inputs!S220</f>
        <v>0.15</v>
      </c>
      <c r="I91" t="s">
        <v>4394</v>
      </c>
      <c r="J91">
        <f>Inputs!T220</f>
        <v>0.15</v>
      </c>
      <c r="K91" t="s">
        <v>1135</v>
      </c>
      <c r="L91">
        <f>Inputs!U220</f>
        <v>0.15</v>
      </c>
      <c r="M91" t="s">
        <v>3362</v>
      </c>
      <c r="N91">
        <f>Inputs!V220</f>
        <v>0.15</v>
      </c>
      <c r="O91" t="s">
        <v>2437</v>
      </c>
      <c r="P91">
        <f>Inputs!W220</f>
        <v>0.15</v>
      </c>
      <c r="Q91" t="s">
        <v>2722</v>
      </c>
      <c r="R91">
        <f>Inputs!F221</f>
        <v>0.15</v>
      </c>
      <c r="S91" t="s">
        <v>4820</v>
      </c>
      <c r="T91">
        <f>Inputs!G221</f>
        <v>0.15</v>
      </c>
      <c r="U91" t="s">
        <v>5672</v>
      </c>
      <c r="V91">
        <f>Inputs!H221</f>
        <v>0.15</v>
      </c>
      <c r="W91" t="s">
        <v>1701</v>
      </c>
      <c r="X91">
        <f>Inputs!I221</f>
        <v>0.15</v>
      </c>
      <c r="Y91" t="s">
        <v>226</v>
      </c>
      <c r="Z91">
        <f>Inputs!J221</f>
        <v>0.15</v>
      </c>
      <c r="AA91" t="s">
        <v>3722</v>
      </c>
      <c r="AB91">
        <f>Inputs!K221</f>
        <v>0.15</v>
      </c>
      <c r="AC91" t="s">
        <v>1251</v>
      </c>
      <c r="AD91">
        <f>Inputs!L221</f>
        <v>0.15</v>
      </c>
      <c r="AE91" t="s">
        <v>12</v>
      </c>
      <c r="AF91">
        <f>Inputs!M221</f>
        <v>0.15</v>
      </c>
      <c r="AG91" t="s">
        <v>4828</v>
      </c>
      <c r="AH91">
        <f>Inputs!N221</f>
        <v>0.15</v>
      </c>
      <c r="AI91" t="s">
        <v>1930</v>
      </c>
      <c r="AJ91">
        <f>Inputs!O221</f>
        <v>0.15</v>
      </c>
      <c r="AK91" t="s">
        <v>4248</v>
      </c>
      <c r="AL91">
        <f>Inputs!P221</f>
        <v>0.15</v>
      </c>
      <c r="AM91" t="s">
        <v>3318</v>
      </c>
      <c r="AN91">
        <f>Inputs!Q221</f>
        <v>0.15</v>
      </c>
      <c r="AO91" t="s">
        <v>5204</v>
      </c>
      <c r="AP91">
        <f>Inputs!R221</f>
        <v>0.15</v>
      </c>
      <c r="AQ91" t="s">
        <v>2842</v>
      </c>
      <c r="AR91">
        <f>Inputs!S221</f>
        <v>0.15</v>
      </c>
      <c r="AS91" t="s">
        <v>3953</v>
      </c>
      <c r="AT91">
        <f>Inputs!T221</f>
        <v>0.15</v>
      </c>
      <c r="AU91" t="s">
        <v>5112</v>
      </c>
      <c r="AV91">
        <f>Inputs!U221</f>
        <v>0.15</v>
      </c>
      <c r="AW91" t="s">
        <v>4036</v>
      </c>
      <c r="AX91">
        <f>Inputs!V221</f>
        <v>0.15</v>
      </c>
      <c r="AY91" t="s">
        <v>2060</v>
      </c>
      <c r="AZ91">
        <f>Inputs!W221</f>
        <v>0.15</v>
      </c>
      <c r="BA91" t="s">
        <v>2021</v>
      </c>
      <c r="BB91">
        <f>Inputs!F226</f>
        <v>80000</v>
      </c>
      <c r="BC91" t="s">
        <v>2341</v>
      </c>
      <c r="BD91">
        <f>Inputs!G226</f>
        <v>80000</v>
      </c>
      <c r="BE91" t="s">
        <v>868</v>
      </c>
      <c r="BF91">
        <f>Inputs!F227</f>
        <v>80000</v>
      </c>
      <c r="BG91" t="s">
        <v>5817</v>
      </c>
      <c r="BH91">
        <f>Inputs!G227</f>
        <v>80000</v>
      </c>
      <c r="BI91" t="s">
        <v>3895</v>
      </c>
      <c r="BJ91">
        <f>Inputs!F230</f>
        <v>0.03</v>
      </c>
      <c r="BK91" t="s">
        <v>2354</v>
      </c>
      <c r="BL91">
        <f>Inputs!G230</f>
        <v>0.03</v>
      </c>
    </row>
    <row r="92" spans="1:64" ht="12.75" customHeight="1" x14ac:dyDescent="0.2">
      <c r="A92" t="s">
        <v>1071</v>
      </c>
      <c r="B92">
        <f>Inputs!H230</f>
        <v>0.03</v>
      </c>
      <c r="C92" t="s">
        <v>2158</v>
      </c>
      <c r="D92">
        <f>Inputs!I230</f>
        <v>0.03</v>
      </c>
      <c r="E92" t="s">
        <v>5658</v>
      </c>
      <c r="F92">
        <f>Inputs!J230</f>
        <v>0.03</v>
      </c>
      <c r="G92" t="s">
        <v>3404</v>
      </c>
      <c r="H92">
        <f>Inputs!K230</f>
        <v>0.03</v>
      </c>
      <c r="I92" t="s">
        <v>2597</v>
      </c>
      <c r="J92">
        <f>Inputs!L230</f>
        <v>0.03</v>
      </c>
      <c r="K92" t="s">
        <v>1472</v>
      </c>
      <c r="L92">
        <f>Inputs!M230</f>
        <v>0.03</v>
      </c>
      <c r="M92" t="s">
        <v>261</v>
      </c>
      <c r="N92">
        <f>Inputs!N230</f>
        <v>0.03</v>
      </c>
      <c r="O92" t="s">
        <v>5768</v>
      </c>
      <c r="P92">
        <f>Inputs!O230</f>
        <v>0.03</v>
      </c>
      <c r="Q92" t="s">
        <v>223</v>
      </c>
      <c r="R92">
        <f>Inputs!P230</f>
        <v>0.03</v>
      </c>
      <c r="S92" t="s">
        <v>2561</v>
      </c>
      <c r="T92">
        <f>Inputs!Q230</f>
        <v>0.03</v>
      </c>
      <c r="U92" t="s">
        <v>1138</v>
      </c>
      <c r="V92">
        <f>Inputs!R230</f>
        <v>0.03</v>
      </c>
      <c r="W92" t="s">
        <v>5202</v>
      </c>
      <c r="X92">
        <f>Inputs!S230</f>
        <v>0.03</v>
      </c>
      <c r="Y92" t="s">
        <v>5394</v>
      </c>
      <c r="Z92">
        <f>Inputs!T230</f>
        <v>0.03</v>
      </c>
      <c r="AA92" t="s">
        <v>2841</v>
      </c>
      <c r="AB92">
        <f>Inputs!U230</f>
        <v>0.03</v>
      </c>
      <c r="AC92" t="s">
        <v>2656</v>
      </c>
      <c r="AD92">
        <f>Inputs!V230</f>
        <v>0.03</v>
      </c>
      <c r="AE92" t="s">
        <v>813</v>
      </c>
      <c r="AF92">
        <f>Inputs!W230</f>
        <v>0.03</v>
      </c>
      <c r="AG92" t="s">
        <v>231</v>
      </c>
      <c r="AH92">
        <f>Inputs!F231</f>
        <v>0.03</v>
      </c>
      <c r="AI92" t="s">
        <v>591</v>
      </c>
      <c r="AJ92">
        <f>Inputs!G231</f>
        <v>0.03</v>
      </c>
      <c r="AK92" t="s">
        <v>331</v>
      </c>
      <c r="AL92">
        <f>Inputs!H231</f>
        <v>0.03</v>
      </c>
      <c r="AM92" t="s">
        <v>3029</v>
      </c>
      <c r="AN92">
        <f>Inputs!I231</f>
        <v>0.03</v>
      </c>
      <c r="AO92" t="s">
        <v>896</v>
      </c>
      <c r="AP92">
        <f>Inputs!J231</f>
        <v>0.03</v>
      </c>
      <c r="AQ92" t="s">
        <v>176</v>
      </c>
      <c r="AR92">
        <f>Inputs!K231</f>
        <v>0.03</v>
      </c>
      <c r="AS92" t="s">
        <v>2600</v>
      </c>
      <c r="AT92">
        <f>Inputs!L231</f>
        <v>0.03</v>
      </c>
      <c r="AU92" t="s">
        <v>599</v>
      </c>
      <c r="AV92">
        <f>Inputs!M231</f>
        <v>0.03</v>
      </c>
      <c r="AW92" t="s">
        <v>165</v>
      </c>
      <c r="AX92">
        <f>Inputs!N231</f>
        <v>0.03</v>
      </c>
      <c r="AY92" t="s">
        <v>4738</v>
      </c>
      <c r="AZ92">
        <f>Inputs!O231</f>
        <v>0.03</v>
      </c>
      <c r="BA92" t="s">
        <v>3433</v>
      </c>
      <c r="BB92">
        <f>Inputs!P231</f>
        <v>0.03</v>
      </c>
      <c r="BC92" t="s">
        <v>2942</v>
      </c>
      <c r="BD92">
        <f>Inputs!Q231</f>
        <v>0.03</v>
      </c>
      <c r="BE92" t="s">
        <v>1087</v>
      </c>
      <c r="BF92">
        <f>Inputs!R231</f>
        <v>0.03</v>
      </c>
      <c r="BG92" t="s">
        <v>5821</v>
      </c>
      <c r="BH92">
        <f>Inputs!S231</f>
        <v>0.03</v>
      </c>
      <c r="BI92" t="s">
        <v>2468</v>
      </c>
      <c r="BJ92">
        <f>Inputs!T231</f>
        <v>0.03</v>
      </c>
      <c r="BK92" t="s">
        <v>3969</v>
      </c>
      <c r="BL92">
        <f>Inputs!U231</f>
        <v>0.03</v>
      </c>
    </row>
    <row r="93" spans="1:64" ht="12.75" customHeight="1" x14ac:dyDescent="0.2">
      <c r="A93" t="s">
        <v>5744</v>
      </c>
      <c r="B93">
        <f>Inputs!V231</f>
        <v>0.03</v>
      </c>
      <c r="C93" t="s">
        <v>3358</v>
      </c>
      <c r="D93">
        <f>Inputs!W231</f>
        <v>0.03</v>
      </c>
      <c r="E93" t="s">
        <v>3223</v>
      </c>
      <c r="F93">
        <f>Inputs!F233</f>
        <v>0</v>
      </c>
      <c r="G93" t="s">
        <v>1618</v>
      </c>
      <c r="H93">
        <f>Inputs!G233</f>
        <v>0</v>
      </c>
      <c r="I93" t="s">
        <v>2061</v>
      </c>
      <c r="J93">
        <f>Inputs!H233</f>
        <v>0</v>
      </c>
      <c r="K93" t="s">
        <v>1927</v>
      </c>
      <c r="L93">
        <f>Inputs!I233</f>
        <v>0</v>
      </c>
      <c r="M93" t="s">
        <v>1919</v>
      </c>
      <c r="N93">
        <f>Inputs!J233</f>
        <v>0</v>
      </c>
      <c r="O93" t="s">
        <v>311</v>
      </c>
      <c r="P93">
        <f>Inputs!K233</f>
        <v>0</v>
      </c>
      <c r="Q93" t="s">
        <v>1617</v>
      </c>
      <c r="R93">
        <f>Inputs!L233</f>
        <v>0</v>
      </c>
      <c r="S93" t="s">
        <v>1655</v>
      </c>
      <c r="T93">
        <f>Inputs!M233</f>
        <v>0</v>
      </c>
      <c r="U93" t="s">
        <v>1269</v>
      </c>
      <c r="V93">
        <f>Inputs!N233</f>
        <v>0</v>
      </c>
      <c r="W93" t="s">
        <v>646</v>
      </c>
      <c r="X93">
        <f>Inputs!O233</f>
        <v>0</v>
      </c>
      <c r="Y93" t="s">
        <v>119</v>
      </c>
      <c r="Z93">
        <f>Inputs!P233</f>
        <v>0</v>
      </c>
      <c r="AA93" t="s">
        <v>108</v>
      </c>
      <c r="AB93">
        <f>Inputs!Q233</f>
        <v>0</v>
      </c>
      <c r="AC93" t="s">
        <v>5153</v>
      </c>
      <c r="AD93">
        <f>Inputs!R233</f>
        <v>0</v>
      </c>
      <c r="AE93" t="s">
        <v>67</v>
      </c>
      <c r="AF93">
        <f>Inputs!S233</f>
        <v>0</v>
      </c>
      <c r="AG93" t="s">
        <v>506</v>
      </c>
      <c r="AH93">
        <f>Inputs!T233</f>
        <v>0</v>
      </c>
      <c r="AI93" t="s">
        <v>582</v>
      </c>
      <c r="AJ93">
        <f>Inputs!U233</f>
        <v>0</v>
      </c>
      <c r="AK93" t="s">
        <v>2680</v>
      </c>
      <c r="AL93">
        <f>Inputs!V233</f>
        <v>0</v>
      </c>
      <c r="AM93" t="s">
        <v>5524</v>
      </c>
      <c r="AN93">
        <f>Inputs!W233</f>
        <v>0</v>
      </c>
      <c r="AO93" t="s">
        <v>3323</v>
      </c>
      <c r="AP93">
        <f>Inputs!F234</f>
        <v>0</v>
      </c>
      <c r="AQ93" t="s">
        <v>3817</v>
      </c>
      <c r="AR93">
        <f>Inputs!G234</f>
        <v>0</v>
      </c>
      <c r="AS93" t="s">
        <v>1481</v>
      </c>
      <c r="AT93">
        <f>Inputs!H234</f>
        <v>0</v>
      </c>
      <c r="AU93" t="s">
        <v>792</v>
      </c>
      <c r="AV93">
        <f>Inputs!I234</f>
        <v>0</v>
      </c>
      <c r="AW93" t="s">
        <v>3640</v>
      </c>
      <c r="AX93">
        <f>Inputs!J234</f>
        <v>0</v>
      </c>
      <c r="AY93" t="s">
        <v>3660</v>
      </c>
      <c r="AZ93">
        <f>Inputs!K234</f>
        <v>0</v>
      </c>
      <c r="BA93" t="s">
        <v>5706</v>
      </c>
      <c r="BB93">
        <f>Inputs!L234</f>
        <v>0</v>
      </c>
      <c r="BC93" t="s">
        <v>915</v>
      </c>
      <c r="BD93">
        <f>Inputs!M234</f>
        <v>0</v>
      </c>
      <c r="BE93" t="s">
        <v>919</v>
      </c>
      <c r="BF93">
        <f>Inputs!N234</f>
        <v>0</v>
      </c>
      <c r="BG93" t="s">
        <v>5905</v>
      </c>
      <c r="BH93">
        <f>Inputs!O234</f>
        <v>0</v>
      </c>
      <c r="BI93" t="s">
        <v>4964</v>
      </c>
      <c r="BJ93">
        <f>Inputs!P234</f>
        <v>0</v>
      </c>
      <c r="BK93" t="s">
        <v>4807</v>
      </c>
      <c r="BL93">
        <f>Inputs!Q234</f>
        <v>0</v>
      </c>
    </row>
    <row r="94" spans="1:64" ht="12.75" customHeight="1" x14ac:dyDescent="0.2">
      <c r="A94" t="s">
        <v>2007</v>
      </c>
      <c r="B94">
        <f>Inputs!R234</f>
        <v>0</v>
      </c>
      <c r="C94" t="s">
        <v>1222</v>
      </c>
      <c r="D94">
        <f>Inputs!S234</f>
        <v>0</v>
      </c>
      <c r="E94" t="s">
        <v>1258</v>
      </c>
      <c r="F94">
        <f>Inputs!T234</f>
        <v>0</v>
      </c>
      <c r="G94" t="s">
        <v>3882</v>
      </c>
      <c r="H94">
        <f>Inputs!U234</f>
        <v>0</v>
      </c>
      <c r="I94" t="s">
        <v>3683</v>
      </c>
      <c r="J94">
        <f>Inputs!V234</f>
        <v>0</v>
      </c>
      <c r="K94" t="s">
        <v>4707</v>
      </c>
      <c r="L94">
        <f>Inputs!W234</f>
        <v>0</v>
      </c>
      <c r="M94" t="s">
        <v>3044</v>
      </c>
      <c r="N94">
        <f>Inputs!F235</f>
        <v>0</v>
      </c>
      <c r="O94" t="s">
        <v>3242</v>
      </c>
      <c r="P94">
        <f>Inputs!G235</f>
        <v>0</v>
      </c>
      <c r="Q94" t="s">
        <v>4674</v>
      </c>
      <c r="R94">
        <f>Inputs!H235</f>
        <v>0</v>
      </c>
      <c r="S94" t="s">
        <v>3635</v>
      </c>
      <c r="T94">
        <f>Inputs!I235</f>
        <v>0</v>
      </c>
      <c r="U94" t="s">
        <v>392</v>
      </c>
      <c r="V94">
        <f>Inputs!J235</f>
        <v>0</v>
      </c>
      <c r="W94" t="s">
        <v>2718</v>
      </c>
      <c r="X94">
        <f>Inputs!K235</f>
        <v>0</v>
      </c>
      <c r="Y94" t="s">
        <v>1674</v>
      </c>
      <c r="Z94">
        <f>Inputs!L235</f>
        <v>0</v>
      </c>
      <c r="AA94" t="s">
        <v>2013</v>
      </c>
      <c r="AB94">
        <f>Inputs!M235</f>
        <v>0</v>
      </c>
      <c r="AC94" t="s">
        <v>5504</v>
      </c>
      <c r="AD94">
        <f>Inputs!N235</f>
        <v>0</v>
      </c>
      <c r="AE94" t="s">
        <v>5340</v>
      </c>
      <c r="AF94">
        <f>Inputs!O235</f>
        <v>0</v>
      </c>
      <c r="AG94" t="s">
        <v>3127</v>
      </c>
      <c r="AH94">
        <f>Inputs!P235</f>
        <v>0</v>
      </c>
      <c r="AI94" t="s">
        <v>4450</v>
      </c>
      <c r="AJ94">
        <f>Inputs!Q235</f>
        <v>0</v>
      </c>
      <c r="AK94" t="s">
        <v>376</v>
      </c>
      <c r="AL94">
        <f>Inputs!R235</f>
        <v>0</v>
      </c>
      <c r="AM94" t="s">
        <v>2456</v>
      </c>
      <c r="AN94">
        <f>Inputs!S235</f>
        <v>0</v>
      </c>
      <c r="AO94" t="s">
        <v>225</v>
      </c>
      <c r="AP94">
        <f>Inputs!T235</f>
        <v>0</v>
      </c>
      <c r="AQ94" t="s">
        <v>2552</v>
      </c>
      <c r="AR94">
        <f>Inputs!U235</f>
        <v>0</v>
      </c>
      <c r="AS94" t="s">
        <v>4669</v>
      </c>
      <c r="AT94">
        <f>Inputs!V235</f>
        <v>0</v>
      </c>
      <c r="AU94" t="s">
        <v>3598</v>
      </c>
      <c r="AV94">
        <f>Inputs!W235</f>
        <v>0</v>
      </c>
      <c r="AW94" t="s">
        <v>3887</v>
      </c>
      <c r="AX94">
        <f>Inputs!F236</f>
        <v>0</v>
      </c>
      <c r="AY94" t="s">
        <v>3341</v>
      </c>
      <c r="AZ94">
        <f>Inputs!G236</f>
        <v>0</v>
      </c>
      <c r="BA94" t="s">
        <v>4271</v>
      </c>
      <c r="BB94">
        <f>Inputs!H236</f>
        <v>0</v>
      </c>
      <c r="BC94" t="s">
        <v>2429</v>
      </c>
      <c r="BD94">
        <f>Inputs!I236</f>
        <v>0</v>
      </c>
      <c r="BE94" t="s">
        <v>380</v>
      </c>
      <c r="BF94">
        <f>Inputs!J236</f>
        <v>0</v>
      </c>
      <c r="BG94" t="s">
        <v>313</v>
      </c>
      <c r="BH94">
        <f>Inputs!K236</f>
        <v>0</v>
      </c>
      <c r="BI94" t="s">
        <v>1333</v>
      </c>
      <c r="BJ94">
        <f>Inputs!L236</f>
        <v>0</v>
      </c>
      <c r="BK94" t="s">
        <v>2850</v>
      </c>
      <c r="BL94">
        <f>Inputs!M236</f>
        <v>0</v>
      </c>
    </row>
    <row r="95" spans="1:64" ht="12.75" customHeight="1" x14ac:dyDescent="0.2">
      <c r="A95" t="s">
        <v>1639</v>
      </c>
      <c r="B95">
        <f>Inputs!N236</f>
        <v>0</v>
      </c>
      <c r="C95" t="s">
        <v>1680</v>
      </c>
      <c r="D95">
        <f>Inputs!O236</f>
        <v>0</v>
      </c>
      <c r="E95" t="s">
        <v>1880</v>
      </c>
      <c r="F95">
        <f>Inputs!P236</f>
        <v>0</v>
      </c>
      <c r="G95" t="s">
        <v>4084</v>
      </c>
      <c r="H95">
        <f>Inputs!Q236</f>
        <v>0</v>
      </c>
      <c r="I95" t="s">
        <v>5024</v>
      </c>
      <c r="J95">
        <f>Inputs!R236</f>
        <v>0</v>
      </c>
      <c r="K95" t="s">
        <v>5827</v>
      </c>
      <c r="L95">
        <f>Inputs!S236</f>
        <v>0</v>
      </c>
      <c r="M95" t="s">
        <v>2633</v>
      </c>
      <c r="N95">
        <f>Inputs!T236</f>
        <v>0</v>
      </c>
      <c r="O95" t="s">
        <v>4898</v>
      </c>
      <c r="P95">
        <f>Inputs!U236</f>
        <v>0</v>
      </c>
      <c r="Q95" t="s">
        <v>2073</v>
      </c>
      <c r="R95">
        <f>Inputs!V236</f>
        <v>0</v>
      </c>
      <c r="S95" t="s">
        <v>2152</v>
      </c>
      <c r="T95">
        <f>Inputs!W236</f>
        <v>0</v>
      </c>
      <c r="U95" t="s">
        <v>221</v>
      </c>
      <c r="V95">
        <f>Inputs!F238</f>
        <v>0.15</v>
      </c>
      <c r="W95" t="s">
        <v>2461</v>
      </c>
      <c r="X95">
        <f>Inputs!G238</f>
        <v>0.15</v>
      </c>
      <c r="Y95" t="s">
        <v>3256</v>
      </c>
      <c r="Z95">
        <f>Inputs!H238</f>
        <v>0.15</v>
      </c>
      <c r="AA95" t="s">
        <v>5741</v>
      </c>
      <c r="AB95">
        <f>Inputs!I238</f>
        <v>0.15</v>
      </c>
      <c r="AC95" t="s">
        <v>2742</v>
      </c>
      <c r="AD95">
        <f>Inputs!J238</f>
        <v>0.15</v>
      </c>
      <c r="AE95" t="s">
        <v>3372</v>
      </c>
      <c r="AF95">
        <f>Inputs!K238</f>
        <v>0.15</v>
      </c>
      <c r="AG95" t="s">
        <v>4200</v>
      </c>
      <c r="AH95">
        <f>Inputs!L238</f>
        <v>0.15</v>
      </c>
      <c r="AI95" t="s">
        <v>2006</v>
      </c>
      <c r="AJ95">
        <f>Inputs!M238</f>
        <v>0.15</v>
      </c>
      <c r="AK95" t="s">
        <v>5625</v>
      </c>
      <c r="AL95">
        <f>Inputs!N238</f>
        <v>0.15</v>
      </c>
      <c r="AM95" t="s">
        <v>544</v>
      </c>
      <c r="AN95">
        <f>Inputs!O238</f>
        <v>0.15</v>
      </c>
      <c r="AO95" t="s">
        <v>1994</v>
      </c>
      <c r="AP95">
        <f>Inputs!P238</f>
        <v>0.15</v>
      </c>
      <c r="AQ95" t="s">
        <v>3252</v>
      </c>
      <c r="AR95">
        <f>Inputs!Q238</f>
        <v>0.15</v>
      </c>
      <c r="AS95" t="s">
        <v>4563</v>
      </c>
      <c r="AT95">
        <f>Inputs!R238</f>
        <v>0.15</v>
      </c>
      <c r="AU95" t="s">
        <v>5172</v>
      </c>
      <c r="AV95">
        <f>Inputs!S238</f>
        <v>0.15</v>
      </c>
      <c r="AW95" t="s">
        <v>5491</v>
      </c>
      <c r="AX95">
        <f>Inputs!T238</f>
        <v>0.15</v>
      </c>
      <c r="AY95" t="s">
        <v>2119</v>
      </c>
      <c r="AZ95">
        <f>Inputs!U238</f>
        <v>0.15</v>
      </c>
      <c r="BA95" t="s">
        <v>4953</v>
      </c>
      <c r="BB95">
        <f>Inputs!V238</f>
        <v>0.15</v>
      </c>
      <c r="BC95" t="s">
        <v>5593</v>
      </c>
      <c r="BD95">
        <f>Inputs!W238</f>
        <v>0.15</v>
      </c>
      <c r="BE95" t="s">
        <v>3112</v>
      </c>
      <c r="BF95" t="b">
        <f>Inputs!F241</f>
        <v>1</v>
      </c>
      <c r="BG95" t="s">
        <v>5546</v>
      </c>
      <c r="BH95">
        <f>Inputs!F244</f>
        <v>0.1</v>
      </c>
      <c r="BI95" t="s">
        <v>1221</v>
      </c>
      <c r="BJ95">
        <f>Inputs!G244</f>
        <v>0.1</v>
      </c>
      <c r="BK95" t="s">
        <v>561</v>
      </c>
      <c r="BL95">
        <f>Inputs!H244</f>
        <v>0.1</v>
      </c>
    </row>
    <row r="96" spans="1:64" ht="12.75" customHeight="1" x14ac:dyDescent="0.2">
      <c r="A96" t="s">
        <v>4989</v>
      </c>
      <c r="B96">
        <f>Inputs!I244</f>
        <v>0.1</v>
      </c>
      <c r="C96" t="s">
        <v>3050</v>
      </c>
      <c r="D96">
        <f>Inputs!J244</f>
        <v>0.1</v>
      </c>
      <c r="E96" t="s">
        <v>1498</v>
      </c>
      <c r="F96">
        <f>Inputs!K244</f>
        <v>0.1</v>
      </c>
      <c r="G96" t="s">
        <v>4179</v>
      </c>
      <c r="H96">
        <f>Inputs!L244</f>
        <v>0.1</v>
      </c>
      <c r="I96" t="s">
        <v>3136</v>
      </c>
      <c r="J96">
        <f>Inputs!M244</f>
        <v>0.1</v>
      </c>
      <c r="K96" t="s">
        <v>1512</v>
      </c>
      <c r="L96">
        <f>Inputs!N244</f>
        <v>0.1</v>
      </c>
      <c r="M96" t="s">
        <v>537</v>
      </c>
      <c r="N96">
        <f>Inputs!O244</f>
        <v>0.1</v>
      </c>
      <c r="O96" t="s">
        <v>4135</v>
      </c>
      <c r="P96">
        <f>Inputs!P244</f>
        <v>0.1</v>
      </c>
      <c r="Q96" t="s">
        <v>2876</v>
      </c>
      <c r="R96">
        <f>Inputs!Q244</f>
        <v>0.1</v>
      </c>
      <c r="S96" t="s">
        <v>2568</v>
      </c>
      <c r="T96">
        <f>Inputs!R244</f>
        <v>0.1</v>
      </c>
      <c r="U96" t="s">
        <v>3664</v>
      </c>
      <c r="V96">
        <f>Inputs!S244</f>
        <v>0.1</v>
      </c>
      <c r="W96" t="s">
        <v>1482</v>
      </c>
      <c r="X96">
        <f>Inputs!T244</f>
        <v>0.1</v>
      </c>
      <c r="Y96" t="s">
        <v>1683</v>
      </c>
      <c r="Z96">
        <f>Inputs!U244</f>
        <v>0.1</v>
      </c>
      <c r="AA96" t="s">
        <v>5259</v>
      </c>
      <c r="AB96">
        <f>Inputs!V244</f>
        <v>0.1</v>
      </c>
      <c r="AC96" t="s">
        <v>5755</v>
      </c>
      <c r="AD96">
        <f>Inputs!W244</f>
        <v>0.1</v>
      </c>
      <c r="AE96" t="s">
        <v>5323</v>
      </c>
      <c r="AF96">
        <f>Inputs!F246</f>
        <v>0</v>
      </c>
      <c r="AG96" t="s">
        <v>5308</v>
      </c>
      <c r="AH96">
        <f>Inputs!G246</f>
        <v>0</v>
      </c>
      <c r="AI96" t="s">
        <v>4802</v>
      </c>
      <c r="AJ96">
        <f>Inputs!H246</f>
        <v>0</v>
      </c>
      <c r="AK96" t="s">
        <v>5809</v>
      </c>
      <c r="AL96">
        <f>Inputs!I246</f>
        <v>0</v>
      </c>
      <c r="AM96" t="s">
        <v>2496</v>
      </c>
      <c r="AN96">
        <f>Inputs!J246</f>
        <v>0</v>
      </c>
      <c r="AO96" t="s">
        <v>14</v>
      </c>
      <c r="AP96">
        <f>Inputs!K246</f>
        <v>0</v>
      </c>
      <c r="AQ96" t="s">
        <v>209</v>
      </c>
      <c r="AR96">
        <f>Inputs!L246</f>
        <v>0</v>
      </c>
      <c r="AS96" t="s">
        <v>198</v>
      </c>
      <c r="AT96">
        <f>Inputs!M246</f>
        <v>0</v>
      </c>
      <c r="AU96" t="s">
        <v>3863</v>
      </c>
      <c r="AV96">
        <f>Inputs!N246</f>
        <v>0</v>
      </c>
      <c r="AW96" t="s">
        <v>4760</v>
      </c>
      <c r="AX96">
        <f>Inputs!O246</f>
        <v>0</v>
      </c>
      <c r="AY96" t="s">
        <v>4861</v>
      </c>
      <c r="AZ96">
        <f>Inputs!P246</f>
        <v>0</v>
      </c>
      <c r="BA96" t="s">
        <v>1656</v>
      </c>
      <c r="BB96">
        <f>Inputs!Q246</f>
        <v>0</v>
      </c>
      <c r="BC96" t="s">
        <v>3255</v>
      </c>
      <c r="BD96">
        <f>Inputs!R246</f>
        <v>0</v>
      </c>
      <c r="BE96" t="s">
        <v>3897</v>
      </c>
      <c r="BF96">
        <f>Inputs!S246</f>
        <v>0</v>
      </c>
      <c r="BG96" t="s">
        <v>5030</v>
      </c>
      <c r="BH96">
        <f>Inputs!T246</f>
        <v>0</v>
      </c>
      <c r="BI96" t="s">
        <v>1552</v>
      </c>
      <c r="BJ96">
        <f>Inputs!U246</f>
        <v>0</v>
      </c>
      <c r="BK96" t="s">
        <v>886</v>
      </c>
      <c r="BL96">
        <f>Inputs!V246</f>
        <v>0</v>
      </c>
    </row>
    <row r="97" spans="1:64" ht="12.75" customHeight="1" x14ac:dyDescent="0.2">
      <c r="A97" t="s">
        <v>1070</v>
      </c>
      <c r="B97">
        <f>Inputs!W246</f>
        <v>0</v>
      </c>
      <c r="C97" t="s">
        <v>4009</v>
      </c>
      <c r="D97">
        <f>Inputs!F247</f>
        <v>1</v>
      </c>
      <c r="E97" t="s">
        <v>5574</v>
      </c>
      <c r="F97">
        <f>Inputs!G247</f>
        <v>1</v>
      </c>
      <c r="G97" t="s">
        <v>291</v>
      </c>
      <c r="H97">
        <f>Inputs!H247</f>
        <v>1</v>
      </c>
      <c r="I97" t="s">
        <v>936</v>
      </c>
      <c r="J97">
        <f>Inputs!I247</f>
        <v>1</v>
      </c>
      <c r="K97" t="s">
        <v>5485</v>
      </c>
      <c r="L97">
        <f>Inputs!J247</f>
        <v>1</v>
      </c>
      <c r="M97" t="s">
        <v>2772</v>
      </c>
      <c r="N97">
        <f>Inputs!K247</f>
        <v>1</v>
      </c>
      <c r="O97" t="s">
        <v>5790</v>
      </c>
      <c r="P97">
        <f>Inputs!L247</f>
        <v>1</v>
      </c>
      <c r="Q97" t="s">
        <v>957</v>
      </c>
      <c r="R97">
        <f>Inputs!M247</f>
        <v>1</v>
      </c>
      <c r="S97" t="s">
        <v>4909</v>
      </c>
      <c r="T97">
        <f>Inputs!N247</f>
        <v>1</v>
      </c>
      <c r="U97" t="s">
        <v>3904</v>
      </c>
      <c r="V97">
        <f>Inputs!O247</f>
        <v>1</v>
      </c>
      <c r="W97" t="s">
        <v>2135</v>
      </c>
      <c r="X97">
        <f>Inputs!P247</f>
        <v>1</v>
      </c>
      <c r="Y97" t="s">
        <v>3559</v>
      </c>
      <c r="Z97">
        <f>Inputs!Q247</f>
        <v>1</v>
      </c>
      <c r="AA97" t="s">
        <v>598</v>
      </c>
      <c r="AB97">
        <f>Inputs!R247</f>
        <v>1</v>
      </c>
      <c r="AC97" t="s">
        <v>1250</v>
      </c>
      <c r="AD97">
        <f>Inputs!S247</f>
        <v>1</v>
      </c>
      <c r="AE97" t="s">
        <v>1556</v>
      </c>
      <c r="AF97">
        <f>Inputs!T247</f>
        <v>1</v>
      </c>
      <c r="AG97" t="s">
        <v>1218</v>
      </c>
      <c r="AH97">
        <f>Inputs!U247</f>
        <v>1</v>
      </c>
      <c r="AI97" t="s">
        <v>654</v>
      </c>
      <c r="AJ97">
        <f>Inputs!V247</f>
        <v>1</v>
      </c>
      <c r="AK97" t="s">
        <v>2094</v>
      </c>
      <c r="AL97">
        <f>Inputs!W247</f>
        <v>1</v>
      </c>
      <c r="AM97" t="s">
        <v>3284</v>
      </c>
      <c r="AN97">
        <f>Inputs!F257</f>
        <v>0.1</v>
      </c>
      <c r="AO97" t="s">
        <v>3713</v>
      </c>
      <c r="AP97">
        <f>Inputs!G257</f>
        <v>0.15</v>
      </c>
      <c r="AQ97" t="s">
        <v>1026</v>
      </c>
      <c r="AR97">
        <f>Inputs!H257</f>
        <v>0</v>
      </c>
      <c r="AS97" t="s">
        <v>1665</v>
      </c>
      <c r="AT97">
        <f>Inputs!I257</f>
        <v>0</v>
      </c>
      <c r="AU97" t="s">
        <v>3053</v>
      </c>
      <c r="AV97">
        <f>Inputs!F258</f>
        <v>0.1</v>
      </c>
      <c r="AW97" t="s">
        <v>4371</v>
      </c>
      <c r="AX97">
        <f>Inputs!G258</f>
        <v>0.15</v>
      </c>
      <c r="AY97" t="s">
        <v>5653</v>
      </c>
      <c r="AZ97">
        <f>Inputs!H258</f>
        <v>0</v>
      </c>
      <c r="BA97" t="s">
        <v>830</v>
      </c>
      <c r="BB97">
        <f>Inputs!I258</f>
        <v>0</v>
      </c>
      <c r="BC97" t="s">
        <v>5079</v>
      </c>
      <c r="BD97">
        <f>Inputs!F259</f>
        <v>0.1</v>
      </c>
      <c r="BE97" t="s">
        <v>5393</v>
      </c>
      <c r="BF97">
        <f>Inputs!G259</f>
        <v>0.15</v>
      </c>
      <c r="BG97" t="s">
        <v>5601</v>
      </c>
      <c r="BH97">
        <f>Inputs!H259</f>
        <v>0</v>
      </c>
      <c r="BI97" t="s">
        <v>2055</v>
      </c>
      <c r="BJ97">
        <f>Inputs!I259</f>
        <v>0</v>
      </c>
      <c r="BK97" t="s">
        <v>1442</v>
      </c>
      <c r="BL97">
        <f>Inputs!F260</f>
        <v>0.1</v>
      </c>
    </row>
    <row r="98" spans="1:64" ht="12.75" customHeight="1" x14ac:dyDescent="0.2">
      <c r="A98" t="s">
        <v>110</v>
      </c>
      <c r="B98">
        <f>Inputs!G260</f>
        <v>0.15</v>
      </c>
      <c r="C98" t="s">
        <v>3985</v>
      </c>
      <c r="D98">
        <f>Inputs!H260</f>
        <v>0</v>
      </c>
      <c r="E98" t="s">
        <v>1547</v>
      </c>
      <c r="F98">
        <f>Inputs!I260</f>
        <v>0</v>
      </c>
      <c r="G98" t="s">
        <v>3871</v>
      </c>
      <c r="H98">
        <f>Inputs!F265</f>
        <v>0</v>
      </c>
      <c r="I98" t="s">
        <v>903</v>
      </c>
      <c r="J98">
        <f>Inputs!G265</f>
        <v>0.15</v>
      </c>
      <c r="K98" t="s">
        <v>633</v>
      </c>
      <c r="L98">
        <f>Inputs!H265</f>
        <v>0</v>
      </c>
      <c r="M98" t="s">
        <v>2490</v>
      </c>
      <c r="N98">
        <f>Inputs!I265</f>
        <v>0</v>
      </c>
      <c r="O98" t="s">
        <v>5662</v>
      </c>
      <c r="P98">
        <f>Inputs!F266</f>
        <v>0</v>
      </c>
      <c r="Q98" t="s">
        <v>4359</v>
      </c>
      <c r="R98">
        <f>Inputs!G266</f>
        <v>0.15</v>
      </c>
      <c r="S98" t="s">
        <v>1487</v>
      </c>
      <c r="T98">
        <f>Inputs!H266</f>
        <v>0</v>
      </c>
      <c r="U98" t="s">
        <v>4780</v>
      </c>
      <c r="V98">
        <f>Inputs!I266</f>
        <v>0</v>
      </c>
      <c r="W98" t="s">
        <v>5089</v>
      </c>
      <c r="X98">
        <f>Inputs!F267</f>
        <v>0</v>
      </c>
      <c r="Y98" t="s">
        <v>556</v>
      </c>
      <c r="Z98">
        <f>Inputs!G267</f>
        <v>0.15</v>
      </c>
      <c r="AA98" t="s">
        <v>285</v>
      </c>
      <c r="AB98">
        <f>Inputs!H267</f>
        <v>0</v>
      </c>
      <c r="AC98" t="s">
        <v>452</v>
      </c>
      <c r="AD98">
        <f>Inputs!I267</f>
        <v>0</v>
      </c>
      <c r="AE98" t="s">
        <v>5618</v>
      </c>
      <c r="AF98">
        <f>Inputs!F268</f>
        <v>0</v>
      </c>
      <c r="AG98" t="s">
        <v>5807</v>
      </c>
      <c r="AH98">
        <f>Inputs!G268</f>
        <v>0.15</v>
      </c>
      <c r="AI98" t="s">
        <v>3591</v>
      </c>
      <c r="AJ98">
        <f>Inputs!H268</f>
        <v>0</v>
      </c>
      <c r="AK98" t="s">
        <v>5048</v>
      </c>
      <c r="AL98">
        <f>Inputs!I268</f>
        <v>0</v>
      </c>
      <c r="AM98" t="s">
        <v>4888</v>
      </c>
      <c r="AN98">
        <f>Inputs!F276</f>
        <v>0</v>
      </c>
      <c r="AO98" t="s">
        <v>2434</v>
      </c>
      <c r="AP98">
        <f>Inputs!G276</f>
        <v>0</v>
      </c>
      <c r="AQ98" t="s">
        <v>1548</v>
      </c>
      <c r="AR98">
        <f>Inputs!H276</f>
        <v>0</v>
      </c>
      <c r="AS98" t="s">
        <v>5036</v>
      </c>
      <c r="AT98">
        <f>Inputs!I276</f>
        <v>0</v>
      </c>
      <c r="AU98" t="s">
        <v>1399</v>
      </c>
      <c r="AV98">
        <f>Inputs!J276</f>
        <v>0</v>
      </c>
      <c r="AW98" t="s">
        <v>2872</v>
      </c>
      <c r="AX98">
        <f>Inputs!K276</f>
        <v>0</v>
      </c>
      <c r="AY98" t="s">
        <v>1036</v>
      </c>
      <c r="AZ98">
        <f>Inputs!L276</f>
        <v>0</v>
      </c>
      <c r="BA98" t="s">
        <v>1366</v>
      </c>
      <c r="BB98">
        <f>Inputs!M276</f>
        <v>0</v>
      </c>
      <c r="BC98" t="s">
        <v>3265</v>
      </c>
      <c r="BD98">
        <f>Inputs!N276</f>
        <v>0</v>
      </c>
      <c r="BE98" t="s">
        <v>4100</v>
      </c>
      <c r="BF98">
        <f>Inputs!O276</f>
        <v>0</v>
      </c>
      <c r="BG98" t="s">
        <v>2263</v>
      </c>
      <c r="BH98">
        <f>Inputs!P276</f>
        <v>0</v>
      </c>
      <c r="BI98" t="s">
        <v>1329</v>
      </c>
      <c r="BJ98">
        <f>Inputs!Q276</f>
        <v>0</v>
      </c>
      <c r="BK98" t="s">
        <v>2897</v>
      </c>
      <c r="BL98">
        <f>Inputs!R276</f>
        <v>0</v>
      </c>
    </row>
    <row r="99" spans="1:64" ht="12.75" customHeight="1" x14ac:dyDescent="0.2">
      <c r="A99" t="s">
        <v>3174</v>
      </c>
      <c r="B99">
        <f>Inputs!S276</f>
        <v>0</v>
      </c>
      <c r="C99" t="s">
        <v>3917</v>
      </c>
      <c r="D99">
        <f>Inputs!T276</f>
        <v>0</v>
      </c>
      <c r="E99" t="s">
        <v>2582</v>
      </c>
      <c r="F99">
        <f>Inputs!U276</f>
        <v>0</v>
      </c>
      <c r="G99" t="s">
        <v>2465</v>
      </c>
      <c r="H99">
        <f>Inputs!V276</f>
        <v>0</v>
      </c>
      <c r="I99" t="s">
        <v>3514</v>
      </c>
      <c r="J99">
        <f>Inputs!W276</f>
        <v>0</v>
      </c>
      <c r="K99" t="s">
        <v>627</v>
      </c>
      <c r="L99">
        <f>Inputs!F277</f>
        <v>0</v>
      </c>
      <c r="M99" t="s">
        <v>1666</v>
      </c>
      <c r="N99">
        <f>Inputs!G277</f>
        <v>0</v>
      </c>
      <c r="O99" t="s">
        <v>4692</v>
      </c>
      <c r="P99">
        <f>Inputs!H277</f>
        <v>0</v>
      </c>
      <c r="Q99" t="s">
        <v>4381</v>
      </c>
      <c r="R99">
        <f>Inputs!I277</f>
        <v>0</v>
      </c>
      <c r="S99" t="s">
        <v>1831</v>
      </c>
      <c r="T99">
        <f>Inputs!J277</f>
        <v>0</v>
      </c>
      <c r="U99" t="s">
        <v>5301</v>
      </c>
      <c r="V99">
        <f>Inputs!K277</f>
        <v>0</v>
      </c>
      <c r="W99" t="s">
        <v>5196</v>
      </c>
      <c r="X99">
        <f>Inputs!L277</f>
        <v>0</v>
      </c>
      <c r="Y99" t="s">
        <v>5517</v>
      </c>
      <c r="Z99">
        <f>Inputs!M277</f>
        <v>0</v>
      </c>
      <c r="AA99" t="s">
        <v>5413</v>
      </c>
      <c r="AB99">
        <f>Inputs!N277</f>
        <v>0</v>
      </c>
      <c r="AC99" t="s">
        <v>2979</v>
      </c>
      <c r="AD99">
        <f>Inputs!O277</f>
        <v>0</v>
      </c>
      <c r="AE99" t="s">
        <v>2497</v>
      </c>
      <c r="AF99">
        <f>Inputs!P277</f>
        <v>0</v>
      </c>
      <c r="AG99" t="s">
        <v>4475</v>
      </c>
      <c r="AH99">
        <f>Inputs!Q277</f>
        <v>0</v>
      </c>
      <c r="AI99" t="s">
        <v>1686</v>
      </c>
      <c r="AJ99">
        <f>Inputs!R277</f>
        <v>0</v>
      </c>
      <c r="AK99" t="s">
        <v>917</v>
      </c>
      <c r="AL99">
        <f>Inputs!S277</f>
        <v>0</v>
      </c>
      <c r="AM99" t="s">
        <v>1816</v>
      </c>
      <c r="AN99">
        <f>Inputs!T277</f>
        <v>0</v>
      </c>
      <c r="AO99" t="s">
        <v>5305</v>
      </c>
      <c r="AP99">
        <f>Inputs!U277</f>
        <v>0</v>
      </c>
      <c r="AQ99" t="s">
        <v>1427</v>
      </c>
      <c r="AR99">
        <f>Inputs!V277</f>
        <v>0</v>
      </c>
      <c r="AS99" t="s">
        <v>378</v>
      </c>
      <c r="AT99">
        <f>Inputs!W277</f>
        <v>0</v>
      </c>
      <c r="AU99" t="s">
        <v>167</v>
      </c>
      <c r="AV99">
        <f>Inputs!F278</f>
        <v>0</v>
      </c>
      <c r="AW99" t="s">
        <v>4541</v>
      </c>
      <c r="AX99">
        <f>Inputs!G278</f>
        <v>0</v>
      </c>
      <c r="AY99" t="s">
        <v>4931</v>
      </c>
      <c r="AZ99">
        <f>Inputs!H278</f>
        <v>0</v>
      </c>
      <c r="BA99" t="s">
        <v>3392</v>
      </c>
      <c r="BB99">
        <f>Inputs!I278</f>
        <v>0</v>
      </c>
      <c r="BC99" t="s">
        <v>702</v>
      </c>
      <c r="BD99">
        <f>Inputs!J278</f>
        <v>0</v>
      </c>
      <c r="BE99" t="s">
        <v>4111</v>
      </c>
      <c r="BF99">
        <f>Inputs!K278</f>
        <v>0</v>
      </c>
      <c r="BG99" t="s">
        <v>5287</v>
      </c>
      <c r="BH99">
        <f>Inputs!L278</f>
        <v>0</v>
      </c>
      <c r="BI99" t="s">
        <v>4120</v>
      </c>
      <c r="BJ99">
        <f>Inputs!M278</f>
        <v>0</v>
      </c>
      <c r="BK99" t="s">
        <v>2847</v>
      </c>
      <c r="BL99">
        <f>Inputs!N278</f>
        <v>0</v>
      </c>
    </row>
    <row r="100" spans="1:64" ht="12.75" customHeight="1" x14ac:dyDescent="0.2">
      <c r="A100" t="s">
        <v>91</v>
      </c>
      <c r="B100">
        <f>Inputs!O278</f>
        <v>0</v>
      </c>
      <c r="C100" t="s">
        <v>10</v>
      </c>
      <c r="D100">
        <f>Inputs!P278</f>
        <v>0</v>
      </c>
      <c r="E100" t="s">
        <v>1475</v>
      </c>
      <c r="F100">
        <f>Inputs!Q278</f>
        <v>0</v>
      </c>
      <c r="G100" t="s">
        <v>2994</v>
      </c>
      <c r="H100">
        <f>Inputs!R278</f>
        <v>0</v>
      </c>
      <c r="I100" t="s">
        <v>468</v>
      </c>
      <c r="J100">
        <f>Inputs!S278</f>
        <v>0</v>
      </c>
      <c r="K100" t="s">
        <v>3237</v>
      </c>
      <c r="L100">
        <f>Inputs!T278</f>
        <v>0</v>
      </c>
      <c r="M100" t="s">
        <v>3515</v>
      </c>
      <c r="N100">
        <f>Inputs!U278</f>
        <v>0</v>
      </c>
      <c r="O100" t="s">
        <v>2524</v>
      </c>
      <c r="P100">
        <f>Inputs!V278</f>
        <v>0</v>
      </c>
      <c r="Q100" t="s">
        <v>27</v>
      </c>
      <c r="R100">
        <f>Inputs!W278</f>
        <v>0</v>
      </c>
      <c r="S100" t="s">
        <v>2056</v>
      </c>
      <c r="T100">
        <f>Inputs!F279</f>
        <v>0</v>
      </c>
      <c r="U100" t="s">
        <v>1000</v>
      </c>
      <c r="V100">
        <f>Inputs!G279</f>
        <v>0</v>
      </c>
      <c r="W100" t="s">
        <v>1429</v>
      </c>
      <c r="X100">
        <f>Inputs!H279</f>
        <v>0</v>
      </c>
      <c r="Y100" t="s">
        <v>3299</v>
      </c>
      <c r="Z100">
        <f>Inputs!I279</f>
        <v>0</v>
      </c>
      <c r="AA100" t="s">
        <v>3089</v>
      </c>
      <c r="AB100">
        <f>Inputs!J279</f>
        <v>0</v>
      </c>
      <c r="AC100" t="s">
        <v>567</v>
      </c>
      <c r="AD100">
        <f>Inputs!K279</f>
        <v>0</v>
      </c>
      <c r="AE100" t="s">
        <v>994</v>
      </c>
      <c r="AF100">
        <f>Inputs!L279</f>
        <v>0</v>
      </c>
      <c r="AG100" t="s">
        <v>554</v>
      </c>
      <c r="AH100">
        <f>Inputs!M279</f>
        <v>0</v>
      </c>
      <c r="AI100" t="s">
        <v>2907</v>
      </c>
      <c r="AJ100">
        <f>Inputs!N279</f>
        <v>0</v>
      </c>
      <c r="AK100" t="s">
        <v>4616</v>
      </c>
      <c r="AL100">
        <f>Inputs!O279</f>
        <v>0</v>
      </c>
      <c r="AM100" t="s">
        <v>5749</v>
      </c>
      <c r="AN100">
        <f>Inputs!P279</f>
        <v>0</v>
      </c>
      <c r="AO100" t="s">
        <v>5452</v>
      </c>
      <c r="AP100">
        <f>Inputs!Q279</f>
        <v>0</v>
      </c>
      <c r="AQ100" t="s">
        <v>2937</v>
      </c>
      <c r="AR100">
        <f>Inputs!R279</f>
        <v>0</v>
      </c>
      <c r="AS100" t="s">
        <v>3406</v>
      </c>
      <c r="AT100">
        <f>Inputs!S279</f>
        <v>0</v>
      </c>
      <c r="AU100" t="s">
        <v>5064</v>
      </c>
      <c r="AV100">
        <f>Inputs!T279</f>
        <v>0</v>
      </c>
      <c r="AW100" t="s">
        <v>3667</v>
      </c>
      <c r="AX100">
        <f>Inputs!U279</f>
        <v>0</v>
      </c>
      <c r="AY100" t="s">
        <v>5895</v>
      </c>
      <c r="AZ100">
        <f>Inputs!V279</f>
        <v>0</v>
      </c>
      <c r="BA100" t="s">
        <v>4257</v>
      </c>
      <c r="BB100">
        <f>Inputs!W279</f>
        <v>0</v>
      </c>
      <c r="BC100" t="s">
        <v>618</v>
      </c>
      <c r="BD100">
        <f>Inputs!AB276</f>
        <v>0</v>
      </c>
      <c r="BE100" t="s">
        <v>2611</v>
      </c>
      <c r="BF100">
        <f>Inputs!AC276</f>
        <v>0</v>
      </c>
      <c r="BG100" t="s">
        <v>3472</v>
      </c>
      <c r="BH100">
        <f>Inputs!AD276</f>
        <v>1</v>
      </c>
      <c r="BI100" t="s">
        <v>252</v>
      </c>
      <c r="BJ100">
        <f>Inputs!AB277</f>
        <v>0</v>
      </c>
      <c r="BK100" t="s">
        <v>5792</v>
      </c>
      <c r="BL100">
        <f>Inputs!AC277</f>
        <v>0</v>
      </c>
    </row>
    <row r="101" spans="1:64" ht="12.75" customHeight="1" x14ac:dyDescent="0.2">
      <c r="A101" t="s">
        <v>5330</v>
      </c>
      <c r="B101">
        <f>Inputs!AD277</f>
        <v>1</v>
      </c>
      <c r="C101" t="s">
        <v>3894</v>
      </c>
      <c r="D101">
        <f>Inputs!AB278</f>
        <v>0</v>
      </c>
      <c r="E101" t="s">
        <v>1945</v>
      </c>
      <c r="F101">
        <f>Inputs!AC278</f>
        <v>0</v>
      </c>
      <c r="G101" t="s">
        <v>1782</v>
      </c>
      <c r="H101">
        <f>Inputs!AD278</f>
        <v>1</v>
      </c>
      <c r="I101" t="s">
        <v>1016</v>
      </c>
      <c r="J101">
        <f>Inputs!AB279</f>
        <v>0</v>
      </c>
      <c r="K101" t="s">
        <v>409</v>
      </c>
      <c r="L101">
        <f>Inputs!AC279</f>
        <v>0</v>
      </c>
      <c r="M101" t="s">
        <v>5507</v>
      </c>
      <c r="N101">
        <f>Inputs!AD279</f>
        <v>1</v>
      </c>
      <c r="O101" t="s">
        <v>2617</v>
      </c>
      <c r="P101">
        <f>Inputs!AB281</f>
        <v>6</v>
      </c>
      <c r="Q101" t="s">
        <v>5615</v>
      </c>
      <c r="R101">
        <f>Inputs!F286</f>
        <v>0</v>
      </c>
      <c r="S101" t="s">
        <v>4723</v>
      </c>
      <c r="T101">
        <f>Inputs!G286</f>
        <v>0</v>
      </c>
      <c r="U101" t="s">
        <v>801</v>
      </c>
      <c r="V101">
        <f>Inputs!H286</f>
        <v>0</v>
      </c>
      <c r="W101" t="s">
        <v>1729</v>
      </c>
      <c r="X101">
        <f>Inputs!I286</f>
        <v>0</v>
      </c>
      <c r="Y101" t="s">
        <v>661</v>
      </c>
      <c r="Z101">
        <f>Inputs!J286</f>
        <v>0</v>
      </c>
      <c r="AA101" t="s">
        <v>4967</v>
      </c>
      <c r="AB101">
        <f>Inputs!K286</f>
        <v>0</v>
      </c>
      <c r="AC101" t="s">
        <v>1829</v>
      </c>
      <c r="AD101">
        <f>Inputs!L286</f>
        <v>0</v>
      </c>
      <c r="AE101" t="s">
        <v>3076</v>
      </c>
      <c r="AF101">
        <f>Inputs!M286</f>
        <v>0</v>
      </c>
      <c r="AG101" t="s">
        <v>4826</v>
      </c>
      <c r="AH101">
        <f>Inputs!N286</f>
        <v>0</v>
      </c>
      <c r="AI101" t="s">
        <v>2264</v>
      </c>
      <c r="AJ101">
        <f>Inputs!O286</f>
        <v>0</v>
      </c>
      <c r="AK101" t="s">
        <v>4770</v>
      </c>
      <c r="AL101">
        <f>Inputs!P286</f>
        <v>0</v>
      </c>
      <c r="AM101" t="s">
        <v>4227</v>
      </c>
      <c r="AN101">
        <f>Inputs!Q286</f>
        <v>0</v>
      </c>
      <c r="AO101" t="s">
        <v>4020</v>
      </c>
      <c r="AP101">
        <f>Inputs!R286</f>
        <v>0</v>
      </c>
      <c r="AQ101" t="s">
        <v>4706</v>
      </c>
      <c r="AR101">
        <f>Inputs!S286</f>
        <v>0</v>
      </c>
      <c r="AS101" t="s">
        <v>2681</v>
      </c>
      <c r="AT101">
        <f>Inputs!T286</f>
        <v>0</v>
      </c>
      <c r="AU101" t="s">
        <v>767</v>
      </c>
      <c r="AV101">
        <f>Inputs!U286</f>
        <v>0</v>
      </c>
      <c r="AW101" t="s">
        <v>5359</v>
      </c>
      <c r="AX101">
        <f>Inputs!V286</f>
        <v>0</v>
      </c>
      <c r="AY101" t="s">
        <v>3218</v>
      </c>
      <c r="AZ101">
        <f>Inputs!W286</f>
        <v>0</v>
      </c>
      <c r="BA101" t="s">
        <v>2296</v>
      </c>
      <c r="BB101">
        <f>Inputs!F287</f>
        <v>0</v>
      </c>
      <c r="BC101" t="s">
        <v>3463</v>
      </c>
      <c r="BD101">
        <f>Inputs!G287</f>
        <v>0</v>
      </c>
      <c r="BE101" t="s">
        <v>4448</v>
      </c>
      <c r="BF101">
        <f>Inputs!H287</f>
        <v>0</v>
      </c>
      <c r="BG101" t="s">
        <v>4688</v>
      </c>
      <c r="BH101">
        <f>Inputs!I287</f>
        <v>0</v>
      </c>
      <c r="BI101" t="s">
        <v>2247</v>
      </c>
      <c r="BJ101">
        <f>Inputs!J287</f>
        <v>0</v>
      </c>
      <c r="BK101" t="s">
        <v>1263</v>
      </c>
      <c r="BL101">
        <f>Inputs!K287</f>
        <v>0</v>
      </c>
    </row>
    <row r="102" spans="1:64" ht="12.75" customHeight="1" x14ac:dyDescent="0.2">
      <c r="A102" t="s">
        <v>2202</v>
      </c>
      <c r="B102">
        <f>Inputs!L287</f>
        <v>0</v>
      </c>
      <c r="C102" t="s">
        <v>3920</v>
      </c>
      <c r="D102">
        <f>Inputs!M287</f>
        <v>0</v>
      </c>
      <c r="E102" t="s">
        <v>926</v>
      </c>
      <c r="F102">
        <f>Inputs!N287</f>
        <v>0</v>
      </c>
      <c r="G102" t="s">
        <v>2765</v>
      </c>
      <c r="H102">
        <f>Inputs!O287</f>
        <v>0</v>
      </c>
      <c r="I102" t="s">
        <v>194</v>
      </c>
      <c r="J102">
        <f>Inputs!P287</f>
        <v>0</v>
      </c>
      <c r="K102" t="s">
        <v>1626</v>
      </c>
      <c r="L102">
        <f>Inputs!Q287</f>
        <v>0</v>
      </c>
      <c r="M102" t="s">
        <v>2882</v>
      </c>
      <c r="N102">
        <f>Inputs!R287</f>
        <v>0</v>
      </c>
      <c r="O102" t="s">
        <v>5027</v>
      </c>
      <c r="P102">
        <f>Inputs!S287</f>
        <v>0</v>
      </c>
      <c r="Q102" t="s">
        <v>2668</v>
      </c>
      <c r="R102">
        <f>Inputs!T287</f>
        <v>0</v>
      </c>
      <c r="S102" t="s">
        <v>2737</v>
      </c>
      <c r="T102">
        <f>Inputs!U287</f>
        <v>0</v>
      </c>
      <c r="U102" t="s">
        <v>1664</v>
      </c>
      <c r="V102">
        <f>Inputs!V287</f>
        <v>0</v>
      </c>
      <c r="W102" t="s">
        <v>4537</v>
      </c>
      <c r="X102">
        <f>Inputs!W287</f>
        <v>0</v>
      </c>
      <c r="Y102" t="s">
        <v>2239</v>
      </c>
      <c r="Z102">
        <f>Inputs!F288</f>
        <v>0</v>
      </c>
      <c r="AA102" t="s">
        <v>5843</v>
      </c>
      <c r="AB102">
        <f>Inputs!G288</f>
        <v>0</v>
      </c>
      <c r="AC102" t="s">
        <v>2856</v>
      </c>
      <c r="AD102">
        <f>Inputs!H288</f>
        <v>0</v>
      </c>
      <c r="AE102" t="s">
        <v>1157</v>
      </c>
      <c r="AF102">
        <f>Inputs!I288</f>
        <v>0</v>
      </c>
      <c r="AG102" t="s">
        <v>3132</v>
      </c>
      <c r="AH102">
        <f>Inputs!J288</f>
        <v>0</v>
      </c>
      <c r="AI102" t="s">
        <v>1176</v>
      </c>
      <c r="AJ102">
        <f>Inputs!K288</f>
        <v>0</v>
      </c>
      <c r="AK102" t="s">
        <v>3703</v>
      </c>
      <c r="AL102">
        <f>Inputs!L288</f>
        <v>0</v>
      </c>
      <c r="AM102" t="s">
        <v>3689</v>
      </c>
      <c r="AN102">
        <f>Inputs!M288</f>
        <v>0</v>
      </c>
      <c r="AO102" t="s">
        <v>3179</v>
      </c>
      <c r="AP102">
        <f>Inputs!N288</f>
        <v>0</v>
      </c>
      <c r="AQ102" t="s">
        <v>4769</v>
      </c>
      <c r="AR102">
        <f>Inputs!O288</f>
        <v>0</v>
      </c>
      <c r="AS102" t="s">
        <v>1658</v>
      </c>
      <c r="AT102">
        <f>Inputs!P288</f>
        <v>0</v>
      </c>
      <c r="AU102" t="s">
        <v>821</v>
      </c>
      <c r="AV102">
        <f>Inputs!Q288</f>
        <v>0</v>
      </c>
      <c r="AW102" t="s">
        <v>477</v>
      </c>
      <c r="AX102">
        <f>Inputs!R288</f>
        <v>0</v>
      </c>
      <c r="AY102" t="s">
        <v>1240</v>
      </c>
      <c r="AZ102">
        <f>Inputs!S288</f>
        <v>0</v>
      </c>
      <c r="BA102" t="s">
        <v>2826</v>
      </c>
      <c r="BB102">
        <f>Inputs!T288</f>
        <v>0</v>
      </c>
      <c r="BC102" t="s">
        <v>498</v>
      </c>
      <c r="BD102">
        <f>Inputs!U288</f>
        <v>0</v>
      </c>
      <c r="BE102" t="s">
        <v>4149</v>
      </c>
      <c r="BF102">
        <f>Inputs!V288</f>
        <v>0</v>
      </c>
      <c r="BG102" t="s">
        <v>1141</v>
      </c>
      <c r="BH102">
        <f>Inputs!W288</f>
        <v>0</v>
      </c>
      <c r="BI102" t="s">
        <v>1989</v>
      </c>
      <c r="BJ102">
        <f>Inputs!F289</f>
        <v>0</v>
      </c>
      <c r="BK102" t="s">
        <v>1740</v>
      </c>
      <c r="BL102">
        <f>Inputs!G289</f>
        <v>0</v>
      </c>
    </row>
    <row r="103" spans="1:64" ht="12.75" customHeight="1" x14ac:dyDescent="0.2">
      <c r="A103" t="s">
        <v>3908</v>
      </c>
      <c r="B103">
        <f>Inputs!H289</f>
        <v>0</v>
      </c>
      <c r="C103" t="s">
        <v>4435</v>
      </c>
      <c r="D103">
        <f>Inputs!I289</f>
        <v>0</v>
      </c>
      <c r="E103" t="s">
        <v>321</v>
      </c>
      <c r="F103">
        <f>Inputs!J289</f>
        <v>0</v>
      </c>
      <c r="G103" t="s">
        <v>1320</v>
      </c>
      <c r="H103">
        <f>Inputs!K289</f>
        <v>0</v>
      </c>
      <c r="I103" t="s">
        <v>464</v>
      </c>
      <c r="J103">
        <f>Inputs!L289</f>
        <v>0</v>
      </c>
      <c r="K103" t="s">
        <v>3281</v>
      </c>
      <c r="L103">
        <f>Inputs!M289</f>
        <v>0</v>
      </c>
      <c r="M103" t="s">
        <v>2197</v>
      </c>
      <c r="N103">
        <f>Inputs!N289</f>
        <v>0</v>
      </c>
      <c r="O103" t="s">
        <v>414</v>
      </c>
      <c r="P103">
        <f>Inputs!O289</f>
        <v>0</v>
      </c>
      <c r="Q103" t="s">
        <v>4198</v>
      </c>
      <c r="R103">
        <f>Inputs!P289</f>
        <v>0</v>
      </c>
      <c r="S103" t="s">
        <v>2251</v>
      </c>
      <c r="T103">
        <f>Inputs!Q289</f>
        <v>0</v>
      </c>
      <c r="U103" t="s">
        <v>1491</v>
      </c>
      <c r="V103">
        <f>Inputs!R289</f>
        <v>0</v>
      </c>
      <c r="W103" t="s">
        <v>1306</v>
      </c>
      <c r="X103">
        <f>Inputs!S289</f>
        <v>0</v>
      </c>
      <c r="Y103" t="s">
        <v>2127</v>
      </c>
      <c r="Z103">
        <f>Inputs!T289</f>
        <v>0</v>
      </c>
      <c r="AA103" t="s">
        <v>3464</v>
      </c>
      <c r="AB103">
        <f>Inputs!U289</f>
        <v>0</v>
      </c>
      <c r="AC103" t="s">
        <v>5251</v>
      </c>
      <c r="AD103">
        <f>Inputs!V289</f>
        <v>0</v>
      </c>
      <c r="AE103" t="s">
        <v>4115</v>
      </c>
      <c r="AF103">
        <f>Inputs!W289</f>
        <v>0</v>
      </c>
      <c r="AG103" t="s">
        <v>26</v>
      </c>
      <c r="AH103">
        <f>Inputs!F291</f>
        <v>0</v>
      </c>
      <c r="AI103" t="s">
        <v>1909</v>
      </c>
      <c r="AJ103">
        <f>Inputs!G291</f>
        <v>0</v>
      </c>
      <c r="AK103" t="s">
        <v>3536</v>
      </c>
      <c r="AL103">
        <f>Inputs!H291</f>
        <v>0</v>
      </c>
      <c r="AM103" t="s">
        <v>5026</v>
      </c>
      <c r="AN103">
        <f>Inputs!I291</f>
        <v>0</v>
      </c>
      <c r="AO103" t="s">
        <v>1468</v>
      </c>
      <c r="AP103">
        <f>Inputs!J291</f>
        <v>0</v>
      </c>
      <c r="AQ103" t="s">
        <v>4218</v>
      </c>
      <c r="AR103">
        <f>Inputs!K291</f>
        <v>0</v>
      </c>
      <c r="AS103" t="s">
        <v>5740</v>
      </c>
      <c r="AT103">
        <f>Inputs!L291</f>
        <v>0</v>
      </c>
      <c r="AU103" t="s">
        <v>2179</v>
      </c>
      <c r="AV103">
        <f>Inputs!M291</f>
        <v>0</v>
      </c>
      <c r="AW103" t="s">
        <v>4476</v>
      </c>
      <c r="AX103">
        <f>Inputs!N291</f>
        <v>0</v>
      </c>
      <c r="AY103" t="s">
        <v>3073</v>
      </c>
      <c r="AZ103">
        <f>Inputs!O291</f>
        <v>0</v>
      </c>
      <c r="BA103" t="s">
        <v>4831</v>
      </c>
      <c r="BB103">
        <f>Inputs!P291</f>
        <v>0</v>
      </c>
      <c r="BC103" t="s">
        <v>4506</v>
      </c>
      <c r="BD103">
        <f>Inputs!Q291</f>
        <v>0</v>
      </c>
      <c r="BE103" t="s">
        <v>4825</v>
      </c>
      <c r="BF103">
        <f>Inputs!R291</f>
        <v>0</v>
      </c>
      <c r="BG103" t="s">
        <v>394</v>
      </c>
      <c r="BH103">
        <f>Inputs!S291</f>
        <v>0</v>
      </c>
      <c r="BI103" t="s">
        <v>2749</v>
      </c>
      <c r="BJ103">
        <f>Inputs!T291</f>
        <v>0</v>
      </c>
      <c r="BK103" t="s">
        <v>5299</v>
      </c>
      <c r="BL103">
        <f>Inputs!U291</f>
        <v>0</v>
      </c>
    </row>
    <row r="104" spans="1:64" ht="12.75" customHeight="1" x14ac:dyDescent="0.2">
      <c r="A104" t="s">
        <v>5362</v>
      </c>
      <c r="B104">
        <f>Inputs!V291</f>
        <v>0</v>
      </c>
      <c r="C104" t="s">
        <v>2231</v>
      </c>
      <c r="D104">
        <f>Inputs!W291</f>
        <v>0</v>
      </c>
      <c r="E104" t="s">
        <v>4395</v>
      </c>
      <c r="F104">
        <f>Inputs!F292</f>
        <v>0</v>
      </c>
      <c r="G104" t="s">
        <v>5835</v>
      </c>
      <c r="H104">
        <f>Inputs!G292</f>
        <v>0</v>
      </c>
      <c r="I104" t="s">
        <v>1889</v>
      </c>
      <c r="J104">
        <f>Inputs!H292</f>
        <v>0</v>
      </c>
      <c r="K104" t="s">
        <v>5179</v>
      </c>
      <c r="L104">
        <f>Inputs!I292</f>
        <v>0</v>
      </c>
      <c r="M104" t="s">
        <v>3574</v>
      </c>
      <c r="N104">
        <f>Inputs!J292</f>
        <v>0</v>
      </c>
      <c r="O104" t="s">
        <v>3974</v>
      </c>
      <c r="P104">
        <f>Inputs!K292</f>
        <v>0</v>
      </c>
      <c r="Q104" t="s">
        <v>1939</v>
      </c>
      <c r="R104">
        <f>Inputs!L292</f>
        <v>0</v>
      </c>
      <c r="S104" t="s">
        <v>1232</v>
      </c>
      <c r="T104">
        <f>Inputs!M292</f>
        <v>0</v>
      </c>
      <c r="U104" t="s">
        <v>1291</v>
      </c>
      <c r="V104">
        <f>Inputs!N292</f>
        <v>0</v>
      </c>
      <c r="W104" t="s">
        <v>538</v>
      </c>
      <c r="X104">
        <f>Inputs!O292</f>
        <v>0</v>
      </c>
      <c r="Y104" t="s">
        <v>5133</v>
      </c>
      <c r="Z104">
        <f>Inputs!P292</f>
        <v>0</v>
      </c>
      <c r="AA104" t="s">
        <v>2191</v>
      </c>
      <c r="AB104">
        <f>Inputs!Q292</f>
        <v>0</v>
      </c>
      <c r="AC104" t="s">
        <v>1732</v>
      </c>
      <c r="AD104">
        <f>Inputs!R292</f>
        <v>0</v>
      </c>
      <c r="AE104" t="s">
        <v>2792</v>
      </c>
      <c r="AF104">
        <f>Inputs!S292</f>
        <v>0</v>
      </c>
      <c r="AG104" t="s">
        <v>844</v>
      </c>
      <c r="AH104">
        <f>Inputs!T292</f>
        <v>0</v>
      </c>
      <c r="AI104" t="s">
        <v>2290</v>
      </c>
      <c r="AJ104">
        <f>Inputs!U292</f>
        <v>0</v>
      </c>
      <c r="AK104" t="s">
        <v>35</v>
      </c>
      <c r="AL104">
        <f>Inputs!V292</f>
        <v>0</v>
      </c>
      <c r="AM104" t="s">
        <v>406</v>
      </c>
      <c r="AN104">
        <f>Inputs!W292</f>
        <v>0</v>
      </c>
      <c r="AO104" t="s">
        <v>5451</v>
      </c>
      <c r="AP104">
        <f>Inputs!F293</f>
        <v>0</v>
      </c>
      <c r="AQ104" t="s">
        <v>3921</v>
      </c>
      <c r="AR104">
        <f>Inputs!G293</f>
        <v>0</v>
      </c>
      <c r="AS104" t="s">
        <v>2126</v>
      </c>
      <c r="AT104">
        <f>Inputs!H293</f>
        <v>0</v>
      </c>
      <c r="AU104" t="s">
        <v>5622</v>
      </c>
      <c r="AV104">
        <f>Inputs!I293</f>
        <v>0</v>
      </c>
      <c r="AW104" t="s">
        <v>3948</v>
      </c>
      <c r="AX104">
        <f>Inputs!J293</f>
        <v>0</v>
      </c>
      <c r="AY104" t="s">
        <v>1035</v>
      </c>
      <c r="AZ104">
        <f>Inputs!K293</f>
        <v>0</v>
      </c>
      <c r="BA104" t="s">
        <v>5813</v>
      </c>
      <c r="BB104">
        <f>Inputs!L293</f>
        <v>0</v>
      </c>
      <c r="BC104" t="s">
        <v>4592</v>
      </c>
      <c r="BD104">
        <f>Inputs!M293</f>
        <v>0</v>
      </c>
      <c r="BE104" t="s">
        <v>449</v>
      </c>
      <c r="BF104">
        <f>Inputs!N293</f>
        <v>0</v>
      </c>
      <c r="BG104" t="s">
        <v>3043</v>
      </c>
      <c r="BH104">
        <f>Inputs!O293</f>
        <v>0</v>
      </c>
      <c r="BI104" t="s">
        <v>2331</v>
      </c>
      <c r="BJ104">
        <f>Inputs!P293</f>
        <v>0</v>
      </c>
      <c r="BK104" t="s">
        <v>1297</v>
      </c>
      <c r="BL104">
        <f>Inputs!Q293</f>
        <v>0</v>
      </c>
    </row>
    <row r="105" spans="1:64" ht="12.75" customHeight="1" x14ac:dyDescent="0.2">
      <c r="A105" t="s">
        <v>74</v>
      </c>
      <c r="B105">
        <f>Inputs!R293</f>
        <v>0</v>
      </c>
      <c r="C105" t="s">
        <v>4319</v>
      </c>
      <c r="D105">
        <f>Inputs!S293</f>
        <v>0</v>
      </c>
      <c r="E105" t="s">
        <v>1986</v>
      </c>
      <c r="F105">
        <f>Inputs!T293</f>
        <v>0</v>
      </c>
      <c r="G105" t="s">
        <v>5488</v>
      </c>
      <c r="H105">
        <f>Inputs!U293</f>
        <v>0</v>
      </c>
      <c r="I105" t="s">
        <v>3820</v>
      </c>
      <c r="J105">
        <f>Inputs!V293</f>
        <v>0</v>
      </c>
      <c r="K105" t="s">
        <v>2147</v>
      </c>
      <c r="L105">
        <f>Inputs!W293</f>
        <v>0</v>
      </c>
      <c r="M105" t="s">
        <v>2908</v>
      </c>
      <c r="N105">
        <f>Inputs!F294</f>
        <v>0</v>
      </c>
      <c r="O105" t="s">
        <v>1153</v>
      </c>
      <c r="P105">
        <f>Inputs!G294</f>
        <v>0</v>
      </c>
      <c r="Q105" t="s">
        <v>1779</v>
      </c>
      <c r="R105">
        <f>Inputs!H294</f>
        <v>0</v>
      </c>
      <c r="S105" t="s">
        <v>1289</v>
      </c>
      <c r="T105">
        <f>Inputs!I294</f>
        <v>0</v>
      </c>
      <c r="U105" t="s">
        <v>3189</v>
      </c>
      <c r="V105">
        <f>Inputs!J294</f>
        <v>0</v>
      </c>
      <c r="W105" t="s">
        <v>4204</v>
      </c>
      <c r="X105">
        <f>Inputs!K294</f>
        <v>0</v>
      </c>
      <c r="Y105" t="s">
        <v>5479</v>
      </c>
      <c r="Z105">
        <f>Inputs!L294</f>
        <v>0</v>
      </c>
      <c r="AA105" t="s">
        <v>3551</v>
      </c>
      <c r="AB105">
        <f>Inputs!M294</f>
        <v>0</v>
      </c>
      <c r="AC105" t="s">
        <v>3184</v>
      </c>
      <c r="AD105">
        <f>Inputs!N294</f>
        <v>0</v>
      </c>
      <c r="AE105" t="s">
        <v>1492</v>
      </c>
      <c r="AF105">
        <f>Inputs!O294</f>
        <v>0</v>
      </c>
      <c r="AG105" t="s">
        <v>358</v>
      </c>
      <c r="AH105">
        <f>Inputs!P294</f>
        <v>0</v>
      </c>
      <c r="AI105" t="s">
        <v>2546</v>
      </c>
      <c r="AJ105">
        <f>Inputs!Q294</f>
        <v>0</v>
      </c>
      <c r="AK105" t="s">
        <v>3841</v>
      </c>
      <c r="AL105">
        <f>Inputs!R294</f>
        <v>0</v>
      </c>
      <c r="AM105" t="s">
        <v>2282</v>
      </c>
      <c r="AN105">
        <f>Inputs!S294</f>
        <v>0</v>
      </c>
      <c r="AO105" t="s">
        <v>1662</v>
      </c>
      <c r="AP105">
        <f>Inputs!T294</f>
        <v>0</v>
      </c>
      <c r="AQ105" t="s">
        <v>1925</v>
      </c>
      <c r="AR105">
        <f>Inputs!U294</f>
        <v>0</v>
      </c>
      <c r="AS105" t="s">
        <v>5494</v>
      </c>
      <c r="AT105">
        <f>Inputs!V294</f>
        <v>0</v>
      </c>
      <c r="AU105" t="s">
        <v>50</v>
      </c>
      <c r="AV105">
        <f>Inputs!W294</f>
        <v>0</v>
      </c>
      <c r="AW105" t="s">
        <v>5688</v>
      </c>
      <c r="AX105">
        <f>Inputs!F295</f>
        <v>0</v>
      </c>
      <c r="AY105" t="s">
        <v>3806</v>
      </c>
      <c r="AZ105">
        <f>Inputs!G295</f>
        <v>0</v>
      </c>
      <c r="BA105" t="s">
        <v>3999</v>
      </c>
      <c r="BB105">
        <f>Inputs!H295</f>
        <v>0</v>
      </c>
      <c r="BC105" t="s">
        <v>3092</v>
      </c>
      <c r="BD105">
        <f>Inputs!I295</f>
        <v>0</v>
      </c>
      <c r="BE105" t="s">
        <v>5128</v>
      </c>
      <c r="BF105">
        <f>Inputs!J295</f>
        <v>0</v>
      </c>
      <c r="BG105" t="s">
        <v>3644</v>
      </c>
      <c r="BH105">
        <f>Inputs!K295</f>
        <v>0</v>
      </c>
      <c r="BI105" t="s">
        <v>2221</v>
      </c>
      <c r="BJ105">
        <f>Inputs!L295</f>
        <v>0</v>
      </c>
      <c r="BK105" t="s">
        <v>5696</v>
      </c>
      <c r="BL105">
        <f>Inputs!M295</f>
        <v>0</v>
      </c>
    </row>
    <row r="106" spans="1:64" ht="12.75" customHeight="1" x14ac:dyDescent="0.2">
      <c r="A106" t="s">
        <v>775</v>
      </c>
      <c r="B106">
        <f>Inputs!N295</f>
        <v>0</v>
      </c>
      <c r="C106" t="s">
        <v>5132</v>
      </c>
      <c r="D106">
        <f>Inputs!O295</f>
        <v>0</v>
      </c>
      <c r="E106" t="s">
        <v>2265</v>
      </c>
      <c r="F106">
        <f>Inputs!P295</f>
        <v>0</v>
      </c>
      <c r="G106" t="s">
        <v>1181</v>
      </c>
      <c r="H106">
        <f>Inputs!Q295</f>
        <v>0</v>
      </c>
      <c r="I106" t="s">
        <v>4515</v>
      </c>
      <c r="J106">
        <f>Inputs!R295</f>
        <v>0</v>
      </c>
      <c r="K106" t="s">
        <v>1814</v>
      </c>
      <c r="L106">
        <f>Inputs!S295</f>
        <v>0</v>
      </c>
      <c r="M106" t="s">
        <v>1578</v>
      </c>
      <c r="N106">
        <f>Inputs!T295</f>
        <v>0</v>
      </c>
      <c r="O106" t="s">
        <v>5537</v>
      </c>
      <c r="P106">
        <f>Inputs!U295</f>
        <v>0</v>
      </c>
      <c r="Q106" t="s">
        <v>4314</v>
      </c>
      <c r="R106">
        <f>Inputs!V295</f>
        <v>0</v>
      </c>
      <c r="S106" t="s">
        <v>3573</v>
      </c>
      <c r="T106">
        <f>Inputs!W295</f>
        <v>0</v>
      </c>
      <c r="U106" t="s">
        <v>453</v>
      </c>
      <c r="V106">
        <f>Inputs!F296</f>
        <v>0</v>
      </c>
      <c r="W106" t="s">
        <v>1335</v>
      </c>
      <c r="X106">
        <f>Inputs!G296</f>
        <v>0</v>
      </c>
      <c r="Y106" t="s">
        <v>2713</v>
      </c>
      <c r="Z106">
        <f>Inputs!H296</f>
        <v>0</v>
      </c>
      <c r="AA106" t="s">
        <v>2128</v>
      </c>
      <c r="AB106">
        <f>Inputs!I296</f>
        <v>0</v>
      </c>
      <c r="AC106" t="s">
        <v>3509</v>
      </c>
      <c r="AD106">
        <f>Inputs!J296</f>
        <v>0</v>
      </c>
      <c r="AE106" t="s">
        <v>2705</v>
      </c>
      <c r="AF106">
        <f>Inputs!K296</f>
        <v>0</v>
      </c>
      <c r="AG106" t="s">
        <v>445</v>
      </c>
      <c r="AH106">
        <f>Inputs!L296</f>
        <v>0</v>
      </c>
      <c r="AI106" t="s">
        <v>3232</v>
      </c>
      <c r="AJ106">
        <f>Inputs!M296</f>
        <v>0</v>
      </c>
      <c r="AK106" t="s">
        <v>955</v>
      </c>
      <c r="AL106">
        <f>Inputs!N296</f>
        <v>0</v>
      </c>
      <c r="AM106" t="s">
        <v>5733</v>
      </c>
      <c r="AN106">
        <f>Inputs!O296</f>
        <v>0</v>
      </c>
      <c r="AO106" t="s">
        <v>4452</v>
      </c>
      <c r="AP106">
        <f>Inputs!P296</f>
        <v>0</v>
      </c>
      <c r="AQ106" t="s">
        <v>523</v>
      </c>
      <c r="AR106">
        <f>Inputs!Q296</f>
        <v>0</v>
      </c>
      <c r="AS106" t="s">
        <v>3140</v>
      </c>
      <c r="AT106">
        <f>Inputs!R296</f>
        <v>0</v>
      </c>
      <c r="AU106" t="s">
        <v>1980</v>
      </c>
      <c r="AV106">
        <f>Inputs!S296</f>
        <v>0</v>
      </c>
      <c r="AW106" t="s">
        <v>5637</v>
      </c>
      <c r="AX106">
        <f>Inputs!T296</f>
        <v>0</v>
      </c>
      <c r="AY106" t="s">
        <v>2514</v>
      </c>
      <c r="AZ106">
        <f>Inputs!U296</f>
        <v>0</v>
      </c>
      <c r="BA106" t="s">
        <v>256</v>
      </c>
      <c r="BB106">
        <f>Inputs!V296</f>
        <v>0</v>
      </c>
      <c r="BC106" t="s">
        <v>4999</v>
      </c>
      <c r="BD106">
        <f>Inputs!W296</f>
        <v>0</v>
      </c>
      <c r="BE106" t="s">
        <v>2550</v>
      </c>
      <c r="BF106">
        <f>Inputs!F297</f>
        <v>0</v>
      </c>
      <c r="BG106" t="s">
        <v>1</v>
      </c>
      <c r="BH106">
        <f>Inputs!G297</f>
        <v>0</v>
      </c>
      <c r="BI106" t="s">
        <v>631</v>
      </c>
      <c r="BJ106">
        <f>Inputs!H297</f>
        <v>0</v>
      </c>
      <c r="BK106" t="s">
        <v>804</v>
      </c>
      <c r="BL106">
        <f>Inputs!I297</f>
        <v>0</v>
      </c>
    </row>
    <row r="107" spans="1:64" ht="12.75" customHeight="1" x14ac:dyDescent="0.2">
      <c r="A107" t="s">
        <v>5592</v>
      </c>
      <c r="B107">
        <f>Inputs!J297</f>
        <v>0</v>
      </c>
      <c r="C107" t="s">
        <v>3752</v>
      </c>
      <c r="D107">
        <f>Inputs!K297</f>
        <v>0</v>
      </c>
      <c r="E107" t="s">
        <v>4321</v>
      </c>
      <c r="F107">
        <f>Inputs!L297</f>
        <v>0</v>
      </c>
      <c r="G107" t="s">
        <v>4524</v>
      </c>
      <c r="H107">
        <f>Inputs!M297</f>
        <v>0</v>
      </c>
      <c r="I107" t="s">
        <v>5226</v>
      </c>
      <c r="J107">
        <f>Inputs!N297</f>
        <v>0</v>
      </c>
      <c r="K107" t="s">
        <v>1473</v>
      </c>
      <c r="L107">
        <f>Inputs!O297</f>
        <v>0</v>
      </c>
      <c r="M107" t="s">
        <v>5829</v>
      </c>
      <c r="N107">
        <f>Inputs!P297</f>
        <v>0</v>
      </c>
      <c r="O107" t="s">
        <v>2840</v>
      </c>
      <c r="P107">
        <f>Inputs!Q297</f>
        <v>0</v>
      </c>
      <c r="Q107" t="s">
        <v>2982</v>
      </c>
      <c r="R107">
        <f>Inputs!R297</f>
        <v>0</v>
      </c>
      <c r="S107" t="s">
        <v>4146</v>
      </c>
      <c r="T107">
        <f>Inputs!S297</f>
        <v>0</v>
      </c>
      <c r="U107" t="s">
        <v>5739</v>
      </c>
      <c r="V107">
        <f>Inputs!T297</f>
        <v>0</v>
      </c>
      <c r="W107" t="s">
        <v>18</v>
      </c>
      <c r="X107">
        <f>Inputs!U297</f>
        <v>0</v>
      </c>
      <c r="Y107" t="s">
        <v>768</v>
      </c>
      <c r="Z107">
        <f>Inputs!V297</f>
        <v>0</v>
      </c>
      <c r="AA107" t="s">
        <v>3010</v>
      </c>
      <c r="AB107">
        <f>Inputs!W297</f>
        <v>0</v>
      </c>
      <c r="AC107" t="s">
        <v>420</v>
      </c>
      <c r="AD107">
        <f>Inputs!F298</f>
        <v>0</v>
      </c>
      <c r="AE107" t="s">
        <v>3719</v>
      </c>
      <c r="AF107">
        <f>Inputs!G298</f>
        <v>0</v>
      </c>
      <c r="AG107" t="s">
        <v>5263</v>
      </c>
      <c r="AH107">
        <f>Inputs!H298</f>
        <v>0</v>
      </c>
      <c r="AI107" t="s">
        <v>5848</v>
      </c>
      <c r="AJ107">
        <f>Inputs!I298</f>
        <v>0</v>
      </c>
      <c r="AK107" t="s">
        <v>715</v>
      </c>
      <c r="AL107">
        <f>Inputs!J298</f>
        <v>0</v>
      </c>
      <c r="AM107" t="s">
        <v>3843</v>
      </c>
      <c r="AN107">
        <f>Inputs!K298</f>
        <v>0</v>
      </c>
      <c r="AO107" t="s">
        <v>2916</v>
      </c>
      <c r="AP107">
        <f>Inputs!L298</f>
        <v>0</v>
      </c>
      <c r="AQ107" t="s">
        <v>4234</v>
      </c>
      <c r="AR107">
        <f>Inputs!M298</f>
        <v>0</v>
      </c>
      <c r="AS107" t="s">
        <v>1407</v>
      </c>
      <c r="AT107">
        <f>Inputs!N298</f>
        <v>0</v>
      </c>
      <c r="AU107" t="s">
        <v>4155</v>
      </c>
      <c r="AV107">
        <f>Inputs!O298</f>
        <v>0</v>
      </c>
      <c r="AW107" t="s">
        <v>4287</v>
      </c>
      <c r="AX107">
        <f>Inputs!P298</f>
        <v>0</v>
      </c>
      <c r="AY107" t="s">
        <v>3428</v>
      </c>
      <c r="AZ107">
        <f>Inputs!Q298</f>
        <v>0</v>
      </c>
      <c r="BA107" t="s">
        <v>1675</v>
      </c>
      <c r="BB107">
        <f>Inputs!R298</f>
        <v>0</v>
      </c>
      <c r="BC107" t="s">
        <v>105</v>
      </c>
      <c r="BD107">
        <f>Inputs!S298</f>
        <v>0</v>
      </c>
      <c r="BE107" t="s">
        <v>5067</v>
      </c>
      <c r="BF107">
        <f>Inputs!T298</f>
        <v>0</v>
      </c>
      <c r="BG107" t="s">
        <v>2062</v>
      </c>
      <c r="BH107">
        <f>Inputs!U298</f>
        <v>0</v>
      </c>
      <c r="BI107" t="s">
        <v>5375</v>
      </c>
      <c r="BJ107">
        <f>Inputs!V298</f>
        <v>0</v>
      </c>
      <c r="BK107" t="s">
        <v>4031</v>
      </c>
      <c r="BL107">
        <f>Inputs!W298</f>
        <v>0</v>
      </c>
    </row>
    <row r="108" spans="1:64" ht="12.75" customHeight="1" x14ac:dyDescent="0.2">
      <c r="A108" t="s">
        <v>1862</v>
      </c>
      <c r="B108">
        <f>Inputs!F304</f>
        <v>0</v>
      </c>
      <c r="C108" t="s">
        <v>5364</v>
      </c>
      <c r="D108">
        <f>Inputs!G304</f>
        <v>0</v>
      </c>
      <c r="E108" t="s">
        <v>260</v>
      </c>
      <c r="F108">
        <f>Inputs!H304</f>
        <v>0</v>
      </c>
      <c r="G108" t="s">
        <v>895</v>
      </c>
      <c r="H108">
        <f>Inputs!I304</f>
        <v>0</v>
      </c>
      <c r="I108" t="s">
        <v>794</v>
      </c>
      <c r="J108">
        <f>Inputs!J304</f>
        <v>0</v>
      </c>
      <c r="K108" t="s">
        <v>4680</v>
      </c>
      <c r="L108">
        <f>Inputs!K304</f>
        <v>0</v>
      </c>
      <c r="M108" t="s">
        <v>541</v>
      </c>
      <c r="N108">
        <f>Inputs!L304</f>
        <v>0</v>
      </c>
      <c r="O108" t="s">
        <v>5276</v>
      </c>
      <c r="P108">
        <f>Inputs!M304</f>
        <v>0</v>
      </c>
      <c r="Q108" t="s">
        <v>2311</v>
      </c>
      <c r="R108">
        <f>Inputs!N304</f>
        <v>0</v>
      </c>
      <c r="S108" t="s">
        <v>472</v>
      </c>
      <c r="T108">
        <f>Inputs!O304</f>
        <v>0</v>
      </c>
      <c r="U108" t="s">
        <v>669</v>
      </c>
      <c r="V108">
        <f>Inputs!P304</f>
        <v>0</v>
      </c>
      <c r="W108" t="s">
        <v>905</v>
      </c>
      <c r="X108">
        <f>Inputs!Q304</f>
        <v>0</v>
      </c>
      <c r="Y108" t="s">
        <v>386</v>
      </c>
      <c r="Z108">
        <f>Inputs!R304</f>
        <v>0</v>
      </c>
      <c r="AA108" t="s">
        <v>214</v>
      </c>
      <c r="AB108">
        <f>Inputs!S304</f>
        <v>0</v>
      </c>
      <c r="AC108" t="s">
        <v>649</v>
      </c>
      <c r="AD108">
        <f>Inputs!T304</f>
        <v>0</v>
      </c>
      <c r="AE108" t="s">
        <v>1277</v>
      </c>
      <c r="AF108">
        <f>Inputs!U304</f>
        <v>0</v>
      </c>
      <c r="AG108" t="s">
        <v>716</v>
      </c>
      <c r="AH108">
        <f>Inputs!V304</f>
        <v>0</v>
      </c>
      <c r="AI108" t="s">
        <v>80</v>
      </c>
      <c r="AJ108">
        <f>Inputs!W304</f>
        <v>0</v>
      </c>
      <c r="AK108" t="s">
        <v>4765</v>
      </c>
      <c r="AL108">
        <f>Inputs!F305</f>
        <v>0</v>
      </c>
      <c r="AM108" t="s">
        <v>233</v>
      </c>
      <c r="AN108">
        <f>Inputs!G305</f>
        <v>0</v>
      </c>
      <c r="AO108" t="s">
        <v>4461</v>
      </c>
      <c r="AP108">
        <f>Inputs!H305</f>
        <v>0</v>
      </c>
      <c r="AQ108" t="s">
        <v>5476</v>
      </c>
      <c r="AR108">
        <f>Inputs!I305</f>
        <v>0</v>
      </c>
      <c r="AS108" t="s">
        <v>3006</v>
      </c>
      <c r="AT108">
        <f>Inputs!J305</f>
        <v>0</v>
      </c>
      <c r="AU108" t="s">
        <v>2521</v>
      </c>
      <c r="AV108">
        <f>Inputs!K305</f>
        <v>0</v>
      </c>
      <c r="AW108" t="s">
        <v>3467</v>
      </c>
      <c r="AX108">
        <f>Inputs!L305</f>
        <v>0</v>
      </c>
      <c r="AY108" t="s">
        <v>5445</v>
      </c>
      <c r="AZ108">
        <f>Inputs!M305</f>
        <v>0</v>
      </c>
      <c r="BA108" t="s">
        <v>1604</v>
      </c>
      <c r="BB108">
        <f>Inputs!N305</f>
        <v>0</v>
      </c>
      <c r="BC108" t="s">
        <v>1922</v>
      </c>
      <c r="BD108">
        <f>Inputs!O305</f>
        <v>0</v>
      </c>
      <c r="BE108" t="s">
        <v>2544</v>
      </c>
      <c r="BF108">
        <f>Inputs!P305</f>
        <v>0</v>
      </c>
      <c r="BG108" t="s">
        <v>230</v>
      </c>
      <c r="BH108">
        <f>Inputs!Q305</f>
        <v>0</v>
      </c>
      <c r="BI108" t="s">
        <v>3888</v>
      </c>
      <c r="BJ108">
        <f>Inputs!R305</f>
        <v>0</v>
      </c>
      <c r="BK108" t="s">
        <v>2500</v>
      </c>
      <c r="BL108">
        <f>Inputs!S305</f>
        <v>0</v>
      </c>
    </row>
    <row r="109" spans="1:64" ht="12.75" customHeight="1" x14ac:dyDescent="0.2">
      <c r="A109" t="s">
        <v>869</v>
      </c>
      <c r="B109">
        <f>Inputs!T305</f>
        <v>0</v>
      </c>
      <c r="C109" t="s">
        <v>4459</v>
      </c>
      <c r="D109">
        <f>Inputs!U305</f>
        <v>0</v>
      </c>
      <c r="E109" t="s">
        <v>435</v>
      </c>
      <c r="F109">
        <f>Inputs!V305</f>
        <v>0</v>
      </c>
      <c r="G109" t="s">
        <v>4276</v>
      </c>
      <c r="H109">
        <f>Inputs!W305</f>
        <v>0</v>
      </c>
      <c r="I109" t="s">
        <v>1350</v>
      </c>
      <c r="J109">
        <f>Inputs!F306</f>
        <v>0</v>
      </c>
      <c r="K109" t="s">
        <v>4404</v>
      </c>
      <c r="L109">
        <f>Inputs!G306</f>
        <v>0</v>
      </c>
      <c r="M109" t="s">
        <v>1961</v>
      </c>
      <c r="N109">
        <f>Inputs!H306</f>
        <v>0</v>
      </c>
      <c r="O109" t="s">
        <v>1747</v>
      </c>
      <c r="P109">
        <f>Inputs!I306</f>
        <v>0</v>
      </c>
      <c r="Q109" t="s">
        <v>1982</v>
      </c>
      <c r="R109">
        <f>Inputs!J306</f>
        <v>0</v>
      </c>
      <c r="S109" t="s">
        <v>540</v>
      </c>
      <c r="T109">
        <f>Inputs!K306</f>
        <v>0</v>
      </c>
      <c r="U109" t="s">
        <v>5125</v>
      </c>
      <c r="V109">
        <f>Inputs!L306</f>
        <v>0</v>
      </c>
      <c r="W109" t="s">
        <v>5729</v>
      </c>
      <c r="X109">
        <f>Inputs!M306</f>
        <v>0</v>
      </c>
      <c r="Y109" t="s">
        <v>849</v>
      </c>
      <c r="Z109">
        <f>Inputs!N306</f>
        <v>0</v>
      </c>
      <c r="AA109" t="s">
        <v>4590</v>
      </c>
      <c r="AB109">
        <f>Inputs!O306</f>
        <v>0</v>
      </c>
      <c r="AC109" t="s">
        <v>5550</v>
      </c>
      <c r="AD109">
        <f>Inputs!P306</f>
        <v>0</v>
      </c>
      <c r="AE109" t="s">
        <v>5573</v>
      </c>
      <c r="AF109">
        <f>Inputs!Q306</f>
        <v>0</v>
      </c>
      <c r="AG109" t="s">
        <v>1330</v>
      </c>
      <c r="AH109">
        <f>Inputs!R306</f>
        <v>0</v>
      </c>
      <c r="AI109" t="s">
        <v>4911</v>
      </c>
      <c r="AJ109">
        <f>Inputs!S306</f>
        <v>0</v>
      </c>
      <c r="AK109" t="s">
        <v>3337</v>
      </c>
      <c r="AL109">
        <f>Inputs!T306</f>
        <v>0</v>
      </c>
      <c r="AM109" t="s">
        <v>2750</v>
      </c>
      <c r="AN109">
        <f>Inputs!U306</f>
        <v>0</v>
      </c>
      <c r="AO109" t="s">
        <v>4491</v>
      </c>
      <c r="AP109">
        <f>Inputs!V306</f>
        <v>0</v>
      </c>
      <c r="AQ109" t="s">
        <v>3807</v>
      </c>
      <c r="AR109">
        <f>Inputs!W306</f>
        <v>0</v>
      </c>
      <c r="AS109" t="s">
        <v>1020</v>
      </c>
      <c r="AT109">
        <f>Inputs!F307</f>
        <v>0</v>
      </c>
      <c r="AU109" t="s">
        <v>1090</v>
      </c>
      <c r="AV109">
        <f>Inputs!G307</f>
        <v>0</v>
      </c>
      <c r="AW109" t="s">
        <v>2762</v>
      </c>
      <c r="AX109">
        <f>Inputs!H307</f>
        <v>0</v>
      </c>
      <c r="AY109" t="s">
        <v>2316</v>
      </c>
      <c r="AZ109">
        <f>Inputs!I307</f>
        <v>0</v>
      </c>
      <c r="BA109" t="s">
        <v>5898</v>
      </c>
      <c r="BB109">
        <f>Inputs!J307</f>
        <v>0</v>
      </c>
      <c r="BC109" t="s">
        <v>3114</v>
      </c>
      <c r="BD109">
        <f>Inputs!K307</f>
        <v>0</v>
      </c>
      <c r="BE109" t="s">
        <v>2016</v>
      </c>
      <c r="BF109">
        <f>Inputs!L307</f>
        <v>0</v>
      </c>
      <c r="BG109" t="s">
        <v>3052</v>
      </c>
      <c r="BH109">
        <f>Inputs!M307</f>
        <v>0</v>
      </c>
      <c r="BI109" t="s">
        <v>44</v>
      </c>
      <c r="BJ109">
        <f>Inputs!N307</f>
        <v>0</v>
      </c>
      <c r="BK109" t="s">
        <v>2443</v>
      </c>
      <c r="BL109">
        <f>Inputs!O307</f>
        <v>0</v>
      </c>
    </row>
    <row r="110" spans="1:64" ht="12.75" customHeight="1" x14ac:dyDescent="0.2">
      <c r="A110" t="s">
        <v>1983</v>
      </c>
      <c r="B110">
        <f>Inputs!P307</f>
        <v>0</v>
      </c>
      <c r="C110" t="s">
        <v>711</v>
      </c>
      <c r="D110">
        <f>Inputs!Q307</f>
        <v>0</v>
      </c>
      <c r="E110" t="s">
        <v>2151</v>
      </c>
      <c r="F110">
        <f>Inputs!R307</f>
        <v>0</v>
      </c>
      <c r="G110" t="s">
        <v>4922</v>
      </c>
      <c r="H110">
        <f>Inputs!S307</f>
        <v>0</v>
      </c>
      <c r="I110" t="s">
        <v>4939</v>
      </c>
      <c r="J110">
        <f>Inputs!T307</f>
        <v>0</v>
      </c>
      <c r="K110" t="s">
        <v>3668</v>
      </c>
      <c r="L110">
        <f>Inputs!U307</f>
        <v>0</v>
      </c>
      <c r="M110" t="s">
        <v>4571</v>
      </c>
      <c r="N110">
        <f>Inputs!V307</f>
        <v>0</v>
      </c>
      <c r="O110" t="s">
        <v>1239</v>
      </c>
      <c r="P110">
        <f>Inputs!W307</f>
        <v>0</v>
      </c>
      <c r="Q110" t="s">
        <v>4145</v>
      </c>
      <c r="R110">
        <f>Inputs!F308</f>
        <v>0</v>
      </c>
      <c r="S110" t="s">
        <v>340</v>
      </c>
      <c r="T110">
        <f>Inputs!G308</f>
        <v>0</v>
      </c>
      <c r="U110" t="s">
        <v>5054</v>
      </c>
      <c r="V110">
        <f>Inputs!H308</f>
        <v>0</v>
      </c>
      <c r="W110" t="s">
        <v>3576</v>
      </c>
      <c r="X110">
        <f>Inputs!I308</f>
        <v>0</v>
      </c>
      <c r="Y110" t="s">
        <v>5085</v>
      </c>
      <c r="Z110">
        <f>Inputs!J308</f>
        <v>0</v>
      </c>
      <c r="AA110" t="s">
        <v>714</v>
      </c>
      <c r="AB110">
        <f>Inputs!K308</f>
        <v>0</v>
      </c>
      <c r="AC110" t="s">
        <v>5324</v>
      </c>
      <c r="AD110">
        <f>Inputs!L308</f>
        <v>0</v>
      </c>
      <c r="AE110" t="s">
        <v>5469</v>
      </c>
      <c r="AF110">
        <f>Inputs!M308</f>
        <v>0</v>
      </c>
      <c r="AG110" t="s">
        <v>5763</v>
      </c>
      <c r="AH110">
        <f>Inputs!N308</f>
        <v>0</v>
      </c>
      <c r="AI110" t="s">
        <v>3690</v>
      </c>
      <c r="AJ110">
        <f>Inputs!O308</f>
        <v>0</v>
      </c>
      <c r="AK110" t="s">
        <v>3756</v>
      </c>
      <c r="AL110">
        <f>Inputs!P308</f>
        <v>0</v>
      </c>
      <c r="AM110" t="s">
        <v>2686</v>
      </c>
      <c r="AN110">
        <f>Inputs!Q308</f>
        <v>0</v>
      </c>
      <c r="AO110" t="s">
        <v>1873</v>
      </c>
      <c r="AP110">
        <f>Inputs!R308</f>
        <v>0</v>
      </c>
      <c r="AQ110" t="s">
        <v>4210</v>
      </c>
      <c r="AR110">
        <f>Inputs!S308</f>
        <v>0</v>
      </c>
      <c r="AS110" t="s">
        <v>1199</v>
      </c>
      <c r="AT110">
        <f>Inputs!T308</f>
        <v>0</v>
      </c>
      <c r="AU110" t="s">
        <v>5674</v>
      </c>
      <c r="AV110">
        <f>Inputs!U308</f>
        <v>0</v>
      </c>
      <c r="AW110" t="s">
        <v>3967</v>
      </c>
      <c r="AX110">
        <f>Inputs!V308</f>
        <v>0</v>
      </c>
      <c r="AY110" t="s">
        <v>2931</v>
      </c>
      <c r="AZ110">
        <f>Inputs!W308</f>
        <v>0</v>
      </c>
      <c r="BA110" t="s">
        <v>3215</v>
      </c>
      <c r="BB110">
        <f>Inputs!F313</f>
        <v>0</v>
      </c>
      <c r="BC110" t="s">
        <v>3195</v>
      </c>
      <c r="BD110">
        <f>Inputs!G313</f>
        <v>0</v>
      </c>
      <c r="BE110" t="s">
        <v>2144</v>
      </c>
      <c r="BF110">
        <f>Inputs!H313</f>
        <v>1</v>
      </c>
      <c r="BG110" t="s">
        <v>5520</v>
      </c>
      <c r="BH110">
        <f>Inputs!F314</f>
        <v>0</v>
      </c>
      <c r="BI110" t="s">
        <v>5536</v>
      </c>
      <c r="BJ110">
        <f>Inputs!G314</f>
        <v>0</v>
      </c>
      <c r="BK110" t="s">
        <v>2985</v>
      </c>
      <c r="BL110">
        <f>Inputs!H314</f>
        <v>1</v>
      </c>
    </row>
    <row r="111" spans="1:64" ht="12.75" customHeight="1" x14ac:dyDescent="0.2">
      <c r="A111" t="s">
        <v>3499</v>
      </c>
      <c r="B111">
        <f>Inputs!F319</f>
        <v>0</v>
      </c>
      <c r="C111" t="s">
        <v>1408</v>
      </c>
      <c r="D111">
        <f>Inputs!G319</f>
        <v>0</v>
      </c>
      <c r="E111" t="s">
        <v>1864</v>
      </c>
      <c r="F111">
        <f>Inputs!H319</f>
        <v>0</v>
      </c>
      <c r="G111" t="s">
        <v>3306</v>
      </c>
      <c r="H111">
        <f>Inputs!I319</f>
        <v>0</v>
      </c>
      <c r="I111" t="s">
        <v>2393</v>
      </c>
      <c r="J111">
        <f>Inputs!J319</f>
        <v>0</v>
      </c>
      <c r="K111" t="s">
        <v>1474</v>
      </c>
      <c r="L111">
        <f>Inputs!K319</f>
        <v>0</v>
      </c>
      <c r="M111" t="s">
        <v>5513</v>
      </c>
      <c r="N111">
        <f>Inputs!L319</f>
        <v>0</v>
      </c>
      <c r="O111" t="s">
        <v>1094</v>
      </c>
      <c r="P111">
        <f>Inputs!M319</f>
        <v>0</v>
      </c>
      <c r="Q111" t="s">
        <v>450</v>
      </c>
      <c r="R111">
        <f>Inputs!N319</f>
        <v>0</v>
      </c>
      <c r="S111" t="s">
        <v>207</v>
      </c>
      <c r="T111">
        <f>Inputs!O319</f>
        <v>0</v>
      </c>
      <c r="U111" t="s">
        <v>3748</v>
      </c>
      <c r="V111">
        <f>Inputs!P319</f>
        <v>0</v>
      </c>
      <c r="W111" t="s">
        <v>4941</v>
      </c>
      <c r="X111">
        <f>Inputs!Q319</f>
        <v>0</v>
      </c>
      <c r="Y111" t="s">
        <v>1109</v>
      </c>
      <c r="Z111">
        <f>Inputs!R319</f>
        <v>0</v>
      </c>
      <c r="AA111" t="s">
        <v>4358</v>
      </c>
      <c r="AB111">
        <f>Inputs!S319</f>
        <v>0</v>
      </c>
      <c r="AC111" t="s">
        <v>1781</v>
      </c>
      <c r="AD111">
        <f>Inputs!T319</f>
        <v>0</v>
      </c>
      <c r="AE111" t="s">
        <v>4549</v>
      </c>
      <c r="AF111">
        <f>Inputs!U319</f>
        <v>0</v>
      </c>
      <c r="AG111" t="s">
        <v>4792</v>
      </c>
      <c r="AH111">
        <f>Inputs!V319</f>
        <v>0</v>
      </c>
      <c r="AI111" t="s">
        <v>5570</v>
      </c>
      <c r="AJ111">
        <f>Inputs!W319</f>
        <v>0</v>
      </c>
      <c r="AK111" t="s">
        <v>624</v>
      </c>
      <c r="AL111">
        <f>Inputs!F320</f>
        <v>0</v>
      </c>
      <c r="AM111" t="s">
        <v>3687</v>
      </c>
      <c r="AN111">
        <f>Inputs!G320</f>
        <v>0</v>
      </c>
      <c r="AO111" t="s">
        <v>3560</v>
      </c>
      <c r="AP111">
        <f>Inputs!H320</f>
        <v>0</v>
      </c>
      <c r="AQ111" t="s">
        <v>4230</v>
      </c>
      <c r="AR111">
        <f>Inputs!I320</f>
        <v>0</v>
      </c>
      <c r="AS111" t="s">
        <v>558</v>
      </c>
      <c r="AT111">
        <f>Inputs!J320</f>
        <v>0</v>
      </c>
      <c r="AU111" t="s">
        <v>1194</v>
      </c>
      <c r="AV111">
        <f>Inputs!K320</f>
        <v>0</v>
      </c>
      <c r="AW111" t="s">
        <v>2697</v>
      </c>
      <c r="AX111">
        <f>Inputs!L320</f>
        <v>0</v>
      </c>
      <c r="AY111" t="s">
        <v>3427</v>
      </c>
      <c r="AZ111">
        <f>Inputs!M320</f>
        <v>0</v>
      </c>
      <c r="BA111" t="s">
        <v>820</v>
      </c>
      <c r="BB111">
        <f>Inputs!N320</f>
        <v>0</v>
      </c>
      <c r="BC111" t="s">
        <v>2744</v>
      </c>
      <c r="BD111">
        <f>Inputs!O320</f>
        <v>0</v>
      </c>
      <c r="BE111" t="s">
        <v>5152</v>
      </c>
      <c r="BF111">
        <f>Inputs!P320</f>
        <v>0</v>
      </c>
      <c r="BG111" t="s">
        <v>1440</v>
      </c>
      <c r="BH111">
        <f>Inputs!Q320</f>
        <v>0</v>
      </c>
      <c r="BI111" t="s">
        <v>2153</v>
      </c>
      <c r="BJ111">
        <f>Inputs!R320</f>
        <v>0</v>
      </c>
      <c r="BK111" t="s">
        <v>5470</v>
      </c>
      <c r="BL111">
        <f>Inputs!S320</f>
        <v>0</v>
      </c>
    </row>
    <row r="112" spans="1:64" ht="12.75" customHeight="1" x14ac:dyDescent="0.2">
      <c r="A112" t="s">
        <v>2313</v>
      </c>
      <c r="B112">
        <f>Inputs!T320</f>
        <v>0</v>
      </c>
      <c r="C112" t="s">
        <v>3454</v>
      </c>
      <c r="D112">
        <f>Inputs!U320</f>
        <v>0</v>
      </c>
      <c r="E112" t="s">
        <v>3829</v>
      </c>
      <c r="F112">
        <f>Inputs!V320</f>
        <v>0</v>
      </c>
      <c r="G112" t="s">
        <v>5441</v>
      </c>
      <c r="H112">
        <f>Inputs!W320</f>
        <v>0</v>
      </c>
      <c r="I112" t="s">
        <v>2212</v>
      </c>
      <c r="J112">
        <f>Inputs!F321</f>
        <v>0</v>
      </c>
      <c r="K112" t="s">
        <v>628</v>
      </c>
      <c r="L112">
        <f>Inputs!G321</f>
        <v>0</v>
      </c>
      <c r="M112" t="s">
        <v>5724</v>
      </c>
      <c r="N112">
        <f>Inputs!H321</f>
        <v>0</v>
      </c>
      <c r="O112" t="s">
        <v>2877</v>
      </c>
      <c r="P112">
        <f>Inputs!I321</f>
        <v>0</v>
      </c>
      <c r="Q112" t="s">
        <v>3353</v>
      </c>
      <c r="R112">
        <f>Inputs!J321</f>
        <v>0</v>
      </c>
      <c r="S112" t="s">
        <v>3445</v>
      </c>
      <c r="T112">
        <f>Inputs!K321</f>
        <v>0</v>
      </c>
      <c r="U112" t="s">
        <v>5434</v>
      </c>
      <c r="V112">
        <f>Inputs!L321</f>
        <v>0</v>
      </c>
      <c r="W112" t="s">
        <v>2947</v>
      </c>
      <c r="X112">
        <f>Inputs!M321</f>
        <v>0</v>
      </c>
      <c r="Y112" t="s">
        <v>852</v>
      </c>
      <c r="Z112">
        <f>Inputs!N321</f>
        <v>0</v>
      </c>
      <c r="AA112" t="s">
        <v>1860</v>
      </c>
      <c r="AB112">
        <f>Inputs!O321</f>
        <v>0</v>
      </c>
      <c r="AC112" t="s">
        <v>5426</v>
      </c>
      <c r="AD112">
        <f>Inputs!P321</f>
        <v>0</v>
      </c>
      <c r="AE112" t="s">
        <v>4067</v>
      </c>
      <c r="AF112">
        <f>Inputs!Q321</f>
        <v>0</v>
      </c>
      <c r="AG112" t="s">
        <v>3803</v>
      </c>
      <c r="AH112">
        <f>Inputs!R321</f>
        <v>0</v>
      </c>
      <c r="AI112" t="s">
        <v>5602</v>
      </c>
      <c r="AJ112">
        <f>Inputs!S321</f>
        <v>0</v>
      </c>
      <c r="AK112" t="s">
        <v>871</v>
      </c>
      <c r="AL112">
        <f>Inputs!T321</f>
        <v>0</v>
      </c>
      <c r="AM112" t="s">
        <v>4789</v>
      </c>
      <c r="AN112">
        <f>Inputs!U321</f>
        <v>0</v>
      </c>
      <c r="AO112" t="s">
        <v>2573</v>
      </c>
      <c r="AP112">
        <f>Inputs!V321</f>
        <v>0</v>
      </c>
      <c r="AQ112" t="s">
        <v>3369</v>
      </c>
      <c r="AR112">
        <f>Inputs!W321</f>
        <v>0</v>
      </c>
      <c r="AS112" t="s">
        <v>1331</v>
      </c>
      <c r="AT112">
        <f>Inputs!F322</f>
        <v>0</v>
      </c>
      <c r="AU112" t="s">
        <v>2953</v>
      </c>
      <c r="AV112">
        <f>Inputs!G322</f>
        <v>0</v>
      </c>
      <c r="AW112" t="s">
        <v>5734</v>
      </c>
      <c r="AX112">
        <f>Inputs!H322</f>
        <v>0</v>
      </c>
      <c r="AY112" t="s">
        <v>5391</v>
      </c>
      <c r="AZ112">
        <f>Inputs!I322</f>
        <v>0</v>
      </c>
      <c r="BA112" t="s">
        <v>1812</v>
      </c>
      <c r="BB112">
        <f>Inputs!J322</f>
        <v>0</v>
      </c>
      <c r="BC112" t="s">
        <v>1462</v>
      </c>
      <c r="BD112">
        <f>Inputs!K322</f>
        <v>0</v>
      </c>
      <c r="BE112" t="s">
        <v>2047</v>
      </c>
      <c r="BF112">
        <f>Inputs!L322</f>
        <v>0</v>
      </c>
      <c r="BG112" t="s">
        <v>1725</v>
      </c>
      <c r="BH112">
        <f>Inputs!M322</f>
        <v>0</v>
      </c>
      <c r="BI112" t="s">
        <v>4039</v>
      </c>
      <c r="BJ112">
        <f>Inputs!N322</f>
        <v>0</v>
      </c>
      <c r="BK112" t="s">
        <v>2726</v>
      </c>
      <c r="BL112">
        <f>Inputs!O322</f>
        <v>0</v>
      </c>
    </row>
    <row r="113" spans="1:64" ht="12.75" customHeight="1" x14ac:dyDescent="0.2">
      <c r="A113" t="s">
        <v>5738</v>
      </c>
      <c r="B113">
        <f>Inputs!P322</f>
        <v>0</v>
      </c>
      <c r="C113" t="s">
        <v>3045</v>
      </c>
      <c r="D113">
        <f>Inputs!Q322</f>
        <v>0</v>
      </c>
      <c r="E113" t="s">
        <v>5028</v>
      </c>
      <c r="F113">
        <f>Inputs!R322</f>
        <v>0</v>
      </c>
      <c r="G113" t="s">
        <v>3655</v>
      </c>
      <c r="H113">
        <f>Inputs!S322</f>
        <v>0</v>
      </c>
      <c r="I113" t="s">
        <v>847</v>
      </c>
      <c r="J113">
        <f>Inputs!T322</f>
        <v>0</v>
      </c>
      <c r="K113" t="s">
        <v>1741</v>
      </c>
      <c r="L113">
        <f>Inputs!U322</f>
        <v>0</v>
      </c>
      <c r="M113" t="s">
        <v>4052</v>
      </c>
      <c r="N113">
        <f>Inputs!V322</f>
        <v>0</v>
      </c>
      <c r="O113" t="s">
        <v>1460</v>
      </c>
      <c r="P113">
        <f>Inputs!W322</f>
        <v>0</v>
      </c>
      <c r="Q113" t="s">
        <v>4201</v>
      </c>
      <c r="R113">
        <f>Inputs!F323</f>
        <v>0</v>
      </c>
      <c r="S113" t="s">
        <v>700</v>
      </c>
      <c r="T113">
        <f>Inputs!G323</f>
        <v>0</v>
      </c>
      <c r="U113" t="s">
        <v>572</v>
      </c>
      <c r="V113">
        <f>Inputs!H323</f>
        <v>0</v>
      </c>
      <c r="W113" t="s">
        <v>2238</v>
      </c>
      <c r="X113">
        <f>Inputs!I323</f>
        <v>0</v>
      </c>
      <c r="Y113" t="s">
        <v>3913</v>
      </c>
      <c r="Z113">
        <f>Inputs!J323</f>
        <v>0</v>
      </c>
      <c r="AA113" t="s">
        <v>1464</v>
      </c>
      <c r="AB113">
        <f>Inputs!K323</f>
        <v>0</v>
      </c>
      <c r="AC113" t="s">
        <v>4839</v>
      </c>
      <c r="AD113">
        <f>Inputs!L323</f>
        <v>0</v>
      </c>
      <c r="AE113" t="s">
        <v>3679</v>
      </c>
      <c r="AF113">
        <f>Inputs!M323</f>
        <v>0</v>
      </c>
      <c r="AG113" t="s">
        <v>3228</v>
      </c>
      <c r="AH113">
        <f>Inputs!N323</f>
        <v>0</v>
      </c>
      <c r="AI113" t="s">
        <v>38</v>
      </c>
      <c r="AJ113">
        <f>Inputs!O323</f>
        <v>0</v>
      </c>
      <c r="AK113" t="s">
        <v>3593</v>
      </c>
      <c r="AL113">
        <f>Inputs!P323</f>
        <v>0</v>
      </c>
      <c r="AM113" t="s">
        <v>4349</v>
      </c>
      <c r="AN113">
        <f>Inputs!Q323</f>
        <v>0</v>
      </c>
      <c r="AO113" t="s">
        <v>2889</v>
      </c>
      <c r="AP113">
        <f>Inputs!R323</f>
        <v>0</v>
      </c>
      <c r="AQ113" t="s">
        <v>4813</v>
      </c>
      <c r="AR113">
        <f>Inputs!S323</f>
        <v>0</v>
      </c>
      <c r="AS113" t="s">
        <v>3248</v>
      </c>
      <c r="AT113">
        <f>Inputs!T323</f>
        <v>0</v>
      </c>
      <c r="AU113" t="s">
        <v>620</v>
      </c>
      <c r="AV113">
        <f>Inputs!U323</f>
        <v>0</v>
      </c>
      <c r="AW113" t="s">
        <v>630</v>
      </c>
      <c r="AX113">
        <f>Inputs!V323</f>
        <v>0</v>
      </c>
      <c r="AY113" t="s">
        <v>3922</v>
      </c>
      <c r="AZ113">
        <f>Inputs!W323</f>
        <v>0</v>
      </c>
      <c r="BA113" t="s">
        <v>4207</v>
      </c>
      <c r="BB113">
        <f>Inputs!F324</f>
        <v>0</v>
      </c>
      <c r="BC113" t="s">
        <v>4787</v>
      </c>
      <c r="BD113">
        <f>Inputs!G324</f>
        <v>0</v>
      </c>
      <c r="BE113" t="s">
        <v>944</v>
      </c>
      <c r="BF113">
        <f>Inputs!H324</f>
        <v>0</v>
      </c>
      <c r="BG113" t="s">
        <v>551</v>
      </c>
      <c r="BH113">
        <f>Inputs!I324</f>
        <v>0</v>
      </c>
      <c r="BI113" t="s">
        <v>783</v>
      </c>
      <c r="BJ113">
        <f>Inputs!J324</f>
        <v>0</v>
      </c>
      <c r="BK113" t="s">
        <v>5606</v>
      </c>
      <c r="BL113">
        <f>Inputs!K324</f>
        <v>0</v>
      </c>
    </row>
    <row r="114" spans="1:64" ht="12.75" customHeight="1" x14ac:dyDescent="0.2">
      <c r="A114" t="s">
        <v>2114</v>
      </c>
      <c r="B114">
        <f>Inputs!L324</f>
        <v>0</v>
      </c>
      <c r="C114" t="s">
        <v>3947</v>
      </c>
      <c r="D114">
        <f>Inputs!M324</f>
        <v>0</v>
      </c>
      <c r="E114" t="s">
        <v>1977</v>
      </c>
      <c r="F114">
        <f>Inputs!N324</f>
        <v>0</v>
      </c>
      <c r="G114" t="s">
        <v>3121</v>
      </c>
      <c r="H114">
        <f>Inputs!O324</f>
        <v>0</v>
      </c>
      <c r="I114" t="s">
        <v>2574</v>
      </c>
      <c r="J114">
        <f>Inputs!P324</f>
        <v>0</v>
      </c>
      <c r="K114" t="s">
        <v>3995</v>
      </c>
      <c r="L114">
        <f>Inputs!Q324</f>
        <v>0</v>
      </c>
      <c r="M114" t="s">
        <v>2066</v>
      </c>
      <c r="N114">
        <f>Inputs!R324</f>
        <v>0</v>
      </c>
      <c r="O114" t="s">
        <v>1647</v>
      </c>
      <c r="P114">
        <f>Inputs!S324</f>
        <v>0</v>
      </c>
      <c r="Q114" t="s">
        <v>2371</v>
      </c>
      <c r="R114">
        <f>Inputs!T324</f>
        <v>0</v>
      </c>
      <c r="S114" t="s">
        <v>3211</v>
      </c>
      <c r="T114">
        <f>Inputs!U324</f>
        <v>0</v>
      </c>
      <c r="U114" t="s">
        <v>941</v>
      </c>
      <c r="V114">
        <f>Inputs!V324</f>
        <v>0</v>
      </c>
      <c r="W114" t="s">
        <v>3381</v>
      </c>
      <c r="X114">
        <f>Inputs!W324</f>
        <v>0</v>
      </c>
      <c r="Y114" t="s">
        <v>832</v>
      </c>
      <c r="Z114">
        <f>Inputs!F326</f>
        <v>0</v>
      </c>
      <c r="AA114" t="s">
        <v>3839</v>
      </c>
      <c r="AB114">
        <f>Inputs!G326</f>
        <v>0</v>
      </c>
      <c r="AC114" t="s">
        <v>4988</v>
      </c>
      <c r="AD114">
        <f>Inputs!H326</f>
        <v>0</v>
      </c>
      <c r="AE114" t="s">
        <v>1149</v>
      </c>
      <c r="AF114">
        <f>Inputs!I326</f>
        <v>0</v>
      </c>
      <c r="AG114" t="s">
        <v>3542</v>
      </c>
      <c r="AH114">
        <f>Inputs!J326</f>
        <v>0</v>
      </c>
      <c r="AI114" t="s">
        <v>997</v>
      </c>
      <c r="AJ114">
        <f>Inputs!K326</f>
        <v>0</v>
      </c>
      <c r="AK114" t="s">
        <v>1979</v>
      </c>
      <c r="AL114">
        <f>Inputs!L326</f>
        <v>0</v>
      </c>
      <c r="AM114" t="s">
        <v>3407</v>
      </c>
      <c r="AN114">
        <f>Inputs!M326</f>
        <v>0</v>
      </c>
      <c r="AO114" t="s">
        <v>5563</v>
      </c>
      <c r="AP114">
        <f>Inputs!N326</f>
        <v>0</v>
      </c>
      <c r="AQ114" t="s">
        <v>2558</v>
      </c>
      <c r="AR114">
        <f>Inputs!O326</f>
        <v>0</v>
      </c>
      <c r="AS114" t="s">
        <v>5519</v>
      </c>
      <c r="AT114">
        <f>Inputs!P326</f>
        <v>0</v>
      </c>
      <c r="AU114" t="s">
        <v>5033</v>
      </c>
      <c r="AV114">
        <f>Inputs!Q326</f>
        <v>0</v>
      </c>
      <c r="AW114" t="s">
        <v>2335</v>
      </c>
      <c r="AX114">
        <f>Inputs!R326</f>
        <v>0</v>
      </c>
      <c r="AY114" t="s">
        <v>2111</v>
      </c>
      <c r="AZ114">
        <f>Inputs!S326</f>
        <v>0</v>
      </c>
      <c r="BA114" t="s">
        <v>1542</v>
      </c>
      <c r="BB114">
        <f>Inputs!T326</f>
        <v>0</v>
      </c>
      <c r="BC114" t="s">
        <v>3344</v>
      </c>
      <c r="BD114">
        <f>Inputs!U326</f>
        <v>0</v>
      </c>
      <c r="BE114" t="s">
        <v>800</v>
      </c>
      <c r="BF114">
        <f>Inputs!V326</f>
        <v>0</v>
      </c>
      <c r="BG114" t="s">
        <v>658</v>
      </c>
      <c r="BH114">
        <f>Inputs!W326</f>
        <v>0</v>
      </c>
      <c r="BI114" t="s">
        <v>761</v>
      </c>
      <c r="BJ114">
        <f>Inputs!F327</f>
        <v>0</v>
      </c>
      <c r="BK114" t="s">
        <v>1002</v>
      </c>
      <c r="BL114">
        <f>Inputs!G327</f>
        <v>0</v>
      </c>
    </row>
    <row r="115" spans="1:64" ht="12.75" customHeight="1" x14ac:dyDescent="0.2">
      <c r="A115" t="s">
        <v>3058</v>
      </c>
      <c r="B115">
        <f>Inputs!H327</f>
        <v>0</v>
      </c>
      <c r="C115" t="s">
        <v>4851</v>
      </c>
      <c r="D115">
        <f>Inputs!I327</f>
        <v>0</v>
      </c>
      <c r="E115" t="s">
        <v>3740</v>
      </c>
      <c r="F115">
        <f>Inputs!J327</f>
        <v>0</v>
      </c>
      <c r="G115" t="s">
        <v>87</v>
      </c>
      <c r="H115">
        <f>Inputs!K327</f>
        <v>0</v>
      </c>
      <c r="I115" t="s">
        <v>5668</v>
      </c>
      <c r="J115">
        <f>Inputs!L327</f>
        <v>0</v>
      </c>
      <c r="K115" t="s">
        <v>3482</v>
      </c>
      <c r="L115">
        <f>Inputs!M327</f>
        <v>0</v>
      </c>
      <c r="M115" t="s">
        <v>97</v>
      </c>
      <c r="N115">
        <f>Inputs!N327</f>
        <v>0</v>
      </c>
      <c r="O115" t="s">
        <v>2133</v>
      </c>
      <c r="P115">
        <f>Inputs!O327</f>
        <v>0</v>
      </c>
      <c r="Q115" t="s">
        <v>3225</v>
      </c>
      <c r="R115">
        <f>Inputs!P327</f>
        <v>0</v>
      </c>
      <c r="S115" t="s">
        <v>2746</v>
      </c>
      <c r="T115">
        <f>Inputs!Q327</f>
        <v>0</v>
      </c>
      <c r="U115" t="s">
        <v>5238</v>
      </c>
      <c r="V115">
        <f>Inputs!R327</f>
        <v>0</v>
      </c>
      <c r="W115" t="s">
        <v>1322</v>
      </c>
      <c r="X115">
        <f>Inputs!S327</f>
        <v>0</v>
      </c>
      <c r="Y115" t="s">
        <v>1311</v>
      </c>
      <c r="Z115">
        <f>Inputs!T327</f>
        <v>0</v>
      </c>
      <c r="AA115" t="s">
        <v>2808</v>
      </c>
      <c r="AB115">
        <f>Inputs!U327</f>
        <v>0</v>
      </c>
      <c r="AC115" t="s">
        <v>1652</v>
      </c>
      <c r="AD115">
        <f>Inputs!V327</f>
        <v>0</v>
      </c>
      <c r="AE115" t="s">
        <v>3932</v>
      </c>
      <c r="AF115">
        <f>Inputs!W327</f>
        <v>0</v>
      </c>
      <c r="AG115" t="s">
        <v>5167</v>
      </c>
      <c r="AH115">
        <f>Inputs!F328</f>
        <v>0</v>
      </c>
      <c r="AI115" t="s">
        <v>614</v>
      </c>
      <c r="AJ115">
        <f>Inputs!G328</f>
        <v>0</v>
      </c>
      <c r="AK115" t="s">
        <v>5832</v>
      </c>
      <c r="AL115">
        <f>Inputs!H328</f>
        <v>0</v>
      </c>
      <c r="AM115" t="s">
        <v>4499</v>
      </c>
      <c r="AN115">
        <f>Inputs!I328</f>
        <v>0</v>
      </c>
      <c r="AO115" t="s">
        <v>5262</v>
      </c>
      <c r="AP115">
        <f>Inputs!J328</f>
        <v>0</v>
      </c>
      <c r="AQ115" t="s">
        <v>143</v>
      </c>
      <c r="AR115">
        <f>Inputs!K328</f>
        <v>0</v>
      </c>
      <c r="AS115" t="s">
        <v>907</v>
      </c>
      <c r="AT115">
        <f>Inputs!L328</f>
        <v>0</v>
      </c>
      <c r="AU115" t="s">
        <v>5192</v>
      </c>
      <c r="AV115">
        <f>Inputs!M328</f>
        <v>0</v>
      </c>
      <c r="AW115" t="s">
        <v>5742</v>
      </c>
      <c r="AX115">
        <f>Inputs!N328</f>
        <v>0</v>
      </c>
      <c r="AY115" t="s">
        <v>5806</v>
      </c>
      <c r="AZ115">
        <f>Inputs!O328</f>
        <v>0</v>
      </c>
      <c r="BA115" t="s">
        <v>4873</v>
      </c>
      <c r="BB115">
        <f>Inputs!P328</f>
        <v>0</v>
      </c>
      <c r="BC115" t="s">
        <v>4805</v>
      </c>
      <c r="BD115">
        <f>Inputs!Q328</f>
        <v>0</v>
      </c>
      <c r="BE115" t="s">
        <v>5511</v>
      </c>
      <c r="BF115">
        <f>Inputs!R328</f>
        <v>0</v>
      </c>
      <c r="BG115" t="s">
        <v>1310</v>
      </c>
      <c r="BH115">
        <f>Inputs!S328</f>
        <v>0</v>
      </c>
      <c r="BI115" t="s">
        <v>553</v>
      </c>
      <c r="BJ115">
        <f>Inputs!T328</f>
        <v>0</v>
      </c>
      <c r="BK115" t="s">
        <v>5136</v>
      </c>
      <c r="BL115">
        <f>Inputs!U328</f>
        <v>0</v>
      </c>
    </row>
    <row r="116" spans="1:64" ht="12.75" customHeight="1" x14ac:dyDescent="0.2">
      <c r="A116" t="s">
        <v>5018</v>
      </c>
      <c r="B116">
        <f>Inputs!V328</f>
        <v>0</v>
      </c>
      <c r="C116" t="s">
        <v>300</v>
      </c>
      <c r="D116">
        <f>Inputs!W328</f>
        <v>0</v>
      </c>
      <c r="E116" t="s">
        <v>2279</v>
      </c>
      <c r="F116">
        <f>Inputs!F329</f>
        <v>0</v>
      </c>
      <c r="G116" t="s">
        <v>1974</v>
      </c>
      <c r="H116">
        <f>Inputs!G329</f>
        <v>0</v>
      </c>
      <c r="I116" t="s">
        <v>1843</v>
      </c>
      <c r="J116">
        <f>Inputs!H329</f>
        <v>0</v>
      </c>
      <c r="K116" t="s">
        <v>5244</v>
      </c>
      <c r="L116">
        <f>Inputs!I329</f>
        <v>0</v>
      </c>
      <c r="M116" t="s">
        <v>1764</v>
      </c>
      <c r="N116">
        <f>Inputs!J329</f>
        <v>0</v>
      </c>
      <c r="O116" t="s">
        <v>4066</v>
      </c>
      <c r="P116">
        <f>Inputs!K329</f>
        <v>0</v>
      </c>
      <c r="Q116" t="s">
        <v>446</v>
      </c>
      <c r="R116">
        <f>Inputs!L329</f>
        <v>0</v>
      </c>
      <c r="S116" t="s">
        <v>555</v>
      </c>
      <c r="T116">
        <f>Inputs!M329</f>
        <v>0</v>
      </c>
      <c r="U116" t="s">
        <v>138</v>
      </c>
      <c r="V116">
        <f>Inputs!N329</f>
        <v>0</v>
      </c>
      <c r="W116" t="s">
        <v>4035</v>
      </c>
      <c r="X116">
        <f>Inputs!O329</f>
        <v>0</v>
      </c>
      <c r="Y116" t="s">
        <v>4518</v>
      </c>
      <c r="Z116">
        <f>Inputs!P329</f>
        <v>0</v>
      </c>
      <c r="AA116" t="s">
        <v>5458</v>
      </c>
      <c r="AB116">
        <f>Inputs!Q329</f>
        <v>0</v>
      </c>
      <c r="AC116" t="s">
        <v>4663</v>
      </c>
      <c r="AD116">
        <f>Inputs!R329</f>
        <v>0</v>
      </c>
      <c r="AE116" t="s">
        <v>1131</v>
      </c>
      <c r="AF116">
        <f>Inputs!S329</f>
        <v>0</v>
      </c>
      <c r="AG116" t="s">
        <v>4010</v>
      </c>
      <c r="AH116">
        <f>Inputs!T329</f>
        <v>0</v>
      </c>
      <c r="AI116" t="s">
        <v>4746</v>
      </c>
      <c r="AJ116">
        <f>Inputs!U329</f>
        <v>0</v>
      </c>
      <c r="AK116" t="s">
        <v>1164</v>
      </c>
      <c r="AL116">
        <f>Inputs!V329</f>
        <v>0</v>
      </c>
      <c r="AM116" t="s">
        <v>3804</v>
      </c>
      <c r="AN116">
        <f>Inputs!W329</f>
        <v>0</v>
      </c>
      <c r="AO116" t="s">
        <v>1929</v>
      </c>
      <c r="AP116">
        <f>Inputs!F330</f>
        <v>0</v>
      </c>
      <c r="AQ116" t="s">
        <v>4428</v>
      </c>
      <c r="AR116">
        <f>Inputs!G330</f>
        <v>0</v>
      </c>
      <c r="AS116" t="s">
        <v>3777</v>
      </c>
      <c r="AT116">
        <f>Inputs!H330</f>
        <v>0</v>
      </c>
      <c r="AU116" t="s">
        <v>4110</v>
      </c>
      <c r="AV116">
        <f>Inputs!I330</f>
        <v>0</v>
      </c>
      <c r="AW116" t="s">
        <v>3027</v>
      </c>
      <c r="AX116">
        <f>Inputs!J330</f>
        <v>0</v>
      </c>
      <c r="AY116" t="s">
        <v>1768</v>
      </c>
      <c r="AZ116">
        <f>Inputs!K330</f>
        <v>0</v>
      </c>
      <c r="BA116" t="s">
        <v>959</v>
      </c>
      <c r="BB116">
        <f>Inputs!L330</f>
        <v>0</v>
      </c>
      <c r="BC116" t="s">
        <v>2024</v>
      </c>
      <c r="BD116">
        <f>Inputs!M330</f>
        <v>0</v>
      </c>
      <c r="BE116" t="s">
        <v>1657</v>
      </c>
      <c r="BF116">
        <f>Inputs!N330</f>
        <v>0</v>
      </c>
      <c r="BG116" t="s">
        <v>302</v>
      </c>
      <c r="BH116">
        <f>Inputs!O330</f>
        <v>0</v>
      </c>
      <c r="BI116" t="s">
        <v>3709</v>
      </c>
      <c r="BJ116">
        <f>Inputs!P330</f>
        <v>0</v>
      </c>
      <c r="BK116" t="s">
        <v>2459</v>
      </c>
      <c r="BL116">
        <f>Inputs!Q330</f>
        <v>0</v>
      </c>
    </row>
    <row r="117" spans="1:64" ht="12.75" customHeight="1" x14ac:dyDescent="0.2">
      <c r="A117" t="s">
        <v>2965</v>
      </c>
      <c r="B117">
        <f>Inputs!R330</f>
        <v>0</v>
      </c>
      <c r="C117" t="s">
        <v>2640</v>
      </c>
      <c r="D117">
        <f>Inputs!S330</f>
        <v>0</v>
      </c>
      <c r="E117" t="s">
        <v>1418</v>
      </c>
      <c r="F117">
        <f>Inputs!T330</f>
        <v>0</v>
      </c>
      <c r="G117" t="s">
        <v>780</v>
      </c>
      <c r="H117">
        <f>Inputs!U330</f>
        <v>0</v>
      </c>
      <c r="I117" t="s">
        <v>5014</v>
      </c>
      <c r="J117">
        <f>Inputs!V330</f>
        <v>0</v>
      </c>
      <c r="K117" t="s">
        <v>103</v>
      </c>
      <c r="L117">
        <f>Inputs!W330</f>
        <v>0</v>
      </c>
      <c r="M117" t="s">
        <v>1272</v>
      </c>
      <c r="N117">
        <f>Inputs!F331</f>
        <v>0</v>
      </c>
      <c r="O117" t="s">
        <v>5098</v>
      </c>
      <c r="P117">
        <f>Inputs!G331</f>
        <v>0</v>
      </c>
      <c r="Q117" t="s">
        <v>4927</v>
      </c>
      <c r="R117">
        <f>Inputs!H331</f>
        <v>0</v>
      </c>
      <c r="S117" t="s">
        <v>710</v>
      </c>
      <c r="T117">
        <f>Inputs!I331</f>
        <v>0</v>
      </c>
      <c r="U117" t="s">
        <v>4827</v>
      </c>
      <c r="V117">
        <f>Inputs!J331</f>
        <v>0</v>
      </c>
      <c r="W117" t="s">
        <v>726</v>
      </c>
      <c r="X117">
        <f>Inputs!K331</f>
        <v>0</v>
      </c>
      <c r="Y117" t="s">
        <v>5352</v>
      </c>
      <c r="Z117">
        <f>Inputs!L331</f>
        <v>0</v>
      </c>
      <c r="AA117" t="s">
        <v>1494</v>
      </c>
      <c r="AB117">
        <f>Inputs!M331</f>
        <v>0</v>
      </c>
      <c r="AC117" t="s">
        <v>5248</v>
      </c>
      <c r="AD117">
        <f>Inputs!N331</f>
        <v>0</v>
      </c>
      <c r="AE117" t="s">
        <v>4240</v>
      </c>
      <c r="AF117">
        <f>Inputs!O331</f>
        <v>0</v>
      </c>
      <c r="AG117" t="s">
        <v>1255</v>
      </c>
      <c r="AH117">
        <f>Inputs!P331</f>
        <v>0</v>
      </c>
      <c r="AI117" t="s">
        <v>5246</v>
      </c>
      <c r="AJ117">
        <f>Inputs!Q331</f>
        <v>0</v>
      </c>
      <c r="AK117" t="s">
        <v>212</v>
      </c>
      <c r="AL117">
        <f>Inputs!R331</f>
        <v>0</v>
      </c>
      <c r="AM117" t="s">
        <v>2241</v>
      </c>
      <c r="AN117">
        <f>Inputs!S331</f>
        <v>0</v>
      </c>
      <c r="AO117" t="s">
        <v>107</v>
      </c>
      <c r="AP117">
        <f>Inputs!T331</f>
        <v>0</v>
      </c>
      <c r="AQ117" t="s">
        <v>2485</v>
      </c>
      <c r="AR117">
        <f>Inputs!U331</f>
        <v>0</v>
      </c>
      <c r="AS117" t="s">
        <v>4000</v>
      </c>
      <c r="AT117">
        <f>Inputs!V331</f>
        <v>0</v>
      </c>
      <c r="AU117" t="s">
        <v>429</v>
      </c>
      <c r="AV117">
        <f>Inputs!W331</f>
        <v>0</v>
      </c>
      <c r="AW117" t="s">
        <v>4677</v>
      </c>
      <c r="AX117">
        <f>Inputs!F339</f>
        <v>0</v>
      </c>
      <c r="AY117" t="s">
        <v>295</v>
      </c>
      <c r="AZ117">
        <f>Inputs!G339</f>
        <v>0</v>
      </c>
      <c r="BA117" t="s">
        <v>980</v>
      </c>
      <c r="BB117">
        <f>Inputs!H339</f>
        <v>0</v>
      </c>
      <c r="BC117" t="s">
        <v>5880</v>
      </c>
      <c r="BD117">
        <f>Inputs!I339</f>
        <v>0</v>
      </c>
      <c r="BE117" t="s">
        <v>4315</v>
      </c>
      <c r="BF117">
        <f>Inputs!J339</f>
        <v>0</v>
      </c>
      <c r="BG117" t="s">
        <v>5060</v>
      </c>
      <c r="BH117">
        <f>Inputs!K339</f>
        <v>0</v>
      </c>
      <c r="BI117" t="s">
        <v>1108</v>
      </c>
      <c r="BJ117">
        <f>Inputs!L339</f>
        <v>0</v>
      </c>
      <c r="BK117" t="s">
        <v>3322</v>
      </c>
      <c r="BL117">
        <f>Inputs!M339</f>
        <v>0</v>
      </c>
    </row>
    <row r="118" spans="1:64" ht="12.75" customHeight="1" x14ac:dyDescent="0.2">
      <c r="A118" t="s">
        <v>3065</v>
      </c>
      <c r="B118">
        <f>Inputs!N339</f>
        <v>0</v>
      </c>
      <c r="C118" t="s">
        <v>892</v>
      </c>
      <c r="D118">
        <f>Inputs!O339</f>
        <v>0</v>
      </c>
      <c r="E118" t="s">
        <v>535</v>
      </c>
      <c r="F118">
        <f>Inputs!P339</f>
        <v>0</v>
      </c>
      <c r="G118" t="s">
        <v>5166</v>
      </c>
      <c r="H118">
        <f>Inputs!Q339</f>
        <v>0</v>
      </c>
      <c r="I118" t="s">
        <v>2027</v>
      </c>
      <c r="J118">
        <f>Inputs!R339</f>
        <v>0</v>
      </c>
      <c r="K118" t="s">
        <v>3483</v>
      </c>
      <c r="L118">
        <f>Inputs!S339</f>
        <v>0</v>
      </c>
      <c r="M118" t="s">
        <v>3830</v>
      </c>
      <c r="N118">
        <f>Inputs!T339</f>
        <v>0</v>
      </c>
      <c r="O118" t="s">
        <v>428</v>
      </c>
      <c r="P118">
        <f>Inputs!U339</f>
        <v>0</v>
      </c>
      <c r="Q118" t="s">
        <v>1557</v>
      </c>
      <c r="R118">
        <f>Inputs!V339</f>
        <v>0</v>
      </c>
      <c r="S118" t="s">
        <v>470</v>
      </c>
      <c r="T118">
        <f>Inputs!W339</f>
        <v>0</v>
      </c>
      <c r="U118" t="s">
        <v>4568</v>
      </c>
      <c r="V118">
        <f>Inputs!F340</f>
        <v>0</v>
      </c>
      <c r="W118" t="s">
        <v>2482</v>
      </c>
      <c r="X118">
        <f>Inputs!G340</f>
        <v>0</v>
      </c>
      <c r="Y118" t="s">
        <v>2398</v>
      </c>
      <c r="Z118">
        <f>Inputs!H340</f>
        <v>0</v>
      </c>
      <c r="AA118" t="s">
        <v>1168</v>
      </c>
      <c r="AB118">
        <f>Inputs!I340</f>
        <v>0</v>
      </c>
      <c r="AC118" t="s">
        <v>2345</v>
      </c>
      <c r="AD118">
        <f>Inputs!J340</f>
        <v>0</v>
      </c>
      <c r="AE118" t="s">
        <v>5899</v>
      </c>
      <c r="AF118">
        <f>Inputs!K340</f>
        <v>0</v>
      </c>
      <c r="AG118" t="s">
        <v>58</v>
      </c>
      <c r="AH118">
        <f>Inputs!L340</f>
        <v>0</v>
      </c>
      <c r="AI118" t="s">
        <v>3070</v>
      </c>
      <c r="AJ118">
        <f>Inputs!M340</f>
        <v>0</v>
      </c>
      <c r="AK118" t="s">
        <v>3540</v>
      </c>
      <c r="AL118">
        <f>Inputs!N340</f>
        <v>0</v>
      </c>
      <c r="AM118" t="s">
        <v>254</v>
      </c>
      <c r="AN118">
        <f>Inputs!O340</f>
        <v>0</v>
      </c>
      <c r="AO118" t="s">
        <v>1529</v>
      </c>
      <c r="AP118">
        <f>Inputs!P340</f>
        <v>0</v>
      </c>
      <c r="AQ118" t="s">
        <v>5459</v>
      </c>
      <c r="AR118">
        <f>Inputs!Q340</f>
        <v>0</v>
      </c>
      <c r="AS118" t="s">
        <v>1312</v>
      </c>
      <c r="AT118">
        <f>Inputs!R340</f>
        <v>0</v>
      </c>
      <c r="AU118" t="s">
        <v>4715</v>
      </c>
      <c r="AV118">
        <f>Inputs!S340</f>
        <v>0</v>
      </c>
      <c r="AW118" t="s">
        <v>4766</v>
      </c>
      <c r="AX118">
        <f>Inputs!T340</f>
        <v>0</v>
      </c>
      <c r="AY118" t="s">
        <v>4033</v>
      </c>
      <c r="AZ118">
        <f>Inputs!U340</f>
        <v>0</v>
      </c>
      <c r="BA118" t="s">
        <v>2031</v>
      </c>
      <c r="BB118">
        <f>Inputs!V340</f>
        <v>0</v>
      </c>
      <c r="BC118" t="s">
        <v>2230</v>
      </c>
      <c r="BD118">
        <f>Inputs!W340</f>
        <v>0</v>
      </c>
      <c r="BE118" t="s">
        <v>706</v>
      </c>
      <c r="BF118">
        <f>Inputs!F341</f>
        <v>0</v>
      </c>
      <c r="BG118" t="s">
        <v>2351</v>
      </c>
      <c r="BH118">
        <f>Inputs!G341</f>
        <v>0</v>
      </c>
      <c r="BI118" t="s">
        <v>1182</v>
      </c>
      <c r="BJ118">
        <f>Inputs!H341</f>
        <v>0</v>
      </c>
      <c r="BK118" t="s">
        <v>5053</v>
      </c>
      <c r="BL118">
        <f>Inputs!I341</f>
        <v>0</v>
      </c>
    </row>
    <row r="119" spans="1:64" ht="12.75" customHeight="1" x14ac:dyDescent="0.2">
      <c r="A119" t="s">
        <v>2758</v>
      </c>
      <c r="B119">
        <f>Inputs!J341</f>
        <v>0</v>
      </c>
      <c r="C119" t="s">
        <v>3708</v>
      </c>
      <c r="D119">
        <f>Inputs!K341</f>
        <v>0</v>
      </c>
      <c r="E119" t="s">
        <v>328</v>
      </c>
      <c r="F119">
        <f>Inputs!L341</f>
        <v>0</v>
      </c>
      <c r="G119" t="s">
        <v>1344</v>
      </c>
      <c r="H119">
        <f>Inputs!M341</f>
        <v>0</v>
      </c>
      <c r="I119" t="s">
        <v>4427</v>
      </c>
      <c r="J119">
        <f>Inputs!N341</f>
        <v>0</v>
      </c>
      <c r="K119" t="s">
        <v>2503</v>
      </c>
      <c r="L119">
        <f>Inputs!O341</f>
        <v>0</v>
      </c>
      <c r="M119" t="s">
        <v>5833</v>
      </c>
      <c r="N119">
        <f>Inputs!P341</f>
        <v>0</v>
      </c>
      <c r="O119" t="s">
        <v>5527</v>
      </c>
      <c r="P119">
        <f>Inputs!Q341</f>
        <v>0</v>
      </c>
      <c r="Q119" t="s">
        <v>2848</v>
      </c>
      <c r="R119">
        <f>Inputs!R341</f>
        <v>0</v>
      </c>
      <c r="S119" t="s">
        <v>606</v>
      </c>
      <c r="T119">
        <f>Inputs!S341</f>
        <v>0</v>
      </c>
      <c r="U119" t="s">
        <v>5657</v>
      </c>
      <c r="V119">
        <f>Inputs!T341</f>
        <v>0</v>
      </c>
      <c r="W119" t="s">
        <v>4104</v>
      </c>
      <c r="X119">
        <f>Inputs!U341</f>
        <v>0</v>
      </c>
      <c r="Y119" t="s">
        <v>1343</v>
      </c>
      <c r="Z119">
        <f>Inputs!V341</f>
        <v>0</v>
      </c>
      <c r="AA119" t="s">
        <v>3639</v>
      </c>
      <c r="AB119">
        <f>Inputs!W341</f>
        <v>0</v>
      </c>
      <c r="AC119" t="s">
        <v>2773</v>
      </c>
      <c r="AD119">
        <f>Inputs!F342</f>
        <v>0</v>
      </c>
      <c r="AE119" t="s">
        <v>3911</v>
      </c>
      <c r="AF119">
        <f>Inputs!G342</f>
        <v>0</v>
      </c>
      <c r="AG119" t="s">
        <v>4538</v>
      </c>
      <c r="AH119">
        <f>Inputs!H342</f>
        <v>0</v>
      </c>
      <c r="AI119" t="s">
        <v>109</v>
      </c>
      <c r="AJ119">
        <f>Inputs!I342</f>
        <v>0</v>
      </c>
      <c r="AK119" t="s">
        <v>2909</v>
      </c>
      <c r="AL119">
        <f>Inputs!J342</f>
        <v>0</v>
      </c>
      <c r="AM119" t="s">
        <v>2224</v>
      </c>
      <c r="AN119">
        <f>Inputs!K342</f>
        <v>0</v>
      </c>
      <c r="AO119" t="s">
        <v>638</v>
      </c>
      <c r="AP119">
        <f>Inputs!L342</f>
        <v>0</v>
      </c>
      <c r="AQ119" t="s">
        <v>647</v>
      </c>
      <c r="AR119">
        <f>Inputs!M342</f>
        <v>0</v>
      </c>
      <c r="AS119" t="s">
        <v>131</v>
      </c>
      <c r="AT119">
        <f>Inputs!N342</f>
        <v>0</v>
      </c>
      <c r="AU119" t="s">
        <v>2624</v>
      </c>
      <c r="AV119">
        <f>Inputs!O342</f>
        <v>0</v>
      </c>
      <c r="AW119" t="s">
        <v>542</v>
      </c>
      <c r="AX119">
        <f>Inputs!P342</f>
        <v>0</v>
      </c>
      <c r="AY119" t="s">
        <v>3173</v>
      </c>
      <c r="AZ119">
        <f>Inputs!Q342</f>
        <v>0</v>
      </c>
      <c r="BA119" t="s">
        <v>2581</v>
      </c>
      <c r="BB119">
        <f>Inputs!R342</f>
        <v>0</v>
      </c>
      <c r="BC119" t="s">
        <v>3513</v>
      </c>
      <c r="BD119">
        <f>Inputs!S342</f>
        <v>0</v>
      </c>
      <c r="BE119" t="s">
        <v>4083</v>
      </c>
      <c r="BF119">
        <f>Inputs!T342</f>
        <v>0</v>
      </c>
      <c r="BG119" t="s">
        <v>1397</v>
      </c>
      <c r="BH119">
        <f>Inputs!U342</f>
        <v>0</v>
      </c>
      <c r="BI119" t="s">
        <v>4184</v>
      </c>
      <c r="BJ119">
        <f>Inputs!V342</f>
        <v>0</v>
      </c>
      <c r="BK119" t="s">
        <v>5579</v>
      </c>
      <c r="BL119">
        <f>Inputs!W342</f>
        <v>0</v>
      </c>
    </row>
    <row r="120" spans="1:64" ht="12.75" customHeight="1" x14ac:dyDescent="0.2">
      <c r="A120" t="s">
        <v>418</v>
      </c>
      <c r="B120">
        <f>Inputs!F345</f>
        <v>0</v>
      </c>
      <c r="C120" t="s">
        <v>5687</v>
      </c>
      <c r="D120">
        <f>Inputs!G345</f>
        <v>0</v>
      </c>
      <c r="E120" t="s">
        <v>983</v>
      </c>
      <c r="F120">
        <f>Inputs!H345</f>
        <v>0</v>
      </c>
      <c r="G120" t="s">
        <v>3198</v>
      </c>
      <c r="H120">
        <f>Inputs!I345</f>
        <v>0</v>
      </c>
      <c r="I120" t="s">
        <v>672</v>
      </c>
      <c r="J120">
        <f>Inputs!J345</f>
        <v>0</v>
      </c>
      <c r="K120" t="s">
        <v>3091</v>
      </c>
      <c r="L120">
        <f>Inputs!K345</f>
        <v>0</v>
      </c>
      <c r="M120" t="s">
        <v>2169</v>
      </c>
      <c r="N120">
        <f>Inputs!L345</f>
        <v>0</v>
      </c>
      <c r="O120" t="s">
        <v>2721</v>
      </c>
      <c r="P120">
        <f>Inputs!M345</f>
        <v>0</v>
      </c>
      <c r="Q120" t="s">
        <v>2010</v>
      </c>
      <c r="R120">
        <f>Inputs!N345</f>
        <v>0</v>
      </c>
      <c r="S120" t="s">
        <v>3296</v>
      </c>
      <c r="T120">
        <f>Inputs!O345</f>
        <v>0</v>
      </c>
      <c r="U120" t="s">
        <v>4</v>
      </c>
      <c r="V120">
        <f>Inputs!P345</f>
        <v>0</v>
      </c>
      <c r="W120" t="s">
        <v>55</v>
      </c>
      <c r="X120">
        <f>Inputs!Q345</f>
        <v>0</v>
      </c>
      <c r="Y120" t="s">
        <v>2673</v>
      </c>
      <c r="Z120">
        <f>Inputs!R345</f>
        <v>0</v>
      </c>
      <c r="AA120" t="s">
        <v>1991</v>
      </c>
      <c r="AB120">
        <f>Inputs!S345</f>
        <v>0</v>
      </c>
      <c r="AC120" t="s">
        <v>2048</v>
      </c>
      <c r="AD120">
        <f>Inputs!T345</f>
        <v>0</v>
      </c>
      <c r="AE120" t="s">
        <v>465</v>
      </c>
      <c r="AF120">
        <f>Inputs!U345</f>
        <v>0</v>
      </c>
      <c r="AG120" t="s">
        <v>784</v>
      </c>
      <c r="AH120">
        <f>Inputs!V345</f>
        <v>0</v>
      </c>
      <c r="AI120" t="s">
        <v>113</v>
      </c>
      <c r="AJ120">
        <f>Inputs!W345</f>
        <v>0</v>
      </c>
      <c r="AK120" t="s">
        <v>2569</v>
      </c>
      <c r="AL120">
        <f>Inputs!F348</f>
        <v>0</v>
      </c>
      <c r="AM120" t="s">
        <v>5585</v>
      </c>
      <c r="AN120">
        <f>Inputs!G348</f>
        <v>0</v>
      </c>
      <c r="AO120" t="s">
        <v>5486</v>
      </c>
      <c r="AP120">
        <f>Inputs!H348</f>
        <v>0</v>
      </c>
      <c r="AQ120" t="s">
        <v>4739</v>
      </c>
      <c r="AR120">
        <f>Inputs!I348</f>
        <v>0</v>
      </c>
      <c r="AS120" t="s">
        <v>793</v>
      </c>
      <c r="AT120">
        <f>Inputs!J348</f>
        <v>0</v>
      </c>
      <c r="AU120" t="s">
        <v>151</v>
      </c>
      <c r="AV120">
        <f>Inputs!K348</f>
        <v>0</v>
      </c>
      <c r="AW120" t="s">
        <v>1118</v>
      </c>
      <c r="AX120">
        <f>Inputs!L348</f>
        <v>0</v>
      </c>
      <c r="AY120" t="s">
        <v>3373</v>
      </c>
      <c r="AZ120">
        <f>Inputs!M348</f>
        <v>0</v>
      </c>
      <c r="BA120" t="s">
        <v>3302</v>
      </c>
      <c r="BB120">
        <f>Inputs!N348</f>
        <v>0</v>
      </c>
      <c r="BC120" t="s">
        <v>5245</v>
      </c>
      <c r="BD120">
        <f>Inputs!O348</f>
        <v>0</v>
      </c>
      <c r="BE120" t="s">
        <v>719</v>
      </c>
      <c r="BF120">
        <f>Inputs!P348</f>
        <v>0</v>
      </c>
      <c r="BG120" t="s">
        <v>2333</v>
      </c>
      <c r="BH120">
        <f>Inputs!Q348</f>
        <v>0</v>
      </c>
      <c r="BI120" t="s">
        <v>3083</v>
      </c>
      <c r="BJ120">
        <f>Inputs!R348</f>
        <v>0</v>
      </c>
      <c r="BK120" t="s">
        <v>3106</v>
      </c>
      <c r="BL120">
        <f>Inputs!S348</f>
        <v>0</v>
      </c>
    </row>
    <row r="121" spans="1:64" ht="12.75" customHeight="1" x14ac:dyDescent="0.2">
      <c r="A121" t="s">
        <v>3009</v>
      </c>
      <c r="B121">
        <f>Inputs!T348</f>
        <v>0</v>
      </c>
      <c r="C121" t="s">
        <v>2123</v>
      </c>
      <c r="D121">
        <f>Inputs!U348</f>
        <v>0</v>
      </c>
      <c r="E121" t="s">
        <v>4046</v>
      </c>
      <c r="F121">
        <f>Inputs!V348</f>
        <v>0</v>
      </c>
      <c r="G121" t="s">
        <v>512</v>
      </c>
      <c r="H121">
        <f>Inputs!W348</f>
        <v>0</v>
      </c>
      <c r="I121" t="s">
        <v>4057</v>
      </c>
      <c r="J121">
        <f>Inputs!F357</f>
        <v>0</v>
      </c>
      <c r="K121" t="s">
        <v>4949</v>
      </c>
      <c r="L121">
        <f>Inputs!F360</f>
        <v>30</v>
      </c>
      <c r="M121" t="s">
        <v>1777</v>
      </c>
      <c r="N121">
        <f>Inputs!G360</f>
        <v>30</v>
      </c>
      <c r="O121" t="s">
        <v>3141</v>
      </c>
      <c r="P121">
        <f>Inputs!H360</f>
        <v>30</v>
      </c>
      <c r="Q121" t="s">
        <v>383</v>
      </c>
      <c r="R121">
        <f>Inputs!I360</f>
        <v>30</v>
      </c>
      <c r="S121" t="s">
        <v>5847</v>
      </c>
      <c r="T121">
        <f>Inputs!J360</f>
        <v>30</v>
      </c>
      <c r="U121" t="s">
        <v>1917</v>
      </c>
      <c r="V121">
        <f>Inputs!K360</f>
        <v>30</v>
      </c>
      <c r="W121" t="s">
        <v>92</v>
      </c>
      <c r="X121">
        <f>Inputs!L360</f>
        <v>30</v>
      </c>
      <c r="Y121" t="s">
        <v>634</v>
      </c>
      <c r="Z121">
        <f>Inputs!M360</f>
        <v>30</v>
      </c>
      <c r="AA121" t="s">
        <v>2106</v>
      </c>
      <c r="AB121">
        <f>Inputs!N360</f>
        <v>30</v>
      </c>
      <c r="AC121" t="s">
        <v>5861</v>
      </c>
      <c r="AD121">
        <f>Inputs!O360</f>
        <v>30</v>
      </c>
      <c r="AE121" t="s">
        <v>3647</v>
      </c>
      <c r="AF121">
        <f>Inputs!P360</f>
        <v>30</v>
      </c>
      <c r="AG121" t="s">
        <v>2122</v>
      </c>
      <c r="AH121">
        <f>Inputs!Q360</f>
        <v>30</v>
      </c>
      <c r="AI121" t="s">
        <v>927</v>
      </c>
      <c r="AJ121">
        <f>Inputs!R360</f>
        <v>30</v>
      </c>
      <c r="AK121" t="s">
        <v>4895</v>
      </c>
      <c r="AL121">
        <f>Inputs!S360</f>
        <v>30</v>
      </c>
      <c r="AM121" t="s">
        <v>4043</v>
      </c>
      <c r="AN121">
        <f>Inputs!T360</f>
        <v>30</v>
      </c>
      <c r="AO121" t="s">
        <v>2170</v>
      </c>
      <c r="AP121">
        <f>Inputs!U360</f>
        <v>30</v>
      </c>
      <c r="AQ121" t="s">
        <v>405</v>
      </c>
      <c r="AR121">
        <f>Inputs!V360</f>
        <v>30</v>
      </c>
      <c r="AS121" t="s">
        <v>2041</v>
      </c>
      <c r="AT121">
        <f>Inputs!W360</f>
        <v>30</v>
      </c>
      <c r="AU121" t="s">
        <v>4444</v>
      </c>
      <c r="AV121">
        <f>Inputs!F364</f>
        <v>0</v>
      </c>
      <c r="AW121" t="s">
        <v>3037</v>
      </c>
      <c r="AX121">
        <f>Inputs!F366</f>
        <v>60</v>
      </c>
      <c r="AY121" t="s">
        <v>3487</v>
      </c>
      <c r="AZ121">
        <f>Inputs!G366</f>
        <v>60</v>
      </c>
      <c r="BA121" t="s">
        <v>3080</v>
      </c>
      <c r="BB121">
        <f>Inputs!H366</f>
        <v>60</v>
      </c>
      <c r="BC121" t="s">
        <v>3209</v>
      </c>
      <c r="BD121">
        <f>Inputs!I366</f>
        <v>60</v>
      </c>
      <c r="BE121" t="s">
        <v>3063</v>
      </c>
      <c r="BF121">
        <f>Inputs!J366</f>
        <v>60</v>
      </c>
      <c r="BG121" t="s">
        <v>2325</v>
      </c>
      <c r="BH121">
        <f>Inputs!K366</f>
        <v>60</v>
      </c>
      <c r="BI121" t="s">
        <v>2666</v>
      </c>
      <c r="BJ121">
        <f>Inputs!L366</f>
        <v>60</v>
      </c>
      <c r="BK121" t="s">
        <v>550</v>
      </c>
      <c r="BL121">
        <f>Inputs!M366</f>
        <v>60</v>
      </c>
    </row>
    <row r="122" spans="1:64" ht="12.75" customHeight="1" x14ac:dyDescent="0.2">
      <c r="A122" t="s">
        <v>4374</v>
      </c>
      <c r="B122">
        <f>Inputs!N366</f>
        <v>60</v>
      </c>
      <c r="C122" t="s">
        <v>4177</v>
      </c>
      <c r="D122">
        <f>Inputs!O366</f>
        <v>60</v>
      </c>
      <c r="E122" t="s">
        <v>3292</v>
      </c>
      <c r="F122">
        <f>Inputs!P366</f>
        <v>60</v>
      </c>
      <c r="G122" t="s">
        <v>531</v>
      </c>
      <c r="H122">
        <f>Inputs!Q366</f>
        <v>60</v>
      </c>
      <c r="I122" t="s">
        <v>5342</v>
      </c>
      <c r="J122">
        <f>Inputs!R366</f>
        <v>60</v>
      </c>
      <c r="K122" t="s">
        <v>2417</v>
      </c>
      <c r="L122">
        <f>Inputs!S366</f>
        <v>60</v>
      </c>
      <c r="M122" t="s">
        <v>4019</v>
      </c>
      <c r="N122">
        <f>Inputs!T366</f>
        <v>60</v>
      </c>
      <c r="O122" t="s">
        <v>4393</v>
      </c>
      <c r="P122">
        <f>Inputs!U366</f>
        <v>60</v>
      </c>
      <c r="Q122" t="s">
        <v>4188</v>
      </c>
      <c r="R122">
        <f>Inputs!V366</f>
        <v>60</v>
      </c>
      <c r="S122" t="s">
        <v>4456</v>
      </c>
      <c r="T122">
        <f>Inputs!W366</f>
        <v>60</v>
      </c>
      <c r="U122" t="s">
        <v>3216</v>
      </c>
      <c r="V122" t="str">
        <f>Inputs!F373</f>
        <v>Tagged Asset 1</v>
      </c>
      <c r="W122" t="s">
        <v>4719</v>
      </c>
      <c r="X122">
        <f>Inputs!G373</f>
        <v>40725</v>
      </c>
      <c r="Y122" t="s">
        <v>2464</v>
      </c>
      <c r="Z122">
        <f>Inputs!H373</f>
        <v>0</v>
      </c>
      <c r="AA122" t="s">
        <v>778</v>
      </c>
      <c r="AB122" t="str">
        <f>Inputs!I373</f>
        <v>SLN</v>
      </c>
      <c r="AC122" t="s">
        <v>5669</v>
      </c>
      <c r="AD122">
        <f>Inputs!J373</f>
        <v>10</v>
      </c>
      <c r="AE122" t="s">
        <v>4340</v>
      </c>
      <c r="AF122">
        <f>Inputs!K373</f>
        <v>10</v>
      </c>
      <c r="AG122" t="s">
        <v>749</v>
      </c>
      <c r="AH122">
        <f>Inputs!L373</f>
        <v>0</v>
      </c>
      <c r="AI122" t="s">
        <v>4301</v>
      </c>
      <c r="AJ122" t="str">
        <f>Inputs!F374</f>
        <v>Tagged Asset 2</v>
      </c>
      <c r="AK122" t="s">
        <v>5595</v>
      </c>
      <c r="AL122">
        <f>Inputs!G374</f>
        <v>40725</v>
      </c>
      <c r="AM122" t="s">
        <v>284</v>
      </c>
      <c r="AN122">
        <f>Inputs!H374</f>
        <v>0</v>
      </c>
      <c r="AO122" t="s">
        <v>4356</v>
      </c>
      <c r="AP122" t="str">
        <f>Inputs!I374</f>
        <v>SLN</v>
      </c>
      <c r="AQ122" t="s">
        <v>257</v>
      </c>
      <c r="AR122">
        <f>Inputs!J374</f>
        <v>10</v>
      </c>
      <c r="AS122" t="s">
        <v>179</v>
      </c>
      <c r="AT122">
        <f>Inputs!K374</f>
        <v>10</v>
      </c>
      <c r="AU122" t="s">
        <v>728</v>
      </c>
      <c r="AV122">
        <f>Inputs!L374</f>
        <v>0</v>
      </c>
      <c r="AW122" t="s">
        <v>717</v>
      </c>
      <c r="AX122" t="str">
        <f>Inputs!F379</f>
        <v>Tagged Asset 1</v>
      </c>
      <c r="AY122" t="s">
        <v>4974</v>
      </c>
      <c r="AZ122" t="str">
        <f>Inputs!F380</f>
        <v>Tagged Asset 2</v>
      </c>
      <c r="BA122" t="s">
        <v>1083</v>
      </c>
      <c r="BB122">
        <f>Inputs!F383</f>
        <v>0</v>
      </c>
      <c r="BC122" t="s">
        <v>347</v>
      </c>
      <c r="BD122">
        <f>Inputs!G383</f>
        <v>0</v>
      </c>
      <c r="BE122" t="s">
        <v>122</v>
      </c>
      <c r="BF122">
        <f>Inputs!F384</f>
        <v>0</v>
      </c>
      <c r="BG122" t="s">
        <v>3455</v>
      </c>
      <c r="BH122">
        <f>Inputs!G384</f>
        <v>0</v>
      </c>
      <c r="BI122" t="s">
        <v>3930</v>
      </c>
      <c r="BJ122">
        <f>Inputs!F385</f>
        <v>0</v>
      </c>
      <c r="BK122" t="s">
        <v>699</v>
      </c>
      <c r="BL122">
        <f>Inputs!G385</f>
        <v>0</v>
      </c>
    </row>
    <row r="123" spans="1:64" ht="12.75" customHeight="1" x14ac:dyDescent="0.2">
      <c r="A123" t="s">
        <v>310</v>
      </c>
      <c r="B123">
        <f>Inputs!F386</f>
        <v>0</v>
      </c>
      <c r="C123" t="s">
        <v>3860</v>
      </c>
      <c r="D123">
        <f>Inputs!G386</f>
        <v>0</v>
      </c>
      <c r="E123" t="s">
        <v>1952</v>
      </c>
      <c r="F123">
        <f>Inputs!F387</f>
        <v>0</v>
      </c>
      <c r="G123" t="s">
        <v>3800</v>
      </c>
      <c r="H123">
        <f>Inputs!G387</f>
        <v>0</v>
      </c>
      <c r="I123" t="s">
        <v>147</v>
      </c>
      <c r="J123">
        <f>Inputs!F391</f>
        <v>0</v>
      </c>
      <c r="K123" t="s">
        <v>2843</v>
      </c>
      <c r="L123">
        <f>Inputs!F392</f>
        <v>0</v>
      </c>
      <c r="M123" t="s">
        <v>4103</v>
      </c>
      <c r="N123">
        <f>Inputs!J391</f>
        <v>2</v>
      </c>
      <c r="O123" t="s">
        <v>1971</v>
      </c>
      <c r="P123">
        <f>Inputs!J392</f>
        <v>2</v>
      </c>
      <c r="Q123" t="s">
        <v>5711</v>
      </c>
      <c r="R123">
        <f>Inputs!F395</f>
        <v>0</v>
      </c>
      <c r="S123" t="s">
        <v>3946</v>
      </c>
      <c r="T123">
        <f>Inputs!G395</f>
        <v>0</v>
      </c>
      <c r="U123" t="s">
        <v>4256</v>
      </c>
      <c r="V123">
        <f>Inputs!H395</f>
        <v>0</v>
      </c>
      <c r="W123" t="s">
        <v>5654</v>
      </c>
      <c r="X123">
        <f>Inputs!I395</f>
        <v>0</v>
      </c>
      <c r="Y123" t="s">
        <v>2594</v>
      </c>
      <c r="Z123">
        <f>Inputs!J395</f>
        <v>0</v>
      </c>
      <c r="AA123" t="s">
        <v>2853</v>
      </c>
      <c r="AB123">
        <f>Inputs!K395</f>
        <v>0</v>
      </c>
      <c r="AC123" t="s">
        <v>2896</v>
      </c>
      <c r="AD123">
        <f>Inputs!L395</f>
        <v>0</v>
      </c>
      <c r="AE123" t="s">
        <v>3610</v>
      </c>
      <c r="AF123">
        <f>Inputs!M395</f>
        <v>0</v>
      </c>
      <c r="AG123" t="s">
        <v>3011</v>
      </c>
      <c r="AH123">
        <f>Inputs!N395</f>
        <v>0</v>
      </c>
      <c r="AI123" t="s">
        <v>2374</v>
      </c>
      <c r="AJ123">
        <f>Inputs!O395</f>
        <v>0</v>
      </c>
      <c r="AK123" t="s">
        <v>5418</v>
      </c>
      <c r="AL123">
        <f>Inputs!P395</f>
        <v>0</v>
      </c>
      <c r="AM123" t="s">
        <v>3707</v>
      </c>
      <c r="AN123">
        <f>Inputs!Q395</f>
        <v>0</v>
      </c>
      <c r="AO123" t="s">
        <v>2529</v>
      </c>
      <c r="AP123">
        <f>Inputs!R395</f>
        <v>0</v>
      </c>
      <c r="AQ123" t="s">
        <v>1635</v>
      </c>
      <c r="AR123">
        <f>Inputs!S395</f>
        <v>0</v>
      </c>
      <c r="AS123" t="s">
        <v>1877</v>
      </c>
      <c r="AT123">
        <f>Inputs!T395</f>
        <v>0</v>
      </c>
      <c r="AU123" t="s">
        <v>3311</v>
      </c>
      <c r="AV123">
        <f>Inputs!U395</f>
        <v>0</v>
      </c>
      <c r="AW123" t="s">
        <v>4708</v>
      </c>
      <c r="AX123">
        <f>Inputs!V395</f>
        <v>0</v>
      </c>
      <c r="AY123" t="s">
        <v>4288</v>
      </c>
      <c r="AZ123">
        <f>Inputs!W395</f>
        <v>0</v>
      </c>
      <c r="BA123" t="s">
        <v>5509</v>
      </c>
      <c r="BB123">
        <f>Inputs!F396</f>
        <v>0</v>
      </c>
      <c r="BC123" t="s">
        <v>5575</v>
      </c>
      <c r="BD123">
        <f>Inputs!G396</f>
        <v>0</v>
      </c>
      <c r="BE123" t="s">
        <v>2647</v>
      </c>
      <c r="BF123">
        <f>Inputs!H396</f>
        <v>0</v>
      </c>
      <c r="BG123" t="s">
        <v>2043</v>
      </c>
      <c r="BH123">
        <f>Inputs!I396</f>
        <v>0</v>
      </c>
      <c r="BI123" t="s">
        <v>3799</v>
      </c>
      <c r="BJ123">
        <f>Inputs!J396</f>
        <v>0</v>
      </c>
      <c r="BK123" t="s">
        <v>4446</v>
      </c>
      <c r="BL123">
        <f>Inputs!K396</f>
        <v>0</v>
      </c>
    </row>
    <row r="124" spans="1:64" ht="12.75" customHeight="1" x14ac:dyDescent="0.2">
      <c r="A124" t="s">
        <v>4694</v>
      </c>
      <c r="B124">
        <f>Inputs!L396</f>
        <v>0</v>
      </c>
      <c r="C124" t="s">
        <v>4930</v>
      </c>
      <c r="D124">
        <f>Inputs!M396</f>
        <v>0</v>
      </c>
      <c r="E124" t="s">
        <v>4591</v>
      </c>
      <c r="F124">
        <f>Inputs!N396</f>
        <v>0</v>
      </c>
      <c r="G124" t="s">
        <v>1428</v>
      </c>
      <c r="H124">
        <f>Inputs!O396</f>
        <v>0</v>
      </c>
      <c r="I124" t="s">
        <v>5578</v>
      </c>
      <c r="J124">
        <f>Inputs!P396</f>
        <v>0</v>
      </c>
      <c r="K124" t="s">
        <v>5256</v>
      </c>
      <c r="L124">
        <f>Inputs!Q396</f>
        <v>0</v>
      </c>
      <c r="M124" t="s">
        <v>1619</v>
      </c>
      <c r="N124">
        <f>Inputs!R396</f>
        <v>0</v>
      </c>
      <c r="O124" t="s">
        <v>2244</v>
      </c>
      <c r="P124">
        <f>Inputs!S396</f>
        <v>0</v>
      </c>
      <c r="Q124" t="s">
        <v>2166</v>
      </c>
      <c r="R124">
        <f>Inputs!T396</f>
        <v>0</v>
      </c>
      <c r="S124" t="s">
        <v>2415</v>
      </c>
      <c r="T124">
        <f>Inputs!U396</f>
        <v>0</v>
      </c>
      <c r="U124" t="s">
        <v>434</v>
      </c>
      <c r="V124">
        <f>Inputs!V396</f>
        <v>0</v>
      </c>
      <c r="W124" t="s">
        <v>356</v>
      </c>
      <c r="X124">
        <f>Inputs!W396</f>
        <v>0</v>
      </c>
      <c r="Y124" t="s">
        <v>1040</v>
      </c>
      <c r="Z124">
        <f>Inputs!F406</f>
        <v>0</v>
      </c>
      <c r="AA124" t="s">
        <v>4751</v>
      </c>
      <c r="AB124">
        <f>Inputs!F407</f>
        <v>0</v>
      </c>
      <c r="AC124" t="s">
        <v>4322</v>
      </c>
      <c r="AD124">
        <f>Inputs!F408</f>
        <v>0</v>
      </c>
      <c r="AE124" t="s">
        <v>1705</v>
      </c>
      <c r="AF124">
        <f>Inputs!G410</f>
        <v>30</v>
      </c>
      <c r="AG124" t="s">
        <v>2654</v>
      </c>
      <c r="AH124">
        <f>Inputs!H410</f>
        <v>30</v>
      </c>
      <c r="AI124" t="s">
        <v>396</v>
      </c>
      <c r="AJ124">
        <f>Inputs!I410</f>
        <v>30</v>
      </c>
      <c r="AK124" t="s">
        <v>2022</v>
      </c>
      <c r="AL124">
        <f>Inputs!J410</f>
        <v>30</v>
      </c>
      <c r="AM124" t="s">
        <v>810</v>
      </c>
      <c r="AN124">
        <f>Inputs!K410</f>
        <v>30</v>
      </c>
      <c r="AO124" t="s">
        <v>4081</v>
      </c>
      <c r="AP124">
        <f>Inputs!L410</f>
        <v>30</v>
      </c>
      <c r="AQ124" t="s">
        <v>5671</v>
      </c>
      <c r="AR124">
        <f>Inputs!M410</f>
        <v>30</v>
      </c>
      <c r="AS124" t="s">
        <v>889</v>
      </c>
      <c r="AT124">
        <f>Inputs!N410</f>
        <v>30</v>
      </c>
      <c r="AU124" t="s">
        <v>4919</v>
      </c>
      <c r="AV124">
        <f>Inputs!O410</f>
        <v>30</v>
      </c>
      <c r="AW124" t="s">
        <v>104</v>
      </c>
      <c r="AX124">
        <f>Inputs!P410</f>
        <v>30</v>
      </c>
      <c r="AY124" t="s">
        <v>3674</v>
      </c>
      <c r="AZ124">
        <f>Inputs!Q410</f>
        <v>30</v>
      </c>
      <c r="BA124" t="s">
        <v>4657</v>
      </c>
      <c r="BB124">
        <f>Inputs!R410</f>
        <v>30</v>
      </c>
      <c r="BC124" t="s">
        <v>875</v>
      </c>
      <c r="BD124">
        <f>Inputs!S410</f>
        <v>30</v>
      </c>
      <c r="BE124" t="s">
        <v>1981</v>
      </c>
      <c r="BF124">
        <f>Inputs!T410</f>
        <v>30</v>
      </c>
      <c r="BG124" t="s">
        <v>5505</v>
      </c>
      <c r="BH124">
        <f>Inputs!U410</f>
        <v>30</v>
      </c>
      <c r="BI124" t="s">
        <v>4214</v>
      </c>
      <c r="BJ124">
        <f>Inputs!V410</f>
        <v>30</v>
      </c>
      <c r="BK124" t="s">
        <v>3361</v>
      </c>
      <c r="BL124">
        <f>Inputs!W410</f>
        <v>30</v>
      </c>
    </row>
    <row r="125" spans="1:64" ht="12.75" customHeight="1" x14ac:dyDescent="0.2">
      <c r="A125" t="s">
        <v>3032</v>
      </c>
      <c r="B125">
        <f>Inputs!X410</f>
        <v>30</v>
      </c>
      <c r="C125" t="s">
        <v>1792</v>
      </c>
      <c r="D125">
        <f>Inputs!G411</f>
        <v>30</v>
      </c>
      <c r="E125" t="s">
        <v>694</v>
      </c>
      <c r="F125">
        <f>Inputs!H411</f>
        <v>30</v>
      </c>
      <c r="G125" t="s">
        <v>4845</v>
      </c>
      <c r="H125">
        <f>Inputs!I411</f>
        <v>30</v>
      </c>
      <c r="I125" t="s">
        <v>2992</v>
      </c>
      <c r="J125">
        <f>Inputs!J411</f>
        <v>30</v>
      </c>
      <c r="K125" t="s">
        <v>4853</v>
      </c>
      <c r="L125">
        <f>Inputs!K411</f>
        <v>30</v>
      </c>
      <c r="M125" t="s">
        <v>5569</v>
      </c>
      <c r="N125">
        <f>Inputs!L411</f>
        <v>30</v>
      </c>
      <c r="O125" t="s">
        <v>5820</v>
      </c>
      <c r="P125">
        <f>Inputs!M411</f>
        <v>30</v>
      </c>
      <c r="Q125" t="s">
        <v>1301</v>
      </c>
      <c r="R125">
        <f>Inputs!N411</f>
        <v>30</v>
      </c>
      <c r="S125" t="s">
        <v>2747</v>
      </c>
      <c r="T125">
        <f>Inputs!O411</f>
        <v>30</v>
      </c>
      <c r="U125" t="s">
        <v>5329</v>
      </c>
      <c r="V125">
        <f>Inputs!P411</f>
        <v>30</v>
      </c>
      <c r="W125" t="s">
        <v>3773</v>
      </c>
      <c r="X125">
        <f>Inputs!Q411</f>
        <v>30</v>
      </c>
      <c r="Y125" t="s">
        <v>141</v>
      </c>
      <c r="Z125">
        <f>Inputs!R411</f>
        <v>30</v>
      </c>
      <c r="AA125" t="s">
        <v>1654</v>
      </c>
      <c r="AB125">
        <f>Inputs!S411</f>
        <v>30</v>
      </c>
      <c r="AC125" t="s">
        <v>3905</v>
      </c>
      <c r="AD125">
        <f>Inputs!T411</f>
        <v>30</v>
      </c>
      <c r="AE125" t="s">
        <v>2757</v>
      </c>
      <c r="AF125">
        <f>Inputs!U411</f>
        <v>30</v>
      </c>
      <c r="AG125" t="s">
        <v>3118</v>
      </c>
      <c r="AH125">
        <f>Inputs!V411</f>
        <v>30</v>
      </c>
      <c r="AI125" t="s">
        <v>4093</v>
      </c>
      <c r="AJ125">
        <f>Inputs!W411</f>
        <v>30</v>
      </c>
      <c r="AK125" t="s">
        <v>3134</v>
      </c>
      <c r="AL125">
        <f>Inputs!X411</f>
        <v>30</v>
      </c>
      <c r="AM125" t="s">
        <v>3955</v>
      </c>
      <c r="AN125">
        <f>Inputs!G412</f>
        <v>30</v>
      </c>
      <c r="AO125" t="s">
        <v>4624</v>
      </c>
      <c r="AP125">
        <f>Inputs!H412</f>
        <v>30</v>
      </c>
      <c r="AQ125" t="s">
        <v>2252</v>
      </c>
      <c r="AR125">
        <f>Inputs!I412</f>
        <v>30</v>
      </c>
      <c r="AS125" t="s">
        <v>503</v>
      </c>
      <c r="AT125">
        <f>Inputs!J412</f>
        <v>30</v>
      </c>
      <c r="AU125" t="s">
        <v>3961</v>
      </c>
      <c r="AV125">
        <f>Inputs!K412</f>
        <v>30</v>
      </c>
      <c r="AW125" t="s">
        <v>2483</v>
      </c>
      <c r="AX125">
        <f>Inputs!L412</f>
        <v>30</v>
      </c>
      <c r="AY125" t="s">
        <v>2442</v>
      </c>
      <c r="AZ125">
        <f>Inputs!M412</f>
        <v>30</v>
      </c>
      <c r="BA125" t="s">
        <v>3819</v>
      </c>
      <c r="BB125">
        <f>Inputs!N412</f>
        <v>30</v>
      </c>
      <c r="BC125" t="s">
        <v>1127</v>
      </c>
      <c r="BD125">
        <f>Inputs!O412</f>
        <v>30</v>
      </c>
      <c r="BE125" t="s">
        <v>1115</v>
      </c>
      <c r="BF125">
        <f>Inputs!P412</f>
        <v>30</v>
      </c>
      <c r="BG125" t="s">
        <v>4054</v>
      </c>
      <c r="BH125">
        <f>Inputs!Q412</f>
        <v>30</v>
      </c>
      <c r="BI125" t="s">
        <v>3192</v>
      </c>
      <c r="BJ125">
        <f>Inputs!R412</f>
        <v>30</v>
      </c>
      <c r="BK125" t="s">
        <v>880</v>
      </c>
      <c r="BL125">
        <f>Inputs!S412</f>
        <v>30</v>
      </c>
    </row>
    <row r="126" spans="1:64" ht="12.75" customHeight="1" x14ac:dyDescent="0.2">
      <c r="A126" t="s">
        <v>5099</v>
      </c>
      <c r="B126">
        <f>Inputs!T412</f>
        <v>30</v>
      </c>
      <c r="C126" t="s">
        <v>3335</v>
      </c>
      <c r="D126">
        <f>Inputs!U412</f>
        <v>30</v>
      </c>
      <c r="E126" t="s">
        <v>2623</v>
      </c>
      <c r="F126">
        <f>Inputs!V412</f>
        <v>30</v>
      </c>
      <c r="G126" t="s">
        <v>123</v>
      </c>
      <c r="H126">
        <f>Inputs!W412</f>
        <v>30</v>
      </c>
      <c r="I126" t="s">
        <v>4560</v>
      </c>
      <c r="J126">
        <f>Inputs!X412</f>
        <v>30</v>
      </c>
      <c r="K126" t="s">
        <v>4523</v>
      </c>
      <c r="L126">
        <f>Inputs!F414</f>
        <v>0</v>
      </c>
      <c r="M126" t="s">
        <v>2579</v>
      </c>
      <c r="N126">
        <f>Inputs!G414</f>
        <v>0</v>
      </c>
      <c r="O126" t="s">
        <v>1807</v>
      </c>
      <c r="P126">
        <f>Inputs!H414</f>
        <v>0</v>
      </c>
      <c r="Q126" t="s">
        <v>469</v>
      </c>
      <c r="R126">
        <f>Inputs!I414</f>
        <v>217338.70967741936</v>
      </c>
      <c r="S126" t="s">
        <v>272</v>
      </c>
      <c r="T126">
        <f>Inputs!J414</f>
        <v>118250</v>
      </c>
      <c r="U126" t="s">
        <v>401</v>
      </c>
      <c r="V126">
        <f>Inputs!K414</f>
        <v>0</v>
      </c>
      <c r="W126" t="s">
        <v>4507</v>
      </c>
      <c r="X126">
        <f>Inputs!L414</f>
        <v>0</v>
      </c>
      <c r="Y126" t="s">
        <v>3545</v>
      </c>
      <c r="Z126">
        <f>Inputs!M414</f>
        <v>0</v>
      </c>
      <c r="AA126" t="s">
        <v>636</v>
      </c>
      <c r="AB126">
        <f>Inputs!N414</f>
        <v>0</v>
      </c>
      <c r="AC126" t="s">
        <v>341</v>
      </c>
      <c r="AD126">
        <f>Inputs!O414</f>
        <v>0</v>
      </c>
      <c r="AE126" t="s">
        <v>3338</v>
      </c>
      <c r="AF126">
        <f>Inputs!P414</f>
        <v>0</v>
      </c>
      <c r="AG126" t="s">
        <v>4494</v>
      </c>
      <c r="AH126">
        <f>Inputs!Q414</f>
        <v>0</v>
      </c>
      <c r="AI126" t="s">
        <v>1197</v>
      </c>
      <c r="AJ126">
        <f>Inputs!R414</f>
        <v>0</v>
      </c>
      <c r="AK126" t="s">
        <v>773</v>
      </c>
      <c r="AL126">
        <f>Inputs!S414</f>
        <v>0</v>
      </c>
      <c r="AM126" t="s">
        <v>3935</v>
      </c>
      <c r="AN126">
        <f>Inputs!T414</f>
        <v>0</v>
      </c>
      <c r="AO126" t="s">
        <v>4024</v>
      </c>
      <c r="AP126">
        <f>Inputs!U414</f>
        <v>0</v>
      </c>
      <c r="AQ126" t="s">
        <v>1483</v>
      </c>
      <c r="AR126">
        <f>Inputs!V414</f>
        <v>0</v>
      </c>
      <c r="AS126" t="s">
        <v>4047</v>
      </c>
      <c r="AT126">
        <f>Inputs!W414</f>
        <v>0</v>
      </c>
      <c r="AU126" t="s">
        <v>1025</v>
      </c>
      <c r="AV126">
        <f>Inputs!X414</f>
        <v>0</v>
      </c>
      <c r="AW126" t="s">
        <v>5286</v>
      </c>
      <c r="AX126">
        <f>Inputs!F421</f>
        <v>0</v>
      </c>
      <c r="AY126" t="s">
        <v>4440</v>
      </c>
      <c r="AZ126">
        <f>Inputs!G421</f>
        <v>0</v>
      </c>
      <c r="BA126" t="s">
        <v>4737</v>
      </c>
      <c r="BB126">
        <f>Inputs!H421</f>
        <v>0</v>
      </c>
      <c r="BC126" t="s">
        <v>2692</v>
      </c>
      <c r="BD126">
        <f>Inputs!I421</f>
        <v>0</v>
      </c>
      <c r="BE126" t="s">
        <v>4607</v>
      </c>
      <c r="BF126">
        <f>Inputs!J421</f>
        <v>0</v>
      </c>
      <c r="BG126" t="s">
        <v>1075</v>
      </c>
      <c r="BH126">
        <f>Inputs!K421</f>
        <v>0</v>
      </c>
      <c r="BI126" t="s">
        <v>275</v>
      </c>
      <c r="BJ126">
        <f>Inputs!L421</f>
        <v>0</v>
      </c>
      <c r="BK126" t="s">
        <v>2480</v>
      </c>
      <c r="BL126">
        <f>Inputs!M421</f>
        <v>0</v>
      </c>
    </row>
    <row r="127" spans="1:64" ht="12.75" customHeight="1" x14ac:dyDescent="0.2">
      <c r="A127" t="s">
        <v>3426</v>
      </c>
      <c r="B127">
        <f>Inputs!N421</f>
        <v>0</v>
      </c>
      <c r="C127" t="s">
        <v>1883</v>
      </c>
      <c r="D127">
        <f>Inputs!O421</f>
        <v>0</v>
      </c>
      <c r="E127" t="s">
        <v>129</v>
      </c>
      <c r="F127">
        <f>Inputs!P421</f>
        <v>0</v>
      </c>
      <c r="G127" t="s">
        <v>5129</v>
      </c>
      <c r="H127">
        <f>Inputs!Q421</f>
        <v>0</v>
      </c>
      <c r="I127" t="s">
        <v>759</v>
      </c>
      <c r="J127">
        <f>Inputs!R421</f>
        <v>0</v>
      </c>
      <c r="K127" t="s">
        <v>3334</v>
      </c>
      <c r="L127">
        <f>Inputs!S421</f>
        <v>0</v>
      </c>
      <c r="M127" t="s">
        <v>4090</v>
      </c>
      <c r="N127">
        <f>Inputs!T421</f>
        <v>0</v>
      </c>
      <c r="O127" t="s">
        <v>4797</v>
      </c>
      <c r="P127">
        <f>Inputs!U421</f>
        <v>0</v>
      </c>
      <c r="Q127" t="s">
        <v>5171</v>
      </c>
      <c r="R127">
        <f>Inputs!V421</f>
        <v>0</v>
      </c>
      <c r="S127" t="s">
        <v>3186</v>
      </c>
      <c r="T127">
        <f>Inputs!W421</f>
        <v>0</v>
      </c>
      <c r="U127" t="s">
        <v>2063</v>
      </c>
      <c r="V127">
        <f>Inputs!X421</f>
        <v>0</v>
      </c>
      <c r="W127" t="s">
        <v>2835</v>
      </c>
      <c r="X127">
        <f>Inputs!F430</f>
        <v>0</v>
      </c>
      <c r="Y127" t="s">
        <v>4993</v>
      </c>
      <c r="Z127">
        <f>Inputs!G430</f>
        <v>0</v>
      </c>
      <c r="AA127" t="s">
        <v>1041</v>
      </c>
      <c r="AB127">
        <f>Inputs!H430</f>
        <v>0</v>
      </c>
      <c r="AC127" t="s">
        <v>912</v>
      </c>
      <c r="AD127">
        <f>Inputs!I430</f>
        <v>0</v>
      </c>
      <c r="AE127" t="s">
        <v>5288</v>
      </c>
      <c r="AF127">
        <f>Inputs!J430</f>
        <v>0</v>
      </c>
      <c r="AG127" t="s">
        <v>1622</v>
      </c>
      <c r="AH127">
        <f>Inputs!K430</f>
        <v>0</v>
      </c>
      <c r="AI127" t="s">
        <v>4375</v>
      </c>
      <c r="AJ127">
        <f>Inputs!L430</f>
        <v>0</v>
      </c>
      <c r="AK127" t="s">
        <v>2137</v>
      </c>
      <c r="AL127">
        <f>Inputs!M430</f>
        <v>0</v>
      </c>
      <c r="AM127" t="s">
        <v>816</v>
      </c>
      <c r="AN127">
        <f>Inputs!N430</f>
        <v>0</v>
      </c>
      <c r="AO127" t="s">
        <v>2725</v>
      </c>
      <c r="AP127">
        <f>Inputs!O430</f>
        <v>0</v>
      </c>
      <c r="AQ127" t="s">
        <v>4348</v>
      </c>
      <c r="AR127">
        <f>Inputs!P430</f>
        <v>0</v>
      </c>
      <c r="AS127" t="s">
        <v>3204</v>
      </c>
      <c r="AT127">
        <f>Inputs!Q430</f>
        <v>0</v>
      </c>
      <c r="AU127" t="s">
        <v>5532</v>
      </c>
      <c r="AV127">
        <f>Inputs!R430</f>
        <v>0</v>
      </c>
      <c r="AW127" t="s">
        <v>1933</v>
      </c>
      <c r="AX127">
        <f>Inputs!S430</f>
        <v>0</v>
      </c>
      <c r="AY127" t="s">
        <v>3541</v>
      </c>
      <c r="AZ127">
        <f>Inputs!T430</f>
        <v>0</v>
      </c>
      <c r="BA127" t="s">
        <v>1217</v>
      </c>
      <c r="BB127">
        <f>Inputs!U430</f>
        <v>0</v>
      </c>
      <c r="BC127" t="s">
        <v>4213</v>
      </c>
      <c r="BD127">
        <f>Inputs!V430</f>
        <v>0</v>
      </c>
      <c r="BE127" t="s">
        <v>4454</v>
      </c>
      <c r="BF127">
        <f>Inputs!W430</f>
        <v>0</v>
      </c>
      <c r="BG127" t="s">
        <v>3529</v>
      </c>
      <c r="BH127">
        <f>Inputs!X430</f>
        <v>0</v>
      </c>
      <c r="BI127" t="s">
        <v>2327</v>
      </c>
      <c r="BJ127">
        <f>Inputs!G432</f>
        <v>0</v>
      </c>
      <c r="BK127" t="s">
        <v>3732</v>
      </c>
      <c r="BL127">
        <f>Inputs!H432</f>
        <v>0</v>
      </c>
    </row>
    <row r="128" spans="1:64" ht="12.75" customHeight="1" x14ac:dyDescent="0.2">
      <c r="A128" t="s">
        <v>161</v>
      </c>
      <c r="B128">
        <f>Inputs!I432</f>
        <v>0</v>
      </c>
      <c r="C128" t="s">
        <v>5289</v>
      </c>
      <c r="D128">
        <f>Inputs!J432</f>
        <v>0</v>
      </c>
      <c r="E128" t="s">
        <v>1758</v>
      </c>
      <c r="F128">
        <f>Inputs!K432</f>
        <v>0</v>
      </c>
      <c r="G128" t="s">
        <v>1084</v>
      </c>
      <c r="H128">
        <f>Inputs!L432</f>
        <v>0</v>
      </c>
      <c r="I128" t="s">
        <v>4810</v>
      </c>
      <c r="J128">
        <f>Inputs!M432</f>
        <v>0</v>
      </c>
      <c r="K128" t="s">
        <v>3837</v>
      </c>
      <c r="L128">
        <f>Inputs!N432</f>
        <v>0</v>
      </c>
      <c r="M128" t="s">
        <v>1151</v>
      </c>
      <c r="N128">
        <f>Inputs!O432</f>
        <v>0</v>
      </c>
      <c r="O128" t="s">
        <v>1771</v>
      </c>
      <c r="P128">
        <f>Inputs!P432</f>
        <v>0</v>
      </c>
      <c r="Q128" t="s">
        <v>5047</v>
      </c>
      <c r="R128">
        <f>Inputs!Q432</f>
        <v>0</v>
      </c>
      <c r="S128" t="s">
        <v>5029</v>
      </c>
      <c r="T128">
        <f>Inputs!R432</f>
        <v>0</v>
      </c>
      <c r="U128" t="s">
        <v>4413</v>
      </c>
      <c r="V128">
        <f>Inputs!S432</f>
        <v>0</v>
      </c>
      <c r="W128" t="s">
        <v>1143</v>
      </c>
      <c r="X128">
        <f>Inputs!T432</f>
        <v>0</v>
      </c>
      <c r="Y128" t="s">
        <v>4062</v>
      </c>
      <c r="Z128">
        <f>Inputs!U432</f>
        <v>0</v>
      </c>
      <c r="AA128" t="s">
        <v>5400</v>
      </c>
      <c r="AB128">
        <f>Inputs!V432</f>
        <v>0</v>
      </c>
      <c r="AC128" t="s">
        <v>1079</v>
      </c>
      <c r="AD128">
        <f>Inputs!W432</f>
        <v>0</v>
      </c>
      <c r="AE128" t="s">
        <v>4346</v>
      </c>
      <c r="AF128">
        <f>Inputs!X432</f>
        <v>0</v>
      </c>
      <c r="AG128" t="s">
        <v>1061</v>
      </c>
      <c r="AH128">
        <f>Inputs!F439</f>
        <v>1</v>
      </c>
      <c r="AI128" t="s">
        <v>2905</v>
      </c>
      <c r="AJ128">
        <f>Inputs!G439</f>
        <v>1</v>
      </c>
      <c r="AK128" t="s">
        <v>686</v>
      </c>
      <c r="AL128">
        <f>Inputs!H439</f>
        <v>1</v>
      </c>
      <c r="AM128" t="s">
        <v>30</v>
      </c>
      <c r="AN128">
        <f>Inputs!I439</f>
        <v>1</v>
      </c>
      <c r="AO128" t="s">
        <v>1426</v>
      </c>
      <c r="AP128">
        <f>Inputs!J439</f>
        <v>1</v>
      </c>
      <c r="AQ128" t="s">
        <v>2683</v>
      </c>
      <c r="AR128">
        <f>Inputs!K439</f>
        <v>1</v>
      </c>
      <c r="AS128" t="s">
        <v>5544</v>
      </c>
      <c r="AT128">
        <f>Inputs!L439</f>
        <v>1</v>
      </c>
      <c r="AU128" t="s">
        <v>2748</v>
      </c>
      <c r="AV128">
        <f>Inputs!M439</f>
        <v>1</v>
      </c>
      <c r="AW128" t="s">
        <v>23</v>
      </c>
      <c r="AX128">
        <f>Inputs!N439</f>
        <v>1</v>
      </c>
      <c r="AY128" t="s">
        <v>3832</v>
      </c>
      <c r="AZ128">
        <f>Inputs!O439</f>
        <v>1</v>
      </c>
      <c r="BA128" t="s">
        <v>3085</v>
      </c>
      <c r="BB128">
        <f>Inputs!P439</f>
        <v>1</v>
      </c>
      <c r="BC128" t="s">
        <v>4849</v>
      </c>
      <c r="BD128">
        <f>Inputs!Q439</f>
        <v>1</v>
      </c>
      <c r="BE128" t="s">
        <v>2381</v>
      </c>
      <c r="BF128">
        <f>Inputs!R439</f>
        <v>1</v>
      </c>
      <c r="BG128" t="s">
        <v>5420</v>
      </c>
      <c r="BH128">
        <f>Inputs!S439</f>
        <v>1</v>
      </c>
      <c r="BI128" t="s">
        <v>1580</v>
      </c>
      <c r="BJ128">
        <f>Inputs!T439</f>
        <v>1</v>
      </c>
      <c r="BK128" t="s">
        <v>3727</v>
      </c>
      <c r="BL128">
        <f>Inputs!U439</f>
        <v>1</v>
      </c>
    </row>
    <row r="129" spans="1:16" ht="12.75" customHeight="1" x14ac:dyDescent="0.2">
      <c r="A129" t="s">
        <v>4729</v>
      </c>
      <c r="B129">
        <f>Inputs!V439</f>
        <v>1</v>
      </c>
      <c r="C129" t="s">
        <v>48</v>
      </c>
      <c r="D129">
        <f>Inputs!W439</f>
        <v>1</v>
      </c>
      <c r="E129" t="s">
        <v>1137</v>
      </c>
      <c r="F129">
        <f>Inputs!F440</f>
        <v>0</v>
      </c>
      <c r="G129" t="s">
        <v>5643</v>
      </c>
      <c r="H129">
        <f>Inputs!F441</f>
        <v>0</v>
      </c>
      <c r="I129" t="s">
        <v>1938</v>
      </c>
      <c r="J129">
        <f>Inputs!F443</f>
        <v>0</v>
      </c>
      <c r="K129" t="s">
        <v>1593</v>
      </c>
      <c r="L129">
        <f>Inputs!F444</f>
        <v>0</v>
      </c>
      <c r="M129" t="s">
        <v>3328</v>
      </c>
      <c r="N129">
        <f>'(Tables)'!B1328</f>
        <v>9</v>
      </c>
      <c r="O129" t="s">
        <v>776</v>
      </c>
      <c r="P129">
        <f>'(Tables)'!B1329</f>
        <v>9</v>
      </c>
    </row>
  </sheetData>
  <pageMargins left="0.75" right="0.75" top="1" bottom="1" header="0.5" footer="0.5"/>
  <pageSetup paperSize="9" orientation="portrait" horizontalDpi="300" verticalDpi="300"/>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pageSetUpPr fitToPage="1"/>
  </sheetPr>
  <dimension ref="A1:AD447"/>
  <sheetViews>
    <sheetView zoomScaleNormal="100" workbookViewId="0">
      <selection sqref="A1:C1"/>
    </sheetView>
  </sheetViews>
  <sheetFormatPr defaultRowHeight="12.75" customHeight="1" outlineLevelRow="3" x14ac:dyDescent="0.2"/>
  <cols>
    <col min="1" max="1" width="28" customWidth="1"/>
    <col min="2" max="2" width="15.85546875" customWidth="1"/>
    <col min="3" max="3" width="13" customWidth="1"/>
    <col min="4" max="5" width="12.42578125" customWidth="1"/>
    <col min="6" max="6" width="13.85546875" customWidth="1"/>
    <col min="7" max="7" width="14.7109375" customWidth="1"/>
    <col min="8" max="8" width="17.140625" customWidth="1"/>
    <col min="9" max="9" width="15.42578125" customWidth="1"/>
    <col min="10" max="10" width="12.42578125" customWidth="1"/>
    <col min="11" max="11" width="14.85546875" customWidth="1"/>
    <col min="12" max="24" width="12.42578125" customWidth="1"/>
    <col min="25" max="25" width="23.5703125" customWidth="1"/>
    <col min="26" max="30" width="12.42578125" customWidth="1"/>
  </cols>
  <sheetData>
    <row r="1" spans="1:8" ht="12.75" customHeight="1" x14ac:dyDescent="0.2">
      <c r="A1" s="463" t="str">
        <f>F7</f>
        <v xml:space="preserve"> </v>
      </c>
      <c r="B1" s="463"/>
      <c r="C1" s="463"/>
    </row>
    <row r="2" spans="1:8" ht="12.75" customHeight="1" x14ac:dyDescent="0.2">
      <c r="A2" s="463" t="e">
        <f>TEXT('(FnCalls 1)'!A41,"m/d/yyyy")&amp;" to "&amp;TEXT('(FnCalls 1)'!A59-1,"m/d/yyyy")</f>
        <v>#VALUE!</v>
      </c>
      <c r="B2" s="463"/>
      <c r="C2" s="463"/>
    </row>
    <row r="3" spans="1:8" ht="12.75" customHeight="1" x14ac:dyDescent="0.2">
      <c r="A3" s="463" t="str">
        <f>"Input Data"</f>
        <v>Input Data</v>
      </c>
      <c r="B3" s="463"/>
      <c r="C3" s="463"/>
    </row>
    <row r="4" spans="1:8" ht="12.75" customHeight="1" x14ac:dyDescent="0.2">
      <c r="A4" s="463" t="str">
        <f>""</f>
        <v/>
      </c>
      <c r="B4" s="463"/>
      <c r="C4" s="463"/>
    </row>
    <row r="5" spans="1:8" ht="12.75" customHeight="1" x14ac:dyDescent="0.2">
      <c r="A5" s="462" t="str">
        <f>"Shaded cells are input cells. You can enter data in them."</f>
        <v>Shaded cells are input cells. You can enter data in them.</v>
      </c>
      <c r="B5" s="462"/>
      <c r="C5" s="462"/>
      <c r="D5" s="462"/>
      <c r="E5" s="462"/>
    </row>
    <row r="6" spans="1:8" ht="12.75" customHeight="1" x14ac:dyDescent="0.2">
      <c r="A6" s="462" t="str">
        <f>"Formulas in shaded cells are starting suggestions. You can overwrite them."</f>
        <v>Formulas in shaded cells are starting suggestions. You can overwrite them.</v>
      </c>
      <c r="B6" s="462"/>
      <c r="C6" s="462"/>
      <c r="D6" s="462"/>
      <c r="E6" s="462"/>
    </row>
    <row r="7" spans="1:8" ht="12.75" customHeight="1" x14ac:dyDescent="0.2">
      <c r="A7" s="5" t="str">
        <f>Labels!B41</f>
        <v>Company Name</v>
      </c>
      <c r="B7" s="6"/>
      <c r="C7" s="6"/>
      <c r="D7" s="6"/>
      <c r="E7" s="7"/>
      <c r="F7" s="8" t="s">
        <v>2963</v>
      </c>
    </row>
    <row r="10" spans="1:8" ht="12.75" customHeight="1" collapsed="1" x14ac:dyDescent="0.2">
      <c r="A10" s="464" t="str">
        <f>"Major Engagements"</f>
        <v>Major Engagements</v>
      </c>
      <c r="B10" s="464"/>
    </row>
    <row r="11" spans="1:8" ht="12.75" hidden="1" customHeight="1" outlineLevel="1" x14ac:dyDescent="0.2">
      <c r="A11" s="1" t="str">
        <f>""</f>
        <v/>
      </c>
    </row>
    <row r="12" spans="1:8" ht="12.75" hidden="1" customHeight="1" outlineLevel="1" x14ac:dyDescent="0.2">
      <c r="F12" s="9" t="str">
        <f>Labels!B149</f>
        <v>Practice Area</v>
      </c>
      <c r="G12" s="10" t="str">
        <f>Labels!B68</f>
        <v>Sales Channel</v>
      </c>
      <c r="H12" s="11" t="str">
        <f>Labels!B88</f>
        <v>Start Time Period</v>
      </c>
    </row>
    <row r="13" spans="1:8" ht="12.75" hidden="1" customHeight="1" outlineLevel="1" x14ac:dyDescent="0.2">
      <c r="A13" s="12" t="str">
        <f>Labels!B345</f>
        <v>Engage 1</v>
      </c>
      <c r="B13" s="13"/>
      <c r="C13" s="13"/>
      <c r="D13" s="13"/>
      <c r="E13" s="14"/>
      <c r="F13" s="15" t="str">
        <f>"Practice 1"</f>
        <v>Practice 1</v>
      </c>
      <c r="G13" s="15" t="str">
        <f>'(Tables)'!B5</f>
        <v>Channels 1</v>
      </c>
      <c r="H13" s="16">
        <f>ROUND(MAX(2,'(Tables)'!T9*1/6),0)</f>
        <v>3</v>
      </c>
    </row>
    <row r="14" spans="1:8" ht="12.75" hidden="1" customHeight="1" outlineLevel="1" x14ac:dyDescent="0.2">
      <c r="A14" s="17" t="str">
        <f>Labels!B346</f>
        <v>Engage 2</v>
      </c>
      <c r="B14" s="18"/>
      <c r="C14" s="18"/>
      <c r="D14" s="18"/>
      <c r="E14" s="19"/>
      <c r="F14" s="20" t="str">
        <f>"Practice 1"</f>
        <v>Practice 1</v>
      </c>
      <c r="G14" s="20" t="str">
        <f>'(Tables)'!B5</f>
        <v>Channels 1</v>
      </c>
      <c r="H14" s="21">
        <f>ROUND(MAX(2,'(Tables)'!T9*2/6),0)</f>
        <v>6</v>
      </c>
    </row>
    <row r="15" spans="1:8" ht="12.75" hidden="1" customHeight="1" outlineLevel="1" x14ac:dyDescent="0.2"/>
    <row r="16" spans="1:8" ht="12.75" hidden="1" customHeight="1" outlineLevel="1" x14ac:dyDescent="0.2">
      <c r="A16" s="465" t="str">
        <f>"Engagement Attributes"&amp;""</f>
        <v>Engagement Attributes</v>
      </c>
      <c r="B16" s="465"/>
      <c r="C16" s="465"/>
      <c r="D16" s="465"/>
    </row>
    <row r="17" spans="1:9" ht="12.75" hidden="1" customHeight="1" outlineLevel="2" x14ac:dyDescent="0.2">
      <c r="A17" s="465" t="str">
        <f>" "</f>
        <v xml:space="preserve"> </v>
      </c>
      <c r="B17" s="465"/>
      <c r="C17" s="465"/>
      <c r="D17" s="465"/>
    </row>
    <row r="18" spans="1:9" ht="12.75" hidden="1" customHeight="1" outlineLevel="2" x14ac:dyDescent="0.2">
      <c r="A18" s="462" t="str">
        <f>""</f>
        <v/>
      </c>
      <c r="B18" s="462"/>
      <c r="C18" s="462"/>
      <c r="D18" s="462"/>
      <c r="E18" s="462"/>
      <c r="F18" s="462"/>
      <c r="G18" s="462"/>
      <c r="H18" s="462"/>
    </row>
    <row r="19" spans="1:9" ht="12.75" hidden="1" customHeight="1" outlineLevel="2" x14ac:dyDescent="0.2">
      <c r="F19" s="9" t="str">
        <f>Labels!B87</f>
        <v>Size (Hrs)</v>
      </c>
      <c r="G19" s="11" t="str">
        <f>Labels!B73</f>
        <v>Duration</v>
      </c>
    </row>
    <row r="20" spans="1:9" ht="12.75" hidden="1" customHeight="1" outlineLevel="2" x14ac:dyDescent="0.2">
      <c r="A20" s="12" t="str">
        <f>Labels!B345</f>
        <v>Engage 1</v>
      </c>
      <c r="B20" s="13"/>
      <c r="C20" s="13"/>
      <c r="D20" s="13"/>
      <c r="E20" s="14"/>
      <c r="F20" s="22">
        <f>1000+100*1</f>
        <v>1100</v>
      </c>
      <c r="G20" s="23">
        <f>1+1</f>
        <v>2</v>
      </c>
    </row>
    <row r="21" spans="1:9" ht="12.75" hidden="1" customHeight="1" outlineLevel="2" x14ac:dyDescent="0.2">
      <c r="A21" s="17" t="str">
        <f>Labels!B346</f>
        <v>Engage 2</v>
      </c>
      <c r="B21" s="18"/>
      <c r="C21" s="18"/>
      <c r="D21" s="18"/>
      <c r="E21" s="19"/>
      <c r="F21" s="24">
        <f>1000+100*2</f>
        <v>1200</v>
      </c>
      <c r="G21" s="25">
        <f>2+1</f>
        <v>3</v>
      </c>
    </row>
    <row r="22" spans="1:9" ht="12.75" hidden="1" customHeight="1" outlineLevel="2" x14ac:dyDescent="0.2"/>
    <row r="23" spans="1:9" ht="12.75" hidden="1" customHeight="1" outlineLevel="2" x14ac:dyDescent="0.2">
      <c r="F23" s="9" t="str">
        <f>Labels!B84</f>
        <v>Labor Share %</v>
      </c>
      <c r="G23" s="11" t="str">
        <f>Labels!B85</f>
        <v>Labor Ramp</v>
      </c>
    </row>
    <row r="24" spans="1:9" ht="12.75" hidden="1" customHeight="1" outlineLevel="2" x14ac:dyDescent="0.2">
      <c r="A24" s="12" t="str">
        <f>Labels!B345</f>
        <v>Engage 1</v>
      </c>
      <c r="B24" s="26" t="str">
        <f>Labels!B385</f>
        <v>Prof Level 1</v>
      </c>
      <c r="C24" s="26"/>
      <c r="D24" s="26"/>
      <c r="E24" s="27"/>
      <c r="F24" s="28">
        <f>1/MAX(1,2)</f>
        <v>0.5</v>
      </c>
      <c r="G24" s="29">
        <f>0</f>
        <v>0</v>
      </c>
    </row>
    <row r="25" spans="1:9" ht="12.75" hidden="1" customHeight="1" outlineLevel="2" x14ac:dyDescent="0.2">
      <c r="A25" s="30"/>
      <c r="B25" s="31" t="str">
        <f>Labels!B386</f>
        <v>Prof Level 2</v>
      </c>
      <c r="C25" s="31"/>
      <c r="D25" s="31"/>
      <c r="E25" s="32"/>
      <c r="F25" s="33">
        <f>1/MAX(1,2)</f>
        <v>0.5</v>
      </c>
      <c r="G25" s="34">
        <f>0</f>
        <v>0</v>
      </c>
    </row>
    <row r="26" spans="1:9" ht="12.75" hidden="1" customHeight="1" outlineLevel="2" x14ac:dyDescent="0.2">
      <c r="A26" s="30" t="str">
        <f>Labels!B346</f>
        <v>Engage 2</v>
      </c>
      <c r="B26" s="31" t="str">
        <f>Labels!B385</f>
        <v>Prof Level 1</v>
      </c>
      <c r="C26" s="31"/>
      <c r="D26" s="31"/>
      <c r="E26" s="32"/>
      <c r="F26" s="33">
        <f>1/MAX(1,2)</f>
        <v>0.5</v>
      </c>
      <c r="G26" s="34">
        <f>0</f>
        <v>0</v>
      </c>
    </row>
    <row r="27" spans="1:9" ht="12.75" hidden="1" customHeight="1" outlineLevel="2" x14ac:dyDescent="0.2">
      <c r="A27" s="17"/>
      <c r="B27" s="35" t="str">
        <f>Labels!B386</f>
        <v>Prof Level 2</v>
      </c>
      <c r="C27" s="35"/>
      <c r="D27" s="35"/>
      <c r="E27" s="36"/>
      <c r="F27" s="37">
        <f>1/MAX(1,2)</f>
        <v>0.5</v>
      </c>
      <c r="G27" s="38">
        <f>0</f>
        <v>0</v>
      </c>
    </row>
    <row r="28" spans="1:9" ht="12.75" hidden="1" customHeight="1" outlineLevel="2" x14ac:dyDescent="0.2"/>
    <row r="29" spans="1:9" ht="12.75" hidden="1" customHeight="1" outlineLevel="2" x14ac:dyDescent="0.2">
      <c r="A29" s="462" t="str">
        <f>"Variables 'Engagement Labor Share %' and 'Engagement Labor Slope' set labor hours over time for each Engagement."</f>
        <v>Variables 'Engagement Labor Share %' and 'Engagement Labor Slope' set labor hours over time for each Engagement.</v>
      </c>
      <c r="B29" s="462"/>
      <c r="C29" s="462"/>
      <c r="D29" s="462"/>
      <c r="E29" s="462"/>
      <c r="F29" s="462"/>
    </row>
    <row r="30" spans="1:9" ht="12.75" hidden="1" customHeight="1" outlineLevel="2" x14ac:dyDescent="0.2">
      <c r="A30" s="462" t="str">
        <f>"You can enter values here that override the model for labor hours over time."</f>
        <v>You can enter values here that override the model for labor hours over time.</v>
      </c>
      <c r="B30" s="462"/>
      <c r="C30" s="462"/>
      <c r="D30" s="462"/>
      <c r="E30" s="462"/>
      <c r="F30" s="462"/>
    </row>
    <row r="31" spans="1:9" ht="12.75" hidden="1" customHeight="1" outlineLevel="2" x14ac:dyDescent="0.2">
      <c r="F31" s="9" t="str">
        <f>Labels!B335</f>
        <v>Period 1</v>
      </c>
      <c r="G31" s="10" t="str">
        <f>Labels!B336</f>
        <v>Period 2</v>
      </c>
      <c r="H31" s="10" t="str">
        <f>Labels!B337</f>
        <v>Period 3</v>
      </c>
      <c r="I31" s="11" t="str">
        <f>Labels!B338</f>
        <v>Period 4</v>
      </c>
    </row>
    <row r="32" spans="1:9" ht="12.75" hidden="1" customHeight="1" outlineLevel="2" x14ac:dyDescent="0.2">
      <c r="A32" s="12" t="str">
        <f>Labels!B77</f>
        <v>Staff Hrs Applied</v>
      </c>
      <c r="B32" s="26" t="str">
        <f>Labels!B345</f>
        <v>Engage 1</v>
      </c>
      <c r="C32" s="39" t="str">
        <f>Labels!B385</f>
        <v>Prof Level 1</v>
      </c>
      <c r="D32" s="39"/>
      <c r="E32" s="40"/>
      <c r="F32" s="41">
        <f>IF('(Tables)'!B42&lt;=G20,F24*F20*1/G20+F24*F20*MIN(1,MAX(-1,G24))*2*'(Tables)'!B42/G20/G20+F24*F20*MIN(1,MAX(-1,G24))*(-1)/G20/G20+F24*F20*MIN(1,MAX(-1,G24))*(-1)/G20,0*F20/G20)</f>
        <v>275</v>
      </c>
      <c r="G32" s="41">
        <f>IF('(Tables)'!B43&lt;=G20,F24*F20*1/G20+F24*F20*MIN(1,MAX(-1,G24))*2*'(Tables)'!B43/G20/G20+F24*F20*MIN(1,MAX(-1,G24))*(-1)/G20/G20+F24*F20*MIN(1,MAX(-1,G24))*(-1)/G20,0*F20/G20)</f>
        <v>275</v>
      </c>
      <c r="H32" s="41">
        <f>IF('(Tables)'!B44&lt;=G20,F24*F20*1/G20+F24*F20*MIN(1,MAX(-1,G24))*2*'(Tables)'!B44/G20/G20+F24*F20*MIN(1,MAX(-1,G24))*(-1)/G20/G20+F24*F20*MIN(1,MAX(-1,G24))*(-1)/G20,0*F20/G20)</f>
        <v>0</v>
      </c>
      <c r="I32" s="42">
        <f>IF('(Tables)'!B45&lt;=G20,F24*F20*1/G20+F24*F20*MIN(1,MAX(-1,G24))*2*'(Tables)'!B45/G20/G20+F24*F20*MIN(1,MAX(-1,G24))*(-1)/G20/G20+F24*F20*MIN(1,MAX(-1,G24))*(-1)/G20,0*F20/G20)</f>
        <v>0</v>
      </c>
    </row>
    <row r="33" spans="1:9" ht="12.75" hidden="1" customHeight="1" outlineLevel="2" x14ac:dyDescent="0.2">
      <c r="A33" s="30"/>
      <c r="B33" s="31"/>
      <c r="C33" s="43" t="str">
        <f>Labels!B386</f>
        <v>Prof Level 2</v>
      </c>
      <c r="D33" s="43"/>
      <c r="E33" s="44"/>
      <c r="F33" s="45">
        <f>IF('(Tables)'!B42&lt;=G20,F25*F20*1/G20+F25*F20*MIN(1,MAX(-1,G25))*2*'(Tables)'!B42/G20/G20+F25*F20*MIN(1,MAX(-1,G25))*(-1)/G20/G20+F25*F20*MIN(1,MAX(-1,G25))*(-1)/G20,0*F20/G20)</f>
        <v>275</v>
      </c>
      <c r="G33" s="45">
        <f>IF('(Tables)'!B43&lt;=G20,F25*F20*1/G20+F25*F20*MIN(1,MAX(-1,G25))*2*'(Tables)'!B43/G20/G20+F25*F20*MIN(1,MAX(-1,G25))*(-1)/G20/G20+F25*F20*MIN(1,MAX(-1,G25))*(-1)/G20,0*F20/G20)</f>
        <v>275</v>
      </c>
      <c r="H33" s="45">
        <f>IF('(Tables)'!B44&lt;=G20,F25*F20*1/G20+F25*F20*MIN(1,MAX(-1,G25))*2*'(Tables)'!B44/G20/G20+F25*F20*MIN(1,MAX(-1,G25))*(-1)/G20/G20+F25*F20*MIN(1,MAX(-1,G25))*(-1)/G20,0*F20/G20)</f>
        <v>0</v>
      </c>
      <c r="I33" s="46">
        <f>IF('(Tables)'!B45&lt;=G20,F25*F20*1/G20+F25*F20*MIN(1,MAX(-1,G25))*2*'(Tables)'!B45/G20/G20+F25*F20*MIN(1,MAX(-1,G25))*(-1)/G20/G20+F25*F20*MIN(1,MAX(-1,G25))*(-1)/G20,0*F20/G20)</f>
        <v>0</v>
      </c>
    </row>
    <row r="34" spans="1:9" ht="12.75" hidden="1" customHeight="1" outlineLevel="2" x14ac:dyDescent="0.2">
      <c r="A34" s="30"/>
      <c r="B34" s="31" t="str">
        <f>Labels!B346</f>
        <v>Engage 2</v>
      </c>
      <c r="C34" s="43" t="str">
        <f>Labels!B385</f>
        <v>Prof Level 1</v>
      </c>
      <c r="D34" s="43"/>
      <c r="E34" s="44"/>
      <c r="F34" s="45">
        <f>IF('(Tables)'!B42&lt;=G21,F26*F21*1/G21+F26*F21*MIN(1,MAX(-1,G26))*2*'(Tables)'!B42/G21/G21+F26*F21*MIN(1,MAX(-1,G26))*(-1)/G21/G21+F26*F21*MIN(1,MAX(-1,G26))*(-1)/G21,0*F21/G21)</f>
        <v>200</v>
      </c>
      <c r="G34" s="45">
        <f>IF('(Tables)'!B43&lt;=G21,F26*F21*1/G21+F26*F21*MIN(1,MAX(-1,G26))*2*'(Tables)'!B43/G21/G21+F26*F21*MIN(1,MAX(-1,G26))*(-1)/G21/G21+F26*F21*MIN(1,MAX(-1,G26))*(-1)/G21,0*F21/G21)</f>
        <v>200</v>
      </c>
      <c r="H34" s="45">
        <f>IF('(Tables)'!B44&lt;=G21,F26*F21*1/G21+F26*F21*MIN(1,MAX(-1,G26))*2*'(Tables)'!B44/G21/G21+F26*F21*MIN(1,MAX(-1,G26))*(-1)/G21/G21+F26*F21*MIN(1,MAX(-1,G26))*(-1)/G21,0*F21/G21)</f>
        <v>200</v>
      </c>
      <c r="I34" s="46">
        <f>IF('(Tables)'!B45&lt;=G21,F26*F21*1/G21+F26*F21*MIN(1,MAX(-1,G26))*2*'(Tables)'!B45/G21/G21+F26*F21*MIN(1,MAX(-1,G26))*(-1)/G21/G21+F26*F21*MIN(1,MAX(-1,G26))*(-1)/G21,0*F21/G21)</f>
        <v>0</v>
      </c>
    </row>
    <row r="35" spans="1:9" ht="12.75" hidden="1" customHeight="1" outlineLevel="2" x14ac:dyDescent="0.2">
      <c r="A35" s="17"/>
      <c r="B35" s="35"/>
      <c r="C35" s="47" t="str">
        <f>Labels!B386</f>
        <v>Prof Level 2</v>
      </c>
      <c r="D35" s="47"/>
      <c r="E35" s="48"/>
      <c r="F35" s="49">
        <f>IF('(Tables)'!B42&lt;=G21,F27*F21*1/G21+F27*F21*MIN(1,MAX(-1,G27))*2*'(Tables)'!B42/G21/G21+F27*F21*MIN(1,MAX(-1,G27))*(-1)/G21/G21+F27*F21*MIN(1,MAX(-1,G27))*(-1)/G21,0*F21/G21)</f>
        <v>200</v>
      </c>
      <c r="G35" s="49">
        <f>IF('(Tables)'!B43&lt;=G21,F27*F21*1/G21+F27*F21*MIN(1,MAX(-1,G27))*2*'(Tables)'!B43/G21/G21+F27*F21*MIN(1,MAX(-1,G27))*(-1)/G21/G21+F27*F21*MIN(1,MAX(-1,G27))*(-1)/G21,0*F21/G21)</f>
        <v>200</v>
      </c>
      <c r="H35" s="49">
        <f>IF('(Tables)'!B44&lt;=G21,F27*F21*1/G21+F27*F21*MIN(1,MAX(-1,G27))*2*'(Tables)'!B44/G21/G21+F27*F21*MIN(1,MAX(-1,G27))*(-1)/G21/G21+F27*F21*MIN(1,MAX(-1,G27))*(-1)/G21,0*F21/G21)</f>
        <v>200</v>
      </c>
      <c r="I35" s="50">
        <f>IF('(Tables)'!B45&lt;=G21,F27*F21*1/G21+F27*F21*MIN(1,MAX(-1,G27))*2*'(Tables)'!B45/G21/G21+F27*F21*MIN(1,MAX(-1,G27))*(-1)/G21/G21+F27*F21*MIN(1,MAX(-1,G27))*(-1)/G21,0*F21/G21)</f>
        <v>0</v>
      </c>
    </row>
    <row r="36" spans="1:9" ht="12.75" hidden="1" customHeight="1" outlineLevel="2" x14ac:dyDescent="0.2"/>
    <row r="37" spans="1:9" ht="12.75" hidden="1" customHeight="1" outlineLevel="2" collapsed="1" x14ac:dyDescent="0.2"/>
    <row r="38" spans="1:9" ht="12.75" hidden="1" customHeight="1" outlineLevel="1" collapsed="1" x14ac:dyDescent="0.2">
      <c r="A38" s="3" t="str">
        <f>"Billing Practices"</f>
        <v>Billing Practices</v>
      </c>
    </row>
    <row r="39" spans="1:9" ht="12.75" hidden="1" customHeight="1" outlineLevel="2" x14ac:dyDescent="0.2">
      <c r="A39" s="3" t="str">
        <f>" "</f>
        <v xml:space="preserve"> </v>
      </c>
    </row>
    <row r="40" spans="1:9" ht="12.75" hidden="1" customHeight="1" outlineLevel="2" x14ac:dyDescent="0.2">
      <c r="F40" s="9" t="str">
        <f>Labels!B335</f>
        <v>Period 1</v>
      </c>
      <c r="G40" s="10" t="str">
        <f>Labels!B336</f>
        <v>Period 2</v>
      </c>
      <c r="H40" s="10" t="str">
        <f>Labels!B337</f>
        <v>Period 3</v>
      </c>
      <c r="I40" s="11" t="str">
        <f>Labels!B338</f>
        <v>Period 4</v>
      </c>
    </row>
    <row r="41" spans="1:9" ht="12.75" hidden="1" customHeight="1" outlineLevel="2" x14ac:dyDescent="0.2">
      <c r="A41" s="12" t="str">
        <f>Labels!B82</f>
        <v>Applied Hours % Billed</v>
      </c>
      <c r="B41" s="26" t="str">
        <f>Labels!B345</f>
        <v>Engage 1</v>
      </c>
      <c r="C41" s="39" t="str">
        <f>Labels!B385</f>
        <v>Prof Level 1</v>
      </c>
      <c r="D41" s="39"/>
      <c r="E41" s="40"/>
      <c r="F41" s="51">
        <f>1</f>
        <v>1</v>
      </c>
      <c r="G41" s="51">
        <f>1</f>
        <v>1</v>
      </c>
      <c r="H41" s="51">
        <f>1</f>
        <v>1</v>
      </c>
      <c r="I41" s="52">
        <f>1</f>
        <v>1</v>
      </c>
    </row>
    <row r="42" spans="1:9" ht="12.75" hidden="1" customHeight="1" outlineLevel="2" x14ac:dyDescent="0.2">
      <c r="A42" s="30"/>
      <c r="B42" s="31"/>
      <c r="C42" s="43" t="str">
        <f>Labels!B386</f>
        <v>Prof Level 2</v>
      </c>
      <c r="D42" s="43"/>
      <c r="E42" s="44"/>
      <c r="F42" s="53">
        <f>1</f>
        <v>1</v>
      </c>
      <c r="G42" s="53">
        <f>1</f>
        <v>1</v>
      </c>
      <c r="H42" s="53">
        <f>1</f>
        <v>1</v>
      </c>
      <c r="I42" s="54">
        <f>1</f>
        <v>1</v>
      </c>
    </row>
    <row r="43" spans="1:9" ht="12.75" hidden="1" customHeight="1" outlineLevel="2" x14ac:dyDescent="0.2">
      <c r="A43" s="30"/>
      <c r="B43" s="31" t="str">
        <f>Labels!B346</f>
        <v>Engage 2</v>
      </c>
      <c r="C43" s="43" t="str">
        <f>Labels!B385</f>
        <v>Prof Level 1</v>
      </c>
      <c r="D43" s="43"/>
      <c r="E43" s="44"/>
      <c r="F43" s="53">
        <f>1</f>
        <v>1</v>
      </c>
      <c r="G43" s="53">
        <f>1</f>
        <v>1</v>
      </c>
      <c r="H43" s="53">
        <f>1</f>
        <v>1</v>
      </c>
      <c r="I43" s="54">
        <f>1</f>
        <v>1</v>
      </c>
    </row>
    <row r="44" spans="1:9" ht="12.75" hidden="1" customHeight="1" outlineLevel="2" x14ac:dyDescent="0.2">
      <c r="A44" s="17"/>
      <c r="B44" s="35"/>
      <c r="C44" s="47" t="str">
        <f>Labels!B386</f>
        <v>Prof Level 2</v>
      </c>
      <c r="D44" s="47"/>
      <c r="E44" s="48"/>
      <c r="F44" s="55">
        <f>1</f>
        <v>1</v>
      </c>
      <c r="G44" s="55">
        <f>1</f>
        <v>1</v>
      </c>
      <c r="H44" s="55">
        <f>1</f>
        <v>1</v>
      </c>
      <c r="I44" s="56">
        <f>1</f>
        <v>1</v>
      </c>
    </row>
    <row r="45" spans="1:9" ht="12.75" hidden="1" customHeight="1" outlineLevel="2" x14ac:dyDescent="0.2"/>
    <row r="46" spans="1:9" ht="12.75" hidden="1" customHeight="1" outlineLevel="2" x14ac:dyDescent="0.2">
      <c r="A46" s="5" t="str">
        <f>Labels!B189</f>
        <v>Billed Hours Round?</v>
      </c>
      <c r="B46" s="6"/>
      <c r="C46" s="6"/>
      <c r="D46" s="6"/>
      <c r="E46" s="7"/>
      <c r="F46" s="57" t="b">
        <f>FALSE</f>
        <v>0</v>
      </c>
    </row>
    <row r="47" spans="1:9" ht="12.75" hidden="1" customHeight="1" outlineLevel="2" x14ac:dyDescent="0.2"/>
    <row r="48" spans="1:9" ht="12.75" hidden="1" customHeight="1" outlineLevel="2" collapsed="1" x14ac:dyDescent="0.2"/>
    <row r="49" spans="1:13" ht="12.75" hidden="1" customHeight="1" outlineLevel="1" collapsed="1" x14ac:dyDescent="0.2"/>
    <row r="50" spans="1:13" ht="12.75" customHeight="1" collapsed="1" x14ac:dyDescent="0.2"/>
    <row r="51" spans="1:13" ht="12.75" customHeight="1" collapsed="1" x14ac:dyDescent="0.2">
      <c r="A51" s="464" t="str">
        <f>"Minor Engagements - Sales Funnel"</f>
        <v>Minor Engagements - Sales Funnel</v>
      </c>
      <c r="B51" s="464"/>
      <c r="C51" s="464"/>
      <c r="D51" s="464"/>
    </row>
    <row r="52" spans="1:13" ht="12.75" hidden="1" customHeight="1" outlineLevel="1" x14ac:dyDescent="0.2">
      <c r="A52" s="1" t="str">
        <f>" "</f>
        <v xml:space="preserve"> </v>
      </c>
    </row>
    <row r="53" spans="1:13" ht="12.75" hidden="1" customHeight="1" outlineLevel="1" x14ac:dyDescent="0.2">
      <c r="A53" s="3" t="str">
        <f>"Initial Leads"</f>
        <v>Initial Leads</v>
      </c>
    </row>
    <row r="54" spans="1:13" ht="12.75" hidden="1" customHeight="1" outlineLevel="2" x14ac:dyDescent="0.2">
      <c r="A54" s="3" t="str">
        <f>" "</f>
        <v xml:space="preserve"> </v>
      </c>
    </row>
    <row r="55" spans="1:13" ht="12.75" hidden="1" customHeight="1" outlineLevel="2" x14ac:dyDescent="0.2">
      <c r="F55" s="9" t="str">
        <f>Labels!B389</f>
        <v>Lead Qual 1</v>
      </c>
      <c r="G55" s="11" t="str">
        <f>Labels!B390</f>
        <v>Lead Qual 2</v>
      </c>
      <c r="I55" s="12" t="str">
        <f>Labels!B140</f>
        <v>Backlog (Hrs)</v>
      </c>
      <c r="J55" s="26" t="str">
        <f>Labels!B381</f>
        <v>Practice 1</v>
      </c>
      <c r="K55" s="39" t="str">
        <f>Labels!B385</f>
        <v>Prof Level 1</v>
      </c>
      <c r="L55" s="40" t="str">
        <f>Labels!B317</f>
        <v>Channels 1</v>
      </c>
      <c r="M55" s="58">
        <f>0</f>
        <v>0</v>
      </c>
    </row>
    <row r="56" spans="1:13" ht="12.75" hidden="1" customHeight="1" outlineLevel="2" x14ac:dyDescent="0.2">
      <c r="A56" s="12" t="str">
        <f>Labels!B239</f>
        <v>Leads (Hrs)</v>
      </c>
      <c r="B56" s="26" t="str">
        <f>Labels!B381</f>
        <v>Practice 1</v>
      </c>
      <c r="C56" s="39" t="str">
        <f>Labels!B385</f>
        <v>Prof Level 1</v>
      </c>
      <c r="D56" s="39" t="str">
        <f>Labels!B317</f>
        <v>Channels 1</v>
      </c>
      <c r="E56" s="40"/>
      <c r="F56" s="59">
        <f>0</f>
        <v>0</v>
      </c>
      <c r="G56" s="60">
        <f>0</f>
        <v>0</v>
      </c>
      <c r="I56" s="30"/>
      <c r="J56" s="31"/>
      <c r="K56" s="43"/>
      <c r="L56" s="44" t="str">
        <f>Labels!B318</f>
        <v>Channels 2</v>
      </c>
      <c r="M56" s="61">
        <f>M55</f>
        <v>0</v>
      </c>
    </row>
    <row r="57" spans="1:13" ht="12.75" hidden="1" customHeight="1" outlineLevel="2" x14ac:dyDescent="0.2">
      <c r="A57" s="30"/>
      <c r="B57" s="31"/>
      <c r="C57" s="43"/>
      <c r="D57" s="43" t="str">
        <f>Labels!B318</f>
        <v>Channels 2</v>
      </c>
      <c r="E57" s="44"/>
      <c r="F57" s="62">
        <f>F56</f>
        <v>0</v>
      </c>
      <c r="G57" s="63">
        <f>G56</f>
        <v>0</v>
      </c>
      <c r="I57" s="30"/>
      <c r="J57" s="31"/>
      <c r="K57" s="43" t="str">
        <f>Labels!B386</f>
        <v>Prof Level 2</v>
      </c>
      <c r="L57" s="44" t="str">
        <f>Labels!B317</f>
        <v>Channels 1</v>
      </c>
      <c r="M57" s="61">
        <f>M55</f>
        <v>0</v>
      </c>
    </row>
    <row r="58" spans="1:13" ht="12.75" hidden="1" customHeight="1" outlineLevel="2" x14ac:dyDescent="0.2">
      <c r="A58" s="30"/>
      <c r="B58" s="31"/>
      <c r="C58" s="43" t="str">
        <f>Labels!B386</f>
        <v>Prof Level 2</v>
      </c>
      <c r="D58" s="43" t="str">
        <f>Labels!B317</f>
        <v>Channels 1</v>
      </c>
      <c r="E58" s="44"/>
      <c r="F58" s="62">
        <f>0</f>
        <v>0</v>
      </c>
      <c r="G58" s="63">
        <f>0</f>
        <v>0</v>
      </c>
      <c r="I58" s="30"/>
      <c r="J58" s="31"/>
      <c r="K58" s="43"/>
      <c r="L58" s="44" t="str">
        <f>Labels!B318</f>
        <v>Channels 2</v>
      </c>
      <c r="M58" s="61">
        <f>M57</f>
        <v>0</v>
      </c>
    </row>
    <row r="59" spans="1:13" ht="12.75" hidden="1" customHeight="1" outlineLevel="2" x14ac:dyDescent="0.2">
      <c r="A59" s="30"/>
      <c r="B59" s="31"/>
      <c r="C59" s="43"/>
      <c r="D59" s="43" t="str">
        <f>Labels!B318</f>
        <v>Channels 2</v>
      </c>
      <c r="E59" s="44"/>
      <c r="F59" s="62">
        <f>F58</f>
        <v>0</v>
      </c>
      <c r="G59" s="63">
        <f>G58</f>
        <v>0</v>
      </c>
      <c r="I59" s="30"/>
      <c r="J59" s="31" t="str">
        <f>Labels!B382</f>
        <v>Practice 2</v>
      </c>
      <c r="K59" s="43" t="str">
        <f>Labels!B385</f>
        <v>Prof Level 1</v>
      </c>
      <c r="L59" s="44" t="str">
        <f>Labels!B317</f>
        <v>Channels 1</v>
      </c>
      <c r="M59" s="61">
        <f>0</f>
        <v>0</v>
      </c>
    </row>
    <row r="60" spans="1:13" ht="12.75" hidden="1" customHeight="1" outlineLevel="2" x14ac:dyDescent="0.2">
      <c r="A60" s="30"/>
      <c r="B60" s="31" t="str">
        <f>Labels!B382</f>
        <v>Practice 2</v>
      </c>
      <c r="C60" s="43" t="str">
        <f>Labels!B385</f>
        <v>Prof Level 1</v>
      </c>
      <c r="D60" s="43" t="str">
        <f>Labels!B317</f>
        <v>Channels 1</v>
      </c>
      <c r="E60" s="44"/>
      <c r="F60" s="62">
        <f>F56</f>
        <v>0</v>
      </c>
      <c r="G60" s="63">
        <f>G56</f>
        <v>0</v>
      </c>
      <c r="I60" s="30"/>
      <c r="J60" s="31"/>
      <c r="K60" s="43"/>
      <c r="L60" s="44" t="str">
        <f>Labels!B318</f>
        <v>Channels 2</v>
      </c>
      <c r="M60" s="61">
        <f>M59</f>
        <v>0</v>
      </c>
    </row>
    <row r="61" spans="1:13" ht="12.75" hidden="1" customHeight="1" outlineLevel="2" x14ac:dyDescent="0.2">
      <c r="A61" s="30"/>
      <c r="B61" s="31"/>
      <c r="C61" s="43"/>
      <c r="D61" s="43" t="str">
        <f>Labels!B318</f>
        <v>Channels 2</v>
      </c>
      <c r="E61" s="44"/>
      <c r="F61" s="62">
        <f>F60</f>
        <v>0</v>
      </c>
      <c r="G61" s="63">
        <f>G60</f>
        <v>0</v>
      </c>
      <c r="I61" s="30"/>
      <c r="J61" s="31"/>
      <c r="K61" s="43" t="str">
        <f>Labels!B386</f>
        <v>Prof Level 2</v>
      </c>
      <c r="L61" s="44" t="str">
        <f>Labels!B317</f>
        <v>Channels 1</v>
      </c>
      <c r="M61" s="61">
        <f>M59</f>
        <v>0</v>
      </c>
    </row>
    <row r="62" spans="1:13" ht="12.75" hidden="1" customHeight="1" outlineLevel="2" x14ac:dyDescent="0.2">
      <c r="A62" s="30"/>
      <c r="B62" s="31"/>
      <c r="C62" s="43" t="str">
        <f>Labels!B386</f>
        <v>Prof Level 2</v>
      </c>
      <c r="D62" s="43" t="str">
        <f>Labels!B317</f>
        <v>Channels 1</v>
      </c>
      <c r="E62" s="44"/>
      <c r="F62" s="62">
        <f>F58</f>
        <v>0</v>
      </c>
      <c r="G62" s="63">
        <f>G58</f>
        <v>0</v>
      </c>
      <c r="I62" s="17"/>
      <c r="J62" s="35"/>
      <c r="K62" s="47"/>
      <c r="L62" s="48" t="str">
        <f>Labels!B318</f>
        <v>Channels 2</v>
      </c>
      <c r="M62" s="64">
        <f>M61</f>
        <v>0</v>
      </c>
    </row>
    <row r="63" spans="1:13" ht="12.75" hidden="1" customHeight="1" outlineLevel="2" x14ac:dyDescent="0.2">
      <c r="A63" s="17"/>
      <c r="B63" s="35"/>
      <c r="C63" s="47"/>
      <c r="D63" s="47" t="str">
        <f>Labels!B318</f>
        <v>Channels 2</v>
      </c>
      <c r="E63" s="48"/>
      <c r="F63" s="65">
        <f>F62</f>
        <v>0</v>
      </c>
      <c r="G63" s="66">
        <f>G62</f>
        <v>0</v>
      </c>
    </row>
    <row r="64" spans="1:13" ht="12.75" hidden="1" customHeight="1" outlineLevel="2" collapsed="1" x14ac:dyDescent="0.2"/>
    <row r="65" spans="1:23" ht="12.75" hidden="1" customHeight="1" outlineLevel="1" collapsed="1" x14ac:dyDescent="0.2">
      <c r="A65" s="3" t="str">
        <f>"New Leads"</f>
        <v>New Leads</v>
      </c>
    </row>
    <row r="66" spans="1:23" ht="12.75" hidden="1" customHeight="1" outlineLevel="2" x14ac:dyDescent="0.2">
      <c r="A66" s="3" t="str">
        <f>" "</f>
        <v xml:space="preserve"> </v>
      </c>
    </row>
    <row r="67" spans="1:23" ht="12.75" hidden="1" customHeight="1" outlineLevel="2" x14ac:dyDescent="0.2">
      <c r="F67" s="9" t="str">
        <f>'(FnCalls 1)'!F41</f>
        <v>MMM 2010</v>
      </c>
      <c r="G67" s="10" t="str">
        <f>'(FnCalls 1)'!F42</f>
        <v>MMM 2010</v>
      </c>
      <c r="H67" s="10" t="str">
        <f>'(FnCalls 1)'!F43</f>
        <v>MMM 2010</v>
      </c>
      <c r="I67" s="10" t="str">
        <f>'(FnCalls 1)'!F44</f>
        <v>MMM 2010</v>
      </c>
      <c r="J67" s="10" t="str">
        <f>'(FnCalls 1)'!F45</f>
        <v>MMM 2010</v>
      </c>
      <c r="K67" s="10" t="str">
        <f>'(FnCalls 1)'!F46</f>
        <v>MMM 2010</v>
      </c>
      <c r="L67" s="10" t="str">
        <f>'(FnCalls 1)'!F47</f>
        <v>MMM 2010</v>
      </c>
      <c r="M67" s="10" t="str">
        <f>'(FnCalls 1)'!F48</f>
        <v>MMM 2010</v>
      </c>
      <c r="N67" s="10" t="str">
        <f>'(FnCalls 1)'!F49</f>
        <v>MMM 2010</v>
      </c>
      <c r="O67" s="10" t="str">
        <f>'(FnCalls 1)'!F50</f>
        <v>MMM 2010</v>
      </c>
      <c r="P67" s="10" t="str">
        <f>'(FnCalls 1)'!F51</f>
        <v>MMM 2010</v>
      </c>
      <c r="Q67" s="10" t="str">
        <f>'(FnCalls 1)'!F52</f>
        <v>MMM 2010</v>
      </c>
      <c r="R67" s="10" t="str">
        <f>'(FnCalls 1)'!F53</f>
        <v>MMM 2011</v>
      </c>
      <c r="S67" s="10" t="str">
        <f>'(FnCalls 1)'!F54</f>
        <v>MMM 2011</v>
      </c>
      <c r="T67" s="10" t="str">
        <f>'(FnCalls 1)'!F55</f>
        <v>MMM 2011</v>
      </c>
      <c r="U67" s="10" t="str">
        <f>'(FnCalls 1)'!F56</f>
        <v>MMM 2011</v>
      </c>
      <c r="V67" s="10" t="str">
        <f>'(FnCalls 1)'!F57</f>
        <v>MMM 2011</v>
      </c>
      <c r="W67" s="11" t="str">
        <f>'(FnCalls 1)'!F58</f>
        <v>MMM 2011</v>
      </c>
    </row>
    <row r="68" spans="1:23" ht="12.75" hidden="1" customHeight="1" outlineLevel="2" x14ac:dyDescent="0.2">
      <c r="A68" s="12" t="str">
        <f>Labels!B240</f>
        <v>New Sales Leads (Hrs)</v>
      </c>
      <c r="B68" s="26" t="str">
        <f>Labels!B389</f>
        <v>Lead Qual 1</v>
      </c>
      <c r="C68" s="39" t="str">
        <f>Labels!B381</f>
        <v>Practice 1</v>
      </c>
      <c r="D68" s="39" t="str">
        <f>Labels!B385</f>
        <v>Prof Level 1</v>
      </c>
      <c r="E68" s="40" t="str">
        <f>Labels!B317</f>
        <v>Channels 1</v>
      </c>
      <c r="F68" s="67">
        <f t="shared" ref="F68:F83" si="0">2*0-0</f>
        <v>0</v>
      </c>
      <c r="G68" s="67">
        <f t="shared" ref="G68:G83" si="1">2*F68-F68</f>
        <v>0</v>
      </c>
      <c r="H68" s="67">
        <f t="shared" ref="H68:H83" si="2">2*G68-F68</f>
        <v>0</v>
      </c>
      <c r="I68" s="67">
        <f t="shared" ref="I68:I83" si="3">2*H68-G68</f>
        <v>0</v>
      </c>
      <c r="J68" s="67">
        <f t="shared" ref="J68:J83" si="4">2*I68-H68</f>
        <v>0</v>
      </c>
      <c r="K68" s="67">
        <f t="shared" ref="K68:K83" si="5">2*J68-I68</f>
        <v>0</v>
      </c>
      <c r="L68" s="67">
        <f t="shared" ref="L68:L83" si="6">2*K68-J68</f>
        <v>0</v>
      </c>
      <c r="M68" s="67">
        <f t="shared" ref="M68:M83" si="7">2*L68-K68</f>
        <v>0</v>
      </c>
      <c r="N68" s="67">
        <f t="shared" ref="N68:N83" si="8">2*M68-L68</f>
        <v>0</v>
      </c>
      <c r="O68" s="67">
        <f t="shared" ref="O68:O83" si="9">2*N68-M68</f>
        <v>0</v>
      </c>
      <c r="P68" s="67">
        <f t="shared" ref="P68:P83" si="10">2*O68-N68</f>
        <v>0</v>
      </c>
      <c r="Q68" s="67">
        <f t="shared" ref="Q68:Q83" si="11">2*P68-O68</f>
        <v>0</v>
      </c>
      <c r="R68" s="67">
        <f t="shared" ref="R68:R83" si="12">2*Q68-P68</f>
        <v>0</v>
      </c>
      <c r="S68" s="67">
        <f t="shared" ref="S68:S83" si="13">2*R68-Q68</f>
        <v>0</v>
      </c>
      <c r="T68" s="67">
        <f t="shared" ref="T68:T83" si="14">2*S68-R68</f>
        <v>0</v>
      </c>
      <c r="U68" s="67">
        <f t="shared" ref="U68:U83" si="15">2*T68-S68</f>
        <v>0</v>
      </c>
      <c r="V68" s="67">
        <f t="shared" ref="V68:V83" si="16">2*U68-T68</f>
        <v>0</v>
      </c>
      <c r="W68" s="68">
        <f t="shared" ref="W68:W83" si="17">2*V68-U68</f>
        <v>0</v>
      </c>
    </row>
    <row r="69" spans="1:23" ht="12.75" hidden="1" customHeight="1" outlineLevel="2" x14ac:dyDescent="0.2">
      <c r="A69" s="30"/>
      <c r="B69" s="31"/>
      <c r="C69" s="43"/>
      <c r="D69" s="43"/>
      <c r="E69" s="44" t="str">
        <f>Labels!B318</f>
        <v>Channels 2</v>
      </c>
      <c r="F69" s="69">
        <f t="shared" si="0"/>
        <v>0</v>
      </c>
      <c r="G69" s="69">
        <f t="shared" si="1"/>
        <v>0</v>
      </c>
      <c r="H69" s="69">
        <f t="shared" si="2"/>
        <v>0</v>
      </c>
      <c r="I69" s="69">
        <f t="shared" si="3"/>
        <v>0</v>
      </c>
      <c r="J69" s="69">
        <f t="shared" si="4"/>
        <v>0</v>
      </c>
      <c r="K69" s="69">
        <f t="shared" si="5"/>
        <v>0</v>
      </c>
      <c r="L69" s="69">
        <f t="shared" si="6"/>
        <v>0</v>
      </c>
      <c r="M69" s="69">
        <f t="shared" si="7"/>
        <v>0</v>
      </c>
      <c r="N69" s="69">
        <f t="shared" si="8"/>
        <v>0</v>
      </c>
      <c r="O69" s="69">
        <f t="shared" si="9"/>
        <v>0</v>
      </c>
      <c r="P69" s="69">
        <f t="shared" si="10"/>
        <v>0</v>
      </c>
      <c r="Q69" s="69">
        <f t="shared" si="11"/>
        <v>0</v>
      </c>
      <c r="R69" s="69">
        <f t="shared" si="12"/>
        <v>0</v>
      </c>
      <c r="S69" s="69">
        <f t="shared" si="13"/>
        <v>0</v>
      </c>
      <c r="T69" s="69">
        <f t="shared" si="14"/>
        <v>0</v>
      </c>
      <c r="U69" s="69">
        <f t="shared" si="15"/>
        <v>0</v>
      </c>
      <c r="V69" s="69">
        <f t="shared" si="16"/>
        <v>0</v>
      </c>
      <c r="W69" s="70">
        <f t="shared" si="17"/>
        <v>0</v>
      </c>
    </row>
    <row r="70" spans="1:23" ht="12.75" hidden="1" customHeight="1" outlineLevel="2" x14ac:dyDescent="0.2">
      <c r="A70" s="30"/>
      <c r="B70" s="31"/>
      <c r="C70" s="43"/>
      <c r="D70" s="43" t="str">
        <f>Labels!B386</f>
        <v>Prof Level 2</v>
      </c>
      <c r="E70" s="44" t="str">
        <f>Labels!B317</f>
        <v>Channels 1</v>
      </c>
      <c r="F70" s="69">
        <f t="shared" si="0"/>
        <v>0</v>
      </c>
      <c r="G70" s="69">
        <f t="shared" si="1"/>
        <v>0</v>
      </c>
      <c r="H70" s="69">
        <f t="shared" si="2"/>
        <v>0</v>
      </c>
      <c r="I70" s="69">
        <f t="shared" si="3"/>
        <v>0</v>
      </c>
      <c r="J70" s="69">
        <f t="shared" si="4"/>
        <v>0</v>
      </c>
      <c r="K70" s="69">
        <f t="shared" si="5"/>
        <v>0</v>
      </c>
      <c r="L70" s="69">
        <f t="shared" si="6"/>
        <v>0</v>
      </c>
      <c r="M70" s="69">
        <f t="shared" si="7"/>
        <v>0</v>
      </c>
      <c r="N70" s="69">
        <f t="shared" si="8"/>
        <v>0</v>
      </c>
      <c r="O70" s="69">
        <f t="shared" si="9"/>
        <v>0</v>
      </c>
      <c r="P70" s="69">
        <f t="shared" si="10"/>
        <v>0</v>
      </c>
      <c r="Q70" s="69">
        <f t="shared" si="11"/>
        <v>0</v>
      </c>
      <c r="R70" s="69">
        <f t="shared" si="12"/>
        <v>0</v>
      </c>
      <c r="S70" s="69">
        <f t="shared" si="13"/>
        <v>0</v>
      </c>
      <c r="T70" s="69">
        <f t="shared" si="14"/>
        <v>0</v>
      </c>
      <c r="U70" s="69">
        <f t="shared" si="15"/>
        <v>0</v>
      </c>
      <c r="V70" s="69">
        <f t="shared" si="16"/>
        <v>0</v>
      </c>
      <c r="W70" s="70">
        <f t="shared" si="17"/>
        <v>0</v>
      </c>
    </row>
    <row r="71" spans="1:23" ht="12.75" hidden="1" customHeight="1" outlineLevel="2" x14ac:dyDescent="0.2">
      <c r="A71" s="30"/>
      <c r="B71" s="31"/>
      <c r="C71" s="43"/>
      <c r="D71" s="43"/>
      <c r="E71" s="44" t="str">
        <f>Labels!B318</f>
        <v>Channels 2</v>
      </c>
      <c r="F71" s="69">
        <f t="shared" si="0"/>
        <v>0</v>
      </c>
      <c r="G71" s="69">
        <f t="shared" si="1"/>
        <v>0</v>
      </c>
      <c r="H71" s="69">
        <f t="shared" si="2"/>
        <v>0</v>
      </c>
      <c r="I71" s="69">
        <f t="shared" si="3"/>
        <v>0</v>
      </c>
      <c r="J71" s="69">
        <f t="shared" si="4"/>
        <v>0</v>
      </c>
      <c r="K71" s="69">
        <f t="shared" si="5"/>
        <v>0</v>
      </c>
      <c r="L71" s="69">
        <f t="shared" si="6"/>
        <v>0</v>
      </c>
      <c r="M71" s="69">
        <f t="shared" si="7"/>
        <v>0</v>
      </c>
      <c r="N71" s="69">
        <f t="shared" si="8"/>
        <v>0</v>
      </c>
      <c r="O71" s="69">
        <f t="shared" si="9"/>
        <v>0</v>
      </c>
      <c r="P71" s="69">
        <f t="shared" si="10"/>
        <v>0</v>
      </c>
      <c r="Q71" s="69">
        <f t="shared" si="11"/>
        <v>0</v>
      </c>
      <c r="R71" s="69">
        <f t="shared" si="12"/>
        <v>0</v>
      </c>
      <c r="S71" s="69">
        <f t="shared" si="13"/>
        <v>0</v>
      </c>
      <c r="T71" s="69">
        <f t="shared" si="14"/>
        <v>0</v>
      </c>
      <c r="U71" s="69">
        <f t="shared" si="15"/>
        <v>0</v>
      </c>
      <c r="V71" s="69">
        <f t="shared" si="16"/>
        <v>0</v>
      </c>
      <c r="W71" s="70">
        <f t="shared" si="17"/>
        <v>0</v>
      </c>
    </row>
    <row r="72" spans="1:23" ht="12.75" hidden="1" customHeight="1" outlineLevel="2" x14ac:dyDescent="0.2">
      <c r="A72" s="30"/>
      <c r="B72" s="31"/>
      <c r="C72" s="43" t="str">
        <f>Labels!B382</f>
        <v>Practice 2</v>
      </c>
      <c r="D72" s="43" t="str">
        <f>Labels!B385</f>
        <v>Prof Level 1</v>
      </c>
      <c r="E72" s="44" t="str">
        <f>Labels!B317</f>
        <v>Channels 1</v>
      </c>
      <c r="F72" s="69">
        <f t="shared" si="0"/>
        <v>0</v>
      </c>
      <c r="G72" s="69">
        <f t="shared" si="1"/>
        <v>0</v>
      </c>
      <c r="H72" s="69">
        <f t="shared" si="2"/>
        <v>0</v>
      </c>
      <c r="I72" s="69">
        <f t="shared" si="3"/>
        <v>0</v>
      </c>
      <c r="J72" s="69">
        <f t="shared" si="4"/>
        <v>0</v>
      </c>
      <c r="K72" s="69">
        <f t="shared" si="5"/>
        <v>0</v>
      </c>
      <c r="L72" s="69">
        <f t="shared" si="6"/>
        <v>0</v>
      </c>
      <c r="M72" s="69">
        <f t="shared" si="7"/>
        <v>0</v>
      </c>
      <c r="N72" s="69">
        <f t="shared" si="8"/>
        <v>0</v>
      </c>
      <c r="O72" s="69">
        <f t="shared" si="9"/>
        <v>0</v>
      </c>
      <c r="P72" s="69">
        <f t="shared" si="10"/>
        <v>0</v>
      </c>
      <c r="Q72" s="69">
        <f t="shared" si="11"/>
        <v>0</v>
      </c>
      <c r="R72" s="69">
        <f t="shared" si="12"/>
        <v>0</v>
      </c>
      <c r="S72" s="69">
        <f t="shared" si="13"/>
        <v>0</v>
      </c>
      <c r="T72" s="69">
        <f t="shared" si="14"/>
        <v>0</v>
      </c>
      <c r="U72" s="69">
        <f t="shared" si="15"/>
        <v>0</v>
      </c>
      <c r="V72" s="69">
        <f t="shared" si="16"/>
        <v>0</v>
      </c>
      <c r="W72" s="70">
        <f t="shared" si="17"/>
        <v>0</v>
      </c>
    </row>
    <row r="73" spans="1:23" ht="12.75" hidden="1" customHeight="1" outlineLevel="2" x14ac:dyDescent="0.2">
      <c r="A73" s="30"/>
      <c r="B73" s="31"/>
      <c r="C73" s="43"/>
      <c r="D73" s="43"/>
      <c r="E73" s="44" t="str">
        <f>Labels!B318</f>
        <v>Channels 2</v>
      </c>
      <c r="F73" s="69">
        <f t="shared" si="0"/>
        <v>0</v>
      </c>
      <c r="G73" s="69">
        <f t="shared" si="1"/>
        <v>0</v>
      </c>
      <c r="H73" s="69">
        <f t="shared" si="2"/>
        <v>0</v>
      </c>
      <c r="I73" s="69">
        <f t="shared" si="3"/>
        <v>0</v>
      </c>
      <c r="J73" s="69">
        <f t="shared" si="4"/>
        <v>0</v>
      </c>
      <c r="K73" s="69">
        <f t="shared" si="5"/>
        <v>0</v>
      </c>
      <c r="L73" s="69">
        <f t="shared" si="6"/>
        <v>0</v>
      </c>
      <c r="M73" s="69">
        <f t="shared" si="7"/>
        <v>0</v>
      </c>
      <c r="N73" s="69">
        <f t="shared" si="8"/>
        <v>0</v>
      </c>
      <c r="O73" s="69">
        <f t="shared" si="9"/>
        <v>0</v>
      </c>
      <c r="P73" s="69">
        <f t="shared" si="10"/>
        <v>0</v>
      </c>
      <c r="Q73" s="69">
        <f t="shared" si="11"/>
        <v>0</v>
      </c>
      <c r="R73" s="69">
        <f t="shared" si="12"/>
        <v>0</v>
      </c>
      <c r="S73" s="69">
        <f t="shared" si="13"/>
        <v>0</v>
      </c>
      <c r="T73" s="69">
        <f t="shared" si="14"/>
        <v>0</v>
      </c>
      <c r="U73" s="69">
        <f t="shared" si="15"/>
        <v>0</v>
      </c>
      <c r="V73" s="69">
        <f t="shared" si="16"/>
        <v>0</v>
      </c>
      <c r="W73" s="70">
        <f t="shared" si="17"/>
        <v>0</v>
      </c>
    </row>
    <row r="74" spans="1:23" ht="12.75" hidden="1" customHeight="1" outlineLevel="2" x14ac:dyDescent="0.2">
      <c r="A74" s="30"/>
      <c r="B74" s="31"/>
      <c r="C74" s="43"/>
      <c r="D74" s="43" t="str">
        <f>Labels!B386</f>
        <v>Prof Level 2</v>
      </c>
      <c r="E74" s="44" t="str">
        <f>Labels!B317</f>
        <v>Channels 1</v>
      </c>
      <c r="F74" s="69">
        <f t="shared" si="0"/>
        <v>0</v>
      </c>
      <c r="G74" s="69">
        <f t="shared" si="1"/>
        <v>0</v>
      </c>
      <c r="H74" s="69">
        <f t="shared" si="2"/>
        <v>0</v>
      </c>
      <c r="I74" s="69">
        <f t="shared" si="3"/>
        <v>0</v>
      </c>
      <c r="J74" s="69">
        <f t="shared" si="4"/>
        <v>0</v>
      </c>
      <c r="K74" s="69">
        <f t="shared" si="5"/>
        <v>0</v>
      </c>
      <c r="L74" s="69">
        <f t="shared" si="6"/>
        <v>0</v>
      </c>
      <c r="M74" s="69">
        <f t="shared" si="7"/>
        <v>0</v>
      </c>
      <c r="N74" s="69">
        <f t="shared" si="8"/>
        <v>0</v>
      </c>
      <c r="O74" s="69">
        <f t="shared" si="9"/>
        <v>0</v>
      </c>
      <c r="P74" s="69">
        <f t="shared" si="10"/>
        <v>0</v>
      </c>
      <c r="Q74" s="69">
        <f t="shared" si="11"/>
        <v>0</v>
      </c>
      <c r="R74" s="69">
        <f t="shared" si="12"/>
        <v>0</v>
      </c>
      <c r="S74" s="69">
        <f t="shared" si="13"/>
        <v>0</v>
      </c>
      <c r="T74" s="69">
        <f t="shared" si="14"/>
        <v>0</v>
      </c>
      <c r="U74" s="69">
        <f t="shared" si="15"/>
        <v>0</v>
      </c>
      <c r="V74" s="69">
        <f t="shared" si="16"/>
        <v>0</v>
      </c>
      <c r="W74" s="70">
        <f t="shared" si="17"/>
        <v>0</v>
      </c>
    </row>
    <row r="75" spans="1:23" ht="12.75" hidden="1" customHeight="1" outlineLevel="2" x14ac:dyDescent="0.2">
      <c r="A75" s="30"/>
      <c r="B75" s="31"/>
      <c r="C75" s="43"/>
      <c r="D75" s="43"/>
      <c r="E75" s="44" t="str">
        <f>Labels!B318</f>
        <v>Channels 2</v>
      </c>
      <c r="F75" s="69">
        <f t="shared" si="0"/>
        <v>0</v>
      </c>
      <c r="G75" s="69">
        <f t="shared" si="1"/>
        <v>0</v>
      </c>
      <c r="H75" s="69">
        <f t="shared" si="2"/>
        <v>0</v>
      </c>
      <c r="I75" s="69">
        <f t="shared" si="3"/>
        <v>0</v>
      </c>
      <c r="J75" s="69">
        <f t="shared" si="4"/>
        <v>0</v>
      </c>
      <c r="K75" s="69">
        <f t="shared" si="5"/>
        <v>0</v>
      </c>
      <c r="L75" s="69">
        <f t="shared" si="6"/>
        <v>0</v>
      </c>
      <c r="M75" s="69">
        <f t="shared" si="7"/>
        <v>0</v>
      </c>
      <c r="N75" s="69">
        <f t="shared" si="8"/>
        <v>0</v>
      </c>
      <c r="O75" s="69">
        <f t="shared" si="9"/>
        <v>0</v>
      </c>
      <c r="P75" s="69">
        <f t="shared" si="10"/>
        <v>0</v>
      </c>
      <c r="Q75" s="69">
        <f t="shared" si="11"/>
        <v>0</v>
      </c>
      <c r="R75" s="69">
        <f t="shared" si="12"/>
        <v>0</v>
      </c>
      <c r="S75" s="69">
        <f t="shared" si="13"/>
        <v>0</v>
      </c>
      <c r="T75" s="69">
        <f t="shared" si="14"/>
        <v>0</v>
      </c>
      <c r="U75" s="69">
        <f t="shared" si="15"/>
        <v>0</v>
      </c>
      <c r="V75" s="69">
        <f t="shared" si="16"/>
        <v>0</v>
      </c>
      <c r="W75" s="70">
        <f t="shared" si="17"/>
        <v>0</v>
      </c>
    </row>
    <row r="76" spans="1:23" ht="12.75" hidden="1" customHeight="1" outlineLevel="2" x14ac:dyDescent="0.2">
      <c r="A76" s="30"/>
      <c r="B76" s="31" t="str">
        <f>Labels!B390</f>
        <v>Lead Qual 2</v>
      </c>
      <c r="C76" s="43" t="str">
        <f>Labels!B381</f>
        <v>Practice 1</v>
      </c>
      <c r="D76" s="43" t="str">
        <f>Labels!B385</f>
        <v>Prof Level 1</v>
      </c>
      <c r="E76" s="44" t="str">
        <f>Labels!B317</f>
        <v>Channels 1</v>
      </c>
      <c r="F76" s="69">
        <f t="shared" si="0"/>
        <v>0</v>
      </c>
      <c r="G76" s="69">
        <f t="shared" si="1"/>
        <v>0</v>
      </c>
      <c r="H76" s="69">
        <f t="shared" si="2"/>
        <v>0</v>
      </c>
      <c r="I76" s="69">
        <f t="shared" si="3"/>
        <v>0</v>
      </c>
      <c r="J76" s="69">
        <f t="shared" si="4"/>
        <v>0</v>
      </c>
      <c r="K76" s="69">
        <f t="shared" si="5"/>
        <v>0</v>
      </c>
      <c r="L76" s="69">
        <f t="shared" si="6"/>
        <v>0</v>
      </c>
      <c r="M76" s="69">
        <f t="shared" si="7"/>
        <v>0</v>
      </c>
      <c r="N76" s="69">
        <f t="shared" si="8"/>
        <v>0</v>
      </c>
      <c r="O76" s="69">
        <f t="shared" si="9"/>
        <v>0</v>
      </c>
      <c r="P76" s="69">
        <f t="shared" si="10"/>
        <v>0</v>
      </c>
      <c r="Q76" s="69">
        <f t="shared" si="11"/>
        <v>0</v>
      </c>
      <c r="R76" s="69">
        <f t="shared" si="12"/>
        <v>0</v>
      </c>
      <c r="S76" s="69">
        <f t="shared" si="13"/>
        <v>0</v>
      </c>
      <c r="T76" s="69">
        <f t="shared" si="14"/>
        <v>0</v>
      </c>
      <c r="U76" s="69">
        <f t="shared" si="15"/>
        <v>0</v>
      </c>
      <c r="V76" s="69">
        <f t="shared" si="16"/>
        <v>0</v>
      </c>
      <c r="W76" s="70">
        <f t="shared" si="17"/>
        <v>0</v>
      </c>
    </row>
    <row r="77" spans="1:23" ht="12.75" hidden="1" customHeight="1" outlineLevel="2" x14ac:dyDescent="0.2">
      <c r="A77" s="30"/>
      <c r="B77" s="31"/>
      <c r="C77" s="43"/>
      <c r="D77" s="43"/>
      <c r="E77" s="44" t="str">
        <f>Labels!B318</f>
        <v>Channels 2</v>
      </c>
      <c r="F77" s="69">
        <f t="shared" si="0"/>
        <v>0</v>
      </c>
      <c r="G77" s="69">
        <f t="shared" si="1"/>
        <v>0</v>
      </c>
      <c r="H77" s="69">
        <f t="shared" si="2"/>
        <v>0</v>
      </c>
      <c r="I77" s="69">
        <f t="shared" si="3"/>
        <v>0</v>
      </c>
      <c r="J77" s="69">
        <f t="shared" si="4"/>
        <v>0</v>
      </c>
      <c r="K77" s="69">
        <f t="shared" si="5"/>
        <v>0</v>
      </c>
      <c r="L77" s="69">
        <f t="shared" si="6"/>
        <v>0</v>
      </c>
      <c r="M77" s="69">
        <f t="shared" si="7"/>
        <v>0</v>
      </c>
      <c r="N77" s="69">
        <f t="shared" si="8"/>
        <v>0</v>
      </c>
      <c r="O77" s="69">
        <f t="shared" si="9"/>
        <v>0</v>
      </c>
      <c r="P77" s="69">
        <f t="shared" si="10"/>
        <v>0</v>
      </c>
      <c r="Q77" s="69">
        <f t="shared" si="11"/>
        <v>0</v>
      </c>
      <c r="R77" s="69">
        <f t="shared" si="12"/>
        <v>0</v>
      </c>
      <c r="S77" s="69">
        <f t="shared" si="13"/>
        <v>0</v>
      </c>
      <c r="T77" s="69">
        <f t="shared" si="14"/>
        <v>0</v>
      </c>
      <c r="U77" s="69">
        <f t="shared" si="15"/>
        <v>0</v>
      </c>
      <c r="V77" s="69">
        <f t="shared" si="16"/>
        <v>0</v>
      </c>
      <c r="W77" s="70">
        <f t="shared" si="17"/>
        <v>0</v>
      </c>
    </row>
    <row r="78" spans="1:23" ht="12.75" hidden="1" customHeight="1" outlineLevel="2" x14ac:dyDescent="0.2">
      <c r="A78" s="30"/>
      <c r="B78" s="31"/>
      <c r="C78" s="43"/>
      <c r="D78" s="43" t="str">
        <f>Labels!B386</f>
        <v>Prof Level 2</v>
      </c>
      <c r="E78" s="44" t="str">
        <f>Labels!B317</f>
        <v>Channels 1</v>
      </c>
      <c r="F78" s="69">
        <f t="shared" si="0"/>
        <v>0</v>
      </c>
      <c r="G78" s="69">
        <f t="shared" si="1"/>
        <v>0</v>
      </c>
      <c r="H78" s="69">
        <f t="shared" si="2"/>
        <v>0</v>
      </c>
      <c r="I78" s="69">
        <f t="shared" si="3"/>
        <v>0</v>
      </c>
      <c r="J78" s="69">
        <f t="shared" si="4"/>
        <v>0</v>
      </c>
      <c r="K78" s="69">
        <f t="shared" si="5"/>
        <v>0</v>
      </c>
      <c r="L78" s="69">
        <f t="shared" si="6"/>
        <v>0</v>
      </c>
      <c r="M78" s="69">
        <f t="shared" si="7"/>
        <v>0</v>
      </c>
      <c r="N78" s="69">
        <f t="shared" si="8"/>
        <v>0</v>
      </c>
      <c r="O78" s="69">
        <f t="shared" si="9"/>
        <v>0</v>
      </c>
      <c r="P78" s="69">
        <f t="shared" si="10"/>
        <v>0</v>
      </c>
      <c r="Q78" s="69">
        <f t="shared" si="11"/>
        <v>0</v>
      </c>
      <c r="R78" s="69">
        <f t="shared" si="12"/>
        <v>0</v>
      </c>
      <c r="S78" s="69">
        <f t="shared" si="13"/>
        <v>0</v>
      </c>
      <c r="T78" s="69">
        <f t="shared" si="14"/>
        <v>0</v>
      </c>
      <c r="U78" s="69">
        <f t="shared" si="15"/>
        <v>0</v>
      </c>
      <c r="V78" s="69">
        <f t="shared" si="16"/>
        <v>0</v>
      </c>
      <c r="W78" s="70">
        <f t="shared" si="17"/>
        <v>0</v>
      </c>
    </row>
    <row r="79" spans="1:23" ht="12.75" hidden="1" customHeight="1" outlineLevel="2" x14ac:dyDescent="0.2">
      <c r="A79" s="30"/>
      <c r="B79" s="31"/>
      <c r="C79" s="43"/>
      <c r="D79" s="43"/>
      <c r="E79" s="44" t="str">
        <f>Labels!B318</f>
        <v>Channels 2</v>
      </c>
      <c r="F79" s="69">
        <f t="shared" si="0"/>
        <v>0</v>
      </c>
      <c r="G79" s="69">
        <f t="shared" si="1"/>
        <v>0</v>
      </c>
      <c r="H79" s="69">
        <f t="shared" si="2"/>
        <v>0</v>
      </c>
      <c r="I79" s="69">
        <f t="shared" si="3"/>
        <v>0</v>
      </c>
      <c r="J79" s="69">
        <f t="shared" si="4"/>
        <v>0</v>
      </c>
      <c r="K79" s="69">
        <f t="shared" si="5"/>
        <v>0</v>
      </c>
      <c r="L79" s="69">
        <f t="shared" si="6"/>
        <v>0</v>
      </c>
      <c r="M79" s="69">
        <f t="shared" si="7"/>
        <v>0</v>
      </c>
      <c r="N79" s="69">
        <f t="shared" si="8"/>
        <v>0</v>
      </c>
      <c r="O79" s="69">
        <f t="shared" si="9"/>
        <v>0</v>
      </c>
      <c r="P79" s="69">
        <f t="shared" si="10"/>
        <v>0</v>
      </c>
      <c r="Q79" s="69">
        <f t="shared" si="11"/>
        <v>0</v>
      </c>
      <c r="R79" s="69">
        <f t="shared" si="12"/>
        <v>0</v>
      </c>
      <c r="S79" s="69">
        <f t="shared" si="13"/>
        <v>0</v>
      </c>
      <c r="T79" s="69">
        <f t="shared" si="14"/>
        <v>0</v>
      </c>
      <c r="U79" s="69">
        <f t="shared" si="15"/>
        <v>0</v>
      </c>
      <c r="V79" s="69">
        <f t="shared" si="16"/>
        <v>0</v>
      </c>
      <c r="W79" s="70">
        <f t="shared" si="17"/>
        <v>0</v>
      </c>
    </row>
    <row r="80" spans="1:23" ht="12.75" hidden="1" customHeight="1" outlineLevel="2" x14ac:dyDescent="0.2">
      <c r="A80" s="30"/>
      <c r="B80" s="31"/>
      <c r="C80" s="43" t="str">
        <f>Labels!B382</f>
        <v>Practice 2</v>
      </c>
      <c r="D80" s="43" t="str">
        <f>Labels!B385</f>
        <v>Prof Level 1</v>
      </c>
      <c r="E80" s="44" t="str">
        <f>Labels!B317</f>
        <v>Channels 1</v>
      </c>
      <c r="F80" s="69">
        <f t="shared" si="0"/>
        <v>0</v>
      </c>
      <c r="G80" s="69">
        <f t="shared" si="1"/>
        <v>0</v>
      </c>
      <c r="H80" s="69">
        <f t="shared" si="2"/>
        <v>0</v>
      </c>
      <c r="I80" s="69">
        <f t="shared" si="3"/>
        <v>0</v>
      </c>
      <c r="J80" s="69">
        <f t="shared" si="4"/>
        <v>0</v>
      </c>
      <c r="K80" s="69">
        <f t="shared" si="5"/>
        <v>0</v>
      </c>
      <c r="L80" s="69">
        <f t="shared" si="6"/>
        <v>0</v>
      </c>
      <c r="M80" s="69">
        <f t="shared" si="7"/>
        <v>0</v>
      </c>
      <c r="N80" s="69">
        <f t="shared" si="8"/>
        <v>0</v>
      </c>
      <c r="O80" s="69">
        <f t="shared" si="9"/>
        <v>0</v>
      </c>
      <c r="P80" s="69">
        <f t="shared" si="10"/>
        <v>0</v>
      </c>
      <c r="Q80" s="69">
        <f t="shared" si="11"/>
        <v>0</v>
      </c>
      <c r="R80" s="69">
        <f t="shared" si="12"/>
        <v>0</v>
      </c>
      <c r="S80" s="69">
        <f t="shared" si="13"/>
        <v>0</v>
      </c>
      <c r="T80" s="69">
        <f t="shared" si="14"/>
        <v>0</v>
      </c>
      <c r="U80" s="69">
        <f t="shared" si="15"/>
        <v>0</v>
      </c>
      <c r="V80" s="69">
        <f t="shared" si="16"/>
        <v>0</v>
      </c>
      <c r="W80" s="70">
        <f t="shared" si="17"/>
        <v>0</v>
      </c>
    </row>
    <row r="81" spans="1:23" ht="12.75" hidden="1" customHeight="1" outlineLevel="2" x14ac:dyDescent="0.2">
      <c r="A81" s="30"/>
      <c r="B81" s="31"/>
      <c r="C81" s="43"/>
      <c r="D81" s="43"/>
      <c r="E81" s="44" t="str">
        <f>Labels!B318</f>
        <v>Channels 2</v>
      </c>
      <c r="F81" s="69">
        <f t="shared" si="0"/>
        <v>0</v>
      </c>
      <c r="G81" s="69">
        <f t="shared" si="1"/>
        <v>0</v>
      </c>
      <c r="H81" s="69">
        <f t="shared" si="2"/>
        <v>0</v>
      </c>
      <c r="I81" s="69">
        <f t="shared" si="3"/>
        <v>0</v>
      </c>
      <c r="J81" s="69">
        <f t="shared" si="4"/>
        <v>0</v>
      </c>
      <c r="K81" s="69">
        <f t="shared" si="5"/>
        <v>0</v>
      </c>
      <c r="L81" s="69">
        <f t="shared" si="6"/>
        <v>0</v>
      </c>
      <c r="M81" s="69">
        <f t="shared" si="7"/>
        <v>0</v>
      </c>
      <c r="N81" s="69">
        <f t="shared" si="8"/>
        <v>0</v>
      </c>
      <c r="O81" s="69">
        <f t="shared" si="9"/>
        <v>0</v>
      </c>
      <c r="P81" s="69">
        <f t="shared" si="10"/>
        <v>0</v>
      </c>
      <c r="Q81" s="69">
        <f t="shared" si="11"/>
        <v>0</v>
      </c>
      <c r="R81" s="69">
        <f t="shared" si="12"/>
        <v>0</v>
      </c>
      <c r="S81" s="69">
        <f t="shared" si="13"/>
        <v>0</v>
      </c>
      <c r="T81" s="69">
        <f t="shared" si="14"/>
        <v>0</v>
      </c>
      <c r="U81" s="69">
        <f t="shared" si="15"/>
        <v>0</v>
      </c>
      <c r="V81" s="69">
        <f t="shared" si="16"/>
        <v>0</v>
      </c>
      <c r="W81" s="70">
        <f t="shared" si="17"/>
        <v>0</v>
      </c>
    </row>
    <row r="82" spans="1:23" ht="12.75" hidden="1" customHeight="1" outlineLevel="2" x14ac:dyDescent="0.2">
      <c r="A82" s="30"/>
      <c r="B82" s="31"/>
      <c r="C82" s="43"/>
      <c r="D82" s="43" t="str">
        <f>Labels!B386</f>
        <v>Prof Level 2</v>
      </c>
      <c r="E82" s="44" t="str">
        <f>Labels!B317</f>
        <v>Channels 1</v>
      </c>
      <c r="F82" s="69">
        <f t="shared" si="0"/>
        <v>0</v>
      </c>
      <c r="G82" s="69">
        <f t="shared" si="1"/>
        <v>0</v>
      </c>
      <c r="H82" s="69">
        <f t="shared" si="2"/>
        <v>0</v>
      </c>
      <c r="I82" s="69">
        <f t="shared" si="3"/>
        <v>0</v>
      </c>
      <c r="J82" s="69">
        <f t="shared" si="4"/>
        <v>0</v>
      </c>
      <c r="K82" s="69">
        <f t="shared" si="5"/>
        <v>0</v>
      </c>
      <c r="L82" s="69">
        <f t="shared" si="6"/>
        <v>0</v>
      </c>
      <c r="M82" s="69">
        <f t="shared" si="7"/>
        <v>0</v>
      </c>
      <c r="N82" s="69">
        <f t="shared" si="8"/>
        <v>0</v>
      </c>
      <c r="O82" s="69">
        <f t="shared" si="9"/>
        <v>0</v>
      </c>
      <c r="P82" s="69">
        <f t="shared" si="10"/>
        <v>0</v>
      </c>
      <c r="Q82" s="69">
        <f t="shared" si="11"/>
        <v>0</v>
      </c>
      <c r="R82" s="69">
        <f t="shared" si="12"/>
        <v>0</v>
      </c>
      <c r="S82" s="69">
        <f t="shared" si="13"/>
        <v>0</v>
      </c>
      <c r="T82" s="69">
        <f t="shared" si="14"/>
        <v>0</v>
      </c>
      <c r="U82" s="69">
        <f t="shared" si="15"/>
        <v>0</v>
      </c>
      <c r="V82" s="69">
        <f t="shared" si="16"/>
        <v>0</v>
      </c>
      <c r="W82" s="70">
        <f t="shared" si="17"/>
        <v>0</v>
      </c>
    </row>
    <row r="83" spans="1:23" ht="12.75" hidden="1" customHeight="1" outlineLevel="2" x14ac:dyDescent="0.2">
      <c r="A83" s="17"/>
      <c r="B83" s="35"/>
      <c r="C83" s="47"/>
      <c r="D83" s="47"/>
      <c r="E83" s="48" t="str">
        <f>Labels!B318</f>
        <v>Channels 2</v>
      </c>
      <c r="F83" s="71">
        <f t="shared" si="0"/>
        <v>0</v>
      </c>
      <c r="G83" s="71">
        <f t="shared" si="1"/>
        <v>0</v>
      </c>
      <c r="H83" s="71">
        <f t="shared" si="2"/>
        <v>0</v>
      </c>
      <c r="I83" s="71">
        <f t="shared" si="3"/>
        <v>0</v>
      </c>
      <c r="J83" s="71">
        <f t="shared" si="4"/>
        <v>0</v>
      </c>
      <c r="K83" s="71">
        <f t="shared" si="5"/>
        <v>0</v>
      </c>
      <c r="L83" s="71">
        <f t="shared" si="6"/>
        <v>0</v>
      </c>
      <c r="M83" s="71">
        <f t="shared" si="7"/>
        <v>0</v>
      </c>
      <c r="N83" s="71">
        <f t="shared" si="8"/>
        <v>0</v>
      </c>
      <c r="O83" s="71">
        <f t="shared" si="9"/>
        <v>0</v>
      </c>
      <c r="P83" s="71">
        <f t="shared" si="10"/>
        <v>0</v>
      </c>
      <c r="Q83" s="71">
        <f t="shared" si="11"/>
        <v>0</v>
      </c>
      <c r="R83" s="71">
        <f t="shared" si="12"/>
        <v>0</v>
      </c>
      <c r="S83" s="71">
        <f t="shared" si="13"/>
        <v>0</v>
      </c>
      <c r="T83" s="71">
        <f t="shared" si="14"/>
        <v>0</v>
      </c>
      <c r="U83" s="71">
        <f t="shared" si="15"/>
        <v>0</v>
      </c>
      <c r="V83" s="71">
        <f t="shared" si="16"/>
        <v>0</v>
      </c>
      <c r="W83" s="72">
        <f t="shared" si="17"/>
        <v>0</v>
      </c>
    </row>
    <row r="84" spans="1:23" ht="12.75" hidden="1" customHeight="1" outlineLevel="2" collapsed="1" x14ac:dyDescent="0.2"/>
    <row r="85" spans="1:23" ht="12.75" hidden="1" customHeight="1" outlineLevel="1" collapsed="1" x14ac:dyDescent="0.2">
      <c r="A85" s="3" t="str">
        <f>"Lead Promotion Rates"</f>
        <v>Lead Promotion Rates</v>
      </c>
    </row>
    <row r="86" spans="1:23" ht="12.75" hidden="1" customHeight="1" outlineLevel="2" x14ac:dyDescent="0.2">
      <c r="A86" s="3" t="str">
        <f>" "</f>
        <v xml:space="preserve"> </v>
      </c>
    </row>
    <row r="87" spans="1:23" ht="12.75" hidden="1" customHeight="1" outlineLevel="2" x14ac:dyDescent="0.2">
      <c r="F87" s="9" t="str">
        <f>'(FnCalls 1)'!F41</f>
        <v>MMM 2010</v>
      </c>
      <c r="G87" s="10" t="str">
        <f>'(FnCalls 1)'!F42</f>
        <v>MMM 2010</v>
      </c>
      <c r="H87" s="10" t="str">
        <f>'(FnCalls 1)'!F43</f>
        <v>MMM 2010</v>
      </c>
      <c r="I87" s="10" t="str">
        <f>'(FnCalls 1)'!F44</f>
        <v>MMM 2010</v>
      </c>
      <c r="J87" s="10" t="str">
        <f>'(FnCalls 1)'!F45</f>
        <v>MMM 2010</v>
      </c>
      <c r="K87" s="10" t="str">
        <f>'(FnCalls 1)'!F46</f>
        <v>MMM 2010</v>
      </c>
      <c r="L87" s="10" t="str">
        <f>'(FnCalls 1)'!F47</f>
        <v>MMM 2010</v>
      </c>
      <c r="M87" s="10" t="str">
        <f>'(FnCalls 1)'!F48</f>
        <v>MMM 2010</v>
      </c>
      <c r="N87" s="10" t="str">
        <f>'(FnCalls 1)'!F49</f>
        <v>MMM 2010</v>
      </c>
      <c r="O87" s="10" t="str">
        <f>'(FnCalls 1)'!F50</f>
        <v>MMM 2010</v>
      </c>
      <c r="P87" s="10" t="str">
        <f>'(FnCalls 1)'!F51</f>
        <v>MMM 2010</v>
      </c>
      <c r="Q87" s="10" t="str">
        <f>'(FnCalls 1)'!F52</f>
        <v>MMM 2010</v>
      </c>
      <c r="R87" s="10" t="str">
        <f>'(FnCalls 1)'!F53</f>
        <v>MMM 2011</v>
      </c>
      <c r="S87" s="10" t="str">
        <f>'(FnCalls 1)'!F54</f>
        <v>MMM 2011</v>
      </c>
      <c r="T87" s="10" t="str">
        <f>'(FnCalls 1)'!F55</f>
        <v>MMM 2011</v>
      </c>
      <c r="U87" s="10" t="str">
        <f>'(FnCalls 1)'!F56</f>
        <v>MMM 2011</v>
      </c>
      <c r="V87" s="10" t="str">
        <f>'(FnCalls 1)'!F57</f>
        <v>MMM 2011</v>
      </c>
      <c r="W87" s="11" t="str">
        <f>'(FnCalls 1)'!F58</f>
        <v>MMM 2011</v>
      </c>
    </row>
    <row r="88" spans="1:23" ht="12.75" hidden="1" customHeight="1" outlineLevel="2" x14ac:dyDescent="0.2">
      <c r="A88" s="12" t="str">
        <f>Labels!B236</f>
        <v>Sales Lead Hrs Conv % (Yr)</v>
      </c>
      <c r="B88" s="26" t="str">
        <f>Labels!B389</f>
        <v>Lead Qual 1</v>
      </c>
      <c r="C88" s="39" t="str">
        <f>Labels!B381</f>
        <v>Practice 1</v>
      </c>
      <c r="D88" s="39" t="str">
        <f>Labels!B385</f>
        <v>Prof Level 1</v>
      </c>
      <c r="E88" s="40" t="str">
        <f>Labels!B317</f>
        <v>Channels 1</v>
      </c>
      <c r="F88" s="73">
        <f t="shared" ref="F88:F103" si="18">0.5</f>
        <v>0.5</v>
      </c>
      <c r="G88" s="73">
        <f t="shared" ref="G88:W88" si="19">F88</f>
        <v>0.5</v>
      </c>
      <c r="H88" s="73">
        <f t="shared" si="19"/>
        <v>0.5</v>
      </c>
      <c r="I88" s="73">
        <f t="shared" si="19"/>
        <v>0.5</v>
      </c>
      <c r="J88" s="73">
        <f t="shared" si="19"/>
        <v>0.5</v>
      </c>
      <c r="K88" s="73">
        <f t="shared" si="19"/>
        <v>0.5</v>
      </c>
      <c r="L88" s="73">
        <f t="shared" si="19"/>
        <v>0.5</v>
      </c>
      <c r="M88" s="73">
        <f t="shared" si="19"/>
        <v>0.5</v>
      </c>
      <c r="N88" s="73">
        <f t="shared" si="19"/>
        <v>0.5</v>
      </c>
      <c r="O88" s="73">
        <f t="shared" si="19"/>
        <v>0.5</v>
      </c>
      <c r="P88" s="73">
        <f t="shared" si="19"/>
        <v>0.5</v>
      </c>
      <c r="Q88" s="73">
        <f t="shared" si="19"/>
        <v>0.5</v>
      </c>
      <c r="R88" s="73">
        <f t="shared" si="19"/>
        <v>0.5</v>
      </c>
      <c r="S88" s="73">
        <f t="shared" si="19"/>
        <v>0.5</v>
      </c>
      <c r="T88" s="73">
        <f t="shared" si="19"/>
        <v>0.5</v>
      </c>
      <c r="U88" s="73">
        <f t="shared" si="19"/>
        <v>0.5</v>
      </c>
      <c r="V88" s="73">
        <f t="shared" si="19"/>
        <v>0.5</v>
      </c>
      <c r="W88" s="74">
        <f t="shared" si="19"/>
        <v>0.5</v>
      </c>
    </row>
    <row r="89" spans="1:23" ht="12.75" hidden="1" customHeight="1" outlineLevel="2" x14ac:dyDescent="0.2">
      <c r="A89" s="30"/>
      <c r="B89" s="31"/>
      <c r="C89" s="43"/>
      <c r="D89" s="43"/>
      <c r="E89" s="44" t="str">
        <f>Labels!B318</f>
        <v>Channels 2</v>
      </c>
      <c r="F89" s="75">
        <f t="shared" si="18"/>
        <v>0.5</v>
      </c>
      <c r="G89" s="75">
        <f t="shared" ref="G89:W89" si="20">F89</f>
        <v>0.5</v>
      </c>
      <c r="H89" s="75">
        <f t="shared" si="20"/>
        <v>0.5</v>
      </c>
      <c r="I89" s="75">
        <f t="shared" si="20"/>
        <v>0.5</v>
      </c>
      <c r="J89" s="75">
        <f t="shared" si="20"/>
        <v>0.5</v>
      </c>
      <c r="K89" s="75">
        <f t="shared" si="20"/>
        <v>0.5</v>
      </c>
      <c r="L89" s="75">
        <f t="shared" si="20"/>
        <v>0.5</v>
      </c>
      <c r="M89" s="75">
        <f t="shared" si="20"/>
        <v>0.5</v>
      </c>
      <c r="N89" s="75">
        <f t="shared" si="20"/>
        <v>0.5</v>
      </c>
      <c r="O89" s="75">
        <f t="shared" si="20"/>
        <v>0.5</v>
      </c>
      <c r="P89" s="75">
        <f t="shared" si="20"/>
        <v>0.5</v>
      </c>
      <c r="Q89" s="75">
        <f t="shared" si="20"/>
        <v>0.5</v>
      </c>
      <c r="R89" s="75">
        <f t="shared" si="20"/>
        <v>0.5</v>
      </c>
      <c r="S89" s="75">
        <f t="shared" si="20"/>
        <v>0.5</v>
      </c>
      <c r="T89" s="75">
        <f t="shared" si="20"/>
        <v>0.5</v>
      </c>
      <c r="U89" s="75">
        <f t="shared" si="20"/>
        <v>0.5</v>
      </c>
      <c r="V89" s="75">
        <f t="shared" si="20"/>
        <v>0.5</v>
      </c>
      <c r="W89" s="76">
        <f t="shared" si="20"/>
        <v>0.5</v>
      </c>
    </row>
    <row r="90" spans="1:23" ht="12.75" hidden="1" customHeight="1" outlineLevel="2" x14ac:dyDescent="0.2">
      <c r="A90" s="30"/>
      <c r="B90" s="31"/>
      <c r="C90" s="43"/>
      <c r="D90" s="43" t="str">
        <f>Labels!B386</f>
        <v>Prof Level 2</v>
      </c>
      <c r="E90" s="44" t="str">
        <f>Labels!B317</f>
        <v>Channels 1</v>
      </c>
      <c r="F90" s="75">
        <f t="shared" si="18"/>
        <v>0.5</v>
      </c>
      <c r="G90" s="75">
        <f t="shared" ref="G90:W90" si="21">F90</f>
        <v>0.5</v>
      </c>
      <c r="H90" s="75">
        <f t="shared" si="21"/>
        <v>0.5</v>
      </c>
      <c r="I90" s="75">
        <f t="shared" si="21"/>
        <v>0.5</v>
      </c>
      <c r="J90" s="75">
        <f t="shared" si="21"/>
        <v>0.5</v>
      </c>
      <c r="K90" s="75">
        <f t="shared" si="21"/>
        <v>0.5</v>
      </c>
      <c r="L90" s="75">
        <f t="shared" si="21"/>
        <v>0.5</v>
      </c>
      <c r="M90" s="75">
        <f t="shared" si="21"/>
        <v>0.5</v>
      </c>
      <c r="N90" s="75">
        <f t="shared" si="21"/>
        <v>0.5</v>
      </c>
      <c r="O90" s="75">
        <f t="shared" si="21"/>
        <v>0.5</v>
      </c>
      <c r="P90" s="75">
        <f t="shared" si="21"/>
        <v>0.5</v>
      </c>
      <c r="Q90" s="75">
        <f t="shared" si="21"/>
        <v>0.5</v>
      </c>
      <c r="R90" s="75">
        <f t="shared" si="21"/>
        <v>0.5</v>
      </c>
      <c r="S90" s="75">
        <f t="shared" si="21"/>
        <v>0.5</v>
      </c>
      <c r="T90" s="75">
        <f t="shared" si="21"/>
        <v>0.5</v>
      </c>
      <c r="U90" s="75">
        <f t="shared" si="21"/>
        <v>0.5</v>
      </c>
      <c r="V90" s="75">
        <f t="shared" si="21"/>
        <v>0.5</v>
      </c>
      <c r="W90" s="76">
        <f t="shared" si="21"/>
        <v>0.5</v>
      </c>
    </row>
    <row r="91" spans="1:23" ht="12.75" hidden="1" customHeight="1" outlineLevel="2" x14ac:dyDescent="0.2">
      <c r="A91" s="30"/>
      <c r="B91" s="31"/>
      <c r="C91" s="43"/>
      <c r="D91" s="43"/>
      <c r="E91" s="44" t="str">
        <f>Labels!B318</f>
        <v>Channels 2</v>
      </c>
      <c r="F91" s="75">
        <f t="shared" si="18"/>
        <v>0.5</v>
      </c>
      <c r="G91" s="75">
        <f t="shared" ref="G91:W91" si="22">F91</f>
        <v>0.5</v>
      </c>
      <c r="H91" s="75">
        <f t="shared" si="22"/>
        <v>0.5</v>
      </c>
      <c r="I91" s="75">
        <f t="shared" si="22"/>
        <v>0.5</v>
      </c>
      <c r="J91" s="75">
        <f t="shared" si="22"/>
        <v>0.5</v>
      </c>
      <c r="K91" s="75">
        <f t="shared" si="22"/>
        <v>0.5</v>
      </c>
      <c r="L91" s="75">
        <f t="shared" si="22"/>
        <v>0.5</v>
      </c>
      <c r="M91" s="75">
        <f t="shared" si="22"/>
        <v>0.5</v>
      </c>
      <c r="N91" s="75">
        <f t="shared" si="22"/>
        <v>0.5</v>
      </c>
      <c r="O91" s="75">
        <f t="shared" si="22"/>
        <v>0.5</v>
      </c>
      <c r="P91" s="75">
        <f t="shared" si="22"/>
        <v>0.5</v>
      </c>
      <c r="Q91" s="75">
        <f t="shared" si="22"/>
        <v>0.5</v>
      </c>
      <c r="R91" s="75">
        <f t="shared" si="22"/>
        <v>0.5</v>
      </c>
      <c r="S91" s="75">
        <f t="shared" si="22"/>
        <v>0.5</v>
      </c>
      <c r="T91" s="75">
        <f t="shared" si="22"/>
        <v>0.5</v>
      </c>
      <c r="U91" s="75">
        <f t="shared" si="22"/>
        <v>0.5</v>
      </c>
      <c r="V91" s="75">
        <f t="shared" si="22"/>
        <v>0.5</v>
      </c>
      <c r="W91" s="76">
        <f t="shared" si="22"/>
        <v>0.5</v>
      </c>
    </row>
    <row r="92" spans="1:23" ht="12.75" hidden="1" customHeight="1" outlineLevel="2" x14ac:dyDescent="0.2">
      <c r="A92" s="30"/>
      <c r="B92" s="31"/>
      <c r="C92" s="43" t="str">
        <f>Labels!B382</f>
        <v>Practice 2</v>
      </c>
      <c r="D92" s="43" t="str">
        <f>Labels!B385</f>
        <v>Prof Level 1</v>
      </c>
      <c r="E92" s="44" t="str">
        <f>Labels!B317</f>
        <v>Channels 1</v>
      </c>
      <c r="F92" s="75">
        <f t="shared" si="18"/>
        <v>0.5</v>
      </c>
      <c r="G92" s="75">
        <f t="shared" ref="G92:W92" si="23">F92</f>
        <v>0.5</v>
      </c>
      <c r="H92" s="75">
        <f t="shared" si="23"/>
        <v>0.5</v>
      </c>
      <c r="I92" s="75">
        <f t="shared" si="23"/>
        <v>0.5</v>
      </c>
      <c r="J92" s="75">
        <f t="shared" si="23"/>
        <v>0.5</v>
      </c>
      <c r="K92" s="75">
        <f t="shared" si="23"/>
        <v>0.5</v>
      </c>
      <c r="L92" s="75">
        <f t="shared" si="23"/>
        <v>0.5</v>
      </c>
      <c r="M92" s="75">
        <f t="shared" si="23"/>
        <v>0.5</v>
      </c>
      <c r="N92" s="75">
        <f t="shared" si="23"/>
        <v>0.5</v>
      </c>
      <c r="O92" s="75">
        <f t="shared" si="23"/>
        <v>0.5</v>
      </c>
      <c r="P92" s="75">
        <f t="shared" si="23"/>
        <v>0.5</v>
      </c>
      <c r="Q92" s="75">
        <f t="shared" si="23"/>
        <v>0.5</v>
      </c>
      <c r="R92" s="75">
        <f t="shared" si="23"/>
        <v>0.5</v>
      </c>
      <c r="S92" s="75">
        <f t="shared" si="23"/>
        <v>0.5</v>
      </c>
      <c r="T92" s="75">
        <f t="shared" si="23"/>
        <v>0.5</v>
      </c>
      <c r="U92" s="75">
        <f t="shared" si="23"/>
        <v>0.5</v>
      </c>
      <c r="V92" s="75">
        <f t="shared" si="23"/>
        <v>0.5</v>
      </c>
      <c r="W92" s="76">
        <f t="shared" si="23"/>
        <v>0.5</v>
      </c>
    </row>
    <row r="93" spans="1:23" ht="12.75" hidden="1" customHeight="1" outlineLevel="2" x14ac:dyDescent="0.2">
      <c r="A93" s="30"/>
      <c r="B93" s="31"/>
      <c r="C93" s="43"/>
      <c r="D93" s="43"/>
      <c r="E93" s="44" t="str">
        <f>Labels!B318</f>
        <v>Channels 2</v>
      </c>
      <c r="F93" s="75">
        <f t="shared" si="18"/>
        <v>0.5</v>
      </c>
      <c r="G93" s="75">
        <f t="shared" ref="G93:W93" si="24">F93</f>
        <v>0.5</v>
      </c>
      <c r="H93" s="75">
        <f t="shared" si="24"/>
        <v>0.5</v>
      </c>
      <c r="I93" s="75">
        <f t="shared" si="24"/>
        <v>0.5</v>
      </c>
      <c r="J93" s="75">
        <f t="shared" si="24"/>
        <v>0.5</v>
      </c>
      <c r="K93" s="75">
        <f t="shared" si="24"/>
        <v>0.5</v>
      </c>
      <c r="L93" s="75">
        <f t="shared" si="24"/>
        <v>0.5</v>
      </c>
      <c r="M93" s="75">
        <f t="shared" si="24"/>
        <v>0.5</v>
      </c>
      <c r="N93" s="75">
        <f t="shared" si="24"/>
        <v>0.5</v>
      </c>
      <c r="O93" s="75">
        <f t="shared" si="24"/>
        <v>0.5</v>
      </c>
      <c r="P93" s="75">
        <f t="shared" si="24"/>
        <v>0.5</v>
      </c>
      <c r="Q93" s="75">
        <f t="shared" si="24"/>
        <v>0.5</v>
      </c>
      <c r="R93" s="75">
        <f t="shared" si="24"/>
        <v>0.5</v>
      </c>
      <c r="S93" s="75">
        <f t="shared" si="24"/>
        <v>0.5</v>
      </c>
      <c r="T93" s="75">
        <f t="shared" si="24"/>
        <v>0.5</v>
      </c>
      <c r="U93" s="75">
        <f t="shared" si="24"/>
        <v>0.5</v>
      </c>
      <c r="V93" s="75">
        <f t="shared" si="24"/>
        <v>0.5</v>
      </c>
      <c r="W93" s="76">
        <f t="shared" si="24"/>
        <v>0.5</v>
      </c>
    </row>
    <row r="94" spans="1:23" ht="12.75" hidden="1" customHeight="1" outlineLevel="2" x14ac:dyDescent="0.2">
      <c r="A94" s="30"/>
      <c r="B94" s="31"/>
      <c r="C94" s="43"/>
      <c r="D94" s="43" t="str">
        <f>Labels!B386</f>
        <v>Prof Level 2</v>
      </c>
      <c r="E94" s="44" t="str">
        <f>Labels!B317</f>
        <v>Channels 1</v>
      </c>
      <c r="F94" s="75">
        <f t="shared" si="18"/>
        <v>0.5</v>
      </c>
      <c r="G94" s="75">
        <f t="shared" ref="G94:W94" si="25">F94</f>
        <v>0.5</v>
      </c>
      <c r="H94" s="75">
        <f t="shared" si="25"/>
        <v>0.5</v>
      </c>
      <c r="I94" s="75">
        <f t="shared" si="25"/>
        <v>0.5</v>
      </c>
      <c r="J94" s="75">
        <f t="shared" si="25"/>
        <v>0.5</v>
      </c>
      <c r="K94" s="75">
        <f t="shared" si="25"/>
        <v>0.5</v>
      </c>
      <c r="L94" s="75">
        <f t="shared" si="25"/>
        <v>0.5</v>
      </c>
      <c r="M94" s="75">
        <f t="shared" si="25"/>
        <v>0.5</v>
      </c>
      <c r="N94" s="75">
        <f t="shared" si="25"/>
        <v>0.5</v>
      </c>
      <c r="O94" s="75">
        <f t="shared" si="25"/>
        <v>0.5</v>
      </c>
      <c r="P94" s="75">
        <f t="shared" si="25"/>
        <v>0.5</v>
      </c>
      <c r="Q94" s="75">
        <f t="shared" si="25"/>
        <v>0.5</v>
      </c>
      <c r="R94" s="75">
        <f t="shared" si="25"/>
        <v>0.5</v>
      </c>
      <c r="S94" s="75">
        <f t="shared" si="25"/>
        <v>0.5</v>
      </c>
      <c r="T94" s="75">
        <f t="shared" si="25"/>
        <v>0.5</v>
      </c>
      <c r="U94" s="75">
        <f t="shared" si="25"/>
        <v>0.5</v>
      </c>
      <c r="V94" s="75">
        <f t="shared" si="25"/>
        <v>0.5</v>
      </c>
      <c r="W94" s="76">
        <f t="shared" si="25"/>
        <v>0.5</v>
      </c>
    </row>
    <row r="95" spans="1:23" ht="12.75" hidden="1" customHeight="1" outlineLevel="2" x14ac:dyDescent="0.2">
      <c r="A95" s="30"/>
      <c r="B95" s="31"/>
      <c r="C95" s="43"/>
      <c r="D95" s="43"/>
      <c r="E95" s="44" t="str">
        <f>Labels!B318</f>
        <v>Channels 2</v>
      </c>
      <c r="F95" s="75">
        <f t="shared" si="18"/>
        <v>0.5</v>
      </c>
      <c r="G95" s="75">
        <f t="shared" ref="G95:W95" si="26">F95</f>
        <v>0.5</v>
      </c>
      <c r="H95" s="75">
        <f t="shared" si="26"/>
        <v>0.5</v>
      </c>
      <c r="I95" s="75">
        <f t="shared" si="26"/>
        <v>0.5</v>
      </c>
      <c r="J95" s="75">
        <f t="shared" si="26"/>
        <v>0.5</v>
      </c>
      <c r="K95" s="75">
        <f t="shared" si="26"/>
        <v>0.5</v>
      </c>
      <c r="L95" s="75">
        <f t="shared" si="26"/>
        <v>0.5</v>
      </c>
      <c r="M95" s="75">
        <f t="shared" si="26"/>
        <v>0.5</v>
      </c>
      <c r="N95" s="75">
        <f t="shared" si="26"/>
        <v>0.5</v>
      </c>
      <c r="O95" s="75">
        <f t="shared" si="26"/>
        <v>0.5</v>
      </c>
      <c r="P95" s="75">
        <f t="shared" si="26"/>
        <v>0.5</v>
      </c>
      <c r="Q95" s="75">
        <f t="shared" si="26"/>
        <v>0.5</v>
      </c>
      <c r="R95" s="75">
        <f t="shared" si="26"/>
        <v>0.5</v>
      </c>
      <c r="S95" s="75">
        <f t="shared" si="26"/>
        <v>0.5</v>
      </c>
      <c r="T95" s="75">
        <f t="shared" si="26"/>
        <v>0.5</v>
      </c>
      <c r="U95" s="75">
        <f t="shared" si="26"/>
        <v>0.5</v>
      </c>
      <c r="V95" s="75">
        <f t="shared" si="26"/>
        <v>0.5</v>
      </c>
      <c r="W95" s="76">
        <f t="shared" si="26"/>
        <v>0.5</v>
      </c>
    </row>
    <row r="96" spans="1:23" ht="12.75" hidden="1" customHeight="1" outlineLevel="2" x14ac:dyDescent="0.2">
      <c r="A96" s="30"/>
      <c r="B96" s="31" t="str">
        <f>Labels!B390</f>
        <v>Lead Qual 2</v>
      </c>
      <c r="C96" s="43" t="str">
        <f>Labels!B381</f>
        <v>Practice 1</v>
      </c>
      <c r="D96" s="43" t="str">
        <f>Labels!B385</f>
        <v>Prof Level 1</v>
      </c>
      <c r="E96" s="44" t="str">
        <f>Labels!B317</f>
        <v>Channels 1</v>
      </c>
      <c r="F96" s="75">
        <f t="shared" si="18"/>
        <v>0.5</v>
      </c>
      <c r="G96" s="75">
        <f t="shared" ref="G96:W96" si="27">F96</f>
        <v>0.5</v>
      </c>
      <c r="H96" s="75">
        <f t="shared" si="27"/>
        <v>0.5</v>
      </c>
      <c r="I96" s="75">
        <f t="shared" si="27"/>
        <v>0.5</v>
      </c>
      <c r="J96" s="75">
        <f t="shared" si="27"/>
        <v>0.5</v>
      </c>
      <c r="K96" s="75">
        <f t="shared" si="27"/>
        <v>0.5</v>
      </c>
      <c r="L96" s="75">
        <f t="shared" si="27"/>
        <v>0.5</v>
      </c>
      <c r="M96" s="75">
        <f t="shared" si="27"/>
        <v>0.5</v>
      </c>
      <c r="N96" s="75">
        <f t="shared" si="27"/>
        <v>0.5</v>
      </c>
      <c r="O96" s="75">
        <f t="shared" si="27"/>
        <v>0.5</v>
      </c>
      <c r="P96" s="75">
        <f t="shared" si="27"/>
        <v>0.5</v>
      </c>
      <c r="Q96" s="75">
        <f t="shared" si="27"/>
        <v>0.5</v>
      </c>
      <c r="R96" s="75">
        <f t="shared" si="27"/>
        <v>0.5</v>
      </c>
      <c r="S96" s="75">
        <f t="shared" si="27"/>
        <v>0.5</v>
      </c>
      <c r="T96" s="75">
        <f t="shared" si="27"/>
        <v>0.5</v>
      </c>
      <c r="U96" s="75">
        <f t="shared" si="27"/>
        <v>0.5</v>
      </c>
      <c r="V96" s="75">
        <f t="shared" si="27"/>
        <v>0.5</v>
      </c>
      <c r="W96" s="76">
        <f t="shared" si="27"/>
        <v>0.5</v>
      </c>
    </row>
    <row r="97" spans="1:23" ht="12.75" hidden="1" customHeight="1" outlineLevel="2" x14ac:dyDescent="0.2">
      <c r="A97" s="30"/>
      <c r="B97" s="31"/>
      <c r="C97" s="43"/>
      <c r="D97" s="43"/>
      <c r="E97" s="44" t="str">
        <f>Labels!B318</f>
        <v>Channels 2</v>
      </c>
      <c r="F97" s="75">
        <f t="shared" si="18"/>
        <v>0.5</v>
      </c>
      <c r="G97" s="75">
        <f t="shared" ref="G97:W97" si="28">F97</f>
        <v>0.5</v>
      </c>
      <c r="H97" s="75">
        <f t="shared" si="28"/>
        <v>0.5</v>
      </c>
      <c r="I97" s="75">
        <f t="shared" si="28"/>
        <v>0.5</v>
      </c>
      <c r="J97" s="75">
        <f t="shared" si="28"/>
        <v>0.5</v>
      </c>
      <c r="K97" s="75">
        <f t="shared" si="28"/>
        <v>0.5</v>
      </c>
      <c r="L97" s="75">
        <f t="shared" si="28"/>
        <v>0.5</v>
      </c>
      <c r="M97" s="75">
        <f t="shared" si="28"/>
        <v>0.5</v>
      </c>
      <c r="N97" s="75">
        <f t="shared" si="28"/>
        <v>0.5</v>
      </c>
      <c r="O97" s="75">
        <f t="shared" si="28"/>
        <v>0.5</v>
      </c>
      <c r="P97" s="75">
        <f t="shared" si="28"/>
        <v>0.5</v>
      </c>
      <c r="Q97" s="75">
        <f t="shared" si="28"/>
        <v>0.5</v>
      </c>
      <c r="R97" s="75">
        <f t="shared" si="28"/>
        <v>0.5</v>
      </c>
      <c r="S97" s="75">
        <f t="shared" si="28"/>
        <v>0.5</v>
      </c>
      <c r="T97" s="75">
        <f t="shared" si="28"/>
        <v>0.5</v>
      </c>
      <c r="U97" s="75">
        <f t="shared" si="28"/>
        <v>0.5</v>
      </c>
      <c r="V97" s="75">
        <f t="shared" si="28"/>
        <v>0.5</v>
      </c>
      <c r="W97" s="76">
        <f t="shared" si="28"/>
        <v>0.5</v>
      </c>
    </row>
    <row r="98" spans="1:23" ht="12.75" hidden="1" customHeight="1" outlineLevel="2" x14ac:dyDescent="0.2">
      <c r="A98" s="30"/>
      <c r="B98" s="31"/>
      <c r="C98" s="43"/>
      <c r="D98" s="43" t="str">
        <f>Labels!B386</f>
        <v>Prof Level 2</v>
      </c>
      <c r="E98" s="44" t="str">
        <f>Labels!B317</f>
        <v>Channels 1</v>
      </c>
      <c r="F98" s="75">
        <f t="shared" si="18"/>
        <v>0.5</v>
      </c>
      <c r="G98" s="75">
        <f t="shared" ref="G98:W98" si="29">F98</f>
        <v>0.5</v>
      </c>
      <c r="H98" s="75">
        <f t="shared" si="29"/>
        <v>0.5</v>
      </c>
      <c r="I98" s="75">
        <f t="shared" si="29"/>
        <v>0.5</v>
      </c>
      <c r="J98" s="75">
        <f t="shared" si="29"/>
        <v>0.5</v>
      </c>
      <c r="K98" s="75">
        <f t="shared" si="29"/>
        <v>0.5</v>
      </c>
      <c r="L98" s="75">
        <f t="shared" si="29"/>
        <v>0.5</v>
      </c>
      <c r="M98" s="75">
        <f t="shared" si="29"/>
        <v>0.5</v>
      </c>
      <c r="N98" s="75">
        <f t="shared" si="29"/>
        <v>0.5</v>
      </c>
      <c r="O98" s="75">
        <f t="shared" si="29"/>
        <v>0.5</v>
      </c>
      <c r="P98" s="75">
        <f t="shared" si="29"/>
        <v>0.5</v>
      </c>
      <c r="Q98" s="75">
        <f t="shared" si="29"/>
        <v>0.5</v>
      </c>
      <c r="R98" s="75">
        <f t="shared" si="29"/>
        <v>0.5</v>
      </c>
      <c r="S98" s="75">
        <f t="shared" si="29"/>
        <v>0.5</v>
      </c>
      <c r="T98" s="75">
        <f t="shared" si="29"/>
        <v>0.5</v>
      </c>
      <c r="U98" s="75">
        <f t="shared" si="29"/>
        <v>0.5</v>
      </c>
      <c r="V98" s="75">
        <f t="shared" si="29"/>
        <v>0.5</v>
      </c>
      <c r="W98" s="76">
        <f t="shared" si="29"/>
        <v>0.5</v>
      </c>
    </row>
    <row r="99" spans="1:23" ht="12.75" hidden="1" customHeight="1" outlineLevel="2" x14ac:dyDescent="0.2">
      <c r="A99" s="30"/>
      <c r="B99" s="31"/>
      <c r="C99" s="43"/>
      <c r="D99" s="43"/>
      <c r="E99" s="44" t="str">
        <f>Labels!B318</f>
        <v>Channels 2</v>
      </c>
      <c r="F99" s="75">
        <f t="shared" si="18"/>
        <v>0.5</v>
      </c>
      <c r="G99" s="75">
        <f t="shared" ref="G99:W99" si="30">F99</f>
        <v>0.5</v>
      </c>
      <c r="H99" s="75">
        <f t="shared" si="30"/>
        <v>0.5</v>
      </c>
      <c r="I99" s="75">
        <f t="shared" si="30"/>
        <v>0.5</v>
      </c>
      <c r="J99" s="75">
        <f t="shared" si="30"/>
        <v>0.5</v>
      </c>
      <c r="K99" s="75">
        <f t="shared" si="30"/>
        <v>0.5</v>
      </c>
      <c r="L99" s="75">
        <f t="shared" si="30"/>
        <v>0.5</v>
      </c>
      <c r="M99" s="75">
        <f t="shared" si="30"/>
        <v>0.5</v>
      </c>
      <c r="N99" s="75">
        <f t="shared" si="30"/>
        <v>0.5</v>
      </c>
      <c r="O99" s="75">
        <f t="shared" si="30"/>
        <v>0.5</v>
      </c>
      <c r="P99" s="75">
        <f t="shared" si="30"/>
        <v>0.5</v>
      </c>
      <c r="Q99" s="75">
        <f t="shared" si="30"/>
        <v>0.5</v>
      </c>
      <c r="R99" s="75">
        <f t="shared" si="30"/>
        <v>0.5</v>
      </c>
      <c r="S99" s="75">
        <f t="shared" si="30"/>
        <v>0.5</v>
      </c>
      <c r="T99" s="75">
        <f t="shared" si="30"/>
        <v>0.5</v>
      </c>
      <c r="U99" s="75">
        <f t="shared" si="30"/>
        <v>0.5</v>
      </c>
      <c r="V99" s="75">
        <f t="shared" si="30"/>
        <v>0.5</v>
      </c>
      <c r="W99" s="76">
        <f t="shared" si="30"/>
        <v>0.5</v>
      </c>
    </row>
    <row r="100" spans="1:23" ht="12.75" hidden="1" customHeight="1" outlineLevel="2" x14ac:dyDescent="0.2">
      <c r="A100" s="30"/>
      <c r="B100" s="31"/>
      <c r="C100" s="43" t="str">
        <f>Labels!B382</f>
        <v>Practice 2</v>
      </c>
      <c r="D100" s="43" t="str">
        <f>Labels!B385</f>
        <v>Prof Level 1</v>
      </c>
      <c r="E100" s="44" t="str">
        <f>Labels!B317</f>
        <v>Channels 1</v>
      </c>
      <c r="F100" s="75">
        <f t="shared" si="18"/>
        <v>0.5</v>
      </c>
      <c r="G100" s="75">
        <f t="shared" ref="G100:W100" si="31">F100</f>
        <v>0.5</v>
      </c>
      <c r="H100" s="75">
        <f t="shared" si="31"/>
        <v>0.5</v>
      </c>
      <c r="I100" s="75">
        <f t="shared" si="31"/>
        <v>0.5</v>
      </c>
      <c r="J100" s="75">
        <f t="shared" si="31"/>
        <v>0.5</v>
      </c>
      <c r="K100" s="75">
        <f t="shared" si="31"/>
        <v>0.5</v>
      </c>
      <c r="L100" s="75">
        <f t="shared" si="31"/>
        <v>0.5</v>
      </c>
      <c r="M100" s="75">
        <f t="shared" si="31"/>
        <v>0.5</v>
      </c>
      <c r="N100" s="75">
        <f t="shared" si="31"/>
        <v>0.5</v>
      </c>
      <c r="O100" s="75">
        <f t="shared" si="31"/>
        <v>0.5</v>
      </c>
      <c r="P100" s="75">
        <f t="shared" si="31"/>
        <v>0.5</v>
      </c>
      <c r="Q100" s="75">
        <f t="shared" si="31"/>
        <v>0.5</v>
      </c>
      <c r="R100" s="75">
        <f t="shared" si="31"/>
        <v>0.5</v>
      </c>
      <c r="S100" s="75">
        <f t="shared" si="31"/>
        <v>0.5</v>
      </c>
      <c r="T100" s="75">
        <f t="shared" si="31"/>
        <v>0.5</v>
      </c>
      <c r="U100" s="75">
        <f t="shared" si="31"/>
        <v>0.5</v>
      </c>
      <c r="V100" s="75">
        <f t="shared" si="31"/>
        <v>0.5</v>
      </c>
      <c r="W100" s="76">
        <f t="shared" si="31"/>
        <v>0.5</v>
      </c>
    </row>
    <row r="101" spans="1:23" ht="12.75" hidden="1" customHeight="1" outlineLevel="2" x14ac:dyDescent="0.2">
      <c r="A101" s="30"/>
      <c r="B101" s="31"/>
      <c r="C101" s="43"/>
      <c r="D101" s="43"/>
      <c r="E101" s="44" t="str">
        <f>Labels!B318</f>
        <v>Channels 2</v>
      </c>
      <c r="F101" s="75">
        <f t="shared" si="18"/>
        <v>0.5</v>
      </c>
      <c r="G101" s="75">
        <f t="shared" ref="G101:W101" si="32">F101</f>
        <v>0.5</v>
      </c>
      <c r="H101" s="75">
        <f t="shared" si="32"/>
        <v>0.5</v>
      </c>
      <c r="I101" s="75">
        <f t="shared" si="32"/>
        <v>0.5</v>
      </c>
      <c r="J101" s="75">
        <f t="shared" si="32"/>
        <v>0.5</v>
      </c>
      <c r="K101" s="75">
        <f t="shared" si="32"/>
        <v>0.5</v>
      </c>
      <c r="L101" s="75">
        <f t="shared" si="32"/>
        <v>0.5</v>
      </c>
      <c r="M101" s="75">
        <f t="shared" si="32"/>
        <v>0.5</v>
      </c>
      <c r="N101" s="75">
        <f t="shared" si="32"/>
        <v>0.5</v>
      </c>
      <c r="O101" s="75">
        <f t="shared" si="32"/>
        <v>0.5</v>
      </c>
      <c r="P101" s="75">
        <f t="shared" si="32"/>
        <v>0.5</v>
      </c>
      <c r="Q101" s="75">
        <f t="shared" si="32"/>
        <v>0.5</v>
      </c>
      <c r="R101" s="75">
        <f t="shared" si="32"/>
        <v>0.5</v>
      </c>
      <c r="S101" s="75">
        <f t="shared" si="32"/>
        <v>0.5</v>
      </c>
      <c r="T101" s="75">
        <f t="shared" si="32"/>
        <v>0.5</v>
      </c>
      <c r="U101" s="75">
        <f t="shared" si="32"/>
        <v>0.5</v>
      </c>
      <c r="V101" s="75">
        <f t="shared" si="32"/>
        <v>0.5</v>
      </c>
      <c r="W101" s="76">
        <f t="shared" si="32"/>
        <v>0.5</v>
      </c>
    </row>
    <row r="102" spans="1:23" ht="12.75" hidden="1" customHeight="1" outlineLevel="2" x14ac:dyDescent="0.2">
      <c r="A102" s="30"/>
      <c r="B102" s="31"/>
      <c r="C102" s="43"/>
      <c r="D102" s="43" t="str">
        <f>Labels!B386</f>
        <v>Prof Level 2</v>
      </c>
      <c r="E102" s="44" t="str">
        <f>Labels!B317</f>
        <v>Channels 1</v>
      </c>
      <c r="F102" s="75">
        <f t="shared" si="18"/>
        <v>0.5</v>
      </c>
      <c r="G102" s="75">
        <f t="shared" ref="G102:W102" si="33">F102</f>
        <v>0.5</v>
      </c>
      <c r="H102" s="75">
        <f t="shared" si="33"/>
        <v>0.5</v>
      </c>
      <c r="I102" s="75">
        <f t="shared" si="33"/>
        <v>0.5</v>
      </c>
      <c r="J102" s="75">
        <f t="shared" si="33"/>
        <v>0.5</v>
      </c>
      <c r="K102" s="75">
        <f t="shared" si="33"/>
        <v>0.5</v>
      </c>
      <c r="L102" s="75">
        <f t="shared" si="33"/>
        <v>0.5</v>
      </c>
      <c r="M102" s="75">
        <f t="shared" si="33"/>
        <v>0.5</v>
      </c>
      <c r="N102" s="75">
        <f t="shared" si="33"/>
        <v>0.5</v>
      </c>
      <c r="O102" s="75">
        <f t="shared" si="33"/>
        <v>0.5</v>
      </c>
      <c r="P102" s="75">
        <f t="shared" si="33"/>
        <v>0.5</v>
      </c>
      <c r="Q102" s="75">
        <f t="shared" si="33"/>
        <v>0.5</v>
      </c>
      <c r="R102" s="75">
        <f t="shared" si="33"/>
        <v>0.5</v>
      </c>
      <c r="S102" s="75">
        <f t="shared" si="33"/>
        <v>0.5</v>
      </c>
      <c r="T102" s="75">
        <f t="shared" si="33"/>
        <v>0.5</v>
      </c>
      <c r="U102" s="75">
        <f t="shared" si="33"/>
        <v>0.5</v>
      </c>
      <c r="V102" s="75">
        <f t="shared" si="33"/>
        <v>0.5</v>
      </c>
      <c r="W102" s="76">
        <f t="shared" si="33"/>
        <v>0.5</v>
      </c>
    </row>
    <row r="103" spans="1:23" ht="12.75" hidden="1" customHeight="1" outlineLevel="2" x14ac:dyDescent="0.2">
      <c r="A103" s="30"/>
      <c r="B103" s="31"/>
      <c r="C103" s="43"/>
      <c r="D103" s="43"/>
      <c r="E103" s="44" t="str">
        <f>Labels!B318</f>
        <v>Channels 2</v>
      </c>
      <c r="F103" s="75">
        <f t="shared" si="18"/>
        <v>0.5</v>
      </c>
      <c r="G103" s="75">
        <f t="shared" ref="G103:W103" si="34">F103</f>
        <v>0.5</v>
      </c>
      <c r="H103" s="75">
        <f t="shared" si="34"/>
        <v>0.5</v>
      </c>
      <c r="I103" s="75">
        <f t="shared" si="34"/>
        <v>0.5</v>
      </c>
      <c r="J103" s="75">
        <f t="shared" si="34"/>
        <v>0.5</v>
      </c>
      <c r="K103" s="75">
        <f t="shared" si="34"/>
        <v>0.5</v>
      </c>
      <c r="L103" s="75">
        <f t="shared" si="34"/>
        <v>0.5</v>
      </c>
      <c r="M103" s="75">
        <f t="shared" si="34"/>
        <v>0.5</v>
      </c>
      <c r="N103" s="75">
        <f t="shared" si="34"/>
        <v>0.5</v>
      </c>
      <c r="O103" s="75">
        <f t="shared" si="34"/>
        <v>0.5</v>
      </c>
      <c r="P103" s="75">
        <f t="shared" si="34"/>
        <v>0.5</v>
      </c>
      <c r="Q103" s="75">
        <f t="shared" si="34"/>
        <v>0.5</v>
      </c>
      <c r="R103" s="75">
        <f t="shared" si="34"/>
        <v>0.5</v>
      </c>
      <c r="S103" s="75">
        <f t="shared" si="34"/>
        <v>0.5</v>
      </c>
      <c r="T103" s="75">
        <f t="shared" si="34"/>
        <v>0.5</v>
      </c>
      <c r="U103" s="75">
        <f t="shared" si="34"/>
        <v>0.5</v>
      </c>
      <c r="V103" s="75">
        <f t="shared" si="34"/>
        <v>0.5</v>
      </c>
      <c r="W103" s="76">
        <f t="shared" si="34"/>
        <v>0.5</v>
      </c>
    </row>
    <row r="104" spans="1:23" ht="12.75" hidden="1" customHeight="1" outlineLevel="2" x14ac:dyDescent="0.2">
      <c r="A104" s="5"/>
      <c r="B104" s="6"/>
      <c r="C104" s="6"/>
      <c r="D104" s="6"/>
      <c r="E104" s="7"/>
      <c r="F104" s="6"/>
      <c r="G104" s="6"/>
      <c r="H104" s="6"/>
      <c r="I104" s="6"/>
      <c r="J104" s="6"/>
      <c r="K104" s="6"/>
      <c r="L104" s="6"/>
      <c r="M104" s="6"/>
      <c r="N104" s="6"/>
      <c r="O104" s="6"/>
      <c r="P104" s="6"/>
      <c r="Q104" s="6"/>
      <c r="R104" s="6"/>
      <c r="S104" s="6"/>
      <c r="T104" s="6"/>
      <c r="U104" s="6"/>
      <c r="V104" s="6"/>
      <c r="W104" s="7"/>
    </row>
    <row r="105" spans="1:23" ht="12.75" hidden="1" customHeight="1" outlineLevel="2" x14ac:dyDescent="0.2">
      <c r="A105" s="30" t="str">
        <f>Labels!B238</f>
        <v>Sales Lead Expire Hrs% (Yr)</v>
      </c>
      <c r="B105" s="31" t="str">
        <f>Labels!B389</f>
        <v>Lead Qual 1</v>
      </c>
      <c r="C105" s="43" t="str">
        <f>Labels!B381</f>
        <v>Practice 1</v>
      </c>
      <c r="D105" s="43" t="str">
        <f>Labels!B385</f>
        <v>Prof Level 1</v>
      </c>
      <c r="E105" s="44" t="str">
        <f>Labels!B317</f>
        <v>Channels 1</v>
      </c>
      <c r="F105" s="75">
        <f t="shared" ref="F105:F120" si="35">0.3</f>
        <v>0.3</v>
      </c>
      <c r="G105" s="75">
        <f t="shared" ref="G105:W105" si="36">F105</f>
        <v>0.3</v>
      </c>
      <c r="H105" s="75">
        <f t="shared" si="36"/>
        <v>0.3</v>
      </c>
      <c r="I105" s="75">
        <f t="shared" si="36"/>
        <v>0.3</v>
      </c>
      <c r="J105" s="75">
        <f t="shared" si="36"/>
        <v>0.3</v>
      </c>
      <c r="K105" s="75">
        <f t="shared" si="36"/>
        <v>0.3</v>
      </c>
      <c r="L105" s="75">
        <f t="shared" si="36"/>
        <v>0.3</v>
      </c>
      <c r="M105" s="75">
        <f t="shared" si="36"/>
        <v>0.3</v>
      </c>
      <c r="N105" s="75">
        <f t="shared" si="36"/>
        <v>0.3</v>
      </c>
      <c r="O105" s="75">
        <f t="shared" si="36"/>
        <v>0.3</v>
      </c>
      <c r="P105" s="75">
        <f t="shared" si="36"/>
        <v>0.3</v>
      </c>
      <c r="Q105" s="75">
        <f t="shared" si="36"/>
        <v>0.3</v>
      </c>
      <c r="R105" s="75">
        <f t="shared" si="36"/>
        <v>0.3</v>
      </c>
      <c r="S105" s="75">
        <f t="shared" si="36"/>
        <v>0.3</v>
      </c>
      <c r="T105" s="75">
        <f t="shared" si="36"/>
        <v>0.3</v>
      </c>
      <c r="U105" s="75">
        <f t="shared" si="36"/>
        <v>0.3</v>
      </c>
      <c r="V105" s="75">
        <f t="shared" si="36"/>
        <v>0.3</v>
      </c>
      <c r="W105" s="76">
        <f t="shared" si="36"/>
        <v>0.3</v>
      </c>
    </row>
    <row r="106" spans="1:23" ht="12.75" hidden="1" customHeight="1" outlineLevel="2" x14ac:dyDescent="0.2">
      <c r="A106" s="30"/>
      <c r="B106" s="31"/>
      <c r="C106" s="43"/>
      <c r="D106" s="43"/>
      <c r="E106" s="44" t="str">
        <f>Labels!B318</f>
        <v>Channels 2</v>
      </c>
      <c r="F106" s="75">
        <f t="shared" si="35"/>
        <v>0.3</v>
      </c>
      <c r="G106" s="75">
        <f t="shared" ref="G106:W106" si="37">F106</f>
        <v>0.3</v>
      </c>
      <c r="H106" s="75">
        <f t="shared" si="37"/>
        <v>0.3</v>
      </c>
      <c r="I106" s="75">
        <f t="shared" si="37"/>
        <v>0.3</v>
      </c>
      <c r="J106" s="75">
        <f t="shared" si="37"/>
        <v>0.3</v>
      </c>
      <c r="K106" s="75">
        <f t="shared" si="37"/>
        <v>0.3</v>
      </c>
      <c r="L106" s="75">
        <f t="shared" si="37"/>
        <v>0.3</v>
      </c>
      <c r="M106" s="75">
        <f t="shared" si="37"/>
        <v>0.3</v>
      </c>
      <c r="N106" s="75">
        <f t="shared" si="37"/>
        <v>0.3</v>
      </c>
      <c r="O106" s="75">
        <f t="shared" si="37"/>
        <v>0.3</v>
      </c>
      <c r="P106" s="75">
        <f t="shared" si="37"/>
        <v>0.3</v>
      </c>
      <c r="Q106" s="75">
        <f t="shared" si="37"/>
        <v>0.3</v>
      </c>
      <c r="R106" s="75">
        <f t="shared" si="37"/>
        <v>0.3</v>
      </c>
      <c r="S106" s="75">
        <f t="shared" si="37"/>
        <v>0.3</v>
      </c>
      <c r="T106" s="75">
        <f t="shared" si="37"/>
        <v>0.3</v>
      </c>
      <c r="U106" s="75">
        <f t="shared" si="37"/>
        <v>0.3</v>
      </c>
      <c r="V106" s="75">
        <f t="shared" si="37"/>
        <v>0.3</v>
      </c>
      <c r="W106" s="76">
        <f t="shared" si="37"/>
        <v>0.3</v>
      </c>
    </row>
    <row r="107" spans="1:23" ht="12.75" hidden="1" customHeight="1" outlineLevel="2" x14ac:dyDescent="0.2">
      <c r="A107" s="30"/>
      <c r="B107" s="31"/>
      <c r="C107" s="43"/>
      <c r="D107" s="43" t="str">
        <f>Labels!B386</f>
        <v>Prof Level 2</v>
      </c>
      <c r="E107" s="44" t="str">
        <f>Labels!B317</f>
        <v>Channels 1</v>
      </c>
      <c r="F107" s="75">
        <f t="shared" si="35"/>
        <v>0.3</v>
      </c>
      <c r="G107" s="75">
        <f t="shared" ref="G107:W107" si="38">F107</f>
        <v>0.3</v>
      </c>
      <c r="H107" s="75">
        <f t="shared" si="38"/>
        <v>0.3</v>
      </c>
      <c r="I107" s="75">
        <f t="shared" si="38"/>
        <v>0.3</v>
      </c>
      <c r="J107" s="75">
        <f t="shared" si="38"/>
        <v>0.3</v>
      </c>
      <c r="K107" s="75">
        <f t="shared" si="38"/>
        <v>0.3</v>
      </c>
      <c r="L107" s="75">
        <f t="shared" si="38"/>
        <v>0.3</v>
      </c>
      <c r="M107" s="75">
        <f t="shared" si="38"/>
        <v>0.3</v>
      </c>
      <c r="N107" s="75">
        <f t="shared" si="38"/>
        <v>0.3</v>
      </c>
      <c r="O107" s="75">
        <f t="shared" si="38"/>
        <v>0.3</v>
      </c>
      <c r="P107" s="75">
        <f t="shared" si="38"/>
        <v>0.3</v>
      </c>
      <c r="Q107" s="75">
        <f t="shared" si="38"/>
        <v>0.3</v>
      </c>
      <c r="R107" s="75">
        <f t="shared" si="38"/>
        <v>0.3</v>
      </c>
      <c r="S107" s="75">
        <f t="shared" si="38"/>
        <v>0.3</v>
      </c>
      <c r="T107" s="75">
        <f t="shared" si="38"/>
        <v>0.3</v>
      </c>
      <c r="U107" s="75">
        <f t="shared" si="38"/>
        <v>0.3</v>
      </c>
      <c r="V107" s="75">
        <f t="shared" si="38"/>
        <v>0.3</v>
      </c>
      <c r="W107" s="76">
        <f t="shared" si="38"/>
        <v>0.3</v>
      </c>
    </row>
    <row r="108" spans="1:23" ht="12.75" hidden="1" customHeight="1" outlineLevel="2" x14ac:dyDescent="0.2">
      <c r="A108" s="30"/>
      <c r="B108" s="31"/>
      <c r="C108" s="43"/>
      <c r="D108" s="43"/>
      <c r="E108" s="44" t="str">
        <f>Labels!B318</f>
        <v>Channels 2</v>
      </c>
      <c r="F108" s="75">
        <f t="shared" si="35"/>
        <v>0.3</v>
      </c>
      <c r="G108" s="75">
        <f t="shared" ref="G108:W108" si="39">F108</f>
        <v>0.3</v>
      </c>
      <c r="H108" s="75">
        <f t="shared" si="39"/>
        <v>0.3</v>
      </c>
      <c r="I108" s="75">
        <f t="shared" si="39"/>
        <v>0.3</v>
      </c>
      <c r="J108" s="75">
        <f t="shared" si="39"/>
        <v>0.3</v>
      </c>
      <c r="K108" s="75">
        <f t="shared" si="39"/>
        <v>0.3</v>
      </c>
      <c r="L108" s="75">
        <f t="shared" si="39"/>
        <v>0.3</v>
      </c>
      <c r="M108" s="75">
        <f t="shared" si="39"/>
        <v>0.3</v>
      </c>
      <c r="N108" s="75">
        <f t="shared" si="39"/>
        <v>0.3</v>
      </c>
      <c r="O108" s="75">
        <f t="shared" si="39"/>
        <v>0.3</v>
      </c>
      <c r="P108" s="75">
        <f t="shared" si="39"/>
        <v>0.3</v>
      </c>
      <c r="Q108" s="75">
        <f t="shared" si="39"/>
        <v>0.3</v>
      </c>
      <c r="R108" s="75">
        <f t="shared" si="39"/>
        <v>0.3</v>
      </c>
      <c r="S108" s="75">
        <f t="shared" si="39"/>
        <v>0.3</v>
      </c>
      <c r="T108" s="75">
        <f t="shared" si="39"/>
        <v>0.3</v>
      </c>
      <c r="U108" s="75">
        <f t="shared" si="39"/>
        <v>0.3</v>
      </c>
      <c r="V108" s="75">
        <f t="shared" si="39"/>
        <v>0.3</v>
      </c>
      <c r="W108" s="76">
        <f t="shared" si="39"/>
        <v>0.3</v>
      </c>
    </row>
    <row r="109" spans="1:23" ht="12.75" hidden="1" customHeight="1" outlineLevel="2" x14ac:dyDescent="0.2">
      <c r="A109" s="30"/>
      <c r="B109" s="31"/>
      <c r="C109" s="43" t="str">
        <f>Labels!B382</f>
        <v>Practice 2</v>
      </c>
      <c r="D109" s="43" t="str">
        <f>Labels!B385</f>
        <v>Prof Level 1</v>
      </c>
      <c r="E109" s="44" t="str">
        <f>Labels!B317</f>
        <v>Channels 1</v>
      </c>
      <c r="F109" s="75">
        <f t="shared" si="35"/>
        <v>0.3</v>
      </c>
      <c r="G109" s="75">
        <f t="shared" ref="G109:W109" si="40">F109</f>
        <v>0.3</v>
      </c>
      <c r="H109" s="75">
        <f t="shared" si="40"/>
        <v>0.3</v>
      </c>
      <c r="I109" s="75">
        <f t="shared" si="40"/>
        <v>0.3</v>
      </c>
      <c r="J109" s="75">
        <f t="shared" si="40"/>
        <v>0.3</v>
      </c>
      <c r="K109" s="75">
        <f t="shared" si="40"/>
        <v>0.3</v>
      </c>
      <c r="L109" s="75">
        <f t="shared" si="40"/>
        <v>0.3</v>
      </c>
      <c r="M109" s="75">
        <f t="shared" si="40"/>
        <v>0.3</v>
      </c>
      <c r="N109" s="75">
        <f t="shared" si="40"/>
        <v>0.3</v>
      </c>
      <c r="O109" s="75">
        <f t="shared" si="40"/>
        <v>0.3</v>
      </c>
      <c r="P109" s="75">
        <f t="shared" si="40"/>
        <v>0.3</v>
      </c>
      <c r="Q109" s="75">
        <f t="shared" si="40"/>
        <v>0.3</v>
      </c>
      <c r="R109" s="75">
        <f t="shared" si="40"/>
        <v>0.3</v>
      </c>
      <c r="S109" s="75">
        <f t="shared" si="40"/>
        <v>0.3</v>
      </c>
      <c r="T109" s="75">
        <f t="shared" si="40"/>
        <v>0.3</v>
      </c>
      <c r="U109" s="75">
        <f t="shared" si="40"/>
        <v>0.3</v>
      </c>
      <c r="V109" s="75">
        <f t="shared" si="40"/>
        <v>0.3</v>
      </c>
      <c r="W109" s="76">
        <f t="shared" si="40"/>
        <v>0.3</v>
      </c>
    </row>
    <row r="110" spans="1:23" ht="12.75" hidden="1" customHeight="1" outlineLevel="2" x14ac:dyDescent="0.2">
      <c r="A110" s="30"/>
      <c r="B110" s="31"/>
      <c r="C110" s="43"/>
      <c r="D110" s="43"/>
      <c r="E110" s="44" t="str">
        <f>Labels!B318</f>
        <v>Channels 2</v>
      </c>
      <c r="F110" s="75">
        <f t="shared" si="35"/>
        <v>0.3</v>
      </c>
      <c r="G110" s="75">
        <f t="shared" ref="G110:W110" si="41">F110</f>
        <v>0.3</v>
      </c>
      <c r="H110" s="75">
        <f t="shared" si="41"/>
        <v>0.3</v>
      </c>
      <c r="I110" s="75">
        <f t="shared" si="41"/>
        <v>0.3</v>
      </c>
      <c r="J110" s="75">
        <f t="shared" si="41"/>
        <v>0.3</v>
      </c>
      <c r="K110" s="75">
        <f t="shared" si="41"/>
        <v>0.3</v>
      </c>
      <c r="L110" s="75">
        <f t="shared" si="41"/>
        <v>0.3</v>
      </c>
      <c r="M110" s="75">
        <f t="shared" si="41"/>
        <v>0.3</v>
      </c>
      <c r="N110" s="75">
        <f t="shared" si="41"/>
        <v>0.3</v>
      </c>
      <c r="O110" s="75">
        <f t="shared" si="41"/>
        <v>0.3</v>
      </c>
      <c r="P110" s="75">
        <f t="shared" si="41"/>
        <v>0.3</v>
      </c>
      <c r="Q110" s="75">
        <f t="shared" si="41"/>
        <v>0.3</v>
      </c>
      <c r="R110" s="75">
        <f t="shared" si="41"/>
        <v>0.3</v>
      </c>
      <c r="S110" s="75">
        <f t="shared" si="41"/>
        <v>0.3</v>
      </c>
      <c r="T110" s="75">
        <f t="shared" si="41"/>
        <v>0.3</v>
      </c>
      <c r="U110" s="75">
        <f t="shared" si="41"/>
        <v>0.3</v>
      </c>
      <c r="V110" s="75">
        <f t="shared" si="41"/>
        <v>0.3</v>
      </c>
      <c r="W110" s="76">
        <f t="shared" si="41"/>
        <v>0.3</v>
      </c>
    </row>
    <row r="111" spans="1:23" ht="12.75" hidden="1" customHeight="1" outlineLevel="2" x14ac:dyDescent="0.2">
      <c r="A111" s="30"/>
      <c r="B111" s="31"/>
      <c r="C111" s="43"/>
      <c r="D111" s="43" t="str">
        <f>Labels!B386</f>
        <v>Prof Level 2</v>
      </c>
      <c r="E111" s="44" t="str">
        <f>Labels!B317</f>
        <v>Channels 1</v>
      </c>
      <c r="F111" s="75">
        <f t="shared" si="35"/>
        <v>0.3</v>
      </c>
      <c r="G111" s="75">
        <f t="shared" ref="G111:W111" si="42">F111</f>
        <v>0.3</v>
      </c>
      <c r="H111" s="75">
        <f t="shared" si="42"/>
        <v>0.3</v>
      </c>
      <c r="I111" s="75">
        <f t="shared" si="42"/>
        <v>0.3</v>
      </c>
      <c r="J111" s="75">
        <f t="shared" si="42"/>
        <v>0.3</v>
      </c>
      <c r="K111" s="75">
        <f t="shared" si="42"/>
        <v>0.3</v>
      </c>
      <c r="L111" s="75">
        <f t="shared" si="42"/>
        <v>0.3</v>
      </c>
      <c r="M111" s="75">
        <f t="shared" si="42"/>
        <v>0.3</v>
      </c>
      <c r="N111" s="75">
        <f t="shared" si="42"/>
        <v>0.3</v>
      </c>
      <c r="O111" s="75">
        <f t="shared" si="42"/>
        <v>0.3</v>
      </c>
      <c r="P111" s="75">
        <f t="shared" si="42"/>
        <v>0.3</v>
      </c>
      <c r="Q111" s="75">
        <f t="shared" si="42"/>
        <v>0.3</v>
      </c>
      <c r="R111" s="75">
        <f t="shared" si="42"/>
        <v>0.3</v>
      </c>
      <c r="S111" s="75">
        <f t="shared" si="42"/>
        <v>0.3</v>
      </c>
      <c r="T111" s="75">
        <f t="shared" si="42"/>
        <v>0.3</v>
      </c>
      <c r="U111" s="75">
        <f t="shared" si="42"/>
        <v>0.3</v>
      </c>
      <c r="V111" s="75">
        <f t="shared" si="42"/>
        <v>0.3</v>
      </c>
      <c r="W111" s="76">
        <f t="shared" si="42"/>
        <v>0.3</v>
      </c>
    </row>
    <row r="112" spans="1:23" ht="12.75" hidden="1" customHeight="1" outlineLevel="2" x14ac:dyDescent="0.2">
      <c r="A112" s="30"/>
      <c r="B112" s="31"/>
      <c r="C112" s="43"/>
      <c r="D112" s="43"/>
      <c r="E112" s="44" t="str">
        <f>Labels!B318</f>
        <v>Channels 2</v>
      </c>
      <c r="F112" s="75">
        <f t="shared" si="35"/>
        <v>0.3</v>
      </c>
      <c r="G112" s="75">
        <f t="shared" ref="G112:W112" si="43">F112</f>
        <v>0.3</v>
      </c>
      <c r="H112" s="75">
        <f t="shared" si="43"/>
        <v>0.3</v>
      </c>
      <c r="I112" s="75">
        <f t="shared" si="43"/>
        <v>0.3</v>
      </c>
      <c r="J112" s="75">
        <f t="shared" si="43"/>
        <v>0.3</v>
      </c>
      <c r="K112" s="75">
        <f t="shared" si="43"/>
        <v>0.3</v>
      </c>
      <c r="L112" s="75">
        <f t="shared" si="43"/>
        <v>0.3</v>
      </c>
      <c r="M112" s="75">
        <f t="shared" si="43"/>
        <v>0.3</v>
      </c>
      <c r="N112" s="75">
        <f t="shared" si="43"/>
        <v>0.3</v>
      </c>
      <c r="O112" s="75">
        <f t="shared" si="43"/>
        <v>0.3</v>
      </c>
      <c r="P112" s="75">
        <f t="shared" si="43"/>
        <v>0.3</v>
      </c>
      <c r="Q112" s="75">
        <f t="shared" si="43"/>
        <v>0.3</v>
      </c>
      <c r="R112" s="75">
        <f t="shared" si="43"/>
        <v>0.3</v>
      </c>
      <c r="S112" s="75">
        <f t="shared" si="43"/>
        <v>0.3</v>
      </c>
      <c r="T112" s="75">
        <f t="shared" si="43"/>
        <v>0.3</v>
      </c>
      <c r="U112" s="75">
        <f t="shared" si="43"/>
        <v>0.3</v>
      </c>
      <c r="V112" s="75">
        <f t="shared" si="43"/>
        <v>0.3</v>
      </c>
      <c r="W112" s="76">
        <f t="shared" si="43"/>
        <v>0.3</v>
      </c>
    </row>
    <row r="113" spans="1:23" ht="12.75" hidden="1" customHeight="1" outlineLevel="2" x14ac:dyDescent="0.2">
      <c r="A113" s="30"/>
      <c r="B113" s="31" t="str">
        <f>Labels!B390</f>
        <v>Lead Qual 2</v>
      </c>
      <c r="C113" s="43" t="str">
        <f>Labels!B381</f>
        <v>Practice 1</v>
      </c>
      <c r="D113" s="43" t="str">
        <f>Labels!B385</f>
        <v>Prof Level 1</v>
      </c>
      <c r="E113" s="44" t="str">
        <f>Labels!B317</f>
        <v>Channels 1</v>
      </c>
      <c r="F113" s="75">
        <f t="shared" si="35"/>
        <v>0.3</v>
      </c>
      <c r="G113" s="75">
        <f t="shared" ref="G113:W113" si="44">F113</f>
        <v>0.3</v>
      </c>
      <c r="H113" s="75">
        <f t="shared" si="44"/>
        <v>0.3</v>
      </c>
      <c r="I113" s="75">
        <f t="shared" si="44"/>
        <v>0.3</v>
      </c>
      <c r="J113" s="75">
        <f t="shared" si="44"/>
        <v>0.3</v>
      </c>
      <c r="K113" s="75">
        <f t="shared" si="44"/>
        <v>0.3</v>
      </c>
      <c r="L113" s="75">
        <f t="shared" si="44"/>
        <v>0.3</v>
      </c>
      <c r="M113" s="75">
        <f t="shared" si="44"/>
        <v>0.3</v>
      </c>
      <c r="N113" s="75">
        <f t="shared" si="44"/>
        <v>0.3</v>
      </c>
      <c r="O113" s="75">
        <f t="shared" si="44"/>
        <v>0.3</v>
      </c>
      <c r="P113" s="75">
        <f t="shared" si="44"/>
        <v>0.3</v>
      </c>
      <c r="Q113" s="75">
        <f t="shared" si="44"/>
        <v>0.3</v>
      </c>
      <c r="R113" s="75">
        <f t="shared" si="44"/>
        <v>0.3</v>
      </c>
      <c r="S113" s="75">
        <f t="shared" si="44"/>
        <v>0.3</v>
      </c>
      <c r="T113" s="75">
        <f t="shared" si="44"/>
        <v>0.3</v>
      </c>
      <c r="U113" s="75">
        <f t="shared" si="44"/>
        <v>0.3</v>
      </c>
      <c r="V113" s="75">
        <f t="shared" si="44"/>
        <v>0.3</v>
      </c>
      <c r="W113" s="76">
        <f t="shared" si="44"/>
        <v>0.3</v>
      </c>
    </row>
    <row r="114" spans="1:23" ht="12.75" hidden="1" customHeight="1" outlineLevel="2" x14ac:dyDescent="0.2">
      <c r="A114" s="30"/>
      <c r="B114" s="31"/>
      <c r="C114" s="43"/>
      <c r="D114" s="43"/>
      <c r="E114" s="44" t="str">
        <f>Labels!B318</f>
        <v>Channels 2</v>
      </c>
      <c r="F114" s="75">
        <f t="shared" si="35"/>
        <v>0.3</v>
      </c>
      <c r="G114" s="75">
        <f t="shared" ref="G114:W114" si="45">F114</f>
        <v>0.3</v>
      </c>
      <c r="H114" s="75">
        <f t="shared" si="45"/>
        <v>0.3</v>
      </c>
      <c r="I114" s="75">
        <f t="shared" si="45"/>
        <v>0.3</v>
      </c>
      <c r="J114" s="75">
        <f t="shared" si="45"/>
        <v>0.3</v>
      </c>
      <c r="K114" s="75">
        <f t="shared" si="45"/>
        <v>0.3</v>
      </c>
      <c r="L114" s="75">
        <f t="shared" si="45"/>
        <v>0.3</v>
      </c>
      <c r="M114" s="75">
        <f t="shared" si="45"/>
        <v>0.3</v>
      </c>
      <c r="N114" s="75">
        <f t="shared" si="45"/>
        <v>0.3</v>
      </c>
      <c r="O114" s="75">
        <f t="shared" si="45"/>
        <v>0.3</v>
      </c>
      <c r="P114" s="75">
        <f t="shared" si="45"/>
        <v>0.3</v>
      </c>
      <c r="Q114" s="75">
        <f t="shared" si="45"/>
        <v>0.3</v>
      </c>
      <c r="R114" s="75">
        <f t="shared" si="45"/>
        <v>0.3</v>
      </c>
      <c r="S114" s="75">
        <f t="shared" si="45"/>
        <v>0.3</v>
      </c>
      <c r="T114" s="75">
        <f t="shared" si="45"/>
        <v>0.3</v>
      </c>
      <c r="U114" s="75">
        <f t="shared" si="45"/>
        <v>0.3</v>
      </c>
      <c r="V114" s="75">
        <f t="shared" si="45"/>
        <v>0.3</v>
      </c>
      <c r="W114" s="76">
        <f t="shared" si="45"/>
        <v>0.3</v>
      </c>
    </row>
    <row r="115" spans="1:23" ht="12.75" hidden="1" customHeight="1" outlineLevel="2" x14ac:dyDescent="0.2">
      <c r="A115" s="30"/>
      <c r="B115" s="31"/>
      <c r="C115" s="43"/>
      <c r="D115" s="43" t="str">
        <f>Labels!B386</f>
        <v>Prof Level 2</v>
      </c>
      <c r="E115" s="44" t="str">
        <f>Labels!B317</f>
        <v>Channels 1</v>
      </c>
      <c r="F115" s="75">
        <f t="shared" si="35"/>
        <v>0.3</v>
      </c>
      <c r="G115" s="75">
        <f t="shared" ref="G115:W115" si="46">F115</f>
        <v>0.3</v>
      </c>
      <c r="H115" s="75">
        <f t="shared" si="46"/>
        <v>0.3</v>
      </c>
      <c r="I115" s="75">
        <f t="shared" si="46"/>
        <v>0.3</v>
      </c>
      <c r="J115" s="75">
        <f t="shared" si="46"/>
        <v>0.3</v>
      </c>
      <c r="K115" s="75">
        <f t="shared" si="46"/>
        <v>0.3</v>
      </c>
      <c r="L115" s="75">
        <f t="shared" si="46"/>
        <v>0.3</v>
      </c>
      <c r="M115" s="75">
        <f t="shared" si="46"/>
        <v>0.3</v>
      </c>
      <c r="N115" s="75">
        <f t="shared" si="46"/>
        <v>0.3</v>
      </c>
      <c r="O115" s="75">
        <f t="shared" si="46"/>
        <v>0.3</v>
      </c>
      <c r="P115" s="75">
        <f t="shared" si="46"/>
        <v>0.3</v>
      </c>
      <c r="Q115" s="75">
        <f t="shared" si="46"/>
        <v>0.3</v>
      </c>
      <c r="R115" s="75">
        <f t="shared" si="46"/>
        <v>0.3</v>
      </c>
      <c r="S115" s="75">
        <f t="shared" si="46"/>
        <v>0.3</v>
      </c>
      <c r="T115" s="75">
        <f t="shared" si="46"/>
        <v>0.3</v>
      </c>
      <c r="U115" s="75">
        <f t="shared" si="46"/>
        <v>0.3</v>
      </c>
      <c r="V115" s="75">
        <f t="shared" si="46"/>
        <v>0.3</v>
      </c>
      <c r="W115" s="76">
        <f t="shared" si="46"/>
        <v>0.3</v>
      </c>
    </row>
    <row r="116" spans="1:23" ht="12.75" hidden="1" customHeight="1" outlineLevel="2" x14ac:dyDescent="0.2">
      <c r="A116" s="30"/>
      <c r="B116" s="31"/>
      <c r="C116" s="43"/>
      <c r="D116" s="43"/>
      <c r="E116" s="44" t="str">
        <f>Labels!B318</f>
        <v>Channels 2</v>
      </c>
      <c r="F116" s="75">
        <f t="shared" si="35"/>
        <v>0.3</v>
      </c>
      <c r="G116" s="75">
        <f t="shared" ref="G116:W116" si="47">F116</f>
        <v>0.3</v>
      </c>
      <c r="H116" s="75">
        <f t="shared" si="47"/>
        <v>0.3</v>
      </c>
      <c r="I116" s="75">
        <f t="shared" si="47"/>
        <v>0.3</v>
      </c>
      <c r="J116" s="75">
        <f t="shared" si="47"/>
        <v>0.3</v>
      </c>
      <c r="K116" s="75">
        <f t="shared" si="47"/>
        <v>0.3</v>
      </c>
      <c r="L116" s="75">
        <f t="shared" si="47"/>
        <v>0.3</v>
      </c>
      <c r="M116" s="75">
        <f t="shared" si="47"/>
        <v>0.3</v>
      </c>
      <c r="N116" s="75">
        <f t="shared" si="47"/>
        <v>0.3</v>
      </c>
      <c r="O116" s="75">
        <f t="shared" si="47"/>
        <v>0.3</v>
      </c>
      <c r="P116" s="75">
        <f t="shared" si="47"/>
        <v>0.3</v>
      </c>
      <c r="Q116" s="75">
        <f t="shared" si="47"/>
        <v>0.3</v>
      </c>
      <c r="R116" s="75">
        <f t="shared" si="47"/>
        <v>0.3</v>
      </c>
      <c r="S116" s="75">
        <f t="shared" si="47"/>
        <v>0.3</v>
      </c>
      <c r="T116" s="75">
        <f t="shared" si="47"/>
        <v>0.3</v>
      </c>
      <c r="U116" s="75">
        <f t="shared" si="47"/>
        <v>0.3</v>
      </c>
      <c r="V116" s="75">
        <f t="shared" si="47"/>
        <v>0.3</v>
      </c>
      <c r="W116" s="76">
        <f t="shared" si="47"/>
        <v>0.3</v>
      </c>
    </row>
    <row r="117" spans="1:23" ht="12.75" hidden="1" customHeight="1" outlineLevel="2" x14ac:dyDescent="0.2">
      <c r="A117" s="30"/>
      <c r="B117" s="31"/>
      <c r="C117" s="43" t="str">
        <f>Labels!B382</f>
        <v>Practice 2</v>
      </c>
      <c r="D117" s="43" t="str">
        <f>Labels!B385</f>
        <v>Prof Level 1</v>
      </c>
      <c r="E117" s="44" t="str">
        <f>Labels!B317</f>
        <v>Channels 1</v>
      </c>
      <c r="F117" s="75">
        <f t="shared" si="35"/>
        <v>0.3</v>
      </c>
      <c r="G117" s="75">
        <f t="shared" ref="G117:W117" si="48">F117</f>
        <v>0.3</v>
      </c>
      <c r="H117" s="75">
        <f t="shared" si="48"/>
        <v>0.3</v>
      </c>
      <c r="I117" s="75">
        <f t="shared" si="48"/>
        <v>0.3</v>
      </c>
      <c r="J117" s="75">
        <f t="shared" si="48"/>
        <v>0.3</v>
      </c>
      <c r="K117" s="75">
        <f t="shared" si="48"/>
        <v>0.3</v>
      </c>
      <c r="L117" s="75">
        <f t="shared" si="48"/>
        <v>0.3</v>
      </c>
      <c r="M117" s="75">
        <f t="shared" si="48"/>
        <v>0.3</v>
      </c>
      <c r="N117" s="75">
        <f t="shared" si="48"/>
        <v>0.3</v>
      </c>
      <c r="O117" s="75">
        <f t="shared" si="48"/>
        <v>0.3</v>
      </c>
      <c r="P117" s="75">
        <f t="shared" si="48"/>
        <v>0.3</v>
      </c>
      <c r="Q117" s="75">
        <f t="shared" si="48"/>
        <v>0.3</v>
      </c>
      <c r="R117" s="75">
        <f t="shared" si="48"/>
        <v>0.3</v>
      </c>
      <c r="S117" s="75">
        <f t="shared" si="48"/>
        <v>0.3</v>
      </c>
      <c r="T117" s="75">
        <f t="shared" si="48"/>
        <v>0.3</v>
      </c>
      <c r="U117" s="75">
        <f t="shared" si="48"/>
        <v>0.3</v>
      </c>
      <c r="V117" s="75">
        <f t="shared" si="48"/>
        <v>0.3</v>
      </c>
      <c r="W117" s="76">
        <f t="shared" si="48"/>
        <v>0.3</v>
      </c>
    </row>
    <row r="118" spans="1:23" ht="12.75" hidden="1" customHeight="1" outlineLevel="2" x14ac:dyDescent="0.2">
      <c r="A118" s="30"/>
      <c r="B118" s="31"/>
      <c r="C118" s="43"/>
      <c r="D118" s="43"/>
      <c r="E118" s="44" t="str">
        <f>Labels!B318</f>
        <v>Channels 2</v>
      </c>
      <c r="F118" s="75">
        <f t="shared" si="35"/>
        <v>0.3</v>
      </c>
      <c r="G118" s="75">
        <f t="shared" ref="G118:W118" si="49">F118</f>
        <v>0.3</v>
      </c>
      <c r="H118" s="75">
        <f t="shared" si="49"/>
        <v>0.3</v>
      </c>
      <c r="I118" s="75">
        <f t="shared" si="49"/>
        <v>0.3</v>
      </c>
      <c r="J118" s="75">
        <f t="shared" si="49"/>
        <v>0.3</v>
      </c>
      <c r="K118" s="75">
        <f t="shared" si="49"/>
        <v>0.3</v>
      </c>
      <c r="L118" s="75">
        <f t="shared" si="49"/>
        <v>0.3</v>
      </c>
      <c r="M118" s="75">
        <f t="shared" si="49"/>
        <v>0.3</v>
      </c>
      <c r="N118" s="75">
        <f t="shared" si="49"/>
        <v>0.3</v>
      </c>
      <c r="O118" s="75">
        <f t="shared" si="49"/>
        <v>0.3</v>
      </c>
      <c r="P118" s="75">
        <f t="shared" si="49"/>
        <v>0.3</v>
      </c>
      <c r="Q118" s="75">
        <f t="shared" si="49"/>
        <v>0.3</v>
      </c>
      <c r="R118" s="75">
        <f t="shared" si="49"/>
        <v>0.3</v>
      </c>
      <c r="S118" s="75">
        <f t="shared" si="49"/>
        <v>0.3</v>
      </c>
      <c r="T118" s="75">
        <f t="shared" si="49"/>
        <v>0.3</v>
      </c>
      <c r="U118" s="75">
        <f t="shared" si="49"/>
        <v>0.3</v>
      </c>
      <c r="V118" s="75">
        <f t="shared" si="49"/>
        <v>0.3</v>
      </c>
      <c r="W118" s="76">
        <f t="shared" si="49"/>
        <v>0.3</v>
      </c>
    </row>
    <row r="119" spans="1:23" ht="12.75" hidden="1" customHeight="1" outlineLevel="2" x14ac:dyDescent="0.2">
      <c r="A119" s="30"/>
      <c r="B119" s="31"/>
      <c r="C119" s="43"/>
      <c r="D119" s="43" t="str">
        <f>Labels!B386</f>
        <v>Prof Level 2</v>
      </c>
      <c r="E119" s="44" t="str">
        <f>Labels!B317</f>
        <v>Channels 1</v>
      </c>
      <c r="F119" s="75">
        <f t="shared" si="35"/>
        <v>0.3</v>
      </c>
      <c r="G119" s="75">
        <f t="shared" ref="G119:W119" si="50">F119</f>
        <v>0.3</v>
      </c>
      <c r="H119" s="75">
        <f t="shared" si="50"/>
        <v>0.3</v>
      </c>
      <c r="I119" s="75">
        <f t="shared" si="50"/>
        <v>0.3</v>
      </c>
      <c r="J119" s="75">
        <f t="shared" si="50"/>
        <v>0.3</v>
      </c>
      <c r="K119" s="75">
        <f t="shared" si="50"/>
        <v>0.3</v>
      </c>
      <c r="L119" s="75">
        <f t="shared" si="50"/>
        <v>0.3</v>
      </c>
      <c r="M119" s="75">
        <f t="shared" si="50"/>
        <v>0.3</v>
      </c>
      <c r="N119" s="75">
        <f t="shared" si="50"/>
        <v>0.3</v>
      </c>
      <c r="O119" s="75">
        <f t="shared" si="50"/>
        <v>0.3</v>
      </c>
      <c r="P119" s="75">
        <f t="shared" si="50"/>
        <v>0.3</v>
      </c>
      <c r="Q119" s="75">
        <f t="shared" si="50"/>
        <v>0.3</v>
      </c>
      <c r="R119" s="75">
        <f t="shared" si="50"/>
        <v>0.3</v>
      </c>
      <c r="S119" s="75">
        <f t="shared" si="50"/>
        <v>0.3</v>
      </c>
      <c r="T119" s="75">
        <f t="shared" si="50"/>
        <v>0.3</v>
      </c>
      <c r="U119" s="75">
        <f t="shared" si="50"/>
        <v>0.3</v>
      </c>
      <c r="V119" s="75">
        <f t="shared" si="50"/>
        <v>0.3</v>
      </c>
      <c r="W119" s="76">
        <f t="shared" si="50"/>
        <v>0.3</v>
      </c>
    </row>
    <row r="120" spans="1:23" ht="12.75" hidden="1" customHeight="1" outlineLevel="2" x14ac:dyDescent="0.2">
      <c r="A120" s="30"/>
      <c r="B120" s="31"/>
      <c r="C120" s="43"/>
      <c r="D120" s="43"/>
      <c r="E120" s="44" t="str">
        <f>Labels!B318</f>
        <v>Channels 2</v>
      </c>
      <c r="F120" s="75">
        <f t="shared" si="35"/>
        <v>0.3</v>
      </c>
      <c r="G120" s="75">
        <f t="shared" ref="G120:W120" si="51">F120</f>
        <v>0.3</v>
      </c>
      <c r="H120" s="75">
        <f t="shared" si="51"/>
        <v>0.3</v>
      </c>
      <c r="I120" s="75">
        <f t="shared" si="51"/>
        <v>0.3</v>
      </c>
      <c r="J120" s="75">
        <f t="shared" si="51"/>
        <v>0.3</v>
      </c>
      <c r="K120" s="75">
        <f t="shared" si="51"/>
        <v>0.3</v>
      </c>
      <c r="L120" s="75">
        <f t="shared" si="51"/>
        <v>0.3</v>
      </c>
      <c r="M120" s="75">
        <f t="shared" si="51"/>
        <v>0.3</v>
      </c>
      <c r="N120" s="75">
        <f t="shared" si="51"/>
        <v>0.3</v>
      </c>
      <c r="O120" s="75">
        <f t="shared" si="51"/>
        <v>0.3</v>
      </c>
      <c r="P120" s="75">
        <f t="shared" si="51"/>
        <v>0.3</v>
      </c>
      <c r="Q120" s="75">
        <f t="shared" si="51"/>
        <v>0.3</v>
      </c>
      <c r="R120" s="75">
        <f t="shared" si="51"/>
        <v>0.3</v>
      </c>
      <c r="S120" s="75">
        <f t="shared" si="51"/>
        <v>0.3</v>
      </c>
      <c r="T120" s="75">
        <f t="shared" si="51"/>
        <v>0.3</v>
      </c>
      <c r="U120" s="75">
        <f t="shared" si="51"/>
        <v>0.3</v>
      </c>
      <c r="V120" s="75">
        <f t="shared" si="51"/>
        <v>0.3</v>
      </c>
      <c r="W120" s="76">
        <f t="shared" si="51"/>
        <v>0.3</v>
      </c>
    </row>
    <row r="121" spans="1:23" ht="12.75" hidden="1" customHeight="1" outlineLevel="2" x14ac:dyDescent="0.2">
      <c r="A121" s="5"/>
      <c r="B121" s="6"/>
      <c r="C121" s="6"/>
      <c r="D121" s="6"/>
      <c r="E121" s="7"/>
      <c r="F121" s="6"/>
      <c r="G121" s="6"/>
      <c r="H121" s="6"/>
      <c r="I121" s="6"/>
      <c r="J121" s="6"/>
      <c r="K121" s="6"/>
      <c r="L121" s="6"/>
      <c r="M121" s="6"/>
      <c r="N121" s="6"/>
      <c r="O121" s="6"/>
      <c r="P121" s="6"/>
      <c r="Q121" s="6"/>
      <c r="R121" s="6"/>
      <c r="S121" s="6"/>
      <c r="T121" s="6"/>
      <c r="U121" s="6"/>
      <c r="V121" s="6"/>
      <c r="W121" s="7"/>
    </row>
    <row r="122" spans="1:23" ht="12.75" hidden="1" customHeight="1" outlineLevel="2" x14ac:dyDescent="0.2">
      <c r="A122" s="30" t="str">
        <f>Labels!B143</f>
        <v>Backlog Filled Hrs%</v>
      </c>
      <c r="B122" s="31" t="str">
        <f>Labels!B381</f>
        <v>Practice 1</v>
      </c>
      <c r="C122" s="43" t="str">
        <f>Labels!B385</f>
        <v>Prof Level 1</v>
      </c>
      <c r="D122" s="43" t="str">
        <f>Labels!B317</f>
        <v>Channels 1</v>
      </c>
      <c r="E122" s="44"/>
      <c r="F122" s="77">
        <f t="shared" ref="F122:F129" si="52">0.5</f>
        <v>0.5</v>
      </c>
      <c r="G122" s="77">
        <f t="shared" ref="G122:W122" si="53">F122</f>
        <v>0.5</v>
      </c>
      <c r="H122" s="77">
        <f t="shared" si="53"/>
        <v>0.5</v>
      </c>
      <c r="I122" s="77">
        <f t="shared" si="53"/>
        <v>0.5</v>
      </c>
      <c r="J122" s="77">
        <f t="shared" si="53"/>
        <v>0.5</v>
      </c>
      <c r="K122" s="77">
        <f t="shared" si="53"/>
        <v>0.5</v>
      </c>
      <c r="L122" s="77">
        <f t="shared" si="53"/>
        <v>0.5</v>
      </c>
      <c r="M122" s="77">
        <f t="shared" si="53"/>
        <v>0.5</v>
      </c>
      <c r="N122" s="77">
        <f t="shared" si="53"/>
        <v>0.5</v>
      </c>
      <c r="O122" s="77">
        <f t="shared" si="53"/>
        <v>0.5</v>
      </c>
      <c r="P122" s="77">
        <f t="shared" si="53"/>
        <v>0.5</v>
      </c>
      <c r="Q122" s="77">
        <f t="shared" si="53"/>
        <v>0.5</v>
      </c>
      <c r="R122" s="77">
        <f t="shared" si="53"/>
        <v>0.5</v>
      </c>
      <c r="S122" s="77">
        <f t="shared" si="53"/>
        <v>0.5</v>
      </c>
      <c r="T122" s="77">
        <f t="shared" si="53"/>
        <v>0.5</v>
      </c>
      <c r="U122" s="77">
        <f t="shared" si="53"/>
        <v>0.5</v>
      </c>
      <c r="V122" s="77">
        <f t="shared" si="53"/>
        <v>0.5</v>
      </c>
      <c r="W122" s="78">
        <f t="shared" si="53"/>
        <v>0.5</v>
      </c>
    </row>
    <row r="123" spans="1:23" ht="12.75" hidden="1" customHeight="1" outlineLevel="2" x14ac:dyDescent="0.2">
      <c r="A123" s="30"/>
      <c r="B123" s="31"/>
      <c r="C123" s="43"/>
      <c r="D123" s="43" t="str">
        <f>Labels!B318</f>
        <v>Channels 2</v>
      </c>
      <c r="E123" s="44"/>
      <c r="F123" s="77">
        <f t="shared" si="52"/>
        <v>0.5</v>
      </c>
      <c r="G123" s="77">
        <f t="shared" ref="G123:W123" si="54">F123</f>
        <v>0.5</v>
      </c>
      <c r="H123" s="77">
        <f t="shared" si="54"/>
        <v>0.5</v>
      </c>
      <c r="I123" s="77">
        <f t="shared" si="54"/>
        <v>0.5</v>
      </c>
      <c r="J123" s="77">
        <f t="shared" si="54"/>
        <v>0.5</v>
      </c>
      <c r="K123" s="77">
        <f t="shared" si="54"/>
        <v>0.5</v>
      </c>
      <c r="L123" s="77">
        <f t="shared" si="54"/>
        <v>0.5</v>
      </c>
      <c r="M123" s="77">
        <f t="shared" si="54"/>
        <v>0.5</v>
      </c>
      <c r="N123" s="77">
        <f t="shared" si="54"/>
        <v>0.5</v>
      </c>
      <c r="O123" s="77">
        <f t="shared" si="54"/>
        <v>0.5</v>
      </c>
      <c r="P123" s="77">
        <f t="shared" si="54"/>
        <v>0.5</v>
      </c>
      <c r="Q123" s="77">
        <f t="shared" si="54"/>
        <v>0.5</v>
      </c>
      <c r="R123" s="77">
        <f t="shared" si="54"/>
        <v>0.5</v>
      </c>
      <c r="S123" s="77">
        <f t="shared" si="54"/>
        <v>0.5</v>
      </c>
      <c r="T123" s="77">
        <f t="shared" si="54"/>
        <v>0.5</v>
      </c>
      <c r="U123" s="77">
        <f t="shared" si="54"/>
        <v>0.5</v>
      </c>
      <c r="V123" s="77">
        <f t="shared" si="54"/>
        <v>0.5</v>
      </c>
      <c r="W123" s="78">
        <f t="shared" si="54"/>
        <v>0.5</v>
      </c>
    </row>
    <row r="124" spans="1:23" ht="12.75" hidden="1" customHeight="1" outlineLevel="2" x14ac:dyDescent="0.2">
      <c r="A124" s="30"/>
      <c r="B124" s="31"/>
      <c r="C124" s="43" t="str">
        <f>Labels!B386</f>
        <v>Prof Level 2</v>
      </c>
      <c r="D124" s="43" t="str">
        <f>Labels!B317</f>
        <v>Channels 1</v>
      </c>
      <c r="E124" s="44"/>
      <c r="F124" s="77">
        <f t="shared" si="52"/>
        <v>0.5</v>
      </c>
      <c r="G124" s="77">
        <f t="shared" ref="G124:W124" si="55">F124</f>
        <v>0.5</v>
      </c>
      <c r="H124" s="77">
        <f t="shared" si="55"/>
        <v>0.5</v>
      </c>
      <c r="I124" s="77">
        <f t="shared" si="55"/>
        <v>0.5</v>
      </c>
      <c r="J124" s="77">
        <f t="shared" si="55"/>
        <v>0.5</v>
      </c>
      <c r="K124" s="77">
        <f t="shared" si="55"/>
        <v>0.5</v>
      </c>
      <c r="L124" s="77">
        <f t="shared" si="55"/>
        <v>0.5</v>
      </c>
      <c r="M124" s="77">
        <f t="shared" si="55"/>
        <v>0.5</v>
      </c>
      <c r="N124" s="77">
        <f t="shared" si="55"/>
        <v>0.5</v>
      </c>
      <c r="O124" s="77">
        <f t="shared" si="55"/>
        <v>0.5</v>
      </c>
      <c r="P124" s="77">
        <f t="shared" si="55"/>
        <v>0.5</v>
      </c>
      <c r="Q124" s="77">
        <f t="shared" si="55"/>
        <v>0.5</v>
      </c>
      <c r="R124" s="77">
        <f t="shared" si="55"/>
        <v>0.5</v>
      </c>
      <c r="S124" s="77">
        <f t="shared" si="55"/>
        <v>0.5</v>
      </c>
      <c r="T124" s="77">
        <f t="shared" si="55"/>
        <v>0.5</v>
      </c>
      <c r="U124" s="77">
        <f t="shared" si="55"/>
        <v>0.5</v>
      </c>
      <c r="V124" s="77">
        <f t="shared" si="55"/>
        <v>0.5</v>
      </c>
      <c r="W124" s="78">
        <f t="shared" si="55"/>
        <v>0.5</v>
      </c>
    </row>
    <row r="125" spans="1:23" ht="12.75" hidden="1" customHeight="1" outlineLevel="2" x14ac:dyDescent="0.2">
      <c r="A125" s="30"/>
      <c r="B125" s="31"/>
      <c r="C125" s="43"/>
      <c r="D125" s="43" t="str">
        <f>Labels!B318</f>
        <v>Channels 2</v>
      </c>
      <c r="E125" s="44"/>
      <c r="F125" s="77">
        <f t="shared" si="52"/>
        <v>0.5</v>
      </c>
      <c r="G125" s="77">
        <f t="shared" ref="G125:W125" si="56">F125</f>
        <v>0.5</v>
      </c>
      <c r="H125" s="77">
        <f t="shared" si="56"/>
        <v>0.5</v>
      </c>
      <c r="I125" s="77">
        <f t="shared" si="56"/>
        <v>0.5</v>
      </c>
      <c r="J125" s="77">
        <f t="shared" si="56"/>
        <v>0.5</v>
      </c>
      <c r="K125" s="77">
        <f t="shared" si="56"/>
        <v>0.5</v>
      </c>
      <c r="L125" s="77">
        <f t="shared" si="56"/>
        <v>0.5</v>
      </c>
      <c r="M125" s="77">
        <f t="shared" si="56"/>
        <v>0.5</v>
      </c>
      <c r="N125" s="77">
        <f t="shared" si="56"/>
        <v>0.5</v>
      </c>
      <c r="O125" s="77">
        <f t="shared" si="56"/>
        <v>0.5</v>
      </c>
      <c r="P125" s="77">
        <f t="shared" si="56"/>
        <v>0.5</v>
      </c>
      <c r="Q125" s="77">
        <f t="shared" si="56"/>
        <v>0.5</v>
      </c>
      <c r="R125" s="77">
        <f t="shared" si="56"/>
        <v>0.5</v>
      </c>
      <c r="S125" s="77">
        <f t="shared" si="56"/>
        <v>0.5</v>
      </c>
      <c r="T125" s="77">
        <f t="shared" si="56"/>
        <v>0.5</v>
      </c>
      <c r="U125" s="77">
        <f t="shared" si="56"/>
        <v>0.5</v>
      </c>
      <c r="V125" s="77">
        <f t="shared" si="56"/>
        <v>0.5</v>
      </c>
      <c r="W125" s="78">
        <f t="shared" si="56"/>
        <v>0.5</v>
      </c>
    </row>
    <row r="126" spans="1:23" ht="12.75" hidden="1" customHeight="1" outlineLevel="2" x14ac:dyDescent="0.2">
      <c r="A126" s="30"/>
      <c r="B126" s="31" t="str">
        <f>Labels!B382</f>
        <v>Practice 2</v>
      </c>
      <c r="C126" s="43" t="str">
        <f>Labels!B385</f>
        <v>Prof Level 1</v>
      </c>
      <c r="D126" s="43" t="str">
        <f>Labels!B317</f>
        <v>Channels 1</v>
      </c>
      <c r="E126" s="44"/>
      <c r="F126" s="77">
        <f t="shared" si="52"/>
        <v>0.5</v>
      </c>
      <c r="G126" s="77">
        <f t="shared" ref="G126:W126" si="57">F126</f>
        <v>0.5</v>
      </c>
      <c r="H126" s="77">
        <f t="shared" si="57"/>
        <v>0.5</v>
      </c>
      <c r="I126" s="77">
        <f t="shared" si="57"/>
        <v>0.5</v>
      </c>
      <c r="J126" s="77">
        <f t="shared" si="57"/>
        <v>0.5</v>
      </c>
      <c r="K126" s="77">
        <f t="shared" si="57"/>
        <v>0.5</v>
      </c>
      <c r="L126" s="77">
        <f t="shared" si="57"/>
        <v>0.5</v>
      </c>
      <c r="M126" s="77">
        <f t="shared" si="57"/>
        <v>0.5</v>
      </c>
      <c r="N126" s="77">
        <f t="shared" si="57"/>
        <v>0.5</v>
      </c>
      <c r="O126" s="77">
        <f t="shared" si="57"/>
        <v>0.5</v>
      </c>
      <c r="P126" s="77">
        <f t="shared" si="57"/>
        <v>0.5</v>
      </c>
      <c r="Q126" s="77">
        <f t="shared" si="57"/>
        <v>0.5</v>
      </c>
      <c r="R126" s="77">
        <f t="shared" si="57"/>
        <v>0.5</v>
      </c>
      <c r="S126" s="77">
        <f t="shared" si="57"/>
        <v>0.5</v>
      </c>
      <c r="T126" s="77">
        <f t="shared" si="57"/>
        <v>0.5</v>
      </c>
      <c r="U126" s="77">
        <f t="shared" si="57"/>
        <v>0.5</v>
      </c>
      <c r="V126" s="77">
        <f t="shared" si="57"/>
        <v>0.5</v>
      </c>
      <c r="W126" s="78">
        <f t="shared" si="57"/>
        <v>0.5</v>
      </c>
    </row>
    <row r="127" spans="1:23" ht="12.75" hidden="1" customHeight="1" outlineLevel="2" x14ac:dyDescent="0.2">
      <c r="A127" s="30"/>
      <c r="B127" s="31"/>
      <c r="C127" s="43"/>
      <c r="D127" s="43" t="str">
        <f>Labels!B318</f>
        <v>Channels 2</v>
      </c>
      <c r="E127" s="44"/>
      <c r="F127" s="77">
        <f t="shared" si="52"/>
        <v>0.5</v>
      </c>
      <c r="G127" s="77">
        <f t="shared" ref="G127:W127" si="58">F127</f>
        <v>0.5</v>
      </c>
      <c r="H127" s="77">
        <f t="shared" si="58"/>
        <v>0.5</v>
      </c>
      <c r="I127" s="77">
        <f t="shared" si="58"/>
        <v>0.5</v>
      </c>
      <c r="J127" s="77">
        <f t="shared" si="58"/>
        <v>0.5</v>
      </c>
      <c r="K127" s="77">
        <f t="shared" si="58"/>
        <v>0.5</v>
      </c>
      <c r="L127" s="77">
        <f t="shared" si="58"/>
        <v>0.5</v>
      </c>
      <c r="M127" s="77">
        <f t="shared" si="58"/>
        <v>0.5</v>
      </c>
      <c r="N127" s="77">
        <f t="shared" si="58"/>
        <v>0.5</v>
      </c>
      <c r="O127" s="77">
        <f t="shared" si="58"/>
        <v>0.5</v>
      </c>
      <c r="P127" s="77">
        <f t="shared" si="58"/>
        <v>0.5</v>
      </c>
      <c r="Q127" s="77">
        <f t="shared" si="58"/>
        <v>0.5</v>
      </c>
      <c r="R127" s="77">
        <f t="shared" si="58"/>
        <v>0.5</v>
      </c>
      <c r="S127" s="77">
        <f t="shared" si="58"/>
        <v>0.5</v>
      </c>
      <c r="T127" s="77">
        <f t="shared" si="58"/>
        <v>0.5</v>
      </c>
      <c r="U127" s="77">
        <f t="shared" si="58"/>
        <v>0.5</v>
      </c>
      <c r="V127" s="77">
        <f t="shared" si="58"/>
        <v>0.5</v>
      </c>
      <c r="W127" s="78">
        <f t="shared" si="58"/>
        <v>0.5</v>
      </c>
    </row>
    <row r="128" spans="1:23" ht="12.75" hidden="1" customHeight="1" outlineLevel="2" x14ac:dyDescent="0.2">
      <c r="A128" s="30"/>
      <c r="B128" s="31"/>
      <c r="C128" s="43" t="str">
        <f>Labels!B386</f>
        <v>Prof Level 2</v>
      </c>
      <c r="D128" s="43" t="str">
        <f>Labels!B317</f>
        <v>Channels 1</v>
      </c>
      <c r="E128" s="44"/>
      <c r="F128" s="77">
        <f t="shared" si="52"/>
        <v>0.5</v>
      </c>
      <c r="G128" s="77">
        <f t="shared" ref="G128:W128" si="59">F128</f>
        <v>0.5</v>
      </c>
      <c r="H128" s="77">
        <f t="shared" si="59"/>
        <v>0.5</v>
      </c>
      <c r="I128" s="77">
        <f t="shared" si="59"/>
        <v>0.5</v>
      </c>
      <c r="J128" s="77">
        <f t="shared" si="59"/>
        <v>0.5</v>
      </c>
      <c r="K128" s="77">
        <f t="shared" si="59"/>
        <v>0.5</v>
      </c>
      <c r="L128" s="77">
        <f t="shared" si="59"/>
        <v>0.5</v>
      </c>
      <c r="M128" s="77">
        <f t="shared" si="59"/>
        <v>0.5</v>
      </c>
      <c r="N128" s="77">
        <f t="shared" si="59"/>
        <v>0.5</v>
      </c>
      <c r="O128" s="77">
        <f t="shared" si="59"/>
        <v>0.5</v>
      </c>
      <c r="P128" s="77">
        <f t="shared" si="59"/>
        <v>0.5</v>
      </c>
      <c r="Q128" s="77">
        <f t="shared" si="59"/>
        <v>0.5</v>
      </c>
      <c r="R128" s="77">
        <f t="shared" si="59"/>
        <v>0.5</v>
      </c>
      <c r="S128" s="77">
        <f t="shared" si="59"/>
        <v>0.5</v>
      </c>
      <c r="T128" s="77">
        <f t="shared" si="59"/>
        <v>0.5</v>
      </c>
      <c r="U128" s="77">
        <f t="shared" si="59"/>
        <v>0.5</v>
      </c>
      <c r="V128" s="77">
        <f t="shared" si="59"/>
        <v>0.5</v>
      </c>
      <c r="W128" s="78">
        <f t="shared" si="59"/>
        <v>0.5</v>
      </c>
    </row>
    <row r="129" spans="1:23" ht="12.75" hidden="1" customHeight="1" outlineLevel="2" x14ac:dyDescent="0.2">
      <c r="A129" s="17"/>
      <c r="B129" s="35"/>
      <c r="C129" s="47"/>
      <c r="D129" s="47" t="str">
        <f>Labels!B318</f>
        <v>Channels 2</v>
      </c>
      <c r="E129" s="48"/>
      <c r="F129" s="79">
        <f t="shared" si="52"/>
        <v>0.5</v>
      </c>
      <c r="G129" s="79">
        <f t="shared" ref="G129:W129" si="60">F129</f>
        <v>0.5</v>
      </c>
      <c r="H129" s="79">
        <f t="shared" si="60"/>
        <v>0.5</v>
      </c>
      <c r="I129" s="79">
        <f t="shared" si="60"/>
        <v>0.5</v>
      </c>
      <c r="J129" s="79">
        <f t="shared" si="60"/>
        <v>0.5</v>
      </c>
      <c r="K129" s="79">
        <f t="shared" si="60"/>
        <v>0.5</v>
      </c>
      <c r="L129" s="79">
        <f t="shared" si="60"/>
        <v>0.5</v>
      </c>
      <c r="M129" s="79">
        <f t="shared" si="60"/>
        <v>0.5</v>
      </c>
      <c r="N129" s="79">
        <f t="shared" si="60"/>
        <v>0.5</v>
      </c>
      <c r="O129" s="79">
        <f t="shared" si="60"/>
        <v>0.5</v>
      </c>
      <c r="P129" s="79">
        <f t="shared" si="60"/>
        <v>0.5</v>
      </c>
      <c r="Q129" s="79">
        <f t="shared" si="60"/>
        <v>0.5</v>
      </c>
      <c r="R129" s="79">
        <f t="shared" si="60"/>
        <v>0.5</v>
      </c>
      <c r="S129" s="79">
        <f t="shared" si="60"/>
        <v>0.5</v>
      </c>
      <c r="T129" s="79">
        <f t="shared" si="60"/>
        <v>0.5</v>
      </c>
      <c r="U129" s="79">
        <f t="shared" si="60"/>
        <v>0.5</v>
      </c>
      <c r="V129" s="79">
        <f t="shared" si="60"/>
        <v>0.5</v>
      </c>
      <c r="W129" s="80">
        <f t="shared" si="60"/>
        <v>0.5</v>
      </c>
    </row>
    <row r="130" spans="1:23" ht="12.75" hidden="1" customHeight="1" outlineLevel="2" collapsed="1" x14ac:dyDescent="0.2"/>
    <row r="131" spans="1:23" ht="12.75" hidden="1" customHeight="1" outlineLevel="1" collapsed="1" x14ac:dyDescent="0.2"/>
    <row r="132" spans="1:23" ht="12.75" customHeight="1" collapsed="1" x14ac:dyDescent="0.2"/>
    <row r="133" spans="1:23" ht="12.75" customHeight="1" collapsed="1" x14ac:dyDescent="0.2">
      <c r="A133" s="464" t="str">
        <f>"Billing Rates and Non-Labor Cost of Services"</f>
        <v>Billing Rates and Non-Labor Cost of Services</v>
      </c>
      <c r="B133" s="464"/>
    </row>
    <row r="134" spans="1:23" ht="12.75" hidden="1" customHeight="1" outlineLevel="1" x14ac:dyDescent="0.2">
      <c r="A134" s="1" t="str">
        <f>""</f>
        <v/>
      </c>
    </row>
    <row r="135" spans="1:23" ht="12.75" hidden="1" customHeight="1" outlineLevel="1" x14ac:dyDescent="0.2">
      <c r="A135" s="465" t="str">
        <f>"Billing Rates"</f>
        <v>Billing Rates</v>
      </c>
      <c r="B135" s="465"/>
    </row>
    <row r="136" spans="1:23" ht="12.75" hidden="1" customHeight="1" outlineLevel="2" x14ac:dyDescent="0.2">
      <c r="A136" s="465" t="str">
        <f>""</f>
        <v/>
      </c>
      <c r="B136" s="465"/>
    </row>
    <row r="137" spans="1:23" ht="12.75" hidden="1" customHeight="1" outlineLevel="2" x14ac:dyDescent="0.2">
      <c r="F137" s="9" t="str">
        <f>'(FnCalls 1)'!F41</f>
        <v>MMM 2010</v>
      </c>
      <c r="G137" s="10" t="str">
        <f>'(FnCalls 1)'!F42</f>
        <v>MMM 2010</v>
      </c>
      <c r="H137" s="10" t="str">
        <f>'(FnCalls 1)'!F43</f>
        <v>MMM 2010</v>
      </c>
      <c r="I137" s="10" t="str">
        <f>'(FnCalls 1)'!F44</f>
        <v>MMM 2010</v>
      </c>
      <c r="J137" s="10" t="str">
        <f>'(FnCalls 1)'!F45</f>
        <v>MMM 2010</v>
      </c>
      <c r="K137" s="10" t="str">
        <f>'(FnCalls 1)'!F46</f>
        <v>MMM 2010</v>
      </c>
      <c r="L137" s="10" t="str">
        <f>'(FnCalls 1)'!F47</f>
        <v>MMM 2010</v>
      </c>
      <c r="M137" s="10" t="str">
        <f>'(FnCalls 1)'!F48</f>
        <v>MMM 2010</v>
      </c>
      <c r="N137" s="10" t="str">
        <f>'(FnCalls 1)'!F49</f>
        <v>MMM 2010</v>
      </c>
      <c r="O137" s="10" t="str">
        <f>'(FnCalls 1)'!F50</f>
        <v>MMM 2010</v>
      </c>
      <c r="P137" s="10" t="str">
        <f>'(FnCalls 1)'!F51</f>
        <v>MMM 2010</v>
      </c>
      <c r="Q137" s="10" t="str">
        <f>'(FnCalls 1)'!F52</f>
        <v>MMM 2010</v>
      </c>
      <c r="R137" s="10" t="str">
        <f>'(FnCalls 1)'!F53</f>
        <v>MMM 2011</v>
      </c>
      <c r="S137" s="10" t="str">
        <f>'(FnCalls 1)'!F54</f>
        <v>MMM 2011</v>
      </c>
      <c r="T137" s="10" t="str">
        <f>'(FnCalls 1)'!F55</f>
        <v>MMM 2011</v>
      </c>
      <c r="U137" s="10" t="str">
        <f>'(FnCalls 1)'!F56</f>
        <v>MMM 2011</v>
      </c>
      <c r="V137" s="10" t="str">
        <f>'(FnCalls 1)'!F57</f>
        <v>MMM 2011</v>
      </c>
      <c r="W137" s="11" t="str">
        <f>'(FnCalls 1)'!F58</f>
        <v>MMM 2011</v>
      </c>
    </row>
    <row r="138" spans="1:23" ht="12.75" hidden="1" customHeight="1" outlineLevel="2" x14ac:dyDescent="0.2">
      <c r="A138" s="12" t="str">
        <f>Labels!B163</f>
        <v>Billing Rates (Nominal )</v>
      </c>
      <c r="B138" s="26" t="str">
        <f>Labels!B381</f>
        <v>Practice 1</v>
      </c>
      <c r="C138" s="39" t="str">
        <f>Labels!B385</f>
        <v>Prof Level 1</v>
      </c>
      <c r="D138" s="39"/>
      <c r="E138" s="40"/>
      <c r="F138" s="81">
        <f>200</f>
        <v>200</v>
      </c>
      <c r="G138" s="81">
        <f t="shared" ref="G138:W138" si="61">F138</f>
        <v>200</v>
      </c>
      <c r="H138" s="81">
        <f t="shared" si="61"/>
        <v>200</v>
      </c>
      <c r="I138" s="81">
        <f t="shared" si="61"/>
        <v>200</v>
      </c>
      <c r="J138" s="81">
        <f t="shared" si="61"/>
        <v>200</v>
      </c>
      <c r="K138" s="81">
        <f t="shared" si="61"/>
        <v>200</v>
      </c>
      <c r="L138" s="81">
        <f t="shared" si="61"/>
        <v>200</v>
      </c>
      <c r="M138" s="81">
        <f t="shared" si="61"/>
        <v>200</v>
      </c>
      <c r="N138" s="81">
        <f t="shared" si="61"/>
        <v>200</v>
      </c>
      <c r="O138" s="81">
        <f t="shared" si="61"/>
        <v>200</v>
      </c>
      <c r="P138" s="81">
        <f t="shared" si="61"/>
        <v>200</v>
      </c>
      <c r="Q138" s="81">
        <f t="shared" si="61"/>
        <v>200</v>
      </c>
      <c r="R138" s="81">
        <f t="shared" si="61"/>
        <v>200</v>
      </c>
      <c r="S138" s="81">
        <f t="shared" si="61"/>
        <v>200</v>
      </c>
      <c r="T138" s="81">
        <f t="shared" si="61"/>
        <v>200</v>
      </c>
      <c r="U138" s="81">
        <f t="shared" si="61"/>
        <v>200</v>
      </c>
      <c r="V138" s="81">
        <f t="shared" si="61"/>
        <v>200</v>
      </c>
      <c r="W138" s="82">
        <f t="shared" si="61"/>
        <v>200</v>
      </c>
    </row>
    <row r="139" spans="1:23" ht="12.75" hidden="1" customHeight="1" outlineLevel="2" x14ac:dyDescent="0.2">
      <c r="A139" s="30"/>
      <c r="B139" s="31"/>
      <c r="C139" s="43" t="str">
        <f>Labels!B386</f>
        <v>Prof Level 2</v>
      </c>
      <c r="D139" s="43"/>
      <c r="E139" s="44"/>
      <c r="F139" s="83">
        <f>200</f>
        <v>200</v>
      </c>
      <c r="G139" s="83">
        <f t="shared" ref="G139:W139" si="62">F139</f>
        <v>200</v>
      </c>
      <c r="H139" s="83">
        <f t="shared" si="62"/>
        <v>200</v>
      </c>
      <c r="I139" s="83">
        <f t="shared" si="62"/>
        <v>200</v>
      </c>
      <c r="J139" s="83">
        <f t="shared" si="62"/>
        <v>200</v>
      </c>
      <c r="K139" s="83">
        <f t="shared" si="62"/>
        <v>200</v>
      </c>
      <c r="L139" s="83">
        <f t="shared" si="62"/>
        <v>200</v>
      </c>
      <c r="M139" s="83">
        <f t="shared" si="62"/>
        <v>200</v>
      </c>
      <c r="N139" s="83">
        <f t="shared" si="62"/>
        <v>200</v>
      </c>
      <c r="O139" s="83">
        <f t="shared" si="62"/>
        <v>200</v>
      </c>
      <c r="P139" s="83">
        <f t="shared" si="62"/>
        <v>200</v>
      </c>
      <c r="Q139" s="83">
        <f t="shared" si="62"/>
        <v>200</v>
      </c>
      <c r="R139" s="83">
        <f t="shared" si="62"/>
        <v>200</v>
      </c>
      <c r="S139" s="83">
        <f t="shared" si="62"/>
        <v>200</v>
      </c>
      <c r="T139" s="83">
        <f t="shared" si="62"/>
        <v>200</v>
      </c>
      <c r="U139" s="83">
        <f t="shared" si="62"/>
        <v>200</v>
      </c>
      <c r="V139" s="83">
        <f t="shared" si="62"/>
        <v>200</v>
      </c>
      <c r="W139" s="84">
        <f t="shared" si="62"/>
        <v>200</v>
      </c>
    </row>
    <row r="140" spans="1:23" ht="12.75" hidden="1" customHeight="1" outlineLevel="2" x14ac:dyDescent="0.2">
      <c r="A140" s="30"/>
      <c r="B140" s="31" t="str">
        <f>Labels!B382</f>
        <v>Practice 2</v>
      </c>
      <c r="C140" s="43" t="str">
        <f>Labels!B385</f>
        <v>Prof Level 1</v>
      </c>
      <c r="D140" s="43"/>
      <c r="E140" s="44"/>
      <c r="F140" s="83">
        <f>200</f>
        <v>200</v>
      </c>
      <c r="G140" s="83">
        <f t="shared" ref="G140:W140" si="63">F140</f>
        <v>200</v>
      </c>
      <c r="H140" s="83">
        <f t="shared" si="63"/>
        <v>200</v>
      </c>
      <c r="I140" s="83">
        <f t="shared" si="63"/>
        <v>200</v>
      </c>
      <c r="J140" s="83">
        <f t="shared" si="63"/>
        <v>200</v>
      </c>
      <c r="K140" s="83">
        <f t="shared" si="63"/>
        <v>200</v>
      </c>
      <c r="L140" s="83">
        <f t="shared" si="63"/>
        <v>200</v>
      </c>
      <c r="M140" s="83">
        <f t="shared" si="63"/>
        <v>200</v>
      </c>
      <c r="N140" s="83">
        <f t="shared" si="63"/>
        <v>200</v>
      </c>
      <c r="O140" s="83">
        <f t="shared" si="63"/>
        <v>200</v>
      </c>
      <c r="P140" s="83">
        <f t="shared" si="63"/>
        <v>200</v>
      </c>
      <c r="Q140" s="83">
        <f t="shared" si="63"/>
        <v>200</v>
      </c>
      <c r="R140" s="83">
        <f t="shared" si="63"/>
        <v>200</v>
      </c>
      <c r="S140" s="83">
        <f t="shared" si="63"/>
        <v>200</v>
      </c>
      <c r="T140" s="83">
        <f t="shared" si="63"/>
        <v>200</v>
      </c>
      <c r="U140" s="83">
        <f t="shared" si="63"/>
        <v>200</v>
      </c>
      <c r="V140" s="83">
        <f t="shared" si="63"/>
        <v>200</v>
      </c>
      <c r="W140" s="84">
        <f t="shared" si="63"/>
        <v>200</v>
      </c>
    </row>
    <row r="141" spans="1:23" ht="12.75" hidden="1" customHeight="1" outlineLevel="2" x14ac:dyDescent="0.2">
      <c r="A141" s="30"/>
      <c r="B141" s="31"/>
      <c r="C141" s="43" t="str">
        <f>Labels!B386</f>
        <v>Prof Level 2</v>
      </c>
      <c r="D141" s="43"/>
      <c r="E141" s="44"/>
      <c r="F141" s="83">
        <f>200</f>
        <v>200</v>
      </c>
      <c r="G141" s="83">
        <f t="shared" ref="G141:W141" si="64">F141</f>
        <v>200</v>
      </c>
      <c r="H141" s="83">
        <f t="shared" si="64"/>
        <v>200</v>
      </c>
      <c r="I141" s="83">
        <f t="shared" si="64"/>
        <v>200</v>
      </c>
      <c r="J141" s="83">
        <f t="shared" si="64"/>
        <v>200</v>
      </c>
      <c r="K141" s="83">
        <f t="shared" si="64"/>
        <v>200</v>
      </c>
      <c r="L141" s="83">
        <f t="shared" si="64"/>
        <v>200</v>
      </c>
      <c r="M141" s="83">
        <f t="shared" si="64"/>
        <v>200</v>
      </c>
      <c r="N141" s="83">
        <f t="shared" si="64"/>
        <v>200</v>
      </c>
      <c r="O141" s="83">
        <f t="shared" si="64"/>
        <v>200</v>
      </c>
      <c r="P141" s="83">
        <f t="shared" si="64"/>
        <v>200</v>
      </c>
      <c r="Q141" s="83">
        <f t="shared" si="64"/>
        <v>200</v>
      </c>
      <c r="R141" s="83">
        <f t="shared" si="64"/>
        <v>200</v>
      </c>
      <c r="S141" s="83">
        <f t="shared" si="64"/>
        <v>200</v>
      </c>
      <c r="T141" s="83">
        <f t="shared" si="64"/>
        <v>200</v>
      </c>
      <c r="U141" s="83">
        <f t="shared" si="64"/>
        <v>200</v>
      </c>
      <c r="V141" s="83">
        <f t="shared" si="64"/>
        <v>200</v>
      </c>
      <c r="W141" s="84">
        <f t="shared" si="64"/>
        <v>200</v>
      </c>
    </row>
    <row r="142" spans="1:23" ht="12.75" hidden="1" customHeight="1" outlineLevel="2" x14ac:dyDescent="0.2">
      <c r="A142" s="5"/>
      <c r="B142" s="6"/>
      <c r="C142" s="6"/>
      <c r="D142" s="6"/>
      <c r="E142" s="7"/>
      <c r="F142" s="6"/>
      <c r="G142" s="6"/>
      <c r="H142" s="6"/>
      <c r="I142" s="6"/>
      <c r="J142" s="6"/>
      <c r="K142" s="6"/>
      <c r="L142" s="6"/>
      <c r="M142" s="6"/>
      <c r="N142" s="6"/>
      <c r="O142" s="6"/>
      <c r="P142" s="6"/>
      <c r="Q142" s="6"/>
      <c r="R142" s="6"/>
      <c r="S142" s="6"/>
      <c r="T142" s="6"/>
      <c r="U142" s="6"/>
      <c r="V142" s="6"/>
      <c r="W142" s="7"/>
    </row>
    <row r="143" spans="1:23" ht="12.75" hidden="1" customHeight="1" outlineLevel="2" x14ac:dyDescent="0.2">
      <c r="A143" s="30" t="str">
        <f>Labels!B161</f>
        <v>Billing Rate Discount %</v>
      </c>
      <c r="B143" s="31" t="str">
        <f>Labels!B381</f>
        <v>Practice 1</v>
      </c>
      <c r="C143" s="43" t="str">
        <f>Labels!B385</f>
        <v>Prof Level 1</v>
      </c>
      <c r="D143" s="43"/>
      <c r="E143" s="44"/>
      <c r="F143" s="53">
        <f>0</f>
        <v>0</v>
      </c>
      <c r="G143" s="53">
        <f t="shared" ref="G143:W143" si="65">F143</f>
        <v>0</v>
      </c>
      <c r="H143" s="53">
        <f t="shared" si="65"/>
        <v>0</v>
      </c>
      <c r="I143" s="53">
        <f t="shared" si="65"/>
        <v>0</v>
      </c>
      <c r="J143" s="53">
        <f t="shared" si="65"/>
        <v>0</v>
      </c>
      <c r="K143" s="53">
        <f t="shared" si="65"/>
        <v>0</v>
      </c>
      <c r="L143" s="53">
        <f t="shared" si="65"/>
        <v>0</v>
      </c>
      <c r="M143" s="53">
        <f t="shared" si="65"/>
        <v>0</v>
      </c>
      <c r="N143" s="53">
        <f t="shared" si="65"/>
        <v>0</v>
      </c>
      <c r="O143" s="53">
        <f t="shared" si="65"/>
        <v>0</v>
      </c>
      <c r="P143" s="53">
        <f t="shared" si="65"/>
        <v>0</v>
      </c>
      <c r="Q143" s="53">
        <f t="shared" si="65"/>
        <v>0</v>
      </c>
      <c r="R143" s="53">
        <f t="shared" si="65"/>
        <v>0</v>
      </c>
      <c r="S143" s="53">
        <f t="shared" si="65"/>
        <v>0</v>
      </c>
      <c r="T143" s="53">
        <f t="shared" si="65"/>
        <v>0</v>
      </c>
      <c r="U143" s="53">
        <f t="shared" si="65"/>
        <v>0</v>
      </c>
      <c r="V143" s="53">
        <f t="shared" si="65"/>
        <v>0</v>
      </c>
      <c r="W143" s="54">
        <f t="shared" si="65"/>
        <v>0</v>
      </c>
    </row>
    <row r="144" spans="1:23" ht="12.75" hidden="1" customHeight="1" outlineLevel="2" x14ac:dyDescent="0.2">
      <c r="A144" s="30"/>
      <c r="B144" s="31"/>
      <c r="C144" s="43" t="str">
        <f>Labels!B386</f>
        <v>Prof Level 2</v>
      </c>
      <c r="D144" s="43"/>
      <c r="E144" s="44"/>
      <c r="F144" s="53">
        <f>0</f>
        <v>0</v>
      </c>
      <c r="G144" s="53">
        <f t="shared" ref="G144:W144" si="66">F144</f>
        <v>0</v>
      </c>
      <c r="H144" s="53">
        <f t="shared" si="66"/>
        <v>0</v>
      </c>
      <c r="I144" s="53">
        <f t="shared" si="66"/>
        <v>0</v>
      </c>
      <c r="J144" s="53">
        <f t="shared" si="66"/>
        <v>0</v>
      </c>
      <c r="K144" s="53">
        <f t="shared" si="66"/>
        <v>0</v>
      </c>
      <c r="L144" s="53">
        <f t="shared" si="66"/>
        <v>0</v>
      </c>
      <c r="M144" s="53">
        <f t="shared" si="66"/>
        <v>0</v>
      </c>
      <c r="N144" s="53">
        <f t="shared" si="66"/>
        <v>0</v>
      </c>
      <c r="O144" s="53">
        <f t="shared" si="66"/>
        <v>0</v>
      </c>
      <c r="P144" s="53">
        <f t="shared" si="66"/>
        <v>0</v>
      </c>
      <c r="Q144" s="53">
        <f t="shared" si="66"/>
        <v>0</v>
      </c>
      <c r="R144" s="53">
        <f t="shared" si="66"/>
        <v>0</v>
      </c>
      <c r="S144" s="53">
        <f t="shared" si="66"/>
        <v>0</v>
      </c>
      <c r="T144" s="53">
        <f t="shared" si="66"/>
        <v>0</v>
      </c>
      <c r="U144" s="53">
        <f t="shared" si="66"/>
        <v>0</v>
      </c>
      <c r="V144" s="53">
        <f t="shared" si="66"/>
        <v>0</v>
      </c>
      <c r="W144" s="54">
        <f t="shared" si="66"/>
        <v>0</v>
      </c>
    </row>
    <row r="145" spans="1:23" ht="12.75" hidden="1" customHeight="1" outlineLevel="2" x14ac:dyDescent="0.2">
      <c r="A145" s="30"/>
      <c r="B145" s="31" t="str">
        <f>Labels!B382</f>
        <v>Practice 2</v>
      </c>
      <c r="C145" s="43" t="str">
        <f>Labels!B385</f>
        <v>Prof Level 1</v>
      </c>
      <c r="D145" s="43"/>
      <c r="E145" s="44"/>
      <c r="F145" s="53">
        <f>0</f>
        <v>0</v>
      </c>
      <c r="G145" s="53">
        <f t="shared" ref="G145:W145" si="67">F145</f>
        <v>0</v>
      </c>
      <c r="H145" s="53">
        <f t="shared" si="67"/>
        <v>0</v>
      </c>
      <c r="I145" s="53">
        <f t="shared" si="67"/>
        <v>0</v>
      </c>
      <c r="J145" s="53">
        <f t="shared" si="67"/>
        <v>0</v>
      </c>
      <c r="K145" s="53">
        <f t="shared" si="67"/>
        <v>0</v>
      </c>
      <c r="L145" s="53">
        <f t="shared" si="67"/>
        <v>0</v>
      </c>
      <c r="M145" s="53">
        <f t="shared" si="67"/>
        <v>0</v>
      </c>
      <c r="N145" s="53">
        <f t="shared" si="67"/>
        <v>0</v>
      </c>
      <c r="O145" s="53">
        <f t="shared" si="67"/>
        <v>0</v>
      </c>
      <c r="P145" s="53">
        <f t="shared" si="67"/>
        <v>0</v>
      </c>
      <c r="Q145" s="53">
        <f t="shared" si="67"/>
        <v>0</v>
      </c>
      <c r="R145" s="53">
        <f t="shared" si="67"/>
        <v>0</v>
      </c>
      <c r="S145" s="53">
        <f t="shared" si="67"/>
        <v>0</v>
      </c>
      <c r="T145" s="53">
        <f t="shared" si="67"/>
        <v>0</v>
      </c>
      <c r="U145" s="53">
        <f t="shared" si="67"/>
        <v>0</v>
      </c>
      <c r="V145" s="53">
        <f t="shared" si="67"/>
        <v>0</v>
      </c>
      <c r="W145" s="54">
        <f t="shared" si="67"/>
        <v>0</v>
      </c>
    </row>
    <row r="146" spans="1:23" ht="12.75" hidden="1" customHeight="1" outlineLevel="2" x14ac:dyDescent="0.2">
      <c r="A146" s="30"/>
      <c r="B146" s="31"/>
      <c r="C146" s="43" t="str">
        <f>Labels!B386</f>
        <v>Prof Level 2</v>
      </c>
      <c r="D146" s="43"/>
      <c r="E146" s="44"/>
      <c r="F146" s="53">
        <f>0</f>
        <v>0</v>
      </c>
      <c r="G146" s="53">
        <f t="shared" ref="G146:W146" si="68">F146</f>
        <v>0</v>
      </c>
      <c r="H146" s="53">
        <f t="shared" si="68"/>
        <v>0</v>
      </c>
      <c r="I146" s="53">
        <f t="shared" si="68"/>
        <v>0</v>
      </c>
      <c r="J146" s="53">
        <f t="shared" si="68"/>
        <v>0</v>
      </c>
      <c r="K146" s="53">
        <f t="shared" si="68"/>
        <v>0</v>
      </c>
      <c r="L146" s="53">
        <f t="shared" si="68"/>
        <v>0</v>
      </c>
      <c r="M146" s="53">
        <f t="shared" si="68"/>
        <v>0</v>
      </c>
      <c r="N146" s="53">
        <f t="shared" si="68"/>
        <v>0</v>
      </c>
      <c r="O146" s="53">
        <f t="shared" si="68"/>
        <v>0</v>
      </c>
      <c r="P146" s="53">
        <f t="shared" si="68"/>
        <v>0</v>
      </c>
      <c r="Q146" s="53">
        <f t="shared" si="68"/>
        <v>0</v>
      </c>
      <c r="R146" s="53">
        <f t="shared" si="68"/>
        <v>0</v>
      </c>
      <c r="S146" s="53">
        <f t="shared" si="68"/>
        <v>0</v>
      </c>
      <c r="T146" s="53">
        <f t="shared" si="68"/>
        <v>0</v>
      </c>
      <c r="U146" s="53">
        <f t="shared" si="68"/>
        <v>0</v>
      </c>
      <c r="V146" s="53">
        <f t="shared" si="68"/>
        <v>0</v>
      </c>
      <c r="W146" s="54">
        <f t="shared" si="68"/>
        <v>0</v>
      </c>
    </row>
    <row r="147" spans="1:23" ht="12.75" hidden="1" customHeight="1" outlineLevel="2" x14ac:dyDescent="0.2">
      <c r="A147" s="5"/>
      <c r="B147" s="6"/>
      <c r="C147" s="6"/>
      <c r="D147" s="6"/>
      <c r="E147" s="7"/>
      <c r="F147" s="6"/>
      <c r="G147" s="6"/>
      <c r="H147" s="6"/>
      <c r="I147" s="6"/>
      <c r="J147" s="6"/>
      <c r="K147" s="6"/>
      <c r="L147" s="6"/>
      <c r="M147" s="6"/>
      <c r="N147" s="6"/>
      <c r="O147" s="6"/>
      <c r="P147" s="6"/>
      <c r="Q147" s="6"/>
      <c r="R147" s="6"/>
      <c r="S147" s="6"/>
      <c r="T147" s="6"/>
      <c r="U147" s="6"/>
      <c r="V147" s="6"/>
      <c r="W147" s="7"/>
    </row>
    <row r="148" spans="1:23" ht="12.75" hidden="1" customHeight="1" outlineLevel="2" x14ac:dyDescent="0.2">
      <c r="A148" s="30" t="str">
        <f>Labels!B72</f>
        <v>Engage Discount %</v>
      </c>
      <c r="B148" s="31" t="str">
        <f>Labels!B345</f>
        <v>Engage 1</v>
      </c>
      <c r="C148" s="31"/>
      <c r="D148" s="31"/>
      <c r="E148" s="32"/>
      <c r="F148" s="85">
        <f>0</f>
        <v>0</v>
      </c>
      <c r="G148" s="85">
        <f t="shared" ref="G148:W148" si="69">F148</f>
        <v>0</v>
      </c>
      <c r="H148" s="85">
        <f t="shared" si="69"/>
        <v>0</v>
      </c>
      <c r="I148" s="85">
        <f t="shared" si="69"/>
        <v>0</v>
      </c>
      <c r="J148" s="85">
        <f t="shared" si="69"/>
        <v>0</v>
      </c>
      <c r="K148" s="85">
        <f t="shared" si="69"/>
        <v>0</v>
      </c>
      <c r="L148" s="85">
        <f t="shared" si="69"/>
        <v>0</v>
      </c>
      <c r="M148" s="85">
        <f t="shared" si="69"/>
        <v>0</v>
      </c>
      <c r="N148" s="85">
        <f t="shared" si="69"/>
        <v>0</v>
      </c>
      <c r="O148" s="85">
        <f t="shared" si="69"/>
        <v>0</v>
      </c>
      <c r="P148" s="85">
        <f t="shared" si="69"/>
        <v>0</v>
      </c>
      <c r="Q148" s="85">
        <f t="shared" si="69"/>
        <v>0</v>
      </c>
      <c r="R148" s="85">
        <f t="shared" si="69"/>
        <v>0</v>
      </c>
      <c r="S148" s="85">
        <f t="shared" si="69"/>
        <v>0</v>
      </c>
      <c r="T148" s="85">
        <f t="shared" si="69"/>
        <v>0</v>
      </c>
      <c r="U148" s="85">
        <f t="shared" si="69"/>
        <v>0</v>
      </c>
      <c r="V148" s="85">
        <f t="shared" si="69"/>
        <v>0</v>
      </c>
      <c r="W148" s="86">
        <f t="shared" si="69"/>
        <v>0</v>
      </c>
    </row>
    <row r="149" spans="1:23" ht="12.75" hidden="1" customHeight="1" outlineLevel="2" x14ac:dyDescent="0.2">
      <c r="A149" s="17"/>
      <c r="B149" s="35" t="str">
        <f>Labels!B346</f>
        <v>Engage 2</v>
      </c>
      <c r="C149" s="35"/>
      <c r="D149" s="35"/>
      <c r="E149" s="36"/>
      <c r="F149" s="87">
        <f>0</f>
        <v>0</v>
      </c>
      <c r="G149" s="87">
        <f t="shared" ref="G149:W149" si="70">F149</f>
        <v>0</v>
      </c>
      <c r="H149" s="87">
        <f t="shared" si="70"/>
        <v>0</v>
      </c>
      <c r="I149" s="87">
        <f t="shared" si="70"/>
        <v>0</v>
      </c>
      <c r="J149" s="87">
        <f t="shared" si="70"/>
        <v>0</v>
      </c>
      <c r="K149" s="87">
        <f t="shared" si="70"/>
        <v>0</v>
      </c>
      <c r="L149" s="87">
        <f t="shared" si="70"/>
        <v>0</v>
      </c>
      <c r="M149" s="87">
        <f t="shared" si="70"/>
        <v>0</v>
      </c>
      <c r="N149" s="87">
        <f t="shared" si="70"/>
        <v>0</v>
      </c>
      <c r="O149" s="87">
        <f t="shared" si="70"/>
        <v>0</v>
      </c>
      <c r="P149" s="87">
        <f t="shared" si="70"/>
        <v>0</v>
      </c>
      <c r="Q149" s="87">
        <f t="shared" si="70"/>
        <v>0</v>
      </c>
      <c r="R149" s="87">
        <f t="shared" si="70"/>
        <v>0</v>
      </c>
      <c r="S149" s="87">
        <f t="shared" si="70"/>
        <v>0</v>
      </c>
      <c r="T149" s="87">
        <f t="shared" si="70"/>
        <v>0</v>
      </c>
      <c r="U149" s="87">
        <f t="shared" si="70"/>
        <v>0</v>
      </c>
      <c r="V149" s="87">
        <f t="shared" si="70"/>
        <v>0</v>
      </c>
      <c r="W149" s="88">
        <f t="shared" si="70"/>
        <v>0</v>
      </c>
    </row>
    <row r="150" spans="1:23" ht="12.75" hidden="1" customHeight="1" outlineLevel="2" collapsed="1" x14ac:dyDescent="0.2"/>
    <row r="151" spans="1:23" ht="12.75" hidden="1" customHeight="1" outlineLevel="1" collapsed="1" x14ac:dyDescent="0.2">
      <c r="A151" s="465" t="str">
        <f>"Non-Labor Cost of Services"</f>
        <v>Non-Labor Cost of Services</v>
      </c>
      <c r="B151" s="465"/>
    </row>
    <row r="152" spans="1:23" ht="12.75" hidden="1" customHeight="1" outlineLevel="2" x14ac:dyDescent="0.2">
      <c r="F152" s="9" t="str">
        <f>'(FnCalls 1)'!F41</f>
        <v>MMM 2010</v>
      </c>
      <c r="G152" s="10" t="str">
        <f>'(FnCalls 1)'!F42</f>
        <v>MMM 2010</v>
      </c>
      <c r="H152" s="10" t="str">
        <f>'(FnCalls 1)'!F43</f>
        <v>MMM 2010</v>
      </c>
      <c r="I152" s="10" t="str">
        <f>'(FnCalls 1)'!F44</f>
        <v>MMM 2010</v>
      </c>
      <c r="J152" s="10" t="str">
        <f>'(FnCalls 1)'!F45</f>
        <v>MMM 2010</v>
      </c>
      <c r="K152" s="10" t="str">
        <f>'(FnCalls 1)'!F46</f>
        <v>MMM 2010</v>
      </c>
      <c r="L152" s="10" t="str">
        <f>'(FnCalls 1)'!F47</f>
        <v>MMM 2010</v>
      </c>
      <c r="M152" s="10" t="str">
        <f>'(FnCalls 1)'!F48</f>
        <v>MMM 2010</v>
      </c>
      <c r="N152" s="10" t="str">
        <f>'(FnCalls 1)'!F49</f>
        <v>MMM 2010</v>
      </c>
      <c r="O152" s="10" t="str">
        <f>'(FnCalls 1)'!F50</f>
        <v>MMM 2010</v>
      </c>
      <c r="P152" s="10" t="str">
        <f>'(FnCalls 1)'!F51</f>
        <v>MMM 2010</v>
      </c>
      <c r="Q152" s="10" t="str">
        <f>'(FnCalls 1)'!F52</f>
        <v>MMM 2010</v>
      </c>
      <c r="R152" s="10" t="str">
        <f>'(FnCalls 1)'!F53</f>
        <v>MMM 2011</v>
      </c>
      <c r="S152" s="10" t="str">
        <f>'(FnCalls 1)'!F54</f>
        <v>MMM 2011</v>
      </c>
      <c r="T152" s="10" t="str">
        <f>'(FnCalls 1)'!F55</f>
        <v>MMM 2011</v>
      </c>
      <c r="U152" s="10" t="str">
        <f>'(FnCalls 1)'!F56</f>
        <v>MMM 2011</v>
      </c>
      <c r="V152" s="10" t="str">
        <f>'(FnCalls 1)'!F57</f>
        <v>MMM 2011</v>
      </c>
      <c r="W152" s="11" t="str">
        <f>'(FnCalls 1)'!F58</f>
        <v>MMM 2011</v>
      </c>
    </row>
    <row r="153" spans="1:23" ht="12.75" hidden="1" customHeight="1" outlineLevel="2" x14ac:dyDescent="0.2">
      <c r="A153" s="12" t="str">
        <f>Labels!B51</f>
        <v>Travel &amp; Entertainment / Hr</v>
      </c>
      <c r="B153" s="26" t="str">
        <f>Labels!B381</f>
        <v>Practice 1</v>
      </c>
      <c r="C153" s="39" t="str">
        <f>Labels!B385</f>
        <v>Prof Level 1</v>
      </c>
      <c r="D153" s="39" t="str">
        <f>Labels!B317</f>
        <v>Channels 1</v>
      </c>
      <c r="E153" s="40"/>
      <c r="F153" s="89">
        <f>5</f>
        <v>5</v>
      </c>
      <c r="G153" s="89">
        <f t="shared" ref="G153:W153" si="71">F153</f>
        <v>5</v>
      </c>
      <c r="H153" s="89">
        <f t="shared" si="71"/>
        <v>5</v>
      </c>
      <c r="I153" s="89">
        <f t="shared" si="71"/>
        <v>5</v>
      </c>
      <c r="J153" s="89">
        <f t="shared" si="71"/>
        <v>5</v>
      </c>
      <c r="K153" s="89">
        <f t="shared" si="71"/>
        <v>5</v>
      </c>
      <c r="L153" s="89">
        <f t="shared" si="71"/>
        <v>5</v>
      </c>
      <c r="M153" s="89">
        <f t="shared" si="71"/>
        <v>5</v>
      </c>
      <c r="N153" s="89">
        <f t="shared" si="71"/>
        <v>5</v>
      </c>
      <c r="O153" s="89">
        <f t="shared" si="71"/>
        <v>5</v>
      </c>
      <c r="P153" s="89">
        <f t="shared" si="71"/>
        <v>5</v>
      </c>
      <c r="Q153" s="89">
        <f t="shared" si="71"/>
        <v>5</v>
      </c>
      <c r="R153" s="89">
        <f t="shared" si="71"/>
        <v>5</v>
      </c>
      <c r="S153" s="89">
        <f t="shared" si="71"/>
        <v>5</v>
      </c>
      <c r="T153" s="89">
        <f t="shared" si="71"/>
        <v>5</v>
      </c>
      <c r="U153" s="89">
        <f t="shared" si="71"/>
        <v>5</v>
      </c>
      <c r="V153" s="89">
        <f t="shared" si="71"/>
        <v>5</v>
      </c>
      <c r="W153" s="90">
        <f t="shared" si="71"/>
        <v>5</v>
      </c>
    </row>
    <row r="154" spans="1:23" ht="12.75" hidden="1" customHeight="1" outlineLevel="2" x14ac:dyDescent="0.2">
      <c r="A154" s="30"/>
      <c r="B154" s="31"/>
      <c r="C154" s="43"/>
      <c r="D154" s="43" t="str">
        <f>Labels!B318</f>
        <v>Channels 2</v>
      </c>
      <c r="E154" s="44"/>
      <c r="F154" s="91">
        <f>5</f>
        <v>5</v>
      </c>
      <c r="G154" s="91">
        <f t="shared" ref="G154:W154" si="72">F154</f>
        <v>5</v>
      </c>
      <c r="H154" s="91">
        <f t="shared" si="72"/>
        <v>5</v>
      </c>
      <c r="I154" s="91">
        <f t="shared" si="72"/>
        <v>5</v>
      </c>
      <c r="J154" s="91">
        <f t="shared" si="72"/>
        <v>5</v>
      </c>
      <c r="K154" s="91">
        <f t="shared" si="72"/>
        <v>5</v>
      </c>
      <c r="L154" s="91">
        <f t="shared" si="72"/>
        <v>5</v>
      </c>
      <c r="M154" s="91">
        <f t="shared" si="72"/>
        <v>5</v>
      </c>
      <c r="N154" s="91">
        <f t="shared" si="72"/>
        <v>5</v>
      </c>
      <c r="O154" s="91">
        <f t="shared" si="72"/>
        <v>5</v>
      </c>
      <c r="P154" s="91">
        <f t="shared" si="72"/>
        <v>5</v>
      </c>
      <c r="Q154" s="91">
        <f t="shared" si="72"/>
        <v>5</v>
      </c>
      <c r="R154" s="91">
        <f t="shared" si="72"/>
        <v>5</v>
      </c>
      <c r="S154" s="91">
        <f t="shared" si="72"/>
        <v>5</v>
      </c>
      <c r="T154" s="91">
        <f t="shared" si="72"/>
        <v>5</v>
      </c>
      <c r="U154" s="91">
        <f t="shared" si="72"/>
        <v>5</v>
      </c>
      <c r="V154" s="91">
        <f t="shared" si="72"/>
        <v>5</v>
      </c>
      <c r="W154" s="92">
        <f t="shared" si="72"/>
        <v>5</v>
      </c>
    </row>
    <row r="155" spans="1:23" ht="12.75" hidden="1" customHeight="1" outlineLevel="2" x14ac:dyDescent="0.2">
      <c r="A155" s="30"/>
      <c r="B155" s="31"/>
      <c r="C155" s="43" t="str">
        <f>Labels!B386</f>
        <v>Prof Level 2</v>
      </c>
      <c r="D155" s="43" t="str">
        <f>Labels!B317</f>
        <v>Channels 1</v>
      </c>
      <c r="E155" s="44"/>
      <c r="F155" s="91">
        <f>5</f>
        <v>5</v>
      </c>
      <c r="G155" s="91">
        <f t="shared" ref="G155:W155" si="73">F155</f>
        <v>5</v>
      </c>
      <c r="H155" s="91">
        <f t="shared" si="73"/>
        <v>5</v>
      </c>
      <c r="I155" s="91">
        <f t="shared" si="73"/>
        <v>5</v>
      </c>
      <c r="J155" s="91">
        <f t="shared" si="73"/>
        <v>5</v>
      </c>
      <c r="K155" s="91">
        <f t="shared" si="73"/>
        <v>5</v>
      </c>
      <c r="L155" s="91">
        <f t="shared" si="73"/>
        <v>5</v>
      </c>
      <c r="M155" s="91">
        <f t="shared" si="73"/>
        <v>5</v>
      </c>
      <c r="N155" s="91">
        <f t="shared" si="73"/>
        <v>5</v>
      </c>
      <c r="O155" s="91">
        <f t="shared" si="73"/>
        <v>5</v>
      </c>
      <c r="P155" s="91">
        <f t="shared" si="73"/>
        <v>5</v>
      </c>
      <c r="Q155" s="91">
        <f t="shared" si="73"/>
        <v>5</v>
      </c>
      <c r="R155" s="91">
        <f t="shared" si="73"/>
        <v>5</v>
      </c>
      <c r="S155" s="91">
        <f t="shared" si="73"/>
        <v>5</v>
      </c>
      <c r="T155" s="91">
        <f t="shared" si="73"/>
        <v>5</v>
      </c>
      <c r="U155" s="91">
        <f t="shared" si="73"/>
        <v>5</v>
      </c>
      <c r="V155" s="91">
        <f t="shared" si="73"/>
        <v>5</v>
      </c>
      <c r="W155" s="92">
        <f t="shared" si="73"/>
        <v>5</v>
      </c>
    </row>
    <row r="156" spans="1:23" ht="12.75" hidden="1" customHeight="1" outlineLevel="2" x14ac:dyDescent="0.2">
      <c r="A156" s="30"/>
      <c r="B156" s="31"/>
      <c r="C156" s="43"/>
      <c r="D156" s="43" t="str">
        <f>Labels!B318</f>
        <v>Channels 2</v>
      </c>
      <c r="E156" s="44"/>
      <c r="F156" s="91">
        <f>5</f>
        <v>5</v>
      </c>
      <c r="G156" s="91">
        <f t="shared" ref="G156:W156" si="74">F156</f>
        <v>5</v>
      </c>
      <c r="H156" s="91">
        <f t="shared" si="74"/>
        <v>5</v>
      </c>
      <c r="I156" s="91">
        <f t="shared" si="74"/>
        <v>5</v>
      </c>
      <c r="J156" s="91">
        <f t="shared" si="74"/>
        <v>5</v>
      </c>
      <c r="K156" s="91">
        <f t="shared" si="74"/>
        <v>5</v>
      </c>
      <c r="L156" s="91">
        <f t="shared" si="74"/>
        <v>5</v>
      </c>
      <c r="M156" s="91">
        <f t="shared" si="74"/>
        <v>5</v>
      </c>
      <c r="N156" s="91">
        <f t="shared" si="74"/>
        <v>5</v>
      </c>
      <c r="O156" s="91">
        <f t="shared" si="74"/>
        <v>5</v>
      </c>
      <c r="P156" s="91">
        <f t="shared" si="74"/>
        <v>5</v>
      </c>
      <c r="Q156" s="91">
        <f t="shared" si="74"/>
        <v>5</v>
      </c>
      <c r="R156" s="91">
        <f t="shared" si="74"/>
        <v>5</v>
      </c>
      <c r="S156" s="91">
        <f t="shared" si="74"/>
        <v>5</v>
      </c>
      <c r="T156" s="91">
        <f t="shared" si="74"/>
        <v>5</v>
      </c>
      <c r="U156" s="91">
        <f t="shared" si="74"/>
        <v>5</v>
      </c>
      <c r="V156" s="91">
        <f t="shared" si="74"/>
        <v>5</v>
      </c>
      <c r="W156" s="92">
        <f t="shared" si="74"/>
        <v>5</v>
      </c>
    </row>
    <row r="157" spans="1:23" ht="12.75" hidden="1" customHeight="1" outlineLevel="2" x14ac:dyDescent="0.2">
      <c r="A157" s="30"/>
      <c r="B157" s="31" t="str">
        <f>Labels!B382</f>
        <v>Practice 2</v>
      </c>
      <c r="C157" s="43" t="str">
        <f>Labels!B385</f>
        <v>Prof Level 1</v>
      </c>
      <c r="D157" s="43" t="str">
        <f>Labels!B317</f>
        <v>Channels 1</v>
      </c>
      <c r="E157" s="44"/>
      <c r="F157" s="91">
        <f>5</f>
        <v>5</v>
      </c>
      <c r="G157" s="91">
        <f t="shared" ref="G157:W157" si="75">F157</f>
        <v>5</v>
      </c>
      <c r="H157" s="91">
        <f t="shared" si="75"/>
        <v>5</v>
      </c>
      <c r="I157" s="91">
        <f t="shared" si="75"/>
        <v>5</v>
      </c>
      <c r="J157" s="91">
        <f t="shared" si="75"/>
        <v>5</v>
      </c>
      <c r="K157" s="91">
        <f t="shared" si="75"/>
        <v>5</v>
      </c>
      <c r="L157" s="91">
        <f t="shared" si="75"/>
        <v>5</v>
      </c>
      <c r="M157" s="91">
        <f t="shared" si="75"/>
        <v>5</v>
      </c>
      <c r="N157" s="91">
        <f t="shared" si="75"/>
        <v>5</v>
      </c>
      <c r="O157" s="91">
        <f t="shared" si="75"/>
        <v>5</v>
      </c>
      <c r="P157" s="91">
        <f t="shared" si="75"/>
        <v>5</v>
      </c>
      <c r="Q157" s="91">
        <f t="shared" si="75"/>
        <v>5</v>
      </c>
      <c r="R157" s="91">
        <f t="shared" si="75"/>
        <v>5</v>
      </c>
      <c r="S157" s="91">
        <f t="shared" si="75"/>
        <v>5</v>
      </c>
      <c r="T157" s="91">
        <f t="shared" si="75"/>
        <v>5</v>
      </c>
      <c r="U157" s="91">
        <f t="shared" si="75"/>
        <v>5</v>
      </c>
      <c r="V157" s="91">
        <f t="shared" si="75"/>
        <v>5</v>
      </c>
      <c r="W157" s="92">
        <f t="shared" si="75"/>
        <v>5</v>
      </c>
    </row>
    <row r="158" spans="1:23" ht="12.75" hidden="1" customHeight="1" outlineLevel="2" x14ac:dyDescent="0.2">
      <c r="A158" s="30"/>
      <c r="B158" s="31"/>
      <c r="C158" s="43"/>
      <c r="D158" s="43" t="str">
        <f>Labels!B318</f>
        <v>Channels 2</v>
      </c>
      <c r="E158" s="44"/>
      <c r="F158" s="91">
        <f>5</f>
        <v>5</v>
      </c>
      <c r="G158" s="91">
        <f t="shared" ref="G158:W158" si="76">F158</f>
        <v>5</v>
      </c>
      <c r="H158" s="91">
        <f t="shared" si="76"/>
        <v>5</v>
      </c>
      <c r="I158" s="91">
        <f t="shared" si="76"/>
        <v>5</v>
      </c>
      <c r="J158" s="91">
        <f t="shared" si="76"/>
        <v>5</v>
      </c>
      <c r="K158" s="91">
        <f t="shared" si="76"/>
        <v>5</v>
      </c>
      <c r="L158" s="91">
        <f t="shared" si="76"/>
        <v>5</v>
      </c>
      <c r="M158" s="91">
        <f t="shared" si="76"/>
        <v>5</v>
      </c>
      <c r="N158" s="91">
        <f t="shared" si="76"/>
        <v>5</v>
      </c>
      <c r="O158" s="91">
        <f t="shared" si="76"/>
        <v>5</v>
      </c>
      <c r="P158" s="91">
        <f t="shared" si="76"/>
        <v>5</v>
      </c>
      <c r="Q158" s="91">
        <f t="shared" si="76"/>
        <v>5</v>
      </c>
      <c r="R158" s="91">
        <f t="shared" si="76"/>
        <v>5</v>
      </c>
      <c r="S158" s="91">
        <f t="shared" si="76"/>
        <v>5</v>
      </c>
      <c r="T158" s="91">
        <f t="shared" si="76"/>
        <v>5</v>
      </c>
      <c r="U158" s="91">
        <f t="shared" si="76"/>
        <v>5</v>
      </c>
      <c r="V158" s="91">
        <f t="shared" si="76"/>
        <v>5</v>
      </c>
      <c r="W158" s="92">
        <f t="shared" si="76"/>
        <v>5</v>
      </c>
    </row>
    <row r="159" spans="1:23" ht="12.75" hidden="1" customHeight="1" outlineLevel="2" x14ac:dyDescent="0.2">
      <c r="A159" s="30"/>
      <c r="B159" s="31"/>
      <c r="C159" s="43" t="str">
        <f>Labels!B386</f>
        <v>Prof Level 2</v>
      </c>
      <c r="D159" s="43" t="str">
        <f>Labels!B317</f>
        <v>Channels 1</v>
      </c>
      <c r="E159" s="44"/>
      <c r="F159" s="91">
        <f>5</f>
        <v>5</v>
      </c>
      <c r="G159" s="91">
        <f t="shared" ref="G159:W159" si="77">F159</f>
        <v>5</v>
      </c>
      <c r="H159" s="91">
        <f t="shared" si="77"/>
        <v>5</v>
      </c>
      <c r="I159" s="91">
        <f t="shared" si="77"/>
        <v>5</v>
      </c>
      <c r="J159" s="91">
        <f t="shared" si="77"/>
        <v>5</v>
      </c>
      <c r="K159" s="91">
        <f t="shared" si="77"/>
        <v>5</v>
      </c>
      <c r="L159" s="91">
        <f t="shared" si="77"/>
        <v>5</v>
      </c>
      <c r="M159" s="91">
        <f t="shared" si="77"/>
        <v>5</v>
      </c>
      <c r="N159" s="91">
        <f t="shared" si="77"/>
        <v>5</v>
      </c>
      <c r="O159" s="91">
        <f t="shared" si="77"/>
        <v>5</v>
      </c>
      <c r="P159" s="91">
        <f t="shared" si="77"/>
        <v>5</v>
      </c>
      <c r="Q159" s="91">
        <f t="shared" si="77"/>
        <v>5</v>
      </c>
      <c r="R159" s="91">
        <f t="shared" si="77"/>
        <v>5</v>
      </c>
      <c r="S159" s="91">
        <f t="shared" si="77"/>
        <v>5</v>
      </c>
      <c r="T159" s="91">
        <f t="shared" si="77"/>
        <v>5</v>
      </c>
      <c r="U159" s="91">
        <f t="shared" si="77"/>
        <v>5</v>
      </c>
      <c r="V159" s="91">
        <f t="shared" si="77"/>
        <v>5</v>
      </c>
      <c r="W159" s="92">
        <f t="shared" si="77"/>
        <v>5</v>
      </c>
    </row>
    <row r="160" spans="1:23" ht="12.75" hidden="1" customHeight="1" outlineLevel="2" x14ac:dyDescent="0.2">
      <c r="A160" s="30"/>
      <c r="B160" s="31"/>
      <c r="C160" s="43"/>
      <c r="D160" s="43" t="str">
        <f>Labels!B318</f>
        <v>Channels 2</v>
      </c>
      <c r="E160" s="44"/>
      <c r="F160" s="91">
        <f>5</f>
        <v>5</v>
      </c>
      <c r="G160" s="91">
        <f t="shared" ref="G160:W160" si="78">F160</f>
        <v>5</v>
      </c>
      <c r="H160" s="91">
        <f t="shared" si="78"/>
        <v>5</v>
      </c>
      <c r="I160" s="91">
        <f t="shared" si="78"/>
        <v>5</v>
      </c>
      <c r="J160" s="91">
        <f t="shared" si="78"/>
        <v>5</v>
      </c>
      <c r="K160" s="91">
        <f t="shared" si="78"/>
        <v>5</v>
      </c>
      <c r="L160" s="91">
        <f t="shared" si="78"/>
        <v>5</v>
      </c>
      <c r="M160" s="91">
        <f t="shared" si="78"/>
        <v>5</v>
      </c>
      <c r="N160" s="91">
        <f t="shared" si="78"/>
        <v>5</v>
      </c>
      <c r="O160" s="91">
        <f t="shared" si="78"/>
        <v>5</v>
      </c>
      <c r="P160" s="91">
        <f t="shared" si="78"/>
        <v>5</v>
      </c>
      <c r="Q160" s="91">
        <f t="shared" si="78"/>
        <v>5</v>
      </c>
      <c r="R160" s="91">
        <f t="shared" si="78"/>
        <v>5</v>
      </c>
      <c r="S160" s="91">
        <f t="shared" si="78"/>
        <v>5</v>
      </c>
      <c r="T160" s="91">
        <f t="shared" si="78"/>
        <v>5</v>
      </c>
      <c r="U160" s="91">
        <f t="shared" si="78"/>
        <v>5</v>
      </c>
      <c r="V160" s="91">
        <f t="shared" si="78"/>
        <v>5</v>
      </c>
      <c r="W160" s="92">
        <f t="shared" si="78"/>
        <v>5</v>
      </c>
    </row>
    <row r="161" spans="1:23" ht="12.75" hidden="1" customHeight="1" outlineLevel="2" x14ac:dyDescent="0.2">
      <c r="A161" s="30" t="str">
        <f>Labels!B48</f>
        <v>Cost of Supplies / Hr</v>
      </c>
      <c r="B161" s="31" t="str">
        <f>Labels!B381</f>
        <v>Practice 1</v>
      </c>
      <c r="C161" s="43" t="str">
        <f>Labels!B385</f>
        <v>Prof Level 1</v>
      </c>
      <c r="D161" s="43" t="str">
        <f>Labels!B397</f>
        <v>Supply Type 1</v>
      </c>
      <c r="E161" s="44" t="str">
        <f>Labels!B317</f>
        <v>Channels 1</v>
      </c>
      <c r="F161" s="93">
        <f>0</f>
        <v>0</v>
      </c>
      <c r="G161" s="93">
        <f t="shared" ref="G161:W161" si="79">F161</f>
        <v>0</v>
      </c>
      <c r="H161" s="93">
        <f t="shared" si="79"/>
        <v>0</v>
      </c>
      <c r="I161" s="93">
        <f t="shared" si="79"/>
        <v>0</v>
      </c>
      <c r="J161" s="93">
        <f t="shared" si="79"/>
        <v>0</v>
      </c>
      <c r="K161" s="93">
        <f t="shared" si="79"/>
        <v>0</v>
      </c>
      <c r="L161" s="93">
        <f t="shared" si="79"/>
        <v>0</v>
      </c>
      <c r="M161" s="93">
        <f t="shared" si="79"/>
        <v>0</v>
      </c>
      <c r="N161" s="93">
        <f t="shared" si="79"/>
        <v>0</v>
      </c>
      <c r="O161" s="93">
        <f t="shared" si="79"/>
        <v>0</v>
      </c>
      <c r="P161" s="93">
        <f t="shared" si="79"/>
        <v>0</v>
      </c>
      <c r="Q161" s="93">
        <f t="shared" si="79"/>
        <v>0</v>
      </c>
      <c r="R161" s="93">
        <f t="shared" si="79"/>
        <v>0</v>
      </c>
      <c r="S161" s="93">
        <f t="shared" si="79"/>
        <v>0</v>
      </c>
      <c r="T161" s="93">
        <f t="shared" si="79"/>
        <v>0</v>
      </c>
      <c r="U161" s="93">
        <f t="shared" si="79"/>
        <v>0</v>
      </c>
      <c r="V161" s="93">
        <f t="shared" si="79"/>
        <v>0</v>
      </c>
      <c r="W161" s="94">
        <f t="shared" si="79"/>
        <v>0</v>
      </c>
    </row>
    <row r="162" spans="1:23" ht="12.75" hidden="1" customHeight="1" outlineLevel="2" x14ac:dyDescent="0.2">
      <c r="A162" s="30"/>
      <c r="B162" s="31"/>
      <c r="C162" s="43"/>
      <c r="D162" s="43"/>
      <c r="E162" s="44" t="str">
        <f>Labels!B318</f>
        <v>Channels 2</v>
      </c>
      <c r="F162" s="93">
        <f>0</f>
        <v>0</v>
      </c>
      <c r="G162" s="93">
        <f t="shared" ref="G162:W162" si="80">F162</f>
        <v>0</v>
      </c>
      <c r="H162" s="93">
        <f t="shared" si="80"/>
        <v>0</v>
      </c>
      <c r="I162" s="93">
        <f t="shared" si="80"/>
        <v>0</v>
      </c>
      <c r="J162" s="93">
        <f t="shared" si="80"/>
        <v>0</v>
      </c>
      <c r="K162" s="93">
        <f t="shared" si="80"/>
        <v>0</v>
      </c>
      <c r="L162" s="93">
        <f t="shared" si="80"/>
        <v>0</v>
      </c>
      <c r="M162" s="93">
        <f t="shared" si="80"/>
        <v>0</v>
      </c>
      <c r="N162" s="93">
        <f t="shared" si="80"/>
        <v>0</v>
      </c>
      <c r="O162" s="93">
        <f t="shared" si="80"/>
        <v>0</v>
      </c>
      <c r="P162" s="93">
        <f t="shared" si="80"/>
        <v>0</v>
      </c>
      <c r="Q162" s="93">
        <f t="shared" si="80"/>
        <v>0</v>
      </c>
      <c r="R162" s="93">
        <f t="shared" si="80"/>
        <v>0</v>
      </c>
      <c r="S162" s="93">
        <f t="shared" si="80"/>
        <v>0</v>
      </c>
      <c r="T162" s="93">
        <f t="shared" si="80"/>
        <v>0</v>
      </c>
      <c r="U162" s="93">
        <f t="shared" si="80"/>
        <v>0</v>
      </c>
      <c r="V162" s="93">
        <f t="shared" si="80"/>
        <v>0</v>
      </c>
      <c r="W162" s="94">
        <f t="shared" si="80"/>
        <v>0</v>
      </c>
    </row>
    <row r="163" spans="1:23" ht="12.75" hidden="1" customHeight="1" outlineLevel="2" x14ac:dyDescent="0.2">
      <c r="A163" s="30"/>
      <c r="B163" s="31"/>
      <c r="C163" s="43"/>
      <c r="D163" s="43" t="str">
        <f>Labels!B398</f>
        <v>Supply Type 2</v>
      </c>
      <c r="E163" s="44" t="str">
        <f>Labels!B317</f>
        <v>Channels 1</v>
      </c>
      <c r="F163" s="93">
        <f>0</f>
        <v>0</v>
      </c>
      <c r="G163" s="93">
        <f t="shared" ref="G163:W163" si="81">F163</f>
        <v>0</v>
      </c>
      <c r="H163" s="93">
        <f t="shared" si="81"/>
        <v>0</v>
      </c>
      <c r="I163" s="93">
        <f t="shared" si="81"/>
        <v>0</v>
      </c>
      <c r="J163" s="93">
        <f t="shared" si="81"/>
        <v>0</v>
      </c>
      <c r="K163" s="93">
        <f t="shared" si="81"/>
        <v>0</v>
      </c>
      <c r="L163" s="93">
        <f t="shared" si="81"/>
        <v>0</v>
      </c>
      <c r="M163" s="93">
        <f t="shared" si="81"/>
        <v>0</v>
      </c>
      <c r="N163" s="93">
        <f t="shared" si="81"/>
        <v>0</v>
      </c>
      <c r="O163" s="93">
        <f t="shared" si="81"/>
        <v>0</v>
      </c>
      <c r="P163" s="93">
        <f t="shared" si="81"/>
        <v>0</v>
      </c>
      <c r="Q163" s="93">
        <f t="shared" si="81"/>
        <v>0</v>
      </c>
      <c r="R163" s="93">
        <f t="shared" si="81"/>
        <v>0</v>
      </c>
      <c r="S163" s="93">
        <f t="shared" si="81"/>
        <v>0</v>
      </c>
      <c r="T163" s="93">
        <f t="shared" si="81"/>
        <v>0</v>
      </c>
      <c r="U163" s="93">
        <f t="shared" si="81"/>
        <v>0</v>
      </c>
      <c r="V163" s="93">
        <f t="shared" si="81"/>
        <v>0</v>
      </c>
      <c r="W163" s="94">
        <f t="shared" si="81"/>
        <v>0</v>
      </c>
    </row>
    <row r="164" spans="1:23" ht="12.75" hidden="1" customHeight="1" outlineLevel="2" x14ac:dyDescent="0.2">
      <c r="A164" s="30"/>
      <c r="B164" s="31"/>
      <c r="C164" s="43"/>
      <c r="D164" s="43"/>
      <c r="E164" s="44" t="str">
        <f>Labels!B318</f>
        <v>Channels 2</v>
      </c>
      <c r="F164" s="93">
        <f>0</f>
        <v>0</v>
      </c>
      <c r="G164" s="93">
        <f t="shared" ref="G164:W164" si="82">F164</f>
        <v>0</v>
      </c>
      <c r="H164" s="93">
        <f t="shared" si="82"/>
        <v>0</v>
      </c>
      <c r="I164" s="93">
        <f t="shared" si="82"/>
        <v>0</v>
      </c>
      <c r="J164" s="93">
        <f t="shared" si="82"/>
        <v>0</v>
      </c>
      <c r="K164" s="93">
        <f t="shared" si="82"/>
        <v>0</v>
      </c>
      <c r="L164" s="93">
        <f t="shared" si="82"/>
        <v>0</v>
      </c>
      <c r="M164" s="93">
        <f t="shared" si="82"/>
        <v>0</v>
      </c>
      <c r="N164" s="93">
        <f t="shared" si="82"/>
        <v>0</v>
      </c>
      <c r="O164" s="93">
        <f t="shared" si="82"/>
        <v>0</v>
      </c>
      <c r="P164" s="93">
        <f t="shared" si="82"/>
        <v>0</v>
      </c>
      <c r="Q164" s="93">
        <f t="shared" si="82"/>
        <v>0</v>
      </c>
      <c r="R164" s="93">
        <f t="shared" si="82"/>
        <v>0</v>
      </c>
      <c r="S164" s="93">
        <f t="shared" si="82"/>
        <v>0</v>
      </c>
      <c r="T164" s="93">
        <f t="shared" si="82"/>
        <v>0</v>
      </c>
      <c r="U164" s="93">
        <f t="shared" si="82"/>
        <v>0</v>
      </c>
      <c r="V164" s="93">
        <f t="shared" si="82"/>
        <v>0</v>
      </c>
      <c r="W164" s="94">
        <f t="shared" si="82"/>
        <v>0</v>
      </c>
    </row>
    <row r="165" spans="1:23" ht="12.75" hidden="1" customHeight="1" outlineLevel="2" x14ac:dyDescent="0.2">
      <c r="A165" s="30"/>
      <c r="B165" s="31"/>
      <c r="C165" s="43" t="str">
        <f>Labels!B386</f>
        <v>Prof Level 2</v>
      </c>
      <c r="D165" s="43" t="str">
        <f>Labels!B397</f>
        <v>Supply Type 1</v>
      </c>
      <c r="E165" s="44" t="str">
        <f>Labels!B317</f>
        <v>Channels 1</v>
      </c>
      <c r="F165" s="93">
        <f>0</f>
        <v>0</v>
      </c>
      <c r="G165" s="93">
        <f t="shared" ref="G165:W165" si="83">F165</f>
        <v>0</v>
      </c>
      <c r="H165" s="93">
        <f t="shared" si="83"/>
        <v>0</v>
      </c>
      <c r="I165" s="93">
        <f t="shared" si="83"/>
        <v>0</v>
      </c>
      <c r="J165" s="93">
        <f t="shared" si="83"/>
        <v>0</v>
      </c>
      <c r="K165" s="93">
        <f t="shared" si="83"/>
        <v>0</v>
      </c>
      <c r="L165" s="93">
        <f t="shared" si="83"/>
        <v>0</v>
      </c>
      <c r="M165" s="93">
        <f t="shared" si="83"/>
        <v>0</v>
      </c>
      <c r="N165" s="93">
        <f t="shared" si="83"/>
        <v>0</v>
      </c>
      <c r="O165" s="93">
        <f t="shared" si="83"/>
        <v>0</v>
      </c>
      <c r="P165" s="93">
        <f t="shared" si="83"/>
        <v>0</v>
      </c>
      <c r="Q165" s="93">
        <f t="shared" si="83"/>
        <v>0</v>
      </c>
      <c r="R165" s="93">
        <f t="shared" si="83"/>
        <v>0</v>
      </c>
      <c r="S165" s="93">
        <f t="shared" si="83"/>
        <v>0</v>
      </c>
      <c r="T165" s="93">
        <f t="shared" si="83"/>
        <v>0</v>
      </c>
      <c r="U165" s="93">
        <f t="shared" si="83"/>
        <v>0</v>
      </c>
      <c r="V165" s="93">
        <f t="shared" si="83"/>
        <v>0</v>
      </c>
      <c r="W165" s="94">
        <f t="shared" si="83"/>
        <v>0</v>
      </c>
    </row>
    <row r="166" spans="1:23" ht="12.75" hidden="1" customHeight="1" outlineLevel="2" x14ac:dyDescent="0.2">
      <c r="A166" s="30"/>
      <c r="B166" s="31"/>
      <c r="C166" s="43"/>
      <c r="D166" s="43"/>
      <c r="E166" s="44" t="str">
        <f>Labels!B318</f>
        <v>Channels 2</v>
      </c>
      <c r="F166" s="93">
        <f>0</f>
        <v>0</v>
      </c>
      <c r="G166" s="93">
        <f t="shared" ref="G166:W166" si="84">F166</f>
        <v>0</v>
      </c>
      <c r="H166" s="93">
        <f t="shared" si="84"/>
        <v>0</v>
      </c>
      <c r="I166" s="93">
        <f t="shared" si="84"/>
        <v>0</v>
      </c>
      <c r="J166" s="93">
        <f t="shared" si="84"/>
        <v>0</v>
      </c>
      <c r="K166" s="93">
        <f t="shared" si="84"/>
        <v>0</v>
      </c>
      <c r="L166" s="93">
        <f t="shared" si="84"/>
        <v>0</v>
      </c>
      <c r="M166" s="93">
        <f t="shared" si="84"/>
        <v>0</v>
      </c>
      <c r="N166" s="93">
        <f t="shared" si="84"/>
        <v>0</v>
      </c>
      <c r="O166" s="93">
        <f t="shared" si="84"/>
        <v>0</v>
      </c>
      <c r="P166" s="93">
        <f t="shared" si="84"/>
        <v>0</v>
      </c>
      <c r="Q166" s="93">
        <f t="shared" si="84"/>
        <v>0</v>
      </c>
      <c r="R166" s="93">
        <f t="shared" si="84"/>
        <v>0</v>
      </c>
      <c r="S166" s="93">
        <f t="shared" si="84"/>
        <v>0</v>
      </c>
      <c r="T166" s="93">
        <f t="shared" si="84"/>
        <v>0</v>
      </c>
      <c r="U166" s="93">
        <f t="shared" si="84"/>
        <v>0</v>
      </c>
      <c r="V166" s="93">
        <f t="shared" si="84"/>
        <v>0</v>
      </c>
      <c r="W166" s="94">
        <f t="shared" si="84"/>
        <v>0</v>
      </c>
    </row>
    <row r="167" spans="1:23" ht="12.75" hidden="1" customHeight="1" outlineLevel="2" x14ac:dyDescent="0.2">
      <c r="A167" s="30"/>
      <c r="B167" s="31"/>
      <c r="C167" s="43"/>
      <c r="D167" s="43" t="str">
        <f>Labels!B398</f>
        <v>Supply Type 2</v>
      </c>
      <c r="E167" s="44" t="str">
        <f>Labels!B317</f>
        <v>Channels 1</v>
      </c>
      <c r="F167" s="93">
        <f>0</f>
        <v>0</v>
      </c>
      <c r="G167" s="93">
        <f t="shared" ref="G167:W167" si="85">F167</f>
        <v>0</v>
      </c>
      <c r="H167" s="93">
        <f t="shared" si="85"/>
        <v>0</v>
      </c>
      <c r="I167" s="93">
        <f t="shared" si="85"/>
        <v>0</v>
      </c>
      <c r="J167" s="93">
        <f t="shared" si="85"/>
        <v>0</v>
      </c>
      <c r="K167" s="93">
        <f t="shared" si="85"/>
        <v>0</v>
      </c>
      <c r="L167" s="93">
        <f t="shared" si="85"/>
        <v>0</v>
      </c>
      <c r="M167" s="93">
        <f t="shared" si="85"/>
        <v>0</v>
      </c>
      <c r="N167" s="93">
        <f t="shared" si="85"/>
        <v>0</v>
      </c>
      <c r="O167" s="93">
        <f t="shared" si="85"/>
        <v>0</v>
      </c>
      <c r="P167" s="93">
        <f t="shared" si="85"/>
        <v>0</v>
      </c>
      <c r="Q167" s="93">
        <f t="shared" si="85"/>
        <v>0</v>
      </c>
      <c r="R167" s="93">
        <f t="shared" si="85"/>
        <v>0</v>
      </c>
      <c r="S167" s="93">
        <f t="shared" si="85"/>
        <v>0</v>
      </c>
      <c r="T167" s="93">
        <f t="shared" si="85"/>
        <v>0</v>
      </c>
      <c r="U167" s="93">
        <f t="shared" si="85"/>
        <v>0</v>
      </c>
      <c r="V167" s="93">
        <f t="shared" si="85"/>
        <v>0</v>
      </c>
      <c r="W167" s="94">
        <f t="shared" si="85"/>
        <v>0</v>
      </c>
    </row>
    <row r="168" spans="1:23" ht="12.75" hidden="1" customHeight="1" outlineLevel="2" x14ac:dyDescent="0.2">
      <c r="A168" s="30"/>
      <c r="B168" s="31"/>
      <c r="C168" s="43"/>
      <c r="D168" s="43"/>
      <c r="E168" s="44" t="str">
        <f>Labels!B318</f>
        <v>Channels 2</v>
      </c>
      <c r="F168" s="93">
        <f>0</f>
        <v>0</v>
      </c>
      <c r="G168" s="93">
        <f t="shared" ref="G168:W168" si="86">F168</f>
        <v>0</v>
      </c>
      <c r="H168" s="93">
        <f t="shared" si="86"/>
        <v>0</v>
      </c>
      <c r="I168" s="93">
        <f t="shared" si="86"/>
        <v>0</v>
      </c>
      <c r="J168" s="93">
        <f t="shared" si="86"/>
        <v>0</v>
      </c>
      <c r="K168" s="93">
        <f t="shared" si="86"/>
        <v>0</v>
      </c>
      <c r="L168" s="93">
        <f t="shared" si="86"/>
        <v>0</v>
      </c>
      <c r="M168" s="93">
        <f t="shared" si="86"/>
        <v>0</v>
      </c>
      <c r="N168" s="93">
        <f t="shared" si="86"/>
        <v>0</v>
      </c>
      <c r="O168" s="93">
        <f t="shared" si="86"/>
        <v>0</v>
      </c>
      <c r="P168" s="93">
        <f t="shared" si="86"/>
        <v>0</v>
      </c>
      <c r="Q168" s="93">
        <f t="shared" si="86"/>
        <v>0</v>
      </c>
      <c r="R168" s="93">
        <f t="shared" si="86"/>
        <v>0</v>
      </c>
      <c r="S168" s="93">
        <f t="shared" si="86"/>
        <v>0</v>
      </c>
      <c r="T168" s="93">
        <f t="shared" si="86"/>
        <v>0</v>
      </c>
      <c r="U168" s="93">
        <f t="shared" si="86"/>
        <v>0</v>
      </c>
      <c r="V168" s="93">
        <f t="shared" si="86"/>
        <v>0</v>
      </c>
      <c r="W168" s="94">
        <f t="shared" si="86"/>
        <v>0</v>
      </c>
    </row>
    <row r="169" spans="1:23" ht="12.75" hidden="1" customHeight="1" outlineLevel="2" x14ac:dyDescent="0.2">
      <c r="A169" s="30"/>
      <c r="B169" s="31" t="str">
        <f>Labels!B382</f>
        <v>Practice 2</v>
      </c>
      <c r="C169" s="43" t="str">
        <f>Labels!B385</f>
        <v>Prof Level 1</v>
      </c>
      <c r="D169" s="43" t="str">
        <f>Labels!B397</f>
        <v>Supply Type 1</v>
      </c>
      <c r="E169" s="44" t="str">
        <f>Labels!B317</f>
        <v>Channels 1</v>
      </c>
      <c r="F169" s="93">
        <f>0</f>
        <v>0</v>
      </c>
      <c r="G169" s="93">
        <f t="shared" ref="G169:W169" si="87">F169</f>
        <v>0</v>
      </c>
      <c r="H169" s="93">
        <f t="shared" si="87"/>
        <v>0</v>
      </c>
      <c r="I169" s="93">
        <f t="shared" si="87"/>
        <v>0</v>
      </c>
      <c r="J169" s="93">
        <f t="shared" si="87"/>
        <v>0</v>
      </c>
      <c r="K169" s="93">
        <f t="shared" si="87"/>
        <v>0</v>
      </c>
      <c r="L169" s="93">
        <f t="shared" si="87"/>
        <v>0</v>
      </c>
      <c r="M169" s="93">
        <f t="shared" si="87"/>
        <v>0</v>
      </c>
      <c r="N169" s="93">
        <f t="shared" si="87"/>
        <v>0</v>
      </c>
      <c r="O169" s="93">
        <f t="shared" si="87"/>
        <v>0</v>
      </c>
      <c r="P169" s="93">
        <f t="shared" si="87"/>
        <v>0</v>
      </c>
      <c r="Q169" s="93">
        <f t="shared" si="87"/>
        <v>0</v>
      </c>
      <c r="R169" s="93">
        <f t="shared" si="87"/>
        <v>0</v>
      </c>
      <c r="S169" s="93">
        <f t="shared" si="87"/>
        <v>0</v>
      </c>
      <c r="T169" s="93">
        <f t="shared" si="87"/>
        <v>0</v>
      </c>
      <c r="U169" s="93">
        <f t="shared" si="87"/>
        <v>0</v>
      </c>
      <c r="V169" s="93">
        <f t="shared" si="87"/>
        <v>0</v>
      </c>
      <c r="W169" s="94">
        <f t="shared" si="87"/>
        <v>0</v>
      </c>
    </row>
    <row r="170" spans="1:23" ht="12.75" hidden="1" customHeight="1" outlineLevel="2" x14ac:dyDescent="0.2">
      <c r="A170" s="30"/>
      <c r="B170" s="31"/>
      <c r="C170" s="43"/>
      <c r="D170" s="43"/>
      <c r="E170" s="44" t="str">
        <f>Labels!B318</f>
        <v>Channels 2</v>
      </c>
      <c r="F170" s="93">
        <f>0</f>
        <v>0</v>
      </c>
      <c r="G170" s="93">
        <f t="shared" ref="G170:W170" si="88">F170</f>
        <v>0</v>
      </c>
      <c r="H170" s="93">
        <f t="shared" si="88"/>
        <v>0</v>
      </c>
      <c r="I170" s="93">
        <f t="shared" si="88"/>
        <v>0</v>
      </c>
      <c r="J170" s="93">
        <f t="shared" si="88"/>
        <v>0</v>
      </c>
      <c r="K170" s="93">
        <f t="shared" si="88"/>
        <v>0</v>
      </c>
      <c r="L170" s="93">
        <f t="shared" si="88"/>
        <v>0</v>
      </c>
      <c r="M170" s="93">
        <f t="shared" si="88"/>
        <v>0</v>
      </c>
      <c r="N170" s="93">
        <f t="shared" si="88"/>
        <v>0</v>
      </c>
      <c r="O170" s="93">
        <f t="shared" si="88"/>
        <v>0</v>
      </c>
      <c r="P170" s="93">
        <f t="shared" si="88"/>
        <v>0</v>
      </c>
      <c r="Q170" s="93">
        <f t="shared" si="88"/>
        <v>0</v>
      </c>
      <c r="R170" s="93">
        <f t="shared" si="88"/>
        <v>0</v>
      </c>
      <c r="S170" s="93">
        <f t="shared" si="88"/>
        <v>0</v>
      </c>
      <c r="T170" s="93">
        <f t="shared" si="88"/>
        <v>0</v>
      </c>
      <c r="U170" s="93">
        <f t="shared" si="88"/>
        <v>0</v>
      </c>
      <c r="V170" s="93">
        <f t="shared" si="88"/>
        <v>0</v>
      </c>
      <c r="W170" s="94">
        <f t="shared" si="88"/>
        <v>0</v>
      </c>
    </row>
    <row r="171" spans="1:23" ht="12.75" hidden="1" customHeight="1" outlineLevel="2" x14ac:dyDescent="0.2">
      <c r="A171" s="30"/>
      <c r="B171" s="31"/>
      <c r="C171" s="43"/>
      <c r="D171" s="43" t="str">
        <f>Labels!B398</f>
        <v>Supply Type 2</v>
      </c>
      <c r="E171" s="44" t="str">
        <f>Labels!B317</f>
        <v>Channels 1</v>
      </c>
      <c r="F171" s="93">
        <f>0</f>
        <v>0</v>
      </c>
      <c r="G171" s="93">
        <f t="shared" ref="G171:W171" si="89">F171</f>
        <v>0</v>
      </c>
      <c r="H171" s="93">
        <f t="shared" si="89"/>
        <v>0</v>
      </c>
      <c r="I171" s="93">
        <f t="shared" si="89"/>
        <v>0</v>
      </c>
      <c r="J171" s="93">
        <f t="shared" si="89"/>
        <v>0</v>
      </c>
      <c r="K171" s="93">
        <f t="shared" si="89"/>
        <v>0</v>
      </c>
      <c r="L171" s="93">
        <f t="shared" si="89"/>
        <v>0</v>
      </c>
      <c r="M171" s="93">
        <f t="shared" si="89"/>
        <v>0</v>
      </c>
      <c r="N171" s="93">
        <f t="shared" si="89"/>
        <v>0</v>
      </c>
      <c r="O171" s="93">
        <f t="shared" si="89"/>
        <v>0</v>
      </c>
      <c r="P171" s="93">
        <f t="shared" si="89"/>
        <v>0</v>
      </c>
      <c r="Q171" s="93">
        <f t="shared" si="89"/>
        <v>0</v>
      </c>
      <c r="R171" s="93">
        <f t="shared" si="89"/>
        <v>0</v>
      </c>
      <c r="S171" s="93">
        <f t="shared" si="89"/>
        <v>0</v>
      </c>
      <c r="T171" s="93">
        <f t="shared" si="89"/>
        <v>0</v>
      </c>
      <c r="U171" s="93">
        <f t="shared" si="89"/>
        <v>0</v>
      </c>
      <c r="V171" s="93">
        <f t="shared" si="89"/>
        <v>0</v>
      </c>
      <c r="W171" s="94">
        <f t="shared" si="89"/>
        <v>0</v>
      </c>
    </row>
    <row r="172" spans="1:23" ht="12.75" hidden="1" customHeight="1" outlineLevel="2" x14ac:dyDescent="0.2">
      <c r="A172" s="30"/>
      <c r="B172" s="31"/>
      <c r="C172" s="43"/>
      <c r="D172" s="43"/>
      <c r="E172" s="44" t="str">
        <f>Labels!B318</f>
        <v>Channels 2</v>
      </c>
      <c r="F172" s="93">
        <f>0</f>
        <v>0</v>
      </c>
      <c r="G172" s="93">
        <f t="shared" ref="G172:W172" si="90">F172</f>
        <v>0</v>
      </c>
      <c r="H172" s="93">
        <f t="shared" si="90"/>
        <v>0</v>
      </c>
      <c r="I172" s="93">
        <f t="shared" si="90"/>
        <v>0</v>
      </c>
      <c r="J172" s="93">
        <f t="shared" si="90"/>
        <v>0</v>
      </c>
      <c r="K172" s="93">
        <f t="shared" si="90"/>
        <v>0</v>
      </c>
      <c r="L172" s="93">
        <f t="shared" si="90"/>
        <v>0</v>
      </c>
      <c r="M172" s="93">
        <f t="shared" si="90"/>
        <v>0</v>
      </c>
      <c r="N172" s="93">
        <f t="shared" si="90"/>
        <v>0</v>
      </c>
      <c r="O172" s="93">
        <f t="shared" si="90"/>
        <v>0</v>
      </c>
      <c r="P172" s="93">
        <f t="shared" si="90"/>
        <v>0</v>
      </c>
      <c r="Q172" s="93">
        <f t="shared" si="90"/>
        <v>0</v>
      </c>
      <c r="R172" s="93">
        <f t="shared" si="90"/>
        <v>0</v>
      </c>
      <c r="S172" s="93">
        <f t="shared" si="90"/>
        <v>0</v>
      </c>
      <c r="T172" s="93">
        <f t="shared" si="90"/>
        <v>0</v>
      </c>
      <c r="U172" s="93">
        <f t="shared" si="90"/>
        <v>0</v>
      </c>
      <c r="V172" s="93">
        <f t="shared" si="90"/>
        <v>0</v>
      </c>
      <c r="W172" s="94">
        <f t="shared" si="90"/>
        <v>0</v>
      </c>
    </row>
    <row r="173" spans="1:23" ht="12.75" hidden="1" customHeight="1" outlineLevel="2" x14ac:dyDescent="0.2">
      <c r="A173" s="30"/>
      <c r="B173" s="31"/>
      <c r="C173" s="43" t="str">
        <f>Labels!B386</f>
        <v>Prof Level 2</v>
      </c>
      <c r="D173" s="43" t="str">
        <f>Labels!B397</f>
        <v>Supply Type 1</v>
      </c>
      <c r="E173" s="44" t="str">
        <f>Labels!B317</f>
        <v>Channels 1</v>
      </c>
      <c r="F173" s="93">
        <f>0</f>
        <v>0</v>
      </c>
      <c r="G173" s="93">
        <f t="shared" ref="G173:W173" si="91">F173</f>
        <v>0</v>
      </c>
      <c r="H173" s="93">
        <f t="shared" si="91"/>
        <v>0</v>
      </c>
      <c r="I173" s="93">
        <f t="shared" si="91"/>
        <v>0</v>
      </c>
      <c r="J173" s="93">
        <f t="shared" si="91"/>
        <v>0</v>
      </c>
      <c r="K173" s="93">
        <f t="shared" si="91"/>
        <v>0</v>
      </c>
      <c r="L173" s="93">
        <f t="shared" si="91"/>
        <v>0</v>
      </c>
      <c r="M173" s="93">
        <f t="shared" si="91"/>
        <v>0</v>
      </c>
      <c r="N173" s="93">
        <f t="shared" si="91"/>
        <v>0</v>
      </c>
      <c r="O173" s="93">
        <f t="shared" si="91"/>
        <v>0</v>
      </c>
      <c r="P173" s="93">
        <f t="shared" si="91"/>
        <v>0</v>
      </c>
      <c r="Q173" s="93">
        <f t="shared" si="91"/>
        <v>0</v>
      </c>
      <c r="R173" s="93">
        <f t="shared" si="91"/>
        <v>0</v>
      </c>
      <c r="S173" s="93">
        <f t="shared" si="91"/>
        <v>0</v>
      </c>
      <c r="T173" s="93">
        <f t="shared" si="91"/>
        <v>0</v>
      </c>
      <c r="U173" s="93">
        <f t="shared" si="91"/>
        <v>0</v>
      </c>
      <c r="V173" s="93">
        <f t="shared" si="91"/>
        <v>0</v>
      </c>
      <c r="W173" s="94">
        <f t="shared" si="91"/>
        <v>0</v>
      </c>
    </row>
    <row r="174" spans="1:23" ht="12.75" hidden="1" customHeight="1" outlineLevel="2" x14ac:dyDescent="0.2">
      <c r="A174" s="30"/>
      <c r="B174" s="31"/>
      <c r="C174" s="43"/>
      <c r="D174" s="43"/>
      <c r="E174" s="44" t="str">
        <f>Labels!B318</f>
        <v>Channels 2</v>
      </c>
      <c r="F174" s="93">
        <f>0</f>
        <v>0</v>
      </c>
      <c r="G174" s="93">
        <f t="shared" ref="G174:W174" si="92">F174</f>
        <v>0</v>
      </c>
      <c r="H174" s="93">
        <f t="shared" si="92"/>
        <v>0</v>
      </c>
      <c r="I174" s="93">
        <f t="shared" si="92"/>
        <v>0</v>
      </c>
      <c r="J174" s="93">
        <f t="shared" si="92"/>
        <v>0</v>
      </c>
      <c r="K174" s="93">
        <f t="shared" si="92"/>
        <v>0</v>
      </c>
      <c r="L174" s="93">
        <f t="shared" si="92"/>
        <v>0</v>
      </c>
      <c r="M174" s="93">
        <f t="shared" si="92"/>
        <v>0</v>
      </c>
      <c r="N174" s="93">
        <f t="shared" si="92"/>
        <v>0</v>
      </c>
      <c r="O174" s="93">
        <f t="shared" si="92"/>
        <v>0</v>
      </c>
      <c r="P174" s="93">
        <f t="shared" si="92"/>
        <v>0</v>
      </c>
      <c r="Q174" s="93">
        <f t="shared" si="92"/>
        <v>0</v>
      </c>
      <c r="R174" s="93">
        <f t="shared" si="92"/>
        <v>0</v>
      </c>
      <c r="S174" s="93">
        <f t="shared" si="92"/>
        <v>0</v>
      </c>
      <c r="T174" s="93">
        <f t="shared" si="92"/>
        <v>0</v>
      </c>
      <c r="U174" s="93">
        <f t="shared" si="92"/>
        <v>0</v>
      </c>
      <c r="V174" s="93">
        <f t="shared" si="92"/>
        <v>0</v>
      </c>
      <c r="W174" s="94">
        <f t="shared" si="92"/>
        <v>0</v>
      </c>
    </row>
    <row r="175" spans="1:23" ht="12.75" hidden="1" customHeight="1" outlineLevel="2" x14ac:dyDescent="0.2">
      <c r="A175" s="30"/>
      <c r="B175" s="31"/>
      <c r="C175" s="43"/>
      <c r="D175" s="43" t="str">
        <f>Labels!B398</f>
        <v>Supply Type 2</v>
      </c>
      <c r="E175" s="44" t="str">
        <f>Labels!B317</f>
        <v>Channels 1</v>
      </c>
      <c r="F175" s="93">
        <f>0</f>
        <v>0</v>
      </c>
      <c r="G175" s="93">
        <f t="shared" ref="G175:W175" si="93">F175</f>
        <v>0</v>
      </c>
      <c r="H175" s="93">
        <f t="shared" si="93"/>
        <v>0</v>
      </c>
      <c r="I175" s="93">
        <f t="shared" si="93"/>
        <v>0</v>
      </c>
      <c r="J175" s="93">
        <f t="shared" si="93"/>
        <v>0</v>
      </c>
      <c r="K175" s="93">
        <f t="shared" si="93"/>
        <v>0</v>
      </c>
      <c r="L175" s="93">
        <f t="shared" si="93"/>
        <v>0</v>
      </c>
      <c r="M175" s="93">
        <f t="shared" si="93"/>
        <v>0</v>
      </c>
      <c r="N175" s="93">
        <f t="shared" si="93"/>
        <v>0</v>
      </c>
      <c r="O175" s="93">
        <f t="shared" si="93"/>
        <v>0</v>
      </c>
      <c r="P175" s="93">
        <f t="shared" si="93"/>
        <v>0</v>
      </c>
      <c r="Q175" s="93">
        <f t="shared" si="93"/>
        <v>0</v>
      </c>
      <c r="R175" s="93">
        <f t="shared" si="93"/>
        <v>0</v>
      </c>
      <c r="S175" s="93">
        <f t="shared" si="93"/>
        <v>0</v>
      </c>
      <c r="T175" s="93">
        <f t="shared" si="93"/>
        <v>0</v>
      </c>
      <c r="U175" s="93">
        <f t="shared" si="93"/>
        <v>0</v>
      </c>
      <c r="V175" s="93">
        <f t="shared" si="93"/>
        <v>0</v>
      </c>
      <c r="W175" s="94">
        <f t="shared" si="93"/>
        <v>0</v>
      </c>
    </row>
    <row r="176" spans="1:23" ht="12.75" hidden="1" customHeight="1" outlineLevel="2" x14ac:dyDescent="0.2">
      <c r="A176" s="17"/>
      <c r="B176" s="35"/>
      <c r="C176" s="47"/>
      <c r="D176" s="47"/>
      <c r="E176" s="48" t="str">
        <f>Labels!B318</f>
        <v>Channels 2</v>
      </c>
      <c r="F176" s="95">
        <f>0</f>
        <v>0</v>
      </c>
      <c r="G176" s="95">
        <f t="shared" ref="G176:W176" si="94">F176</f>
        <v>0</v>
      </c>
      <c r="H176" s="95">
        <f t="shared" si="94"/>
        <v>0</v>
      </c>
      <c r="I176" s="95">
        <f t="shared" si="94"/>
        <v>0</v>
      </c>
      <c r="J176" s="95">
        <f t="shared" si="94"/>
        <v>0</v>
      </c>
      <c r="K176" s="95">
        <f t="shared" si="94"/>
        <v>0</v>
      </c>
      <c r="L176" s="95">
        <f t="shared" si="94"/>
        <v>0</v>
      </c>
      <c r="M176" s="95">
        <f t="shared" si="94"/>
        <v>0</v>
      </c>
      <c r="N176" s="95">
        <f t="shared" si="94"/>
        <v>0</v>
      </c>
      <c r="O176" s="95">
        <f t="shared" si="94"/>
        <v>0</v>
      </c>
      <c r="P176" s="95">
        <f t="shared" si="94"/>
        <v>0</v>
      </c>
      <c r="Q176" s="95">
        <f t="shared" si="94"/>
        <v>0</v>
      </c>
      <c r="R176" s="95">
        <f t="shared" si="94"/>
        <v>0</v>
      </c>
      <c r="S176" s="95">
        <f t="shared" si="94"/>
        <v>0</v>
      </c>
      <c r="T176" s="95">
        <f t="shared" si="94"/>
        <v>0</v>
      </c>
      <c r="U176" s="95">
        <f t="shared" si="94"/>
        <v>0</v>
      </c>
      <c r="V176" s="95">
        <f t="shared" si="94"/>
        <v>0</v>
      </c>
      <c r="W176" s="96">
        <f t="shared" si="94"/>
        <v>0</v>
      </c>
    </row>
    <row r="177" spans="1:26" ht="12.75" hidden="1" customHeight="1" outlineLevel="2" collapsed="1" x14ac:dyDescent="0.2"/>
    <row r="178" spans="1:26" ht="12.75" hidden="1" customHeight="1" outlineLevel="1" collapsed="1" x14ac:dyDescent="0.2"/>
    <row r="179" spans="1:26" ht="12.75" customHeight="1" collapsed="1" x14ac:dyDescent="0.2"/>
    <row r="180" spans="1:26" ht="12.75" customHeight="1" collapsed="1" x14ac:dyDescent="0.2">
      <c r="A180" s="464" t="str">
        <f>"Employment Input Data"</f>
        <v>Employment Input Data</v>
      </c>
      <c r="B180" s="464"/>
    </row>
    <row r="181" spans="1:26" ht="12.75" hidden="1" customHeight="1" outlineLevel="1" x14ac:dyDescent="0.2">
      <c r="A181" s="1" t="str">
        <f>" "</f>
        <v xml:space="preserve"> </v>
      </c>
    </row>
    <row r="182" spans="1:26" ht="12.75" hidden="1" customHeight="1" outlineLevel="1" x14ac:dyDescent="0.2">
      <c r="A182" s="465" t="str">
        <f>"Professional Staff Count"</f>
        <v>Professional Staff Count</v>
      </c>
      <c r="B182" s="465"/>
      <c r="C182" s="465"/>
    </row>
    <row r="183" spans="1:26" ht="12.75" hidden="1" customHeight="1" outlineLevel="2" x14ac:dyDescent="0.2">
      <c r="F183" s="9" t="str">
        <f>'(FnCalls 1)'!F41</f>
        <v>MMM 2010</v>
      </c>
      <c r="G183" s="10" t="str">
        <f>'(FnCalls 1)'!F42</f>
        <v>MMM 2010</v>
      </c>
      <c r="H183" s="10" t="str">
        <f>'(FnCalls 1)'!F43</f>
        <v>MMM 2010</v>
      </c>
      <c r="I183" s="10" t="str">
        <f>'(FnCalls 1)'!F44</f>
        <v>MMM 2010</v>
      </c>
      <c r="J183" s="10" t="str">
        <f>'(FnCalls 1)'!F45</f>
        <v>MMM 2010</v>
      </c>
      <c r="K183" s="10" t="str">
        <f>'(FnCalls 1)'!F46</f>
        <v>MMM 2010</v>
      </c>
      <c r="L183" s="10" t="str">
        <f>'(FnCalls 1)'!F47</f>
        <v>MMM 2010</v>
      </c>
      <c r="M183" s="10" t="str">
        <f>'(FnCalls 1)'!F48</f>
        <v>MMM 2010</v>
      </c>
      <c r="N183" s="10" t="str">
        <f>'(FnCalls 1)'!F49</f>
        <v>MMM 2010</v>
      </c>
      <c r="O183" s="10" t="str">
        <f>'(FnCalls 1)'!F50</f>
        <v>MMM 2010</v>
      </c>
      <c r="P183" s="10" t="str">
        <f>'(FnCalls 1)'!F51</f>
        <v>MMM 2010</v>
      </c>
      <c r="Q183" s="10" t="str">
        <f>'(FnCalls 1)'!F52</f>
        <v>MMM 2010</v>
      </c>
      <c r="R183" s="10" t="str">
        <f>'(FnCalls 1)'!F53</f>
        <v>MMM 2011</v>
      </c>
      <c r="S183" s="10" t="str">
        <f>'(FnCalls 1)'!F54</f>
        <v>MMM 2011</v>
      </c>
      <c r="T183" s="10" t="str">
        <f>'(FnCalls 1)'!F55</f>
        <v>MMM 2011</v>
      </c>
      <c r="U183" s="10" t="str">
        <f>'(FnCalls 1)'!F56</f>
        <v>MMM 2011</v>
      </c>
      <c r="V183" s="10" t="str">
        <f>'(FnCalls 1)'!F57</f>
        <v>MMM 2011</v>
      </c>
      <c r="W183" s="11" t="str">
        <f>'(FnCalls 1)'!F58</f>
        <v>MMM 2011</v>
      </c>
      <c r="Y183" s="97" t="str">
        <f>Labels!B176</f>
        <v>Prof Staff Count Cutover</v>
      </c>
      <c r="Z183" s="8">
        <f>ROUND(12/2,0)</f>
        <v>6</v>
      </c>
    </row>
    <row r="184" spans="1:26" ht="12.75" hidden="1" customHeight="1" outlineLevel="2" x14ac:dyDescent="0.2">
      <c r="A184" s="12" t="str">
        <f>Labels!B177</f>
        <v>Prof_Staff Count Early</v>
      </c>
      <c r="B184" s="26" t="str">
        <f>Labels!B381</f>
        <v>Practice 1</v>
      </c>
      <c r="C184" s="39" t="str">
        <f>Labels!B385</f>
        <v>Prof Level 1</v>
      </c>
      <c r="D184" s="39"/>
      <c r="E184" s="40"/>
      <c r="F184" s="41">
        <f>0</f>
        <v>0</v>
      </c>
      <c r="G184" s="41">
        <f t="shared" ref="G184:W184" si="95">F184</f>
        <v>0</v>
      </c>
      <c r="H184" s="41">
        <f t="shared" si="95"/>
        <v>0</v>
      </c>
      <c r="I184" s="41">
        <f t="shared" si="95"/>
        <v>0</v>
      </c>
      <c r="J184" s="41">
        <f t="shared" si="95"/>
        <v>0</v>
      </c>
      <c r="K184" s="41">
        <f t="shared" si="95"/>
        <v>0</v>
      </c>
      <c r="L184" s="41">
        <f t="shared" si="95"/>
        <v>0</v>
      </c>
      <c r="M184" s="41">
        <f t="shared" si="95"/>
        <v>0</v>
      </c>
      <c r="N184" s="41">
        <f t="shared" si="95"/>
        <v>0</v>
      </c>
      <c r="O184" s="41">
        <f t="shared" si="95"/>
        <v>0</v>
      </c>
      <c r="P184" s="41">
        <f t="shared" si="95"/>
        <v>0</v>
      </c>
      <c r="Q184" s="41">
        <f t="shared" si="95"/>
        <v>0</v>
      </c>
      <c r="R184" s="41">
        <f t="shared" si="95"/>
        <v>0</v>
      </c>
      <c r="S184" s="41">
        <f t="shared" si="95"/>
        <v>0</v>
      </c>
      <c r="T184" s="41">
        <f t="shared" si="95"/>
        <v>0</v>
      </c>
      <c r="U184" s="41">
        <f t="shared" si="95"/>
        <v>0</v>
      </c>
      <c r="V184" s="41">
        <f t="shared" si="95"/>
        <v>0</v>
      </c>
      <c r="W184" s="42">
        <f t="shared" si="95"/>
        <v>0</v>
      </c>
    </row>
    <row r="185" spans="1:26" ht="12.75" hidden="1" customHeight="1" outlineLevel="2" x14ac:dyDescent="0.2">
      <c r="A185" s="30"/>
      <c r="B185" s="31"/>
      <c r="C185" s="43" t="str">
        <f>Labels!B386</f>
        <v>Prof Level 2</v>
      </c>
      <c r="D185" s="43"/>
      <c r="E185" s="44"/>
      <c r="F185" s="45">
        <f>0</f>
        <v>0</v>
      </c>
      <c r="G185" s="45">
        <f t="shared" ref="G185:W185" si="96">F185</f>
        <v>0</v>
      </c>
      <c r="H185" s="45">
        <f t="shared" si="96"/>
        <v>0</v>
      </c>
      <c r="I185" s="45">
        <f t="shared" si="96"/>
        <v>0</v>
      </c>
      <c r="J185" s="45">
        <f t="shared" si="96"/>
        <v>0</v>
      </c>
      <c r="K185" s="45">
        <f t="shared" si="96"/>
        <v>0</v>
      </c>
      <c r="L185" s="45">
        <f t="shared" si="96"/>
        <v>0</v>
      </c>
      <c r="M185" s="45">
        <f t="shared" si="96"/>
        <v>0</v>
      </c>
      <c r="N185" s="45">
        <f t="shared" si="96"/>
        <v>0</v>
      </c>
      <c r="O185" s="45">
        <f t="shared" si="96"/>
        <v>0</v>
      </c>
      <c r="P185" s="45">
        <f t="shared" si="96"/>
        <v>0</v>
      </c>
      <c r="Q185" s="45">
        <f t="shared" si="96"/>
        <v>0</v>
      </c>
      <c r="R185" s="45">
        <f t="shared" si="96"/>
        <v>0</v>
      </c>
      <c r="S185" s="45">
        <f t="shared" si="96"/>
        <v>0</v>
      </c>
      <c r="T185" s="45">
        <f t="shared" si="96"/>
        <v>0</v>
      </c>
      <c r="U185" s="45">
        <f t="shared" si="96"/>
        <v>0</v>
      </c>
      <c r="V185" s="45">
        <f t="shared" si="96"/>
        <v>0</v>
      </c>
      <c r="W185" s="46">
        <f t="shared" si="96"/>
        <v>0</v>
      </c>
    </row>
    <row r="186" spans="1:26" ht="12.75" hidden="1" customHeight="1" outlineLevel="2" x14ac:dyDescent="0.2">
      <c r="A186" s="30"/>
      <c r="B186" s="31" t="str">
        <f>Labels!B382</f>
        <v>Practice 2</v>
      </c>
      <c r="C186" s="43" t="str">
        <f>Labels!B385</f>
        <v>Prof Level 1</v>
      </c>
      <c r="D186" s="43"/>
      <c r="E186" s="44"/>
      <c r="F186" s="45">
        <f>0</f>
        <v>0</v>
      </c>
      <c r="G186" s="45">
        <f t="shared" ref="G186:W186" si="97">F186</f>
        <v>0</v>
      </c>
      <c r="H186" s="45">
        <f t="shared" si="97"/>
        <v>0</v>
      </c>
      <c r="I186" s="45">
        <f t="shared" si="97"/>
        <v>0</v>
      </c>
      <c r="J186" s="45">
        <f t="shared" si="97"/>
        <v>0</v>
      </c>
      <c r="K186" s="45">
        <f t="shared" si="97"/>
        <v>0</v>
      </c>
      <c r="L186" s="45">
        <f t="shared" si="97"/>
        <v>0</v>
      </c>
      <c r="M186" s="45">
        <f t="shared" si="97"/>
        <v>0</v>
      </c>
      <c r="N186" s="45">
        <f t="shared" si="97"/>
        <v>0</v>
      </c>
      <c r="O186" s="45">
        <f t="shared" si="97"/>
        <v>0</v>
      </c>
      <c r="P186" s="45">
        <f t="shared" si="97"/>
        <v>0</v>
      </c>
      <c r="Q186" s="45">
        <f t="shared" si="97"/>
        <v>0</v>
      </c>
      <c r="R186" s="45">
        <f t="shared" si="97"/>
        <v>0</v>
      </c>
      <c r="S186" s="45">
        <f t="shared" si="97"/>
        <v>0</v>
      </c>
      <c r="T186" s="45">
        <f t="shared" si="97"/>
        <v>0</v>
      </c>
      <c r="U186" s="45">
        <f t="shared" si="97"/>
        <v>0</v>
      </c>
      <c r="V186" s="45">
        <f t="shared" si="97"/>
        <v>0</v>
      </c>
      <c r="W186" s="46">
        <f t="shared" si="97"/>
        <v>0</v>
      </c>
    </row>
    <row r="187" spans="1:26" ht="12.75" hidden="1" customHeight="1" outlineLevel="2" x14ac:dyDescent="0.2">
      <c r="A187" s="30"/>
      <c r="B187" s="31"/>
      <c r="C187" s="43" t="str">
        <f>Labels!B386</f>
        <v>Prof Level 2</v>
      </c>
      <c r="D187" s="43"/>
      <c r="E187" s="44"/>
      <c r="F187" s="45">
        <f>0</f>
        <v>0</v>
      </c>
      <c r="G187" s="45">
        <f t="shared" ref="G187:W187" si="98">F187</f>
        <v>0</v>
      </c>
      <c r="H187" s="45">
        <f t="shared" si="98"/>
        <v>0</v>
      </c>
      <c r="I187" s="45">
        <f t="shared" si="98"/>
        <v>0</v>
      </c>
      <c r="J187" s="45">
        <f t="shared" si="98"/>
        <v>0</v>
      </c>
      <c r="K187" s="45">
        <f t="shared" si="98"/>
        <v>0</v>
      </c>
      <c r="L187" s="45">
        <f t="shared" si="98"/>
        <v>0</v>
      </c>
      <c r="M187" s="45">
        <f t="shared" si="98"/>
        <v>0</v>
      </c>
      <c r="N187" s="45">
        <f t="shared" si="98"/>
        <v>0</v>
      </c>
      <c r="O187" s="45">
        <f t="shared" si="98"/>
        <v>0</v>
      </c>
      <c r="P187" s="45">
        <f t="shared" si="98"/>
        <v>0</v>
      </c>
      <c r="Q187" s="45">
        <f t="shared" si="98"/>
        <v>0</v>
      </c>
      <c r="R187" s="45">
        <f t="shared" si="98"/>
        <v>0</v>
      </c>
      <c r="S187" s="45">
        <f t="shared" si="98"/>
        <v>0</v>
      </c>
      <c r="T187" s="45">
        <f t="shared" si="98"/>
        <v>0</v>
      </c>
      <c r="U187" s="45">
        <f t="shared" si="98"/>
        <v>0</v>
      </c>
      <c r="V187" s="45">
        <f t="shared" si="98"/>
        <v>0</v>
      </c>
      <c r="W187" s="46">
        <f t="shared" si="98"/>
        <v>0</v>
      </c>
    </row>
    <row r="188" spans="1:26" ht="12.75" hidden="1" customHeight="1" outlineLevel="2" x14ac:dyDescent="0.2">
      <c r="A188" s="5"/>
      <c r="B188" s="6"/>
      <c r="C188" s="6"/>
      <c r="D188" s="6"/>
      <c r="E188" s="7"/>
      <c r="F188" s="6"/>
      <c r="G188" s="6"/>
      <c r="H188" s="6"/>
      <c r="I188" s="6"/>
      <c r="J188" s="6"/>
      <c r="K188" s="6"/>
      <c r="L188" s="6"/>
      <c r="M188" s="6"/>
      <c r="N188" s="6"/>
      <c r="O188" s="6"/>
      <c r="P188" s="6"/>
      <c r="Q188" s="6"/>
      <c r="R188" s="6"/>
      <c r="S188" s="6"/>
      <c r="T188" s="6"/>
      <c r="U188" s="6"/>
      <c r="V188" s="6"/>
      <c r="W188" s="7"/>
    </row>
    <row r="189" spans="1:26" ht="12.75" hidden="1" customHeight="1" outlineLevel="2" x14ac:dyDescent="0.2">
      <c r="A189" s="30" t="str">
        <f>Labels!B206</f>
        <v>Prof Staff Target Util %</v>
      </c>
      <c r="B189" s="31" t="str">
        <f>Labels!B381</f>
        <v>Practice 1</v>
      </c>
      <c r="C189" s="43" t="str">
        <f>Labels!B385</f>
        <v>Prof Level 1</v>
      </c>
      <c r="D189" s="43"/>
      <c r="E189" s="44"/>
      <c r="F189" s="77">
        <f>0.8</f>
        <v>0.8</v>
      </c>
      <c r="G189" s="77">
        <f t="shared" ref="G189:W189" si="99">F189</f>
        <v>0.8</v>
      </c>
      <c r="H189" s="77">
        <f t="shared" si="99"/>
        <v>0.8</v>
      </c>
      <c r="I189" s="77">
        <f t="shared" si="99"/>
        <v>0.8</v>
      </c>
      <c r="J189" s="77">
        <f t="shared" si="99"/>
        <v>0.8</v>
      </c>
      <c r="K189" s="77">
        <f t="shared" si="99"/>
        <v>0.8</v>
      </c>
      <c r="L189" s="77">
        <f t="shared" si="99"/>
        <v>0.8</v>
      </c>
      <c r="M189" s="77">
        <f t="shared" si="99"/>
        <v>0.8</v>
      </c>
      <c r="N189" s="77">
        <f t="shared" si="99"/>
        <v>0.8</v>
      </c>
      <c r="O189" s="77">
        <f t="shared" si="99"/>
        <v>0.8</v>
      </c>
      <c r="P189" s="77">
        <f t="shared" si="99"/>
        <v>0.8</v>
      </c>
      <c r="Q189" s="77">
        <f t="shared" si="99"/>
        <v>0.8</v>
      </c>
      <c r="R189" s="77">
        <f t="shared" si="99"/>
        <v>0.8</v>
      </c>
      <c r="S189" s="77">
        <f t="shared" si="99"/>
        <v>0.8</v>
      </c>
      <c r="T189" s="77">
        <f t="shared" si="99"/>
        <v>0.8</v>
      </c>
      <c r="U189" s="77">
        <f t="shared" si="99"/>
        <v>0.8</v>
      </c>
      <c r="V189" s="77">
        <f t="shared" si="99"/>
        <v>0.8</v>
      </c>
      <c r="W189" s="78">
        <f t="shared" si="99"/>
        <v>0.8</v>
      </c>
    </row>
    <row r="190" spans="1:26" ht="12.75" hidden="1" customHeight="1" outlineLevel="2" x14ac:dyDescent="0.2">
      <c r="A190" s="30"/>
      <c r="B190" s="31"/>
      <c r="C190" s="43" t="str">
        <f>Labels!B386</f>
        <v>Prof Level 2</v>
      </c>
      <c r="D190" s="43"/>
      <c r="E190" s="44"/>
      <c r="F190" s="77">
        <f>0.8</f>
        <v>0.8</v>
      </c>
      <c r="G190" s="77">
        <f t="shared" ref="G190:W190" si="100">F190</f>
        <v>0.8</v>
      </c>
      <c r="H190" s="77">
        <f t="shared" si="100"/>
        <v>0.8</v>
      </c>
      <c r="I190" s="77">
        <f t="shared" si="100"/>
        <v>0.8</v>
      </c>
      <c r="J190" s="77">
        <f t="shared" si="100"/>
        <v>0.8</v>
      </c>
      <c r="K190" s="77">
        <f t="shared" si="100"/>
        <v>0.8</v>
      </c>
      <c r="L190" s="77">
        <f t="shared" si="100"/>
        <v>0.8</v>
      </c>
      <c r="M190" s="77">
        <f t="shared" si="100"/>
        <v>0.8</v>
      </c>
      <c r="N190" s="77">
        <f t="shared" si="100"/>
        <v>0.8</v>
      </c>
      <c r="O190" s="77">
        <f t="shared" si="100"/>
        <v>0.8</v>
      </c>
      <c r="P190" s="77">
        <f t="shared" si="100"/>
        <v>0.8</v>
      </c>
      <c r="Q190" s="77">
        <f t="shared" si="100"/>
        <v>0.8</v>
      </c>
      <c r="R190" s="77">
        <f t="shared" si="100"/>
        <v>0.8</v>
      </c>
      <c r="S190" s="77">
        <f t="shared" si="100"/>
        <v>0.8</v>
      </c>
      <c r="T190" s="77">
        <f t="shared" si="100"/>
        <v>0.8</v>
      </c>
      <c r="U190" s="77">
        <f t="shared" si="100"/>
        <v>0.8</v>
      </c>
      <c r="V190" s="77">
        <f t="shared" si="100"/>
        <v>0.8</v>
      </c>
      <c r="W190" s="78">
        <f t="shared" si="100"/>
        <v>0.8</v>
      </c>
    </row>
    <row r="191" spans="1:26" ht="12.75" hidden="1" customHeight="1" outlineLevel="2" x14ac:dyDescent="0.2">
      <c r="A191" s="30"/>
      <c r="B191" s="31" t="str">
        <f>Labels!B382</f>
        <v>Practice 2</v>
      </c>
      <c r="C191" s="43" t="str">
        <f>Labels!B385</f>
        <v>Prof Level 1</v>
      </c>
      <c r="D191" s="43"/>
      <c r="E191" s="44"/>
      <c r="F191" s="77">
        <f>0.8</f>
        <v>0.8</v>
      </c>
      <c r="G191" s="77">
        <f t="shared" ref="G191:W191" si="101">F191</f>
        <v>0.8</v>
      </c>
      <c r="H191" s="77">
        <f t="shared" si="101"/>
        <v>0.8</v>
      </c>
      <c r="I191" s="77">
        <f t="shared" si="101"/>
        <v>0.8</v>
      </c>
      <c r="J191" s="77">
        <f t="shared" si="101"/>
        <v>0.8</v>
      </c>
      <c r="K191" s="77">
        <f t="shared" si="101"/>
        <v>0.8</v>
      </c>
      <c r="L191" s="77">
        <f t="shared" si="101"/>
        <v>0.8</v>
      </c>
      <c r="M191" s="77">
        <f t="shared" si="101"/>
        <v>0.8</v>
      </c>
      <c r="N191" s="77">
        <f t="shared" si="101"/>
        <v>0.8</v>
      </c>
      <c r="O191" s="77">
        <f t="shared" si="101"/>
        <v>0.8</v>
      </c>
      <c r="P191" s="77">
        <f t="shared" si="101"/>
        <v>0.8</v>
      </c>
      <c r="Q191" s="77">
        <f t="shared" si="101"/>
        <v>0.8</v>
      </c>
      <c r="R191" s="77">
        <f t="shared" si="101"/>
        <v>0.8</v>
      </c>
      <c r="S191" s="77">
        <f t="shared" si="101"/>
        <v>0.8</v>
      </c>
      <c r="T191" s="77">
        <f t="shared" si="101"/>
        <v>0.8</v>
      </c>
      <c r="U191" s="77">
        <f t="shared" si="101"/>
        <v>0.8</v>
      </c>
      <c r="V191" s="77">
        <f t="shared" si="101"/>
        <v>0.8</v>
      </c>
      <c r="W191" s="78">
        <f t="shared" si="101"/>
        <v>0.8</v>
      </c>
    </row>
    <row r="192" spans="1:26" ht="12.75" hidden="1" customHeight="1" outlineLevel="2" x14ac:dyDescent="0.2">
      <c r="A192" s="17"/>
      <c r="B192" s="35"/>
      <c r="C192" s="47" t="str">
        <f>Labels!B386</f>
        <v>Prof Level 2</v>
      </c>
      <c r="D192" s="47"/>
      <c r="E192" s="48"/>
      <c r="F192" s="79">
        <f>0.8</f>
        <v>0.8</v>
      </c>
      <c r="G192" s="79">
        <f t="shared" ref="G192:W192" si="102">F192</f>
        <v>0.8</v>
      </c>
      <c r="H192" s="79">
        <f t="shared" si="102"/>
        <v>0.8</v>
      </c>
      <c r="I192" s="79">
        <f t="shared" si="102"/>
        <v>0.8</v>
      </c>
      <c r="J192" s="79">
        <f t="shared" si="102"/>
        <v>0.8</v>
      </c>
      <c r="K192" s="79">
        <f t="shared" si="102"/>
        <v>0.8</v>
      </c>
      <c r="L192" s="79">
        <f t="shared" si="102"/>
        <v>0.8</v>
      </c>
      <c r="M192" s="79">
        <f t="shared" si="102"/>
        <v>0.8</v>
      </c>
      <c r="N192" s="79">
        <f t="shared" si="102"/>
        <v>0.8</v>
      </c>
      <c r="O192" s="79">
        <f t="shared" si="102"/>
        <v>0.8</v>
      </c>
      <c r="P192" s="79">
        <f t="shared" si="102"/>
        <v>0.8</v>
      </c>
      <c r="Q192" s="79">
        <f t="shared" si="102"/>
        <v>0.8</v>
      </c>
      <c r="R192" s="79">
        <f t="shared" si="102"/>
        <v>0.8</v>
      </c>
      <c r="S192" s="79">
        <f t="shared" si="102"/>
        <v>0.8</v>
      </c>
      <c r="T192" s="79">
        <f t="shared" si="102"/>
        <v>0.8</v>
      </c>
      <c r="U192" s="79">
        <f t="shared" si="102"/>
        <v>0.8</v>
      </c>
      <c r="V192" s="79">
        <f t="shared" si="102"/>
        <v>0.8</v>
      </c>
      <c r="W192" s="80">
        <f t="shared" si="102"/>
        <v>0.8</v>
      </c>
    </row>
    <row r="193" spans="1:30" ht="12.75" hidden="1" customHeight="1" outlineLevel="2" x14ac:dyDescent="0.2">
      <c r="A193" s="462" t="str">
        <f>"The model uses Professional Staff Early Count for first "&amp;Z183&amp;" time periods; later it determines staff size based on billable hours and target staff utilization."</f>
        <v>The model uses Professional Staff Early Count for first 6 time periods; later it determines staff size based on billable hours and target staff utilization.</v>
      </c>
      <c r="B193" s="462"/>
      <c r="C193" s="462"/>
      <c r="D193" s="462"/>
      <c r="E193" s="462"/>
      <c r="F193" s="462"/>
      <c r="G193" s="462"/>
      <c r="H193" s="462"/>
      <c r="I193" s="462"/>
    </row>
    <row r="194" spans="1:30" ht="12.75" hidden="1" customHeight="1" outlineLevel="2" collapsed="1" x14ac:dyDescent="0.2"/>
    <row r="195" spans="1:30" ht="12.75" hidden="1" customHeight="1" outlineLevel="1" collapsed="1" x14ac:dyDescent="0.2">
      <c r="A195" s="465" t="str">
        <f>"Support Staff Count"</f>
        <v>Support Staff Count</v>
      </c>
      <c r="B195" s="465"/>
    </row>
    <row r="196" spans="1:30" ht="12.75" hidden="1" customHeight="1" outlineLevel="2" x14ac:dyDescent="0.2">
      <c r="F196" s="9" t="str">
        <f>'(FnCalls 1)'!F41</f>
        <v>MMM 2010</v>
      </c>
      <c r="G196" s="10" t="str">
        <f>'(FnCalls 1)'!F42</f>
        <v>MMM 2010</v>
      </c>
      <c r="H196" s="10" t="str">
        <f>'(FnCalls 1)'!F43</f>
        <v>MMM 2010</v>
      </c>
      <c r="I196" s="10" t="str">
        <f>'(FnCalls 1)'!F44</f>
        <v>MMM 2010</v>
      </c>
      <c r="J196" s="10" t="str">
        <f>'(FnCalls 1)'!F45</f>
        <v>MMM 2010</v>
      </c>
      <c r="K196" s="10" t="str">
        <f>'(FnCalls 1)'!F46</f>
        <v>MMM 2010</v>
      </c>
      <c r="L196" s="10" t="str">
        <f>'(FnCalls 1)'!F47</f>
        <v>MMM 2010</v>
      </c>
      <c r="M196" s="10" t="str">
        <f>'(FnCalls 1)'!F48</f>
        <v>MMM 2010</v>
      </c>
      <c r="N196" s="10" t="str">
        <f>'(FnCalls 1)'!F49</f>
        <v>MMM 2010</v>
      </c>
      <c r="O196" s="10" t="str">
        <f>'(FnCalls 1)'!F50</f>
        <v>MMM 2010</v>
      </c>
      <c r="P196" s="10" t="str">
        <f>'(FnCalls 1)'!F51</f>
        <v>MMM 2010</v>
      </c>
      <c r="Q196" s="10" t="str">
        <f>'(FnCalls 1)'!F52</f>
        <v>MMM 2010</v>
      </c>
      <c r="R196" s="10" t="str">
        <f>'(FnCalls 1)'!F53</f>
        <v>MMM 2011</v>
      </c>
      <c r="S196" s="10" t="str">
        <f>'(FnCalls 1)'!F54</f>
        <v>MMM 2011</v>
      </c>
      <c r="T196" s="10" t="str">
        <f>'(FnCalls 1)'!F55</f>
        <v>MMM 2011</v>
      </c>
      <c r="U196" s="10" t="str">
        <f>'(FnCalls 1)'!F56</f>
        <v>MMM 2011</v>
      </c>
      <c r="V196" s="10" t="str">
        <f>'(FnCalls 1)'!F57</f>
        <v>MMM 2011</v>
      </c>
      <c r="W196" s="11" t="str">
        <f>'(FnCalls 1)'!F58</f>
        <v>MMM 2011</v>
      </c>
      <c r="AB196" s="9" t="str">
        <f>Labels!B356</f>
        <v>K0</v>
      </c>
      <c r="AC196" s="10" t="str">
        <f>Labels!B357</f>
        <v>K1</v>
      </c>
      <c r="AD196" s="11" t="str">
        <f>Labels!B358</f>
        <v>K2</v>
      </c>
    </row>
    <row r="197" spans="1:30" ht="12.75" hidden="1" customHeight="1" outlineLevel="2" x14ac:dyDescent="0.2">
      <c r="A197" s="12" t="str">
        <f>Labels!B251</f>
        <v>Support Staff Count Early</v>
      </c>
      <c r="B197" s="26" t="str">
        <f>Labels!B321</f>
        <v>Marketing</v>
      </c>
      <c r="C197" s="39" t="str">
        <f>Labels!B393</f>
        <v>Manager</v>
      </c>
      <c r="D197" s="39"/>
      <c r="E197" s="40"/>
      <c r="F197" s="41">
        <f>0</f>
        <v>0</v>
      </c>
      <c r="G197" s="41">
        <f t="shared" ref="G197:W197" si="103">F197</f>
        <v>0</v>
      </c>
      <c r="H197" s="41">
        <f t="shared" si="103"/>
        <v>0</v>
      </c>
      <c r="I197" s="41">
        <f t="shared" si="103"/>
        <v>0</v>
      </c>
      <c r="J197" s="41">
        <f t="shared" si="103"/>
        <v>0</v>
      </c>
      <c r="K197" s="41">
        <f t="shared" si="103"/>
        <v>0</v>
      </c>
      <c r="L197" s="41">
        <f t="shared" si="103"/>
        <v>0</v>
      </c>
      <c r="M197" s="41">
        <f t="shared" si="103"/>
        <v>0</v>
      </c>
      <c r="N197" s="41">
        <f t="shared" si="103"/>
        <v>0</v>
      </c>
      <c r="O197" s="41">
        <f t="shared" si="103"/>
        <v>0</v>
      </c>
      <c r="P197" s="41">
        <f t="shared" si="103"/>
        <v>0</v>
      </c>
      <c r="Q197" s="41">
        <f t="shared" si="103"/>
        <v>0</v>
      </c>
      <c r="R197" s="41">
        <f t="shared" si="103"/>
        <v>0</v>
      </c>
      <c r="S197" s="41">
        <f t="shared" si="103"/>
        <v>0</v>
      </c>
      <c r="T197" s="41">
        <f t="shared" si="103"/>
        <v>0</v>
      </c>
      <c r="U197" s="41">
        <f t="shared" si="103"/>
        <v>0</v>
      </c>
      <c r="V197" s="41">
        <f t="shared" si="103"/>
        <v>0</v>
      </c>
      <c r="W197" s="42">
        <f t="shared" si="103"/>
        <v>0</v>
      </c>
      <c r="Y197" s="12" t="str">
        <f>Labels!B252</f>
        <v>Support Staff Constants</v>
      </c>
      <c r="Z197" s="26" t="str">
        <f>Labels!B321</f>
        <v>Marketing</v>
      </c>
      <c r="AA197" s="40" t="str">
        <f>Labels!B393</f>
        <v>Manager</v>
      </c>
      <c r="AB197" s="98">
        <f>0</f>
        <v>0</v>
      </c>
      <c r="AC197" s="98">
        <f>0</f>
        <v>0</v>
      </c>
      <c r="AD197" s="99">
        <f>1</f>
        <v>1</v>
      </c>
    </row>
    <row r="198" spans="1:30" ht="12.75" hidden="1" customHeight="1" outlineLevel="2" x14ac:dyDescent="0.2">
      <c r="A198" s="30"/>
      <c r="B198" s="31"/>
      <c r="C198" s="43" t="str">
        <f>Labels!B394</f>
        <v>Contributor</v>
      </c>
      <c r="D198" s="43"/>
      <c r="E198" s="44"/>
      <c r="F198" s="45">
        <f>0</f>
        <v>0</v>
      </c>
      <c r="G198" s="45">
        <f t="shared" ref="G198:W198" si="104">F198</f>
        <v>0</v>
      </c>
      <c r="H198" s="45">
        <f t="shared" si="104"/>
        <v>0</v>
      </c>
      <c r="I198" s="45">
        <f t="shared" si="104"/>
        <v>0</v>
      </c>
      <c r="J198" s="45">
        <f t="shared" si="104"/>
        <v>0</v>
      </c>
      <c r="K198" s="45">
        <f t="shared" si="104"/>
        <v>0</v>
      </c>
      <c r="L198" s="45">
        <f t="shared" si="104"/>
        <v>0</v>
      </c>
      <c r="M198" s="45">
        <f t="shared" si="104"/>
        <v>0</v>
      </c>
      <c r="N198" s="45">
        <f t="shared" si="104"/>
        <v>0</v>
      </c>
      <c r="O198" s="45">
        <f t="shared" si="104"/>
        <v>0</v>
      </c>
      <c r="P198" s="45">
        <f t="shared" si="104"/>
        <v>0</v>
      </c>
      <c r="Q198" s="45">
        <f t="shared" si="104"/>
        <v>0</v>
      </c>
      <c r="R198" s="45">
        <f t="shared" si="104"/>
        <v>0</v>
      </c>
      <c r="S198" s="45">
        <f t="shared" si="104"/>
        <v>0</v>
      </c>
      <c r="T198" s="45">
        <f t="shared" si="104"/>
        <v>0</v>
      </c>
      <c r="U198" s="45">
        <f t="shared" si="104"/>
        <v>0</v>
      </c>
      <c r="V198" s="45">
        <f t="shared" si="104"/>
        <v>0</v>
      </c>
      <c r="W198" s="46">
        <f t="shared" si="104"/>
        <v>0</v>
      </c>
      <c r="Y198" s="30"/>
      <c r="Z198" s="31"/>
      <c r="AA198" s="44" t="str">
        <f>Labels!B394</f>
        <v>Contributor</v>
      </c>
      <c r="AB198" s="100">
        <f>0</f>
        <v>0</v>
      </c>
      <c r="AC198" s="100">
        <f>0</f>
        <v>0</v>
      </c>
      <c r="AD198" s="101">
        <f>1</f>
        <v>1</v>
      </c>
    </row>
    <row r="199" spans="1:30" ht="12.75" hidden="1" customHeight="1" outlineLevel="2" x14ac:dyDescent="0.2">
      <c r="A199" s="30"/>
      <c r="B199" s="31" t="str">
        <f>Labels!B322</f>
        <v>Sales</v>
      </c>
      <c r="C199" s="43" t="str">
        <f>Labels!B393</f>
        <v>Manager</v>
      </c>
      <c r="D199" s="43"/>
      <c r="E199" s="44"/>
      <c r="F199" s="45">
        <f>0</f>
        <v>0</v>
      </c>
      <c r="G199" s="45">
        <f t="shared" ref="G199:W199" si="105">F199</f>
        <v>0</v>
      </c>
      <c r="H199" s="45">
        <f t="shared" si="105"/>
        <v>0</v>
      </c>
      <c r="I199" s="45">
        <f t="shared" si="105"/>
        <v>0</v>
      </c>
      <c r="J199" s="45">
        <f t="shared" si="105"/>
        <v>0</v>
      </c>
      <c r="K199" s="45">
        <f t="shared" si="105"/>
        <v>0</v>
      </c>
      <c r="L199" s="45">
        <f t="shared" si="105"/>
        <v>0</v>
      </c>
      <c r="M199" s="45">
        <f t="shared" si="105"/>
        <v>0</v>
      </c>
      <c r="N199" s="45">
        <f t="shared" si="105"/>
        <v>0</v>
      </c>
      <c r="O199" s="45">
        <f t="shared" si="105"/>
        <v>0</v>
      </c>
      <c r="P199" s="45">
        <f t="shared" si="105"/>
        <v>0</v>
      </c>
      <c r="Q199" s="45">
        <f t="shared" si="105"/>
        <v>0</v>
      </c>
      <c r="R199" s="45">
        <f t="shared" si="105"/>
        <v>0</v>
      </c>
      <c r="S199" s="45">
        <f t="shared" si="105"/>
        <v>0</v>
      </c>
      <c r="T199" s="45">
        <f t="shared" si="105"/>
        <v>0</v>
      </c>
      <c r="U199" s="45">
        <f t="shared" si="105"/>
        <v>0</v>
      </c>
      <c r="V199" s="45">
        <f t="shared" si="105"/>
        <v>0</v>
      </c>
      <c r="W199" s="46">
        <f t="shared" si="105"/>
        <v>0</v>
      </c>
      <c r="Y199" s="30"/>
      <c r="Z199" s="31" t="str">
        <f>Labels!B322</f>
        <v>Sales</v>
      </c>
      <c r="AA199" s="44" t="str">
        <f>Labels!B393</f>
        <v>Manager</v>
      </c>
      <c r="AB199" s="100">
        <f>0</f>
        <v>0</v>
      </c>
      <c r="AC199" s="100">
        <f>0</f>
        <v>0</v>
      </c>
      <c r="AD199" s="101">
        <f>1</f>
        <v>1</v>
      </c>
    </row>
    <row r="200" spans="1:30" ht="12.75" hidden="1" customHeight="1" outlineLevel="2" x14ac:dyDescent="0.2">
      <c r="A200" s="17"/>
      <c r="B200" s="35"/>
      <c r="C200" s="47" t="str">
        <f>Labels!B394</f>
        <v>Contributor</v>
      </c>
      <c r="D200" s="47"/>
      <c r="E200" s="48"/>
      <c r="F200" s="49">
        <f>0</f>
        <v>0</v>
      </c>
      <c r="G200" s="49">
        <f t="shared" ref="G200:W200" si="106">F200</f>
        <v>0</v>
      </c>
      <c r="H200" s="49">
        <f t="shared" si="106"/>
        <v>0</v>
      </c>
      <c r="I200" s="49">
        <f t="shared" si="106"/>
        <v>0</v>
      </c>
      <c r="J200" s="49">
        <f t="shared" si="106"/>
        <v>0</v>
      </c>
      <c r="K200" s="49">
        <f t="shared" si="106"/>
        <v>0</v>
      </c>
      <c r="L200" s="49">
        <f t="shared" si="106"/>
        <v>0</v>
      </c>
      <c r="M200" s="49">
        <f t="shared" si="106"/>
        <v>0</v>
      </c>
      <c r="N200" s="49">
        <f t="shared" si="106"/>
        <v>0</v>
      </c>
      <c r="O200" s="49">
        <f t="shared" si="106"/>
        <v>0</v>
      </c>
      <c r="P200" s="49">
        <f t="shared" si="106"/>
        <v>0</v>
      </c>
      <c r="Q200" s="49">
        <f t="shared" si="106"/>
        <v>0</v>
      </c>
      <c r="R200" s="49">
        <f t="shared" si="106"/>
        <v>0</v>
      </c>
      <c r="S200" s="49">
        <f t="shared" si="106"/>
        <v>0</v>
      </c>
      <c r="T200" s="49">
        <f t="shared" si="106"/>
        <v>0</v>
      </c>
      <c r="U200" s="49">
        <f t="shared" si="106"/>
        <v>0</v>
      </c>
      <c r="V200" s="49">
        <f t="shared" si="106"/>
        <v>0</v>
      </c>
      <c r="W200" s="50">
        <f t="shared" si="106"/>
        <v>0</v>
      </c>
      <c r="Y200" s="30"/>
      <c r="Z200" s="31"/>
      <c r="AA200" s="44" t="str">
        <f>Labels!B394</f>
        <v>Contributor</v>
      </c>
      <c r="AB200" s="100">
        <f>0</f>
        <v>0</v>
      </c>
      <c r="AC200" s="100">
        <f>0</f>
        <v>0</v>
      </c>
      <c r="AD200" s="101">
        <f>1</f>
        <v>1</v>
      </c>
    </row>
    <row r="201" spans="1:30" ht="12.75" hidden="1" customHeight="1" outlineLevel="2" x14ac:dyDescent="0.2">
      <c r="A201" s="462" t="str">
        <f>"The model uses Support Staff Early Count for first "&amp;AB202&amp;" time periods, then transitions to revenue-based formula with scale economies."</f>
        <v>The model uses Support Staff Early Count for first 6 time periods, then transitions to revenue-based formula with scale economies.</v>
      </c>
      <c r="B201" s="462"/>
      <c r="C201" s="462"/>
      <c r="D201" s="462"/>
      <c r="E201" s="462"/>
      <c r="F201" s="462"/>
      <c r="G201" s="462"/>
      <c r="H201" s="462"/>
      <c r="I201" s="462"/>
      <c r="Y201" s="5"/>
      <c r="Z201" s="6"/>
      <c r="AA201" s="7"/>
      <c r="AB201" s="6"/>
      <c r="AC201" s="6"/>
      <c r="AD201" s="7"/>
    </row>
    <row r="202" spans="1:30" ht="12.75" hidden="1" customHeight="1" outlineLevel="2" x14ac:dyDescent="0.2">
      <c r="Y202" s="5" t="str">
        <f>Labels!B250</f>
        <v>Support Staff Count Cutover</v>
      </c>
      <c r="Z202" s="6"/>
      <c r="AA202" s="7"/>
      <c r="AB202" s="8">
        <f>ROUND(12/2,0)</f>
        <v>6</v>
      </c>
    </row>
    <row r="203" spans="1:30" ht="12.75" hidden="1" customHeight="1" outlineLevel="2" collapsed="1" x14ac:dyDescent="0.2"/>
    <row r="204" spans="1:30" ht="12.75" hidden="1" customHeight="1" outlineLevel="1" collapsed="1" x14ac:dyDescent="0.2">
      <c r="A204" s="465" t="str">
        <f>"Employee Compensation"</f>
        <v>Employee Compensation</v>
      </c>
      <c r="B204" s="465"/>
    </row>
    <row r="205" spans="1:30" ht="12.75" hidden="1" customHeight="1" outlineLevel="2" x14ac:dyDescent="0.2">
      <c r="A205" s="465" t="str">
        <f>" "</f>
        <v xml:space="preserve"> </v>
      </c>
      <c r="B205" s="465"/>
    </row>
    <row r="206" spans="1:30" ht="12.75" hidden="1" customHeight="1" outlineLevel="2" x14ac:dyDescent="0.2">
      <c r="A206" s="462" t="str">
        <f>"Professional Staff Compensation"</f>
        <v>Professional Staff Compensation</v>
      </c>
      <c r="B206" s="462"/>
      <c r="C206" s="462"/>
    </row>
    <row r="207" spans="1:30" ht="12.75" hidden="1" customHeight="1" outlineLevel="3" x14ac:dyDescent="0.2">
      <c r="F207" s="9" t="str">
        <f>Labels!B381</f>
        <v>Practice 1</v>
      </c>
      <c r="G207" s="11" t="str">
        <f>Labels!B382</f>
        <v>Practice 2</v>
      </c>
    </row>
    <row r="208" spans="1:30" ht="12.75" hidden="1" customHeight="1" outlineLevel="3" x14ac:dyDescent="0.2">
      <c r="A208" s="12" t="str">
        <f>Labels!B200</f>
        <v>Initial Avg Prof Staff Salary (Yr)</v>
      </c>
      <c r="B208" s="26" t="str">
        <f>Labels!B385</f>
        <v>Prof Level 1</v>
      </c>
      <c r="C208" s="26"/>
      <c r="D208" s="26"/>
      <c r="E208" s="27"/>
      <c r="F208" s="102">
        <f>100000</f>
        <v>100000</v>
      </c>
      <c r="G208" s="103">
        <f>100000</f>
        <v>100000</v>
      </c>
    </row>
    <row r="209" spans="1:23" ht="12.75" hidden="1" customHeight="1" outlineLevel="3" x14ac:dyDescent="0.2">
      <c r="A209" s="30"/>
      <c r="B209" s="31" t="str">
        <f>Labels!B386</f>
        <v>Prof Level 2</v>
      </c>
      <c r="C209" s="31"/>
      <c r="D209" s="31"/>
      <c r="E209" s="32"/>
      <c r="F209" s="104">
        <f>100000</f>
        <v>100000</v>
      </c>
      <c r="G209" s="105">
        <f>100000</f>
        <v>100000</v>
      </c>
    </row>
    <row r="210" spans="1:23" ht="12.75" hidden="1" customHeight="1" outlineLevel="3" x14ac:dyDescent="0.2">
      <c r="A210" s="5"/>
      <c r="B210" s="6"/>
      <c r="C210" s="6"/>
      <c r="D210" s="6"/>
      <c r="E210" s="7"/>
      <c r="F210" s="6"/>
      <c r="G210" s="7"/>
    </row>
    <row r="211" spans="1:23" ht="12.75" hidden="1" customHeight="1" outlineLevel="3" x14ac:dyDescent="0.2">
      <c r="F211" s="9" t="str">
        <f>'(FnCalls 1)'!F41</f>
        <v>MMM 2010</v>
      </c>
      <c r="G211" s="10" t="str">
        <f>'(FnCalls 1)'!F42</f>
        <v>MMM 2010</v>
      </c>
      <c r="H211" s="10" t="str">
        <f>'(FnCalls 1)'!F43</f>
        <v>MMM 2010</v>
      </c>
      <c r="I211" s="10" t="str">
        <f>'(FnCalls 1)'!F44</f>
        <v>MMM 2010</v>
      </c>
      <c r="J211" s="10" t="str">
        <f>'(FnCalls 1)'!F45</f>
        <v>MMM 2010</v>
      </c>
      <c r="K211" s="10" t="str">
        <f>'(FnCalls 1)'!F46</f>
        <v>MMM 2010</v>
      </c>
      <c r="L211" s="10" t="str">
        <f>'(FnCalls 1)'!F47</f>
        <v>MMM 2010</v>
      </c>
      <c r="M211" s="10" t="str">
        <f>'(FnCalls 1)'!F48</f>
        <v>MMM 2010</v>
      </c>
      <c r="N211" s="10" t="str">
        <f>'(FnCalls 1)'!F49</f>
        <v>MMM 2010</v>
      </c>
      <c r="O211" s="10" t="str">
        <f>'(FnCalls 1)'!F50</f>
        <v>MMM 2010</v>
      </c>
      <c r="P211" s="10" t="str">
        <f>'(FnCalls 1)'!F51</f>
        <v>MMM 2010</v>
      </c>
      <c r="Q211" s="10" t="str">
        <f>'(FnCalls 1)'!F52</f>
        <v>MMM 2010</v>
      </c>
      <c r="R211" s="10" t="str">
        <f>'(FnCalls 1)'!F53</f>
        <v>MMM 2011</v>
      </c>
      <c r="S211" s="10" t="str">
        <f>'(FnCalls 1)'!F54</f>
        <v>MMM 2011</v>
      </c>
      <c r="T211" s="10" t="str">
        <f>'(FnCalls 1)'!F55</f>
        <v>MMM 2011</v>
      </c>
      <c r="U211" s="10" t="str">
        <f>'(FnCalls 1)'!F56</f>
        <v>MMM 2011</v>
      </c>
      <c r="V211" s="10" t="str">
        <f>'(FnCalls 1)'!F57</f>
        <v>MMM 2011</v>
      </c>
      <c r="W211" s="11" t="str">
        <f>'(FnCalls 1)'!F58</f>
        <v>MMM 2011</v>
      </c>
    </row>
    <row r="212" spans="1:23" ht="12.75" hidden="1" customHeight="1" outlineLevel="3" x14ac:dyDescent="0.2">
      <c r="A212" s="12" t="str">
        <f>Labels!B203</f>
        <v>Prof Salary increase %</v>
      </c>
      <c r="B212" s="26" t="str">
        <f>Labels!B385</f>
        <v>Prof Level 1</v>
      </c>
      <c r="C212" s="26"/>
      <c r="D212" s="26"/>
      <c r="E212" s="27"/>
      <c r="F212" s="106">
        <f>0.03</f>
        <v>0.03</v>
      </c>
      <c r="G212" s="106">
        <f t="shared" ref="G212:W212" si="107">F212</f>
        <v>0.03</v>
      </c>
      <c r="H212" s="106">
        <f t="shared" si="107"/>
        <v>0.03</v>
      </c>
      <c r="I212" s="106">
        <f t="shared" si="107"/>
        <v>0.03</v>
      </c>
      <c r="J212" s="106">
        <f t="shared" si="107"/>
        <v>0.03</v>
      </c>
      <c r="K212" s="106">
        <f t="shared" si="107"/>
        <v>0.03</v>
      </c>
      <c r="L212" s="106">
        <f t="shared" si="107"/>
        <v>0.03</v>
      </c>
      <c r="M212" s="106">
        <f t="shared" si="107"/>
        <v>0.03</v>
      </c>
      <c r="N212" s="106">
        <f t="shared" si="107"/>
        <v>0.03</v>
      </c>
      <c r="O212" s="106">
        <f t="shared" si="107"/>
        <v>0.03</v>
      </c>
      <c r="P212" s="106">
        <f t="shared" si="107"/>
        <v>0.03</v>
      </c>
      <c r="Q212" s="106">
        <f t="shared" si="107"/>
        <v>0.03</v>
      </c>
      <c r="R212" s="106">
        <f t="shared" si="107"/>
        <v>0.03</v>
      </c>
      <c r="S212" s="106">
        <f t="shared" si="107"/>
        <v>0.03</v>
      </c>
      <c r="T212" s="106">
        <f t="shared" si="107"/>
        <v>0.03</v>
      </c>
      <c r="U212" s="106">
        <f t="shared" si="107"/>
        <v>0.03</v>
      </c>
      <c r="V212" s="106">
        <f t="shared" si="107"/>
        <v>0.03</v>
      </c>
      <c r="W212" s="107">
        <f t="shared" si="107"/>
        <v>0.03</v>
      </c>
    </row>
    <row r="213" spans="1:23" ht="12.75" hidden="1" customHeight="1" outlineLevel="3" x14ac:dyDescent="0.2">
      <c r="A213" s="30"/>
      <c r="B213" s="31" t="str">
        <f>Labels!B386</f>
        <v>Prof Level 2</v>
      </c>
      <c r="C213" s="31"/>
      <c r="D213" s="31"/>
      <c r="E213" s="32"/>
      <c r="F213" s="85">
        <f>0.03</f>
        <v>0.03</v>
      </c>
      <c r="G213" s="85">
        <f t="shared" ref="G213:W213" si="108">F213</f>
        <v>0.03</v>
      </c>
      <c r="H213" s="85">
        <f t="shared" si="108"/>
        <v>0.03</v>
      </c>
      <c r="I213" s="85">
        <f t="shared" si="108"/>
        <v>0.03</v>
      </c>
      <c r="J213" s="85">
        <f t="shared" si="108"/>
        <v>0.03</v>
      </c>
      <c r="K213" s="85">
        <f t="shared" si="108"/>
        <v>0.03</v>
      </c>
      <c r="L213" s="85">
        <f t="shared" si="108"/>
        <v>0.03</v>
      </c>
      <c r="M213" s="85">
        <f t="shared" si="108"/>
        <v>0.03</v>
      </c>
      <c r="N213" s="85">
        <f t="shared" si="108"/>
        <v>0.03</v>
      </c>
      <c r="O213" s="85">
        <f t="shared" si="108"/>
        <v>0.03</v>
      </c>
      <c r="P213" s="85">
        <f t="shared" si="108"/>
        <v>0.03</v>
      </c>
      <c r="Q213" s="85">
        <f t="shared" si="108"/>
        <v>0.03</v>
      </c>
      <c r="R213" s="85">
        <f t="shared" si="108"/>
        <v>0.03</v>
      </c>
      <c r="S213" s="85">
        <f t="shared" si="108"/>
        <v>0.03</v>
      </c>
      <c r="T213" s="85">
        <f t="shared" si="108"/>
        <v>0.03</v>
      </c>
      <c r="U213" s="85">
        <f t="shared" si="108"/>
        <v>0.03</v>
      </c>
      <c r="V213" s="85">
        <f t="shared" si="108"/>
        <v>0.03</v>
      </c>
      <c r="W213" s="86">
        <f t="shared" si="108"/>
        <v>0.03</v>
      </c>
    </row>
    <row r="214" spans="1:23" ht="12.75" hidden="1" customHeight="1" outlineLevel="3" x14ac:dyDescent="0.2">
      <c r="A214" s="5"/>
      <c r="B214" s="6"/>
      <c r="C214" s="6"/>
      <c r="D214" s="6"/>
      <c r="E214" s="7"/>
      <c r="F214" s="6"/>
      <c r="G214" s="6"/>
      <c r="H214" s="6"/>
      <c r="I214" s="6"/>
      <c r="J214" s="6"/>
      <c r="K214" s="6"/>
      <c r="L214" s="6"/>
      <c r="M214" s="6"/>
      <c r="N214" s="6"/>
      <c r="O214" s="6"/>
      <c r="P214" s="6"/>
      <c r="Q214" s="6"/>
      <c r="R214" s="6"/>
      <c r="S214" s="6"/>
      <c r="T214" s="6"/>
      <c r="U214" s="6"/>
      <c r="V214" s="6"/>
      <c r="W214" s="7"/>
    </row>
    <row r="215" spans="1:23" ht="12.75" hidden="1" customHeight="1" outlineLevel="3" x14ac:dyDescent="0.2">
      <c r="A215" s="30" t="str">
        <f>Labels!B168</f>
        <v>Prof Staff Bonus %</v>
      </c>
      <c r="B215" s="31" t="str">
        <f>Labels!B381</f>
        <v>Practice 1</v>
      </c>
      <c r="C215" s="43" t="str">
        <f>Labels!B385</f>
        <v>Prof Level 1</v>
      </c>
      <c r="D215" s="43"/>
      <c r="E215" s="44"/>
      <c r="F215" s="53">
        <f>0</f>
        <v>0</v>
      </c>
      <c r="G215" s="53">
        <f t="shared" ref="G215:W215" si="109">F215</f>
        <v>0</v>
      </c>
      <c r="H215" s="53">
        <f t="shared" si="109"/>
        <v>0</v>
      </c>
      <c r="I215" s="53">
        <f t="shared" si="109"/>
        <v>0</v>
      </c>
      <c r="J215" s="53">
        <f t="shared" si="109"/>
        <v>0</v>
      </c>
      <c r="K215" s="53">
        <f t="shared" si="109"/>
        <v>0</v>
      </c>
      <c r="L215" s="53">
        <f t="shared" si="109"/>
        <v>0</v>
      </c>
      <c r="M215" s="53">
        <f t="shared" si="109"/>
        <v>0</v>
      </c>
      <c r="N215" s="53">
        <f t="shared" si="109"/>
        <v>0</v>
      </c>
      <c r="O215" s="53">
        <f t="shared" si="109"/>
        <v>0</v>
      </c>
      <c r="P215" s="53">
        <f t="shared" si="109"/>
        <v>0</v>
      </c>
      <c r="Q215" s="53">
        <f t="shared" si="109"/>
        <v>0</v>
      </c>
      <c r="R215" s="53">
        <f t="shared" si="109"/>
        <v>0</v>
      </c>
      <c r="S215" s="53">
        <f t="shared" si="109"/>
        <v>0</v>
      </c>
      <c r="T215" s="53">
        <f t="shared" si="109"/>
        <v>0</v>
      </c>
      <c r="U215" s="53">
        <f t="shared" si="109"/>
        <v>0</v>
      </c>
      <c r="V215" s="53">
        <f t="shared" si="109"/>
        <v>0</v>
      </c>
      <c r="W215" s="54">
        <f t="shared" si="109"/>
        <v>0</v>
      </c>
    </row>
    <row r="216" spans="1:23" ht="12.75" hidden="1" customHeight="1" outlineLevel="3" x14ac:dyDescent="0.2">
      <c r="A216" s="30"/>
      <c r="B216" s="31"/>
      <c r="C216" s="43" t="str">
        <f>Labels!B386</f>
        <v>Prof Level 2</v>
      </c>
      <c r="D216" s="43"/>
      <c r="E216" s="44"/>
      <c r="F216" s="53">
        <f>0</f>
        <v>0</v>
      </c>
      <c r="G216" s="53">
        <f t="shared" ref="G216:W216" si="110">F216</f>
        <v>0</v>
      </c>
      <c r="H216" s="53">
        <f t="shared" si="110"/>
        <v>0</v>
      </c>
      <c r="I216" s="53">
        <f t="shared" si="110"/>
        <v>0</v>
      </c>
      <c r="J216" s="53">
        <f t="shared" si="110"/>
        <v>0</v>
      </c>
      <c r="K216" s="53">
        <f t="shared" si="110"/>
        <v>0</v>
      </c>
      <c r="L216" s="53">
        <f t="shared" si="110"/>
        <v>0</v>
      </c>
      <c r="M216" s="53">
        <f t="shared" si="110"/>
        <v>0</v>
      </c>
      <c r="N216" s="53">
        <f t="shared" si="110"/>
        <v>0</v>
      </c>
      <c r="O216" s="53">
        <f t="shared" si="110"/>
        <v>0</v>
      </c>
      <c r="P216" s="53">
        <f t="shared" si="110"/>
        <v>0</v>
      </c>
      <c r="Q216" s="53">
        <f t="shared" si="110"/>
        <v>0</v>
      </c>
      <c r="R216" s="53">
        <f t="shared" si="110"/>
        <v>0</v>
      </c>
      <c r="S216" s="53">
        <f t="shared" si="110"/>
        <v>0</v>
      </c>
      <c r="T216" s="53">
        <f t="shared" si="110"/>
        <v>0</v>
      </c>
      <c r="U216" s="53">
        <f t="shared" si="110"/>
        <v>0</v>
      </c>
      <c r="V216" s="53">
        <f t="shared" si="110"/>
        <v>0</v>
      </c>
      <c r="W216" s="54">
        <f t="shared" si="110"/>
        <v>0</v>
      </c>
    </row>
    <row r="217" spans="1:23" ht="12.75" hidden="1" customHeight="1" outlineLevel="3" x14ac:dyDescent="0.2">
      <c r="A217" s="30"/>
      <c r="B217" s="31" t="str">
        <f>Labels!B382</f>
        <v>Practice 2</v>
      </c>
      <c r="C217" s="43" t="str">
        <f>Labels!B385</f>
        <v>Prof Level 1</v>
      </c>
      <c r="D217" s="43"/>
      <c r="E217" s="44"/>
      <c r="F217" s="53">
        <f>0</f>
        <v>0</v>
      </c>
      <c r="G217" s="53">
        <f t="shared" ref="G217:W217" si="111">F217</f>
        <v>0</v>
      </c>
      <c r="H217" s="53">
        <f t="shared" si="111"/>
        <v>0</v>
      </c>
      <c r="I217" s="53">
        <f t="shared" si="111"/>
        <v>0</v>
      </c>
      <c r="J217" s="53">
        <f t="shared" si="111"/>
        <v>0</v>
      </c>
      <c r="K217" s="53">
        <f t="shared" si="111"/>
        <v>0</v>
      </c>
      <c r="L217" s="53">
        <f t="shared" si="111"/>
        <v>0</v>
      </c>
      <c r="M217" s="53">
        <f t="shared" si="111"/>
        <v>0</v>
      </c>
      <c r="N217" s="53">
        <f t="shared" si="111"/>
        <v>0</v>
      </c>
      <c r="O217" s="53">
        <f t="shared" si="111"/>
        <v>0</v>
      </c>
      <c r="P217" s="53">
        <f t="shared" si="111"/>
        <v>0</v>
      </c>
      <c r="Q217" s="53">
        <f t="shared" si="111"/>
        <v>0</v>
      </c>
      <c r="R217" s="53">
        <f t="shared" si="111"/>
        <v>0</v>
      </c>
      <c r="S217" s="53">
        <f t="shared" si="111"/>
        <v>0</v>
      </c>
      <c r="T217" s="53">
        <f t="shared" si="111"/>
        <v>0</v>
      </c>
      <c r="U217" s="53">
        <f t="shared" si="111"/>
        <v>0</v>
      </c>
      <c r="V217" s="53">
        <f t="shared" si="111"/>
        <v>0</v>
      </c>
      <c r="W217" s="54">
        <f t="shared" si="111"/>
        <v>0</v>
      </c>
    </row>
    <row r="218" spans="1:23" ht="12.75" hidden="1" customHeight="1" outlineLevel="3" x14ac:dyDescent="0.2">
      <c r="A218" s="30"/>
      <c r="B218" s="31"/>
      <c r="C218" s="43" t="str">
        <f>Labels!B386</f>
        <v>Prof Level 2</v>
      </c>
      <c r="D218" s="43"/>
      <c r="E218" s="44"/>
      <c r="F218" s="53">
        <f>0</f>
        <v>0</v>
      </c>
      <c r="G218" s="53">
        <f t="shared" ref="G218:W218" si="112">F218</f>
        <v>0</v>
      </c>
      <c r="H218" s="53">
        <f t="shared" si="112"/>
        <v>0</v>
      </c>
      <c r="I218" s="53">
        <f t="shared" si="112"/>
        <v>0</v>
      </c>
      <c r="J218" s="53">
        <f t="shared" si="112"/>
        <v>0</v>
      </c>
      <c r="K218" s="53">
        <f t="shared" si="112"/>
        <v>0</v>
      </c>
      <c r="L218" s="53">
        <f t="shared" si="112"/>
        <v>0</v>
      </c>
      <c r="M218" s="53">
        <f t="shared" si="112"/>
        <v>0</v>
      </c>
      <c r="N218" s="53">
        <f t="shared" si="112"/>
        <v>0</v>
      </c>
      <c r="O218" s="53">
        <f t="shared" si="112"/>
        <v>0</v>
      </c>
      <c r="P218" s="53">
        <f t="shared" si="112"/>
        <v>0</v>
      </c>
      <c r="Q218" s="53">
        <f t="shared" si="112"/>
        <v>0</v>
      </c>
      <c r="R218" s="53">
        <f t="shared" si="112"/>
        <v>0</v>
      </c>
      <c r="S218" s="53">
        <f t="shared" si="112"/>
        <v>0</v>
      </c>
      <c r="T218" s="53">
        <f t="shared" si="112"/>
        <v>0</v>
      </c>
      <c r="U218" s="53">
        <f t="shared" si="112"/>
        <v>0</v>
      </c>
      <c r="V218" s="53">
        <f t="shared" si="112"/>
        <v>0</v>
      </c>
      <c r="W218" s="54">
        <f t="shared" si="112"/>
        <v>0</v>
      </c>
    </row>
    <row r="219" spans="1:23" ht="12.75" hidden="1" customHeight="1" outlineLevel="3" x14ac:dyDescent="0.2">
      <c r="A219" s="5"/>
      <c r="B219" s="6"/>
      <c r="C219" s="6"/>
      <c r="D219" s="6"/>
      <c r="E219" s="7"/>
      <c r="F219" s="6"/>
      <c r="G219" s="6"/>
      <c r="H219" s="6"/>
      <c r="I219" s="6"/>
      <c r="J219" s="6"/>
      <c r="K219" s="6"/>
      <c r="L219" s="6"/>
      <c r="M219" s="6"/>
      <c r="N219" s="6"/>
      <c r="O219" s="6"/>
      <c r="P219" s="6"/>
      <c r="Q219" s="6"/>
      <c r="R219" s="6"/>
      <c r="S219" s="6"/>
      <c r="T219" s="6"/>
      <c r="U219" s="6"/>
      <c r="V219" s="6"/>
      <c r="W219" s="7"/>
    </row>
    <row r="220" spans="1:23" ht="12.75" hidden="1" customHeight="1" outlineLevel="3" x14ac:dyDescent="0.2">
      <c r="A220" s="30" t="str">
        <f>Labels!B164</f>
        <v>Prof Staff Benefits %</v>
      </c>
      <c r="B220" s="31" t="str">
        <f>Labels!B385</f>
        <v>Prof Level 1</v>
      </c>
      <c r="C220" s="31"/>
      <c r="D220" s="31"/>
      <c r="E220" s="32"/>
      <c r="F220" s="85">
        <f>0.15</f>
        <v>0.15</v>
      </c>
      <c r="G220" s="85">
        <f t="shared" ref="G220:W220" si="113">F220</f>
        <v>0.15</v>
      </c>
      <c r="H220" s="85">
        <f t="shared" si="113"/>
        <v>0.15</v>
      </c>
      <c r="I220" s="85">
        <f t="shared" si="113"/>
        <v>0.15</v>
      </c>
      <c r="J220" s="85">
        <f t="shared" si="113"/>
        <v>0.15</v>
      </c>
      <c r="K220" s="85">
        <f t="shared" si="113"/>
        <v>0.15</v>
      </c>
      <c r="L220" s="85">
        <f t="shared" si="113"/>
        <v>0.15</v>
      </c>
      <c r="M220" s="85">
        <f t="shared" si="113"/>
        <v>0.15</v>
      </c>
      <c r="N220" s="85">
        <f t="shared" si="113"/>
        <v>0.15</v>
      </c>
      <c r="O220" s="85">
        <f t="shared" si="113"/>
        <v>0.15</v>
      </c>
      <c r="P220" s="85">
        <f t="shared" si="113"/>
        <v>0.15</v>
      </c>
      <c r="Q220" s="85">
        <f t="shared" si="113"/>
        <v>0.15</v>
      </c>
      <c r="R220" s="85">
        <f t="shared" si="113"/>
        <v>0.15</v>
      </c>
      <c r="S220" s="85">
        <f t="shared" si="113"/>
        <v>0.15</v>
      </c>
      <c r="T220" s="85">
        <f t="shared" si="113"/>
        <v>0.15</v>
      </c>
      <c r="U220" s="85">
        <f t="shared" si="113"/>
        <v>0.15</v>
      </c>
      <c r="V220" s="85">
        <f t="shared" si="113"/>
        <v>0.15</v>
      </c>
      <c r="W220" s="86">
        <f t="shared" si="113"/>
        <v>0.15</v>
      </c>
    </row>
    <row r="221" spans="1:23" ht="12.75" hidden="1" customHeight="1" outlineLevel="3" x14ac:dyDescent="0.2">
      <c r="A221" s="17"/>
      <c r="B221" s="35" t="str">
        <f>Labels!B386</f>
        <v>Prof Level 2</v>
      </c>
      <c r="C221" s="35"/>
      <c r="D221" s="35"/>
      <c r="E221" s="36"/>
      <c r="F221" s="87">
        <f>0.15</f>
        <v>0.15</v>
      </c>
      <c r="G221" s="87">
        <f t="shared" ref="G221:W221" si="114">F221</f>
        <v>0.15</v>
      </c>
      <c r="H221" s="87">
        <f t="shared" si="114"/>
        <v>0.15</v>
      </c>
      <c r="I221" s="87">
        <f t="shared" si="114"/>
        <v>0.15</v>
      </c>
      <c r="J221" s="87">
        <f t="shared" si="114"/>
        <v>0.15</v>
      </c>
      <c r="K221" s="87">
        <f t="shared" si="114"/>
        <v>0.15</v>
      </c>
      <c r="L221" s="87">
        <f t="shared" si="114"/>
        <v>0.15</v>
      </c>
      <c r="M221" s="87">
        <f t="shared" si="114"/>
        <v>0.15</v>
      </c>
      <c r="N221" s="87">
        <f t="shared" si="114"/>
        <v>0.15</v>
      </c>
      <c r="O221" s="87">
        <f t="shared" si="114"/>
        <v>0.15</v>
      </c>
      <c r="P221" s="87">
        <f t="shared" si="114"/>
        <v>0.15</v>
      </c>
      <c r="Q221" s="87">
        <f t="shared" si="114"/>
        <v>0.15</v>
      </c>
      <c r="R221" s="87">
        <f t="shared" si="114"/>
        <v>0.15</v>
      </c>
      <c r="S221" s="87">
        <f t="shared" si="114"/>
        <v>0.15</v>
      </c>
      <c r="T221" s="87">
        <f t="shared" si="114"/>
        <v>0.15</v>
      </c>
      <c r="U221" s="87">
        <f t="shared" si="114"/>
        <v>0.15</v>
      </c>
      <c r="V221" s="87">
        <f t="shared" si="114"/>
        <v>0.15</v>
      </c>
      <c r="W221" s="88">
        <f t="shared" si="114"/>
        <v>0.15</v>
      </c>
    </row>
    <row r="222" spans="1:23" ht="12.75" hidden="1" customHeight="1" outlineLevel="3" x14ac:dyDescent="0.2"/>
    <row r="223" spans="1:23" ht="12.75" hidden="1" customHeight="1" outlineLevel="3" collapsed="1" x14ac:dyDescent="0.2"/>
    <row r="224" spans="1:23" ht="12.75" hidden="1" customHeight="1" outlineLevel="2" collapsed="1" x14ac:dyDescent="0.2">
      <c r="A224" s="462" t="str">
        <f>"Support Staff Compensation"</f>
        <v>Support Staff Compensation</v>
      </c>
      <c r="B224" s="462"/>
      <c r="C224" s="462"/>
    </row>
    <row r="225" spans="1:23" ht="12.75" hidden="1" customHeight="1" outlineLevel="3" x14ac:dyDescent="0.2">
      <c r="F225" s="9" t="str">
        <f>Labels!B321</f>
        <v>Marketing</v>
      </c>
      <c r="G225" s="11" t="str">
        <f>Labels!B322</f>
        <v>Sales</v>
      </c>
    </row>
    <row r="226" spans="1:23" ht="12.75" hidden="1" customHeight="1" outlineLevel="3" x14ac:dyDescent="0.2">
      <c r="A226" s="12" t="str">
        <f>Labels!B262</f>
        <v>Initial Avg Support Staff Wage (Yr)</v>
      </c>
      <c r="B226" s="26" t="str">
        <f>Labels!B393</f>
        <v>Manager</v>
      </c>
      <c r="C226" s="26"/>
      <c r="D226" s="26"/>
      <c r="E226" s="27"/>
      <c r="F226" s="102">
        <f>80000</f>
        <v>80000</v>
      </c>
      <c r="G226" s="103">
        <f>80000</f>
        <v>80000</v>
      </c>
    </row>
    <row r="227" spans="1:23" ht="12.75" hidden="1" customHeight="1" outlineLevel="3" x14ac:dyDescent="0.2">
      <c r="A227" s="30"/>
      <c r="B227" s="31" t="str">
        <f>Labels!B394</f>
        <v>Contributor</v>
      </c>
      <c r="C227" s="31"/>
      <c r="D227" s="31"/>
      <c r="E227" s="32"/>
      <c r="F227" s="104">
        <f>80000</f>
        <v>80000</v>
      </c>
      <c r="G227" s="105">
        <f>80000</f>
        <v>80000</v>
      </c>
    </row>
    <row r="228" spans="1:23" ht="12.75" hidden="1" customHeight="1" outlineLevel="3" x14ac:dyDescent="0.2">
      <c r="A228" s="5"/>
      <c r="B228" s="6"/>
      <c r="C228" s="6"/>
      <c r="D228" s="6"/>
      <c r="E228" s="7"/>
      <c r="F228" s="6"/>
      <c r="G228" s="7"/>
    </row>
    <row r="229" spans="1:23" ht="12.75" hidden="1" customHeight="1" outlineLevel="3" x14ac:dyDescent="0.2">
      <c r="F229" s="9" t="str">
        <f>'(FnCalls 1)'!F41</f>
        <v>MMM 2010</v>
      </c>
      <c r="G229" s="10" t="str">
        <f>'(FnCalls 1)'!F42</f>
        <v>MMM 2010</v>
      </c>
      <c r="H229" s="10" t="str">
        <f>'(FnCalls 1)'!F43</f>
        <v>MMM 2010</v>
      </c>
      <c r="I229" s="10" t="str">
        <f>'(FnCalls 1)'!F44</f>
        <v>MMM 2010</v>
      </c>
      <c r="J229" s="10" t="str">
        <f>'(FnCalls 1)'!F45</f>
        <v>MMM 2010</v>
      </c>
      <c r="K229" s="10" t="str">
        <f>'(FnCalls 1)'!F46</f>
        <v>MMM 2010</v>
      </c>
      <c r="L229" s="10" t="str">
        <f>'(FnCalls 1)'!F47</f>
        <v>MMM 2010</v>
      </c>
      <c r="M229" s="10" t="str">
        <f>'(FnCalls 1)'!F48</f>
        <v>MMM 2010</v>
      </c>
      <c r="N229" s="10" t="str">
        <f>'(FnCalls 1)'!F49</f>
        <v>MMM 2010</v>
      </c>
      <c r="O229" s="10" t="str">
        <f>'(FnCalls 1)'!F50</f>
        <v>MMM 2010</v>
      </c>
      <c r="P229" s="10" t="str">
        <f>'(FnCalls 1)'!F51</f>
        <v>MMM 2010</v>
      </c>
      <c r="Q229" s="10" t="str">
        <f>'(FnCalls 1)'!F52</f>
        <v>MMM 2010</v>
      </c>
      <c r="R229" s="10" t="str">
        <f>'(FnCalls 1)'!F53</f>
        <v>MMM 2011</v>
      </c>
      <c r="S229" s="10" t="str">
        <f>'(FnCalls 1)'!F54</f>
        <v>MMM 2011</v>
      </c>
      <c r="T229" s="10" t="str">
        <f>'(FnCalls 1)'!F55</f>
        <v>MMM 2011</v>
      </c>
      <c r="U229" s="10" t="str">
        <f>'(FnCalls 1)'!F56</f>
        <v>MMM 2011</v>
      </c>
      <c r="V229" s="10" t="str">
        <f>'(FnCalls 1)'!F57</f>
        <v>MMM 2011</v>
      </c>
      <c r="W229" s="11" t="str">
        <f>'(FnCalls 1)'!F58</f>
        <v>MMM 2011</v>
      </c>
    </row>
    <row r="230" spans="1:23" ht="12.75" hidden="1" customHeight="1" outlineLevel="3" x14ac:dyDescent="0.2">
      <c r="A230" s="12" t="str">
        <f>Labels!B264</f>
        <v>Wage increase %</v>
      </c>
      <c r="B230" s="26" t="str">
        <f>Labels!B393</f>
        <v>Manager</v>
      </c>
      <c r="C230" s="26"/>
      <c r="D230" s="26"/>
      <c r="E230" s="27"/>
      <c r="F230" s="106">
        <f>0.03</f>
        <v>0.03</v>
      </c>
      <c r="G230" s="106">
        <f t="shared" ref="G230:W230" si="115">F230</f>
        <v>0.03</v>
      </c>
      <c r="H230" s="106">
        <f t="shared" si="115"/>
        <v>0.03</v>
      </c>
      <c r="I230" s="106">
        <f t="shared" si="115"/>
        <v>0.03</v>
      </c>
      <c r="J230" s="106">
        <f t="shared" si="115"/>
        <v>0.03</v>
      </c>
      <c r="K230" s="106">
        <f t="shared" si="115"/>
        <v>0.03</v>
      </c>
      <c r="L230" s="106">
        <f t="shared" si="115"/>
        <v>0.03</v>
      </c>
      <c r="M230" s="106">
        <f t="shared" si="115"/>
        <v>0.03</v>
      </c>
      <c r="N230" s="106">
        <f t="shared" si="115"/>
        <v>0.03</v>
      </c>
      <c r="O230" s="106">
        <f t="shared" si="115"/>
        <v>0.03</v>
      </c>
      <c r="P230" s="106">
        <f t="shared" si="115"/>
        <v>0.03</v>
      </c>
      <c r="Q230" s="106">
        <f t="shared" si="115"/>
        <v>0.03</v>
      </c>
      <c r="R230" s="106">
        <f t="shared" si="115"/>
        <v>0.03</v>
      </c>
      <c r="S230" s="106">
        <f t="shared" si="115"/>
        <v>0.03</v>
      </c>
      <c r="T230" s="106">
        <f t="shared" si="115"/>
        <v>0.03</v>
      </c>
      <c r="U230" s="106">
        <f t="shared" si="115"/>
        <v>0.03</v>
      </c>
      <c r="V230" s="106">
        <f t="shared" si="115"/>
        <v>0.03</v>
      </c>
      <c r="W230" s="107">
        <f t="shared" si="115"/>
        <v>0.03</v>
      </c>
    </row>
    <row r="231" spans="1:23" ht="12.75" hidden="1" customHeight="1" outlineLevel="3" x14ac:dyDescent="0.2">
      <c r="A231" s="30"/>
      <c r="B231" s="31" t="str">
        <f>Labels!B394</f>
        <v>Contributor</v>
      </c>
      <c r="C231" s="31"/>
      <c r="D231" s="31"/>
      <c r="E231" s="32"/>
      <c r="F231" s="85">
        <f>0.03</f>
        <v>0.03</v>
      </c>
      <c r="G231" s="85">
        <f t="shared" ref="G231:W231" si="116">F231</f>
        <v>0.03</v>
      </c>
      <c r="H231" s="85">
        <f t="shared" si="116"/>
        <v>0.03</v>
      </c>
      <c r="I231" s="85">
        <f t="shared" si="116"/>
        <v>0.03</v>
      </c>
      <c r="J231" s="85">
        <f t="shared" si="116"/>
        <v>0.03</v>
      </c>
      <c r="K231" s="85">
        <f t="shared" si="116"/>
        <v>0.03</v>
      </c>
      <c r="L231" s="85">
        <f t="shared" si="116"/>
        <v>0.03</v>
      </c>
      <c r="M231" s="85">
        <f t="shared" si="116"/>
        <v>0.03</v>
      </c>
      <c r="N231" s="85">
        <f t="shared" si="116"/>
        <v>0.03</v>
      </c>
      <c r="O231" s="85">
        <f t="shared" si="116"/>
        <v>0.03</v>
      </c>
      <c r="P231" s="85">
        <f t="shared" si="116"/>
        <v>0.03</v>
      </c>
      <c r="Q231" s="85">
        <f t="shared" si="116"/>
        <v>0.03</v>
      </c>
      <c r="R231" s="85">
        <f t="shared" si="116"/>
        <v>0.03</v>
      </c>
      <c r="S231" s="85">
        <f t="shared" si="116"/>
        <v>0.03</v>
      </c>
      <c r="T231" s="85">
        <f t="shared" si="116"/>
        <v>0.03</v>
      </c>
      <c r="U231" s="85">
        <f t="shared" si="116"/>
        <v>0.03</v>
      </c>
      <c r="V231" s="85">
        <f t="shared" si="116"/>
        <v>0.03</v>
      </c>
      <c r="W231" s="86">
        <f t="shared" si="116"/>
        <v>0.03</v>
      </c>
    </row>
    <row r="232" spans="1:23" ht="12.75" hidden="1" customHeight="1" outlineLevel="3" x14ac:dyDescent="0.2">
      <c r="A232" s="5"/>
      <c r="B232" s="6"/>
      <c r="C232" s="6"/>
      <c r="D232" s="6"/>
      <c r="E232" s="7"/>
      <c r="F232" s="6"/>
      <c r="G232" s="6"/>
      <c r="H232" s="6"/>
      <c r="I232" s="6"/>
      <c r="J232" s="6"/>
      <c r="K232" s="6"/>
      <c r="L232" s="6"/>
      <c r="M232" s="6"/>
      <c r="N232" s="6"/>
      <c r="O232" s="6"/>
      <c r="P232" s="6"/>
      <c r="Q232" s="6"/>
      <c r="R232" s="6"/>
      <c r="S232" s="6"/>
      <c r="T232" s="6"/>
      <c r="U232" s="6"/>
      <c r="V232" s="6"/>
      <c r="W232" s="7"/>
    </row>
    <row r="233" spans="1:23" ht="12.75" hidden="1" customHeight="1" outlineLevel="3" x14ac:dyDescent="0.2">
      <c r="A233" s="30" t="str">
        <f>Labels!B248</f>
        <v>Support Staff  Bonus %</v>
      </c>
      <c r="B233" s="31" t="str">
        <f>Labels!B321</f>
        <v>Marketing</v>
      </c>
      <c r="C233" s="43" t="str">
        <f>Labels!B393</f>
        <v>Manager</v>
      </c>
      <c r="D233" s="43"/>
      <c r="E233" s="44"/>
      <c r="F233" s="53">
        <f>0</f>
        <v>0</v>
      </c>
      <c r="G233" s="53">
        <f t="shared" ref="G233:W233" si="117">F233</f>
        <v>0</v>
      </c>
      <c r="H233" s="53">
        <f t="shared" si="117"/>
        <v>0</v>
      </c>
      <c r="I233" s="53">
        <f t="shared" si="117"/>
        <v>0</v>
      </c>
      <c r="J233" s="53">
        <f t="shared" si="117"/>
        <v>0</v>
      </c>
      <c r="K233" s="53">
        <f t="shared" si="117"/>
        <v>0</v>
      </c>
      <c r="L233" s="53">
        <f t="shared" si="117"/>
        <v>0</v>
      </c>
      <c r="M233" s="53">
        <f t="shared" si="117"/>
        <v>0</v>
      </c>
      <c r="N233" s="53">
        <f t="shared" si="117"/>
        <v>0</v>
      </c>
      <c r="O233" s="53">
        <f t="shared" si="117"/>
        <v>0</v>
      </c>
      <c r="P233" s="53">
        <f t="shared" si="117"/>
        <v>0</v>
      </c>
      <c r="Q233" s="53">
        <f t="shared" si="117"/>
        <v>0</v>
      </c>
      <c r="R233" s="53">
        <f t="shared" si="117"/>
        <v>0</v>
      </c>
      <c r="S233" s="53">
        <f t="shared" si="117"/>
        <v>0</v>
      </c>
      <c r="T233" s="53">
        <f t="shared" si="117"/>
        <v>0</v>
      </c>
      <c r="U233" s="53">
        <f t="shared" si="117"/>
        <v>0</v>
      </c>
      <c r="V233" s="53">
        <f t="shared" si="117"/>
        <v>0</v>
      </c>
      <c r="W233" s="54">
        <f t="shared" si="117"/>
        <v>0</v>
      </c>
    </row>
    <row r="234" spans="1:23" ht="12.75" hidden="1" customHeight="1" outlineLevel="3" x14ac:dyDescent="0.2">
      <c r="A234" s="30"/>
      <c r="B234" s="31"/>
      <c r="C234" s="43" t="str">
        <f>Labels!B394</f>
        <v>Contributor</v>
      </c>
      <c r="D234" s="43"/>
      <c r="E234" s="44"/>
      <c r="F234" s="53">
        <f>0</f>
        <v>0</v>
      </c>
      <c r="G234" s="53">
        <f t="shared" ref="G234:W234" si="118">F234</f>
        <v>0</v>
      </c>
      <c r="H234" s="53">
        <f t="shared" si="118"/>
        <v>0</v>
      </c>
      <c r="I234" s="53">
        <f t="shared" si="118"/>
        <v>0</v>
      </c>
      <c r="J234" s="53">
        <f t="shared" si="118"/>
        <v>0</v>
      </c>
      <c r="K234" s="53">
        <f t="shared" si="118"/>
        <v>0</v>
      </c>
      <c r="L234" s="53">
        <f t="shared" si="118"/>
        <v>0</v>
      </c>
      <c r="M234" s="53">
        <f t="shared" si="118"/>
        <v>0</v>
      </c>
      <c r="N234" s="53">
        <f t="shared" si="118"/>
        <v>0</v>
      </c>
      <c r="O234" s="53">
        <f t="shared" si="118"/>
        <v>0</v>
      </c>
      <c r="P234" s="53">
        <f t="shared" si="118"/>
        <v>0</v>
      </c>
      <c r="Q234" s="53">
        <f t="shared" si="118"/>
        <v>0</v>
      </c>
      <c r="R234" s="53">
        <f t="shared" si="118"/>
        <v>0</v>
      </c>
      <c r="S234" s="53">
        <f t="shared" si="118"/>
        <v>0</v>
      </c>
      <c r="T234" s="53">
        <f t="shared" si="118"/>
        <v>0</v>
      </c>
      <c r="U234" s="53">
        <f t="shared" si="118"/>
        <v>0</v>
      </c>
      <c r="V234" s="53">
        <f t="shared" si="118"/>
        <v>0</v>
      </c>
      <c r="W234" s="54">
        <f t="shared" si="118"/>
        <v>0</v>
      </c>
    </row>
    <row r="235" spans="1:23" ht="12.75" hidden="1" customHeight="1" outlineLevel="3" x14ac:dyDescent="0.2">
      <c r="A235" s="30"/>
      <c r="B235" s="31" t="str">
        <f>Labels!B322</f>
        <v>Sales</v>
      </c>
      <c r="C235" s="43" t="str">
        <f>Labels!B393</f>
        <v>Manager</v>
      </c>
      <c r="D235" s="43"/>
      <c r="E235" s="44"/>
      <c r="F235" s="53">
        <f>0</f>
        <v>0</v>
      </c>
      <c r="G235" s="53">
        <f t="shared" ref="G235:W235" si="119">F235</f>
        <v>0</v>
      </c>
      <c r="H235" s="53">
        <f t="shared" si="119"/>
        <v>0</v>
      </c>
      <c r="I235" s="53">
        <f t="shared" si="119"/>
        <v>0</v>
      </c>
      <c r="J235" s="53">
        <f t="shared" si="119"/>
        <v>0</v>
      </c>
      <c r="K235" s="53">
        <f t="shared" si="119"/>
        <v>0</v>
      </c>
      <c r="L235" s="53">
        <f t="shared" si="119"/>
        <v>0</v>
      </c>
      <c r="M235" s="53">
        <f t="shared" si="119"/>
        <v>0</v>
      </c>
      <c r="N235" s="53">
        <f t="shared" si="119"/>
        <v>0</v>
      </c>
      <c r="O235" s="53">
        <f t="shared" si="119"/>
        <v>0</v>
      </c>
      <c r="P235" s="53">
        <f t="shared" si="119"/>
        <v>0</v>
      </c>
      <c r="Q235" s="53">
        <f t="shared" si="119"/>
        <v>0</v>
      </c>
      <c r="R235" s="53">
        <f t="shared" si="119"/>
        <v>0</v>
      </c>
      <c r="S235" s="53">
        <f t="shared" si="119"/>
        <v>0</v>
      </c>
      <c r="T235" s="53">
        <f t="shared" si="119"/>
        <v>0</v>
      </c>
      <c r="U235" s="53">
        <f t="shared" si="119"/>
        <v>0</v>
      </c>
      <c r="V235" s="53">
        <f t="shared" si="119"/>
        <v>0</v>
      </c>
      <c r="W235" s="54">
        <f t="shared" si="119"/>
        <v>0</v>
      </c>
    </row>
    <row r="236" spans="1:23" ht="12.75" hidden="1" customHeight="1" outlineLevel="3" x14ac:dyDescent="0.2">
      <c r="A236" s="30"/>
      <c r="B236" s="31"/>
      <c r="C236" s="43" t="str">
        <f>Labels!B394</f>
        <v>Contributor</v>
      </c>
      <c r="D236" s="43"/>
      <c r="E236" s="44"/>
      <c r="F236" s="53">
        <f>0</f>
        <v>0</v>
      </c>
      <c r="G236" s="53">
        <f t="shared" ref="G236:W236" si="120">F236</f>
        <v>0</v>
      </c>
      <c r="H236" s="53">
        <f t="shared" si="120"/>
        <v>0</v>
      </c>
      <c r="I236" s="53">
        <f t="shared" si="120"/>
        <v>0</v>
      </c>
      <c r="J236" s="53">
        <f t="shared" si="120"/>
        <v>0</v>
      </c>
      <c r="K236" s="53">
        <f t="shared" si="120"/>
        <v>0</v>
      </c>
      <c r="L236" s="53">
        <f t="shared" si="120"/>
        <v>0</v>
      </c>
      <c r="M236" s="53">
        <f t="shared" si="120"/>
        <v>0</v>
      </c>
      <c r="N236" s="53">
        <f t="shared" si="120"/>
        <v>0</v>
      </c>
      <c r="O236" s="53">
        <f t="shared" si="120"/>
        <v>0</v>
      </c>
      <c r="P236" s="53">
        <f t="shared" si="120"/>
        <v>0</v>
      </c>
      <c r="Q236" s="53">
        <f t="shared" si="120"/>
        <v>0</v>
      </c>
      <c r="R236" s="53">
        <f t="shared" si="120"/>
        <v>0</v>
      </c>
      <c r="S236" s="53">
        <f t="shared" si="120"/>
        <v>0</v>
      </c>
      <c r="T236" s="53">
        <f t="shared" si="120"/>
        <v>0</v>
      </c>
      <c r="U236" s="53">
        <f t="shared" si="120"/>
        <v>0</v>
      </c>
      <c r="V236" s="53">
        <f t="shared" si="120"/>
        <v>0</v>
      </c>
      <c r="W236" s="54">
        <f t="shared" si="120"/>
        <v>0</v>
      </c>
    </row>
    <row r="237" spans="1:23" ht="12.75" hidden="1" customHeight="1" outlineLevel="3" x14ac:dyDescent="0.2">
      <c r="A237" s="5"/>
      <c r="B237" s="6"/>
      <c r="C237" s="6"/>
      <c r="D237" s="6"/>
      <c r="E237" s="7"/>
      <c r="F237" s="6"/>
      <c r="G237" s="6"/>
      <c r="H237" s="6"/>
      <c r="I237" s="6"/>
      <c r="J237" s="6"/>
      <c r="K237" s="6"/>
      <c r="L237" s="6"/>
      <c r="M237" s="6"/>
      <c r="N237" s="6"/>
      <c r="O237" s="6"/>
      <c r="P237" s="6"/>
      <c r="Q237" s="6"/>
      <c r="R237" s="6"/>
      <c r="S237" s="6"/>
      <c r="T237" s="6"/>
      <c r="U237" s="6"/>
      <c r="V237" s="6"/>
      <c r="W237" s="7"/>
    </row>
    <row r="238" spans="1:23" ht="12.75" hidden="1" customHeight="1" outlineLevel="3" x14ac:dyDescent="0.2">
      <c r="A238" s="17" t="str">
        <f>Labels!B246</f>
        <v>Support Staff Benefits %</v>
      </c>
      <c r="B238" s="18"/>
      <c r="C238" s="18"/>
      <c r="D238" s="18"/>
      <c r="E238" s="19"/>
      <c r="F238" s="108">
        <f>0.15</f>
        <v>0.15</v>
      </c>
      <c r="G238" s="108">
        <f t="shared" ref="G238:W238" si="121">F238</f>
        <v>0.15</v>
      </c>
      <c r="H238" s="108">
        <f t="shared" si="121"/>
        <v>0.15</v>
      </c>
      <c r="I238" s="108">
        <f t="shared" si="121"/>
        <v>0.15</v>
      </c>
      <c r="J238" s="108">
        <f t="shared" si="121"/>
        <v>0.15</v>
      </c>
      <c r="K238" s="108">
        <f t="shared" si="121"/>
        <v>0.15</v>
      </c>
      <c r="L238" s="108">
        <f t="shared" si="121"/>
        <v>0.15</v>
      </c>
      <c r="M238" s="108">
        <f t="shared" si="121"/>
        <v>0.15</v>
      </c>
      <c r="N238" s="108">
        <f t="shared" si="121"/>
        <v>0.15</v>
      </c>
      <c r="O238" s="108">
        <f t="shared" si="121"/>
        <v>0.15</v>
      </c>
      <c r="P238" s="108">
        <f t="shared" si="121"/>
        <v>0.15</v>
      </c>
      <c r="Q238" s="108">
        <f t="shared" si="121"/>
        <v>0.15</v>
      </c>
      <c r="R238" s="108">
        <f t="shared" si="121"/>
        <v>0.15</v>
      </c>
      <c r="S238" s="108">
        <f t="shared" si="121"/>
        <v>0.15</v>
      </c>
      <c r="T238" s="108">
        <f t="shared" si="121"/>
        <v>0.15</v>
      </c>
      <c r="U238" s="108">
        <f t="shared" si="121"/>
        <v>0.15</v>
      </c>
      <c r="V238" s="108">
        <f t="shared" si="121"/>
        <v>0.15</v>
      </c>
      <c r="W238" s="109">
        <f t="shared" si="121"/>
        <v>0.15</v>
      </c>
    </row>
    <row r="239" spans="1:23" ht="12.75" hidden="1" customHeight="1" outlineLevel="3" x14ac:dyDescent="0.2"/>
    <row r="240" spans="1:23" ht="12.75" hidden="1" customHeight="1" outlineLevel="3" collapsed="1" x14ac:dyDescent="0.2"/>
    <row r="241" spans="1:23" ht="12.75" hidden="1" customHeight="1" outlineLevel="2" collapsed="1" x14ac:dyDescent="0.2">
      <c r="A241" s="5" t="str">
        <f>Labels!B296</f>
        <v>Wage Increase Annual?</v>
      </c>
      <c r="B241" s="6"/>
      <c r="C241" s="6"/>
      <c r="D241" s="6"/>
      <c r="E241" s="7"/>
      <c r="F241" s="57" t="b">
        <f>TRUE</f>
        <v>1</v>
      </c>
    </row>
    <row r="242" spans="1:23" ht="12.75" hidden="1" customHeight="1" outlineLevel="2" x14ac:dyDescent="0.2"/>
    <row r="243" spans="1:23" ht="12.75" hidden="1" customHeight="1" outlineLevel="2" x14ac:dyDescent="0.2">
      <c r="F243" s="9" t="str">
        <f>'(FnCalls 1)'!F41</f>
        <v>MMM 2010</v>
      </c>
      <c r="G243" s="10" t="str">
        <f>'(FnCalls 1)'!F42</f>
        <v>MMM 2010</v>
      </c>
      <c r="H243" s="10" t="str">
        <f>'(FnCalls 1)'!F43</f>
        <v>MMM 2010</v>
      </c>
      <c r="I243" s="10" t="str">
        <f>'(FnCalls 1)'!F44</f>
        <v>MMM 2010</v>
      </c>
      <c r="J243" s="10" t="str">
        <f>'(FnCalls 1)'!F45</f>
        <v>MMM 2010</v>
      </c>
      <c r="K243" s="10" t="str">
        <f>'(FnCalls 1)'!F46</f>
        <v>MMM 2010</v>
      </c>
      <c r="L243" s="10" t="str">
        <f>'(FnCalls 1)'!F47</f>
        <v>MMM 2010</v>
      </c>
      <c r="M243" s="10" t="str">
        <f>'(FnCalls 1)'!F48</f>
        <v>MMM 2010</v>
      </c>
      <c r="N243" s="10" t="str">
        <f>'(FnCalls 1)'!F49</f>
        <v>MMM 2010</v>
      </c>
      <c r="O243" s="10" t="str">
        <f>'(FnCalls 1)'!F50</f>
        <v>MMM 2010</v>
      </c>
      <c r="P243" s="10" t="str">
        <f>'(FnCalls 1)'!F51</f>
        <v>MMM 2010</v>
      </c>
      <c r="Q243" s="10" t="str">
        <f>'(FnCalls 1)'!F52</f>
        <v>MMM 2010</v>
      </c>
      <c r="R243" s="10" t="str">
        <f>'(FnCalls 1)'!F53</f>
        <v>MMM 2011</v>
      </c>
      <c r="S243" s="10" t="str">
        <f>'(FnCalls 1)'!F54</f>
        <v>MMM 2011</v>
      </c>
      <c r="T243" s="10" t="str">
        <f>'(FnCalls 1)'!F55</f>
        <v>MMM 2011</v>
      </c>
      <c r="U243" s="10" t="str">
        <f>'(FnCalls 1)'!F56</f>
        <v>MMM 2011</v>
      </c>
      <c r="V243" s="10" t="str">
        <f>'(FnCalls 1)'!F57</f>
        <v>MMM 2011</v>
      </c>
      <c r="W243" s="11" t="str">
        <f>'(FnCalls 1)'!F58</f>
        <v>MMM 2011</v>
      </c>
    </row>
    <row r="244" spans="1:23" ht="12.75" hidden="1" customHeight="1" outlineLevel="2" x14ac:dyDescent="0.2">
      <c r="A244" s="5" t="str">
        <f>Labels!B297</f>
        <v>Wage Tax %</v>
      </c>
      <c r="B244" s="6"/>
      <c r="C244" s="6"/>
      <c r="D244" s="6"/>
      <c r="E244" s="7"/>
      <c r="F244" s="110">
        <f>0.1</f>
        <v>0.1</v>
      </c>
      <c r="G244" s="110">
        <f t="shared" ref="G244:W244" si="122">F244</f>
        <v>0.1</v>
      </c>
      <c r="H244" s="110">
        <f t="shared" si="122"/>
        <v>0.1</v>
      </c>
      <c r="I244" s="110">
        <f t="shared" si="122"/>
        <v>0.1</v>
      </c>
      <c r="J244" s="110">
        <f t="shared" si="122"/>
        <v>0.1</v>
      </c>
      <c r="K244" s="110">
        <f t="shared" si="122"/>
        <v>0.1</v>
      </c>
      <c r="L244" s="110">
        <f t="shared" si="122"/>
        <v>0.1</v>
      </c>
      <c r="M244" s="110">
        <f t="shared" si="122"/>
        <v>0.1</v>
      </c>
      <c r="N244" s="110">
        <f t="shared" si="122"/>
        <v>0.1</v>
      </c>
      <c r="O244" s="110">
        <f t="shared" si="122"/>
        <v>0.1</v>
      </c>
      <c r="P244" s="110">
        <f t="shared" si="122"/>
        <v>0.1</v>
      </c>
      <c r="Q244" s="110">
        <f t="shared" si="122"/>
        <v>0.1</v>
      </c>
      <c r="R244" s="110">
        <f t="shared" si="122"/>
        <v>0.1</v>
      </c>
      <c r="S244" s="110">
        <f t="shared" si="122"/>
        <v>0.1</v>
      </c>
      <c r="T244" s="110">
        <f t="shared" si="122"/>
        <v>0.1</v>
      </c>
      <c r="U244" s="110">
        <f t="shared" si="122"/>
        <v>0.1</v>
      </c>
      <c r="V244" s="110">
        <f t="shared" si="122"/>
        <v>0.1</v>
      </c>
      <c r="W244" s="111">
        <f t="shared" si="122"/>
        <v>0.1</v>
      </c>
    </row>
    <row r="245" spans="1:23" ht="12.75" hidden="1" customHeight="1" outlineLevel="2" x14ac:dyDescent="0.2"/>
    <row r="246" spans="1:23" ht="12.75" hidden="1" customHeight="1" outlineLevel="2" x14ac:dyDescent="0.2">
      <c r="A246" s="12" t="str">
        <f>Labels!B232</f>
        <v>Sales Commis Rate</v>
      </c>
      <c r="B246" s="13"/>
      <c r="C246" s="13"/>
      <c r="D246" s="13"/>
      <c r="E246" s="14"/>
      <c r="F246" s="112">
        <f>0</f>
        <v>0</v>
      </c>
      <c r="G246" s="112">
        <f t="shared" ref="G246:W246" si="123">F246</f>
        <v>0</v>
      </c>
      <c r="H246" s="112">
        <f t="shared" si="123"/>
        <v>0</v>
      </c>
      <c r="I246" s="112">
        <f t="shared" si="123"/>
        <v>0</v>
      </c>
      <c r="J246" s="112">
        <f t="shared" si="123"/>
        <v>0</v>
      </c>
      <c r="K246" s="112">
        <f t="shared" si="123"/>
        <v>0</v>
      </c>
      <c r="L246" s="112">
        <f t="shared" si="123"/>
        <v>0</v>
      </c>
      <c r="M246" s="112">
        <f t="shared" si="123"/>
        <v>0</v>
      </c>
      <c r="N246" s="112">
        <f t="shared" si="123"/>
        <v>0</v>
      </c>
      <c r="O246" s="112">
        <f t="shared" si="123"/>
        <v>0</v>
      </c>
      <c r="P246" s="112">
        <f t="shared" si="123"/>
        <v>0</v>
      </c>
      <c r="Q246" s="112">
        <f t="shared" si="123"/>
        <v>0</v>
      </c>
      <c r="R246" s="112">
        <f t="shared" si="123"/>
        <v>0</v>
      </c>
      <c r="S246" s="112">
        <f t="shared" si="123"/>
        <v>0</v>
      </c>
      <c r="T246" s="112">
        <f t="shared" si="123"/>
        <v>0</v>
      </c>
      <c r="U246" s="112">
        <f t="shared" si="123"/>
        <v>0</v>
      </c>
      <c r="V246" s="112">
        <f t="shared" si="123"/>
        <v>0</v>
      </c>
      <c r="W246" s="113">
        <f t="shared" si="123"/>
        <v>0</v>
      </c>
    </row>
    <row r="247" spans="1:23" ht="12.75" hidden="1" customHeight="1" outlineLevel="2" x14ac:dyDescent="0.2">
      <c r="A247" s="17" t="str">
        <f>Labels!B233</f>
        <v>Sales Commis Rev Share</v>
      </c>
      <c r="B247" s="18"/>
      <c r="C247" s="18"/>
      <c r="D247" s="18"/>
      <c r="E247" s="19"/>
      <c r="F247" s="108">
        <f>1</f>
        <v>1</v>
      </c>
      <c r="G247" s="108">
        <f t="shared" ref="G247:W247" si="124">F247</f>
        <v>1</v>
      </c>
      <c r="H247" s="108">
        <f t="shared" si="124"/>
        <v>1</v>
      </c>
      <c r="I247" s="108">
        <f t="shared" si="124"/>
        <v>1</v>
      </c>
      <c r="J247" s="108">
        <f t="shared" si="124"/>
        <v>1</v>
      </c>
      <c r="K247" s="108">
        <f t="shared" si="124"/>
        <v>1</v>
      </c>
      <c r="L247" s="108">
        <f t="shared" si="124"/>
        <v>1</v>
      </c>
      <c r="M247" s="108">
        <f t="shared" si="124"/>
        <v>1</v>
      </c>
      <c r="N247" s="108">
        <f t="shared" si="124"/>
        <v>1</v>
      </c>
      <c r="O247" s="108">
        <f t="shared" si="124"/>
        <v>1</v>
      </c>
      <c r="P247" s="108">
        <f t="shared" si="124"/>
        <v>1</v>
      </c>
      <c r="Q247" s="108">
        <f t="shared" si="124"/>
        <v>1</v>
      </c>
      <c r="R247" s="108">
        <f t="shared" si="124"/>
        <v>1</v>
      </c>
      <c r="S247" s="108">
        <f t="shared" si="124"/>
        <v>1</v>
      </c>
      <c r="T247" s="108">
        <f t="shared" si="124"/>
        <v>1</v>
      </c>
      <c r="U247" s="108">
        <f t="shared" si="124"/>
        <v>1</v>
      </c>
      <c r="V247" s="108">
        <f t="shared" si="124"/>
        <v>1</v>
      </c>
      <c r="W247" s="109">
        <f t="shared" si="124"/>
        <v>1</v>
      </c>
    </row>
    <row r="248" spans="1:23" ht="12.75" hidden="1" customHeight="1" outlineLevel="2" x14ac:dyDescent="0.2"/>
    <row r="249" spans="1:23" ht="12.75" hidden="1" customHeight="1" outlineLevel="2" collapsed="1" x14ac:dyDescent="0.2"/>
    <row r="250" spans="1:23" ht="12.75" hidden="1" customHeight="1" outlineLevel="1" collapsed="1" x14ac:dyDescent="0.2"/>
    <row r="251" spans="1:23" ht="12.75" customHeight="1" collapsed="1" x14ac:dyDescent="0.2"/>
    <row r="252" spans="1:23" ht="12.75" customHeight="1" collapsed="1" x14ac:dyDescent="0.2">
      <c r="A252" s="2" t="str">
        <f>"Recruiting Expense"</f>
        <v>Recruiting Expense</v>
      </c>
    </row>
    <row r="253" spans="1:23" ht="12.75" hidden="1" customHeight="1" outlineLevel="1" x14ac:dyDescent="0.2">
      <c r="A253" s="2" t="str">
        <f>""</f>
        <v/>
      </c>
    </row>
    <row r="254" spans="1:23" ht="12.75" hidden="1" customHeight="1" outlineLevel="1" x14ac:dyDescent="0.2">
      <c r="A254" s="3" t="str">
        <f>"Professional Staff"</f>
        <v>Professional Staff</v>
      </c>
    </row>
    <row r="255" spans="1:23" ht="12.75" hidden="1" customHeight="1" outlineLevel="1" x14ac:dyDescent="0.2">
      <c r="A255" s="3" t="str">
        <f>""</f>
        <v/>
      </c>
    </row>
    <row r="256" spans="1:23" ht="12.75" hidden="1" customHeight="1" outlineLevel="1" x14ac:dyDescent="0.2">
      <c r="F256" s="9" t="str">
        <f>Labels!B208</f>
        <v>Turnover % (Yr)</v>
      </c>
      <c r="G256" s="10" t="str">
        <f>Labels!B218</f>
        <v>Initial Recruit %</v>
      </c>
      <c r="H256" s="10" t="str">
        <f>Labels!B220</f>
        <v>Recruit % Positions</v>
      </c>
      <c r="I256" s="11" t="str">
        <f>Labels!B213</f>
        <v>Expense % Comp</v>
      </c>
    </row>
    <row r="257" spans="1:9" ht="12.75" hidden="1" customHeight="1" outlineLevel="1" x14ac:dyDescent="0.2">
      <c r="A257" s="12" t="str">
        <f>Labels!B381</f>
        <v>Practice 1</v>
      </c>
      <c r="B257" s="26" t="str">
        <f>Labels!B385</f>
        <v>Prof Level 1</v>
      </c>
      <c r="C257" s="26"/>
      <c r="D257" s="26"/>
      <c r="E257" s="27"/>
      <c r="F257" s="28">
        <f>0.1</f>
        <v>0.1</v>
      </c>
      <c r="G257" s="28">
        <f>0.15</f>
        <v>0.15</v>
      </c>
      <c r="H257" s="28">
        <f>0</f>
        <v>0</v>
      </c>
      <c r="I257" s="114">
        <f>0</f>
        <v>0</v>
      </c>
    </row>
    <row r="258" spans="1:9" ht="12.75" hidden="1" customHeight="1" outlineLevel="1" x14ac:dyDescent="0.2">
      <c r="A258" s="30"/>
      <c r="B258" s="31" t="str">
        <f>Labels!B386</f>
        <v>Prof Level 2</v>
      </c>
      <c r="C258" s="31"/>
      <c r="D258" s="31"/>
      <c r="E258" s="32"/>
      <c r="F258" s="33">
        <f>0.1</f>
        <v>0.1</v>
      </c>
      <c r="G258" s="33">
        <f>0.15</f>
        <v>0.15</v>
      </c>
      <c r="H258" s="33">
        <f>0</f>
        <v>0</v>
      </c>
      <c r="I258" s="115">
        <f>0</f>
        <v>0</v>
      </c>
    </row>
    <row r="259" spans="1:9" ht="12.75" hidden="1" customHeight="1" outlineLevel="1" x14ac:dyDescent="0.2">
      <c r="A259" s="30" t="str">
        <f>Labels!B382</f>
        <v>Practice 2</v>
      </c>
      <c r="B259" s="31" t="str">
        <f>Labels!B385</f>
        <v>Prof Level 1</v>
      </c>
      <c r="C259" s="31"/>
      <c r="D259" s="31"/>
      <c r="E259" s="32"/>
      <c r="F259" s="33">
        <f>0.1</f>
        <v>0.1</v>
      </c>
      <c r="G259" s="33">
        <f>0.15</f>
        <v>0.15</v>
      </c>
      <c r="H259" s="33">
        <f>H257</f>
        <v>0</v>
      </c>
      <c r="I259" s="115">
        <f>I257</f>
        <v>0</v>
      </c>
    </row>
    <row r="260" spans="1:9" ht="12.75" hidden="1" customHeight="1" outlineLevel="1" x14ac:dyDescent="0.2">
      <c r="A260" s="17"/>
      <c r="B260" s="35" t="str">
        <f>Labels!B386</f>
        <v>Prof Level 2</v>
      </c>
      <c r="C260" s="35"/>
      <c r="D260" s="35"/>
      <c r="E260" s="36"/>
      <c r="F260" s="37">
        <f>0.1</f>
        <v>0.1</v>
      </c>
      <c r="G260" s="37">
        <f>0.15</f>
        <v>0.15</v>
      </c>
      <c r="H260" s="37">
        <f>H258</f>
        <v>0</v>
      </c>
      <c r="I260" s="116">
        <f>I258</f>
        <v>0</v>
      </c>
    </row>
    <row r="261" spans="1:9" ht="12.75" hidden="1" customHeight="1" outlineLevel="1" x14ac:dyDescent="0.2"/>
    <row r="262" spans="1:9" ht="12.75" hidden="1" customHeight="1" outlineLevel="1" x14ac:dyDescent="0.2">
      <c r="A262" s="3" t="str">
        <f>"Support Staff"</f>
        <v>Support Staff</v>
      </c>
    </row>
    <row r="263" spans="1:9" ht="12.75" hidden="1" customHeight="1" outlineLevel="1" x14ac:dyDescent="0.2">
      <c r="A263" s="3" t="str">
        <f>""</f>
        <v/>
      </c>
    </row>
    <row r="264" spans="1:9" ht="12.75" hidden="1" customHeight="1" outlineLevel="1" x14ac:dyDescent="0.2">
      <c r="F264" s="9" t="str">
        <f>Labels!B260</f>
        <v>Turnover % (Yr)</v>
      </c>
      <c r="G264" s="10" t="str">
        <f>Labels!B219</f>
        <v>Initial Recruit %</v>
      </c>
      <c r="H264" s="10" t="str">
        <f>Labels!B221</f>
        <v>Recruit % Positions</v>
      </c>
      <c r="I264" s="11" t="str">
        <f>Labels!B214</f>
        <v>Expense % Comp</v>
      </c>
    </row>
    <row r="265" spans="1:9" ht="12.75" hidden="1" customHeight="1" outlineLevel="1" x14ac:dyDescent="0.2">
      <c r="A265" s="12" t="str">
        <f>Labels!B321</f>
        <v>Marketing</v>
      </c>
      <c r="B265" s="26" t="str">
        <f>Labels!B393</f>
        <v>Manager</v>
      </c>
      <c r="C265" s="26"/>
      <c r="D265" s="26"/>
      <c r="E265" s="27"/>
      <c r="F265" s="28">
        <f>0</f>
        <v>0</v>
      </c>
      <c r="G265" s="28">
        <f>0.15</f>
        <v>0.15</v>
      </c>
      <c r="H265" s="28">
        <f>0</f>
        <v>0</v>
      </c>
      <c r="I265" s="114">
        <f>0</f>
        <v>0</v>
      </c>
    </row>
    <row r="266" spans="1:9" ht="12.75" hidden="1" customHeight="1" outlineLevel="1" x14ac:dyDescent="0.2">
      <c r="A266" s="30"/>
      <c r="B266" s="31" t="str">
        <f>Labels!B394</f>
        <v>Contributor</v>
      </c>
      <c r="C266" s="31"/>
      <c r="D266" s="31"/>
      <c r="E266" s="32"/>
      <c r="F266" s="33">
        <f>F265</f>
        <v>0</v>
      </c>
      <c r="G266" s="33">
        <f>0.15</f>
        <v>0.15</v>
      </c>
      <c r="H266" s="33">
        <f>0</f>
        <v>0</v>
      </c>
      <c r="I266" s="115">
        <f>0</f>
        <v>0</v>
      </c>
    </row>
    <row r="267" spans="1:9" ht="12.75" hidden="1" customHeight="1" outlineLevel="1" x14ac:dyDescent="0.2">
      <c r="A267" s="30" t="str">
        <f>Labels!B322</f>
        <v>Sales</v>
      </c>
      <c r="B267" s="31" t="str">
        <f>Labels!B393</f>
        <v>Manager</v>
      </c>
      <c r="C267" s="31"/>
      <c r="D267" s="31"/>
      <c r="E267" s="32"/>
      <c r="F267" s="33">
        <f>0</f>
        <v>0</v>
      </c>
      <c r="G267" s="33">
        <f>0.15</f>
        <v>0.15</v>
      </c>
      <c r="H267" s="33">
        <f>H265</f>
        <v>0</v>
      </c>
      <c r="I267" s="115">
        <f>I265</f>
        <v>0</v>
      </c>
    </row>
    <row r="268" spans="1:9" ht="12.75" hidden="1" customHeight="1" outlineLevel="1" x14ac:dyDescent="0.2">
      <c r="A268" s="17"/>
      <c r="B268" s="35" t="str">
        <f>Labels!B394</f>
        <v>Contributor</v>
      </c>
      <c r="C268" s="35"/>
      <c r="D268" s="35"/>
      <c r="E268" s="36"/>
      <c r="F268" s="37">
        <f>F267</f>
        <v>0</v>
      </c>
      <c r="G268" s="37">
        <f>0.15</f>
        <v>0.15</v>
      </c>
      <c r="H268" s="37">
        <f>H266</f>
        <v>0</v>
      </c>
      <c r="I268" s="116">
        <f>I266</f>
        <v>0</v>
      </c>
    </row>
    <row r="269" spans="1:9" ht="12.75" hidden="1" customHeight="1" outlineLevel="1" x14ac:dyDescent="0.2"/>
    <row r="270" spans="1:9" ht="12.75" hidden="1" customHeight="1" outlineLevel="1" collapsed="1" x14ac:dyDescent="0.2"/>
    <row r="271" spans="1:9" ht="12.75" customHeight="1" collapsed="1" x14ac:dyDescent="0.2"/>
    <row r="272" spans="1:9" ht="12.75" customHeight="1" collapsed="1" x14ac:dyDescent="0.2">
      <c r="A272" s="464" t="str">
        <f>"Other Operating Expense Input Data"</f>
        <v>Other Operating Expense Input Data</v>
      </c>
      <c r="B272" s="464"/>
      <c r="C272" s="464"/>
    </row>
    <row r="273" spans="1:30" ht="12.75" hidden="1" customHeight="1" outlineLevel="1" x14ac:dyDescent="0.2">
      <c r="A273" s="1" t="str">
        <f>""</f>
        <v/>
      </c>
    </row>
    <row r="274" spans="1:30" ht="12.75" hidden="1" customHeight="1" outlineLevel="1" x14ac:dyDescent="0.2">
      <c r="A274" s="465" t="str">
        <f>"Marketing Program Expenses"</f>
        <v>Marketing Program Expenses</v>
      </c>
      <c r="B274" s="465"/>
      <c r="C274" s="465"/>
    </row>
    <row r="275" spans="1:30" ht="12.75" hidden="1" customHeight="1" outlineLevel="2" x14ac:dyDescent="0.2">
      <c r="F275" s="9" t="str">
        <f>'(FnCalls 1)'!F41</f>
        <v>MMM 2010</v>
      </c>
      <c r="G275" s="10" t="str">
        <f>'(FnCalls 1)'!F42</f>
        <v>MMM 2010</v>
      </c>
      <c r="H275" s="10" t="str">
        <f>'(FnCalls 1)'!F43</f>
        <v>MMM 2010</v>
      </c>
      <c r="I275" s="10" t="str">
        <f>'(FnCalls 1)'!F44</f>
        <v>MMM 2010</v>
      </c>
      <c r="J275" s="10" t="str">
        <f>'(FnCalls 1)'!F45</f>
        <v>MMM 2010</v>
      </c>
      <c r="K275" s="10" t="str">
        <f>'(FnCalls 1)'!F46</f>
        <v>MMM 2010</v>
      </c>
      <c r="L275" s="10" t="str">
        <f>'(FnCalls 1)'!F47</f>
        <v>MMM 2010</v>
      </c>
      <c r="M275" s="10" t="str">
        <f>'(FnCalls 1)'!F48</f>
        <v>MMM 2010</v>
      </c>
      <c r="N275" s="10" t="str">
        <f>'(FnCalls 1)'!F49</f>
        <v>MMM 2010</v>
      </c>
      <c r="O275" s="10" t="str">
        <f>'(FnCalls 1)'!F50</f>
        <v>MMM 2010</v>
      </c>
      <c r="P275" s="10" t="str">
        <f>'(FnCalls 1)'!F51</f>
        <v>MMM 2010</v>
      </c>
      <c r="Q275" s="10" t="str">
        <f>'(FnCalls 1)'!F52</f>
        <v>MMM 2010</v>
      </c>
      <c r="R275" s="10" t="str">
        <f>'(FnCalls 1)'!F53</f>
        <v>MMM 2011</v>
      </c>
      <c r="S275" s="10" t="str">
        <f>'(FnCalls 1)'!F54</f>
        <v>MMM 2011</v>
      </c>
      <c r="T275" s="10" t="str">
        <f>'(FnCalls 1)'!F55</f>
        <v>MMM 2011</v>
      </c>
      <c r="U275" s="10" t="str">
        <f>'(FnCalls 1)'!F56</f>
        <v>MMM 2011</v>
      </c>
      <c r="V275" s="10" t="str">
        <f>'(FnCalls 1)'!F57</f>
        <v>MMM 2011</v>
      </c>
      <c r="W275" s="11" t="str">
        <f>'(FnCalls 1)'!F58</f>
        <v>MMM 2011</v>
      </c>
      <c r="AB275" s="9" t="str">
        <f>Labels!B356</f>
        <v>K0</v>
      </c>
      <c r="AC275" s="10" t="str">
        <f>Labels!B357</f>
        <v>K1</v>
      </c>
      <c r="AD275" s="11" t="str">
        <f>Labels!B358</f>
        <v>K2</v>
      </c>
    </row>
    <row r="276" spans="1:30" ht="12.75" hidden="1" customHeight="1" outlineLevel="2" x14ac:dyDescent="0.2">
      <c r="A276" s="12" t="str">
        <f>Labels!B125</f>
        <v>Mktg Pgms Exp Early</v>
      </c>
      <c r="B276" s="26" t="str">
        <f>Labels!B369</f>
        <v>Seminars</v>
      </c>
      <c r="C276" s="39" t="str">
        <f>Labels!B381</f>
        <v>Practice 1</v>
      </c>
      <c r="D276" s="39"/>
      <c r="E276" s="40"/>
      <c r="F276" s="89">
        <f>0</f>
        <v>0</v>
      </c>
      <c r="G276" s="89">
        <f t="shared" ref="G276:W276" si="125">F276</f>
        <v>0</v>
      </c>
      <c r="H276" s="89">
        <f t="shared" si="125"/>
        <v>0</v>
      </c>
      <c r="I276" s="89">
        <f t="shared" si="125"/>
        <v>0</v>
      </c>
      <c r="J276" s="89">
        <f t="shared" si="125"/>
        <v>0</v>
      </c>
      <c r="K276" s="89">
        <f t="shared" si="125"/>
        <v>0</v>
      </c>
      <c r="L276" s="89">
        <f t="shared" si="125"/>
        <v>0</v>
      </c>
      <c r="M276" s="89">
        <f t="shared" si="125"/>
        <v>0</v>
      </c>
      <c r="N276" s="89">
        <f t="shared" si="125"/>
        <v>0</v>
      </c>
      <c r="O276" s="89">
        <f t="shared" si="125"/>
        <v>0</v>
      </c>
      <c r="P276" s="89">
        <f t="shared" si="125"/>
        <v>0</v>
      </c>
      <c r="Q276" s="89">
        <f t="shared" si="125"/>
        <v>0</v>
      </c>
      <c r="R276" s="89">
        <f t="shared" si="125"/>
        <v>0</v>
      </c>
      <c r="S276" s="89">
        <f t="shared" si="125"/>
        <v>0</v>
      </c>
      <c r="T276" s="89">
        <f t="shared" si="125"/>
        <v>0</v>
      </c>
      <c r="U276" s="89">
        <f t="shared" si="125"/>
        <v>0</v>
      </c>
      <c r="V276" s="89">
        <f t="shared" si="125"/>
        <v>0</v>
      </c>
      <c r="W276" s="90">
        <f t="shared" si="125"/>
        <v>0</v>
      </c>
      <c r="Y276" s="12" t="str">
        <f>Labels!B126</f>
        <v>Mktg Prog K</v>
      </c>
      <c r="Z276" s="26" t="str">
        <f>Labels!B369</f>
        <v>Seminars</v>
      </c>
      <c r="AA276" s="40" t="str">
        <f>Labels!B381</f>
        <v>Practice 1</v>
      </c>
      <c r="AB276" s="98">
        <f>0</f>
        <v>0</v>
      </c>
      <c r="AC276" s="98">
        <f>0</f>
        <v>0</v>
      </c>
      <c r="AD276" s="99">
        <f>1</f>
        <v>1</v>
      </c>
    </row>
    <row r="277" spans="1:30" ht="12.75" hidden="1" customHeight="1" outlineLevel="2" x14ac:dyDescent="0.2">
      <c r="A277" s="30"/>
      <c r="B277" s="31"/>
      <c r="C277" s="43" t="str">
        <f>Labels!B382</f>
        <v>Practice 2</v>
      </c>
      <c r="D277" s="43"/>
      <c r="E277" s="44"/>
      <c r="F277" s="91">
        <f>0</f>
        <v>0</v>
      </c>
      <c r="G277" s="91">
        <f t="shared" ref="G277:W277" si="126">F277</f>
        <v>0</v>
      </c>
      <c r="H277" s="91">
        <f t="shared" si="126"/>
        <v>0</v>
      </c>
      <c r="I277" s="91">
        <f t="shared" si="126"/>
        <v>0</v>
      </c>
      <c r="J277" s="91">
        <f t="shared" si="126"/>
        <v>0</v>
      </c>
      <c r="K277" s="91">
        <f t="shared" si="126"/>
        <v>0</v>
      </c>
      <c r="L277" s="91">
        <f t="shared" si="126"/>
        <v>0</v>
      </c>
      <c r="M277" s="91">
        <f t="shared" si="126"/>
        <v>0</v>
      </c>
      <c r="N277" s="91">
        <f t="shared" si="126"/>
        <v>0</v>
      </c>
      <c r="O277" s="91">
        <f t="shared" si="126"/>
        <v>0</v>
      </c>
      <c r="P277" s="91">
        <f t="shared" si="126"/>
        <v>0</v>
      </c>
      <c r="Q277" s="91">
        <f t="shared" si="126"/>
        <v>0</v>
      </c>
      <c r="R277" s="91">
        <f t="shared" si="126"/>
        <v>0</v>
      </c>
      <c r="S277" s="91">
        <f t="shared" si="126"/>
        <v>0</v>
      </c>
      <c r="T277" s="91">
        <f t="shared" si="126"/>
        <v>0</v>
      </c>
      <c r="U277" s="91">
        <f t="shared" si="126"/>
        <v>0</v>
      </c>
      <c r="V277" s="91">
        <f t="shared" si="126"/>
        <v>0</v>
      </c>
      <c r="W277" s="92">
        <f t="shared" si="126"/>
        <v>0</v>
      </c>
      <c r="Y277" s="30"/>
      <c r="Z277" s="31"/>
      <c r="AA277" s="44" t="str">
        <f>Labels!B382</f>
        <v>Practice 2</v>
      </c>
      <c r="AB277" s="100">
        <f>0</f>
        <v>0</v>
      </c>
      <c r="AC277" s="100">
        <f>0</f>
        <v>0</v>
      </c>
      <c r="AD277" s="101">
        <f>1</f>
        <v>1</v>
      </c>
    </row>
    <row r="278" spans="1:30" ht="12.75" hidden="1" customHeight="1" outlineLevel="2" x14ac:dyDescent="0.2">
      <c r="A278" s="30"/>
      <c r="B278" s="31" t="str">
        <f>Labels!B370</f>
        <v>Publications</v>
      </c>
      <c r="C278" s="43" t="str">
        <f>Labels!B381</f>
        <v>Practice 1</v>
      </c>
      <c r="D278" s="43"/>
      <c r="E278" s="44"/>
      <c r="F278" s="91">
        <f>0</f>
        <v>0</v>
      </c>
      <c r="G278" s="91">
        <f t="shared" ref="G278:W278" si="127">F278</f>
        <v>0</v>
      </c>
      <c r="H278" s="91">
        <f t="shared" si="127"/>
        <v>0</v>
      </c>
      <c r="I278" s="91">
        <f t="shared" si="127"/>
        <v>0</v>
      </c>
      <c r="J278" s="91">
        <f t="shared" si="127"/>
        <v>0</v>
      </c>
      <c r="K278" s="91">
        <f t="shared" si="127"/>
        <v>0</v>
      </c>
      <c r="L278" s="91">
        <f t="shared" si="127"/>
        <v>0</v>
      </c>
      <c r="M278" s="91">
        <f t="shared" si="127"/>
        <v>0</v>
      </c>
      <c r="N278" s="91">
        <f t="shared" si="127"/>
        <v>0</v>
      </c>
      <c r="O278" s="91">
        <f t="shared" si="127"/>
        <v>0</v>
      </c>
      <c r="P278" s="91">
        <f t="shared" si="127"/>
        <v>0</v>
      </c>
      <c r="Q278" s="91">
        <f t="shared" si="127"/>
        <v>0</v>
      </c>
      <c r="R278" s="91">
        <f t="shared" si="127"/>
        <v>0</v>
      </c>
      <c r="S278" s="91">
        <f t="shared" si="127"/>
        <v>0</v>
      </c>
      <c r="T278" s="91">
        <f t="shared" si="127"/>
        <v>0</v>
      </c>
      <c r="U278" s="91">
        <f t="shared" si="127"/>
        <v>0</v>
      </c>
      <c r="V278" s="91">
        <f t="shared" si="127"/>
        <v>0</v>
      </c>
      <c r="W278" s="92">
        <f t="shared" si="127"/>
        <v>0</v>
      </c>
      <c r="Y278" s="30"/>
      <c r="Z278" s="31" t="str">
        <f>Labels!B370</f>
        <v>Publications</v>
      </c>
      <c r="AA278" s="44" t="str">
        <f>Labels!B381</f>
        <v>Practice 1</v>
      </c>
      <c r="AB278" s="100">
        <f>0</f>
        <v>0</v>
      </c>
      <c r="AC278" s="100">
        <f>0</f>
        <v>0</v>
      </c>
      <c r="AD278" s="101">
        <f>1</f>
        <v>1</v>
      </c>
    </row>
    <row r="279" spans="1:30" ht="12.75" hidden="1" customHeight="1" outlineLevel="2" x14ac:dyDescent="0.2">
      <c r="A279" s="17"/>
      <c r="B279" s="35"/>
      <c r="C279" s="47" t="str">
        <f>Labels!B382</f>
        <v>Practice 2</v>
      </c>
      <c r="D279" s="47"/>
      <c r="E279" s="48"/>
      <c r="F279" s="117">
        <f>0</f>
        <v>0</v>
      </c>
      <c r="G279" s="117">
        <f t="shared" ref="G279:W279" si="128">F279</f>
        <v>0</v>
      </c>
      <c r="H279" s="117">
        <f t="shared" si="128"/>
        <v>0</v>
      </c>
      <c r="I279" s="117">
        <f t="shared" si="128"/>
        <v>0</v>
      </c>
      <c r="J279" s="117">
        <f t="shared" si="128"/>
        <v>0</v>
      </c>
      <c r="K279" s="117">
        <f t="shared" si="128"/>
        <v>0</v>
      </c>
      <c r="L279" s="117">
        <f t="shared" si="128"/>
        <v>0</v>
      </c>
      <c r="M279" s="117">
        <f t="shared" si="128"/>
        <v>0</v>
      </c>
      <c r="N279" s="117">
        <f t="shared" si="128"/>
        <v>0</v>
      </c>
      <c r="O279" s="117">
        <f t="shared" si="128"/>
        <v>0</v>
      </c>
      <c r="P279" s="117">
        <f t="shared" si="128"/>
        <v>0</v>
      </c>
      <c r="Q279" s="117">
        <f t="shared" si="128"/>
        <v>0</v>
      </c>
      <c r="R279" s="117">
        <f t="shared" si="128"/>
        <v>0</v>
      </c>
      <c r="S279" s="117">
        <f t="shared" si="128"/>
        <v>0</v>
      </c>
      <c r="T279" s="117">
        <f t="shared" si="128"/>
        <v>0</v>
      </c>
      <c r="U279" s="117">
        <f t="shared" si="128"/>
        <v>0</v>
      </c>
      <c r="V279" s="117">
        <f t="shared" si="128"/>
        <v>0</v>
      </c>
      <c r="W279" s="118">
        <f t="shared" si="128"/>
        <v>0</v>
      </c>
      <c r="Y279" s="30"/>
      <c r="Z279" s="31"/>
      <c r="AA279" s="44" t="str">
        <f>Labels!B382</f>
        <v>Practice 2</v>
      </c>
      <c r="AB279" s="100">
        <f>0</f>
        <v>0</v>
      </c>
      <c r="AC279" s="100">
        <f>0</f>
        <v>0</v>
      </c>
      <c r="AD279" s="101">
        <f>1</f>
        <v>1</v>
      </c>
    </row>
    <row r="280" spans="1:30" ht="12.75" hidden="1" customHeight="1" outlineLevel="2" x14ac:dyDescent="0.2">
      <c r="A280" s="462" t="str">
        <f>"The model uses Mktg Pgms Exp Early for first "&amp;AB281&amp;" time periods, then transitions to revenue-based formula with scale economies."</f>
        <v>The model uses Mktg Pgms Exp Early for first 6 time periods, then transitions to revenue-based formula with scale economies.</v>
      </c>
      <c r="B280" s="462"/>
      <c r="C280" s="462"/>
      <c r="D280" s="462"/>
      <c r="E280" s="462"/>
      <c r="F280" s="462"/>
      <c r="G280" s="462"/>
      <c r="H280" s="462"/>
      <c r="Y280" s="5"/>
      <c r="Z280" s="6"/>
      <c r="AA280" s="7"/>
      <c r="AB280" s="6"/>
      <c r="AC280" s="6"/>
      <c r="AD280" s="7"/>
    </row>
    <row r="281" spans="1:30" ht="12.75" hidden="1" customHeight="1" outlineLevel="2" x14ac:dyDescent="0.2">
      <c r="Y281" s="5" t="str">
        <f>Labels!B123</f>
        <v>Mktg Pgms Early Cutover</v>
      </c>
      <c r="Z281" s="6"/>
      <c r="AA281" s="7"/>
      <c r="AB281" s="8">
        <f>ROUND(12/2,0)</f>
        <v>6</v>
      </c>
    </row>
    <row r="282" spans="1:30" ht="12.75" hidden="1" customHeight="1" outlineLevel="2" collapsed="1" x14ac:dyDescent="0.2"/>
    <row r="283" spans="1:30" ht="12.75" hidden="1" customHeight="1" outlineLevel="1" collapsed="1" x14ac:dyDescent="0.2">
      <c r="A283" s="465" t="str">
        <f>"Practice Development Spending"</f>
        <v>Practice Development Spending</v>
      </c>
      <c r="B283" s="465"/>
      <c r="C283" s="465"/>
    </row>
    <row r="284" spans="1:30" ht="12.75" hidden="1" customHeight="1" outlineLevel="2" x14ac:dyDescent="0.2">
      <c r="A284" s="465" t="str">
        <f>""</f>
        <v/>
      </c>
      <c r="B284" s="465"/>
      <c r="C284" s="465"/>
    </row>
    <row r="285" spans="1:30" ht="12.75" hidden="1" customHeight="1" outlineLevel="2" x14ac:dyDescent="0.2">
      <c r="F285" s="9" t="str">
        <f>'(FnCalls 1)'!F41</f>
        <v>MMM 2010</v>
      </c>
      <c r="G285" s="10" t="str">
        <f>'(FnCalls 1)'!F42</f>
        <v>MMM 2010</v>
      </c>
      <c r="H285" s="10" t="str">
        <f>'(FnCalls 1)'!F43</f>
        <v>MMM 2010</v>
      </c>
      <c r="I285" s="10" t="str">
        <f>'(FnCalls 1)'!F44</f>
        <v>MMM 2010</v>
      </c>
      <c r="J285" s="10" t="str">
        <f>'(FnCalls 1)'!F45</f>
        <v>MMM 2010</v>
      </c>
      <c r="K285" s="10" t="str">
        <f>'(FnCalls 1)'!F46</f>
        <v>MMM 2010</v>
      </c>
      <c r="L285" s="10" t="str">
        <f>'(FnCalls 1)'!F47</f>
        <v>MMM 2010</v>
      </c>
      <c r="M285" s="10" t="str">
        <f>'(FnCalls 1)'!F48</f>
        <v>MMM 2010</v>
      </c>
      <c r="N285" s="10" t="str">
        <f>'(FnCalls 1)'!F49</f>
        <v>MMM 2010</v>
      </c>
      <c r="O285" s="10" t="str">
        <f>'(FnCalls 1)'!F50</f>
        <v>MMM 2010</v>
      </c>
      <c r="P285" s="10" t="str">
        <f>'(FnCalls 1)'!F51</f>
        <v>MMM 2010</v>
      </c>
      <c r="Q285" s="10" t="str">
        <f>'(FnCalls 1)'!F52</f>
        <v>MMM 2010</v>
      </c>
      <c r="R285" s="10" t="str">
        <f>'(FnCalls 1)'!F53</f>
        <v>MMM 2011</v>
      </c>
      <c r="S285" s="10" t="str">
        <f>'(FnCalls 1)'!F54</f>
        <v>MMM 2011</v>
      </c>
      <c r="T285" s="10" t="str">
        <f>'(FnCalls 1)'!F55</f>
        <v>MMM 2011</v>
      </c>
      <c r="U285" s="10" t="str">
        <f>'(FnCalls 1)'!F56</f>
        <v>MMM 2011</v>
      </c>
      <c r="V285" s="10" t="str">
        <f>'(FnCalls 1)'!F57</f>
        <v>MMM 2011</v>
      </c>
      <c r="W285" s="11" t="str">
        <f>'(FnCalls 1)'!F58</f>
        <v>MMM 2011</v>
      </c>
    </row>
    <row r="286" spans="1:30" ht="12.75" hidden="1" customHeight="1" outlineLevel="2" x14ac:dyDescent="0.2">
      <c r="A286" s="12" t="str">
        <f>Labels!B153</f>
        <v>Practice Dev Prof Staff Count</v>
      </c>
      <c r="B286" s="26" t="str">
        <f>Labels!B381</f>
        <v>Practice 1</v>
      </c>
      <c r="C286" s="39" t="str">
        <f>Labels!B385</f>
        <v>Prof Level 1</v>
      </c>
      <c r="D286" s="39"/>
      <c r="E286" s="40"/>
      <c r="F286" s="41">
        <f>0</f>
        <v>0</v>
      </c>
      <c r="G286" s="41">
        <f t="shared" ref="G286:W286" si="129">F286</f>
        <v>0</v>
      </c>
      <c r="H286" s="41">
        <f t="shared" si="129"/>
        <v>0</v>
      </c>
      <c r="I286" s="41">
        <f t="shared" si="129"/>
        <v>0</v>
      </c>
      <c r="J286" s="41">
        <f t="shared" si="129"/>
        <v>0</v>
      </c>
      <c r="K286" s="41">
        <f t="shared" si="129"/>
        <v>0</v>
      </c>
      <c r="L286" s="41">
        <f t="shared" si="129"/>
        <v>0</v>
      </c>
      <c r="M286" s="41">
        <f t="shared" si="129"/>
        <v>0</v>
      </c>
      <c r="N286" s="41">
        <f t="shared" si="129"/>
        <v>0</v>
      </c>
      <c r="O286" s="41">
        <f t="shared" si="129"/>
        <v>0</v>
      </c>
      <c r="P286" s="41">
        <f t="shared" si="129"/>
        <v>0</v>
      </c>
      <c r="Q286" s="41">
        <f t="shared" si="129"/>
        <v>0</v>
      </c>
      <c r="R286" s="41">
        <f t="shared" si="129"/>
        <v>0</v>
      </c>
      <c r="S286" s="41">
        <f t="shared" si="129"/>
        <v>0</v>
      </c>
      <c r="T286" s="41">
        <f t="shared" si="129"/>
        <v>0</v>
      </c>
      <c r="U286" s="41">
        <f t="shared" si="129"/>
        <v>0</v>
      </c>
      <c r="V286" s="41">
        <f t="shared" si="129"/>
        <v>0</v>
      </c>
      <c r="W286" s="42">
        <f t="shared" si="129"/>
        <v>0</v>
      </c>
    </row>
    <row r="287" spans="1:30" ht="12.75" hidden="1" customHeight="1" outlineLevel="2" x14ac:dyDescent="0.2">
      <c r="A287" s="30"/>
      <c r="B287" s="31"/>
      <c r="C287" s="43" t="str">
        <f>Labels!B386</f>
        <v>Prof Level 2</v>
      </c>
      <c r="D287" s="43"/>
      <c r="E287" s="44"/>
      <c r="F287" s="45">
        <f>0</f>
        <v>0</v>
      </c>
      <c r="G287" s="45">
        <f t="shared" ref="G287:W287" si="130">F287</f>
        <v>0</v>
      </c>
      <c r="H287" s="45">
        <f t="shared" si="130"/>
        <v>0</v>
      </c>
      <c r="I287" s="45">
        <f t="shared" si="130"/>
        <v>0</v>
      </c>
      <c r="J287" s="45">
        <f t="shared" si="130"/>
        <v>0</v>
      </c>
      <c r="K287" s="45">
        <f t="shared" si="130"/>
        <v>0</v>
      </c>
      <c r="L287" s="45">
        <f t="shared" si="130"/>
        <v>0</v>
      </c>
      <c r="M287" s="45">
        <f t="shared" si="130"/>
        <v>0</v>
      </c>
      <c r="N287" s="45">
        <f t="shared" si="130"/>
        <v>0</v>
      </c>
      <c r="O287" s="45">
        <f t="shared" si="130"/>
        <v>0</v>
      </c>
      <c r="P287" s="45">
        <f t="shared" si="130"/>
        <v>0</v>
      </c>
      <c r="Q287" s="45">
        <f t="shared" si="130"/>
        <v>0</v>
      </c>
      <c r="R287" s="45">
        <f t="shared" si="130"/>
        <v>0</v>
      </c>
      <c r="S287" s="45">
        <f t="shared" si="130"/>
        <v>0</v>
      </c>
      <c r="T287" s="45">
        <f t="shared" si="130"/>
        <v>0</v>
      </c>
      <c r="U287" s="45">
        <f t="shared" si="130"/>
        <v>0</v>
      </c>
      <c r="V287" s="45">
        <f t="shared" si="130"/>
        <v>0</v>
      </c>
      <c r="W287" s="46">
        <f t="shared" si="130"/>
        <v>0</v>
      </c>
    </row>
    <row r="288" spans="1:30" ht="12.75" hidden="1" customHeight="1" outlineLevel="2" x14ac:dyDescent="0.2">
      <c r="A288" s="30"/>
      <c r="B288" s="31" t="str">
        <f>Labels!B382</f>
        <v>Practice 2</v>
      </c>
      <c r="C288" s="43" t="str">
        <f>Labels!B385</f>
        <v>Prof Level 1</v>
      </c>
      <c r="D288" s="43"/>
      <c r="E288" s="44"/>
      <c r="F288" s="45">
        <f>0</f>
        <v>0</v>
      </c>
      <c r="G288" s="45">
        <f t="shared" ref="G288:W288" si="131">F288</f>
        <v>0</v>
      </c>
      <c r="H288" s="45">
        <f t="shared" si="131"/>
        <v>0</v>
      </c>
      <c r="I288" s="45">
        <f t="shared" si="131"/>
        <v>0</v>
      </c>
      <c r="J288" s="45">
        <f t="shared" si="131"/>
        <v>0</v>
      </c>
      <c r="K288" s="45">
        <f t="shared" si="131"/>
        <v>0</v>
      </c>
      <c r="L288" s="45">
        <f t="shared" si="131"/>
        <v>0</v>
      </c>
      <c r="M288" s="45">
        <f t="shared" si="131"/>
        <v>0</v>
      </c>
      <c r="N288" s="45">
        <f t="shared" si="131"/>
        <v>0</v>
      </c>
      <c r="O288" s="45">
        <f t="shared" si="131"/>
        <v>0</v>
      </c>
      <c r="P288" s="45">
        <f t="shared" si="131"/>
        <v>0</v>
      </c>
      <c r="Q288" s="45">
        <f t="shared" si="131"/>
        <v>0</v>
      </c>
      <c r="R288" s="45">
        <f t="shared" si="131"/>
        <v>0</v>
      </c>
      <c r="S288" s="45">
        <f t="shared" si="131"/>
        <v>0</v>
      </c>
      <c r="T288" s="45">
        <f t="shared" si="131"/>
        <v>0</v>
      </c>
      <c r="U288" s="45">
        <f t="shared" si="131"/>
        <v>0</v>
      </c>
      <c r="V288" s="45">
        <f t="shared" si="131"/>
        <v>0</v>
      </c>
      <c r="W288" s="46">
        <f t="shared" si="131"/>
        <v>0</v>
      </c>
    </row>
    <row r="289" spans="1:23" ht="12.75" hidden="1" customHeight="1" outlineLevel="2" x14ac:dyDescent="0.2">
      <c r="A289" s="30"/>
      <c r="B289" s="31"/>
      <c r="C289" s="43" t="str">
        <f>Labels!B386</f>
        <v>Prof Level 2</v>
      </c>
      <c r="D289" s="43"/>
      <c r="E289" s="44"/>
      <c r="F289" s="45">
        <f>0</f>
        <v>0</v>
      </c>
      <c r="G289" s="45">
        <f t="shared" ref="G289:W289" si="132">F289</f>
        <v>0</v>
      </c>
      <c r="H289" s="45">
        <f t="shared" si="132"/>
        <v>0</v>
      </c>
      <c r="I289" s="45">
        <f t="shared" si="132"/>
        <v>0</v>
      </c>
      <c r="J289" s="45">
        <f t="shared" si="132"/>
        <v>0</v>
      </c>
      <c r="K289" s="45">
        <f t="shared" si="132"/>
        <v>0</v>
      </c>
      <c r="L289" s="45">
        <f t="shared" si="132"/>
        <v>0</v>
      </c>
      <c r="M289" s="45">
        <f t="shared" si="132"/>
        <v>0</v>
      </c>
      <c r="N289" s="45">
        <f t="shared" si="132"/>
        <v>0</v>
      </c>
      <c r="O289" s="45">
        <f t="shared" si="132"/>
        <v>0</v>
      </c>
      <c r="P289" s="45">
        <f t="shared" si="132"/>
        <v>0</v>
      </c>
      <c r="Q289" s="45">
        <f t="shared" si="132"/>
        <v>0</v>
      </c>
      <c r="R289" s="45">
        <f t="shared" si="132"/>
        <v>0</v>
      </c>
      <c r="S289" s="45">
        <f t="shared" si="132"/>
        <v>0</v>
      </c>
      <c r="T289" s="45">
        <f t="shared" si="132"/>
        <v>0</v>
      </c>
      <c r="U289" s="45">
        <f t="shared" si="132"/>
        <v>0</v>
      </c>
      <c r="V289" s="45">
        <f t="shared" si="132"/>
        <v>0</v>
      </c>
      <c r="W289" s="46">
        <f t="shared" si="132"/>
        <v>0</v>
      </c>
    </row>
    <row r="290" spans="1:23" ht="12.75" hidden="1" customHeight="1" outlineLevel="2" x14ac:dyDescent="0.2">
      <c r="A290" s="5"/>
      <c r="B290" s="6"/>
      <c r="C290" s="6"/>
      <c r="D290" s="6"/>
      <c r="E290" s="7"/>
      <c r="F290" s="6"/>
      <c r="G290" s="6"/>
      <c r="H290" s="6"/>
      <c r="I290" s="6"/>
      <c r="J290" s="6"/>
      <c r="K290" s="6"/>
      <c r="L290" s="6"/>
      <c r="M290" s="6"/>
      <c r="N290" s="6"/>
      <c r="O290" s="6"/>
      <c r="P290" s="6"/>
      <c r="Q290" s="6"/>
      <c r="R290" s="6"/>
      <c r="S290" s="6"/>
      <c r="T290" s="6"/>
      <c r="U290" s="6"/>
      <c r="V290" s="6"/>
      <c r="W290" s="7"/>
    </row>
    <row r="291" spans="1:23" ht="12.75" hidden="1" customHeight="1" outlineLevel="2" x14ac:dyDescent="0.2">
      <c r="A291" s="30" t="str">
        <f>Labels!B157</f>
        <v>Practice Dev Sup Staff Count</v>
      </c>
      <c r="B291" s="31" t="str">
        <f>Labels!B381</f>
        <v>Practice 1</v>
      </c>
      <c r="C291" s="43" t="str">
        <f>Labels!B321</f>
        <v>Marketing</v>
      </c>
      <c r="D291" s="43" t="str">
        <f>Labels!B393</f>
        <v>Manager</v>
      </c>
      <c r="E291" s="44"/>
      <c r="F291" s="45">
        <f>0</f>
        <v>0</v>
      </c>
      <c r="G291" s="45">
        <f t="shared" ref="G291:W291" si="133">F291</f>
        <v>0</v>
      </c>
      <c r="H291" s="45">
        <f t="shared" si="133"/>
        <v>0</v>
      </c>
      <c r="I291" s="45">
        <f t="shared" si="133"/>
        <v>0</v>
      </c>
      <c r="J291" s="45">
        <f t="shared" si="133"/>
        <v>0</v>
      </c>
      <c r="K291" s="45">
        <f t="shared" si="133"/>
        <v>0</v>
      </c>
      <c r="L291" s="45">
        <f t="shared" si="133"/>
        <v>0</v>
      </c>
      <c r="M291" s="45">
        <f t="shared" si="133"/>
        <v>0</v>
      </c>
      <c r="N291" s="45">
        <f t="shared" si="133"/>
        <v>0</v>
      </c>
      <c r="O291" s="45">
        <f t="shared" si="133"/>
        <v>0</v>
      </c>
      <c r="P291" s="45">
        <f t="shared" si="133"/>
        <v>0</v>
      </c>
      <c r="Q291" s="45">
        <f t="shared" si="133"/>
        <v>0</v>
      </c>
      <c r="R291" s="45">
        <f t="shared" si="133"/>
        <v>0</v>
      </c>
      <c r="S291" s="45">
        <f t="shared" si="133"/>
        <v>0</v>
      </c>
      <c r="T291" s="45">
        <f t="shared" si="133"/>
        <v>0</v>
      </c>
      <c r="U291" s="45">
        <f t="shared" si="133"/>
        <v>0</v>
      </c>
      <c r="V291" s="45">
        <f t="shared" si="133"/>
        <v>0</v>
      </c>
      <c r="W291" s="46">
        <f t="shared" si="133"/>
        <v>0</v>
      </c>
    </row>
    <row r="292" spans="1:23" ht="12.75" hidden="1" customHeight="1" outlineLevel="2" x14ac:dyDescent="0.2">
      <c r="A292" s="30"/>
      <c r="B292" s="31"/>
      <c r="C292" s="43"/>
      <c r="D292" s="43" t="str">
        <f>Labels!B394</f>
        <v>Contributor</v>
      </c>
      <c r="E292" s="44"/>
      <c r="F292" s="45">
        <f>0</f>
        <v>0</v>
      </c>
      <c r="G292" s="45">
        <f t="shared" ref="G292:W292" si="134">F292</f>
        <v>0</v>
      </c>
      <c r="H292" s="45">
        <f t="shared" si="134"/>
        <v>0</v>
      </c>
      <c r="I292" s="45">
        <f t="shared" si="134"/>
        <v>0</v>
      </c>
      <c r="J292" s="45">
        <f t="shared" si="134"/>
        <v>0</v>
      </c>
      <c r="K292" s="45">
        <f t="shared" si="134"/>
        <v>0</v>
      </c>
      <c r="L292" s="45">
        <f t="shared" si="134"/>
        <v>0</v>
      </c>
      <c r="M292" s="45">
        <f t="shared" si="134"/>
        <v>0</v>
      </c>
      <c r="N292" s="45">
        <f t="shared" si="134"/>
        <v>0</v>
      </c>
      <c r="O292" s="45">
        <f t="shared" si="134"/>
        <v>0</v>
      </c>
      <c r="P292" s="45">
        <f t="shared" si="134"/>
        <v>0</v>
      </c>
      <c r="Q292" s="45">
        <f t="shared" si="134"/>
        <v>0</v>
      </c>
      <c r="R292" s="45">
        <f t="shared" si="134"/>
        <v>0</v>
      </c>
      <c r="S292" s="45">
        <f t="shared" si="134"/>
        <v>0</v>
      </c>
      <c r="T292" s="45">
        <f t="shared" si="134"/>
        <v>0</v>
      </c>
      <c r="U292" s="45">
        <f t="shared" si="134"/>
        <v>0</v>
      </c>
      <c r="V292" s="45">
        <f t="shared" si="134"/>
        <v>0</v>
      </c>
      <c r="W292" s="46">
        <f t="shared" si="134"/>
        <v>0</v>
      </c>
    </row>
    <row r="293" spans="1:23" ht="12.75" hidden="1" customHeight="1" outlineLevel="2" x14ac:dyDescent="0.2">
      <c r="A293" s="30"/>
      <c r="B293" s="31"/>
      <c r="C293" s="43" t="str">
        <f>Labels!B322</f>
        <v>Sales</v>
      </c>
      <c r="D293" s="43" t="str">
        <f>Labels!B393</f>
        <v>Manager</v>
      </c>
      <c r="E293" s="44"/>
      <c r="F293" s="45">
        <f>0</f>
        <v>0</v>
      </c>
      <c r="G293" s="45">
        <f t="shared" ref="G293:W293" si="135">F293</f>
        <v>0</v>
      </c>
      <c r="H293" s="45">
        <f t="shared" si="135"/>
        <v>0</v>
      </c>
      <c r="I293" s="45">
        <f t="shared" si="135"/>
        <v>0</v>
      </c>
      <c r="J293" s="45">
        <f t="shared" si="135"/>
        <v>0</v>
      </c>
      <c r="K293" s="45">
        <f t="shared" si="135"/>
        <v>0</v>
      </c>
      <c r="L293" s="45">
        <f t="shared" si="135"/>
        <v>0</v>
      </c>
      <c r="M293" s="45">
        <f t="shared" si="135"/>
        <v>0</v>
      </c>
      <c r="N293" s="45">
        <f t="shared" si="135"/>
        <v>0</v>
      </c>
      <c r="O293" s="45">
        <f t="shared" si="135"/>
        <v>0</v>
      </c>
      <c r="P293" s="45">
        <f t="shared" si="135"/>
        <v>0</v>
      </c>
      <c r="Q293" s="45">
        <f t="shared" si="135"/>
        <v>0</v>
      </c>
      <c r="R293" s="45">
        <f t="shared" si="135"/>
        <v>0</v>
      </c>
      <c r="S293" s="45">
        <f t="shared" si="135"/>
        <v>0</v>
      </c>
      <c r="T293" s="45">
        <f t="shared" si="135"/>
        <v>0</v>
      </c>
      <c r="U293" s="45">
        <f t="shared" si="135"/>
        <v>0</v>
      </c>
      <c r="V293" s="45">
        <f t="shared" si="135"/>
        <v>0</v>
      </c>
      <c r="W293" s="46">
        <f t="shared" si="135"/>
        <v>0</v>
      </c>
    </row>
    <row r="294" spans="1:23" ht="12.75" hidden="1" customHeight="1" outlineLevel="2" x14ac:dyDescent="0.2">
      <c r="A294" s="30"/>
      <c r="B294" s="31"/>
      <c r="C294" s="43"/>
      <c r="D294" s="43" t="str">
        <f>Labels!B394</f>
        <v>Contributor</v>
      </c>
      <c r="E294" s="44"/>
      <c r="F294" s="45">
        <f>0</f>
        <v>0</v>
      </c>
      <c r="G294" s="45">
        <f t="shared" ref="G294:W294" si="136">F294</f>
        <v>0</v>
      </c>
      <c r="H294" s="45">
        <f t="shared" si="136"/>
        <v>0</v>
      </c>
      <c r="I294" s="45">
        <f t="shared" si="136"/>
        <v>0</v>
      </c>
      <c r="J294" s="45">
        <f t="shared" si="136"/>
        <v>0</v>
      </c>
      <c r="K294" s="45">
        <f t="shared" si="136"/>
        <v>0</v>
      </c>
      <c r="L294" s="45">
        <f t="shared" si="136"/>
        <v>0</v>
      </c>
      <c r="M294" s="45">
        <f t="shared" si="136"/>
        <v>0</v>
      </c>
      <c r="N294" s="45">
        <f t="shared" si="136"/>
        <v>0</v>
      </c>
      <c r="O294" s="45">
        <f t="shared" si="136"/>
        <v>0</v>
      </c>
      <c r="P294" s="45">
        <f t="shared" si="136"/>
        <v>0</v>
      </c>
      <c r="Q294" s="45">
        <f t="shared" si="136"/>
        <v>0</v>
      </c>
      <c r="R294" s="45">
        <f t="shared" si="136"/>
        <v>0</v>
      </c>
      <c r="S294" s="45">
        <f t="shared" si="136"/>
        <v>0</v>
      </c>
      <c r="T294" s="45">
        <f t="shared" si="136"/>
        <v>0</v>
      </c>
      <c r="U294" s="45">
        <f t="shared" si="136"/>
        <v>0</v>
      </c>
      <c r="V294" s="45">
        <f t="shared" si="136"/>
        <v>0</v>
      </c>
      <c r="W294" s="46">
        <f t="shared" si="136"/>
        <v>0</v>
      </c>
    </row>
    <row r="295" spans="1:23" ht="12.75" hidden="1" customHeight="1" outlineLevel="2" x14ac:dyDescent="0.2">
      <c r="A295" s="30"/>
      <c r="B295" s="31" t="str">
        <f>Labels!B382</f>
        <v>Practice 2</v>
      </c>
      <c r="C295" s="43" t="str">
        <f>Labels!B321</f>
        <v>Marketing</v>
      </c>
      <c r="D295" s="43" t="str">
        <f>Labels!B393</f>
        <v>Manager</v>
      </c>
      <c r="E295" s="44"/>
      <c r="F295" s="45">
        <f>0</f>
        <v>0</v>
      </c>
      <c r="G295" s="45">
        <f t="shared" ref="G295:W295" si="137">F295</f>
        <v>0</v>
      </c>
      <c r="H295" s="45">
        <f t="shared" si="137"/>
        <v>0</v>
      </c>
      <c r="I295" s="45">
        <f t="shared" si="137"/>
        <v>0</v>
      </c>
      <c r="J295" s="45">
        <f t="shared" si="137"/>
        <v>0</v>
      </c>
      <c r="K295" s="45">
        <f t="shared" si="137"/>
        <v>0</v>
      </c>
      <c r="L295" s="45">
        <f t="shared" si="137"/>
        <v>0</v>
      </c>
      <c r="M295" s="45">
        <f t="shared" si="137"/>
        <v>0</v>
      </c>
      <c r="N295" s="45">
        <f t="shared" si="137"/>
        <v>0</v>
      </c>
      <c r="O295" s="45">
        <f t="shared" si="137"/>
        <v>0</v>
      </c>
      <c r="P295" s="45">
        <f t="shared" si="137"/>
        <v>0</v>
      </c>
      <c r="Q295" s="45">
        <f t="shared" si="137"/>
        <v>0</v>
      </c>
      <c r="R295" s="45">
        <f t="shared" si="137"/>
        <v>0</v>
      </c>
      <c r="S295" s="45">
        <f t="shared" si="137"/>
        <v>0</v>
      </c>
      <c r="T295" s="45">
        <f t="shared" si="137"/>
        <v>0</v>
      </c>
      <c r="U295" s="45">
        <f t="shared" si="137"/>
        <v>0</v>
      </c>
      <c r="V295" s="45">
        <f t="shared" si="137"/>
        <v>0</v>
      </c>
      <c r="W295" s="46">
        <f t="shared" si="137"/>
        <v>0</v>
      </c>
    </row>
    <row r="296" spans="1:23" ht="12.75" hidden="1" customHeight="1" outlineLevel="2" x14ac:dyDescent="0.2">
      <c r="A296" s="30"/>
      <c r="B296" s="31"/>
      <c r="C296" s="43"/>
      <c r="D296" s="43" t="str">
        <f>Labels!B394</f>
        <v>Contributor</v>
      </c>
      <c r="E296" s="44"/>
      <c r="F296" s="45">
        <f>0</f>
        <v>0</v>
      </c>
      <c r="G296" s="45">
        <f t="shared" ref="G296:W296" si="138">F296</f>
        <v>0</v>
      </c>
      <c r="H296" s="45">
        <f t="shared" si="138"/>
        <v>0</v>
      </c>
      <c r="I296" s="45">
        <f t="shared" si="138"/>
        <v>0</v>
      </c>
      <c r="J296" s="45">
        <f t="shared" si="138"/>
        <v>0</v>
      </c>
      <c r="K296" s="45">
        <f t="shared" si="138"/>
        <v>0</v>
      </c>
      <c r="L296" s="45">
        <f t="shared" si="138"/>
        <v>0</v>
      </c>
      <c r="M296" s="45">
        <f t="shared" si="138"/>
        <v>0</v>
      </c>
      <c r="N296" s="45">
        <f t="shared" si="138"/>
        <v>0</v>
      </c>
      <c r="O296" s="45">
        <f t="shared" si="138"/>
        <v>0</v>
      </c>
      <c r="P296" s="45">
        <f t="shared" si="138"/>
        <v>0</v>
      </c>
      <c r="Q296" s="45">
        <f t="shared" si="138"/>
        <v>0</v>
      </c>
      <c r="R296" s="45">
        <f t="shared" si="138"/>
        <v>0</v>
      </c>
      <c r="S296" s="45">
        <f t="shared" si="138"/>
        <v>0</v>
      </c>
      <c r="T296" s="45">
        <f t="shared" si="138"/>
        <v>0</v>
      </c>
      <c r="U296" s="45">
        <f t="shared" si="138"/>
        <v>0</v>
      </c>
      <c r="V296" s="45">
        <f t="shared" si="138"/>
        <v>0</v>
      </c>
      <c r="W296" s="46">
        <f t="shared" si="138"/>
        <v>0</v>
      </c>
    </row>
    <row r="297" spans="1:23" ht="12.75" hidden="1" customHeight="1" outlineLevel="2" x14ac:dyDescent="0.2">
      <c r="A297" s="30"/>
      <c r="B297" s="31"/>
      <c r="C297" s="43" t="str">
        <f>Labels!B322</f>
        <v>Sales</v>
      </c>
      <c r="D297" s="43" t="str">
        <f>Labels!B393</f>
        <v>Manager</v>
      </c>
      <c r="E297" s="44"/>
      <c r="F297" s="45">
        <f>0</f>
        <v>0</v>
      </c>
      <c r="G297" s="45">
        <f t="shared" ref="G297:W297" si="139">F297</f>
        <v>0</v>
      </c>
      <c r="H297" s="45">
        <f t="shared" si="139"/>
        <v>0</v>
      </c>
      <c r="I297" s="45">
        <f t="shared" si="139"/>
        <v>0</v>
      </c>
      <c r="J297" s="45">
        <f t="shared" si="139"/>
        <v>0</v>
      </c>
      <c r="K297" s="45">
        <f t="shared" si="139"/>
        <v>0</v>
      </c>
      <c r="L297" s="45">
        <f t="shared" si="139"/>
        <v>0</v>
      </c>
      <c r="M297" s="45">
        <f t="shared" si="139"/>
        <v>0</v>
      </c>
      <c r="N297" s="45">
        <f t="shared" si="139"/>
        <v>0</v>
      </c>
      <c r="O297" s="45">
        <f t="shared" si="139"/>
        <v>0</v>
      </c>
      <c r="P297" s="45">
        <f t="shared" si="139"/>
        <v>0</v>
      </c>
      <c r="Q297" s="45">
        <f t="shared" si="139"/>
        <v>0</v>
      </c>
      <c r="R297" s="45">
        <f t="shared" si="139"/>
        <v>0</v>
      </c>
      <c r="S297" s="45">
        <f t="shared" si="139"/>
        <v>0</v>
      </c>
      <c r="T297" s="45">
        <f t="shared" si="139"/>
        <v>0</v>
      </c>
      <c r="U297" s="45">
        <f t="shared" si="139"/>
        <v>0</v>
      </c>
      <c r="V297" s="45">
        <f t="shared" si="139"/>
        <v>0</v>
      </c>
      <c r="W297" s="46">
        <f t="shared" si="139"/>
        <v>0</v>
      </c>
    </row>
    <row r="298" spans="1:23" ht="12.75" hidden="1" customHeight="1" outlineLevel="2" x14ac:dyDescent="0.2">
      <c r="A298" s="17"/>
      <c r="B298" s="35"/>
      <c r="C298" s="47"/>
      <c r="D298" s="47" t="str">
        <f>Labels!B394</f>
        <v>Contributor</v>
      </c>
      <c r="E298" s="48"/>
      <c r="F298" s="49">
        <f>0</f>
        <v>0</v>
      </c>
      <c r="G298" s="49">
        <f t="shared" ref="G298:W298" si="140">F298</f>
        <v>0</v>
      </c>
      <c r="H298" s="49">
        <f t="shared" si="140"/>
        <v>0</v>
      </c>
      <c r="I298" s="49">
        <f t="shared" si="140"/>
        <v>0</v>
      </c>
      <c r="J298" s="49">
        <f t="shared" si="140"/>
        <v>0</v>
      </c>
      <c r="K298" s="49">
        <f t="shared" si="140"/>
        <v>0</v>
      </c>
      <c r="L298" s="49">
        <f t="shared" si="140"/>
        <v>0</v>
      </c>
      <c r="M298" s="49">
        <f t="shared" si="140"/>
        <v>0</v>
      </c>
      <c r="N298" s="49">
        <f t="shared" si="140"/>
        <v>0</v>
      </c>
      <c r="O298" s="49">
        <f t="shared" si="140"/>
        <v>0</v>
      </c>
      <c r="P298" s="49">
        <f t="shared" si="140"/>
        <v>0</v>
      </c>
      <c r="Q298" s="49">
        <f t="shared" si="140"/>
        <v>0</v>
      </c>
      <c r="R298" s="49">
        <f t="shared" si="140"/>
        <v>0</v>
      </c>
      <c r="S298" s="49">
        <f t="shared" si="140"/>
        <v>0</v>
      </c>
      <c r="T298" s="49">
        <f t="shared" si="140"/>
        <v>0</v>
      </c>
      <c r="U298" s="49">
        <f t="shared" si="140"/>
        <v>0</v>
      </c>
      <c r="V298" s="49">
        <f t="shared" si="140"/>
        <v>0</v>
      </c>
      <c r="W298" s="50">
        <f t="shared" si="140"/>
        <v>0</v>
      </c>
    </row>
    <row r="299" spans="1:23" ht="12.75" hidden="1" customHeight="1" outlineLevel="2" x14ac:dyDescent="0.2">
      <c r="A299" s="462" t="str">
        <f>"Note: Some practice development spending may be capitalized."</f>
        <v>Note: Some practice development spending may be capitalized.</v>
      </c>
      <c r="B299" s="462"/>
      <c r="C299" s="462"/>
      <c r="D299" s="462"/>
      <c r="E299" s="462"/>
      <c r="F299" s="462"/>
    </row>
    <row r="300" spans="1:23" ht="12.75" hidden="1" customHeight="1" outlineLevel="2" collapsed="1" x14ac:dyDescent="0.2"/>
    <row r="301" spans="1:23" ht="12.75" hidden="1" customHeight="1" outlineLevel="1" collapsed="1" x14ac:dyDescent="0.2">
      <c r="A301" s="3" t="str">
        <f>"Facilities Expense"</f>
        <v>Facilities Expense</v>
      </c>
    </row>
    <row r="302" spans="1:23" ht="12.75" hidden="1" customHeight="1" outlineLevel="2" x14ac:dyDescent="0.2">
      <c r="A302" s="3" t="str">
        <f>" "</f>
        <v xml:space="preserve"> </v>
      </c>
    </row>
    <row r="303" spans="1:23" ht="12.75" hidden="1" customHeight="1" outlineLevel="2" x14ac:dyDescent="0.2">
      <c r="F303" s="9" t="str">
        <f>'(FnCalls 1)'!F41</f>
        <v>MMM 2010</v>
      </c>
      <c r="G303" s="10" t="str">
        <f>'(FnCalls 1)'!F42</f>
        <v>MMM 2010</v>
      </c>
      <c r="H303" s="10" t="str">
        <f>'(FnCalls 1)'!F43</f>
        <v>MMM 2010</v>
      </c>
      <c r="I303" s="10" t="str">
        <f>'(FnCalls 1)'!F44</f>
        <v>MMM 2010</v>
      </c>
      <c r="J303" s="10" t="str">
        <f>'(FnCalls 1)'!F45</f>
        <v>MMM 2010</v>
      </c>
      <c r="K303" s="10" t="str">
        <f>'(FnCalls 1)'!F46</f>
        <v>MMM 2010</v>
      </c>
      <c r="L303" s="10" t="str">
        <f>'(FnCalls 1)'!F47</f>
        <v>MMM 2010</v>
      </c>
      <c r="M303" s="10" t="str">
        <f>'(FnCalls 1)'!F48</f>
        <v>MMM 2010</v>
      </c>
      <c r="N303" s="10" t="str">
        <f>'(FnCalls 1)'!F49</f>
        <v>MMM 2010</v>
      </c>
      <c r="O303" s="10" t="str">
        <f>'(FnCalls 1)'!F50</f>
        <v>MMM 2010</v>
      </c>
      <c r="P303" s="10" t="str">
        <f>'(FnCalls 1)'!F51</f>
        <v>MMM 2010</v>
      </c>
      <c r="Q303" s="10" t="str">
        <f>'(FnCalls 1)'!F52</f>
        <v>MMM 2010</v>
      </c>
      <c r="R303" s="10" t="str">
        <f>'(FnCalls 1)'!F53</f>
        <v>MMM 2011</v>
      </c>
      <c r="S303" s="10" t="str">
        <f>'(FnCalls 1)'!F54</f>
        <v>MMM 2011</v>
      </c>
      <c r="T303" s="10" t="str">
        <f>'(FnCalls 1)'!F55</f>
        <v>MMM 2011</v>
      </c>
      <c r="U303" s="10" t="str">
        <f>'(FnCalls 1)'!F56</f>
        <v>MMM 2011</v>
      </c>
      <c r="V303" s="10" t="str">
        <f>'(FnCalls 1)'!F57</f>
        <v>MMM 2011</v>
      </c>
      <c r="W303" s="11" t="str">
        <f>'(FnCalls 1)'!F58</f>
        <v>MMM 2011</v>
      </c>
    </row>
    <row r="304" spans="1:23" ht="12.75" hidden="1" customHeight="1" outlineLevel="2" x14ac:dyDescent="0.2">
      <c r="A304" s="12" t="str">
        <f>Labels!B132</f>
        <v>Office Space (Ksqf/Person)</v>
      </c>
      <c r="B304" s="13"/>
      <c r="C304" s="13"/>
      <c r="D304" s="13"/>
      <c r="E304" s="14"/>
      <c r="F304" s="119">
        <f>0</f>
        <v>0</v>
      </c>
      <c r="G304" s="119">
        <f t="shared" ref="G304:W304" si="141">F304</f>
        <v>0</v>
      </c>
      <c r="H304" s="119">
        <f t="shared" si="141"/>
        <v>0</v>
      </c>
      <c r="I304" s="119">
        <f t="shared" si="141"/>
        <v>0</v>
      </c>
      <c r="J304" s="119">
        <f t="shared" si="141"/>
        <v>0</v>
      </c>
      <c r="K304" s="119">
        <f t="shared" si="141"/>
        <v>0</v>
      </c>
      <c r="L304" s="119">
        <f t="shared" si="141"/>
        <v>0</v>
      </c>
      <c r="M304" s="119">
        <f t="shared" si="141"/>
        <v>0</v>
      </c>
      <c r="N304" s="119">
        <f t="shared" si="141"/>
        <v>0</v>
      </c>
      <c r="O304" s="119">
        <f t="shared" si="141"/>
        <v>0</v>
      </c>
      <c r="P304" s="119">
        <f t="shared" si="141"/>
        <v>0</v>
      </c>
      <c r="Q304" s="119">
        <f t="shared" si="141"/>
        <v>0</v>
      </c>
      <c r="R304" s="119">
        <f t="shared" si="141"/>
        <v>0</v>
      </c>
      <c r="S304" s="119">
        <f t="shared" si="141"/>
        <v>0</v>
      </c>
      <c r="T304" s="119">
        <f t="shared" si="141"/>
        <v>0</v>
      </c>
      <c r="U304" s="119">
        <f t="shared" si="141"/>
        <v>0</v>
      </c>
      <c r="V304" s="119">
        <f t="shared" si="141"/>
        <v>0</v>
      </c>
      <c r="W304" s="120">
        <f t="shared" si="141"/>
        <v>0</v>
      </c>
    </row>
    <row r="305" spans="1:23" ht="12.75" hidden="1" customHeight="1" outlineLevel="2" x14ac:dyDescent="0.2">
      <c r="A305" s="30" t="str">
        <f>Labels!B131</f>
        <v>Office Rent ($/sqf/Yr)</v>
      </c>
      <c r="B305" s="3"/>
      <c r="C305" s="3"/>
      <c r="D305" s="3"/>
      <c r="E305" s="121"/>
      <c r="F305" s="122">
        <f>0</f>
        <v>0</v>
      </c>
      <c r="G305" s="122">
        <f t="shared" ref="G305:W305" si="142">F305</f>
        <v>0</v>
      </c>
      <c r="H305" s="122">
        <f t="shared" si="142"/>
        <v>0</v>
      </c>
      <c r="I305" s="122">
        <f t="shared" si="142"/>
        <v>0</v>
      </c>
      <c r="J305" s="122">
        <f t="shared" si="142"/>
        <v>0</v>
      </c>
      <c r="K305" s="122">
        <f t="shared" si="142"/>
        <v>0</v>
      </c>
      <c r="L305" s="122">
        <f t="shared" si="142"/>
        <v>0</v>
      </c>
      <c r="M305" s="122">
        <f t="shared" si="142"/>
        <v>0</v>
      </c>
      <c r="N305" s="122">
        <f t="shared" si="142"/>
        <v>0</v>
      </c>
      <c r="O305" s="122">
        <f t="shared" si="142"/>
        <v>0</v>
      </c>
      <c r="P305" s="122">
        <f t="shared" si="142"/>
        <v>0</v>
      </c>
      <c r="Q305" s="122">
        <f t="shared" si="142"/>
        <v>0</v>
      </c>
      <c r="R305" s="122">
        <f t="shared" si="142"/>
        <v>0</v>
      </c>
      <c r="S305" s="122">
        <f t="shared" si="142"/>
        <v>0</v>
      </c>
      <c r="T305" s="122">
        <f t="shared" si="142"/>
        <v>0</v>
      </c>
      <c r="U305" s="122">
        <f t="shared" si="142"/>
        <v>0</v>
      </c>
      <c r="V305" s="122">
        <f t="shared" si="142"/>
        <v>0</v>
      </c>
      <c r="W305" s="123">
        <f t="shared" si="142"/>
        <v>0</v>
      </c>
    </row>
    <row r="306" spans="1:23" ht="12.75" hidden="1" customHeight="1" outlineLevel="2" x14ac:dyDescent="0.2">
      <c r="A306" s="30" t="str">
        <f>Labels!B133</f>
        <v>Office Utilities ($/sqf/Yr)</v>
      </c>
      <c r="B306" s="3"/>
      <c r="C306" s="3"/>
      <c r="D306" s="3"/>
      <c r="E306" s="121"/>
      <c r="F306" s="124">
        <f>0</f>
        <v>0</v>
      </c>
      <c r="G306" s="124">
        <f t="shared" ref="G306:W306" si="143">F306</f>
        <v>0</v>
      </c>
      <c r="H306" s="124">
        <f t="shared" si="143"/>
        <v>0</v>
      </c>
      <c r="I306" s="124">
        <f t="shared" si="143"/>
        <v>0</v>
      </c>
      <c r="J306" s="124">
        <f t="shared" si="143"/>
        <v>0</v>
      </c>
      <c r="K306" s="124">
        <f t="shared" si="143"/>
        <v>0</v>
      </c>
      <c r="L306" s="124">
        <f t="shared" si="143"/>
        <v>0</v>
      </c>
      <c r="M306" s="124">
        <f t="shared" si="143"/>
        <v>0</v>
      </c>
      <c r="N306" s="124">
        <f t="shared" si="143"/>
        <v>0</v>
      </c>
      <c r="O306" s="124">
        <f t="shared" si="143"/>
        <v>0</v>
      </c>
      <c r="P306" s="124">
        <f t="shared" si="143"/>
        <v>0</v>
      </c>
      <c r="Q306" s="124">
        <f t="shared" si="143"/>
        <v>0</v>
      </c>
      <c r="R306" s="124">
        <f t="shared" si="143"/>
        <v>0</v>
      </c>
      <c r="S306" s="124">
        <f t="shared" si="143"/>
        <v>0</v>
      </c>
      <c r="T306" s="124">
        <f t="shared" si="143"/>
        <v>0</v>
      </c>
      <c r="U306" s="124">
        <f t="shared" si="143"/>
        <v>0</v>
      </c>
      <c r="V306" s="124">
        <f t="shared" si="143"/>
        <v>0</v>
      </c>
      <c r="W306" s="125">
        <f t="shared" si="143"/>
        <v>0</v>
      </c>
    </row>
    <row r="307" spans="1:23" ht="12.75" hidden="1" customHeight="1" outlineLevel="2" x14ac:dyDescent="0.2">
      <c r="A307" s="30" t="str">
        <f>Labels!B130</f>
        <v>Office Maint ($/sqf/Yr)</v>
      </c>
      <c r="B307" s="3"/>
      <c r="C307" s="3"/>
      <c r="D307" s="3"/>
      <c r="E307" s="121"/>
      <c r="F307" s="124">
        <f>0</f>
        <v>0</v>
      </c>
      <c r="G307" s="124">
        <f t="shared" ref="G307:W307" si="144">F307</f>
        <v>0</v>
      </c>
      <c r="H307" s="124">
        <f t="shared" si="144"/>
        <v>0</v>
      </c>
      <c r="I307" s="124">
        <f t="shared" si="144"/>
        <v>0</v>
      </c>
      <c r="J307" s="124">
        <f t="shared" si="144"/>
        <v>0</v>
      </c>
      <c r="K307" s="124">
        <f t="shared" si="144"/>
        <v>0</v>
      </c>
      <c r="L307" s="124">
        <f t="shared" si="144"/>
        <v>0</v>
      </c>
      <c r="M307" s="124">
        <f t="shared" si="144"/>
        <v>0</v>
      </c>
      <c r="N307" s="124">
        <f t="shared" si="144"/>
        <v>0</v>
      </c>
      <c r="O307" s="124">
        <f t="shared" si="144"/>
        <v>0</v>
      </c>
      <c r="P307" s="124">
        <f t="shared" si="144"/>
        <v>0</v>
      </c>
      <c r="Q307" s="124">
        <f t="shared" si="144"/>
        <v>0</v>
      </c>
      <c r="R307" s="124">
        <f t="shared" si="144"/>
        <v>0</v>
      </c>
      <c r="S307" s="124">
        <f t="shared" si="144"/>
        <v>0</v>
      </c>
      <c r="T307" s="124">
        <f t="shared" si="144"/>
        <v>0</v>
      </c>
      <c r="U307" s="124">
        <f t="shared" si="144"/>
        <v>0</v>
      </c>
      <c r="V307" s="124">
        <f t="shared" si="144"/>
        <v>0</v>
      </c>
      <c r="W307" s="125">
        <f t="shared" si="144"/>
        <v>0</v>
      </c>
    </row>
    <row r="308" spans="1:23" ht="12.75" hidden="1" customHeight="1" outlineLevel="2" x14ac:dyDescent="0.2">
      <c r="A308" s="17" t="str">
        <f>Labels!B92</f>
        <v>Other Facilities Exp (Yr)</v>
      </c>
      <c r="B308" s="18"/>
      <c r="C308" s="18"/>
      <c r="D308" s="18"/>
      <c r="E308" s="19"/>
      <c r="F308" s="126">
        <f>0</f>
        <v>0</v>
      </c>
      <c r="G308" s="126">
        <f t="shared" ref="G308:W308" si="145">F308</f>
        <v>0</v>
      </c>
      <c r="H308" s="126">
        <f t="shared" si="145"/>
        <v>0</v>
      </c>
      <c r="I308" s="126">
        <f t="shared" si="145"/>
        <v>0</v>
      </c>
      <c r="J308" s="126">
        <f t="shared" si="145"/>
        <v>0</v>
      </c>
      <c r="K308" s="126">
        <f t="shared" si="145"/>
        <v>0</v>
      </c>
      <c r="L308" s="126">
        <f t="shared" si="145"/>
        <v>0</v>
      </c>
      <c r="M308" s="126">
        <f t="shared" si="145"/>
        <v>0</v>
      </c>
      <c r="N308" s="126">
        <f t="shared" si="145"/>
        <v>0</v>
      </c>
      <c r="O308" s="126">
        <f t="shared" si="145"/>
        <v>0</v>
      </c>
      <c r="P308" s="126">
        <f t="shared" si="145"/>
        <v>0</v>
      </c>
      <c r="Q308" s="126">
        <f t="shared" si="145"/>
        <v>0</v>
      </c>
      <c r="R308" s="126">
        <f t="shared" si="145"/>
        <v>0</v>
      </c>
      <c r="S308" s="126">
        <f t="shared" si="145"/>
        <v>0</v>
      </c>
      <c r="T308" s="126">
        <f t="shared" si="145"/>
        <v>0</v>
      </c>
      <c r="U308" s="126">
        <f t="shared" si="145"/>
        <v>0</v>
      </c>
      <c r="V308" s="126">
        <f t="shared" si="145"/>
        <v>0</v>
      </c>
      <c r="W308" s="127">
        <f t="shared" si="145"/>
        <v>0</v>
      </c>
    </row>
    <row r="309" spans="1:23" ht="12.75" hidden="1" customHeight="1" outlineLevel="2" collapsed="1" x14ac:dyDescent="0.2"/>
    <row r="310" spans="1:23" ht="12.75" hidden="1" customHeight="1" outlineLevel="1" collapsed="1" x14ac:dyDescent="0.2">
      <c r="A310" s="465" t="str">
        <f>"General &amp; Admin Expense"</f>
        <v>General &amp; Admin Expense</v>
      </c>
      <c r="B310" s="465"/>
    </row>
    <row r="311" spans="1:23" ht="12.75" hidden="1" customHeight="1" outlineLevel="2" x14ac:dyDescent="0.2">
      <c r="A311" s="465" t="str">
        <f>" "</f>
        <v xml:space="preserve"> </v>
      </c>
      <c r="B311" s="465"/>
    </row>
    <row r="312" spans="1:23" ht="12.75" hidden="1" customHeight="1" outlineLevel="2" x14ac:dyDescent="0.2">
      <c r="F312" s="9" t="str">
        <f>Labels!B356</f>
        <v>K0</v>
      </c>
      <c r="G312" s="10" t="str">
        <f>Labels!B357</f>
        <v>K1</v>
      </c>
      <c r="H312" s="11" t="str">
        <f>Labels!B358</f>
        <v>K2</v>
      </c>
    </row>
    <row r="313" spans="1:23" ht="12.75" hidden="1" customHeight="1" outlineLevel="2" x14ac:dyDescent="0.2">
      <c r="A313" s="12" t="str">
        <f>Labels!B95</f>
        <v>G &amp; A Exp Constants</v>
      </c>
      <c r="B313" s="26" t="str">
        <f>Labels!B321</f>
        <v>Marketing</v>
      </c>
      <c r="C313" s="39" t="str">
        <f>Labels!B353</f>
        <v>GA Exp 1</v>
      </c>
      <c r="D313" s="39"/>
      <c r="E313" s="40"/>
      <c r="F313" s="128">
        <f>0</f>
        <v>0</v>
      </c>
      <c r="G313" s="128">
        <f>0</f>
        <v>0</v>
      </c>
      <c r="H313" s="129">
        <f>1</f>
        <v>1</v>
      </c>
    </row>
    <row r="314" spans="1:23" ht="12.75" hidden="1" customHeight="1" outlineLevel="2" x14ac:dyDescent="0.2">
      <c r="A314" s="17"/>
      <c r="B314" s="35" t="str">
        <f>Labels!B322</f>
        <v>Sales</v>
      </c>
      <c r="C314" s="47" t="str">
        <f>Labels!B353</f>
        <v>GA Exp 1</v>
      </c>
      <c r="D314" s="47"/>
      <c r="E314" s="48"/>
      <c r="F314" s="130">
        <f>0</f>
        <v>0</v>
      </c>
      <c r="G314" s="130">
        <f>0</f>
        <v>0</v>
      </c>
      <c r="H314" s="131">
        <f>1</f>
        <v>1</v>
      </c>
    </row>
    <row r="315" spans="1:23" ht="12.75" hidden="1" customHeight="1" outlineLevel="2" collapsed="1" x14ac:dyDescent="0.2"/>
    <row r="316" spans="1:23" ht="12.75" hidden="1" customHeight="1" outlineLevel="1" collapsed="1" x14ac:dyDescent="0.2">
      <c r="A316" s="465" t="str">
        <f>"Miscellaneous Operating Expenses"</f>
        <v>Miscellaneous Operating Expenses</v>
      </c>
      <c r="B316" s="465"/>
    </row>
    <row r="317" spans="1:23" ht="12.75" hidden="1" customHeight="1" outlineLevel="2" x14ac:dyDescent="0.2">
      <c r="A317" s="465" t="str">
        <f>" "</f>
        <v xml:space="preserve"> </v>
      </c>
      <c r="B317" s="465"/>
    </row>
    <row r="318" spans="1:23" ht="12.75" hidden="1" customHeight="1" outlineLevel="2" x14ac:dyDescent="0.2">
      <c r="F318" s="9" t="str">
        <f>'(FnCalls 1)'!F41</f>
        <v>MMM 2010</v>
      </c>
      <c r="G318" s="10" t="str">
        <f>'(FnCalls 1)'!F42</f>
        <v>MMM 2010</v>
      </c>
      <c r="H318" s="10" t="str">
        <f>'(FnCalls 1)'!F43</f>
        <v>MMM 2010</v>
      </c>
      <c r="I318" s="10" t="str">
        <f>'(FnCalls 1)'!F44</f>
        <v>MMM 2010</v>
      </c>
      <c r="J318" s="10" t="str">
        <f>'(FnCalls 1)'!F45</f>
        <v>MMM 2010</v>
      </c>
      <c r="K318" s="10" t="str">
        <f>'(FnCalls 1)'!F46</f>
        <v>MMM 2010</v>
      </c>
      <c r="L318" s="10" t="str">
        <f>'(FnCalls 1)'!F47</f>
        <v>MMM 2010</v>
      </c>
      <c r="M318" s="10" t="str">
        <f>'(FnCalls 1)'!F48</f>
        <v>MMM 2010</v>
      </c>
      <c r="N318" s="10" t="str">
        <f>'(FnCalls 1)'!F49</f>
        <v>MMM 2010</v>
      </c>
      <c r="O318" s="10" t="str">
        <f>'(FnCalls 1)'!F50</f>
        <v>MMM 2010</v>
      </c>
      <c r="P318" s="10" t="str">
        <f>'(FnCalls 1)'!F51</f>
        <v>MMM 2010</v>
      </c>
      <c r="Q318" s="10" t="str">
        <f>'(FnCalls 1)'!F52</f>
        <v>MMM 2010</v>
      </c>
      <c r="R318" s="10" t="str">
        <f>'(FnCalls 1)'!F53</f>
        <v>MMM 2011</v>
      </c>
      <c r="S318" s="10" t="str">
        <f>'(FnCalls 1)'!F54</f>
        <v>MMM 2011</v>
      </c>
      <c r="T318" s="10" t="str">
        <f>'(FnCalls 1)'!F55</f>
        <v>MMM 2011</v>
      </c>
      <c r="U318" s="10" t="str">
        <f>'(FnCalls 1)'!F56</f>
        <v>MMM 2011</v>
      </c>
      <c r="V318" s="10" t="str">
        <f>'(FnCalls 1)'!F57</f>
        <v>MMM 2011</v>
      </c>
      <c r="W318" s="11" t="str">
        <f>'(FnCalls 1)'!F58</f>
        <v>MMM 2011</v>
      </c>
    </row>
    <row r="319" spans="1:23" ht="12.75" hidden="1" customHeight="1" outlineLevel="2" x14ac:dyDescent="0.2">
      <c r="A319" s="12" t="str">
        <f>Labels!B147</f>
        <v>Per Prof Staff Exp (Yr)</v>
      </c>
      <c r="B319" s="26" t="str">
        <f>Labels!B385</f>
        <v>Prof Level 1</v>
      </c>
      <c r="C319" s="39" t="str">
        <f>Labels!B330</f>
        <v>Supplies</v>
      </c>
      <c r="D319" s="39"/>
      <c r="E319" s="40"/>
      <c r="F319" s="81">
        <f>0</f>
        <v>0</v>
      </c>
      <c r="G319" s="81">
        <f t="shared" ref="G319:W319" si="146">F319</f>
        <v>0</v>
      </c>
      <c r="H319" s="81">
        <f t="shared" si="146"/>
        <v>0</v>
      </c>
      <c r="I319" s="81">
        <f t="shared" si="146"/>
        <v>0</v>
      </c>
      <c r="J319" s="81">
        <f t="shared" si="146"/>
        <v>0</v>
      </c>
      <c r="K319" s="81">
        <f t="shared" si="146"/>
        <v>0</v>
      </c>
      <c r="L319" s="81">
        <f t="shared" si="146"/>
        <v>0</v>
      </c>
      <c r="M319" s="81">
        <f t="shared" si="146"/>
        <v>0</v>
      </c>
      <c r="N319" s="81">
        <f t="shared" si="146"/>
        <v>0</v>
      </c>
      <c r="O319" s="81">
        <f t="shared" si="146"/>
        <v>0</v>
      </c>
      <c r="P319" s="81">
        <f t="shared" si="146"/>
        <v>0</v>
      </c>
      <c r="Q319" s="81">
        <f t="shared" si="146"/>
        <v>0</v>
      </c>
      <c r="R319" s="81">
        <f t="shared" si="146"/>
        <v>0</v>
      </c>
      <c r="S319" s="81">
        <f t="shared" si="146"/>
        <v>0</v>
      </c>
      <c r="T319" s="81">
        <f t="shared" si="146"/>
        <v>0</v>
      </c>
      <c r="U319" s="81">
        <f t="shared" si="146"/>
        <v>0</v>
      </c>
      <c r="V319" s="81">
        <f t="shared" si="146"/>
        <v>0</v>
      </c>
      <c r="W319" s="82">
        <f t="shared" si="146"/>
        <v>0</v>
      </c>
    </row>
    <row r="320" spans="1:23" ht="12.75" hidden="1" customHeight="1" outlineLevel="2" x14ac:dyDescent="0.2">
      <c r="A320" s="30"/>
      <c r="B320" s="31"/>
      <c r="C320" s="43" t="str">
        <f>Labels!B331</f>
        <v>Travel Entertain</v>
      </c>
      <c r="D320" s="43"/>
      <c r="E320" s="44"/>
      <c r="F320" s="83">
        <f>0</f>
        <v>0</v>
      </c>
      <c r="G320" s="83">
        <f t="shared" ref="G320:W320" si="147">F320</f>
        <v>0</v>
      </c>
      <c r="H320" s="83">
        <f t="shared" si="147"/>
        <v>0</v>
      </c>
      <c r="I320" s="83">
        <f t="shared" si="147"/>
        <v>0</v>
      </c>
      <c r="J320" s="83">
        <f t="shared" si="147"/>
        <v>0</v>
      </c>
      <c r="K320" s="83">
        <f t="shared" si="147"/>
        <v>0</v>
      </c>
      <c r="L320" s="83">
        <f t="shared" si="147"/>
        <v>0</v>
      </c>
      <c r="M320" s="83">
        <f t="shared" si="147"/>
        <v>0</v>
      </c>
      <c r="N320" s="83">
        <f t="shared" si="147"/>
        <v>0</v>
      </c>
      <c r="O320" s="83">
        <f t="shared" si="147"/>
        <v>0</v>
      </c>
      <c r="P320" s="83">
        <f t="shared" si="147"/>
        <v>0</v>
      </c>
      <c r="Q320" s="83">
        <f t="shared" si="147"/>
        <v>0</v>
      </c>
      <c r="R320" s="83">
        <f t="shared" si="147"/>
        <v>0</v>
      </c>
      <c r="S320" s="83">
        <f t="shared" si="147"/>
        <v>0</v>
      </c>
      <c r="T320" s="83">
        <f t="shared" si="147"/>
        <v>0</v>
      </c>
      <c r="U320" s="83">
        <f t="shared" si="147"/>
        <v>0</v>
      </c>
      <c r="V320" s="83">
        <f t="shared" si="147"/>
        <v>0</v>
      </c>
      <c r="W320" s="84">
        <f t="shared" si="147"/>
        <v>0</v>
      </c>
    </row>
    <row r="321" spans="1:23" ht="12.75" hidden="1" customHeight="1" outlineLevel="2" x14ac:dyDescent="0.2">
      <c r="A321" s="30"/>
      <c r="B321" s="31"/>
      <c r="C321" s="43" t="str">
        <f>Labels!B332</f>
        <v>Other</v>
      </c>
      <c r="D321" s="43"/>
      <c r="E321" s="44"/>
      <c r="F321" s="83">
        <f>0</f>
        <v>0</v>
      </c>
      <c r="G321" s="83">
        <f t="shared" ref="G321:W321" si="148">F321</f>
        <v>0</v>
      </c>
      <c r="H321" s="83">
        <f t="shared" si="148"/>
        <v>0</v>
      </c>
      <c r="I321" s="83">
        <f t="shared" si="148"/>
        <v>0</v>
      </c>
      <c r="J321" s="83">
        <f t="shared" si="148"/>
        <v>0</v>
      </c>
      <c r="K321" s="83">
        <f t="shared" si="148"/>
        <v>0</v>
      </c>
      <c r="L321" s="83">
        <f t="shared" si="148"/>
        <v>0</v>
      </c>
      <c r="M321" s="83">
        <f t="shared" si="148"/>
        <v>0</v>
      </c>
      <c r="N321" s="83">
        <f t="shared" si="148"/>
        <v>0</v>
      </c>
      <c r="O321" s="83">
        <f t="shared" si="148"/>
        <v>0</v>
      </c>
      <c r="P321" s="83">
        <f t="shared" si="148"/>
        <v>0</v>
      </c>
      <c r="Q321" s="83">
        <f t="shared" si="148"/>
        <v>0</v>
      </c>
      <c r="R321" s="83">
        <f t="shared" si="148"/>
        <v>0</v>
      </c>
      <c r="S321" s="83">
        <f t="shared" si="148"/>
        <v>0</v>
      </c>
      <c r="T321" s="83">
        <f t="shared" si="148"/>
        <v>0</v>
      </c>
      <c r="U321" s="83">
        <f t="shared" si="148"/>
        <v>0</v>
      </c>
      <c r="V321" s="83">
        <f t="shared" si="148"/>
        <v>0</v>
      </c>
      <c r="W321" s="84">
        <f t="shared" si="148"/>
        <v>0</v>
      </c>
    </row>
    <row r="322" spans="1:23" ht="12.75" hidden="1" customHeight="1" outlineLevel="2" x14ac:dyDescent="0.2">
      <c r="A322" s="30"/>
      <c r="B322" s="31" t="str">
        <f>Labels!B386</f>
        <v>Prof Level 2</v>
      </c>
      <c r="C322" s="43" t="str">
        <f>Labels!B330</f>
        <v>Supplies</v>
      </c>
      <c r="D322" s="43"/>
      <c r="E322" s="44"/>
      <c r="F322" s="83">
        <f>0</f>
        <v>0</v>
      </c>
      <c r="G322" s="83">
        <f t="shared" ref="G322:W322" si="149">F322</f>
        <v>0</v>
      </c>
      <c r="H322" s="83">
        <f t="shared" si="149"/>
        <v>0</v>
      </c>
      <c r="I322" s="83">
        <f t="shared" si="149"/>
        <v>0</v>
      </c>
      <c r="J322" s="83">
        <f t="shared" si="149"/>
        <v>0</v>
      </c>
      <c r="K322" s="83">
        <f t="shared" si="149"/>
        <v>0</v>
      </c>
      <c r="L322" s="83">
        <f t="shared" si="149"/>
        <v>0</v>
      </c>
      <c r="M322" s="83">
        <f t="shared" si="149"/>
        <v>0</v>
      </c>
      <c r="N322" s="83">
        <f t="shared" si="149"/>
        <v>0</v>
      </c>
      <c r="O322" s="83">
        <f t="shared" si="149"/>
        <v>0</v>
      </c>
      <c r="P322" s="83">
        <f t="shared" si="149"/>
        <v>0</v>
      </c>
      <c r="Q322" s="83">
        <f t="shared" si="149"/>
        <v>0</v>
      </c>
      <c r="R322" s="83">
        <f t="shared" si="149"/>
        <v>0</v>
      </c>
      <c r="S322" s="83">
        <f t="shared" si="149"/>
        <v>0</v>
      </c>
      <c r="T322" s="83">
        <f t="shared" si="149"/>
        <v>0</v>
      </c>
      <c r="U322" s="83">
        <f t="shared" si="149"/>
        <v>0</v>
      </c>
      <c r="V322" s="83">
        <f t="shared" si="149"/>
        <v>0</v>
      </c>
      <c r="W322" s="84">
        <f t="shared" si="149"/>
        <v>0</v>
      </c>
    </row>
    <row r="323" spans="1:23" ht="12.75" hidden="1" customHeight="1" outlineLevel="2" x14ac:dyDescent="0.2">
      <c r="A323" s="30"/>
      <c r="B323" s="31"/>
      <c r="C323" s="43" t="str">
        <f>Labels!B331</f>
        <v>Travel Entertain</v>
      </c>
      <c r="D323" s="43"/>
      <c r="E323" s="44"/>
      <c r="F323" s="83">
        <f>0</f>
        <v>0</v>
      </c>
      <c r="G323" s="83">
        <f t="shared" ref="G323:W323" si="150">F323</f>
        <v>0</v>
      </c>
      <c r="H323" s="83">
        <f t="shared" si="150"/>
        <v>0</v>
      </c>
      <c r="I323" s="83">
        <f t="shared" si="150"/>
        <v>0</v>
      </c>
      <c r="J323" s="83">
        <f t="shared" si="150"/>
        <v>0</v>
      </c>
      <c r="K323" s="83">
        <f t="shared" si="150"/>
        <v>0</v>
      </c>
      <c r="L323" s="83">
        <f t="shared" si="150"/>
        <v>0</v>
      </c>
      <c r="M323" s="83">
        <f t="shared" si="150"/>
        <v>0</v>
      </c>
      <c r="N323" s="83">
        <f t="shared" si="150"/>
        <v>0</v>
      </c>
      <c r="O323" s="83">
        <f t="shared" si="150"/>
        <v>0</v>
      </c>
      <c r="P323" s="83">
        <f t="shared" si="150"/>
        <v>0</v>
      </c>
      <c r="Q323" s="83">
        <f t="shared" si="150"/>
        <v>0</v>
      </c>
      <c r="R323" s="83">
        <f t="shared" si="150"/>
        <v>0</v>
      </c>
      <c r="S323" s="83">
        <f t="shared" si="150"/>
        <v>0</v>
      </c>
      <c r="T323" s="83">
        <f t="shared" si="150"/>
        <v>0</v>
      </c>
      <c r="U323" s="83">
        <f t="shared" si="150"/>
        <v>0</v>
      </c>
      <c r="V323" s="83">
        <f t="shared" si="150"/>
        <v>0</v>
      </c>
      <c r="W323" s="84">
        <f t="shared" si="150"/>
        <v>0</v>
      </c>
    </row>
    <row r="324" spans="1:23" ht="12.75" hidden="1" customHeight="1" outlineLevel="2" x14ac:dyDescent="0.2">
      <c r="A324" s="30"/>
      <c r="B324" s="31"/>
      <c r="C324" s="43" t="str">
        <f>Labels!B332</f>
        <v>Other</v>
      </c>
      <c r="D324" s="43"/>
      <c r="E324" s="44"/>
      <c r="F324" s="83">
        <f>0</f>
        <v>0</v>
      </c>
      <c r="G324" s="83">
        <f t="shared" ref="G324:W324" si="151">F324</f>
        <v>0</v>
      </c>
      <c r="H324" s="83">
        <f t="shared" si="151"/>
        <v>0</v>
      </c>
      <c r="I324" s="83">
        <f t="shared" si="151"/>
        <v>0</v>
      </c>
      <c r="J324" s="83">
        <f t="shared" si="151"/>
        <v>0</v>
      </c>
      <c r="K324" s="83">
        <f t="shared" si="151"/>
        <v>0</v>
      </c>
      <c r="L324" s="83">
        <f t="shared" si="151"/>
        <v>0</v>
      </c>
      <c r="M324" s="83">
        <f t="shared" si="151"/>
        <v>0</v>
      </c>
      <c r="N324" s="83">
        <f t="shared" si="151"/>
        <v>0</v>
      </c>
      <c r="O324" s="83">
        <f t="shared" si="151"/>
        <v>0</v>
      </c>
      <c r="P324" s="83">
        <f t="shared" si="151"/>
        <v>0</v>
      </c>
      <c r="Q324" s="83">
        <f t="shared" si="151"/>
        <v>0</v>
      </c>
      <c r="R324" s="83">
        <f t="shared" si="151"/>
        <v>0</v>
      </c>
      <c r="S324" s="83">
        <f t="shared" si="151"/>
        <v>0</v>
      </c>
      <c r="T324" s="83">
        <f t="shared" si="151"/>
        <v>0</v>
      </c>
      <c r="U324" s="83">
        <f t="shared" si="151"/>
        <v>0</v>
      </c>
      <c r="V324" s="83">
        <f t="shared" si="151"/>
        <v>0</v>
      </c>
      <c r="W324" s="84">
        <f t="shared" si="151"/>
        <v>0</v>
      </c>
    </row>
    <row r="325" spans="1:23" ht="12.75" hidden="1" customHeight="1" outlineLevel="2" x14ac:dyDescent="0.2">
      <c r="A325" s="5"/>
      <c r="B325" s="6"/>
      <c r="C325" s="6"/>
      <c r="D325" s="6"/>
      <c r="E325" s="7"/>
      <c r="F325" s="6"/>
      <c r="G325" s="6"/>
      <c r="H325" s="6"/>
      <c r="I325" s="6"/>
      <c r="J325" s="6"/>
      <c r="K325" s="6"/>
      <c r="L325" s="6"/>
      <c r="M325" s="6"/>
      <c r="N325" s="6"/>
      <c r="O325" s="6"/>
      <c r="P325" s="6"/>
      <c r="Q325" s="6"/>
      <c r="R325" s="6"/>
      <c r="S325" s="6"/>
      <c r="T325" s="6"/>
      <c r="U325" s="6"/>
      <c r="V325" s="6"/>
      <c r="W325" s="7"/>
    </row>
    <row r="326" spans="1:23" ht="12.75" hidden="1" customHeight="1" outlineLevel="2" x14ac:dyDescent="0.2">
      <c r="A326" s="30" t="str">
        <f>Labels!B148</f>
        <v>Per Sup Staff Exp (Yr)</v>
      </c>
      <c r="B326" s="31" t="str">
        <f>Labels!B321</f>
        <v>Marketing</v>
      </c>
      <c r="C326" s="43" t="str">
        <f>Labels!B330</f>
        <v>Supplies</v>
      </c>
      <c r="D326" s="43"/>
      <c r="E326" s="44"/>
      <c r="F326" s="83">
        <f>0</f>
        <v>0</v>
      </c>
      <c r="G326" s="83">
        <f t="shared" ref="G326:W326" si="152">F326</f>
        <v>0</v>
      </c>
      <c r="H326" s="83">
        <f t="shared" si="152"/>
        <v>0</v>
      </c>
      <c r="I326" s="83">
        <f t="shared" si="152"/>
        <v>0</v>
      </c>
      <c r="J326" s="83">
        <f t="shared" si="152"/>
        <v>0</v>
      </c>
      <c r="K326" s="83">
        <f t="shared" si="152"/>
        <v>0</v>
      </c>
      <c r="L326" s="83">
        <f t="shared" si="152"/>
        <v>0</v>
      </c>
      <c r="M326" s="83">
        <f t="shared" si="152"/>
        <v>0</v>
      </c>
      <c r="N326" s="83">
        <f t="shared" si="152"/>
        <v>0</v>
      </c>
      <c r="O326" s="83">
        <f t="shared" si="152"/>
        <v>0</v>
      </c>
      <c r="P326" s="83">
        <f t="shared" si="152"/>
        <v>0</v>
      </c>
      <c r="Q326" s="83">
        <f t="shared" si="152"/>
        <v>0</v>
      </c>
      <c r="R326" s="83">
        <f t="shared" si="152"/>
        <v>0</v>
      </c>
      <c r="S326" s="83">
        <f t="shared" si="152"/>
        <v>0</v>
      </c>
      <c r="T326" s="83">
        <f t="shared" si="152"/>
        <v>0</v>
      </c>
      <c r="U326" s="83">
        <f t="shared" si="152"/>
        <v>0</v>
      </c>
      <c r="V326" s="83">
        <f t="shared" si="152"/>
        <v>0</v>
      </c>
      <c r="W326" s="84">
        <f t="shared" si="152"/>
        <v>0</v>
      </c>
    </row>
    <row r="327" spans="1:23" ht="12.75" hidden="1" customHeight="1" outlineLevel="2" x14ac:dyDescent="0.2">
      <c r="A327" s="30"/>
      <c r="B327" s="31"/>
      <c r="C327" s="43" t="str">
        <f>Labels!B331</f>
        <v>Travel Entertain</v>
      </c>
      <c r="D327" s="43"/>
      <c r="E327" s="44"/>
      <c r="F327" s="83">
        <f>0</f>
        <v>0</v>
      </c>
      <c r="G327" s="83">
        <f t="shared" ref="G327:W327" si="153">F327</f>
        <v>0</v>
      </c>
      <c r="H327" s="83">
        <f t="shared" si="153"/>
        <v>0</v>
      </c>
      <c r="I327" s="83">
        <f t="shared" si="153"/>
        <v>0</v>
      </c>
      <c r="J327" s="83">
        <f t="shared" si="153"/>
        <v>0</v>
      </c>
      <c r="K327" s="83">
        <f t="shared" si="153"/>
        <v>0</v>
      </c>
      <c r="L327" s="83">
        <f t="shared" si="153"/>
        <v>0</v>
      </c>
      <c r="M327" s="83">
        <f t="shared" si="153"/>
        <v>0</v>
      </c>
      <c r="N327" s="83">
        <f t="shared" si="153"/>
        <v>0</v>
      </c>
      <c r="O327" s="83">
        <f t="shared" si="153"/>
        <v>0</v>
      </c>
      <c r="P327" s="83">
        <f t="shared" si="153"/>
        <v>0</v>
      </c>
      <c r="Q327" s="83">
        <f t="shared" si="153"/>
        <v>0</v>
      </c>
      <c r="R327" s="83">
        <f t="shared" si="153"/>
        <v>0</v>
      </c>
      <c r="S327" s="83">
        <f t="shared" si="153"/>
        <v>0</v>
      </c>
      <c r="T327" s="83">
        <f t="shared" si="153"/>
        <v>0</v>
      </c>
      <c r="U327" s="83">
        <f t="shared" si="153"/>
        <v>0</v>
      </c>
      <c r="V327" s="83">
        <f t="shared" si="153"/>
        <v>0</v>
      </c>
      <c r="W327" s="84">
        <f t="shared" si="153"/>
        <v>0</v>
      </c>
    </row>
    <row r="328" spans="1:23" ht="12.75" hidden="1" customHeight="1" outlineLevel="2" x14ac:dyDescent="0.2">
      <c r="A328" s="30"/>
      <c r="B328" s="31"/>
      <c r="C328" s="43" t="str">
        <f>Labels!B332</f>
        <v>Other</v>
      </c>
      <c r="D328" s="43"/>
      <c r="E328" s="44"/>
      <c r="F328" s="83">
        <f>0</f>
        <v>0</v>
      </c>
      <c r="G328" s="83">
        <f t="shared" ref="G328:W328" si="154">F328</f>
        <v>0</v>
      </c>
      <c r="H328" s="83">
        <f t="shared" si="154"/>
        <v>0</v>
      </c>
      <c r="I328" s="83">
        <f t="shared" si="154"/>
        <v>0</v>
      </c>
      <c r="J328" s="83">
        <f t="shared" si="154"/>
        <v>0</v>
      </c>
      <c r="K328" s="83">
        <f t="shared" si="154"/>
        <v>0</v>
      </c>
      <c r="L328" s="83">
        <f t="shared" si="154"/>
        <v>0</v>
      </c>
      <c r="M328" s="83">
        <f t="shared" si="154"/>
        <v>0</v>
      </c>
      <c r="N328" s="83">
        <f t="shared" si="154"/>
        <v>0</v>
      </c>
      <c r="O328" s="83">
        <f t="shared" si="154"/>
        <v>0</v>
      </c>
      <c r="P328" s="83">
        <f t="shared" si="154"/>
        <v>0</v>
      </c>
      <c r="Q328" s="83">
        <f t="shared" si="154"/>
        <v>0</v>
      </c>
      <c r="R328" s="83">
        <f t="shared" si="154"/>
        <v>0</v>
      </c>
      <c r="S328" s="83">
        <f t="shared" si="154"/>
        <v>0</v>
      </c>
      <c r="T328" s="83">
        <f t="shared" si="154"/>
        <v>0</v>
      </c>
      <c r="U328" s="83">
        <f t="shared" si="154"/>
        <v>0</v>
      </c>
      <c r="V328" s="83">
        <f t="shared" si="154"/>
        <v>0</v>
      </c>
      <c r="W328" s="84">
        <f t="shared" si="154"/>
        <v>0</v>
      </c>
    </row>
    <row r="329" spans="1:23" ht="12.75" hidden="1" customHeight="1" outlineLevel="2" x14ac:dyDescent="0.2">
      <c r="A329" s="30"/>
      <c r="B329" s="31" t="str">
        <f>Labels!B322</f>
        <v>Sales</v>
      </c>
      <c r="C329" s="43" t="str">
        <f>Labels!B330</f>
        <v>Supplies</v>
      </c>
      <c r="D329" s="43"/>
      <c r="E329" s="44"/>
      <c r="F329" s="83">
        <f>0</f>
        <v>0</v>
      </c>
      <c r="G329" s="83">
        <f t="shared" ref="G329:W329" si="155">F329</f>
        <v>0</v>
      </c>
      <c r="H329" s="83">
        <f t="shared" si="155"/>
        <v>0</v>
      </c>
      <c r="I329" s="83">
        <f t="shared" si="155"/>
        <v>0</v>
      </c>
      <c r="J329" s="83">
        <f t="shared" si="155"/>
        <v>0</v>
      </c>
      <c r="K329" s="83">
        <f t="shared" si="155"/>
        <v>0</v>
      </c>
      <c r="L329" s="83">
        <f t="shared" si="155"/>
        <v>0</v>
      </c>
      <c r="M329" s="83">
        <f t="shared" si="155"/>
        <v>0</v>
      </c>
      <c r="N329" s="83">
        <f t="shared" si="155"/>
        <v>0</v>
      </c>
      <c r="O329" s="83">
        <f t="shared" si="155"/>
        <v>0</v>
      </c>
      <c r="P329" s="83">
        <f t="shared" si="155"/>
        <v>0</v>
      </c>
      <c r="Q329" s="83">
        <f t="shared" si="155"/>
        <v>0</v>
      </c>
      <c r="R329" s="83">
        <f t="shared" si="155"/>
        <v>0</v>
      </c>
      <c r="S329" s="83">
        <f t="shared" si="155"/>
        <v>0</v>
      </c>
      <c r="T329" s="83">
        <f t="shared" si="155"/>
        <v>0</v>
      </c>
      <c r="U329" s="83">
        <f t="shared" si="155"/>
        <v>0</v>
      </c>
      <c r="V329" s="83">
        <f t="shared" si="155"/>
        <v>0</v>
      </c>
      <c r="W329" s="84">
        <f t="shared" si="155"/>
        <v>0</v>
      </c>
    </row>
    <row r="330" spans="1:23" ht="12.75" hidden="1" customHeight="1" outlineLevel="2" x14ac:dyDescent="0.2">
      <c r="A330" s="30"/>
      <c r="B330" s="31"/>
      <c r="C330" s="43" t="str">
        <f>Labels!B331</f>
        <v>Travel Entertain</v>
      </c>
      <c r="D330" s="43"/>
      <c r="E330" s="44"/>
      <c r="F330" s="83">
        <f>0</f>
        <v>0</v>
      </c>
      <c r="G330" s="83">
        <f t="shared" ref="G330:W330" si="156">F330</f>
        <v>0</v>
      </c>
      <c r="H330" s="83">
        <f t="shared" si="156"/>
        <v>0</v>
      </c>
      <c r="I330" s="83">
        <f t="shared" si="156"/>
        <v>0</v>
      </c>
      <c r="J330" s="83">
        <f t="shared" si="156"/>
        <v>0</v>
      </c>
      <c r="K330" s="83">
        <f t="shared" si="156"/>
        <v>0</v>
      </c>
      <c r="L330" s="83">
        <f t="shared" si="156"/>
        <v>0</v>
      </c>
      <c r="M330" s="83">
        <f t="shared" si="156"/>
        <v>0</v>
      </c>
      <c r="N330" s="83">
        <f t="shared" si="156"/>
        <v>0</v>
      </c>
      <c r="O330" s="83">
        <f t="shared" si="156"/>
        <v>0</v>
      </c>
      <c r="P330" s="83">
        <f t="shared" si="156"/>
        <v>0</v>
      </c>
      <c r="Q330" s="83">
        <f t="shared" si="156"/>
        <v>0</v>
      </c>
      <c r="R330" s="83">
        <f t="shared" si="156"/>
        <v>0</v>
      </c>
      <c r="S330" s="83">
        <f t="shared" si="156"/>
        <v>0</v>
      </c>
      <c r="T330" s="83">
        <f t="shared" si="156"/>
        <v>0</v>
      </c>
      <c r="U330" s="83">
        <f t="shared" si="156"/>
        <v>0</v>
      </c>
      <c r="V330" s="83">
        <f t="shared" si="156"/>
        <v>0</v>
      </c>
      <c r="W330" s="84">
        <f t="shared" si="156"/>
        <v>0</v>
      </c>
    </row>
    <row r="331" spans="1:23" ht="12.75" hidden="1" customHeight="1" outlineLevel="2" x14ac:dyDescent="0.2">
      <c r="A331" s="17"/>
      <c r="B331" s="35"/>
      <c r="C331" s="47" t="str">
        <f>Labels!B332</f>
        <v>Other</v>
      </c>
      <c r="D331" s="47"/>
      <c r="E331" s="48"/>
      <c r="F331" s="132">
        <f>0</f>
        <v>0</v>
      </c>
      <c r="G331" s="132">
        <f t="shared" ref="G331:W331" si="157">F331</f>
        <v>0</v>
      </c>
      <c r="H331" s="132">
        <f t="shared" si="157"/>
        <v>0</v>
      </c>
      <c r="I331" s="132">
        <f t="shared" si="157"/>
        <v>0</v>
      </c>
      <c r="J331" s="132">
        <f t="shared" si="157"/>
        <v>0</v>
      </c>
      <c r="K331" s="132">
        <f t="shared" si="157"/>
        <v>0</v>
      </c>
      <c r="L331" s="132">
        <f t="shared" si="157"/>
        <v>0</v>
      </c>
      <c r="M331" s="132">
        <f t="shared" si="157"/>
        <v>0</v>
      </c>
      <c r="N331" s="132">
        <f t="shared" si="157"/>
        <v>0</v>
      </c>
      <c r="O331" s="132">
        <f t="shared" si="157"/>
        <v>0</v>
      </c>
      <c r="P331" s="132">
        <f t="shared" si="157"/>
        <v>0</v>
      </c>
      <c r="Q331" s="132">
        <f t="shared" si="157"/>
        <v>0</v>
      </c>
      <c r="R331" s="132">
        <f t="shared" si="157"/>
        <v>0</v>
      </c>
      <c r="S331" s="132">
        <f t="shared" si="157"/>
        <v>0</v>
      </c>
      <c r="T331" s="132">
        <f t="shared" si="157"/>
        <v>0</v>
      </c>
      <c r="U331" s="132">
        <f t="shared" si="157"/>
        <v>0</v>
      </c>
      <c r="V331" s="132">
        <f t="shared" si="157"/>
        <v>0</v>
      </c>
      <c r="W331" s="133">
        <f t="shared" si="157"/>
        <v>0</v>
      </c>
    </row>
    <row r="332" spans="1:23" ht="12.75" hidden="1" customHeight="1" outlineLevel="2" collapsed="1" x14ac:dyDescent="0.2"/>
    <row r="333" spans="1:23" ht="12.75" hidden="1" customHeight="1" outlineLevel="1" collapsed="1" x14ac:dyDescent="0.2"/>
    <row r="334" spans="1:23" ht="12.75" customHeight="1" collapsed="1" x14ac:dyDescent="0.2"/>
    <row r="335" spans="1:23" ht="12.75" customHeight="1" collapsed="1" x14ac:dyDescent="0.2">
      <c r="A335" s="464" t="str">
        <f>"Financial and Tax Input Data"</f>
        <v>Financial and Tax Input Data</v>
      </c>
      <c r="B335" s="464"/>
      <c r="C335" s="464"/>
    </row>
    <row r="336" spans="1:23" ht="12.75" hidden="1" customHeight="1" outlineLevel="1" x14ac:dyDescent="0.2">
      <c r="A336" s="1" t="str">
        <f>""</f>
        <v/>
      </c>
    </row>
    <row r="337" spans="1:23" ht="12.75" hidden="1" customHeight="1" outlineLevel="1" x14ac:dyDescent="0.2">
      <c r="A337" s="465" t="str">
        <f>"Interest Rates"</f>
        <v>Interest Rates</v>
      </c>
      <c r="B337" s="465"/>
    </row>
    <row r="338" spans="1:23" ht="12.75" hidden="1" customHeight="1" outlineLevel="1" x14ac:dyDescent="0.2">
      <c r="F338" s="9" t="str">
        <f>'(FnCalls 1)'!F41</f>
        <v>MMM 2010</v>
      </c>
      <c r="G338" s="10" t="str">
        <f>'(FnCalls 1)'!F42</f>
        <v>MMM 2010</v>
      </c>
      <c r="H338" s="10" t="str">
        <f>'(FnCalls 1)'!F43</f>
        <v>MMM 2010</v>
      </c>
      <c r="I338" s="10" t="str">
        <f>'(FnCalls 1)'!F44</f>
        <v>MMM 2010</v>
      </c>
      <c r="J338" s="10" t="str">
        <f>'(FnCalls 1)'!F45</f>
        <v>MMM 2010</v>
      </c>
      <c r="K338" s="10" t="str">
        <f>'(FnCalls 1)'!F46</f>
        <v>MMM 2010</v>
      </c>
      <c r="L338" s="10" t="str">
        <f>'(FnCalls 1)'!F47</f>
        <v>MMM 2010</v>
      </c>
      <c r="M338" s="10" t="str">
        <f>'(FnCalls 1)'!F48</f>
        <v>MMM 2010</v>
      </c>
      <c r="N338" s="10" t="str">
        <f>'(FnCalls 1)'!F49</f>
        <v>MMM 2010</v>
      </c>
      <c r="O338" s="10" t="str">
        <f>'(FnCalls 1)'!F50</f>
        <v>MMM 2010</v>
      </c>
      <c r="P338" s="10" t="str">
        <f>'(FnCalls 1)'!F51</f>
        <v>MMM 2010</v>
      </c>
      <c r="Q338" s="10" t="str">
        <f>'(FnCalls 1)'!F52</f>
        <v>MMM 2010</v>
      </c>
      <c r="R338" s="10" t="str">
        <f>'(FnCalls 1)'!F53</f>
        <v>MMM 2011</v>
      </c>
      <c r="S338" s="10" t="str">
        <f>'(FnCalls 1)'!F54</f>
        <v>MMM 2011</v>
      </c>
      <c r="T338" s="10" t="str">
        <f>'(FnCalls 1)'!F55</f>
        <v>MMM 2011</v>
      </c>
      <c r="U338" s="10" t="str">
        <f>'(FnCalls 1)'!F56</f>
        <v>MMM 2011</v>
      </c>
      <c r="V338" s="10" t="str">
        <f>'(FnCalls 1)'!F57</f>
        <v>MMM 2011</v>
      </c>
      <c r="W338" s="11" t="str">
        <f>'(FnCalls 1)'!F58</f>
        <v>MMM 2011</v>
      </c>
    </row>
    <row r="339" spans="1:23" ht="12.75" hidden="1" customHeight="1" outlineLevel="1" x14ac:dyDescent="0.2">
      <c r="A339" s="12" t="str">
        <f>Labels!B109</f>
        <v>Short Interest Rate (Yr)</v>
      </c>
      <c r="B339" s="13"/>
      <c r="C339" s="13"/>
      <c r="D339" s="13"/>
      <c r="E339" s="14"/>
      <c r="F339" s="112">
        <f>0</f>
        <v>0</v>
      </c>
      <c r="G339" s="112">
        <f t="shared" ref="G339:W339" si="158">F339</f>
        <v>0</v>
      </c>
      <c r="H339" s="112">
        <f t="shared" si="158"/>
        <v>0</v>
      </c>
      <c r="I339" s="112">
        <f t="shared" si="158"/>
        <v>0</v>
      </c>
      <c r="J339" s="112">
        <f t="shared" si="158"/>
        <v>0</v>
      </c>
      <c r="K339" s="112">
        <f t="shared" si="158"/>
        <v>0</v>
      </c>
      <c r="L339" s="112">
        <f t="shared" si="158"/>
        <v>0</v>
      </c>
      <c r="M339" s="112">
        <f t="shared" si="158"/>
        <v>0</v>
      </c>
      <c r="N339" s="112">
        <f t="shared" si="158"/>
        <v>0</v>
      </c>
      <c r="O339" s="112">
        <f t="shared" si="158"/>
        <v>0</v>
      </c>
      <c r="P339" s="112">
        <f t="shared" si="158"/>
        <v>0</v>
      </c>
      <c r="Q339" s="112">
        <f t="shared" si="158"/>
        <v>0</v>
      </c>
      <c r="R339" s="112">
        <f t="shared" si="158"/>
        <v>0</v>
      </c>
      <c r="S339" s="112">
        <f t="shared" si="158"/>
        <v>0</v>
      </c>
      <c r="T339" s="112">
        <f t="shared" si="158"/>
        <v>0</v>
      </c>
      <c r="U339" s="112">
        <f t="shared" si="158"/>
        <v>0</v>
      </c>
      <c r="V339" s="112">
        <f t="shared" si="158"/>
        <v>0</v>
      </c>
      <c r="W339" s="113">
        <f t="shared" si="158"/>
        <v>0</v>
      </c>
    </row>
    <row r="340" spans="1:23" ht="12.75" hidden="1" customHeight="1" outlineLevel="1" x14ac:dyDescent="0.2">
      <c r="A340" s="30" t="str">
        <f>Labels!B108</f>
        <v>Long Interest Rate (Yr)</v>
      </c>
      <c r="B340" s="3"/>
      <c r="C340" s="3"/>
      <c r="D340" s="3"/>
      <c r="E340" s="121"/>
      <c r="F340" s="134">
        <f>0</f>
        <v>0</v>
      </c>
      <c r="G340" s="134">
        <f t="shared" ref="G340:W340" si="159">F340</f>
        <v>0</v>
      </c>
      <c r="H340" s="134">
        <f t="shared" si="159"/>
        <v>0</v>
      </c>
      <c r="I340" s="134">
        <f t="shared" si="159"/>
        <v>0</v>
      </c>
      <c r="J340" s="134">
        <f t="shared" si="159"/>
        <v>0</v>
      </c>
      <c r="K340" s="134">
        <f t="shared" si="159"/>
        <v>0</v>
      </c>
      <c r="L340" s="134">
        <f t="shared" si="159"/>
        <v>0</v>
      </c>
      <c r="M340" s="134">
        <f t="shared" si="159"/>
        <v>0</v>
      </c>
      <c r="N340" s="134">
        <f t="shared" si="159"/>
        <v>0</v>
      </c>
      <c r="O340" s="134">
        <f t="shared" si="159"/>
        <v>0</v>
      </c>
      <c r="P340" s="134">
        <f t="shared" si="159"/>
        <v>0</v>
      </c>
      <c r="Q340" s="134">
        <f t="shared" si="159"/>
        <v>0</v>
      </c>
      <c r="R340" s="134">
        <f t="shared" si="159"/>
        <v>0</v>
      </c>
      <c r="S340" s="134">
        <f t="shared" si="159"/>
        <v>0</v>
      </c>
      <c r="T340" s="134">
        <f t="shared" si="159"/>
        <v>0</v>
      </c>
      <c r="U340" s="134">
        <f t="shared" si="159"/>
        <v>0</v>
      </c>
      <c r="V340" s="134">
        <f t="shared" si="159"/>
        <v>0</v>
      </c>
      <c r="W340" s="135">
        <f t="shared" si="159"/>
        <v>0</v>
      </c>
    </row>
    <row r="341" spans="1:23" ht="12.75" hidden="1" customHeight="1" outlineLevel="1" x14ac:dyDescent="0.2">
      <c r="A341" s="30" t="str">
        <f>Labels!B107</f>
        <v>Interest % Earned on Cash (Yr)</v>
      </c>
      <c r="B341" s="3"/>
      <c r="C341" s="3"/>
      <c r="D341" s="3"/>
      <c r="E341" s="121"/>
      <c r="F341" s="134">
        <f>0</f>
        <v>0</v>
      </c>
      <c r="G341" s="134">
        <f t="shared" ref="G341:W341" si="160">F341</f>
        <v>0</v>
      </c>
      <c r="H341" s="134">
        <f t="shared" si="160"/>
        <v>0</v>
      </c>
      <c r="I341" s="134">
        <f t="shared" si="160"/>
        <v>0</v>
      </c>
      <c r="J341" s="134">
        <f t="shared" si="160"/>
        <v>0</v>
      </c>
      <c r="K341" s="134">
        <f t="shared" si="160"/>
        <v>0</v>
      </c>
      <c r="L341" s="134">
        <f t="shared" si="160"/>
        <v>0</v>
      </c>
      <c r="M341" s="134">
        <f t="shared" si="160"/>
        <v>0</v>
      </c>
      <c r="N341" s="134">
        <f t="shared" si="160"/>
        <v>0</v>
      </c>
      <c r="O341" s="134">
        <f t="shared" si="160"/>
        <v>0</v>
      </c>
      <c r="P341" s="134">
        <f t="shared" si="160"/>
        <v>0</v>
      </c>
      <c r="Q341" s="134">
        <f t="shared" si="160"/>
        <v>0</v>
      </c>
      <c r="R341" s="134">
        <f t="shared" si="160"/>
        <v>0</v>
      </c>
      <c r="S341" s="134">
        <f t="shared" si="160"/>
        <v>0</v>
      </c>
      <c r="T341" s="134">
        <f t="shared" si="160"/>
        <v>0</v>
      </c>
      <c r="U341" s="134">
        <f t="shared" si="160"/>
        <v>0</v>
      </c>
      <c r="V341" s="134">
        <f t="shared" si="160"/>
        <v>0</v>
      </c>
      <c r="W341" s="135">
        <f t="shared" si="160"/>
        <v>0</v>
      </c>
    </row>
    <row r="342" spans="1:23" ht="12.75" hidden="1" customHeight="1" outlineLevel="1" x14ac:dyDescent="0.2">
      <c r="A342" s="17" t="str">
        <f>Labels!B16</f>
        <v>Bad Debt %</v>
      </c>
      <c r="B342" s="18"/>
      <c r="C342" s="18"/>
      <c r="D342" s="18"/>
      <c r="E342" s="19"/>
      <c r="F342" s="108">
        <f>0</f>
        <v>0</v>
      </c>
      <c r="G342" s="108">
        <f t="shared" ref="G342:W342" si="161">F342</f>
        <v>0</v>
      </c>
      <c r="H342" s="108">
        <f t="shared" si="161"/>
        <v>0</v>
      </c>
      <c r="I342" s="108">
        <f t="shared" si="161"/>
        <v>0</v>
      </c>
      <c r="J342" s="108">
        <f t="shared" si="161"/>
        <v>0</v>
      </c>
      <c r="K342" s="108">
        <f t="shared" si="161"/>
        <v>0</v>
      </c>
      <c r="L342" s="108">
        <f t="shared" si="161"/>
        <v>0</v>
      </c>
      <c r="M342" s="108">
        <f t="shared" si="161"/>
        <v>0</v>
      </c>
      <c r="N342" s="108">
        <f t="shared" si="161"/>
        <v>0</v>
      </c>
      <c r="O342" s="108">
        <f t="shared" si="161"/>
        <v>0</v>
      </c>
      <c r="P342" s="108">
        <f t="shared" si="161"/>
        <v>0</v>
      </c>
      <c r="Q342" s="108">
        <f t="shared" si="161"/>
        <v>0</v>
      </c>
      <c r="R342" s="108">
        <f t="shared" si="161"/>
        <v>0</v>
      </c>
      <c r="S342" s="108">
        <f t="shared" si="161"/>
        <v>0</v>
      </c>
      <c r="T342" s="108">
        <f t="shared" si="161"/>
        <v>0</v>
      </c>
      <c r="U342" s="108">
        <f t="shared" si="161"/>
        <v>0</v>
      </c>
      <c r="V342" s="108">
        <f t="shared" si="161"/>
        <v>0</v>
      </c>
      <c r="W342" s="109">
        <f t="shared" si="161"/>
        <v>0</v>
      </c>
    </row>
    <row r="343" spans="1:23" ht="12.75" hidden="1" customHeight="1" outlineLevel="1" x14ac:dyDescent="0.2"/>
    <row r="344" spans="1:23" ht="12.75" hidden="1" customHeight="1" outlineLevel="1" x14ac:dyDescent="0.2">
      <c r="A344" s="3" t="str">
        <f>"Tax Input Data"</f>
        <v>Tax Input Data</v>
      </c>
    </row>
    <row r="345" spans="1:23" ht="12.75" hidden="1" customHeight="1" outlineLevel="1" x14ac:dyDescent="0.2">
      <c r="A345" s="5" t="str">
        <f>Labels!B105</f>
        <v>Income Tax Rate</v>
      </c>
      <c r="B345" s="6"/>
      <c r="C345" s="6"/>
      <c r="D345" s="6"/>
      <c r="E345" s="7"/>
      <c r="F345" s="110">
        <f>0</f>
        <v>0</v>
      </c>
      <c r="G345" s="110">
        <f t="shared" ref="G345:W345" si="162">F345</f>
        <v>0</v>
      </c>
      <c r="H345" s="110">
        <f t="shared" si="162"/>
        <v>0</v>
      </c>
      <c r="I345" s="110">
        <f t="shared" si="162"/>
        <v>0</v>
      </c>
      <c r="J345" s="110">
        <f t="shared" si="162"/>
        <v>0</v>
      </c>
      <c r="K345" s="110">
        <f t="shared" si="162"/>
        <v>0</v>
      </c>
      <c r="L345" s="110">
        <f t="shared" si="162"/>
        <v>0</v>
      </c>
      <c r="M345" s="110">
        <f t="shared" si="162"/>
        <v>0</v>
      </c>
      <c r="N345" s="110">
        <f t="shared" si="162"/>
        <v>0</v>
      </c>
      <c r="O345" s="110">
        <f t="shared" si="162"/>
        <v>0</v>
      </c>
      <c r="P345" s="110">
        <f t="shared" si="162"/>
        <v>0</v>
      </c>
      <c r="Q345" s="110">
        <f t="shared" si="162"/>
        <v>0</v>
      </c>
      <c r="R345" s="110">
        <f t="shared" si="162"/>
        <v>0</v>
      </c>
      <c r="S345" s="110">
        <f t="shared" si="162"/>
        <v>0</v>
      </c>
      <c r="T345" s="110">
        <f t="shared" si="162"/>
        <v>0</v>
      </c>
      <c r="U345" s="110">
        <f t="shared" si="162"/>
        <v>0</v>
      </c>
      <c r="V345" s="110">
        <f t="shared" si="162"/>
        <v>0</v>
      </c>
      <c r="W345" s="111">
        <f t="shared" si="162"/>
        <v>0</v>
      </c>
    </row>
    <row r="346" spans="1:23" ht="12.75" hidden="1" customHeight="1" outlineLevel="1" x14ac:dyDescent="0.2"/>
    <row r="347" spans="1:23" ht="12.75" hidden="1" customHeight="1" outlineLevel="1" x14ac:dyDescent="0.2">
      <c r="A347" s="3" t="str">
        <f>"Discount Rates"</f>
        <v>Discount Rates</v>
      </c>
    </row>
    <row r="348" spans="1:23" ht="12.75" hidden="1" customHeight="1" outlineLevel="1" x14ac:dyDescent="0.2">
      <c r="A348" s="5" t="str">
        <f>Labels!B63</f>
        <v>Discount Rate Direct (Yr)</v>
      </c>
      <c r="B348" s="6"/>
      <c r="C348" s="6"/>
      <c r="D348" s="6"/>
      <c r="E348" s="7"/>
      <c r="F348" s="110">
        <f>0</f>
        <v>0</v>
      </c>
      <c r="G348" s="110">
        <f t="shared" ref="G348:W348" si="163">F348</f>
        <v>0</v>
      </c>
      <c r="H348" s="110">
        <f t="shared" si="163"/>
        <v>0</v>
      </c>
      <c r="I348" s="110">
        <f t="shared" si="163"/>
        <v>0</v>
      </c>
      <c r="J348" s="110">
        <f t="shared" si="163"/>
        <v>0</v>
      </c>
      <c r="K348" s="110">
        <f t="shared" si="163"/>
        <v>0</v>
      </c>
      <c r="L348" s="110">
        <f t="shared" si="163"/>
        <v>0</v>
      </c>
      <c r="M348" s="110">
        <f t="shared" si="163"/>
        <v>0</v>
      </c>
      <c r="N348" s="110">
        <f t="shared" si="163"/>
        <v>0</v>
      </c>
      <c r="O348" s="110">
        <f t="shared" si="163"/>
        <v>0</v>
      </c>
      <c r="P348" s="110">
        <f t="shared" si="163"/>
        <v>0</v>
      </c>
      <c r="Q348" s="110">
        <f t="shared" si="163"/>
        <v>0</v>
      </c>
      <c r="R348" s="110">
        <f t="shared" si="163"/>
        <v>0</v>
      </c>
      <c r="S348" s="110">
        <f t="shared" si="163"/>
        <v>0</v>
      </c>
      <c r="T348" s="110">
        <f t="shared" si="163"/>
        <v>0</v>
      </c>
      <c r="U348" s="110">
        <f t="shared" si="163"/>
        <v>0</v>
      </c>
      <c r="V348" s="110">
        <f t="shared" si="163"/>
        <v>0</v>
      </c>
      <c r="W348" s="111">
        <f t="shared" si="163"/>
        <v>0</v>
      </c>
    </row>
    <row r="349" spans="1:23" ht="12.75" hidden="1" customHeight="1" outlineLevel="1" x14ac:dyDescent="0.2"/>
    <row r="350" spans="1:23" ht="12.75" hidden="1" customHeight="1" outlineLevel="1" collapsed="1" x14ac:dyDescent="0.2"/>
    <row r="351" spans="1:23" ht="12.75" customHeight="1" collapsed="1" x14ac:dyDescent="0.2"/>
    <row r="352" spans="1:23" ht="12.75" customHeight="1" collapsed="1" x14ac:dyDescent="0.2">
      <c r="A352" s="464" t="str">
        <f>"Asset Input Data"</f>
        <v>Asset Input Data</v>
      </c>
      <c r="B352" s="464"/>
    </row>
    <row r="353" spans="1:23" ht="12.75" hidden="1" customHeight="1" outlineLevel="1" x14ac:dyDescent="0.2">
      <c r="A353" s="1" t="str">
        <f>""</f>
        <v/>
      </c>
    </row>
    <row r="354" spans="1:23" ht="12.75" hidden="1" customHeight="1" outlineLevel="1" x14ac:dyDescent="0.2">
      <c r="A354" s="3" t="str">
        <f>"Short Term Assets"</f>
        <v>Short Term Assets</v>
      </c>
    </row>
    <row r="355" spans="1:23" ht="12.75" hidden="1" customHeight="1" outlineLevel="2" x14ac:dyDescent="0.2">
      <c r="A355" s="1" t="str">
        <f>"Cash"</f>
        <v>Cash</v>
      </c>
    </row>
    <row r="356" spans="1:23" ht="12.75" hidden="1" customHeight="1" outlineLevel="2" x14ac:dyDescent="0.2">
      <c r="A356" s="1" t="str">
        <f>" "</f>
        <v xml:space="preserve"> </v>
      </c>
    </row>
    <row r="357" spans="1:23" ht="12.75" hidden="1" customHeight="1" outlineLevel="2" x14ac:dyDescent="0.2">
      <c r="A357" s="12" t="str">
        <f>Labels!B27</f>
        <v>Initial_Cash</v>
      </c>
      <c r="B357" s="13"/>
      <c r="C357" s="13"/>
      <c r="D357" s="13"/>
      <c r="E357" s="14"/>
      <c r="F357" s="136"/>
    </row>
    <row r="358" spans="1:23" ht="12.75" hidden="1" customHeight="1" outlineLevel="2" x14ac:dyDescent="0.2">
      <c r="A358" s="5"/>
      <c r="B358" s="6"/>
      <c r="C358" s="6"/>
      <c r="D358" s="6"/>
      <c r="E358" s="7"/>
      <c r="F358" s="97"/>
    </row>
    <row r="359" spans="1:23" ht="12.75" hidden="1" customHeight="1" outlineLevel="2" x14ac:dyDescent="0.2">
      <c r="F359" s="9" t="str">
        <f>'(FnCalls 1)'!F41</f>
        <v>MMM 2010</v>
      </c>
      <c r="G359" s="10" t="str">
        <f>'(FnCalls 1)'!F42</f>
        <v>MMM 2010</v>
      </c>
      <c r="H359" s="10" t="str">
        <f>'(FnCalls 1)'!F43</f>
        <v>MMM 2010</v>
      </c>
      <c r="I359" s="10" t="str">
        <f>'(FnCalls 1)'!F44</f>
        <v>MMM 2010</v>
      </c>
      <c r="J359" s="10" t="str">
        <f>'(FnCalls 1)'!F45</f>
        <v>MMM 2010</v>
      </c>
      <c r="K359" s="10" t="str">
        <f>'(FnCalls 1)'!F46</f>
        <v>MMM 2010</v>
      </c>
      <c r="L359" s="10" t="str">
        <f>'(FnCalls 1)'!F47</f>
        <v>MMM 2010</v>
      </c>
      <c r="M359" s="10" t="str">
        <f>'(FnCalls 1)'!F48</f>
        <v>MMM 2010</v>
      </c>
      <c r="N359" s="10" t="str">
        <f>'(FnCalls 1)'!F49</f>
        <v>MMM 2010</v>
      </c>
      <c r="O359" s="10" t="str">
        <f>'(FnCalls 1)'!F50</f>
        <v>MMM 2010</v>
      </c>
      <c r="P359" s="10" t="str">
        <f>'(FnCalls 1)'!F51</f>
        <v>MMM 2010</v>
      </c>
      <c r="Q359" s="10" t="str">
        <f>'(FnCalls 1)'!F52</f>
        <v>MMM 2010</v>
      </c>
      <c r="R359" s="10" t="str">
        <f>'(FnCalls 1)'!F53</f>
        <v>MMM 2011</v>
      </c>
      <c r="S359" s="10" t="str">
        <f>'(FnCalls 1)'!F54</f>
        <v>MMM 2011</v>
      </c>
      <c r="T359" s="10" t="str">
        <f>'(FnCalls 1)'!F55</f>
        <v>MMM 2011</v>
      </c>
      <c r="U359" s="10" t="str">
        <f>'(FnCalls 1)'!F56</f>
        <v>MMM 2011</v>
      </c>
      <c r="V359" s="10" t="str">
        <f>'(FnCalls 1)'!F57</f>
        <v>MMM 2011</v>
      </c>
      <c r="W359" s="11" t="str">
        <f>'(FnCalls 1)'!F58</f>
        <v>MMM 2011</v>
      </c>
    </row>
    <row r="360" spans="1:23" ht="12.75" hidden="1" customHeight="1" outlineLevel="2" x14ac:dyDescent="0.2">
      <c r="A360" s="5" t="str">
        <f>Labels!B31</f>
        <v>Cash Target Days</v>
      </c>
      <c r="B360" s="6"/>
      <c r="C360" s="6"/>
      <c r="D360" s="6"/>
      <c r="E360" s="7"/>
      <c r="F360" s="137">
        <f>30</f>
        <v>30</v>
      </c>
      <c r="G360" s="137">
        <f t="shared" ref="G360:W360" si="164">F360</f>
        <v>30</v>
      </c>
      <c r="H360" s="137">
        <f t="shared" si="164"/>
        <v>30</v>
      </c>
      <c r="I360" s="137">
        <f t="shared" si="164"/>
        <v>30</v>
      </c>
      <c r="J360" s="137">
        <f t="shared" si="164"/>
        <v>30</v>
      </c>
      <c r="K360" s="137">
        <f t="shared" si="164"/>
        <v>30</v>
      </c>
      <c r="L360" s="137">
        <f t="shared" si="164"/>
        <v>30</v>
      </c>
      <c r="M360" s="137">
        <f t="shared" si="164"/>
        <v>30</v>
      </c>
      <c r="N360" s="137">
        <f t="shared" si="164"/>
        <v>30</v>
      </c>
      <c r="O360" s="137">
        <f t="shared" si="164"/>
        <v>30</v>
      </c>
      <c r="P360" s="137">
        <f t="shared" si="164"/>
        <v>30</v>
      </c>
      <c r="Q360" s="137">
        <f t="shared" si="164"/>
        <v>30</v>
      </c>
      <c r="R360" s="137">
        <f t="shared" si="164"/>
        <v>30</v>
      </c>
      <c r="S360" s="137">
        <f t="shared" si="164"/>
        <v>30</v>
      </c>
      <c r="T360" s="137">
        <f t="shared" si="164"/>
        <v>30</v>
      </c>
      <c r="U360" s="137">
        <f t="shared" si="164"/>
        <v>30</v>
      </c>
      <c r="V360" s="137">
        <f t="shared" si="164"/>
        <v>30</v>
      </c>
      <c r="W360" s="138">
        <f t="shared" si="164"/>
        <v>30</v>
      </c>
    </row>
    <row r="361" spans="1:23" ht="12.75" hidden="1" customHeight="1" outlineLevel="2" x14ac:dyDescent="0.2"/>
    <row r="362" spans="1:23" ht="12.75" hidden="1" customHeight="1" outlineLevel="2" x14ac:dyDescent="0.2">
      <c r="A362" s="1" t="str">
        <f>"Accounts Receivable"</f>
        <v>Accounts Receivable</v>
      </c>
    </row>
    <row r="363" spans="1:23" ht="12.75" hidden="1" customHeight="1" outlineLevel="2" x14ac:dyDescent="0.2">
      <c r="A363" s="1" t="str">
        <f>" "</f>
        <v xml:space="preserve"> </v>
      </c>
    </row>
    <row r="364" spans="1:23" ht="12.75" hidden="1" customHeight="1" outlineLevel="2" x14ac:dyDescent="0.2">
      <c r="A364" s="5" t="str">
        <f>Labels!B12</f>
        <v>Initial Accts Receivable</v>
      </c>
      <c r="B364" s="6"/>
      <c r="C364" s="6"/>
      <c r="D364" s="6"/>
      <c r="E364" s="7"/>
      <c r="F364" s="139"/>
    </row>
    <row r="365" spans="1:23" ht="12.75" hidden="1" customHeight="1" outlineLevel="2" x14ac:dyDescent="0.2">
      <c r="F365" s="9" t="str">
        <f>'(FnCalls 1)'!F41</f>
        <v>MMM 2010</v>
      </c>
      <c r="G365" s="10" t="str">
        <f>'(FnCalls 1)'!F42</f>
        <v>MMM 2010</v>
      </c>
      <c r="H365" s="10" t="str">
        <f>'(FnCalls 1)'!F43</f>
        <v>MMM 2010</v>
      </c>
      <c r="I365" s="10" t="str">
        <f>'(FnCalls 1)'!F44</f>
        <v>MMM 2010</v>
      </c>
      <c r="J365" s="10" t="str">
        <f>'(FnCalls 1)'!F45</f>
        <v>MMM 2010</v>
      </c>
      <c r="K365" s="10" t="str">
        <f>'(FnCalls 1)'!F46</f>
        <v>MMM 2010</v>
      </c>
      <c r="L365" s="10" t="str">
        <f>'(FnCalls 1)'!F47</f>
        <v>MMM 2010</v>
      </c>
      <c r="M365" s="10" t="str">
        <f>'(FnCalls 1)'!F48</f>
        <v>MMM 2010</v>
      </c>
      <c r="N365" s="10" t="str">
        <f>'(FnCalls 1)'!F49</f>
        <v>MMM 2010</v>
      </c>
      <c r="O365" s="10" t="str">
        <f>'(FnCalls 1)'!F50</f>
        <v>MMM 2010</v>
      </c>
      <c r="P365" s="10" t="str">
        <f>'(FnCalls 1)'!F51</f>
        <v>MMM 2010</v>
      </c>
      <c r="Q365" s="10" t="str">
        <f>'(FnCalls 1)'!F52</f>
        <v>MMM 2010</v>
      </c>
      <c r="R365" s="10" t="str">
        <f>'(FnCalls 1)'!F53</f>
        <v>MMM 2011</v>
      </c>
      <c r="S365" s="10" t="str">
        <f>'(FnCalls 1)'!F54</f>
        <v>MMM 2011</v>
      </c>
      <c r="T365" s="10" t="str">
        <f>'(FnCalls 1)'!F55</f>
        <v>MMM 2011</v>
      </c>
      <c r="U365" s="10" t="str">
        <f>'(FnCalls 1)'!F56</f>
        <v>MMM 2011</v>
      </c>
      <c r="V365" s="10" t="str">
        <f>'(FnCalls 1)'!F57</f>
        <v>MMM 2011</v>
      </c>
      <c r="W365" s="11" t="str">
        <f>'(FnCalls 1)'!F58</f>
        <v>MMM 2011</v>
      </c>
    </row>
    <row r="366" spans="1:23" ht="12.75" hidden="1" customHeight="1" outlineLevel="2" x14ac:dyDescent="0.2">
      <c r="A366" s="5" t="str">
        <f>Labels!B10</f>
        <v>Accts Receivable Days</v>
      </c>
      <c r="B366" s="6"/>
      <c r="C366" s="6"/>
      <c r="D366" s="6"/>
      <c r="E366" s="7"/>
      <c r="F366" s="140">
        <f>60</f>
        <v>60</v>
      </c>
      <c r="G366" s="140">
        <f t="shared" ref="G366:W366" si="165">F366</f>
        <v>60</v>
      </c>
      <c r="H366" s="140">
        <f t="shared" si="165"/>
        <v>60</v>
      </c>
      <c r="I366" s="140">
        <f t="shared" si="165"/>
        <v>60</v>
      </c>
      <c r="J366" s="140">
        <f t="shared" si="165"/>
        <v>60</v>
      </c>
      <c r="K366" s="140">
        <f t="shared" si="165"/>
        <v>60</v>
      </c>
      <c r="L366" s="140">
        <f t="shared" si="165"/>
        <v>60</v>
      </c>
      <c r="M366" s="140">
        <f t="shared" si="165"/>
        <v>60</v>
      </c>
      <c r="N366" s="140">
        <f t="shared" si="165"/>
        <v>60</v>
      </c>
      <c r="O366" s="140">
        <f t="shared" si="165"/>
        <v>60</v>
      </c>
      <c r="P366" s="140">
        <f t="shared" si="165"/>
        <v>60</v>
      </c>
      <c r="Q366" s="140">
        <f t="shared" si="165"/>
        <v>60</v>
      </c>
      <c r="R366" s="140">
        <f t="shared" si="165"/>
        <v>60</v>
      </c>
      <c r="S366" s="140">
        <f t="shared" si="165"/>
        <v>60</v>
      </c>
      <c r="T366" s="140">
        <f t="shared" si="165"/>
        <v>60</v>
      </c>
      <c r="U366" s="140">
        <f t="shared" si="165"/>
        <v>60</v>
      </c>
      <c r="V366" s="140">
        <f t="shared" si="165"/>
        <v>60</v>
      </c>
      <c r="W366" s="141">
        <f t="shared" si="165"/>
        <v>60</v>
      </c>
    </row>
    <row r="367" spans="1:23" ht="12.75" hidden="1" customHeight="1" outlineLevel="2" x14ac:dyDescent="0.2"/>
    <row r="368" spans="1:23" ht="12.75" hidden="1" customHeight="1" outlineLevel="2" collapsed="1" x14ac:dyDescent="0.2"/>
    <row r="369" spans="1:12" ht="12.75" hidden="1" customHeight="1" outlineLevel="1" collapsed="1" x14ac:dyDescent="0.2">
      <c r="A369" s="3" t="str">
        <f>"Long Term Assets"</f>
        <v>Long Term Assets</v>
      </c>
    </row>
    <row r="370" spans="1:12" ht="12.75" hidden="1" customHeight="1" outlineLevel="2" x14ac:dyDescent="0.2">
      <c r="A370" s="3" t="str">
        <f>" "</f>
        <v xml:space="preserve"> </v>
      </c>
    </row>
    <row r="371" spans="1:12" ht="12.75" hidden="1" customHeight="1" outlineLevel="2" x14ac:dyDescent="0.2">
      <c r="A371" s="1" t="str">
        <f>"Tagged Assets"</f>
        <v>Tagged Assets</v>
      </c>
    </row>
    <row r="372" spans="1:12" ht="12.75" hidden="1" customHeight="1" outlineLevel="2" x14ac:dyDescent="0.2">
      <c r="F372" s="9" t="str">
        <f>Labels!B274</f>
        <v>Asset Name</v>
      </c>
      <c r="G372" s="10" t="str">
        <f>Labels!B276</f>
        <v>Purch Date</v>
      </c>
      <c r="H372" s="10" t="str">
        <f>Labels!B269</f>
        <v>Initial Value</v>
      </c>
      <c r="I372" s="10" t="str">
        <f>Labels!B267</f>
        <v>Depr Method</v>
      </c>
      <c r="J372" s="10" t="str">
        <f>Labels!B271</f>
        <v>Depr Life (Yr)</v>
      </c>
      <c r="K372" s="10" t="str">
        <f>Labels!B273</f>
        <v>Physical Life (Yr)</v>
      </c>
      <c r="L372" s="11" t="str">
        <f>Labels!B278</f>
        <v>Salvage Value</v>
      </c>
    </row>
    <row r="373" spans="1:12" ht="12.75" hidden="1" customHeight="1" outlineLevel="2" x14ac:dyDescent="0.2">
      <c r="A373" s="12" t="str">
        <f>Labels!B306</f>
        <v>Building A</v>
      </c>
      <c r="B373" s="13"/>
      <c r="C373" s="13"/>
      <c r="D373" s="13"/>
      <c r="E373" s="14"/>
      <c r="F373" s="15" t="str">
        <f>"Tagged Asset "&amp;1</f>
        <v>Tagged Asset 1</v>
      </c>
      <c r="G373" s="142">
        <f>'(FnCalls 1)'!A59</f>
        <v>40725</v>
      </c>
      <c r="H373" s="143">
        <f>0/2</f>
        <v>0</v>
      </c>
      <c r="I373" s="15" t="str">
        <f>"SLN"</f>
        <v>SLN</v>
      </c>
      <c r="J373" s="144">
        <f>10</f>
        <v>10</v>
      </c>
      <c r="K373" s="144">
        <f>J373</f>
        <v>10</v>
      </c>
      <c r="L373" s="145">
        <f>0/2</f>
        <v>0</v>
      </c>
    </row>
    <row r="374" spans="1:12" ht="12.75" hidden="1" customHeight="1" outlineLevel="2" x14ac:dyDescent="0.2">
      <c r="A374" s="17" t="str">
        <f>Labels!B307</f>
        <v>Building B</v>
      </c>
      <c r="B374" s="18"/>
      <c r="C374" s="18"/>
      <c r="D374" s="18"/>
      <c r="E374" s="19"/>
      <c r="F374" s="20" t="str">
        <f>"Tagged Asset "&amp;2</f>
        <v>Tagged Asset 2</v>
      </c>
      <c r="G374" s="146">
        <f>'(FnCalls 1)'!A59</f>
        <v>40725</v>
      </c>
      <c r="H374" s="147">
        <f>0/2</f>
        <v>0</v>
      </c>
      <c r="I374" s="20" t="str">
        <f>"SLN"</f>
        <v>SLN</v>
      </c>
      <c r="J374" s="148">
        <f>10</f>
        <v>10</v>
      </c>
      <c r="K374" s="148">
        <f>J374</f>
        <v>10</v>
      </c>
      <c r="L374" s="149">
        <f>0/2</f>
        <v>0</v>
      </c>
    </row>
    <row r="375" spans="1:12" ht="12.75" hidden="1" customHeight="1" outlineLevel="2" x14ac:dyDescent="0.2"/>
    <row r="376" spans="1:12" ht="12.75" hidden="1" customHeight="1" outlineLevel="2" x14ac:dyDescent="0.2">
      <c r="A376" s="1" t="str">
        <f>"Untagged Assets"</f>
        <v>Untagged Assets</v>
      </c>
    </row>
    <row r="377" spans="1:12" ht="12.75" hidden="1" customHeight="1" outlineLevel="2" x14ac:dyDescent="0.2">
      <c r="A377" s="1" t="str">
        <f>""</f>
        <v/>
      </c>
    </row>
    <row r="378" spans="1:12" ht="12.75" hidden="1" customHeight="1" outlineLevel="2" x14ac:dyDescent="0.2">
      <c r="F378" s="9" t="str">
        <f>Labels!B290</f>
        <v>Asset Type</v>
      </c>
      <c r="G378" s="11" t="str">
        <f>Labels!B289</f>
        <v>Deprec Life (Yrs)</v>
      </c>
    </row>
    <row r="379" spans="1:12" ht="12.75" hidden="1" customHeight="1" outlineLevel="2" x14ac:dyDescent="0.2">
      <c r="A379" s="12" t="str">
        <f>Labels!B306</f>
        <v>Building A</v>
      </c>
      <c r="B379" s="13"/>
      <c r="C379" s="13"/>
      <c r="D379" s="13"/>
      <c r="E379" s="14"/>
      <c r="F379" s="15" t="str">
        <f>"Tagged Asset "&amp;1</f>
        <v>Tagged Asset 1</v>
      </c>
      <c r="G379" s="150">
        <f>AVERAGE('(Tables)'!B1328:B1329)</f>
        <v>9</v>
      </c>
    </row>
    <row r="380" spans="1:12" ht="12.75" hidden="1" customHeight="1" outlineLevel="2" x14ac:dyDescent="0.2">
      <c r="A380" s="17" t="str">
        <f>Labels!B307</f>
        <v>Building B</v>
      </c>
      <c r="B380" s="18"/>
      <c r="C380" s="18"/>
      <c r="D380" s="18"/>
      <c r="E380" s="19"/>
      <c r="F380" s="20" t="str">
        <f>"Tagged Asset "&amp;2</f>
        <v>Tagged Asset 2</v>
      </c>
      <c r="G380" s="151">
        <f>AVERAGE('(Tables)'!B1328:B1329)</f>
        <v>9</v>
      </c>
    </row>
    <row r="381" spans="1:12" ht="12.75" hidden="1" customHeight="1" outlineLevel="2" x14ac:dyDescent="0.2"/>
    <row r="382" spans="1:12" ht="12.75" hidden="1" customHeight="1" outlineLevel="2" x14ac:dyDescent="0.2">
      <c r="F382" s="9" t="str">
        <f>Labels!B408</f>
        <v>Furniture</v>
      </c>
      <c r="G382" s="11" t="str">
        <f>Labels!B409</f>
        <v>Office Equip</v>
      </c>
    </row>
    <row r="383" spans="1:12" ht="12.75" hidden="1" customHeight="1" outlineLevel="2" x14ac:dyDescent="0.2">
      <c r="A383" s="12" t="str">
        <f>Labels!B293</f>
        <v>Untagged Asset Purch Parameters</v>
      </c>
      <c r="B383" s="26" t="str">
        <f>Labels!B401</f>
        <v>Initial Purchase</v>
      </c>
      <c r="C383" s="26"/>
      <c r="D383" s="26"/>
      <c r="E383" s="27"/>
      <c r="F383" s="152">
        <f t="shared" ref="F383:G387" si="166">0/2/5</f>
        <v>0</v>
      </c>
      <c r="G383" s="153">
        <f t="shared" si="166"/>
        <v>0</v>
      </c>
    </row>
    <row r="384" spans="1:12" ht="12.75" hidden="1" customHeight="1" outlineLevel="2" x14ac:dyDescent="0.2">
      <c r="A384" s="30"/>
      <c r="B384" s="31" t="str">
        <f>Labels!B402</f>
        <v>Per New Sup Staff</v>
      </c>
      <c r="C384" s="31"/>
      <c r="D384" s="31"/>
      <c r="E384" s="32"/>
      <c r="F384" s="154">
        <f t="shared" si="166"/>
        <v>0</v>
      </c>
      <c r="G384" s="155">
        <f t="shared" si="166"/>
        <v>0</v>
      </c>
    </row>
    <row r="385" spans="1:23" ht="12.75" hidden="1" customHeight="1" outlineLevel="2" x14ac:dyDescent="0.2">
      <c r="A385" s="30"/>
      <c r="B385" s="31" t="str">
        <f>Labels!B403</f>
        <v>Per New Prof Staff</v>
      </c>
      <c r="C385" s="31"/>
      <c r="D385" s="31"/>
      <c r="E385" s="32"/>
      <c r="F385" s="154">
        <f t="shared" si="166"/>
        <v>0</v>
      </c>
      <c r="G385" s="155">
        <f t="shared" si="166"/>
        <v>0</v>
      </c>
    </row>
    <row r="386" spans="1:23" ht="12.75" hidden="1" customHeight="1" outlineLevel="2" x14ac:dyDescent="0.2">
      <c r="A386" s="30"/>
      <c r="B386" s="31" t="str">
        <f>Labels!B404</f>
        <v>Per Old Sup Staff</v>
      </c>
      <c r="C386" s="31"/>
      <c r="D386" s="31"/>
      <c r="E386" s="32"/>
      <c r="F386" s="154">
        <f t="shared" si="166"/>
        <v>0</v>
      </c>
      <c r="G386" s="155">
        <f t="shared" si="166"/>
        <v>0</v>
      </c>
    </row>
    <row r="387" spans="1:23" ht="12.75" hidden="1" customHeight="1" outlineLevel="2" x14ac:dyDescent="0.2">
      <c r="A387" s="17"/>
      <c r="B387" s="35" t="str">
        <f>Labels!B405</f>
        <v>Per Old Prof Staff</v>
      </c>
      <c r="C387" s="35"/>
      <c r="D387" s="35"/>
      <c r="E387" s="36"/>
      <c r="F387" s="156">
        <f t="shared" si="166"/>
        <v>0</v>
      </c>
      <c r="G387" s="157">
        <f t="shared" si="166"/>
        <v>0</v>
      </c>
    </row>
    <row r="388" spans="1:23" ht="12.75" hidden="1" customHeight="1" outlineLevel="2" x14ac:dyDescent="0.2"/>
    <row r="389" spans="1:23" ht="12.75" hidden="1" customHeight="1" outlineLevel="2" x14ac:dyDescent="0.2"/>
    <row r="390" spans="1:23" ht="12.75" hidden="1" customHeight="1" outlineLevel="2" x14ac:dyDescent="0.2">
      <c r="A390" s="462" t="str">
        <f>"Capitalized Development"</f>
        <v>Capitalized Development</v>
      </c>
      <c r="B390" s="462"/>
    </row>
    <row r="391" spans="1:23" ht="12.75" hidden="1" customHeight="1" outlineLevel="2" x14ac:dyDescent="0.2">
      <c r="A391" s="12" t="str">
        <f>Labels!B57</f>
        <v>Initial Cap'd Development</v>
      </c>
      <c r="B391" s="26" t="str">
        <f>Labels!B381</f>
        <v>Practice 1</v>
      </c>
      <c r="C391" s="26"/>
      <c r="D391" s="26"/>
      <c r="E391" s="27"/>
      <c r="F391" s="158">
        <f>0/2</f>
        <v>0</v>
      </c>
      <c r="H391" s="12" t="str">
        <f>Labels!B58</f>
        <v>Cap'd Dev Life (Yrs)</v>
      </c>
      <c r="I391" s="27" t="str">
        <f>Labels!B381</f>
        <v>Practice 1</v>
      </c>
      <c r="J391" s="58">
        <f>2</f>
        <v>2</v>
      </c>
    </row>
    <row r="392" spans="1:23" ht="12.75" hidden="1" customHeight="1" outlineLevel="2" x14ac:dyDescent="0.2">
      <c r="A392" s="17"/>
      <c r="B392" s="35" t="str">
        <f>Labels!B382</f>
        <v>Practice 2</v>
      </c>
      <c r="C392" s="35"/>
      <c r="D392" s="35"/>
      <c r="E392" s="36"/>
      <c r="F392" s="159">
        <f>0/2</f>
        <v>0</v>
      </c>
      <c r="H392" s="17"/>
      <c r="I392" s="36" t="str">
        <f>Labels!B382</f>
        <v>Practice 2</v>
      </c>
      <c r="J392" s="64">
        <f>2</f>
        <v>2</v>
      </c>
    </row>
    <row r="393" spans="1:23" ht="12.75" hidden="1" customHeight="1" outlineLevel="2" x14ac:dyDescent="0.2"/>
    <row r="394" spans="1:23" ht="12.75" hidden="1" customHeight="1" outlineLevel="2" x14ac:dyDescent="0.2">
      <c r="F394" s="9" t="str">
        <f>'(FnCalls 1)'!F41</f>
        <v>MMM 2010</v>
      </c>
      <c r="G394" s="10" t="str">
        <f>'(FnCalls 1)'!F42</f>
        <v>MMM 2010</v>
      </c>
      <c r="H394" s="10" t="str">
        <f>'(FnCalls 1)'!F43</f>
        <v>MMM 2010</v>
      </c>
      <c r="I394" s="10" t="str">
        <f>'(FnCalls 1)'!F44</f>
        <v>MMM 2010</v>
      </c>
      <c r="J394" s="10" t="str">
        <f>'(FnCalls 1)'!F45</f>
        <v>MMM 2010</v>
      </c>
      <c r="K394" s="10" t="str">
        <f>'(FnCalls 1)'!F46</f>
        <v>MMM 2010</v>
      </c>
      <c r="L394" s="10" t="str">
        <f>'(FnCalls 1)'!F47</f>
        <v>MMM 2010</v>
      </c>
      <c r="M394" s="10" t="str">
        <f>'(FnCalls 1)'!F48</f>
        <v>MMM 2010</v>
      </c>
      <c r="N394" s="10" t="str">
        <f>'(FnCalls 1)'!F49</f>
        <v>MMM 2010</v>
      </c>
      <c r="O394" s="10" t="str">
        <f>'(FnCalls 1)'!F50</f>
        <v>MMM 2010</v>
      </c>
      <c r="P394" s="10" t="str">
        <f>'(FnCalls 1)'!F51</f>
        <v>MMM 2010</v>
      </c>
      <c r="Q394" s="10" t="str">
        <f>'(FnCalls 1)'!F52</f>
        <v>MMM 2010</v>
      </c>
      <c r="R394" s="10" t="str">
        <f>'(FnCalls 1)'!F53</f>
        <v>MMM 2011</v>
      </c>
      <c r="S394" s="10" t="str">
        <f>'(FnCalls 1)'!F54</f>
        <v>MMM 2011</v>
      </c>
      <c r="T394" s="10" t="str">
        <f>'(FnCalls 1)'!F55</f>
        <v>MMM 2011</v>
      </c>
      <c r="U394" s="10" t="str">
        <f>'(FnCalls 1)'!F56</f>
        <v>MMM 2011</v>
      </c>
      <c r="V394" s="10" t="str">
        <f>'(FnCalls 1)'!F57</f>
        <v>MMM 2011</v>
      </c>
      <c r="W394" s="11" t="str">
        <f>'(FnCalls 1)'!F58</f>
        <v>MMM 2011</v>
      </c>
    </row>
    <row r="395" spans="1:23" ht="12.75" hidden="1" customHeight="1" outlineLevel="2" x14ac:dyDescent="0.2">
      <c r="A395" s="12" t="str">
        <f>Labels!B150</f>
        <v>Practice Dev % Capitalized</v>
      </c>
      <c r="B395" s="26" t="str">
        <f>Labels!B381</f>
        <v>Practice 1</v>
      </c>
      <c r="C395" s="26"/>
      <c r="D395" s="26"/>
      <c r="E395" s="27"/>
      <c r="F395" s="28">
        <f>0</f>
        <v>0</v>
      </c>
      <c r="G395" s="28">
        <f t="shared" ref="G395:W395" si="167">F395</f>
        <v>0</v>
      </c>
      <c r="H395" s="28">
        <f t="shared" si="167"/>
        <v>0</v>
      </c>
      <c r="I395" s="28">
        <f t="shared" si="167"/>
        <v>0</v>
      </c>
      <c r="J395" s="28">
        <f t="shared" si="167"/>
        <v>0</v>
      </c>
      <c r="K395" s="28">
        <f t="shared" si="167"/>
        <v>0</v>
      </c>
      <c r="L395" s="28">
        <f t="shared" si="167"/>
        <v>0</v>
      </c>
      <c r="M395" s="28">
        <f t="shared" si="167"/>
        <v>0</v>
      </c>
      <c r="N395" s="28">
        <f t="shared" si="167"/>
        <v>0</v>
      </c>
      <c r="O395" s="28">
        <f t="shared" si="167"/>
        <v>0</v>
      </c>
      <c r="P395" s="28">
        <f t="shared" si="167"/>
        <v>0</v>
      </c>
      <c r="Q395" s="28">
        <f t="shared" si="167"/>
        <v>0</v>
      </c>
      <c r="R395" s="28">
        <f t="shared" si="167"/>
        <v>0</v>
      </c>
      <c r="S395" s="28">
        <f t="shared" si="167"/>
        <v>0</v>
      </c>
      <c r="T395" s="28">
        <f t="shared" si="167"/>
        <v>0</v>
      </c>
      <c r="U395" s="28">
        <f t="shared" si="167"/>
        <v>0</v>
      </c>
      <c r="V395" s="28">
        <f t="shared" si="167"/>
        <v>0</v>
      </c>
      <c r="W395" s="114">
        <f t="shared" si="167"/>
        <v>0</v>
      </c>
    </row>
    <row r="396" spans="1:23" ht="12.75" hidden="1" customHeight="1" outlineLevel="2" x14ac:dyDescent="0.2">
      <c r="A396" s="17"/>
      <c r="B396" s="35" t="str">
        <f>Labels!B382</f>
        <v>Practice 2</v>
      </c>
      <c r="C396" s="35"/>
      <c r="D396" s="35"/>
      <c r="E396" s="36"/>
      <c r="F396" s="37">
        <f>0</f>
        <v>0</v>
      </c>
      <c r="G396" s="37">
        <f t="shared" ref="G396:W396" si="168">F396</f>
        <v>0</v>
      </c>
      <c r="H396" s="37">
        <f t="shared" si="168"/>
        <v>0</v>
      </c>
      <c r="I396" s="37">
        <f t="shared" si="168"/>
        <v>0</v>
      </c>
      <c r="J396" s="37">
        <f t="shared" si="168"/>
        <v>0</v>
      </c>
      <c r="K396" s="37">
        <f t="shared" si="168"/>
        <v>0</v>
      </c>
      <c r="L396" s="37">
        <f t="shared" si="168"/>
        <v>0</v>
      </c>
      <c r="M396" s="37">
        <f t="shared" si="168"/>
        <v>0</v>
      </c>
      <c r="N396" s="37">
        <f t="shared" si="168"/>
        <v>0</v>
      </c>
      <c r="O396" s="37">
        <f t="shared" si="168"/>
        <v>0</v>
      </c>
      <c r="P396" s="37">
        <f t="shared" si="168"/>
        <v>0</v>
      </c>
      <c r="Q396" s="37">
        <f t="shared" si="168"/>
        <v>0</v>
      </c>
      <c r="R396" s="37">
        <f t="shared" si="168"/>
        <v>0</v>
      </c>
      <c r="S396" s="37">
        <f t="shared" si="168"/>
        <v>0</v>
      </c>
      <c r="T396" s="37">
        <f t="shared" si="168"/>
        <v>0</v>
      </c>
      <c r="U396" s="37">
        <f t="shared" si="168"/>
        <v>0</v>
      </c>
      <c r="V396" s="37">
        <f t="shared" si="168"/>
        <v>0</v>
      </c>
      <c r="W396" s="116">
        <f t="shared" si="168"/>
        <v>0</v>
      </c>
    </row>
    <row r="397" spans="1:23" ht="12.75" hidden="1" customHeight="1" outlineLevel="2" x14ac:dyDescent="0.2"/>
    <row r="398" spans="1:23" ht="12.75" hidden="1" customHeight="1" outlineLevel="2" x14ac:dyDescent="0.2"/>
    <row r="399" spans="1:23" ht="12.75" hidden="1" customHeight="1" outlineLevel="2" collapsed="1" x14ac:dyDescent="0.2"/>
    <row r="400" spans="1:23" ht="12.75" hidden="1" customHeight="1" outlineLevel="1" collapsed="1" x14ac:dyDescent="0.2"/>
    <row r="401" spans="1:24" ht="12.75" customHeight="1" collapsed="1" x14ac:dyDescent="0.2"/>
    <row r="402" spans="1:24" ht="12.75" customHeight="1" collapsed="1" x14ac:dyDescent="0.2">
      <c r="A402" s="464" t="str">
        <f>"Liability Input Data"</f>
        <v>Liability Input Data</v>
      </c>
      <c r="B402" s="464"/>
    </row>
    <row r="403" spans="1:24" ht="12.75" hidden="1" customHeight="1" outlineLevel="1" x14ac:dyDescent="0.2">
      <c r="A403" s="1" t="str">
        <f>""</f>
        <v/>
      </c>
    </row>
    <row r="404" spans="1:24" ht="12.75" hidden="1" customHeight="1" outlineLevel="1" x14ac:dyDescent="0.2">
      <c r="A404" s="465" t="str">
        <f>"Short Term Liabilities"</f>
        <v>Short Term Liabilities</v>
      </c>
      <c r="B404" s="465"/>
    </row>
    <row r="405" spans="1:24" ht="12.75" hidden="1" customHeight="1" outlineLevel="2" x14ac:dyDescent="0.2">
      <c r="A405" s="465" t="str">
        <f>""</f>
        <v/>
      </c>
      <c r="B405" s="465"/>
    </row>
    <row r="406" spans="1:24" ht="12.75" hidden="1" customHeight="1" outlineLevel="2" x14ac:dyDescent="0.2">
      <c r="A406" s="12" t="str">
        <f>Labels!B9</f>
        <v>Initial Accts Payable</v>
      </c>
      <c r="B406" s="26" t="str">
        <f>Labels!B301</f>
        <v>Vendor Payables</v>
      </c>
      <c r="C406" s="26"/>
      <c r="D406" s="26"/>
      <c r="E406" s="27"/>
      <c r="F406" s="160">
        <f>0/3</f>
        <v>0</v>
      </c>
    </row>
    <row r="407" spans="1:24" ht="12.75" hidden="1" customHeight="1" outlineLevel="2" x14ac:dyDescent="0.2">
      <c r="A407" s="30"/>
      <c r="B407" s="31" t="str">
        <f>Labels!B302</f>
        <v>Payroll Payables</v>
      </c>
      <c r="C407" s="31"/>
      <c r="D407" s="31"/>
      <c r="E407" s="32"/>
      <c r="F407" s="161">
        <f>0/3</f>
        <v>0</v>
      </c>
    </row>
    <row r="408" spans="1:24" ht="12.75" hidden="1" customHeight="1" outlineLevel="2" x14ac:dyDescent="0.2">
      <c r="A408" s="17"/>
      <c r="B408" s="35" t="str">
        <f>Labels!B303</f>
        <v>Taxes Payable</v>
      </c>
      <c r="C408" s="35"/>
      <c r="D408" s="35"/>
      <c r="E408" s="36"/>
      <c r="F408" s="162">
        <f>0/3</f>
        <v>0</v>
      </c>
    </row>
    <row r="409" spans="1:24" ht="12.75" hidden="1" customHeight="1" outlineLevel="2" x14ac:dyDescent="0.2">
      <c r="F409" s="9" t="str">
        <f>'(FnCalls 1)'!F40</f>
        <v>MMM 2009</v>
      </c>
      <c r="G409" s="10" t="str">
        <f>'(FnCalls 1)'!F41</f>
        <v>MMM 2010</v>
      </c>
      <c r="H409" s="10" t="str">
        <f>'(FnCalls 1)'!F42</f>
        <v>MMM 2010</v>
      </c>
      <c r="I409" s="10" t="str">
        <f>'(FnCalls 1)'!F43</f>
        <v>MMM 2010</v>
      </c>
      <c r="J409" s="10" t="str">
        <f>'(FnCalls 1)'!F44</f>
        <v>MMM 2010</v>
      </c>
      <c r="K409" s="10" t="str">
        <f>'(FnCalls 1)'!F45</f>
        <v>MMM 2010</v>
      </c>
      <c r="L409" s="10" t="str">
        <f>'(FnCalls 1)'!F46</f>
        <v>MMM 2010</v>
      </c>
      <c r="M409" s="10" t="str">
        <f>'(FnCalls 1)'!F47</f>
        <v>MMM 2010</v>
      </c>
      <c r="N409" s="10" t="str">
        <f>'(FnCalls 1)'!F48</f>
        <v>MMM 2010</v>
      </c>
      <c r="O409" s="10" t="str">
        <f>'(FnCalls 1)'!F49</f>
        <v>MMM 2010</v>
      </c>
      <c r="P409" s="10" t="str">
        <f>'(FnCalls 1)'!F50</f>
        <v>MMM 2010</v>
      </c>
      <c r="Q409" s="10" t="str">
        <f>'(FnCalls 1)'!F51</f>
        <v>MMM 2010</v>
      </c>
      <c r="R409" s="10" t="str">
        <f>'(FnCalls 1)'!F52</f>
        <v>MMM 2010</v>
      </c>
      <c r="S409" s="10" t="str">
        <f>'(FnCalls 1)'!F53</f>
        <v>MMM 2011</v>
      </c>
      <c r="T409" s="10" t="str">
        <f>'(FnCalls 1)'!F54</f>
        <v>MMM 2011</v>
      </c>
      <c r="U409" s="10" t="str">
        <f>'(FnCalls 1)'!F55</f>
        <v>MMM 2011</v>
      </c>
      <c r="V409" s="10" t="str">
        <f>'(FnCalls 1)'!F56</f>
        <v>MMM 2011</v>
      </c>
      <c r="W409" s="10" t="str">
        <f>'(FnCalls 1)'!F57</f>
        <v>MMM 2011</v>
      </c>
      <c r="X409" s="11" t="str">
        <f>'(FnCalls 1)'!F58</f>
        <v>MMM 2011</v>
      </c>
    </row>
    <row r="410" spans="1:24" ht="12.75" hidden="1" customHeight="1" outlineLevel="2" x14ac:dyDescent="0.2">
      <c r="A410" s="12" t="str">
        <f>Labels!B7</f>
        <v>Accts Pay Targ Days</v>
      </c>
      <c r="B410" s="26" t="str">
        <f>Labels!B301</f>
        <v>Vendor Payables</v>
      </c>
      <c r="C410" s="26"/>
      <c r="D410" s="26"/>
      <c r="E410" s="27"/>
      <c r="F410" s="163"/>
      <c r="G410" s="164">
        <f>30</f>
        <v>30</v>
      </c>
      <c r="H410" s="164">
        <f t="shared" ref="H410:X410" si="169">G410</f>
        <v>30</v>
      </c>
      <c r="I410" s="164">
        <f t="shared" si="169"/>
        <v>30</v>
      </c>
      <c r="J410" s="164">
        <f t="shared" si="169"/>
        <v>30</v>
      </c>
      <c r="K410" s="164">
        <f t="shared" si="169"/>
        <v>30</v>
      </c>
      <c r="L410" s="164">
        <f t="shared" si="169"/>
        <v>30</v>
      </c>
      <c r="M410" s="164">
        <f t="shared" si="169"/>
        <v>30</v>
      </c>
      <c r="N410" s="164">
        <f t="shared" si="169"/>
        <v>30</v>
      </c>
      <c r="O410" s="164">
        <f t="shared" si="169"/>
        <v>30</v>
      </c>
      <c r="P410" s="164">
        <f t="shared" si="169"/>
        <v>30</v>
      </c>
      <c r="Q410" s="164">
        <f t="shared" si="169"/>
        <v>30</v>
      </c>
      <c r="R410" s="164">
        <f t="shared" si="169"/>
        <v>30</v>
      </c>
      <c r="S410" s="164">
        <f t="shared" si="169"/>
        <v>30</v>
      </c>
      <c r="T410" s="164">
        <f t="shared" si="169"/>
        <v>30</v>
      </c>
      <c r="U410" s="164">
        <f t="shared" si="169"/>
        <v>30</v>
      </c>
      <c r="V410" s="164">
        <f t="shared" si="169"/>
        <v>30</v>
      </c>
      <c r="W410" s="164">
        <f t="shared" si="169"/>
        <v>30</v>
      </c>
      <c r="X410" s="165">
        <f t="shared" si="169"/>
        <v>30</v>
      </c>
    </row>
    <row r="411" spans="1:24" ht="12.75" hidden="1" customHeight="1" outlineLevel="2" x14ac:dyDescent="0.2">
      <c r="A411" s="30"/>
      <c r="B411" s="31" t="str">
        <f>Labels!B302</f>
        <v>Payroll Payables</v>
      </c>
      <c r="C411" s="31"/>
      <c r="D411" s="31"/>
      <c r="E411" s="32"/>
      <c r="F411" s="166"/>
      <c r="G411" s="167">
        <f>30</f>
        <v>30</v>
      </c>
      <c r="H411" s="167">
        <f t="shared" ref="H411:X411" si="170">G411</f>
        <v>30</v>
      </c>
      <c r="I411" s="167">
        <f t="shared" si="170"/>
        <v>30</v>
      </c>
      <c r="J411" s="167">
        <f t="shared" si="170"/>
        <v>30</v>
      </c>
      <c r="K411" s="167">
        <f t="shared" si="170"/>
        <v>30</v>
      </c>
      <c r="L411" s="167">
        <f t="shared" si="170"/>
        <v>30</v>
      </c>
      <c r="M411" s="167">
        <f t="shared" si="170"/>
        <v>30</v>
      </c>
      <c r="N411" s="167">
        <f t="shared" si="170"/>
        <v>30</v>
      </c>
      <c r="O411" s="167">
        <f t="shared" si="170"/>
        <v>30</v>
      </c>
      <c r="P411" s="167">
        <f t="shared" si="170"/>
        <v>30</v>
      </c>
      <c r="Q411" s="167">
        <f t="shared" si="170"/>
        <v>30</v>
      </c>
      <c r="R411" s="167">
        <f t="shared" si="170"/>
        <v>30</v>
      </c>
      <c r="S411" s="167">
        <f t="shared" si="170"/>
        <v>30</v>
      </c>
      <c r="T411" s="167">
        <f t="shared" si="170"/>
        <v>30</v>
      </c>
      <c r="U411" s="167">
        <f t="shared" si="170"/>
        <v>30</v>
      </c>
      <c r="V411" s="167">
        <f t="shared" si="170"/>
        <v>30</v>
      </c>
      <c r="W411" s="167">
        <f t="shared" si="170"/>
        <v>30</v>
      </c>
      <c r="X411" s="168">
        <f t="shared" si="170"/>
        <v>30</v>
      </c>
    </row>
    <row r="412" spans="1:24" ht="12.75" hidden="1" customHeight="1" outlineLevel="2" x14ac:dyDescent="0.2">
      <c r="A412" s="17"/>
      <c r="B412" s="35" t="str">
        <f>Labels!B303</f>
        <v>Taxes Payable</v>
      </c>
      <c r="C412" s="35"/>
      <c r="D412" s="35"/>
      <c r="E412" s="36"/>
      <c r="F412" s="169"/>
      <c r="G412" s="170">
        <f>30</f>
        <v>30</v>
      </c>
      <c r="H412" s="170">
        <f t="shared" ref="H412:X412" si="171">G412</f>
        <v>30</v>
      </c>
      <c r="I412" s="170">
        <f t="shared" si="171"/>
        <v>30</v>
      </c>
      <c r="J412" s="170">
        <f t="shared" si="171"/>
        <v>30</v>
      </c>
      <c r="K412" s="170">
        <f t="shared" si="171"/>
        <v>30</v>
      </c>
      <c r="L412" s="170">
        <f t="shared" si="171"/>
        <v>30</v>
      </c>
      <c r="M412" s="170">
        <f t="shared" si="171"/>
        <v>30</v>
      </c>
      <c r="N412" s="170">
        <f t="shared" si="171"/>
        <v>30</v>
      </c>
      <c r="O412" s="170">
        <f t="shared" si="171"/>
        <v>30</v>
      </c>
      <c r="P412" s="170">
        <f t="shared" si="171"/>
        <v>30</v>
      </c>
      <c r="Q412" s="170">
        <f t="shared" si="171"/>
        <v>30</v>
      </c>
      <c r="R412" s="170">
        <f t="shared" si="171"/>
        <v>30</v>
      </c>
      <c r="S412" s="170">
        <f t="shared" si="171"/>
        <v>30</v>
      </c>
      <c r="T412" s="170">
        <f t="shared" si="171"/>
        <v>30</v>
      </c>
      <c r="U412" s="170">
        <f t="shared" si="171"/>
        <v>30</v>
      </c>
      <c r="V412" s="170">
        <f t="shared" si="171"/>
        <v>30</v>
      </c>
      <c r="W412" s="170">
        <f t="shared" si="171"/>
        <v>30</v>
      </c>
      <c r="X412" s="171">
        <f t="shared" si="171"/>
        <v>30</v>
      </c>
    </row>
    <row r="413" spans="1:24" ht="12.75" hidden="1" customHeight="1" outlineLevel="2" x14ac:dyDescent="0.2"/>
    <row r="414" spans="1:24" ht="12.75" hidden="1" customHeight="1" outlineLevel="2" x14ac:dyDescent="0.2">
      <c r="A414" s="5" t="str">
        <f>Labels!B245</f>
        <v>Short Term Debt</v>
      </c>
      <c r="B414" s="6"/>
      <c r="C414" s="6"/>
      <c r="D414" s="6"/>
      <c r="E414" s="7"/>
      <c r="F414" s="172">
        <f>0</f>
        <v>0</v>
      </c>
      <c r="G414" s="172">
        <f>MAX(0,'(Compute)'!C31-'(Tables)'!C1367)</f>
        <v>0</v>
      </c>
      <c r="H414" s="172">
        <f>MAX(0,'(Compute)'!D31-'(Tables)'!D1367)</f>
        <v>0</v>
      </c>
      <c r="I414" s="172">
        <f>MAX(0,'(Compute)'!E31-'(Tables)'!E1367)</f>
        <v>217338.70967741936</v>
      </c>
      <c r="J414" s="172">
        <f>MAX(0,'(Compute)'!F31-'(Tables)'!F1367)</f>
        <v>118250</v>
      </c>
      <c r="K414" s="172">
        <f>MAX(0,'(Compute)'!G31-'(Tables)'!G1367)</f>
        <v>0</v>
      </c>
      <c r="L414" s="172">
        <f>MAX(0,'(Compute)'!H31-'(Tables)'!H1367)</f>
        <v>0</v>
      </c>
      <c r="M414" s="172">
        <f>MAX(0,'(Compute)'!I31-'(Tables)'!I1367)</f>
        <v>0</v>
      </c>
      <c r="N414" s="172">
        <f>MAX(0,'(Compute)'!J31-'(Tables)'!J1367)</f>
        <v>0</v>
      </c>
      <c r="O414" s="172">
        <f>MAX(0,'(Compute)'!K31-'(Tables)'!K1367)</f>
        <v>0</v>
      </c>
      <c r="P414" s="172">
        <f>MAX(0,'(Compute)'!L31-'(Tables)'!L1367)</f>
        <v>0</v>
      </c>
      <c r="Q414" s="172">
        <f>MAX(0,'(Compute)'!M31-'(Tables)'!M1367)</f>
        <v>0</v>
      </c>
      <c r="R414" s="172">
        <f>MAX(0,'(Compute)'!N31-'(Tables)'!N1367)</f>
        <v>0</v>
      </c>
      <c r="S414" s="172">
        <f>MAX(0,'(Compute)'!O31-'(Tables)'!O1367)</f>
        <v>0</v>
      </c>
      <c r="T414" s="172">
        <f>MAX(0,'(Compute)'!P31-'(Tables)'!P1367)</f>
        <v>0</v>
      </c>
      <c r="U414" s="172">
        <f>MAX(0,'(Compute)'!Q31-'(Tables)'!Q1367)</f>
        <v>0</v>
      </c>
      <c r="V414" s="172">
        <f>MAX(0,'(Compute)'!R31-'(Tables)'!R1367)</f>
        <v>0</v>
      </c>
      <c r="W414" s="172">
        <f>MAX(0,'(Compute)'!S31-'(Tables)'!S1367)</f>
        <v>0</v>
      </c>
      <c r="X414" s="173">
        <f>MAX(0,'(Compute)'!T31-'(Tables)'!T1367)</f>
        <v>0</v>
      </c>
    </row>
    <row r="415" spans="1:24" ht="12.75" hidden="1" customHeight="1" outlineLevel="2" x14ac:dyDescent="0.2">
      <c r="A415" s="462" t="str">
        <f>"The model sets short debt based on cash balances. You can override this."</f>
        <v>The model sets short debt based on cash balances. You can override this.</v>
      </c>
      <c r="B415" s="462"/>
      <c r="C415" s="462"/>
      <c r="D415" s="462"/>
      <c r="E415" s="462"/>
      <c r="F415" s="462"/>
      <c r="G415" s="462"/>
    </row>
    <row r="416" spans="1:24" ht="12.75" hidden="1" customHeight="1" outlineLevel="2" x14ac:dyDescent="0.2"/>
    <row r="417" spans="1:24" ht="12.75" hidden="1" customHeight="1" outlineLevel="2" collapsed="1" x14ac:dyDescent="0.2"/>
    <row r="418" spans="1:24" ht="12.75" hidden="1" customHeight="1" outlineLevel="1" collapsed="1" x14ac:dyDescent="0.2">
      <c r="A418" s="465" t="str">
        <f>"Long Term Liabilities"</f>
        <v>Long Term Liabilities</v>
      </c>
      <c r="B418" s="465"/>
    </row>
    <row r="419" spans="1:24" ht="12.75" hidden="1" customHeight="1" outlineLevel="2" x14ac:dyDescent="0.2">
      <c r="A419" s="465" t="str">
        <f>" "</f>
        <v xml:space="preserve"> </v>
      </c>
      <c r="B419" s="465"/>
    </row>
    <row r="420" spans="1:24" ht="12.75" hidden="1" customHeight="1" outlineLevel="2" x14ac:dyDescent="0.2">
      <c r="F420" s="9" t="str">
        <f>'(FnCalls 1)'!F40</f>
        <v>MMM 2009</v>
      </c>
      <c r="G420" s="10" t="str">
        <f>'(FnCalls 1)'!F41</f>
        <v>MMM 2010</v>
      </c>
      <c r="H420" s="10" t="str">
        <f>'(FnCalls 1)'!F42</f>
        <v>MMM 2010</v>
      </c>
      <c r="I420" s="10" t="str">
        <f>'(FnCalls 1)'!F43</f>
        <v>MMM 2010</v>
      </c>
      <c r="J420" s="10" t="str">
        <f>'(FnCalls 1)'!F44</f>
        <v>MMM 2010</v>
      </c>
      <c r="K420" s="10" t="str">
        <f>'(FnCalls 1)'!F45</f>
        <v>MMM 2010</v>
      </c>
      <c r="L420" s="10" t="str">
        <f>'(FnCalls 1)'!F46</f>
        <v>MMM 2010</v>
      </c>
      <c r="M420" s="10" t="str">
        <f>'(FnCalls 1)'!F47</f>
        <v>MMM 2010</v>
      </c>
      <c r="N420" s="10" t="str">
        <f>'(FnCalls 1)'!F48</f>
        <v>MMM 2010</v>
      </c>
      <c r="O420" s="10" t="str">
        <f>'(FnCalls 1)'!F49</f>
        <v>MMM 2010</v>
      </c>
      <c r="P420" s="10" t="str">
        <f>'(FnCalls 1)'!F50</f>
        <v>MMM 2010</v>
      </c>
      <c r="Q420" s="10" t="str">
        <f>'(FnCalls 1)'!F51</f>
        <v>MMM 2010</v>
      </c>
      <c r="R420" s="10" t="str">
        <f>'(FnCalls 1)'!F52</f>
        <v>MMM 2010</v>
      </c>
      <c r="S420" s="10" t="str">
        <f>'(FnCalls 1)'!F53</f>
        <v>MMM 2011</v>
      </c>
      <c r="T420" s="10" t="str">
        <f>'(FnCalls 1)'!F54</f>
        <v>MMM 2011</v>
      </c>
      <c r="U420" s="10" t="str">
        <f>'(FnCalls 1)'!F55</f>
        <v>MMM 2011</v>
      </c>
      <c r="V420" s="10" t="str">
        <f>'(FnCalls 1)'!F56</f>
        <v>MMM 2011</v>
      </c>
      <c r="W420" s="10" t="str">
        <f>'(FnCalls 1)'!F57</f>
        <v>MMM 2011</v>
      </c>
      <c r="X420" s="11" t="str">
        <f>'(FnCalls 1)'!F58</f>
        <v>MMM 2011</v>
      </c>
    </row>
    <row r="421" spans="1:24" ht="12.75" hidden="1" customHeight="1" outlineLevel="2" x14ac:dyDescent="0.2">
      <c r="A421" s="5" t="str">
        <f>Labels!B119</f>
        <v>Long Term Loans</v>
      </c>
      <c r="B421" s="6"/>
      <c r="C421" s="6"/>
      <c r="D421" s="6"/>
      <c r="E421" s="7"/>
      <c r="F421" s="172">
        <f>0</f>
        <v>0</v>
      </c>
      <c r="G421" s="172">
        <f t="shared" ref="G421:X421" si="172">F421</f>
        <v>0</v>
      </c>
      <c r="H421" s="172">
        <f t="shared" si="172"/>
        <v>0</v>
      </c>
      <c r="I421" s="172">
        <f t="shared" si="172"/>
        <v>0</v>
      </c>
      <c r="J421" s="172">
        <f t="shared" si="172"/>
        <v>0</v>
      </c>
      <c r="K421" s="172">
        <f t="shared" si="172"/>
        <v>0</v>
      </c>
      <c r="L421" s="172">
        <f t="shared" si="172"/>
        <v>0</v>
      </c>
      <c r="M421" s="172">
        <f t="shared" si="172"/>
        <v>0</v>
      </c>
      <c r="N421" s="172">
        <f t="shared" si="172"/>
        <v>0</v>
      </c>
      <c r="O421" s="172">
        <f t="shared" si="172"/>
        <v>0</v>
      </c>
      <c r="P421" s="172">
        <f t="shared" si="172"/>
        <v>0</v>
      </c>
      <c r="Q421" s="172">
        <f t="shared" si="172"/>
        <v>0</v>
      </c>
      <c r="R421" s="172">
        <f t="shared" si="172"/>
        <v>0</v>
      </c>
      <c r="S421" s="172">
        <f t="shared" si="172"/>
        <v>0</v>
      </c>
      <c r="T421" s="172">
        <f t="shared" si="172"/>
        <v>0</v>
      </c>
      <c r="U421" s="172">
        <f t="shared" si="172"/>
        <v>0</v>
      </c>
      <c r="V421" s="172">
        <f t="shared" si="172"/>
        <v>0</v>
      </c>
      <c r="W421" s="172">
        <f t="shared" si="172"/>
        <v>0</v>
      </c>
      <c r="X421" s="173">
        <f t="shared" si="172"/>
        <v>0</v>
      </c>
    </row>
    <row r="422" spans="1:24" ht="12.75" hidden="1" customHeight="1" outlineLevel="2" x14ac:dyDescent="0.2"/>
    <row r="423" spans="1:24" ht="12.75" hidden="1" customHeight="1" outlineLevel="2" collapsed="1" x14ac:dyDescent="0.2"/>
    <row r="424" spans="1:24" ht="12.75" hidden="1" customHeight="1" outlineLevel="1" collapsed="1" x14ac:dyDescent="0.2"/>
    <row r="425" spans="1:24" ht="12.75" customHeight="1" collapsed="1" x14ac:dyDescent="0.2"/>
    <row r="426" spans="1:24" ht="12.75" customHeight="1" collapsed="1" x14ac:dyDescent="0.2">
      <c r="A426" s="464" t="str">
        <f>"Equity Input Data"</f>
        <v>Equity Input Data</v>
      </c>
      <c r="B426" s="464"/>
      <c r="C426" s="464"/>
    </row>
    <row r="427" spans="1:24" ht="12.75" hidden="1" customHeight="1" outlineLevel="1" x14ac:dyDescent="0.2">
      <c r="A427" s="1" t="str">
        <f>""</f>
        <v/>
      </c>
    </row>
    <row r="428" spans="1:24" ht="12.75" hidden="1" customHeight="1" outlineLevel="1" x14ac:dyDescent="0.2">
      <c r="A428" s="462" t="str">
        <f>"Initial retained earning are set to satisfy balance check."</f>
        <v>Initial retained earning are set to satisfy balance check.</v>
      </c>
      <c r="B428" s="462"/>
      <c r="C428" s="462"/>
      <c r="D428" s="462"/>
    </row>
    <row r="429" spans="1:24" ht="12.75" hidden="1" customHeight="1" outlineLevel="1" x14ac:dyDescent="0.2">
      <c r="F429" s="9" t="str">
        <f>'(FnCalls 1)'!F40</f>
        <v>MMM 2009</v>
      </c>
      <c r="G429" s="10" t="str">
        <f>'(FnCalls 1)'!F41</f>
        <v>MMM 2010</v>
      </c>
      <c r="H429" s="10" t="str">
        <f>'(FnCalls 1)'!F42</f>
        <v>MMM 2010</v>
      </c>
      <c r="I429" s="10" t="str">
        <f>'(FnCalls 1)'!F43</f>
        <v>MMM 2010</v>
      </c>
      <c r="J429" s="10" t="str">
        <f>'(FnCalls 1)'!F44</f>
        <v>MMM 2010</v>
      </c>
      <c r="K429" s="10" t="str">
        <f>'(FnCalls 1)'!F45</f>
        <v>MMM 2010</v>
      </c>
      <c r="L429" s="10" t="str">
        <f>'(FnCalls 1)'!F46</f>
        <v>MMM 2010</v>
      </c>
      <c r="M429" s="10" t="str">
        <f>'(FnCalls 1)'!F47</f>
        <v>MMM 2010</v>
      </c>
      <c r="N429" s="10" t="str">
        <f>'(FnCalls 1)'!F48</f>
        <v>MMM 2010</v>
      </c>
      <c r="O429" s="10" t="str">
        <f>'(FnCalls 1)'!F49</f>
        <v>MMM 2010</v>
      </c>
      <c r="P429" s="10" t="str">
        <f>'(FnCalls 1)'!F50</f>
        <v>MMM 2010</v>
      </c>
      <c r="Q429" s="10" t="str">
        <f>'(FnCalls 1)'!F51</f>
        <v>MMM 2010</v>
      </c>
      <c r="R429" s="10" t="str">
        <f>'(FnCalls 1)'!F52</f>
        <v>MMM 2010</v>
      </c>
      <c r="S429" s="10" t="str">
        <f>'(FnCalls 1)'!F53</f>
        <v>MMM 2011</v>
      </c>
      <c r="T429" s="10" t="str">
        <f>'(FnCalls 1)'!F54</f>
        <v>MMM 2011</v>
      </c>
      <c r="U429" s="10" t="str">
        <f>'(FnCalls 1)'!F55</f>
        <v>MMM 2011</v>
      </c>
      <c r="V429" s="10" t="str">
        <f>'(FnCalls 1)'!F56</f>
        <v>MMM 2011</v>
      </c>
      <c r="W429" s="10" t="str">
        <f>'(FnCalls 1)'!F57</f>
        <v>MMM 2011</v>
      </c>
      <c r="X429" s="11" t="str">
        <f>'(FnCalls 1)'!F58</f>
        <v>MMM 2011</v>
      </c>
    </row>
    <row r="430" spans="1:24" ht="12.75" hidden="1" customHeight="1" outlineLevel="1" x14ac:dyDescent="0.2">
      <c r="A430" s="12" t="str">
        <f>Labels!B128</f>
        <v>Net Stock Issue</v>
      </c>
      <c r="B430" s="13"/>
      <c r="C430" s="13"/>
      <c r="D430" s="13"/>
      <c r="E430" s="14"/>
      <c r="F430" s="174">
        <f>0</f>
        <v>0</v>
      </c>
      <c r="G430" s="174">
        <f>0</f>
        <v>0</v>
      </c>
      <c r="H430" s="174">
        <f>0</f>
        <v>0</v>
      </c>
      <c r="I430" s="174">
        <f>0</f>
        <v>0</v>
      </c>
      <c r="J430" s="174">
        <f>0</f>
        <v>0</v>
      </c>
      <c r="K430" s="174">
        <f>0</f>
        <v>0</v>
      </c>
      <c r="L430" s="174">
        <f>0</f>
        <v>0</v>
      </c>
      <c r="M430" s="174">
        <f>0</f>
        <v>0</v>
      </c>
      <c r="N430" s="174">
        <f>0</f>
        <v>0</v>
      </c>
      <c r="O430" s="174">
        <f>0</f>
        <v>0</v>
      </c>
      <c r="P430" s="174">
        <f>0</f>
        <v>0</v>
      </c>
      <c r="Q430" s="174">
        <f>0</f>
        <v>0</v>
      </c>
      <c r="R430" s="174">
        <f>0</f>
        <v>0</v>
      </c>
      <c r="S430" s="174">
        <f>0</f>
        <v>0</v>
      </c>
      <c r="T430" s="174">
        <f>0</f>
        <v>0</v>
      </c>
      <c r="U430" s="174">
        <f>0</f>
        <v>0</v>
      </c>
      <c r="V430" s="174">
        <f>0</f>
        <v>0</v>
      </c>
      <c r="W430" s="174">
        <f>0</f>
        <v>0</v>
      </c>
      <c r="X430" s="175">
        <f>0</f>
        <v>0</v>
      </c>
    </row>
    <row r="431" spans="1:24" ht="12.75" hidden="1" customHeight="1" outlineLevel="1" x14ac:dyDescent="0.2">
      <c r="A431" s="5"/>
      <c r="B431" s="6"/>
      <c r="C431" s="6"/>
      <c r="D431" s="6"/>
      <c r="E431" s="7"/>
      <c r="F431" s="6"/>
      <c r="G431" s="6"/>
      <c r="H431" s="6"/>
      <c r="I431" s="6"/>
      <c r="J431" s="6"/>
      <c r="K431" s="6"/>
      <c r="L431" s="6"/>
      <c r="M431" s="6"/>
      <c r="N431" s="6"/>
      <c r="O431" s="6"/>
      <c r="P431" s="6"/>
      <c r="Q431" s="6"/>
      <c r="R431" s="6"/>
      <c r="S431" s="6"/>
      <c r="T431" s="6"/>
      <c r="U431" s="6"/>
      <c r="V431" s="6"/>
      <c r="W431" s="6"/>
      <c r="X431" s="7"/>
    </row>
    <row r="432" spans="1:24" ht="12.75" hidden="1" customHeight="1" outlineLevel="1" x14ac:dyDescent="0.2">
      <c r="A432" s="17" t="str">
        <f>Labels!B64</f>
        <v>Dividend</v>
      </c>
      <c r="B432" s="18"/>
      <c r="C432" s="18"/>
      <c r="D432" s="18"/>
      <c r="E432" s="19"/>
      <c r="F432" s="176"/>
      <c r="G432" s="126">
        <f>0</f>
        <v>0</v>
      </c>
      <c r="H432" s="126">
        <f>0</f>
        <v>0</v>
      </c>
      <c r="I432" s="126">
        <f>0</f>
        <v>0</v>
      </c>
      <c r="J432" s="126">
        <f>0</f>
        <v>0</v>
      </c>
      <c r="K432" s="126">
        <f>0</f>
        <v>0</v>
      </c>
      <c r="L432" s="126">
        <f>0</f>
        <v>0</v>
      </c>
      <c r="M432" s="126">
        <f>0</f>
        <v>0</v>
      </c>
      <c r="N432" s="126">
        <f>0</f>
        <v>0</v>
      </c>
      <c r="O432" s="126">
        <f>0</f>
        <v>0</v>
      </c>
      <c r="P432" s="126">
        <f>0</f>
        <v>0</v>
      </c>
      <c r="Q432" s="126">
        <f>0</f>
        <v>0</v>
      </c>
      <c r="R432" s="126">
        <f>0</f>
        <v>0</v>
      </c>
      <c r="S432" s="126">
        <f>0</f>
        <v>0</v>
      </c>
      <c r="T432" s="126">
        <f>0</f>
        <v>0</v>
      </c>
      <c r="U432" s="126">
        <f>0</f>
        <v>0</v>
      </c>
      <c r="V432" s="126">
        <f>0</f>
        <v>0</v>
      </c>
      <c r="W432" s="126">
        <f>0</f>
        <v>0</v>
      </c>
      <c r="X432" s="127">
        <f>0</f>
        <v>0</v>
      </c>
    </row>
    <row r="433" spans="1:30" ht="12.75" hidden="1" customHeight="1" outlineLevel="1" x14ac:dyDescent="0.2"/>
    <row r="434" spans="1:30" ht="12.75" hidden="1" customHeight="1" outlineLevel="1" collapsed="1" x14ac:dyDescent="0.2"/>
    <row r="435" spans="1:30" ht="12.75" customHeight="1" collapsed="1" x14ac:dyDescent="0.2"/>
    <row r="436" spans="1:30" ht="12.75" customHeight="1" collapsed="1" x14ac:dyDescent="0.2">
      <c r="A436" s="464" t="str">
        <f>"Valuation Input Data"</f>
        <v>Valuation Input Data</v>
      </c>
      <c r="B436" s="464"/>
    </row>
    <row r="437" spans="1:30" ht="12.75" hidden="1" customHeight="1" outlineLevel="1" x14ac:dyDescent="0.2">
      <c r="A437" s="1" t="str">
        <f>" "</f>
        <v xml:space="preserve"> </v>
      </c>
    </row>
    <row r="438" spans="1:30" ht="12.75" hidden="1" customHeight="1" outlineLevel="1" x14ac:dyDescent="0.2">
      <c r="F438" s="9" t="str">
        <f>'(FnCalls 1)'!F41</f>
        <v>MMM 2010</v>
      </c>
      <c r="G438" s="10" t="str">
        <f>'(FnCalls 1)'!F42</f>
        <v>MMM 2010</v>
      </c>
      <c r="H438" s="10" t="str">
        <f>'(FnCalls 1)'!F43</f>
        <v>MMM 2010</v>
      </c>
      <c r="I438" s="10" t="str">
        <f>'(FnCalls 1)'!F44</f>
        <v>MMM 2010</v>
      </c>
      <c r="J438" s="10" t="str">
        <f>'(FnCalls 1)'!F45</f>
        <v>MMM 2010</v>
      </c>
      <c r="K438" s="10" t="str">
        <f>'(FnCalls 1)'!F46</f>
        <v>MMM 2010</v>
      </c>
      <c r="L438" s="10" t="str">
        <f>'(FnCalls 1)'!F47</f>
        <v>MMM 2010</v>
      </c>
      <c r="M438" s="10" t="str">
        <f>'(FnCalls 1)'!F48</f>
        <v>MMM 2010</v>
      </c>
      <c r="N438" s="10" t="str">
        <f>'(FnCalls 1)'!F49</f>
        <v>MMM 2010</v>
      </c>
      <c r="O438" s="10" t="str">
        <f>'(FnCalls 1)'!F50</f>
        <v>MMM 2010</v>
      </c>
      <c r="P438" s="10" t="str">
        <f>'(FnCalls 1)'!F51</f>
        <v>MMM 2010</v>
      </c>
      <c r="Q438" s="10" t="str">
        <f>'(FnCalls 1)'!F52</f>
        <v>MMM 2010</v>
      </c>
      <c r="R438" s="10" t="str">
        <f>'(FnCalls 1)'!F53</f>
        <v>MMM 2011</v>
      </c>
      <c r="S438" s="10" t="str">
        <f>'(FnCalls 1)'!F54</f>
        <v>MMM 2011</v>
      </c>
      <c r="T438" s="10" t="str">
        <f>'(FnCalls 1)'!F55</f>
        <v>MMM 2011</v>
      </c>
      <c r="U438" s="10" t="str">
        <f>'(FnCalls 1)'!F56</f>
        <v>MMM 2011</v>
      </c>
      <c r="V438" s="10" t="str">
        <f>'(FnCalls 1)'!F57</f>
        <v>MMM 2011</v>
      </c>
      <c r="W438" s="11" t="str">
        <f>'(FnCalls 1)'!F58</f>
        <v>MMM 2011</v>
      </c>
    </row>
    <row r="439" spans="1:30" ht="12.75" hidden="1" customHeight="1" outlineLevel="1" x14ac:dyDescent="0.2">
      <c r="A439" s="5" t="str">
        <f>Labels!B23</f>
        <v>Cash Flow Expectation Factor</v>
      </c>
      <c r="B439" s="6"/>
      <c r="C439" s="6"/>
      <c r="D439" s="6"/>
      <c r="E439" s="7"/>
      <c r="F439" s="177">
        <f>1</f>
        <v>1</v>
      </c>
      <c r="G439" s="177">
        <f t="shared" ref="G439:W439" si="173">F439</f>
        <v>1</v>
      </c>
      <c r="H439" s="177">
        <f t="shared" si="173"/>
        <v>1</v>
      </c>
      <c r="I439" s="177">
        <f t="shared" si="173"/>
        <v>1</v>
      </c>
      <c r="J439" s="177">
        <f t="shared" si="173"/>
        <v>1</v>
      </c>
      <c r="K439" s="177">
        <f t="shared" si="173"/>
        <v>1</v>
      </c>
      <c r="L439" s="177">
        <f t="shared" si="173"/>
        <v>1</v>
      </c>
      <c r="M439" s="177">
        <f t="shared" si="173"/>
        <v>1</v>
      </c>
      <c r="N439" s="177">
        <f t="shared" si="173"/>
        <v>1</v>
      </c>
      <c r="O439" s="177">
        <f t="shared" si="173"/>
        <v>1</v>
      </c>
      <c r="P439" s="177">
        <f t="shared" si="173"/>
        <v>1</v>
      </c>
      <c r="Q439" s="177">
        <f t="shared" si="173"/>
        <v>1</v>
      </c>
      <c r="R439" s="177">
        <f t="shared" si="173"/>
        <v>1</v>
      </c>
      <c r="S439" s="177">
        <f t="shared" si="173"/>
        <v>1</v>
      </c>
      <c r="T439" s="177">
        <f t="shared" si="173"/>
        <v>1</v>
      </c>
      <c r="U439" s="177">
        <f t="shared" si="173"/>
        <v>1</v>
      </c>
      <c r="V439" s="177">
        <f t="shared" si="173"/>
        <v>1</v>
      </c>
      <c r="W439" s="178">
        <f t="shared" si="173"/>
        <v>1</v>
      </c>
    </row>
    <row r="440" spans="1:30" ht="12.75" hidden="1" customHeight="1" outlineLevel="1" x14ac:dyDescent="0.2">
      <c r="A440" s="12" t="str">
        <f>Labels!B284</f>
        <v>Tail Growth Rate (Yr)</v>
      </c>
      <c r="B440" s="13"/>
      <c r="C440" s="13"/>
      <c r="D440" s="13"/>
      <c r="E440" s="14"/>
      <c r="F440" s="179"/>
    </row>
    <row r="441" spans="1:30" ht="12.75" hidden="1" customHeight="1" outlineLevel="1" x14ac:dyDescent="0.2">
      <c r="A441" s="17" t="str">
        <f>Labels!B281</f>
        <v>Tail Discount Rate (Yr)</v>
      </c>
      <c r="B441" s="18"/>
      <c r="C441" s="18"/>
      <c r="D441" s="18"/>
      <c r="E441" s="19"/>
      <c r="F441" s="180"/>
    </row>
    <row r="442" spans="1:30" ht="12.75" hidden="1" customHeight="1" outlineLevel="1" x14ac:dyDescent="0.2"/>
    <row r="443" spans="1:30" ht="12.75" hidden="1" customHeight="1" outlineLevel="1" x14ac:dyDescent="0.2">
      <c r="A443" s="12" t="str">
        <f>Labels!B112</f>
        <v>IRR Guess Model Time (Yr)</v>
      </c>
      <c r="B443" s="13"/>
      <c r="C443" s="13"/>
      <c r="D443" s="13"/>
      <c r="E443" s="14"/>
      <c r="F443" s="179"/>
    </row>
    <row r="444" spans="1:30" ht="12.75" hidden="1" customHeight="1" outlineLevel="1" x14ac:dyDescent="0.2">
      <c r="A444" s="17" t="str">
        <f>Labels!B113</f>
        <v>IRR Guess w Tail (Yr)</v>
      </c>
      <c r="B444" s="18"/>
      <c r="C444" s="18"/>
      <c r="D444" s="18"/>
      <c r="E444" s="19"/>
      <c r="F444" s="180"/>
    </row>
    <row r="445" spans="1:30" ht="12.75" hidden="1" customHeight="1" outlineLevel="1" x14ac:dyDescent="0.2"/>
    <row r="446" spans="1:30" ht="12.75" hidden="1" customHeight="1" outlineLevel="1" collapsed="1" x14ac:dyDescent="0.2">
      <c r="A446" t="s">
        <v>3402</v>
      </c>
      <c r="B446" t="s">
        <v>3402</v>
      </c>
      <c r="C446" t="s">
        <v>3402</v>
      </c>
      <c r="D446" t="s">
        <v>3402</v>
      </c>
      <c r="E446" t="s">
        <v>3402</v>
      </c>
      <c r="F446" t="s">
        <v>3402</v>
      </c>
      <c r="G446" t="s">
        <v>3402</v>
      </c>
      <c r="H446" t="s">
        <v>3402</v>
      </c>
      <c r="I446" t="s">
        <v>3402</v>
      </c>
      <c r="J446" t="s">
        <v>3402</v>
      </c>
      <c r="K446" t="s">
        <v>3402</v>
      </c>
      <c r="L446" t="s">
        <v>3402</v>
      </c>
      <c r="M446" t="s">
        <v>3402</v>
      </c>
      <c r="N446" t="s">
        <v>3402</v>
      </c>
      <c r="O446" t="s">
        <v>3402</v>
      </c>
      <c r="P446" t="s">
        <v>3402</v>
      </c>
      <c r="Q446" t="s">
        <v>3402</v>
      </c>
      <c r="R446" t="s">
        <v>3402</v>
      </c>
      <c r="S446" t="s">
        <v>3402</v>
      </c>
      <c r="T446" t="s">
        <v>3402</v>
      </c>
      <c r="U446" t="s">
        <v>3402</v>
      </c>
      <c r="V446" t="s">
        <v>3402</v>
      </c>
      <c r="W446" t="s">
        <v>3402</v>
      </c>
      <c r="X446" t="s">
        <v>3402</v>
      </c>
      <c r="Y446" t="s">
        <v>3402</v>
      </c>
      <c r="Z446" t="s">
        <v>3402</v>
      </c>
      <c r="AA446" t="s">
        <v>3402</v>
      </c>
      <c r="AB446" t="s">
        <v>3402</v>
      </c>
      <c r="AC446" t="s">
        <v>3402</v>
      </c>
      <c r="AD446" t="s">
        <v>3402</v>
      </c>
    </row>
    <row r="447" spans="1:30" ht="12.75" customHeight="1" collapsed="1" x14ac:dyDescent="0.2"/>
  </sheetData>
  <mergeCells count="49">
    <mergeCell ref="A436:B436"/>
    <mergeCell ref="A405:B405"/>
    <mergeCell ref="A415:G415"/>
    <mergeCell ref="A418:B418"/>
    <mergeCell ref="A419:B419"/>
    <mergeCell ref="A426:C426"/>
    <mergeCell ref="A428:D428"/>
    <mergeCell ref="A404:B404"/>
    <mergeCell ref="A284:C284"/>
    <mergeCell ref="A299:F299"/>
    <mergeCell ref="A310:B310"/>
    <mergeCell ref="A311:B311"/>
    <mergeCell ref="A316:B316"/>
    <mergeCell ref="A317:B317"/>
    <mergeCell ref="A335:C335"/>
    <mergeCell ref="A337:B337"/>
    <mergeCell ref="A352:B352"/>
    <mergeCell ref="A390:B390"/>
    <mergeCell ref="A402:B402"/>
    <mergeCell ref="A283:C283"/>
    <mergeCell ref="A182:C182"/>
    <mergeCell ref="A193:I193"/>
    <mergeCell ref="A195:B195"/>
    <mergeCell ref="A201:I201"/>
    <mergeCell ref="A204:B204"/>
    <mergeCell ref="A205:B205"/>
    <mergeCell ref="A206:C206"/>
    <mergeCell ref="A224:C224"/>
    <mergeCell ref="A272:C272"/>
    <mergeCell ref="A274:C274"/>
    <mergeCell ref="A280:H280"/>
    <mergeCell ref="A180:B180"/>
    <mergeCell ref="A10:B10"/>
    <mergeCell ref="A16:D16"/>
    <mergeCell ref="A17:D17"/>
    <mergeCell ref="A18:H18"/>
    <mergeCell ref="A29:F29"/>
    <mergeCell ref="A30:F30"/>
    <mergeCell ref="A51:D51"/>
    <mergeCell ref="A133:B133"/>
    <mergeCell ref="A135:B135"/>
    <mergeCell ref="A136:B136"/>
    <mergeCell ref="A151:B151"/>
    <mergeCell ref="A6:E6"/>
    <mergeCell ref="A1:C1"/>
    <mergeCell ref="A2:C2"/>
    <mergeCell ref="A3:C3"/>
    <mergeCell ref="A4:C4"/>
    <mergeCell ref="A5:E5"/>
  </mergeCells>
  <pageMargins left="0.25" right="0.25" top="0.5" bottom="0.5" header="0.5" footer="0.5"/>
  <pageSetup paperSize="9" fitToHeight="32767" orientation="landscape" horizontalDpi="300" verticalDpi="300"/>
  <headerFooter alignWithMargins="0"/>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pageSetUpPr fitToPage="1"/>
  </sheetPr>
  <dimension ref="A1:Y31"/>
  <sheetViews>
    <sheetView zoomScaleNormal="100" workbookViewId="0">
      <selection activeCell="A2" sqref="A2:C2"/>
    </sheetView>
  </sheetViews>
  <sheetFormatPr defaultRowHeight="12.75" customHeight="1" x14ac:dyDescent="0.2"/>
  <cols>
    <col min="1" max="1" width="21.28515625" customWidth="1"/>
    <col min="2" max="25" width="12.42578125" customWidth="1"/>
  </cols>
  <sheetData>
    <row r="1" spans="1:25" ht="12.75" customHeight="1" x14ac:dyDescent="0.2">
      <c r="A1" s="463" t="str">
        <f>Inputs!F7</f>
        <v xml:space="preserve"> </v>
      </c>
      <c r="B1" s="463"/>
      <c r="C1" s="463"/>
    </row>
    <row r="2" spans="1:25" ht="12.75" customHeight="1" x14ac:dyDescent="0.2">
      <c r="A2" s="463" t="e">
        <f>TEXT('(FnCalls 1)'!A41,"m/d/yyyy")&amp;" to "&amp;TEXT('(FnCalls 1)'!A59-1,"m/d/yyyy")</f>
        <v>#VALUE!</v>
      </c>
      <c r="B2" s="463"/>
      <c r="C2" s="463"/>
    </row>
    <row r="3" spans="1:25" ht="12.75" customHeight="1" x14ac:dyDescent="0.2">
      <c r="A3" s="463" t="str">
        <f>"Income Statement"</f>
        <v>Income Statement</v>
      </c>
      <c r="B3" s="463"/>
      <c r="C3" s="463"/>
    </row>
    <row r="4" spans="1:25" ht="12.75" customHeight="1" x14ac:dyDescent="0.2">
      <c r="A4" s="463" t="str">
        <f>""</f>
        <v/>
      </c>
      <c r="B4" s="463"/>
      <c r="C4" s="463"/>
    </row>
    <row r="5" spans="1:25" ht="12.75" customHeight="1" x14ac:dyDescent="0.2">
      <c r="B5" s="9" t="str">
        <f>'(FnCalls 1)'!F41</f>
        <v>MMM 2010</v>
      </c>
      <c r="C5" s="10" t="str">
        <f>'(FnCalls 1)'!F42</f>
        <v>MMM 2010</v>
      </c>
      <c r="D5" s="10" t="str">
        <f>'(FnCalls 1)'!F43</f>
        <v>MMM 2010</v>
      </c>
      <c r="E5" s="181" t="str">
        <f>'(FnCalls 1)'!G41</f>
        <v>Q1 2010</v>
      </c>
      <c r="F5" s="10" t="str">
        <f>'(FnCalls 1)'!F44</f>
        <v>MMM 2010</v>
      </c>
      <c r="G5" s="10" t="str">
        <f>'(FnCalls 1)'!F45</f>
        <v>MMM 2010</v>
      </c>
      <c r="H5" s="10" t="str">
        <f>'(FnCalls 1)'!F46</f>
        <v>MMM 2010</v>
      </c>
      <c r="I5" s="181" t="str">
        <f>'(FnCalls 1)'!G44</f>
        <v>Q2 2010</v>
      </c>
      <c r="J5" s="10" t="str">
        <f>'(FnCalls 1)'!F47</f>
        <v>MMM 2010</v>
      </c>
      <c r="K5" s="10" t="str">
        <f>'(FnCalls 1)'!F48</f>
        <v>MMM 2010</v>
      </c>
      <c r="L5" s="10" t="str">
        <f>'(FnCalls 1)'!F49</f>
        <v>MMM 2010</v>
      </c>
      <c r="M5" s="181" t="str">
        <f>'(FnCalls 1)'!G47</f>
        <v>Q3 2010</v>
      </c>
      <c r="N5" s="10" t="str">
        <f>'(FnCalls 1)'!F50</f>
        <v>MMM 2010</v>
      </c>
      <c r="O5" s="10" t="str">
        <f>'(FnCalls 1)'!F51</f>
        <v>MMM 2010</v>
      </c>
      <c r="P5" s="10" t="str">
        <f>'(FnCalls 1)'!F52</f>
        <v>MMM 2010</v>
      </c>
      <c r="Q5" s="181" t="str">
        <f>'(FnCalls 1)'!G50</f>
        <v>Q4 2010</v>
      </c>
      <c r="R5" s="10" t="str">
        <f>'(FnCalls 1)'!F53</f>
        <v>MMM 2011</v>
      </c>
      <c r="S5" s="10" t="str">
        <f>'(FnCalls 1)'!F54</f>
        <v>MMM 2011</v>
      </c>
      <c r="T5" s="10" t="str">
        <f>'(FnCalls 1)'!F55</f>
        <v>MMM 2011</v>
      </c>
      <c r="U5" s="181" t="str">
        <f>'(FnCalls 1)'!G53</f>
        <v>Q1 2011</v>
      </c>
      <c r="V5" s="10" t="str">
        <f>'(FnCalls 1)'!F56</f>
        <v>MMM 2011</v>
      </c>
      <c r="W5" s="10" t="str">
        <f>'(FnCalls 1)'!F57</f>
        <v>MMM 2011</v>
      </c>
      <c r="X5" s="10" t="str">
        <f>'(FnCalls 1)'!F58</f>
        <v>MMM 2011</v>
      </c>
      <c r="Y5" s="181" t="str">
        <f>'(FnCalls 1)'!G56</f>
        <v>Q2 2011</v>
      </c>
    </row>
    <row r="6" spans="1:25" ht="12.75" customHeight="1" x14ac:dyDescent="0.2">
      <c r="A6" s="182" t="str">
        <f>Labels!B226</f>
        <v>Revenue</v>
      </c>
      <c r="B6" s="183">
        <f>SUM(Practices!B9:B10)</f>
        <v>0</v>
      </c>
      <c r="C6" s="183">
        <f>SUM(Practices!C9:C10)</f>
        <v>0</v>
      </c>
      <c r="D6" s="183">
        <f>SUM(Practices!D9:D10)</f>
        <v>112750</v>
      </c>
      <c r="E6" s="184">
        <f>SUM(B6:D6)</f>
        <v>112750</v>
      </c>
      <c r="F6" s="183">
        <f>SUM(Practices!F9:F10)</f>
        <v>112750</v>
      </c>
      <c r="G6" s="183">
        <f>SUM(Practices!G9:G10)</f>
        <v>0</v>
      </c>
      <c r="H6" s="183">
        <f>SUM(Practices!H9:H10)</f>
        <v>82000</v>
      </c>
      <c r="I6" s="184">
        <f>SUM(F6:H6)</f>
        <v>194750</v>
      </c>
      <c r="J6" s="183">
        <f>SUM(Practices!J9:J10)</f>
        <v>82000</v>
      </c>
      <c r="K6" s="183">
        <f>SUM(Practices!K9:K10)</f>
        <v>82000</v>
      </c>
      <c r="L6" s="183">
        <f>SUM(Practices!L9:L10)</f>
        <v>0</v>
      </c>
      <c r="M6" s="184">
        <f>SUM(J6:L6)</f>
        <v>164000</v>
      </c>
      <c r="N6" s="183">
        <f>SUM(Practices!N9:N10)</f>
        <v>0</v>
      </c>
      <c r="O6" s="183">
        <f>SUM(Practices!O9:O10)</f>
        <v>0</v>
      </c>
      <c r="P6" s="183">
        <f>SUM(Practices!P9:P10)</f>
        <v>0</v>
      </c>
      <c r="Q6" s="184">
        <f>SUM(N6:P6)</f>
        <v>0</v>
      </c>
      <c r="R6" s="183">
        <f>SUM(Practices!R9:R10)</f>
        <v>0</v>
      </c>
      <c r="S6" s="183">
        <f>SUM(Practices!S9:S10)</f>
        <v>0</v>
      </c>
      <c r="T6" s="183">
        <f>SUM(Practices!T9:T10)</f>
        <v>0</v>
      </c>
      <c r="U6" s="184">
        <f>SUM(R6:T6)</f>
        <v>0</v>
      </c>
      <c r="V6" s="183">
        <f>SUM(Practices!V9:V10)</f>
        <v>0</v>
      </c>
      <c r="W6" s="183">
        <f>SUM(Practices!W9:W10)</f>
        <v>0</v>
      </c>
      <c r="X6" s="183">
        <f>SUM(Practices!X9:X10)</f>
        <v>0</v>
      </c>
      <c r="Y6" s="184">
        <f>SUM(V6:X6)</f>
        <v>0</v>
      </c>
    </row>
    <row r="7" spans="1:25" ht="12.75" customHeight="1" x14ac:dyDescent="0.2">
      <c r="A7" s="185" t="str">
        <f>Labels!B229</f>
        <v>Revenue Growth</v>
      </c>
      <c r="B7" s="186"/>
      <c r="C7" s="186">
        <f>IF(B6=0,0,C6/B6-1)</f>
        <v>0</v>
      </c>
      <c r="D7" s="186">
        <f>IF(C6=0,0,D6/C6-1)</f>
        <v>0</v>
      </c>
      <c r="E7" s="187">
        <f>(1+C7)^1*(1+D7)^1-1</f>
        <v>0</v>
      </c>
      <c r="F7" s="186">
        <f>IF(D6=0,0,F6/D6-1)</f>
        <v>0</v>
      </c>
      <c r="G7" s="186">
        <f>IF(F6=0,0,G6/F6-1)</f>
        <v>-1</v>
      </c>
      <c r="H7" s="186">
        <f>IF(G6=0,0,H6/G6-1)</f>
        <v>0</v>
      </c>
      <c r="I7" s="187">
        <f>(1+F7)^1*(1+G7)^1*(1+H7)^1-1</f>
        <v>-1</v>
      </c>
      <c r="J7" s="186">
        <f>IF(H6=0,0,J6/H6-1)</f>
        <v>0</v>
      </c>
      <c r="K7" s="186">
        <f>IF(J6=0,0,K6/J6-1)</f>
        <v>0</v>
      </c>
      <c r="L7" s="186">
        <f>IF(K6=0,0,L6/K6-1)</f>
        <v>-1</v>
      </c>
      <c r="M7" s="187">
        <f>(1+J7)^1*(1+K7)^1*(1+L7)^1-1</f>
        <v>-1</v>
      </c>
      <c r="N7" s="186">
        <f>IF(L6=0,0,N6/L6-1)</f>
        <v>0</v>
      </c>
      <c r="O7" s="186">
        <f>IF(N6=0,0,O6/N6-1)</f>
        <v>0</v>
      </c>
      <c r="P7" s="186">
        <f>IF(O6=0,0,P6/O6-1)</f>
        <v>0</v>
      </c>
      <c r="Q7" s="187">
        <f>(1+N7)^1*(1+O7)^1*(1+P7)^1-1</f>
        <v>0</v>
      </c>
      <c r="R7" s="186">
        <f>IF(P6=0,0,R6/P6-1)</f>
        <v>0</v>
      </c>
      <c r="S7" s="186">
        <f>IF(R6=0,0,S6/R6-1)</f>
        <v>0</v>
      </c>
      <c r="T7" s="186">
        <f>IF(S6=0,0,T6/S6-1)</f>
        <v>0</v>
      </c>
      <c r="U7" s="187">
        <f>(1+R7)^1*(1+S7)^1*(1+T7)^1-1</f>
        <v>0</v>
      </c>
      <c r="V7" s="186">
        <f>IF(T6=0,0,V6/T6-1)</f>
        <v>0</v>
      </c>
      <c r="W7" s="186">
        <f>IF(V6=0,0,W6/V6-1)</f>
        <v>0</v>
      </c>
      <c r="X7" s="186">
        <f>IF(W6=0,0,X6/W6-1)</f>
        <v>0</v>
      </c>
      <c r="Y7" s="187">
        <f>(1+V7)^1*(1+W7)^1*(1+X7)^1-1</f>
        <v>0</v>
      </c>
    </row>
    <row r="9" spans="1:25" ht="12.75" customHeight="1" x14ac:dyDescent="0.2">
      <c r="A9" s="182" t="str">
        <f>Labels!B42</f>
        <v>Cost of Services</v>
      </c>
      <c r="B9" s="183"/>
      <c r="C9" s="183"/>
      <c r="D9" s="183"/>
      <c r="E9" s="184"/>
      <c r="F9" s="183"/>
      <c r="G9" s="183"/>
      <c r="H9" s="183"/>
      <c r="I9" s="184"/>
      <c r="J9" s="183"/>
      <c r="K9" s="183"/>
      <c r="L9" s="183"/>
      <c r="M9" s="184"/>
      <c r="N9" s="183"/>
      <c r="O9" s="183"/>
      <c r="P9" s="183"/>
      <c r="Q9" s="184"/>
      <c r="R9" s="183"/>
      <c r="S9" s="183"/>
      <c r="T9" s="183"/>
      <c r="U9" s="184"/>
      <c r="V9" s="183"/>
      <c r="W9" s="183"/>
      <c r="X9" s="183"/>
      <c r="Y9" s="184"/>
    </row>
    <row r="10" spans="1:25" ht="12.75" customHeight="1" x14ac:dyDescent="0.2">
      <c r="A10" s="188" t="str">
        <f>"   "&amp;Labels!B325</f>
        <v xml:space="preserve">   Direct Labor</v>
      </c>
      <c r="B10" s="189">
        <f>SUM(Practices!B73,Practices!B89)</f>
        <v>0</v>
      </c>
      <c r="C10" s="189">
        <f>SUM(Practices!C73,Practices!C89)</f>
        <v>0</v>
      </c>
      <c r="D10" s="189">
        <f>SUM(Practices!D73,Practices!D89)</f>
        <v>0</v>
      </c>
      <c r="E10" s="190">
        <f>SUM(B10:D10)</f>
        <v>0</v>
      </c>
      <c r="F10" s="189">
        <f>SUM(Practices!F73,Practices!F89)</f>
        <v>0</v>
      </c>
      <c r="G10" s="189">
        <f>SUM(Practices!G73,Practices!G89)</f>
        <v>0</v>
      </c>
      <c r="H10" s="189">
        <f>SUM(Practices!H73,Practices!H89)</f>
        <v>0</v>
      </c>
      <c r="I10" s="190">
        <f>SUM(F10:H10)</f>
        <v>0</v>
      </c>
      <c r="J10" s="189">
        <f>SUM(Practices!J73,Practices!J89)</f>
        <v>28260.89297106001</v>
      </c>
      <c r="K10" s="189">
        <f>SUM(Practices!K73,Practices!K89)</f>
        <v>28330.591957132838</v>
      </c>
      <c r="L10" s="189">
        <f>SUM(Practices!L73,Practices!L89)</f>
        <v>0</v>
      </c>
      <c r="M10" s="190">
        <f>SUM(J10:L10)</f>
        <v>56591.484928192847</v>
      </c>
      <c r="N10" s="189">
        <f>SUM(Practices!N73,Practices!N89)</f>
        <v>0</v>
      </c>
      <c r="O10" s="189">
        <f>SUM(Practices!O73,Practices!O89)</f>
        <v>0</v>
      </c>
      <c r="P10" s="189">
        <f>SUM(Practices!P73,Practices!P89)</f>
        <v>0</v>
      </c>
      <c r="Q10" s="190">
        <f>SUM(N10:P10)</f>
        <v>0</v>
      </c>
      <c r="R10" s="189">
        <f>SUM(Practices!R73,Practices!R89)</f>
        <v>0</v>
      </c>
      <c r="S10" s="189">
        <f>SUM(Practices!S73,Practices!S89)</f>
        <v>0</v>
      </c>
      <c r="T10" s="189">
        <f>SUM(Practices!T73,Practices!T89)</f>
        <v>0</v>
      </c>
      <c r="U10" s="190">
        <f>SUM(R10:T10)</f>
        <v>0</v>
      </c>
      <c r="V10" s="189">
        <f>SUM(Practices!V73,Practices!V89)</f>
        <v>0</v>
      </c>
      <c r="W10" s="189">
        <f>SUM(Practices!W73,Practices!W89)</f>
        <v>0</v>
      </c>
      <c r="X10" s="189">
        <f>SUM(Practices!X73,Practices!X89)</f>
        <v>0</v>
      </c>
      <c r="Y10" s="190">
        <f>SUM(V10:X10)</f>
        <v>0</v>
      </c>
    </row>
    <row r="11" spans="1:25" ht="12.75" customHeight="1" x14ac:dyDescent="0.2">
      <c r="A11" s="188" t="str">
        <f>"   "&amp;Labels!B326</f>
        <v xml:space="preserve">   Travel &amp; Entertain</v>
      </c>
      <c r="B11" s="189">
        <f>SUM(Practices!B74,Practices!B90)</f>
        <v>0</v>
      </c>
      <c r="C11" s="189">
        <f>SUM(Practices!C74,Practices!C90)</f>
        <v>0</v>
      </c>
      <c r="D11" s="189">
        <f>SUM(Practices!D74,Practices!D90)</f>
        <v>2750</v>
      </c>
      <c r="E11" s="190">
        <f>SUM(B11:D11)</f>
        <v>2750</v>
      </c>
      <c r="F11" s="189">
        <f>SUM(Practices!F74,Practices!F90)</f>
        <v>2750</v>
      </c>
      <c r="G11" s="189">
        <f>SUM(Practices!G74,Practices!G90)</f>
        <v>0</v>
      </c>
      <c r="H11" s="189">
        <f>SUM(Practices!H74,Practices!H90)</f>
        <v>2000</v>
      </c>
      <c r="I11" s="190">
        <f>SUM(F11:H11)</f>
        <v>4750</v>
      </c>
      <c r="J11" s="189">
        <f>SUM(Practices!J74,Practices!J90)</f>
        <v>2000</v>
      </c>
      <c r="K11" s="189">
        <f>SUM(Practices!K74,Practices!K90)</f>
        <v>2000</v>
      </c>
      <c r="L11" s="189">
        <f>SUM(Practices!L74,Practices!L90)</f>
        <v>0</v>
      </c>
      <c r="M11" s="190">
        <f>SUM(J11:L11)</f>
        <v>4000</v>
      </c>
      <c r="N11" s="189">
        <f>SUM(Practices!N74,Practices!N90)</f>
        <v>0</v>
      </c>
      <c r="O11" s="189">
        <f>SUM(Practices!O74,Practices!O90)</f>
        <v>0</v>
      </c>
      <c r="P11" s="189">
        <f>SUM(Practices!P74,Practices!P90)</f>
        <v>0</v>
      </c>
      <c r="Q11" s="190">
        <f>SUM(N11:P11)</f>
        <v>0</v>
      </c>
      <c r="R11" s="189">
        <f>SUM(Practices!R74,Practices!R90)</f>
        <v>0</v>
      </c>
      <c r="S11" s="189">
        <f>SUM(Practices!S74,Practices!S90)</f>
        <v>0</v>
      </c>
      <c r="T11" s="189">
        <f>SUM(Practices!T74,Practices!T90)</f>
        <v>0</v>
      </c>
      <c r="U11" s="190">
        <f>SUM(R11:T11)</f>
        <v>0</v>
      </c>
      <c r="V11" s="189">
        <f>SUM(Practices!V74,Practices!V90)</f>
        <v>0</v>
      </c>
      <c r="W11" s="189">
        <f>SUM(Practices!W74,Practices!W90)</f>
        <v>0</v>
      </c>
      <c r="X11" s="189">
        <f>SUM(Practices!X74,Practices!X90)</f>
        <v>0</v>
      </c>
      <c r="Y11" s="190">
        <f>SUM(V11:X11)</f>
        <v>0</v>
      </c>
    </row>
    <row r="12" spans="1:25" ht="12.75" customHeight="1" x14ac:dyDescent="0.2">
      <c r="A12" s="188" t="str">
        <f>"   "&amp;Labels!B327</f>
        <v xml:space="preserve">   Direct Supplies</v>
      </c>
      <c r="B12" s="189">
        <f>SUM(Practices!B75,Practices!B91)</f>
        <v>0</v>
      </c>
      <c r="C12" s="189">
        <f>SUM(Practices!C75,Practices!C91)</f>
        <v>0</v>
      </c>
      <c r="D12" s="189">
        <f>SUM(Practices!D75,Practices!D91)</f>
        <v>0</v>
      </c>
      <c r="E12" s="190">
        <f>SUM(B12:D12)</f>
        <v>0</v>
      </c>
      <c r="F12" s="189">
        <f>SUM(Practices!F75,Practices!F91)</f>
        <v>0</v>
      </c>
      <c r="G12" s="189">
        <f>SUM(Practices!G75,Practices!G91)</f>
        <v>0</v>
      </c>
      <c r="H12" s="189">
        <f>SUM(Practices!H75,Practices!H91)</f>
        <v>0</v>
      </c>
      <c r="I12" s="190">
        <f>SUM(F12:H12)</f>
        <v>0</v>
      </c>
      <c r="J12" s="189">
        <f>SUM(Practices!J75,Practices!J91)</f>
        <v>0</v>
      </c>
      <c r="K12" s="189">
        <f>SUM(Practices!K75,Practices!K91)</f>
        <v>0</v>
      </c>
      <c r="L12" s="189">
        <f>SUM(Practices!L75,Practices!L91)</f>
        <v>0</v>
      </c>
      <c r="M12" s="190">
        <f>SUM(J12:L12)</f>
        <v>0</v>
      </c>
      <c r="N12" s="189">
        <f>SUM(Practices!N75,Practices!N91)</f>
        <v>0</v>
      </c>
      <c r="O12" s="189">
        <f>SUM(Practices!O75,Practices!O91)</f>
        <v>0</v>
      </c>
      <c r="P12" s="189">
        <f>SUM(Practices!P75,Practices!P91)</f>
        <v>0</v>
      </c>
      <c r="Q12" s="190">
        <f>SUM(N12:P12)</f>
        <v>0</v>
      </c>
      <c r="R12" s="189">
        <f>SUM(Practices!R75,Practices!R91)</f>
        <v>0</v>
      </c>
      <c r="S12" s="189">
        <f>SUM(Practices!S75,Practices!S91)</f>
        <v>0</v>
      </c>
      <c r="T12" s="189">
        <f>SUM(Practices!T75,Practices!T91)</f>
        <v>0</v>
      </c>
      <c r="U12" s="190">
        <f>SUM(R12:T12)</f>
        <v>0</v>
      </c>
      <c r="V12" s="189">
        <f>SUM(Practices!V75,Practices!V91)</f>
        <v>0</v>
      </c>
      <c r="W12" s="189">
        <f>SUM(Practices!W75,Practices!W91)</f>
        <v>0</v>
      </c>
      <c r="X12" s="189">
        <f>SUM(Practices!X75,Practices!X91)</f>
        <v>0</v>
      </c>
      <c r="Y12" s="190">
        <f>SUM(V12:X12)</f>
        <v>0</v>
      </c>
    </row>
    <row r="13" spans="1:25" ht="12.75" customHeight="1" x14ac:dyDescent="0.2">
      <c r="A13" s="191" t="str">
        <f>"   "&amp;Labels!C324</f>
        <v xml:space="preserve">   Total</v>
      </c>
      <c r="B13" s="192">
        <f>SUM(Practices!B14:B15)</f>
        <v>0</v>
      </c>
      <c r="C13" s="192">
        <f>SUM(Practices!C14:C15)</f>
        <v>0</v>
      </c>
      <c r="D13" s="192">
        <f>SUM(Practices!D14:D15)</f>
        <v>2750</v>
      </c>
      <c r="E13" s="190">
        <f>SUM(B13:D13)</f>
        <v>2750</v>
      </c>
      <c r="F13" s="192">
        <f>SUM(Practices!F14:F15)</f>
        <v>2750</v>
      </c>
      <c r="G13" s="192">
        <f>SUM(Practices!G14:G15)</f>
        <v>0</v>
      </c>
      <c r="H13" s="192">
        <f>SUM(Practices!H14:H15)</f>
        <v>2000</v>
      </c>
      <c r="I13" s="190">
        <f>SUM(F13:H13)</f>
        <v>4750</v>
      </c>
      <c r="J13" s="192">
        <f>SUM(Practices!J14:J15)</f>
        <v>30260.89297106001</v>
      </c>
      <c r="K13" s="192">
        <f>SUM(Practices!K14:K15)</f>
        <v>30330.591957132838</v>
      </c>
      <c r="L13" s="192">
        <f>SUM(Practices!L14:L15)</f>
        <v>0</v>
      </c>
      <c r="M13" s="190">
        <f>SUM(J13:L13)</f>
        <v>60591.484928192847</v>
      </c>
      <c r="N13" s="192">
        <f>SUM(Practices!N14:N15)</f>
        <v>0</v>
      </c>
      <c r="O13" s="192">
        <f>SUM(Practices!O14:O15)</f>
        <v>0</v>
      </c>
      <c r="P13" s="192">
        <f>SUM(Practices!P14:P15)</f>
        <v>0</v>
      </c>
      <c r="Q13" s="190">
        <f>SUM(N13:P13)</f>
        <v>0</v>
      </c>
      <c r="R13" s="192">
        <f>SUM(Practices!R14:R15)</f>
        <v>0</v>
      </c>
      <c r="S13" s="192">
        <f>SUM(Practices!S14:S15)</f>
        <v>0</v>
      </c>
      <c r="T13" s="192">
        <f>SUM(Practices!T14:T15)</f>
        <v>0</v>
      </c>
      <c r="U13" s="190">
        <f>SUM(R13:T13)</f>
        <v>0</v>
      </c>
      <c r="V13" s="192">
        <f>SUM(Practices!V14:V15)</f>
        <v>0</v>
      </c>
      <c r="W13" s="192">
        <f>SUM(Practices!W14:W15)</f>
        <v>0</v>
      </c>
      <c r="X13" s="192">
        <f>SUM(Practices!X14:X15)</f>
        <v>0</v>
      </c>
      <c r="Y13" s="190">
        <f>SUM(V13:X13)</f>
        <v>0</v>
      </c>
    </row>
    <row r="14" spans="1:25" ht="12.75" customHeight="1" x14ac:dyDescent="0.2">
      <c r="A14" s="185" t="str">
        <f>Labels!B173</f>
        <v>Prof Staff Cost Unapplied</v>
      </c>
      <c r="B14" s="176">
        <f>SUM('GM CostSvcs'!B392,'GM CostSvcs'!B396)</f>
        <v>0</v>
      </c>
      <c r="C14" s="176">
        <f>SUM('GM CostSvcs'!C392,'GM CostSvcs'!C396)</f>
        <v>0</v>
      </c>
      <c r="D14" s="176">
        <f>SUM('GM CostSvcs'!D392,'GM CostSvcs'!D396)</f>
        <v>0</v>
      </c>
      <c r="E14" s="193">
        <f>SUM(B14:D14)</f>
        <v>0</v>
      </c>
      <c r="F14" s="176">
        <f>SUM('GM CostSvcs'!F392,'GM CostSvcs'!F396)</f>
        <v>0</v>
      </c>
      <c r="G14" s="176">
        <f>SUM('GM CostSvcs'!G392,'GM CostSvcs'!G396)</f>
        <v>0</v>
      </c>
      <c r="H14" s="176">
        <f>SUM('GM CostSvcs'!H392,'GM CostSvcs'!H396)</f>
        <v>0</v>
      </c>
      <c r="I14" s="193">
        <f>SUM(F14:H14)</f>
        <v>0</v>
      </c>
      <c r="J14" s="176">
        <f>SUM('GM CostSvcs'!J392,'GM CostSvcs'!J396)</f>
        <v>0</v>
      </c>
      <c r="K14" s="176">
        <f>SUM('GM CostSvcs'!K392,'GM CostSvcs'!K396)</f>
        <v>14165.295978566419</v>
      </c>
      <c r="L14" s="176">
        <f>SUM('GM CostSvcs'!L392,'GM CostSvcs'!L396)</f>
        <v>0</v>
      </c>
      <c r="M14" s="193">
        <f>SUM(J14:L14)</f>
        <v>14165.295978566419</v>
      </c>
      <c r="N14" s="176">
        <f>SUM('GM CostSvcs'!N392,'GM CostSvcs'!N396)</f>
        <v>0</v>
      </c>
      <c r="O14" s="176">
        <f>SUM('GM CostSvcs'!O392,'GM CostSvcs'!O396)</f>
        <v>0</v>
      </c>
      <c r="P14" s="176">
        <f>SUM('GM CostSvcs'!P392,'GM CostSvcs'!P396)</f>
        <v>0</v>
      </c>
      <c r="Q14" s="193">
        <f>SUM(N14:P14)</f>
        <v>0</v>
      </c>
      <c r="R14" s="176">
        <f>SUM('GM CostSvcs'!R392,'GM CostSvcs'!R396)</f>
        <v>0</v>
      </c>
      <c r="S14" s="176">
        <f>SUM('GM CostSvcs'!S392,'GM CostSvcs'!S396)</f>
        <v>0</v>
      </c>
      <c r="T14" s="176">
        <f>SUM('GM CostSvcs'!T392,'GM CostSvcs'!T396)</f>
        <v>0</v>
      </c>
      <c r="U14" s="193">
        <f>SUM(R14:T14)</f>
        <v>0</v>
      </c>
      <c r="V14" s="176">
        <f>SUM('GM CostSvcs'!V392,'GM CostSvcs'!V396)</f>
        <v>0</v>
      </c>
      <c r="W14" s="176">
        <f>SUM('GM CostSvcs'!W392,'GM CostSvcs'!W396)</f>
        <v>0</v>
      </c>
      <c r="X14" s="176">
        <f>SUM('GM CostSvcs'!X392,'GM CostSvcs'!X396)</f>
        <v>0</v>
      </c>
      <c r="Y14" s="193">
        <f>SUM(V14:X14)</f>
        <v>0</v>
      </c>
    </row>
    <row r="16" spans="1:25" ht="12.75" customHeight="1" x14ac:dyDescent="0.2">
      <c r="A16" s="182" t="str">
        <f>Labels!B98</f>
        <v>Gross Margin</v>
      </c>
      <c r="B16" s="183">
        <f>SUM(Practices!B19,Practices!B22)</f>
        <v>0</v>
      </c>
      <c r="C16" s="183">
        <f>SUM(Practices!C19,Practices!C22)</f>
        <v>0</v>
      </c>
      <c r="D16" s="183">
        <f>SUM(Practices!D19,Practices!D22)</f>
        <v>110000</v>
      </c>
      <c r="E16" s="184">
        <f>SUM(B16:D16)</f>
        <v>110000</v>
      </c>
      <c r="F16" s="183">
        <f>SUM(Practices!F19,Practices!F22)</f>
        <v>110000</v>
      </c>
      <c r="G16" s="183">
        <f>SUM(Practices!G19,Practices!G22)</f>
        <v>0</v>
      </c>
      <c r="H16" s="183">
        <f>SUM(Practices!H19,Practices!H22)</f>
        <v>80000</v>
      </c>
      <c r="I16" s="184">
        <f>SUM(F16:H16)</f>
        <v>190000</v>
      </c>
      <c r="J16" s="183">
        <f>SUM(Practices!J19,Practices!J22)</f>
        <v>51739.107028939994</v>
      </c>
      <c r="K16" s="183">
        <f>SUM(Practices!K19,Practices!K22)</f>
        <v>37504.112064300745</v>
      </c>
      <c r="L16" s="183">
        <f>SUM(Practices!L19,Practices!L22)</f>
        <v>0</v>
      </c>
      <c r="M16" s="184">
        <f>SUM(J16:L16)</f>
        <v>89243.219093240739</v>
      </c>
      <c r="N16" s="183">
        <f>SUM(Practices!N19,Practices!N22)</f>
        <v>0</v>
      </c>
      <c r="O16" s="183">
        <f>SUM(Practices!O19,Practices!O22)</f>
        <v>0</v>
      </c>
      <c r="P16" s="183">
        <f>SUM(Practices!P19,Practices!P22)</f>
        <v>0</v>
      </c>
      <c r="Q16" s="184">
        <f>SUM(N16:P16)</f>
        <v>0</v>
      </c>
      <c r="R16" s="183">
        <f>SUM(Practices!R19,Practices!R22)</f>
        <v>0</v>
      </c>
      <c r="S16" s="183">
        <f>SUM(Practices!S19,Practices!S22)</f>
        <v>0</v>
      </c>
      <c r="T16" s="183">
        <f>SUM(Practices!T19,Practices!T22)</f>
        <v>0</v>
      </c>
      <c r="U16" s="184">
        <f>SUM(R16:T16)</f>
        <v>0</v>
      </c>
      <c r="V16" s="183">
        <f>SUM(Practices!V19,Practices!V22)</f>
        <v>0</v>
      </c>
      <c r="W16" s="183">
        <f>SUM(Practices!W19,Practices!W22)</f>
        <v>0</v>
      </c>
      <c r="X16" s="183">
        <f>SUM(Practices!X19,Practices!X22)</f>
        <v>0</v>
      </c>
      <c r="Y16" s="184">
        <f>SUM(V16:X16)</f>
        <v>0</v>
      </c>
    </row>
    <row r="17" spans="1:25" ht="12.75" customHeight="1" x14ac:dyDescent="0.2">
      <c r="A17" s="185" t="str">
        <f>Labels!B100</f>
        <v>Gross Margin %</v>
      </c>
      <c r="B17" s="186">
        <f>IF(B6=0,0,B16/B6)</f>
        <v>0</v>
      </c>
      <c r="C17" s="186">
        <f>IF(C6=0,0,C16/C6)</f>
        <v>0</v>
      </c>
      <c r="D17" s="186">
        <f>IF(D6=0,0,D16/D6)</f>
        <v>0.97560975609756095</v>
      </c>
      <c r="E17" s="187">
        <f>IF(SUM(B6:D6)=0,0,SUM(B16:D16)/SUM(B6:D6))</f>
        <v>0.97560975609756095</v>
      </c>
      <c r="F17" s="186">
        <f>IF(F6=0,0,F16/F6)</f>
        <v>0.97560975609756095</v>
      </c>
      <c r="G17" s="186">
        <f>IF(G6=0,0,G16/G6)</f>
        <v>0</v>
      </c>
      <c r="H17" s="186">
        <f>IF(H6=0,0,H16/H6)</f>
        <v>0.97560975609756095</v>
      </c>
      <c r="I17" s="187">
        <f>IF(SUM(F6:H6)=0,0,SUM(F16:H16)/SUM(F6:H6))</f>
        <v>0.97560975609756095</v>
      </c>
      <c r="J17" s="186">
        <f>IF(J6=0,0,J16/J6)</f>
        <v>0.63096471986512193</v>
      </c>
      <c r="K17" s="186">
        <f>IF(K6=0,0,K16/K6)</f>
        <v>0.45736722029635057</v>
      </c>
      <c r="L17" s="186">
        <f>IF(L6=0,0,L16/L6)</f>
        <v>0</v>
      </c>
      <c r="M17" s="187">
        <f>IF(SUM(J6:L6)=0,0,SUM(J16:L16)/SUM(J6:L6))</f>
        <v>0.54416597008073619</v>
      </c>
      <c r="N17" s="186">
        <f>IF(N6=0,0,N16/N6)</f>
        <v>0</v>
      </c>
      <c r="O17" s="186">
        <f>IF(O6=0,0,O16/O6)</f>
        <v>0</v>
      </c>
      <c r="P17" s="186">
        <f>IF(P6=0,0,P16/P6)</f>
        <v>0</v>
      </c>
      <c r="Q17" s="187">
        <f>IF(SUM(N6:P6)=0,0,SUM(N16:P16)/SUM(N6:P6))</f>
        <v>0</v>
      </c>
      <c r="R17" s="186">
        <f>IF(R6=0,0,R16/R6)</f>
        <v>0</v>
      </c>
      <c r="S17" s="186">
        <f>IF(S6=0,0,S16/S6)</f>
        <v>0</v>
      </c>
      <c r="T17" s="186">
        <f>IF(T6=0,0,T16/T6)</f>
        <v>0</v>
      </c>
      <c r="U17" s="187">
        <f>IF(SUM(R6:T6)=0,0,SUM(R16:T16)/SUM(R6:T6))</f>
        <v>0</v>
      </c>
      <c r="V17" s="186">
        <f>IF(V6=0,0,V16/V6)</f>
        <v>0</v>
      </c>
      <c r="W17" s="186">
        <f>IF(W6=0,0,W16/W6)</f>
        <v>0</v>
      </c>
      <c r="X17" s="186">
        <f>IF(X6=0,0,X16/X6)</f>
        <v>0</v>
      </c>
      <c r="Y17" s="187">
        <f>IF(SUM(V6:X6)=0,0,SUM(V16:X16)/SUM(V6:X6))</f>
        <v>0</v>
      </c>
    </row>
    <row r="19" spans="1:25" ht="12.75" customHeight="1" x14ac:dyDescent="0.2">
      <c r="A19" s="182" t="str">
        <f>Labels!B135</f>
        <v>Operating Expense</v>
      </c>
      <c r="B19" s="183">
        <f>SUM(OpExp!B8:B9)</f>
        <v>0</v>
      </c>
      <c r="C19" s="183">
        <f>SUM(OpExp!C8:C9)</f>
        <v>0</v>
      </c>
      <c r="D19" s="183">
        <f>SUM(OpExp!D8:D9)</f>
        <v>0</v>
      </c>
      <c r="E19" s="184">
        <f>SUM(B19:D19)</f>
        <v>0</v>
      </c>
      <c r="F19" s="183">
        <f>SUM(OpExp!F8:F9)</f>
        <v>0</v>
      </c>
      <c r="G19" s="183">
        <f>SUM(OpExp!G8:G9)</f>
        <v>0</v>
      </c>
      <c r="H19" s="183">
        <f>SUM(OpExp!H8:H9)</f>
        <v>0</v>
      </c>
      <c r="I19" s="184">
        <f>SUM(F19:H19)</f>
        <v>0</v>
      </c>
      <c r="J19" s="183">
        <f>SUM(OpExp!J8:J9)</f>
        <v>0</v>
      </c>
      <c r="K19" s="183">
        <f>SUM(OpExp!K8:K9)</f>
        <v>0</v>
      </c>
      <c r="L19" s="183">
        <f>SUM(OpExp!L8:L9)</f>
        <v>0</v>
      </c>
      <c r="M19" s="184">
        <f>SUM(J19:L19)</f>
        <v>0</v>
      </c>
      <c r="N19" s="183">
        <f>SUM(OpExp!N8:N9)</f>
        <v>0</v>
      </c>
      <c r="O19" s="183">
        <f>SUM(OpExp!O8:O9)</f>
        <v>0</v>
      </c>
      <c r="P19" s="183">
        <f>SUM(OpExp!P8:P9)</f>
        <v>0</v>
      </c>
      <c r="Q19" s="184">
        <f>SUM(N19:P19)</f>
        <v>0</v>
      </c>
      <c r="R19" s="183">
        <f>SUM(OpExp!R8:R9)</f>
        <v>0</v>
      </c>
      <c r="S19" s="183">
        <f>SUM(OpExp!S8:S9)</f>
        <v>0</v>
      </c>
      <c r="T19" s="183">
        <f>SUM(OpExp!T8:T9)</f>
        <v>0</v>
      </c>
      <c r="U19" s="184">
        <f>SUM(R19:T19)</f>
        <v>0</v>
      </c>
      <c r="V19" s="183">
        <f>SUM(OpExp!V8:V9)</f>
        <v>0</v>
      </c>
      <c r="W19" s="183">
        <f>SUM(OpExp!W8:W9)</f>
        <v>0</v>
      </c>
      <c r="X19" s="183">
        <f>SUM(OpExp!X8:X9)</f>
        <v>0</v>
      </c>
      <c r="Y19" s="184">
        <f>SUM(V19:X19)</f>
        <v>0</v>
      </c>
    </row>
    <row r="20" spans="1:25" ht="12.75" customHeight="1" x14ac:dyDescent="0.2">
      <c r="A20" s="191" t="str">
        <f>Labels!B136</f>
        <v>Operating Margin</v>
      </c>
      <c r="B20" s="192">
        <f>B16-B19</f>
        <v>0</v>
      </c>
      <c r="C20" s="192">
        <f>C16-C19</f>
        <v>0</v>
      </c>
      <c r="D20" s="192">
        <f>D16-D19</f>
        <v>110000</v>
      </c>
      <c r="E20" s="190">
        <f>SUM(B20:D20)</f>
        <v>110000</v>
      </c>
      <c r="F20" s="192">
        <f>F16-F19</f>
        <v>110000</v>
      </c>
      <c r="G20" s="192">
        <f>G16-G19</f>
        <v>0</v>
      </c>
      <c r="H20" s="192">
        <f>H16-H19</f>
        <v>80000</v>
      </c>
      <c r="I20" s="190">
        <f>SUM(F20:H20)</f>
        <v>190000</v>
      </c>
      <c r="J20" s="192">
        <f>J16-J19</f>
        <v>51739.107028939994</v>
      </c>
      <c r="K20" s="192">
        <f>K16-K19</f>
        <v>37504.112064300745</v>
      </c>
      <c r="L20" s="192">
        <f>L16-L19</f>
        <v>0</v>
      </c>
      <c r="M20" s="190">
        <f>SUM(J20:L20)</f>
        <v>89243.219093240739</v>
      </c>
      <c r="N20" s="192">
        <f>N16-N19</f>
        <v>0</v>
      </c>
      <c r="O20" s="192">
        <f>O16-O19</f>
        <v>0</v>
      </c>
      <c r="P20" s="192">
        <f>P16-P19</f>
        <v>0</v>
      </c>
      <c r="Q20" s="190">
        <f>SUM(N20:P20)</f>
        <v>0</v>
      </c>
      <c r="R20" s="192">
        <f>R16-R19</f>
        <v>0</v>
      </c>
      <c r="S20" s="192">
        <f>S16-S19</f>
        <v>0</v>
      </c>
      <c r="T20" s="192">
        <f>T16-T19</f>
        <v>0</v>
      </c>
      <c r="U20" s="190">
        <f>SUM(R20:T20)</f>
        <v>0</v>
      </c>
      <c r="V20" s="192">
        <f>V16-V19</f>
        <v>0</v>
      </c>
      <c r="W20" s="192">
        <f>W16-W19</f>
        <v>0</v>
      </c>
      <c r="X20" s="192">
        <f>X16-X19</f>
        <v>0</v>
      </c>
      <c r="Y20" s="190">
        <f>SUM(V20:X20)</f>
        <v>0</v>
      </c>
    </row>
    <row r="21" spans="1:25" ht="12.75" customHeight="1" x14ac:dyDescent="0.2">
      <c r="A21" s="185" t="str">
        <f>Labels!B137</f>
        <v>Operating Margin %</v>
      </c>
      <c r="B21" s="186">
        <f>IF(B6=0,0,B20/B6)</f>
        <v>0</v>
      </c>
      <c r="C21" s="186">
        <f>IF(C6=0,0,C20/C6)</f>
        <v>0</v>
      </c>
      <c r="D21" s="186">
        <f>IF(D6=0,0,D20/D6)</f>
        <v>0.97560975609756095</v>
      </c>
      <c r="E21" s="187">
        <f>IF(SUM(B6:D6)=0,0,SUM(B20:D20)/SUM(B6:D6))</f>
        <v>0.97560975609756095</v>
      </c>
      <c r="F21" s="186">
        <f>IF(F6=0,0,F20/F6)</f>
        <v>0.97560975609756095</v>
      </c>
      <c r="G21" s="186">
        <f>IF(G6=0,0,G20/G6)</f>
        <v>0</v>
      </c>
      <c r="H21" s="186">
        <f>IF(H6=0,0,H20/H6)</f>
        <v>0.97560975609756095</v>
      </c>
      <c r="I21" s="187">
        <f>IF(SUM(F6:H6)=0,0,SUM(F20:H20)/SUM(F6:H6))</f>
        <v>0.97560975609756095</v>
      </c>
      <c r="J21" s="186">
        <f>IF(J6=0,0,J20/J6)</f>
        <v>0.63096471986512193</v>
      </c>
      <c r="K21" s="186">
        <f>IF(K6=0,0,K20/K6)</f>
        <v>0.45736722029635057</v>
      </c>
      <c r="L21" s="186">
        <f>IF(L6=0,0,L20/L6)</f>
        <v>0</v>
      </c>
      <c r="M21" s="187">
        <f>IF(SUM(J6:L6)=0,0,SUM(J20:L20)/SUM(J6:L6))</f>
        <v>0.54416597008073619</v>
      </c>
      <c r="N21" s="186">
        <f>IF(N6=0,0,N20/N6)</f>
        <v>0</v>
      </c>
      <c r="O21" s="186">
        <f>IF(O6=0,0,O20/O6)</f>
        <v>0</v>
      </c>
      <c r="P21" s="186">
        <f>IF(P6=0,0,P20/P6)</f>
        <v>0</v>
      </c>
      <c r="Q21" s="187">
        <f>IF(SUM(N6:P6)=0,0,SUM(N20:P20)/SUM(N6:P6))</f>
        <v>0</v>
      </c>
      <c r="R21" s="186">
        <f>IF(R6=0,0,R20/R6)</f>
        <v>0</v>
      </c>
      <c r="S21" s="186">
        <f>IF(S6=0,0,S20/S6)</f>
        <v>0</v>
      </c>
      <c r="T21" s="186">
        <f>IF(T6=0,0,T20/T6)</f>
        <v>0</v>
      </c>
      <c r="U21" s="187">
        <f>IF(SUM(R6:T6)=0,0,SUM(R20:T20)/SUM(R6:T6))</f>
        <v>0</v>
      </c>
      <c r="V21" s="186">
        <f>IF(V6=0,0,V20/V6)</f>
        <v>0</v>
      </c>
      <c r="W21" s="186">
        <f>IF(W6=0,0,W20/W6)</f>
        <v>0</v>
      </c>
      <c r="X21" s="186">
        <f>IF(X6=0,0,X20/X6)</f>
        <v>0</v>
      </c>
      <c r="Y21" s="187">
        <f>IF(SUM(V6:X6)=0,0,SUM(V20:X20)/SUM(V6:X6))</f>
        <v>0</v>
      </c>
    </row>
    <row r="23" spans="1:25" ht="12.75" customHeight="1" x14ac:dyDescent="0.2">
      <c r="A23" s="182" t="str">
        <f>Labels!B94</f>
        <v>Financial Exp</v>
      </c>
      <c r="B23" s="183">
        <f>FinTax!B10+FinTax!B13</f>
        <v>0</v>
      </c>
      <c r="C23" s="183">
        <f>FinTax!C10+FinTax!C13</f>
        <v>0</v>
      </c>
      <c r="D23" s="183">
        <f>FinTax!D10+FinTax!D13</f>
        <v>0</v>
      </c>
      <c r="E23" s="184">
        <f>SUM(B23:D23)</f>
        <v>0</v>
      </c>
      <c r="F23" s="183">
        <f>FinTax!F10+FinTax!F13</f>
        <v>0</v>
      </c>
      <c r="G23" s="183">
        <f>FinTax!G10+FinTax!G13</f>
        <v>0</v>
      </c>
      <c r="H23" s="183">
        <f>FinTax!H10+FinTax!H13</f>
        <v>0</v>
      </c>
      <c r="I23" s="184">
        <f>SUM(F23:H23)</f>
        <v>0</v>
      </c>
      <c r="J23" s="183">
        <f>FinTax!J10+FinTax!J13</f>
        <v>0</v>
      </c>
      <c r="K23" s="183">
        <f>FinTax!K10+FinTax!K13</f>
        <v>0</v>
      </c>
      <c r="L23" s="183">
        <f>FinTax!L10+FinTax!L13</f>
        <v>0</v>
      </c>
      <c r="M23" s="184">
        <f>SUM(J23:L23)</f>
        <v>0</v>
      </c>
      <c r="N23" s="183">
        <f>FinTax!N10+FinTax!N13</f>
        <v>0</v>
      </c>
      <c r="O23" s="183">
        <f>FinTax!O10+FinTax!O13</f>
        <v>0</v>
      </c>
      <c r="P23" s="183">
        <f>FinTax!P10+FinTax!P13</f>
        <v>0</v>
      </c>
      <c r="Q23" s="184">
        <f>SUM(N23:P23)</f>
        <v>0</v>
      </c>
      <c r="R23" s="183">
        <f>FinTax!R10+FinTax!R13</f>
        <v>0</v>
      </c>
      <c r="S23" s="183">
        <f>FinTax!S10+FinTax!S13</f>
        <v>0</v>
      </c>
      <c r="T23" s="183">
        <f>FinTax!T10+FinTax!T13</f>
        <v>0</v>
      </c>
      <c r="U23" s="184">
        <f>SUM(R23:T23)</f>
        <v>0</v>
      </c>
      <c r="V23" s="183">
        <f>FinTax!V10+FinTax!V13</f>
        <v>0</v>
      </c>
      <c r="W23" s="183">
        <f>FinTax!W10+FinTax!W13</f>
        <v>0</v>
      </c>
      <c r="X23" s="183">
        <f>FinTax!X10+FinTax!X13</f>
        <v>0</v>
      </c>
      <c r="Y23" s="184">
        <f>SUM(V23:X23)</f>
        <v>0</v>
      </c>
    </row>
    <row r="24" spans="1:25" ht="12.75" customHeight="1" x14ac:dyDescent="0.2">
      <c r="A24" s="191" t="str">
        <f>Labels!B54</f>
        <v>Depreciation</v>
      </c>
      <c r="B24" s="192">
        <f>Assets!C71+Assets!C43+Assets!C91</f>
        <v>0</v>
      </c>
      <c r="C24" s="192">
        <f>Assets!D71+Assets!D43+Assets!D91</f>
        <v>0</v>
      </c>
      <c r="D24" s="192">
        <f>Assets!E71+Assets!E43+Assets!E91</f>
        <v>0</v>
      </c>
      <c r="E24" s="190">
        <f>SUM(B24:D24)</f>
        <v>0</v>
      </c>
      <c r="F24" s="192">
        <f>Assets!G71+Assets!G43+Assets!G91</f>
        <v>0</v>
      </c>
      <c r="G24" s="192">
        <f>Assets!H71+Assets!H43+Assets!H91</f>
        <v>0</v>
      </c>
      <c r="H24" s="192">
        <f>Assets!I71+Assets!I43+Assets!I91</f>
        <v>0</v>
      </c>
      <c r="I24" s="190">
        <f>SUM(F24:H24)</f>
        <v>0</v>
      </c>
      <c r="J24" s="192">
        <f>Assets!K71+Assets!K43+Assets!K91</f>
        <v>0</v>
      </c>
      <c r="K24" s="192">
        <f>Assets!L71+Assets!L43+Assets!L91</f>
        <v>0</v>
      </c>
      <c r="L24" s="192">
        <f>Assets!M71+Assets!M43+Assets!M91</f>
        <v>0</v>
      </c>
      <c r="M24" s="190">
        <f>SUM(J24:L24)</f>
        <v>0</v>
      </c>
      <c r="N24" s="192">
        <f>Assets!O71+Assets!O43+Assets!O91</f>
        <v>0</v>
      </c>
      <c r="O24" s="192">
        <f>Assets!P71+Assets!P43+Assets!P91</f>
        <v>0</v>
      </c>
      <c r="P24" s="192">
        <f>Assets!Q71+Assets!Q43+Assets!Q91</f>
        <v>0</v>
      </c>
      <c r="Q24" s="190">
        <f>SUM(N24:P24)</f>
        <v>0</v>
      </c>
      <c r="R24" s="192">
        <f>Assets!S71+Assets!S43+Assets!S91</f>
        <v>0</v>
      </c>
      <c r="S24" s="192">
        <f>Assets!T71+Assets!T43+Assets!T91</f>
        <v>0</v>
      </c>
      <c r="T24" s="192">
        <f>Assets!U71+Assets!U43+Assets!U91</f>
        <v>0</v>
      </c>
      <c r="U24" s="190">
        <f>SUM(R24:T24)</f>
        <v>0</v>
      </c>
      <c r="V24" s="192">
        <f>Assets!W71+Assets!W43+Assets!W91</f>
        <v>0</v>
      </c>
      <c r="W24" s="192">
        <f>Assets!X71+Assets!X43+Assets!X91</f>
        <v>0</v>
      </c>
      <c r="X24" s="192">
        <f>Assets!Y71+Assets!Y43+Assets!Y91</f>
        <v>0</v>
      </c>
      <c r="Y24" s="190">
        <f>SUM(V24:X24)</f>
        <v>0</v>
      </c>
    </row>
    <row r="25" spans="1:25" ht="12.75" customHeight="1" x14ac:dyDescent="0.2">
      <c r="A25" s="191" t="str">
        <f>Labels!B104</f>
        <v>Income Tax</v>
      </c>
      <c r="B25" s="192">
        <f>Inputs!F345*FinTax!B22</f>
        <v>0</v>
      </c>
      <c r="C25" s="192">
        <f>Inputs!G345*FinTax!C22</f>
        <v>0</v>
      </c>
      <c r="D25" s="192">
        <f>Inputs!H345*FinTax!D22</f>
        <v>0</v>
      </c>
      <c r="E25" s="190">
        <f>SUM(B25:D25)</f>
        <v>0</v>
      </c>
      <c r="F25" s="192">
        <f>Inputs!I345*FinTax!F22</f>
        <v>0</v>
      </c>
      <c r="G25" s="192">
        <f>Inputs!J345*FinTax!G22</f>
        <v>0</v>
      </c>
      <c r="H25" s="192">
        <f>Inputs!K345*FinTax!H22</f>
        <v>0</v>
      </c>
      <c r="I25" s="190">
        <f>SUM(F25:H25)</f>
        <v>0</v>
      </c>
      <c r="J25" s="192">
        <f>Inputs!L345*FinTax!J22</f>
        <v>0</v>
      </c>
      <c r="K25" s="192">
        <f>Inputs!M345*FinTax!K22</f>
        <v>0</v>
      </c>
      <c r="L25" s="192">
        <f>Inputs!N345*FinTax!L22</f>
        <v>0</v>
      </c>
      <c r="M25" s="190">
        <f>SUM(J25:L25)</f>
        <v>0</v>
      </c>
      <c r="N25" s="192">
        <f>Inputs!O345*FinTax!N22</f>
        <v>0</v>
      </c>
      <c r="O25" s="192">
        <f>Inputs!P345*FinTax!O22</f>
        <v>0</v>
      </c>
      <c r="P25" s="192">
        <f>Inputs!Q345*FinTax!P22</f>
        <v>0</v>
      </c>
      <c r="Q25" s="190">
        <f>SUM(N25:P25)</f>
        <v>0</v>
      </c>
      <c r="R25" s="192">
        <f>Inputs!R345*FinTax!R22</f>
        <v>0</v>
      </c>
      <c r="S25" s="192">
        <f>Inputs!S345*FinTax!S22</f>
        <v>0</v>
      </c>
      <c r="T25" s="192">
        <f>Inputs!T345*FinTax!T22</f>
        <v>0</v>
      </c>
      <c r="U25" s="190">
        <f>SUM(R25:T25)</f>
        <v>0</v>
      </c>
      <c r="V25" s="192">
        <f>Inputs!U345*FinTax!V22</f>
        <v>0</v>
      </c>
      <c r="W25" s="192">
        <f>Inputs!V345*FinTax!W22</f>
        <v>0</v>
      </c>
      <c r="X25" s="192">
        <f>Inputs!W345*FinTax!X22</f>
        <v>0</v>
      </c>
      <c r="Y25" s="190">
        <f>SUM(V25:X25)</f>
        <v>0</v>
      </c>
    </row>
    <row r="26" spans="1:25" ht="12.75" customHeight="1" x14ac:dyDescent="0.2">
      <c r="A26" s="191" t="str">
        <f>Labels!B127</f>
        <v>Net Income</v>
      </c>
      <c r="B26" s="192">
        <f>B20-B24-B23-B25</f>
        <v>0</v>
      </c>
      <c r="C26" s="192">
        <f>C20-C24-C23-C25</f>
        <v>0</v>
      </c>
      <c r="D26" s="192">
        <f>D20-D24-D23-D25</f>
        <v>110000</v>
      </c>
      <c r="E26" s="190">
        <f>SUM(B26:D26)</f>
        <v>110000</v>
      </c>
      <c r="F26" s="192">
        <f>F20-F24-F23-F25</f>
        <v>110000</v>
      </c>
      <c r="G26" s="192">
        <f>G20-G24-G23-G25</f>
        <v>0</v>
      </c>
      <c r="H26" s="192">
        <f>H20-H24-H23-H25</f>
        <v>80000</v>
      </c>
      <c r="I26" s="190">
        <f>SUM(F26:H26)</f>
        <v>190000</v>
      </c>
      <c r="J26" s="192">
        <f>J20-J24-J23-J25</f>
        <v>51739.107028939994</v>
      </c>
      <c r="K26" s="192">
        <f>K20-K24-K23-K25</f>
        <v>37504.112064300745</v>
      </c>
      <c r="L26" s="192">
        <f>L20-L24-L23-L25</f>
        <v>0</v>
      </c>
      <c r="M26" s="190">
        <f>SUM(J26:L26)</f>
        <v>89243.219093240739</v>
      </c>
      <c r="N26" s="192">
        <f>N20-N24-N23-N25</f>
        <v>0</v>
      </c>
      <c r="O26" s="192">
        <f>O20-O24-O23-O25</f>
        <v>0</v>
      </c>
      <c r="P26" s="192">
        <f>P20-P24-P23-P25</f>
        <v>0</v>
      </c>
      <c r="Q26" s="190">
        <f>SUM(N26:P26)</f>
        <v>0</v>
      </c>
      <c r="R26" s="192">
        <f>R20-R24-R23-R25</f>
        <v>0</v>
      </c>
      <c r="S26" s="192">
        <f>S20-S24-S23-S25</f>
        <v>0</v>
      </c>
      <c r="T26" s="192">
        <f>T20-T24-T23-T25</f>
        <v>0</v>
      </c>
      <c r="U26" s="190">
        <f>SUM(R26:T26)</f>
        <v>0</v>
      </c>
      <c r="V26" s="192">
        <f>V20-V24-V23-V25</f>
        <v>0</v>
      </c>
      <c r="W26" s="192">
        <f>W20-W24-W23-W25</f>
        <v>0</v>
      </c>
      <c r="X26" s="192">
        <f>X20-X24-X23-X25</f>
        <v>0</v>
      </c>
      <c r="Y26" s="190">
        <f>SUM(V26:X26)</f>
        <v>0</v>
      </c>
    </row>
    <row r="27" spans="1:25" ht="12.75" customHeight="1" x14ac:dyDescent="0.2">
      <c r="A27" s="185" t="str">
        <f>Labels!B225</f>
        <v>Return on Sales %</v>
      </c>
      <c r="B27" s="186">
        <f>IF(B6=0,0,B26/B6)</f>
        <v>0</v>
      </c>
      <c r="C27" s="186">
        <f>IF(C6=0,0,C26/C6)</f>
        <v>0</v>
      </c>
      <c r="D27" s="186">
        <f>IF(D6=0,0,D26/D6)</f>
        <v>0.97560975609756095</v>
      </c>
      <c r="E27" s="187">
        <f>IF(SUM(B6:D6)=0,0,SUM(B26:D26)/SUM(B6:D6))</f>
        <v>0.97560975609756095</v>
      </c>
      <c r="F27" s="186">
        <f>IF(F6=0,0,F26/F6)</f>
        <v>0.97560975609756095</v>
      </c>
      <c r="G27" s="186">
        <f>IF(G6=0,0,G26/G6)</f>
        <v>0</v>
      </c>
      <c r="H27" s="186">
        <f>IF(H6=0,0,H26/H6)</f>
        <v>0.97560975609756095</v>
      </c>
      <c r="I27" s="187">
        <f>IF(SUM(F6:H6)=0,0,SUM(F26:H26)/SUM(F6:H6))</f>
        <v>0.97560975609756095</v>
      </c>
      <c r="J27" s="186">
        <f>IF(J6=0,0,J26/J6)</f>
        <v>0.63096471986512193</v>
      </c>
      <c r="K27" s="186">
        <f>IF(K6=0,0,K26/K6)</f>
        <v>0.45736722029635057</v>
      </c>
      <c r="L27" s="186">
        <f>IF(L6=0,0,L26/L6)</f>
        <v>0</v>
      </c>
      <c r="M27" s="187">
        <f>IF(SUM(J6:L6)=0,0,SUM(J26:L26)/SUM(J6:L6))</f>
        <v>0.54416597008073619</v>
      </c>
      <c r="N27" s="186">
        <f>IF(N6=0,0,N26/N6)</f>
        <v>0</v>
      </c>
      <c r="O27" s="186">
        <f>IF(O6=0,0,O26/O6)</f>
        <v>0</v>
      </c>
      <c r="P27" s="186">
        <f>IF(P6=0,0,P26/P6)</f>
        <v>0</v>
      </c>
      <c r="Q27" s="187">
        <f>IF(SUM(N6:P6)=0,0,SUM(N26:P26)/SUM(N6:P6))</f>
        <v>0</v>
      </c>
      <c r="R27" s="186">
        <f>IF(R6=0,0,R26/R6)</f>
        <v>0</v>
      </c>
      <c r="S27" s="186">
        <f>IF(S6=0,0,S26/S6)</f>
        <v>0</v>
      </c>
      <c r="T27" s="186">
        <f>IF(T6=0,0,T26/T6)</f>
        <v>0</v>
      </c>
      <c r="U27" s="187">
        <f>IF(SUM(R6:T6)=0,0,SUM(R26:T26)/SUM(R6:T6))</f>
        <v>0</v>
      </c>
      <c r="V27" s="186">
        <f>IF(V6=0,0,V26/V6)</f>
        <v>0</v>
      </c>
      <c r="W27" s="186">
        <f>IF(W6=0,0,W26/W6)</f>
        <v>0</v>
      </c>
      <c r="X27" s="186">
        <f>IF(X6=0,0,X26/X6)</f>
        <v>0</v>
      </c>
      <c r="Y27" s="187">
        <f>IF(SUM(V6:X6)=0,0,SUM(V26:X26)/SUM(V6:X6))</f>
        <v>0</v>
      </c>
    </row>
    <row r="29" spans="1:25" ht="12.75" customHeight="1" x14ac:dyDescent="0.2">
      <c r="A29" s="97" t="str">
        <f>Labels!B64</f>
        <v>Dividend</v>
      </c>
      <c r="B29" s="194">
        <f>Inputs!G432</f>
        <v>0</v>
      </c>
      <c r="C29" s="194">
        <f>Inputs!H432</f>
        <v>0</v>
      </c>
      <c r="D29" s="194">
        <f>Inputs!I432</f>
        <v>0</v>
      </c>
      <c r="E29" s="195">
        <f>SUM(B29:D29)</f>
        <v>0</v>
      </c>
      <c r="F29" s="194">
        <f>Inputs!J432</f>
        <v>0</v>
      </c>
      <c r="G29" s="194">
        <f>Inputs!K432</f>
        <v>0</v>
      </c>
      <c r="H29" s="194">
        <f>Inputs!L432</f>
        <v>0</v>
      </c>
      <c r="I29" s="195">
        <f>SUM(F29:H29)</f>
        <v>0</v>
      </c>
      <c r="J29" s="194">
        <f>Inputs!M432</f>
        <v>0</v>
      </c>
      <c r="K29" s="194">
        <f>Inputs!N432</f>
        <v>0</v>
      </c>
      <c r="L29" s="194">
        <f>Inputs!O432</f>
        <v>0</v>
      </c>
      <c r="M29" s="195">
        <f>SUM(J29:L29)</f>
        <v>0</v>
      </c>
      <c r="N29" s="194">
        <f>Inputs!P432</f>
        <v>0</v>
      </c>
      <c r="O29" s="194">
        <f>Inputs!Q432</f>
        <v>0</v>
      </c>
      <c r="P29" s="194">
        <f>Inputs!R432</f>
        <v>0</v>
      </c>
      <c r="Q29" s="195">
        <f>SUM(N29:P29)</f>
        <v>0</v>
      </c>
      <c r="R29" s="194">
        <f>Inputs!S432</f>
        <v>0</v>
      </c>
      <c r="S29" s="194">
        <f>Inputs!T432</f>
        <v>0</v>
      </c>
      <c r="T29" s="194">
        <f>Inputs!U432</f>
        <v>0</v>
      </c>
      <c r="U29" s="195">
        <f>SUM(R29:T29)</f>
        <v>0</v>
      </c>
      <c r="V29" s="194">
        <f>Inputs!V432</f>
        <v>0</v>
      </c>
      <c r="W29" s="194">
        <f>Inputs!W432</f>
        <v>0</v>
      </c>
      <c r="X29" s="194">
        <f>Inputs!X432</f>
        <v>0</v>
      </c>
      <c r="Y29" s="195">
        <f>SUM(V29:X29)</f>
        <v>0</v>
      </c>
    </row>
    <row r="31" spans="1:25" ht="12.75" customHeight="1" x14ac:dyDescent="0.2">
      <c r="A31" t="s">
        <v>3402</v>
      </c>
      <c r="B31" t="s">
        <v>3402</v>
      </c>
      <c r="C31" t="s">
        <v>3402</v>
      </c>
      <c r="D31" t="s">
        <v>3402</v>
      </c>
      <c r="E31" t="s">
        <v>3402</v>
      </c>
      <c r="F31" t="s">
        <v>3402</v>
      </c>
      <c r="G31" t="s">
        <v>3402</v>
      </c>
      <c r="H31" t="s">
        <v>3402</v>
      </c>
      <c r="I31" t="s">
        <v>3402</v>
      </c>
      <c r="J31" t="s">
        <v>3402</v>
      </c>
      <c r="K31" t="s">
        <v>3402</v>
      </c>
      <c r="L31" t="s">
        <v>3402</v>
      </c>
      <c r="M31" t="s">
        <v>3402</v>
      </c>
      <c r="N31" t="s">
        <v>3402</v>
      </c>
      <c r="O31" t="s">
        <v>3402</v>
      </c>
      <c r="P31" t="s">
        <v>3402</v>
      </c>
      <c r="Q31" t="s">
        <v>3402</v>
      </c>
      <c r="R31" t="s">
        <v>3402</v>
      </c>
      <c r="S31" t="s">
        <v>3402</v>
      </c>
      <c r="T31" t="s">
        <v>3402</v>
      </c>
      <c r="U31" t="s">
        <v>3402</v>
      </c>
      <c r="V31" t="s">
        <v>3402</v>
      </c>
      <c r="W31" t="s">
        <v>3402</v>
      </c>
      <c r="X31" t="s">
        <v>3402</v>
      </c>
      <c r="Y31" t="s">
        <v>3402</v>
      </c>
    </row>
  </sheetData>
  <mergeCells count="4">
    <mergeCell ref="A1:C1"/>
    <mergeCell ref="A2:C2"/>
    <mergeCell ref="A3:C3"/>
    <mergeCell ref="A4:C4"/>
  </mergeCells>
  <pageMargins left="0.25" right="0.25" top="0.5" bottom="0.5" header="0.5" footer="0.5"/>
  <pageSetup paperSize="9" fitToHeight="32767" orientation="landscape" horizontalDpi="300" verticalDpi="300"/>
  <headerFooter alignWithMargins="0"/>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pageSetUpPr fitToPage="1"/>
  </sheetPr>
  <dimension ref="A1:Z35"/>
  <sheetViews>
    <sheetView zoomScaleNormal="100" workbookViewId="0">
      <selection sqref="A1:C1"/>
    </sheetView>
  </sheetViews>
  <sheetFormatPr defaultRowHeight="12.75" customHeight="1" outlineLevelRow="1" x14ac:dyDescent="0.2"/>
  <cols>
    <col min="1" max="1" width="19.5703125" customWidth="1"/>
    <col min="2" max="26" width="12.42578125" customWidth="1"/>
  </cols>
  <sheetData>
    <row r="1" spans="1:26" ht="12.75" customHeight="1" x14ac:dyDescent="0.2">
      <c r="A1" s="463" t="str">
        <f>Inputs!F7</f>
        <v xml:space="preserve"> </v>
      </c>
      <c r="B1" s="463"/>
      <c r="C1" s="463"/>
    </row>
    <row r="2" spans="1:26" ht="12.75" customHeight="1" x14ac:dyDescent="0.2">
      <c r="A2" s="463" t="e">
        <f>TEXT('(FnCalls 1)'!A41,"m/d/yyyy")&amp;" to "&amp;TEXT('(FnCalls 1)'!A59-1,"m/d/yyyy")</f>
        <v>#VALUE!</v>
      </c>
      <c r="B2" s="463"/>
      <c r="C2" s="463"/>
    </row>
    <row r="3" spans="1:26" ht="12.75" customHeight="1" x14ac:dyDescent="0.2">
      <c r="A3" s="463" t="str">
        <f>"Balance Sheet"</f>
        <v>Balance Sheet</v>
      </c>
      <c r="B3" s="463"/>
      <c r="C3" s="463"/>
    </row>
    <row r="4" spans="1:26" ht="12.75" customHeight="1" x14ac:dyDescent="0.2">
      <c r="A4" s="463" t="str">
        <f>""</f>
        <v/>
      </c>
      <c r="B4" s="463"/>
      <c r="C4" s="463"/>
    </row>
    <row r="5" spans="1:26" ht="12.75" customHeight="1" x14ac:dyDescent="0.2">
      <c r="B5" s="9" t="str">
        <f>'(FnCalls 1)'!F40</f>
        <v>MMM 2009</v>
      </c>
      <c r="C5" s="10" t="str">
        <f>'(FnCalls 1)'!F41</f>
        <v>MMM 2010</v>
      </c>
      <c r="D5" s="10" t="str">
        <f>'(FnCalls 1)'!F42</f>
        <v>MMM 2010</v>
      </c>
      <c r="E5" s="10" t="str">
        <f>'(FnCalls 1)'!F43</f>
        <v>MMM 2010</v>
      </c>
      <c r="F5" s="181" t="str">
        <f>'(FnCalls 1)'!G41</f>
        <v>Q1 2010</v>
      </c>
      <c r="G5" s="10" t="str">
        <f>'(FnCalls 1)'!F44</f>
        <v>MMM 2010</v>
      </c>
      <c r="H5" s="10" t="str">
        <f>'(FnCalls 1)'!F45</f>
        <v>MMM 2010</v>
      </c>
      <c r="I5" s="10" t="str">
        <f>'(FnCalls 1)'!F46</f>
        <v>MMM 2010</v>
      </c>
      <c r="J5" s="181" t="str">
        <f>'(FnCalls 1)'!G44</f>
        <v>Q2 2010</v>
      </c>
      <c r="K5" s="10" t="str">
        <f>'(FnCalls 1)'!F47</f>
        <v>MMM 2010</v>
      </c>
      <c r="L5" s="10" t="str">
        <f>'(FnCalls 1)'!F48</f>
        <v>MMM 2010</v>
      </c>
      <c r="M5" s="10" t="str">
        <f>'(FnCalls 1)'!F49</f>
        <v>MMM 2010</v>
      </c>
      <c r="N5" s="181" t="str">
        <f>'(FnCalls 1)'!G47</f>
        <v>Q3 2010</v>
      </c>
      <c r="O5" s="10" t="str">
        <f>'(FnCalls 1)'!F50</f>
        <v>MMM 2010</v>
      </c>
      <c r="P5" s="10" t="str">
        <f>'(FnCalls 1)'!F51</f>
        <v>MMM 2010</v>
      </c>
      <c r="Q5" s="10" t="str">
        <f>'(FnCalls 1)'!F52</f>
        <v>MMM 2010</v>
      </c>
      <c r="R5" s="181" t="str">
        <f>'(FnCalls 1)'!G50</f>
        <v>Q4 2010</v>
      </c>
      <c r="S5" s="10" t="str">
        <f>'(FnCalls 1)'!F53</f>
        <v>MMM 2011</v>
      </c>
      <c r="T5" s="10" t="str">
        <f>'(FnCalls 1)'!F54</f>
        <v>MMM 2011</v>
      </c>
      <c r="U5" s="10" t="str">
        <f>'(FnCalls 1)'!F55</f>
        <v>MMM 2011</v>
      </c>
      <c r="V5" s="181" t="str">
        <f>'(FnCalls 1)'!G53</f>
        <v>Q1 2011</v>
      </c>
      <c r="W5" s="10" t="str">
        <f>'(FnCalls 1)'!F56</f>
        <v>MMM 2011</v>
      </c>
      <c r="X5" s="10" t="str">
        <f>'(FnCalls 1)'!F57</f>
        <v>MMM 2011</v>
      </c>
      <c r="Y5" s="10" t="str">
        <f>'(FnCalls 1)'!F58</f>
        <v>MMM 2011</v>
      </c>
      <c r="Z5" s="181" t="str">
        <f>'(FnCalls 1)'!G56</f>
        <v>Q2 2011</v>
      </c>
    </row>
    <row r="6" spans="1:26" ht="12.75" customHeight="1" x14ac:dyDescent="0.2">
      <c r="A6" s="182" t="str">
        <f>Labels!B14</f>
        <v>Assets</v>
      </c>
      <c r="B6" s="183"/>
      <c r="C6" s="183"/>
      <c r="D6" s="183"/>
      <c r="E6" s="183"/>
      <c r="F6" s="184"/>
      <c r="G6" s="183"/>
      <c r="H6" s="183"/>
      <c r="I6" s="183"/>
      <c r="J6" s="184"/>
      <c r="K6" s="183"/>
      <c r="L6" s="183"/>
      <c r="M6" s="183"/>
      <c r="N6" s="184"/>
      <c r="O6" s="183"/>
      <c r="P6" s="183"/>
      <c r="Q6" s="183"/>
      <c r="R6" s="184"/>
      <c r="S6" s="183"/>
      <c r="T6" s="183"/>
      <c r="U6" s="183"/>
      <c r="V6" s="184"/>
      <c r="W6" s="183"/>
      <c r="X6" s="183"/>
      <c r="Y6" s="183"/>
      <c r="Z6" s="184"/>
    </row>
    <row r="7" spans="1:26" ht="12.75" customHeight="1" x14ac:dyDescent="0.2">
      <c r="A7" s="188" t="str">
        <f>"   "&amp;Labels!B310</f>
        <v xml:space="preserve">   Short Term Assets</v>
      </c>
      <c r="B7" s="196"/>
      <c r="C7" s="196"/>
      <c r="D7" s="196"/>
      <c r="E7" s="196"/>
      <c r="F7" s="197"/>
      <c r="G7" s="196"/>
      <c r="H7" s="196"/>
      <c r="I7" s="196"/>
      <c r="J7" s="197"/>
      <c r="K7" s="196"/>
      <c r="L7" s="196"/>
      <c r="M7" s="196"/>
      <c r="N7" s="197"/>
      <c r="O7" s="196"/>
      <c r="P7" s="196"/>
      <c r="Q7" s="196"/>
      <c r="R7" s="197"/>
      <c r="S7" s="196"/>
      <c r="T7" s="196"/>
      <c r="U7" s="196"/>
      <c r="V7" s="197"/>
      <c r="W7" s="196"/>
      <c r="X7" s="196"/>
      <c r="Y7" s="196"/>
      <c r="Z7" s="197"/>
    </row>
    <row r="8" spans="1:26" ht="12.75" customHeight="1" x14ac:dyDescent="0.2">
      <c r="A8" s="198" t="str">
        <f>"      "&amp;Labels!B311</f>
        <v xml:space="preserve">      Cash</v>
      </c>
      <c r="B8" s="189">
        <f>Assets!B9</f>
        <v>0</v>
      </c>
      <c r="C8" s="189">
        <f>CFStmt!B26</f>
        <v>0</v>
      </c>
      <c r="D8" s="189">
        <f>CFStmt!C26</f>
        <v>0</v>
      </c>
      <c r="E8" s="189">
        <f>CFStmt!D26</f>
        <v>109112.90322580645</v>
      </c>
      <c r="F8" s="190">
        <f>E8</f>
        <v>109112.90322580645</v>
      </c>
      <c r="G8" s="189">
        <f>CFStmt!F26</f>
        <v>112750</v>
      </c>
      <c r="H8" s="189">
        <f>CFStmt!G26</f>
        <v>220000</v>
      </c>
      <c r="I8" s="189">
        <f>CFStmt!H26</f>
        <v>136000</v>
      </c>
      <c r="J8" s="190">
        <f>I8</f>
        <v>136000</v>
      </c>
      <c r="K8" s="189">
        <f>CFStmt!J26</f>
        <v>193029.42960958515</v>
      </c>
      <c r="L8" s="189">
        <f>CFStmt!K26</f>
        <v>230533.54167388589</v>
      </c>
      <c r="M8" s="189">
        <f>CFStmt!L26</f>
        <v>389243.21909324074</v>
      </c>
      <c r="N8" s="190">
        <f>M8</f>
        <v>389243.21909324074</v>
      </c>
      <c r="O8" s="189">
        <f>CFStmt!N26</f>
        <v>389243.21909324074</v>
      </c>
      <c r="P8" s="189">
        <f>CFStmt!O26</f>
        <v>389243.21909324074</v>
      </c>
      <c r="Q8" s="189">
        <f>CFStmt!P26</f>
        <v>389243.21909324074</v>
      </c>
      <c r="R8" s="190">
        <f>Q8</f>
        <v>389243.21909324074</v>
      </c>
      <c r="S8" s="189">
        <f>CFStmt!R26</f>
        <v>389243.21909324074</v>
      </c>
      <c r="T8" s="189">
        <f>CFStmt!S26</f>
        <v>389243.21909324074</v>
      </c>
      <c r="U8" s="189">
        <f>CFStmt!T26</f>
        <v>389243.21909324074</v>
      </c>
      <c r="V8" s="190">
        <f>U8</f>
        <v>389243.21909324074</v>
      </c>
      <c r="W8" s="189">
        <f>CFStmt!V26</f>
        <v>389243.21909324074</v>
      </c>
      <c r="X8" s="189">
        <f>CFStmt!W26</f>
        <v>389243.21909324074</v>
      </c>
      <c r="Y8" s="189">
        <f>CFStmt!X26</f>
        <v>389243.21909324074</v>
      </c>
      <c r="Z8" s="190">
        <f>Y8</f>
        <v>389243.21909324074</v>
      </c>
    </row>
    <row r="9" spans="1:26" ht="12.75" customHeight="1" x14ac:dyDescent="0.2">
      <c r="A9" s="198" t="str">
        <f>"      "&amp;Labels!B312</f>
        <v xml:space="preserve">      Accounts Receivable</v>
      </c>
      <c r="B9" s="189">
        <f>Assets!B12</f>
        <v>0</v>
      </c>
      <c r="C9" s="189">
        <f>Assets!C12</f>
        <v>0</v>
      </c>
      <c r="D9" s="189">
        <f>Assets!D12</f>
        <v>0</v>
      </c>
      <c r="E9" s="189">
        <f>Assets!E12</f>
        <v>218225.80645161291</v>
      </c>
      <c r="F9" s="190">
        <f>E9</f>
        <v>218225.80645161291</v>
      </c>
      <c r="G9" s="189">
        <f>Assets!G12</f>
        <v>225500</v>
      </c>
      <c r="H9" s="189">
        <f>Assets!H12</f>
        <v>0</v>
      </c>
      <c r="I9" s="189">
        <f>Assets!I12</f>
        <v>164000</v>
      </c>
      <c r="J9" s="190">
        <f>I9</f>
        <v>164000</v>
      </c>
      <c r="K9" s="189">
        <f>Assets!K12</f>
        <v>158709.67741935485</v>
      </c>
      <c r="L9" s="189">
        <f>Assets!L12</f>
        <v>158709.67741935485</v>
      </c>
      <c r="M9" s="189">
        <f>Assets!M12</f>
        <v>0</v>
      </c>
      <c r="N9" s="190">
        <f>M9</f>
        <v>0</v>
      </c>
      <c r="O9" s="189">
        <f>Assets!O12</f>
        <v>0</v>
      </c>
      <c r="P9" s="189">
        <f>Assets!P12</f>
        <v>0</v>
      </c>
      <c r="Q9" s="189">
        <f>Assets!Q12</f>
        <v>0</v>
      </c>
      <c r="R9" s="190">
        <f>Q9</f>
        <v>0</v>
      </c>
      <c r="S9" s="189">
        <f>Assets!S12</f>
        <v>0</v>
      </c>
      <c r="T9" s="189">
        <f>Assets!T12</f>
        <v>0</v>
      </c>
      <c r="U9" s="189">
        <f>Assets!U12</f>
        <v>0</v>
      </c>
      <c r="V9" s="190">
        <f>U9</f>
        <v>0</v>
      </c>
      <c r="W9" s="189">
        <f>Assets!W12</f>
        <v>0</v>
      </c>
      <c r="X9" s="189">
        <f>Assets!X12</f>
        <v>0</v>
      </c>
      <c r="Y9" s="189">
        <f>Assets!Y12</f>
        <v>0</v>
      </c>
      <c r="Z9" s="190">
        <f>Y9</f>
        <v>0</v>
      </c>
    </row>
    <row r="10" spans="1:26" ht="12.75" customHeight="1" x14ac:dyDescent="0.2">
      <c r="A10" s="198" t="str">
        <f>"      "&amp;Labels!B313</f>
        <v xml:space="preserve">      Inventory</v>
      </c>
      <c r="B10" s="189">
        <f>0</f>
        <v>0</v>
      </c>
      <c r="C10" s="189">
        <f>0</f>
        <v>0</v>
      </c>
      <c r="D10" s="189">
        <f>0</f>
        <v>0</v>
      </c>
      <c r="E10" s="189">
        <f>0</f>
        <v>0</v>
      </c>
      <c r="F10" s="190">
        <f>E10</f>
        <v>0</v>
      </c>
      <c r="G10" s="189">
        <f>0</f>
        <v>0</v>
      </c>
      <c r="H10" s="189">
        <f>0</f>
        <v>0</v>
      </c>
      <c r="I10" s="189">
        <f>0</f>
        <v>0</v>
      </c>
      <c r="J10" s="190">
        <f>I10</f>
        <v>0</v>
      </c>
      <c r="K10" s="189">
        <f>0</f>
        <v>0</v>
      </c>
      <c r="L10" s="189">
        <f>0</f>
        <v>0</v>
      </c>
      <c r="M10" s="189">
        <f>0</f>
        <v>0</v>
      </c>
      <c r="N10" s="190">
        <f>M10</f>
        <v>0</v>
      </c>
      <c r="O10" s="189">
        <f>0</f>
        <v>0</v>
      </c>
      <c r="P10" s="189">
        <f>0</f>
        <v>0</v>
      </c>
      <c r="Q10" s="189">
        <f>0</f>
        <v>0</v>
      </c>
      <c r="R10" s="190">
        <f>Q10</f>
        <v>0</v>
      </c>
      <c r="S10" s="189">
        <f>0</f>
        <v>0</v>
      </c>
      <c r="T10" s="189">
        <f>0</f>
        <v>0</v>
      </c>
      <c r="U10" s="189">
        <f>0</f>
        <v>0</v>
      </c>
      <c r="V10" s="190">
        <f>U10</f>
        <v>0</v>
      </c>
      <c r="W10" s="189">
        <f>0</f>
        <v>0</v>
      </c>
      <c r="X10" s="189">
        <f>0</f>
        <v>0</v>
      </c>
      <c r="Y10" s="189">
        <f>0</f>
        <v>0</v>
      </c>
      <c r="Z10" s="190">
        <f>Y10</f>
        <v>0</v>
      </c>
    </row>
    <row r="11" spans="1:26" ht="12.75" customHeight="1" x14ac:dyDescent="0.2">
      <c r="A11" s="188" t="str">
        <f>"      "&amp;Labels!C310</f>
        <v xml:space="preserve">      Subtotal</v>
      </c>
      <c r="B11" s="196">
        <f>SUM(B8:B10)</f>
        <v>0</v>
      </c>
      <c r="C11" s="196">
        <f>SUM(C8:C10)</f>
        <v>0</v>
      </c>
      <c r="D11" s="196">
        <f>SUM(D8:D10)</f>
        <v>0</v>
      </c>
      <c r="E11" s="196">
        <f>SUM(E8:E10)</f>
        <v>327338.70967741939</v>
      </c>
      <c r="F11" s="197">
        <f>SUM(E8:E10)</f>
        <v>327338.70967741939</v>
      </c>
      <c r="G11" s="196">
        <f>SUM(G8:G10)</f>
        <v>338250</v>
      </c>
      <c r="H11" s="196">
        <f>SUM(H8:H10)</f>
        <v>220000</v>
      </c>
      <c r="I11" s="196">
        <f>SUM(I8:I10)</f>
        <v>300000</v>
      </c>
      <c r="J11" s="197">
        <f>SUM(I8:I10)</f>
        <v>300000</v>
      </c>
      <c r="K11" s="196">
        <f>SUM(K8:K10)</f>
        <v>351739.10702893999</v>
      </c>
      <c r="L11" s="196">
        <f>SUM(L8:L10)</f>
        <v>389243.21909324074</v>
      </c>
      <c r="M11" s="196">
        <f>SUM(M8:M10)</f>
        <v>389243.21909324074</v>
      </c>
      <c r="N11" s="197">
        <f>SUM(M8:M10)</f>
        <v>389243.21909324074</v>
      </c>
      <c r="O11" s="196">
        <f>SUM(O8:O10)</f>
        <v>389243.21909324074</v>
      </c>
      <c r="P11" s="196">
        <f>SUM(P8:P10)</f>
        <v>389243.21909324074</v>
      </c>
      <c r="Q11" s="196">
        <f>SUM(Q8:Q10)</f>
        <v>389243.21909324074</v>
      </c>
      <c r="R11" s="197">
        <f>SUM(Q8:Q10)</f>
        <v>389243.21909324074</v>
      </c>
      <c r="S11" s="196">
        <f>SUM(S8:S10)</f>
        <v>389243.21909324074</v>
      </c>
      <c r="T11" s="196">
        <f>SUM(T8:T10)</f>
        <v>389243.21909324074</v>
      </c>
      <c r="U11" s="196">
        <f>SUM(U8:U10)</f>
        <v>389243.21909324074</v>
      </c>
      <c r="V11" s="197">
        <f>SUM(U8:U10)</f>
        <v>389243.21909324074</v>
      </c>
      <c r="W11" s="196">
        <f>SUM(W8:W10)</f>
        <v>389243.21909324074</v>
      </c>
      <c r="X11" s="196">
        <f>SUM(X8:X10)</f>
        <v>389243.21909324074</v>
      </c>
      <c r="Y11" s="196">
        <f>SUM(Y8:Y10)</f>
        <v>389243.21909324074</v>
      </c>
      <c r="Z11" s="197">
        <f>SUM(Y8:Y10)</f>
        <v>389243.21909324074</v>
      </c>
    </row>
    <row r="12" spans="1:26" ht="12.75" customHeight="1" x14ac:dyDescent="0.2">
      <c r="A12" s="188" t="str">
        <f>"   "&amp;Labels!B314</f>
        <v xml:space="preserve">   Long Term Assets</v>
      </c>
      <c r="B12" s="196">
        <f>Assets!B20</f>
        <v>0</v>
      </c>
      <c r="C12" s="196">
        <f>Assets!C20</f>
        <v>0</v>
      </c>
      <c r="D12" s="196">
        <f>Assets!D20</f>
        <v>0</v>
      </c>
      <c r="E12" s="196">
        <f>Assets!E20</f>
        <v>0</v>
      </c>
      <c r="F12" s="197">
        <f>E12</f>
        <v>0</v>
      </c>
      <c r="G12" s="196">
        <f>Assets!G20</f>
        <v>0</v>
      </c>
      <c r="H12" s="196">
        <f>Assets!H20</f>
        <v>0</v>
      </c>
      <c r="I12" s="196">
        <f>Assets!I20</f>
        <v>0</v>
      </c>
      <c r="J12" s="197">
        <f>I12</f>
        <v>0</v>
      </c>
      <c r="K12" s="196">
        <f>Assets!K20</f>
        <v>0</v>
      </c>
      <c r="L12" s="196">
        <f>Assets!L20</f>
        <v>0</v>
      </c>
      <c r="M12" s="196">
        <f>Assets!M20</f>
        <v>0</v>
      </c>
      <c r="N12" s="197">
        <f>M12</f>
        <v>0</v>
      </c>
      <c r="O12" s="196">
        <f>Assets!O20</f>
        <v>0</v>
      </c>
      <c r="P12" s="196">
        <f>Assets!P20</f>
        <v>0</v>
      </c>
      <c r="Q12" s="196">
        <f>Assets!Q20</f>
        <v>0</v>
      </c>
      <c r="R12" s="197">
        <f>Q12</f>
        <v>0</v>
      </c>
      <c r="S12" s="196">
        <f>Assets!S20</f>
        <v>0</v>
      </c>
      <c r="T12" s="196">
        <f>Assets!T20</f>
        <v>0</v>
      </c>
      <c r="U12" s="196">
        <f>Assets!U20</f>
        <v>0</v>
      </c>
      <c r="V12" s="197">
        <f>U12</f>
        <v>0</v>
      </c>
      <c r="W12" s="196">
        <f>Assets!W20</f>
        <v>0</v>
      </c>
      <c r="X12" s="196">
        <f>Assets!X20</f>
        <v>0</v>
      </c>
      <c r="Y12" s="196">
        <f>Assets!Y20</f>
        <v>0</v>
      </c>
      <c r="Z12" s="197">
        <f>Y12</f>
        <v>0</v>
      </c>
    </row>
    <row r="13" spans="1:26" ht="12.75" customHeight="1" x14ac:dyDescent="0.2">
      <c r="A13" s="191" t="str">
        <f>"   "&amp;Labels!C309</f>
        <v xml:space="preserve">   Total</v>
      </c>
      <c r="B13" s="192">
        <f>SUM(B11:B12)</f>
        <v>0</v>
      </c>
      <c r="C13" s="192">
        <f>SUM(C11:C12)</f>
        <v>0</v>
      </c>
      <c r="D13" s="192">
        <f>SUM(D11:D12)</f>
        <v>0</v>
      </c>
      <c r="E13" s="192">
        <f>SUM(E11:E12)</f>
        <v>327338.70967741939</v>
      </c>
      <c r="F13" s="190">
        <f>SUM(E11:E12)</f>
        <v>327338.70967741939</v>
      </c>
      <c r="G13" s="192">
        <f>SUM(G11:G12)</f>
        <v>338250</v>
      </c>
      <c r="H13" s="192">
        <f>SUM(H11:H12)</f>
        <v>220000</v>
      </c>
      <c r="I13" s="192">
        <f>SUM(I11:I12)</f>
        <v>300000</v>
      </c>
      <c r="J13" s="190">
        <f>SUM(I11:I12)</f>
        <v>300000</v>
      </c>
      <c r="K13" s="192">
        <f>SUM(K11:K12)</f>
        <v>351739.10702893999</v>
      </c>
      <c r="L13" s="192">
        <f>SUM(L11:L12)</f>
        <v>389243.21909324074</v>
      </c>
      <c r="M13" s="192">
        <f>SUM(M11:M12)</f>
        <v>389243.21909324074</v>
      </c>
      <c r="N13" s="190">
        <f>SUM(M11:M12)</f>
        <v>389243.21909324074</v>
      </c>
      <c r="O13" s="192">
        <f>SUM(O11:O12)</f>
        <v>389243.21909324074</v>
      </c>
      <c r="P13" s="192">
        <f>SUM(P11:P12)</f>
        <v>389243.21909324074</v>
      </c>
      <c r="Q13" s="192">
        <f>SUM(Q11:Q12)</f>
        <v>389243.21909324074</v>
      </c>
      <c r="R13" s="190">
        <f>SUM(Q11:Q12)</f>
        <v>389243.21909324074</v>
      </c>
      <c r="S13" s="192">
        <f>SUM(S11:S12)</f>
        <v>389243.21909324074</v>
      </c>
      <c r="T13" s="192">
        <f>SUM(T11:T12)</f>
        <v>389243.21909324074</v>
      </c>
      <c r="U13" s="192">
        <f>SUM(U11:U12)</f>
        <v>389243.21909324074</v>
      </c>
      <c r="V13" s="190">
        <f>SUM(U11:U12)</f>
        <v>389243.21909324074</v>
      </c>
      <c r="W13" s="192">
        <f>SUM(W11:W12)</f>
        <v>389243.21909324074</v>
      </c>
      <c r="X13" s="192">
        <f>SUM(X11:X12)</f>
        <v>389243.21909324074</v>
      </c>
      <c r="Y13" s="192">
        <f>SUM(Y11:Y12)</f>
        <v>389243.21909324074</v>
      </c>
      <c r="Z13" s="190">
        <f>SUM(Y11:Y12)</f>
        <v>389243.21909324074</v>
      </c>
    </row>
    <row r="14" spans="1:26" ht="12.75" customHeight="1" x14ac:dyDescent="0.2">
      <c r="A14" s="97"/>
      <c r="B14" s="6"/>
      <c r="C14" s="6"/>
      <c r="D14" s="6"/>
      <c r="E14" s="6"/>
      <c r="F14" s="97"/>
      <c r="G14" s="6"/>
      <c r="H14" s="6"/>
      <c r="I14" s="6"/>
      <c r="J14" s="97"/>
      <c r="K14" s="6"/>
      <c r="L14" s="6"/>
      <c r="M14" s="6"/>
      <c r="N14" s="97"/>
      <c r="O14" s="6"/>
      <c r="P14" s="6"/>
      <c r="Q14" s="6"/>
      <c r="R14" s="97"/>
      <c r="S14" s="6"/>
      <c r="T14" s="6"/>
      <c r="U14" s="6"/>
      <c r="V14" s="97"/>
      <c r="W14" s="6"/>
      <c r="X14" s="6"/>
      <c r="Y14" s="6"/>
      <c r="Z14" s="97"/>
    </row>
    <row r="15" spans="1:26" ht="12.75" customHeight="1" x14ac:dyDescent="0.2">
      <c r="A15" s="191" t="str">
        <f>Labels!B116</f>
        <v>Liabilities</v>
      </c>
      <c r="B15" s="192"/>
      <c r="C15" s="192"/>
      <c r="D15" s="192"/>
      <c r="E15" s="192"/>
      <c r="F15" s="190"/>
      <c r="G15" s="192"/>
      <c r="H15" s="192"/>
      <c r="I15" s="192"/>
      <c r="J15" s="190"/>
      <c r="K15" s="192"/>
      <c r="L15" s="192"/>
      <c r="M15" s="192"/>
      <c r="N15" s="190"/>
      <c r="O15" s="192"/>
      <c r="P15" s="192"/>
      <c r="Q15" s="192"/>
      <c r="R15" s="190"/>
      <c r="S15" s="192"/>
      <c r="T15" s="192"/>
      <c r="U15" s="192"/>
      <c r="V15" s="190"/>
      <c r="W15" s="192"/>
      <c r="X15" s="192"/>
      <c r="Y15" s="192"/>
      <c r="Z15" s="190"/>
    </row>
    <row r="16" spans="1:26" ht="12.75" customHeight="1" x14ac:dyDescent="0.2">
      <c r="A16" s="188" t="str">
        <f>"   "&amp;Labels!B361</f>
        <v xml:space="preserve">   Short Liabilities</v>
      </c>
      <c r="B16" s="196"/>
      <c r="C16" s="196"/>
      <c r="D16" s="196"/>
      <c r="E16" s="196"/>
      <c r="F16" s="197"/>
      <c r="G16" s="196"/>
      <c r="H16" s="196"/>
      <c r="I16" s="196"/>
      <c r="J16" s="197"/>
      <c r="K16" s="196"/>
      <c r="L16" s="196"/>
      <c r="M16" s="196"/>
      <c r="N16" s="197"/>
      <c r="O16" s="196"/>
      <c r="P16" s="196"/>
      <c r="Q16" s="196"/>
      <c r="R16" s="197"/>
      <c r="S16" s="196"/>
      <c r="T16" s="196"/>
      <c r="U16" s="196"/>
      <c r="V16" s="197"/>
      <c r="W16" s="196"/>
      <c r="X16" s="196"/>
      <c r="Y16" s="196"/>
      <c r="Z16" s="197"/>
    </row>
    <row r="17" spans="1:26" ht="12.75" customHeight="1" x14ac:dyDescent="0.2">
      <c r="A17" s="198" t="str">
        <f>"      "&amp;Labels!B362</f>
        <v xml:space="preserve">      Accounts Payable</v>
      </c>
      <c r="B17" s="189">
        <f>Liab!B12</f>
        <v>0</v>
      </c>
      <c r="C17" s="189">
        <f>Liab!C12</f>
        <v>0</v>
      </c>
      <c r="D17" s="189">
        <f>Liab!D12</f>
        <v>0</v>
      </c>
      <c r="E17" s="189">
        <f>Liab!E12</f>
        <v>0</v>
      </c>
      <c r="F17" s="190">
        <f>E17</f>
        <v>0</v>
      </c>
      <c r="G17" s="189">
        <f>Liab!G12</f>
        <v>0</v>
      </c>
      <c r="H17" s="189">
        <f>Liab!H12</f>
        <v>0</v>
      </c>
      <c r="I17" s="189">
        <f>Liab!I12</f>
        <v>0</v>
      </c>
      <c r="J17" s="190">
        <f>I17</f>
        <v>0</v>
      </c>
      <c r="K17" s="189">
        <f>Liab!K12</f>
        <v>0</v>
      </c>
      <c r="L17" s="189">
        <f>Liab!L12</f>
        <v>0</v>
      </c>
      <c r="M17" s="189">
        <f>Liab!M12</f>
        <v>0</v>
      </c>
      <c r="N17" s="190">
        <f>M17</f>
        <v>0</v>
      </c>
      <c r="O17" s="189">
        <f>Liab!O12</f>
        <v>0</v>
      </c>
      <c r="P17" s="189">
        <f>Liab!P12</f>
        <v>0</v>
      </c>
      <c r="Q17" s="189">
        <f>Liab!Q12</f>
        <v>0</v>
      </c>
      <c r="R17" s="190">
        <f>Q17</f>
        <v>0</v>
      </c>
      <c r="S17" s="189">
        <f>Liab!S12</f>
        <v>0</v>
      </c>
      <c r="T17" s="189">
        <f>Liab!T12</f>
        <v>0</v>
      </c>
      <c r="U17" s="189">
        <f>Liab!U12</f>
        <v>0</v>
      </c>
      <c r="V17" s="190">
        <f>U17</f>
        <v>0</v>
      </c>
      <c r="W17" s="189">
        <f>Liab!W12</f>
        <v>0</v>
      </c>
      <c r="X17" s="189">
        <f>Liab!X12</f>
        <v>0</v>
      </c>
      <c r="Y17" s="189">
        <f>Liab!Y12</f>
        <v>0</v>
      </c>
      <c r="Z17" s="190">
        <f>Y17</f>
        <v>0</v>
      </c>
    </row>
    <row r="18" spans="1:26" ht="12.75" customHeight="1" x14ac:dyDescent="0.2">
      <c r="A18" s="198" t="str">
        <f>"      "&amp;Labels!B363</f>
        <v xml:space="preserve">      Short Term Debt</v>
      </c>
      <c r="B18" s="189">
        <f>Inputs!F414</f>
        <v>0</v>
      </c>
      <c r="C18" s="189">
        <f>Inputs!G414</f>
        <v>0</v>
      </c>
      <c r="D18" s="189">
        <f>Inputs!H414</f>
        <v>0</v>
      </c>
      <c r="E18" s="189">
        <f>Inputs!I414</f>
        <v>217338.70967741936</v>
      </c>
      <c r="F18" s="190">
        <f>E18</f>
        <v>217338.70967741936</v>
      </c>
      <c r="G18" s="189">
        <f>Inputs!J414</f>
        <v>118250</v>
      </c>
      <c r="H18" s="189">
        <f>Inputs!K414</f>
        <v>0</v>
      </c>
      <c r="I18" s="189">
        <f>Inputs!L414</f>
        <v>0</v>
      </c>
      <c r="J18" s="190">
        <f>I18</f>
        <v>0</v>
      </c>
      <c r="K18" s="189">
        <f>Inputs!M414</f>
        <v>0</v>
      </c>
      <c r="L18" s="189">
        <f>Inputs!N414</f>
        <v>0</v>
      </c>
      <c r="M18" s="189">
        <f>Inputs!O414</f>
        <v>0</v>
      </c>
      <c r="N18" s="190">
        <f>M18</f>
        <v>0</v>
      </c>
      <c r="O18" s="189">
        <f>Inputs!P414</f>
        <v>0</v>
      </c>
      <c r="P18" s="189">
        <f>Inputs!Q414</f>
        <v>0</v>
      </c>
      <c r="Q18" s="189">
        <f>Inputs!R414</f>
        <v>0</v>
      </c>
      <c r="R18" s="190">
        <f>Q18</f>
        <v>0</v>
      </c>
      <c r="S18" s="189">
        <f>Inputs!S414</f>
        <v>0</v>
      </c>
      <c r="T18" s="189">
        <f>Inputs!T414</f>
        <v>0</v>
      </c>
      <c r="U18" s="189">
        <f>Inputs!U414</f>
        <v>0</v>
      </c>
      <c r="V18" s="190">
        <f>U18</f>
        <v>0</v>
      </c>
      <c r="W18" s="189">
        <f>Inputs!V414</f>
        <v>0</v>
      </c>
      <c r="X18" s="189">
        <f>Inputs!W414</f>
        <v>0</v>
      </c>
      <c r="Y18" s="189">
        <f>Inputs!X414</f>
        <v>0</v>
      </c>
      <c r="Z18" s="190">
        <f>Y18</f>
        <v>0</v>
      </c>
    </row>
    <row r="19" spans="1:26" ht="12.75" customHeight="1" x14ac:dyDescent="0.2">
      <c r="A19" s="188" t="str">
        <f>"      "&amp;Labels!C361</f>
        <v xml:space="preserve">      Subtotal</v>
      </c>
      <c r="B19" s="196">
        <f>SUM(B17:B18)</f>
        <v>0</v>
      </c>
      <c r="C19" s="196">
        <f>SUM(C17:C18)</f>
        <v>0</v>
      </c>
      <c r="D19" s="196">
        <f>SUM(D17:D18)</f>
        <v>0</v>
      </c>
      <c r="E19" s="196">
        <f>SUM(E17:E18)</f>
        <v>217338.70967741936</v>
      </c>
      <c r="F19" s="197">
        <f>SUM(E17:E18)</f>
        <v>217338.70967741936</v>
      </c>
      <c r="G19" s="196">
        <f>SUM(G17:G18)</f>
        <v>118250</v>
      </c>
      <c r="H19" s="196">
        <f>SUM(H17:H18)</f>
        <v>0</v>
      </c>
      <c r="I19" s="196">
        <f>SUM(I17:I18)</f>
        <v>0</v>
      </c>
      <c r="J19" s="197">
        <f>SUM(I17:I18)</f>
        <v>0</v>
      </c>
      <c r="K19" s="196">
        <f>SUM(K17:K18)</f>
        <v>0</v>
      </c>
      <c r="L19" s="196">
        <f>SUM(L17:L18)</f>
        <v>0</v>
      </c>
      <c r="M19" s="196">
        <f>SUM(M17:M18)</f>
        <v>0</v>
      </c>
      <c r="N19" s="197">
        <f>SUM(M17:M18)</f>
        <v>0</v>
      </c>
      <c r="O19" s="196">
        <f>SUM(O17:O18)</f>
        <v>0</v>
      </c>
      <c r="P19" s="196">
        <f>SUM(P17:P18)</f>
        <v>0</v>
      </c>
      <c r="Q19" s="196">
        <f>SUM(Q17:Q18)</f>
        <v>0</v>
      </c>
      <c r="R19" s="197">
        <f>SUM(Q17:Q18)</f>
        <v>0</v>
      </c>
      <c r="S19" s="196">
        <f>SUM(S17:S18)</f>
        <v>0</v>
      </c>
      <c r="T19" s="196">
        <f>SUM(T17:T18)</f>
        <v>0</v>
      </c>
      <c r="U19" s="196">
        <f>SUM(U17:U18)</f>
        <v>0</v>
      </c>
      <c r="V19" s="197">
        <f>SUM(U17:U18)</f>
        <v>0</v>
      </c>
      <c r="W19" s="196">
        <f>SUM(W17:W18)</f>
        <v>0</v>
      </c>
      <c r="X19" s="196">
        <f>SUM(X17:X18)</f>
        <v>0</v>
      </c>
      <c r="Y19" s="196">
        <f>SUM(Y17:Y18)</f>
        <v>0</v>
      </c>
      <c r="Z19" s="197">
        <f>SUM(Y17:Y18)</f>
        <v>0</v>
      </c>
    </row>
    <row r="20" spans="1:26" ht="12.75" customHeight="1" x14ac:dyDescent="0.2">
      <c r="A20" s="188" t="str">
        <f>"   "&amp;Labels!B364</f>
        <v xml:space="preserve">   Long Liabilities</v>
      </c>
      <c r="B20" s="196"/>
      <c r="C20" s="196"/>
      <c r="D20" s="196"/>
      <c r="E20" s="196"/>
      <c r="F20" s="197"/>
      <c r="G20" s="196"/>
      <c r="H20" s="196"/>
      <c r="I20" s="196"/>
      <c r="J20" s="197"/>
      <c r="K20" s="196"/>
      <c r="L20" s="196"/>
      <c r="M20" s="196"/>
      <c r="N20" s="197"/>
      <c r="O20" s="196"/>
      <c r="P20" s="196"/>
      <c r="Q20" s="196"/>
      <c r="R20" s="197"/>
      <c r="S20" s="196"/>
      <c r="T20" s="196"/>
      <c r="U20" s="196"/>
      <c r="V20" s="197"/>
      <c r="W20" s="196"/>
      <c r="X20" s="196"/>
      <c r="Y20" s="196"/>
      <c r="Z20" s="197"/>
    </row>
    <row r="21" spans="1:26" ht="12.75" customHeight="1" x14ac:dyDescent="0.2">
      <c r="A21" s="198" t="str">
        <f>"      "&amp;Labels!B365</f>
        <v xml:space="preserve">      Long Term Loans</v>
      </c>
      <c r="B21" s="189">
        <f>Inputs!F421</f>
        <v>0</v>
      </c>
      <c r="C21" s="189">
        <f>Inputs!G421</f>
        <v>0</v>
      </c>
      <c r="D21" s="189">
        <f>Inputs!H421</f>
        <v>0</v>
      </c>
      <c r="E21" s="189">
        <f>Inputs!I421</f>
        <v>0</v>
      </c>
      <c r="F21" s="190">
        <f>E21</f>
        <v>0</v>
      </c>
      <c r="G21" s="189">
        <f>Inputs!J421</f>
        <v>0</v>
      </c>
      <c r="H21" s="189">
        <f>Inputs!K421</f>
        <v>0</v>
      </c>
      <c r="I21" s="189">
        <f>Inputs!L421</f>
        <v>0</v>
      </c>
      <c r="J21" s="190">
        <f>I21</f>
        <v>0</v>
      </c>
      <c r="K21" s="189">
        <f>Inputs!M421</f>
        <v>0</v>
      </c>
      <c r="L21" s="189">
        <f>Inputs!N421</f>
        <v>0</v>
      </c>
      <c r="M21" s="189">
        <f>Inputs!O421</f>
        <v>0</v>
      </c>
      <c r="N21" s="190">
        <f>M21</f>
        <v>0</v>
      </c>
      <c r="O21" s="189">
        <f>Inputs!P421</f>
        <v>0</v>
      </c>
      <c r="P21" s="189">
        <f>Inputs!Q421</f>
        <v>0</v>
      </c>
      <c r="Q21" s="189">
        <f>Inputs!R421</f>
        <v>0</v>
      </c>
      <c r="R21" s="190">
        <f>Q21</f>
        <v>0</v>
      </c>
      <c r="S21" s="189">
        <f>Inputs!S421</f>
        <v>0</v>
      </c>
      <c r="T21" s="189">
        <f>Inputs!T421</f>
        <v>0</v>
      </c>
      <c r="U21" s="189">
        <f>Inputs!U421</f>
        <v>0</v>
      </c>
      <c r="V21" s="190">
        <f>U21</f>
        <v>0</v>
      </c>
      <c r="W21" s="189">
        <f>Inputs!V421</f>
        <v>0</v>
      </c>
      <c r="X21" s="189">
        <f>Inputs!W421</f>
        <v>0</v>
      </c>
      <c r="Y21" s="189">
        <f>Inputs!X421</f>
        <v>0</v>
      </c>
      <c r="Z21" s="190">
        <f>Y21</f>
        <v>0</v>
      </c>
    </row>
    <row r="22" spans="1:26" ht="12.75" customHeight="1" x14ac:dyDescent="0.2">
      <c r="A22" s="198" t="str">
        <f>"      "&amp;Labels!B366</f>
        <v xml:space="preserve">      Bonds</v>
      </c>
      <c r="B22" s="189">
        <f>0</f>
        <v>0</v>
      </c>
      <c r="C22" s="189">
        <f>0</f>
        <v>0</v>
      </c>
      <c r="D22" s="189">
        <f>0</f>
        <v>0</v>
      </c>
      <c r="E22" s="189">
        <f>0</f>
        <v>0</v>
      </c>
      <c r="F22" s="190">
        <f>E22</f>
        <v>0</v>
      </c>
      <c r="G22" s="189">
        <f>0</f>
        <v>0</v>
      </c>
      <c r="H22" s="189">
        <f>0</f>
        <v>0</v>
      </c>
      <c r="I22" s="189">
        <f>0</f>
        <v>0</v>
      </c>
      <c r="J22" s="190">
        <f>I22</f>
        <v>0</v>
      </c>
      <c r="K22" s="189">
        <f>0</f>
        <v>0</v>
      </c>
      <c r="L22" s="189">
        <f>0</f>
        <v>0</v>
      </c>
      <c r="M22" s="189">
        <f>0</f>
        <v>0</v>
      </c>
      <c r="N22" s="190">
        <f>M22</f>
        <v>0</v>
      </c>
      <c r="O22" s="189">
        <f>0</f>
        <v>0</v>
      </c>
      <c r="P22" s="189">
        <f>0</f>
        <v>0</v>
      </c>
      <c r="Q22" s="189">
        <f>0</f>
        <v>0</v>
      </c>
      <c r="R22" s="190">
        <f>Q22</f>
        <v>0</v>
      </c>
      <c r="S22" s="189">
        <f>0</f>
        <v>0</v>
      </c>
      <c r="T22" s="189">
        <f>0</f>
        <v>0</v>
      </c>
      <c r="U22" s="189">
        <f>0</f>
        <v>0</v>
      </c>
      <c r="V22" s="190">
        <f>U22</f>
        <v>0</v>
      </c>
      <c r="W22" s="189">
        <f>0</f>
        <v>0</v>
      </c>
      <c r="X22" s="189">
        <f>0</f>
        <v>0</v>
      </c>
      <c r="Y22" s="189">
        <f>0</f>
        <v>0</v>
      </c>
      <c r="Z22" s="190">
        <f>Y22</f>
        <v>0</v>
      </c>
    </row>
    <row r="23" spans="1:26" ht="12.75" customHeight="1" x14ac:dyDescent="0.2">
      <c r="A23" s="188" t="str">
        <f>"      "&amp;Labels!C364</f>
        <v xml:space="preserve">      Subtotal</v>
      </c>
      <c r="B23" s="196">
        <f>SUM(B21:B22)</f>
        <v>0</v>
      </c>
      <c r="C23" s="196">
        <f>SUM(C21:C22)</f>
        <v>0</v>
      </c>
      <c r="D23" s="196">
        <f>SUM(D21:D22)</f>
        <v>0</v>
      </c>
      <c r="E23" s="196">
        <f>SUM(E21:E22)</f>
        <v>0</v>
      </c>
      <c r="F23" s="197">
        <f>SUM(E21:E22)</f>
        <v>0</v>
      </c>
      <c r="G23" s="196">
        <f>SUM(G21:G22)</f>
        <v>0</v>
      </c>
      <c r="H23" s="196">
        <f>SUM(H21:H22)</f>
        <v>0</v>
      </c>
      <c r="I23" s="196">
        <f>SUM(I21:I22)</f>
        <v>0</v>
      </c>
      <c r="J23" s="197">
        <f>SUM(I21:I22)</f>
        <v>0</v>
      </c>
      <c r="K23" s="196">
        <f>SUM(K21:K22)</f>
        <v>0</v>
      </c>
      <c r="L23" s="196">
        <f>SUM(L21:L22)</f>
        <v>0</v>
      </c>
      <c r="M23" s="196">
        <f>SUM(M21:M22)</f>
        <v>0</v>
      </c>
      <c r="N23" s="197">
        <f>SUM(M21:M22)</f>
        <v>0</v>
      </c>
      <c r="O23" s="196">
        <f>SUM(O21:O22)</f>
        <v>0</v>
      </c>
      <c r="P23" s="196">
        <f>SUM(P21:P22)</f>
        <v>0</v>
      </c>
      <c r="Q23" s="196">
        <f>SUM(Q21:Q22)</f>
        <v>0</v>
      </c>
      <c r="R23" s="197">
        <f>SUM(Q21:Q22)</f>
        <v>0</v>
      </c>
      <c r="S23" s="196">
        <f>SUM(S21:S22)</f>
        <v>0</v>
      </c>
      <c r="T23" s="196">
        <f>SUM(T21:T22)</f>
        <v>0</v>
      </c>
      <c r="U23" s="196">
        <f>SUM(U21:U22)</f>
        <v>0</v>
      </c>
      <c r="V23" s="197">
        <f>SUM(U21:U22)</f>
        <v>0</v>
      </c>
      <c r="W23" s="196">
        <f>SUM(W21:W22)</f>
        <v>0</v>
      </c>
      <c r="X23" s="196">
        <f>SUM(X21:X22)</f>
        <v>0</v>
      </c>
      <c r="Y23" s="196">
        <f>SUM(Y21:Y22)</f>
        <v>0</v>
      </c>
      <c r="Z23" s="197">
        <f>SUM(Y21:Y22)</f>
        <v>0</v>
      </c>
    </row>
    <row r="24" spans="1:26" ht="12.75" customHeight="1" x14ac:dyDescent="0.2">
      <c r="A24" s="191" t="str">
        <f>"   "&amp;Labels!C360</f>
        <v xml:space="preserve">   Total</v>
      </c>
      <c r="B24" s="192">
        <f>SUM(B19,B23)</f>
        <v>0</v>
      </c>
      <c r="C24" s="192">
        <f>SUM(C19,C23)</f>
        <v>0</v>
      </c>
      <c r="D24" s="192">
        <f>SUM(D19,D23)</f>
        <v>0</v>
      </c>
      <c r="E24" s="192">
        <f>SUM(E19,E23)</f>
        <v>217338.70967741936</v>
      </c>
      <c r="F24" s="190">
        <f>SUM(E19,E23)</f>
        <v>217338.70967741936</v>
      </c>
      <c r="G24" s="192">
        <f>SUM(G19,G23)</f>
        <v>118250</v>
      </c>
      <c r="H24" s="192">
        <f>SUM(H19,H23)</f>
        <v>0</v>
      </c>
      <c r="I24" s="192">
        <f>SUM(I19,I23)</f>
        <v>0</v>
      </c>
      <c r="J24" s="190">
        <f>SUM(I19,I23)</f>
        <v>0</v>
      </c>
      <c r="K24" s="192">
        <f>SUM(K19,K23)</f>
        <v>0</v>
      </c>
      <c r="L24" s="192">
        <f>SUM(L19,L23)</f>
        <v>0</v>
      </c>
      <c r="M24" s="192">
        <f>SUM(M19,M23)</f>
        <v>0</v>
      </c>
      <c r="N24" s="190">
        <f>SUM(M19,M23)</f>
        <v>0</v>
      </c>
      <c r="O24" s="192">
        <f>SUM(O19,O23)</f>
        <v>0</v>
      </c>
      <c r="P24" s="192">
        <f>SUM(P19,P23)</f>
        <v>0</v>
      </c>
      <c r="Q24" s="192">
        <f>SUM(Q19,Q23)</f>
        <v>0</v>
      </c>
      <c r="R24" s="190">
        <f>SUM(Q19,Q23)</f>
        <v>0</v>
      </c>
      <c r="S24" s="192">
        <f>SUM(S19,S23)</f>
        <v>0</v>
      </c>
      <c r="T24" s="192">
        <f>SUM(T19,T23)</f>
        <v>0</v>
      </c>
      <c r="U24" s="192">
        <f>SUM(U19,U23)</f>
        <v>0</v>
      </c>
      <c r="V24" s="190">
        <f>SUM(U19,U23)</f>
        <v>0</v>
      </c>
      <c r="W24" s="192">
        <f>SUM(W19,W23)</f>
        <v>0</v>
      </c>
      <c r="X24" s="192">
        <f>SUM(X19,X23)</f>
        <v>0</v>
      </c>
      <c r="Y24" s="192">
        <f>SUM(Y19,Y23)</f>
        <v>0</v>
      </c>
      <c r="Z24" s="190">
        <f>SUM(Y19,Y23)</f>
        <v>0</v>
      </c>
    </row>
    <row r="25" spans="1:26" ht="12.75" customHeight="1" x14ac:dyDescent="0.2">
      <c r="A25" s="97"/>
      <c r="B25" s="6"/>
      <c r="C25" s="6"/>
      <c r="D25" s="6"/>
      <c r="E25" s="6"/>
      <c r="F25" s="97"/>
      <c r="G25" s="6"/>
      <c r="H25" s="6"/>
      <c r="I25" s="6"/>
      <c r="J25" s="97"/>
      <c r="K25" s="6"/>
      <c r="L25" s="6"/>
      <c r="M25" s="6"/>
      <c r="N25" s="97"/>
      <c r="O25" s="6"/>
      <c r="P25" s="6"/>
      <c r="Q25" s="6"/>
      <c r="R25" s="97"/>
      <c r="S25" s="6"/>
      <c r="T25" s="6"/>
      <c r="U25" s="6"/>
      <c r="V25" s="97"/>
      <c r="W25" s="6"/>
      <c r="X25" s="6"/>
      <c r="Y25" s="6"/>
      <c r="Z25" s="97"/>
    </row>
    <row r="26" spans="1:26" ht="12.75" customHeight="1" x14ac:dyDescent="0.2">
      <c r="A26" s="191" t="str">
        <f>Labels!B91</f>
        <v>Equity</v>
      </c>
      <c r="B26" s="192"/>
      <c r="C26" s="192"/>
      <c r="D26" s="192"/>
      <c r="E26" s="192"/>
      <c r="F26" s="190"/>
      <c r="G26" s="192"/>
      <c r="H26" s="192"/>
      <c r="I26" s="192"/>
      <c r="J26" s="190"/>
      <c r="K26" s="192"/>
      <c r="L26" s="192"/>
      <c r="M26" s="192"/>
      <c r="N26" s="190"/>
      <c r="O26" s="192"/>
      <c r="P26" s="192"/>
      <c r="Q26" s="192"/>
      <c r="R26" s="190"/>
      <c r="S26" s="192"/>
      <c r="T26" s="192"/>
      <c r="U26" s="192"/>
      <c r="V26" s="190"/>
      <c r="W26" s="192"/>
      <c r="X26" s="192"/>
      <c r="Y26" s="192"/>
      <c r="Z26" s="190"/>
    </row>
    <row r="27" spans="1:26" ht="12.75" customHeight="1" x14ac:dyDescent="0.2">
      <c r="A27" s="188" t="str">
        <f>"   "&amp;Labels!B349</f>
        <v xml:space="preserve">   Paid in Capital</v>
      </c>
      <c r="B27" s="196">
        <f>'(Tables)'!B1438</f>
        <v>0</v>
      </c>
      <c r="C27" s="196">
        <f>'(Tables)'!C1438</f>
        <v>0</v>
      </c>
      <c r="D27" s="196">
        <f>'(Tables)'!D1438</f>
        <v>0</v>
      </c>
      <c r="E27" s="196">
        <f>'(Tables)'!E1438</f>
        <v>0</v>
      </c>
      <c r="F27" s="197">
        <f>E27</f>
        <v>0</v>
      </c>
      <c r="G27" s="196">
        <f>'(Tables)'!F1438</f>
        <v>0</v>
      </c>
      <c r="H27" s="196">
        <f>'(Tables)'!G1438</f>
        <v>0</v>
      </c>
      <c r="I27" s="196">
        <f>'(Tables)'!H1438</f>
        <v>0</v>
      </c>
      <c r="J27" s="197">
        <f>I27</f>
        <v>0</v>
      </c>
      <c r="K27" s="196">
        <f>'(Tables)'!I1438</f>
        <v>0</v>
      </c>
      <c r="L27" s="196">
        <f>'(Tables)'!J1438</f>
        <v>0</v>
      </c>
      <c r="M27" s="196">
        <f>'(Tables)'!K1438</f>
        <v>0</v>
      </c>
      <c r="N27" s="197">
        <f>M27</f>
        <v>0</v>
      </c>
      <c r="O27" s="196">
        <f>'(Tables)'!L1438</f>
        <v>0</v>
      </c>
      <c r="P27" s="196">
        <f>'(Tables)'!M1438</f>
        <v>0</v>
      </c>
      <c r="Q27" s="196">
        <f>'(Tables)'!N1438</f>
        <v>0</v>
      </c>
      <c r="R27" s="197">
        <f>Q27</f>
        <v>0</v>
      </c>
      <c r="S27" s="196">
        <f>'(Tables)'!O1438</f>
        <v>0</v>
      </c>
      <c r="T27" s="196">
        <f>'(Tables)'!P1438</f>
        <v>0</v>
      </c>
      <c r="U27" s="196">
        <f>'(Tables)'!Q1438</f>
        <v>0</v>
      </c>
      <c r="V27" s="197">
        <f>U27</f>
        <v>0</v>
      </c>
      <c r="W27" s="196">
        <f>'(Tables)'!R1438</f>
        <v>0</v>
      </c>
      <c r="X27" s="196">
        <f>'(Tables)'!S1438</f>
        <v>0</v>
      </c>
      <c r="Y27" s="196">
        <f>'(Tables)'!T1438</f>
        <v>0</v>
      </c>
      <c r="Z27" s="197">
        <f>Y27</f>
        <v>0</v>
      </c>
    </row>
    <row r="28" spans="1:26" ht="12.75" customHeight="1" x14ac:dyDescent="0.2">
      <c r="A28" s="188" t="str">
        <f>"   "&amp;Labels!B350</f>
        <v xml:space="preserve">   Retained Earnings</v>
      </c>
      <c r="B28" s="196">
        <f>'(Tables)'!B1435</f>
        <v>0</v>
      </c>
      <c r="C28" s="196">
        <f>'(Tables)'!C1435</f>
        <v>0</v>
      </c>
      <c r="D28" s="196">
        <f>'(Tables)'!D1435</f>
        <v>0</v>
      </c>
      <c r="E28" s="196">
        <f>'(Tables)'!E1435</f>
        <v>110000</v>
      </c>
      <c r="F28" s="197">
        <f>E28</f>
        <v>110000</v>
      </c>
      <c r="G28" s="196">
        <f>'(Tables)'!F1435</f>
        <v>220000</v>
      </c>
      <c r="H28" s="196">
        <f>'(Tables)'!G1435</f>
        <v>220000</v>
      </c>
      <c r="I28" s="196">
        <f>'(Tables)'!H1435</f>
        <v>300000</v>
      </c>
      <c r="J28" s="197">
        <f>I28</f>
        <v>300000</v>
      </c>
      <c r="K28" s="196">
        <f>'(Tables)'!I1435</f>
        <v>351739.10702893999</v>
      </c>
      <c r="L28" s="196">
        <f>'(Tables)'!J1435</f>
        <v>389243.21909324074</v>
      </c>
      <c r="M28" s="196">
        <f>'(Tables)'!K1435</f>
        <v>389243.21909324074</v>
      </c>
      <c r="N28" s="197">
        <f>M28</f>
        <v>389243.21909324074</v>
      </c>
      <c r="O28" s="196">
        <f>'(Tables)'!L1435</f>
        <v>389243.21909324074</v>
      </c>
      <c r="P28" s="196">
        <f>'(Tables)'!M1435</f>
        <v>389243.21909324074</v>
      </c>
      <c r="Q28" s="196">
        <f>'(Tables)'!N1435</f>
        <v>389243.21909324074</v>
      </c>
      <c r="R28" s="197">
        <f>Q28</f>
        <v>389243.21909324074</v>
      </c>
      <c r="S28" s="196">
        <f>'(Tables)'!O1435</f>
        <v>389243.21909324074</v>
      </c>
      <c r="T28" s="196">
        <f>'(Tables)'!P1435</f>
        <v>389243.21909324074</v>
      </c>
      <c r="U28" s="196">
        <f>'(Tables)'!Q1435</f>
        <v>389243.21909324074</v>
      </c>
      <c r="V28" s="197">
        <f>U28</f>
        <v>389243.21909324074</v>
      </c>
      <c r="W28" s="196">
        <f>'(Tables)'!R1435</f>
        <v>389243.21909324074</v>
      </c>
      <c r="X28" s="196">
        <f>'(Tables)'!S1435</f>
        <v>389243.21909324074</v>
      </c>
      <c r="Y28" s="196">
        <f>'(Tables)'!T1435</f>
        <v>389243.21909324074</v>
      </c>
      <c r="Z28" s="197">
        <f>Y28</f>
        <v>389243.21909324074</v>
      </c>
    </row>
    <row r="29" spans="1:26" ht="12.75" customHeight="1" x14ac:dyDescent="0.2">
      <c r="A29" s="185" t="str">
        <f>"   "&amp;Labels!C348</f>
        <v xml:space="preserve">   Total</v>
      </c>
      <c r="B29" s="176">
        <f>SUM(B27:B28)</f>
        <v>0</v>
      </c>
      <c r="C29" s="176">
        <f>SUM(C27:C28)</f>
        <v>0</v>
      </c>
      <c r="D29" s="176">
        <f>SUM(D27:D28)</f>
        <v>0</v>
      </c>
      <c r="E29" s="176">
        <f>SUM(E27:E28)</f>
        <v>110000</v>
      </c>
      <c r="F29" s="193">
        <f>SUM(E27:E28)</f>
        <v>110000</v>
      </c>
      <c r="G29" s="176">
        <f>SUM(G27:G28)</f>
        <v>220000</v>
      </c>
      <c r="H29" s="176">
        <f>SUM(H27:H28)</f>
        <v>220000</v>
      </c>
      <c r="I29" s="176">
        <f>SUM(I27:I28)</f>
        <v>300000</v>
      </c>
      <c r="J29" s="193">
        <f>SUM(I27:I28)</f>
        <v>300000</v>
      </c>
      <c r="K29" s="176">
        <f>SUM(K27:K28)</f>
        <v>351739.10702893999</v>
      </c>
      <c r="L29" s="176">
        <f>SUM(L27:L28)</f>
        <v>389243.21909324074</v>
      </c>
      <c r="M29" s="176">
        <f>SUM(M27:M28)</f>
        <v>389243.21909324074</v>
      </c>
      <c r="N29" s="193">
        <f>SUM(M27:M28)</f>
        <v>389243.21909324074</v>
      </c>
      <c r="O29" s="176">
        <f>SUM(O27:O28)</f>
        <v>389243.21909324074</v>
      </c>
      <c r="P29" s="176">
        <f>SUM(P27:P28)</f>
        <v>389243.21909324074</v>
      </c>
      <c r="Q29" s="176">
        <f>SUM(Q27:Q28)</f>
        <v>389243.21909324074</v>
      </c>
      <c r="R29" s="193">
        <f>SUM(Q27:Q28)</f>
        <v>389243.21909324074</v>
      </c>
      <c r="S29" s="176">
        <f>SUM(S27:S28)</f>
        <v>389243.21909324074</v>
      </c>
      <c r="T29" s="176">
        <f>SUM(T27:T28)</f>
        <v>389243.21909324074</v>
      </c>
      <c r="U29" s="176">
        <f>SUM(U27:U28)</f>
        <v>389243.21909324074</v>
      </c>
      <c r="V29" s="193">
        <f>SUM(U27:U28)</f>
        <v>389243.21909324074</v>
      </c>
      <c r="W29" s="176">
        <f>SUM(W27:W28)</f>
        <v>389243.21909324074</v>
      </c>
      <c r="X29" s="176">
        <f>SUM(X27:X28)</f>
        <v>389243.21909324074</v>
      </c>
      <c r="Y29" s="176">
        <f>SUM(Y27:Y28)</f>
        <v>389243.21909324074</v>
      </c>
      <c r="Z29" s="193">
        <f>SUM(Y27:Y28)</f>
        <v>389243.21909324074</v>
      </c>
    </row>
    <row r="31" spans="1:26" ht="12.75" customHeight="1" collapsed="1" x14ac:dyDescent="0.2">
      <c r="A31" s="1" t="str">
        <f>" "</f>
        <v xml:space="preserve"> </v>
      </c>
    </row>
    <row r="32" spans="1:26" ht="12.75" hidden="1" customHeight="1" outlineLevel="1" x14ac:dyDescent="0.2">
      <c r="B32" s="9" t="str">
        <f>'(FnCalls 1)'!F40</f>
        <v>MMM 2009</v>
      </c>
      <c r="C32" s="10" t="str">
        <f>'(FnCalls 1)'!F41</f>
        <v>MMM 2010</v>
      </c>
      <c r="D32" s="10" t="str">
        <f>'(FnCalls 1)'!F42</f>
        <v>MMM 2010</v>
      </c>
      <c r="E32" s="10" t="str">
        <f>'(FnCalls 1)'!F43</f>
        <v>MMM 2010</v>
      </c>
      <c r="F32" s="181" t="str">
        <f>'(FnCalls 1)'!G41</f>
        <v>Q1 2010</v>
      </c>
      <c r="G32" s="10" t="str">
        <f>'(FnCalls 1)'!F44</f>
        <v>MMM 2010</v>
      </c>
      <c r="H32" s="10" t="str">
        <f>'(FnCalls 1)'!F45</f>
        <v>MMM 2010</v>
      </c>
      <c r="I32" s="10" t="str">
        <f>'(FnCalls 1)'!F46</f>
        <v>MMM 2010</v>
      </c>
      <c r="J32" s="181" t="str">
        <f>'(FnCalls 1)'!G44</f>
        <v>Q2 2010</v>
      </c>
      <c r="K32" s="10" t="str">
        <f>'(FnCalls 1)'!F47</f>
        <v>MMM 2010</v>
      </c>
      <c r="L32" s="10" t="str">
        <f>'(FnCalls 1)'!F48</f>
        <v>MMM 2010</v>
      </c>
      <c r="M32" s="10" t="str">
        <f>'(FnCalls 1)'!F49</f>
        <v>MMM 2010</v>
      </c>
      <c r="N32" s="181" t="str">
        <f>'(FnCalls 1)'!G47</f>
        <v>Q3 2010</v>
      </c>
      <c r="O32" s="10" t="str">
        <f>'(FnCalls 1)'!F50</f>
        <v>MMM 2010</v>
      </c>
      <c r="P32" s="10" t="str">
        <f>'(FnCalls 1)'!F51</f>
        <v>MMM 2010</v>
      </c>
      <c r="Q32" s="10" t="str">
        <f>'(FnCalls 1)'!F52</f>
        <v>MMM 2010</v>
      </c>
      <c r="R32" s="181" t="str">
        <f>'(FnCalls 1)'!G50</f>
        <v>Q4 2010</v>
      </c>
      <c r="S32" s="10" t="str">
        <f>'(FnCalls 1)'!F53</f>
        <v>MMM 2011</v>
      </c>
      <c r="T32" s="10" t="str">
        <f>'(FnCalls 1)'!F54</f>
        <v>MMM 2011</v>
      </c>
      <c r="U32" s="10" t="str">
        <f>'(FnCalls 1)'!F55</f>
        <v>MMM 2011</v>
      </c>
      <c r="V32" s="181" t="str">
        <f>'(FnCalls 1)'!G53</f>
        <v>Q1 2011</v>
      </c>
      <c r="W32" s="10" t="str">
        <f>'(FnCalls 1)'!F56</f>
        <v>MMM 2011</v>
      </c>
      <c r="X32" s="10" t="str">
        <f>'(FnCalls 1)'!F57</f>
        <v>MMM 2011</v>
      </c>
      <c r="Y32" s="10" t="str">
        <f>'(FnCalls 1)'!F58</f>
        <v>MMM 2011</v>
      </c>
      <c r="Z32" s="181" t="str">
        <f>'(FnCalls 1)'!G56</f>
        <v>Q2 2011</v>
      </c>
    </row>
    <row r="33" spans="1:26" ht="12.75" hidden="1" customHeight="1" outlineLevel="1" x14ac:dyDescent="0.2">
      <c r="A33" s="97" t="str">
        <f>Labels!B17</f>
        <v>Balance Check</v>
      </c>
      <c r="B33" s="199">
        <f>B13-B24-B29</f>
        <v>0</v>
      </c>
      <c r="C33" s="199">
        <f>C13-C24-C29</f>
        <v>0</v>
      </c>
      <c r="D33" s="199">
        <f>D13-D24-D29</f>
        <v>0</v>
      </c>
      <c r="E33" s="199">
        <f>E13-E24-E29</f>
        <v>0</v>
      </c>
      <c r="F33" s="200">
        <f>E33</f>
        <v>0</v>
      </c>
      <c r="G33" s="199">
        <f>G13-G24-G29</f>
        <v>0</v>
      </c>
      <c r="H33" s="199">
        <f>H13-H24-H29</f>
        <v>0</v>
      </c>
      <c r="I33" s="199">
        <f>I13-I24-I29</f>
        <v>0</v>
      </c>
      <c r="J33" s="200">
        <f>I33</f>
        <v>0</v>
      </c>
      <c r="K33" s="199">
        <f>K13-K24-K29</f>
        <v>0</v>
      </c>
      <c r="L33" s="199">
        <f>L13-L24-L29</f>
        <v>0</v>
      </c>
      <c r="M33" s="199">
        <f>M13-M24-M29</f>
        <v>0</v>
      </c>
      <c r="N33" s="200">
        <f>M33</f>
        <v>0</v>
      </c>
      <c r="O33" s="199">
        <f>O13-O24-O29</f>
        <v>0</v>
      </c>
      <c r="P33" s="199">
        <f>P13-P24-P29</f>
        <v>0</v>
      </c>
      <c r="Q33" s="199">
        <f>Q13-Q24-Q29</f>
        <v>0</v>
      </c>
      <c r="R33" s="200">
        <f>Q33</f>
        <v>0</v>
      </c>
      <c r="S33" s="199">
        <f>S13-S24-S29</f>
        <v>0</v>
      </c>
      <c r="T33" s="199">
        <f>T13-T24-T29</f>
        <v>0</v>
      </c>
      <c r="U33" s="199">
        <f>U13-U24-U29</f>
        <v>0</v>
      </c>
      <c r="V33" s="200">
        <f>U33</f>
        <v>0</v>
      </c>
      <c r="W33" s="199">
        <f>W13-W24-W29</f>
        <v>0</v>
      </c>
      <c r="X33" s="199">
        <f>X13-X24-X29</f>
        <v>0</v>
      </c>
      <c r="Y33" s="199">
        <f>Y13-Y24-Y29</f>
        <v>0</v>
      </c>
      <c r="Z33" s="200">
        <f>Y33</f>
        <v>0</v>
      </c>
    </row>
    <row r="34" spans="1:26" ht="12.75" hidden="1" customHeight="1" outlineLevel="1" collapsed="1" x14ac:dyDescent="0.2"/>
    <row r="35" spans="1:26" ht="12.75" customHeight="1" collapsed="1" x14ac:dyDescent="0.2">
      <c r="A35" t="s">
        <v>3402</v>
      </c>
      <c r="B35" t="s">
        <v>3402</v>
      </c>
      <c r="C35" t="s">
        <v>3402</v>
      </c>
      <c r="D35" t="s">
        <v>3402</v>
      </c>
      <c r="E35" t="s">
        <v>3402</v>
      </c>
      <c r="F35" t="s">
        <v>3402</v>
      </c>
      <c r="G35" t="s">
        <v>3402</v>
      </c>
      <c r="H35" t="s">
        <v>3402</v>
      </c>
      <c r="I35" t="s">
        <v>3402</v>
      </c>
      <c r="J35" t="s">
        <v>3402</v>
      </c>
      <c r="K35" t="s">
        <v>3402</v>
      </c>
      <c r="L35" t="s">
        <v>3402</v>
      </c>
      <c r="M35" t="s">
        <v>3402</v>
      </c>
      <c r="N35" t="s">
        <v>3402</v>
      </c>
      <c r="O35" t="s">
        <v>3402</v>
      </c>
      <c r="P35" t="s">
        <v>3402</v>
      </c>
      <c r="Q35" t="s">
        <v>3402</v>
      </c>
      <c r="R35" t="s">
        <v>3402</v>
      </c>
      <c r="S35" t="s">
        <v>3402</v>
      </c>
      <c r="T35" t="s">
        <v>3402</v>
      </c>
      <c r="U35" t="s">
        <v>3402</v>
      </c>
      <c r="V35" t="s">
        <v>3402</v>
      </c>
      <c r="W35" t="s">
        <v>3402</v>
      </c>
      <c r="X35" t="s">
        <v>3402</v>
      </c>
      <c r="Y35" t="s">
        <v>3402</v>
      </c>
      <c r="Z35" t="s">
        <v>3402</v>
      </c>
    </row>
  </sheetData>
  <mergeCells count="4">
    <mergeCell ref="A1:C1"/>
    <mergeCell ref="A2:C2"/>
    <mergeCell ref="A3:C3"/>
    <mergeCell ref="A4:C4"/>
  </mergeCells>
  <pageMargins left="0.25" right="0.25" top="0.5" bottom="0.5" header="0.5" footer="0.5"/>
  <pageSetup paperSize="9" fitToHeight="32767" orientation="landscape" horizontalDpi="300" verticalDpi="300"/>
  <headerFooter alignWithMargins="0"/>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pageSetUpPr fitToPage="1"/>
  </sheetPr>
  <dimension ref="A1:Y35"/>
  <sheetViews>
    <sheetView zoomScaleNormal="100" workbookViewId="0">
      <selection sqref="A1:C1"/>
    </sheetView>
  </sheetViews>
  <sheetFormatPr defaultRowHeight="12.75" customHeight="1" outlineLevelRow="1" x14ac:dyDescent="0.2"/>
  <cols>
    <col min="1" max="1" width="20.7109375" customWidth="1"/>
    <col min="2" max="25" width="12.42578125" customWidth="1"/>
  </cols>
  <sheetData>
    <row r="1" spans="1:25" ht="12.75" customHeight="1" x14ac:dyDescent="0.2">
      <c r="A1" s="463" t="str">
        <f>Inputs!F7</f>
        <v xml:space="preserve"> </v>
      </c>
      <c r="B1" s="463"/>
      <c r="C1" s="463"/>
    </row>
    <row r="2" spans="1:25" ht="12.75" customHeight="1" x14ac:dyDescent="0.2">
      <c r="A2" s="463" t="e">
        <f>TEXT('(FnCalls 1)'!A41,"m/d/yyyy")&amp;" to "&amp;TEXT('(FnCalls 1)'!A59-1,"m/d/yyyy")</f>
        <v>#VALUE!</v>
      </c>
      <c r="B2" s="463"/>
      <c r="C2" s="463"/>
    </row>
    <row r="3" spans="1:25" ht="12.75" customHeight="1" x14ac:dyDescent="0.2">
      <c r="A3" s="463" t="str">
        <f>"Cash Flow Statement"</f>
        <v>Cash Flow Statement</v>
      </c>
      <c r="B3" s="463"/>
      <c r="C3" s="463"/>
    </row>
    <row r="4" spans="1:25" ht="12.75" customHeight="1" x14ac:dyDescent="0.2">
      <c r="A4" s="463" t="str">
        <f>""</f>
        <v/>
      </c>
      <c r="B4" s="463"/>
      <c r="C4" s="463"/>
    </row>
    <row r="5" spans="1:25" ht="12.75" customHeight="1" x14ac:dyDescent="0.2">
      <c r="B5" s="9" t="str">
        <f>'(FnCalls 1)'!F41</f>
        <v>MMM 2010</v>
      </c>
      <c r="C5" s="10" t="str">
        <f>'(FnCalls 1)'!F42</f>
        <v>MMM 2010</v>
      </c>
      <c r="D5" s="10" t="str">
        <f>'(FnCalls 1)'!F43</f>
        <v>MMM 2010</v>
      </c>
      <c r="E5" s="181" t="str">
        <f>'(FnCalls 1)'!G41</f>
        <v>Q1 2010</v>
      </c>
      <c r="F5" s="10" t="str">
        <f>'(FnCalls 1)'!F44</f>
        <v>MMM 2010</v>
      </c>
      <c r="G5" s="10" t="str">
        <f>'(FnCalls 1)'!F45</f>
        <v>MMM 2010</v>
      </c>
      <c r="H5" s="10" t="str">
        <f>'(FnCalls 1)'!F46</f>
        <v>MMM 2010</v>
      </c>
      <c r="I5" s="181" t="str">
        <f>'(FnCalls 1)'!G44</f>
        <v>Q2 2010</v>
      </c>
      <c r="J5" s="10" t="str">
        <f>'(FnCalls 1)'!F47</f>
        <v>MMM 2010</v>
      </c>
      <c r="K5" s="10" t="str">
        <f>'(FnCalls 1)'!F48</f>
        <v>MMM 2010</v>
      </c>
      <c r="L5" s="10" t="str">
        <f>'(FnCalls 1)'!F49</f>
        <v>MMM 2010</v>
      </c>
      <c r="M5" s="181" t="str">
        <f>'(FnCalls 1)'!G47</f>
        <v>Q3 2010</v>
      </c>
      <c r="N5" s="10" t="str">
        <f>'(FnCalls 1)'!F50</f>
        <v>MMM 2010</v>
      </c>
      <c r="O5" s="10" t="str">
        <f>'(FnCalls 1)'!F51</f>
        <v>MMM 2010</v>
      </c>
      <c r="P5" s="10" t="str">
        <f>'(FnCalls 1)'!F52</f>
        <v>MMM 2010</v>
      </c>
      <c r="Q5" s="181" t="str">
        <f>'(FnCalls 1)'!G50</f>
        <v>Q4 2010</v>
      </c>
      <c r="R5" s="10" t="str">
        <f>'(FnCalls 1)'!F53</f>
        <v>MMM 2011</v>
      </c>
      <c r="S5" s="10" t="str">
        <f>'(FnCalls 1)'!F54</f>
        <v>MMM 2011</v>
      </c>
      <c r="T5" s="10" t="str">
        <f>'(FnCalls 1)'!F55</f>
        <v>MMM 2011</v>
      </c>
      <c r="U5" s="181" t="str">
        <f>'(FnCalls 1)'!G53</f>
        <v>Q1 2011</v>
      </c>
      <c r="V5" s="10" t="str">
        <f>'(FnCalls 1)'!F56</f>
        <v>MMM 2011</v>
      </c>
      <c r="W5" s="10" t="str">
        <f>'(FnCalls 1)'!F57</f>
        <v>MMM 2011</v>
      </c>
      <c r="X5" s="10" t="str">
        <f>'(FnCalls 1)'!F58</f>
        <v>MMM 2011</v>
      </c>
      <c r="Y5" s="181" t="str">
        <f>'(FnCalls 1)'!G56</f>
        <v>Q2 2011</v>
      </c>
    </row>
    <row r="6" spans="1:25" ht="12.75" customHeight="1" x14ac:dyDescent="0.2">
      <c r="A6" s="97" t="str">
        <f>Labels!B30</f>
        <v>Starting Cash</v>
      </c>
      <c r="B6" s="201">
        <f>Assets!B9</f>
        <v>0</v>
      </c>
      <c r="C6" s="201">
        <f>B26</f>
        <v>0</v>
      </c>
      <c r="D6" s="201">
        <f>C26</f>
        <v>0</v>
      </c>
      <c r="E6" s="195">
        <f>B6</f>
        <v>0</v>
      </c>
      <c r="F6" s="201">
        <f>D26</f>
        <v>109112.90322580645</v>
      </c>
      <c r="G6" s="201">
        <f>F26</f>
        <v>112750</v>
      </c>
      <c r="H6" s="201">
        <f>G26</f>
        <v>220000</v>
      </c>
      <c r="I6" s="195">
        <f>F6</f>
        <v>109112.90322580645</v>
      </c>
      <c r="J6" s="201">
        <f>H26</f>
        <v>136000</v>
      </c>
      <c r="K6" s="201">
        <f>J26</f>
        <v>193029.42960958515</v>
      </c>
      <c r="L6" s="201">
        <f>K26</f>
        <v>230533.54167388589</v>
      </c>
      <c r="M6" s="195">
        <f>J6</f>
        <v>136000</v>
      </c>
      <c r="N6" s="201">
        <f>L26</f>
        <v>389243.21909324074</v>
      </c>
      <c r="O6" s="201">
        <f>N26</f>
        <v>389243.21909324074</v>
      </c>
      <c r="P6" s="201">
        <f>O26</f>
        <v>389243.21909324074</v>
      </c>
      <c r="Q6" s="195">
        <f>N6</f>
        <v>389243.21909324074</v>
      </c>
      <c r="R6" s="201">
        <f>P26</f>
        <v>389243.21909324074</v>
      </c>
      <c r="S6" s="201">
        <f>R26</f>
        <v>389243.21909324074</v>
      </c>
      <c r="T6" s="201">
        <f>S26</f>
        <v>389243.21909324074</v>
      </c>
      <c r="U6" s="195">
        <f>R6</f>
        <v>389243.21909324074</v>
      </c>
      <c r="V6" s="201">
        <f>T26</f>
        <v>389243.21909324074</v>
      </c>
      <c r="W6" s="201">
        <f>V26</f>
        <v>389243.21909324074</v>
      </c>
      <c r="X6" s="201">
        <f>W26</f>
        <v>389243.21909324074</v>
      </c>
      <c r="Y6" s="195">
        <f>V6</f>
        <v>389243.21909324074</v>
      </c>
    </row>
    <row r="8" spans="1:25" ht="12.75" customHeight="1" x14ac:dyDescent="0.2">
      <c r="A8" s="2" t="str">
        <f>"Sources of Cash"</f>
        <v>Sources of Cash</v>
      </c>
    </row>
    <row r="9" spans="1:25" ht="12.75" customHeight="1" x14ac:dyDescent="0.2">
      <c r="A9" s="182" t="str">
        <f>Labels!B127</f>
        <v>Net Income</v>
      </c>
      <c r="B9" s="202">
        <f>IncStmt!B26</f>
        <v>0</v>
      </c>
      <c r="C9" s="202">
        <f>IncStmt!C26</f>
        <v>0</v>
      </c>
      <c r="D9" s="202">
        <f>IncStmt!D26</f>
        <v>110000</v>
      </c>
      <c r="E9" s="184">
        <f t="shared" ref="E9:E16" si="0">SUM(B9:D9)</f>
        <v>110000</v>
      </c>
      <c r="F9" s="202">
        <f>IncStmt!F26</f>
        <v>110000</v>
      </c>
      <c r="G9" s="202">
        <f>IncStmt!G26</f>
        <v>0</v>
      </c>
      <c r="H9" s="202">
        <f>IncStmt!H26</f>
        <v>80000</v>
      </c>
      <c r="I9" s="184">
        <f t="shared" ref="I9:I16" si="1">SUM(F9:H9)</f>
        <v>190000</v>
      </c>
      <c r="J9" s="202">
        <f>IncStmt!J26</f>
        <v>51739.107028939994</v>
      </c>
      <c r="K9" s="202">
        <f>IncStmt!K26</f>
        <v>37504.112064300745</v>
      </c>
      <c r="L9" s="202">
        <f>IncStmt!L26</f>
        <v>0</v>
      </c>
      <c r="M9" s="184">
        <f t="shared" ref="M9:M16" si="2">SUM(J9:L9)</f>
        <v>89243.219093240739</v>
      </c>
      <c r="N9" s="202">
        <f>IncStmt!N26</f>
        <v>0</v>
      </c>
      <c r="O9" s="202">
        <f>IncStmt!O26</f>
        <v>0</v>
      </c>
      <c r="P9" s="202">
        <f>IncStmt!P26</f>
        <v>0</v>
      </c>
      <c r="Q9" s="184">
        <f t="shared" ref="Q9:Q16" si="3">SUM(N9:P9)</f>
        <v>0</v>
      </c>
      <c r="R9" s="202">
        <f>IncStmt!R26</f>
        <v>0</v>
      </c>
      <c r="S9" s="202">
        <f>IncStmt!S26</f>
        <v>0</v>
      </c>
      <c r="T9" s="202">
        <f>IncStmt!T26</f>
        <v>0</v>
      </c>
      <c r="U9" s="184">
        <f t="shared" ref="U9:U16" si="4">SUM(R9:T9)</f>
        <v>0</v>
      </c>
      <c r="V9" s="202">
        <f>IncStmt!V26</f>
        <v>0</v>
      </c>
      <c r="W9" s="202">
        <f>IncStmt!W26</f>
        <v>0</v>
      </c>
      <c r="X9" s="202">
        <f>IncStmt!X26</f>
        <v>0</v>
      </c>
      <c r="Y9" s="184">
        <f t="shared" ref="Y9:Y16" si="5">SUM(V9:X9)</f>
        <v>0</v>
      </c>
    </row>
    <row r="10" spans="1:25" ht="12.75" customHeight="1" x14ac:dyDescent="0.2">
      <c r="A10" s="191" t="str">
        <f>Labels!B34</f>
        <v>Chg Accts Pay</v>
      </c>
      <c r="B10" s="189">
        <f>Liab!C12-'(Compute)'!B717</f>
        <v>0</v>
      </c>
      <c r="C10" s="189">
        <f>Liab!D12-'(Compute)'!C717</f>
        <v>0</v>
      </c>
      <c r="D10" s="189">
        <f>Liab!E12-'(Compute)'!D717</f>
        <v>0</v>
      </c>
      <c r="E10" s="190">
        <f t="shared" si="0"/>
        <v>0</v>
      </c>
      <c r="F10" s="189">
        <f>Liab!G12-'(Compute)'!E717</f>
        <v>0</v>
      </c>
      <c r="G10" s="189">
        <f>Liab!H12-'(Compute)'!F717</f>
        <v>0</v>
      </c>
      <c r="H10" s="189">
        <f>Liab!I12-'(Compute)'!G717</f>
        <v>0</v>
      </c>
      <c r="I10" s="190">
        <f t="shared" si="1"/>
        <v>0</v>
      </c>
      <c r="J10" s="189">
        <f>Liab!K12-'(Compute)'!H717</f>
        <v>0</v>
      </c>
      <c r="K10" s="189">
        <f>Liab!L12-'(Compute)'!I717</f>
        <v>0</v>
      </c>
      <c r="L10" s="189">
        <f>Liab!M12-'(Compute)'!J717</f>
        <v>0</v>
      </c>
      <c r="M10" s="190">
        <f t="shared" si="2"/>
        <v>0</v>
      </c>
      <c r="N10" s="189">
        <f>Liab!O12-'(Compute)'!K717</f>
        <v>0</v>
      </c>
      <c r="O10" s="189">
        <f>Liab!P12-'(Compute)'!L717</f>
        <v>0</v>
      </c>
      <c r="P10" s="189">
        <f>Liab!Q12-'(Compute)'!M717</f>
        <v>0</v>
      </c>
      <c r="Q10" s="190">
        <f t="shared" si="3"/>
        <v>0</v>
      </c>
      <c r="R10" s="189">
        <f>Liab!S12-'(Compute)'!N717</f>
        <v>0</v>
      </c>
      <c r="S10" s="189">
        <f>Liab!T12-'(Compute)'!O717</f>
        <v>0</v>
      </c>
      <c r="T10" s="189">
        <f>Liab!U12-'(Compute)'!P717</f>
        <v>0</v>
      </c>
      <c r="U10" s="190">
        <f t="shared" si="4"/>
        <v>0</v>
      </c>
      <c r="V10" s="189">
        <f>Liab!W12-'(Compute)'!Q717</f>
        <v>0</v>
      </c>
      <c r="W10" s="189">
        <f>Liab!X12-'(Compute)'!R717</f>
        <v>0</v>
      </c>
      <c r="X10" s="189">
        <f>Liab!Y12-'(Compute)'!S717</f>
        <v>0</v>
      </c>
      <c r="Y10" s="190">
        <f t="shared" si="5"/>
        <v>0</v>
      </c>
    </row>
    <row r="11" spans="1:25" ht="12.75" customHeight="1" x14ac:dyDescent="0.2">
      <c r="A11" s="191" t="str">
        <f>Labels!B40</f>
        <v>Chg Short Debt</v>
      </c>
      <c r="B11" s="189">
        <f>Inputs!G414-Inputs!F414</f>
        <v>0</v>
      </c>
      <c r="C11" s="189">
        <f>Inputs!H414-Inputs!G414</f>
        <v>0</v>
      </c>
      <c r="D11" s="189">
        <f>Inputs!I414-Inputs!H414</f>
        <v>217338.70967741936</v>
      </c>
      <c r="E11" s="190">
        <f t="shared" si="0"/>
        <v>217338.70967741936</v>
      </c>
      <c r="F11" s="189">
        <f>Inputs!J414-Inputs!I414</f>
        <v>-99088.709677419363</v>
      </c>
      <c r="G11" s="189">
        <f>Inputs!K414-Inputs!J414</f>
        <v>-118250</v>
      </c>
      <c r="H11" s="189">
        <f>Inputs!L414-Inputs!K414</f>
        <v>0</v>
      </c>
      <c r="I11" s="190">
        <f t="shared" si="1"/>
        <v>-217338.70967741936</v>
      </c>
      <c r="J11" s="189">
        <f>Inputs!M414-Inputs!L414</f>
        <v>0</v>
      </c>
      <c r="K11" s="189">
        <f>Inputs!N414-Inputs!M414</f>
        <v>0</v>
      </c>
      <c r="L11" s="189">
        <f>Inputs!O414-Inputs!N414</f>
        <v>0</v>
      </c>
      <c r="M11" s="190">
        <f t="shared" si="2"/>
        <v>0</v>
      </c>
      <c r="N11" s="189">
        <f>Inputs!P414-Inputs!O414</f>
        <v>0</v>
      </c>
      <c r="O11" s="189">
        <f>Inputs!Q414-Inputs!P414</f>
        <v>0</v>
      </c>
      <c r="P11" s="189">
        <f>Inputs!R414-Inputs!Q414</f>
        <v>0</v>
      </c>
      <c r="Q11" s="190">
        <f t="shared" si="3"/>
        <v>0</v>
      </c>
      <c r="R11" s="189">
        <f>Inputs!S414-Inputs!R414</f>
        <v>0</v>
      </c>
      <c r="S11" s="189">
        <f>Inputs!T414-Inputs!S414</f>
        <v>0</v>
      </c>
      <c r="T11" s="189">
        <f>Inputs!U414-Inputs!T414</f>
        <v>0</v>
      </c>
      <c r="U11" s="190">
        <f t="shared" si="4"/>
        <v>0</v>
      </c>
      <c r="V11" s="189">
        <f>Inputs!V414-Inputs!U414</f>
        <v>0</v>
      </c>
      <c r="W11" s="189">
        <f>Inputs!W414-Inputs!V414</f>
        <v>0</v>
      </c>
      <c r="X11" s="189">
        <f>Inputs!X414-Inputs!W414</f>
        <v>0</v>
      </c>
      <c r="Y11" s="190">
        <f t="shared" si="5"/>
        <v>0</v>
      </c>
    </row>
    <row r="12" spans="1:25" ht="12.75" customHeight="1" x14ac:dyDescent="0.2">
      <c r="A12" s="191" t="str">
        <f>Labels!B54</f>
        <v>Depreciation</v>
      </c>
      <c r="B12" s="189">
        <f>IncStmt!B24</f>
        <v>0</v>
      </c>
      <c r="C12" s="189">
        <f>IncStmt!C24</f>
        <v>0</v>
      </c>
      <c r="D12" s="189">
        <f>IncStmt!D24</f>
        <v>0</v>
      </c>
      <c r="E12" s="190">
        <f t="shared" si="0"/>
        <v>0</v>
      </c>
      <c r="F12" s="189">
        <f>IncStmt!F24</f>
        <v>0</v>
      </c>
      <c r="G12" s="189">
        <f>IncStmt!G24</f>
        <v>0</v>
      </c>
      <c r="H12" s="189">
        <f>IncStmt!H24</f>
        <v>0</v>
      </c>
      <c r="I12" s="190">
        <f t="shared" si="1"/>
        <v>0</v>
      </c>
      <c r="J12" s="189">
        <f>IncStmt!J24</f>
        <v>0</v>
      </c>
      <c r="K12" s="189">
        <f>IncStmt!K24</f>
        <v>0</v>
      </c>
      <c r="L12" s="189">
        <f>IncStmt!L24</f>
        <v>0</v>
      </c>
      <c r="M12" s="190">
        <f t="shared" si="2"/>
        <v>0</v>
      </c>
      <c r="N12" s="189">
        <f>IncStmt!N24</f>
        <v>0</v>
      </c>
      <c r="O12" s="189">
        <f>IncStmt!O24</f>
        <v>0</v>
      </c>
      <c r="P12" s="189">
        <f>IncStmt!P24</f>
        <v>0</v>
      </c>
      <c r="Q12" s="190">
        <f t="shared" si="3"/>
        <v>0</v>
      </c>
      <c r="R12" s="189">
        <f>IncStmt!R24</f>
        <v>0</v>
      </c>
      <c r="S12" s="189">
        <f>IncStmt!S24</f>
        <v>0</v>
      </c>
      <c r="T12" s="189">
        <f>IncStmt!T24</f>
        <v>0</v>
      </c>
      <c r="U12" s="190">
        <f t="shared" si="4"/>
        <v>0</v>
      </c>
      <c r="V12" s="189">
        <f>IncStmt!V24</f>
        <v>0</v>
      </c>
      <c r="W12" s="189">
        <f>IncStmt!W24</f>
        <v>0</v>
      </c>
      <c r="X12" s="189">
        <f>IncStmt!X24</f>
        <v>0</v>
      </c>
      <c r="Y12" s="190">
        <f t="shared" si="5"/>
        <v>0</v>
      </c>
    </row>
    <row r="13" spans="1:25" ht="12.75" customHeight="1" x14ac:dyDescent="0.2">
      <c r="A13" s="191" t="str">
        <f>Labels!B39</f>
        <v>Chg Long Debt</v>
      </c>
      <c r="B13" s="189">
        <f>Inputs!G421-Inputs!F421</f>
        <v>0</v>
      </c>
      <c r="C13" s="189">
        <f>Inputs!H421-Inputs!G421</f>
        <v>0</v>
      </c>
      <c r="D13" s="189">
        <f>Inputs!I421-Inputs!H421</f>
        <v>0</v>
      </c>
      <c r="E13" s="190">
        <f t="shared" si="0"/>
        <v>0</v>
      </c>
      <c r="F13" s="189">
        <f>Inputs!J421-Inputs!I421</f>
        <v>0</v>
      </c>
      <c r="G13" s="189">
        <f>Inputs!K421-Inputs!J421</f>
        <v>0</v>
      </c>
      <c r="H13" s="189">
        <f>Inputs!L421-Inputs!K421</f>
        <v>0</v>
      </c>
      <c r="I13" s="190">
        <f t="shared" si="1"/>
        <v>0</v>
      </c>
      <c r="J13" s="189">
        <f>Inputs!M421-Inputs!L421</f>
        <v>0</v>
      </c>
      <c r="K13" s="189">
        <f>Inputs!N421-Inputs!M421</f>
        <v>0</v>
      </c>
      <c r="L13" s="189">
        <f>Inputs!O421-Inputs!N421</f>
        <v>0</v>
      </c>
      <c r="M13" s="190">
        <f t="shared" si="2"/>
        <v>0</v>
      </c>
      <c r="N13" s="189">
        <f>Inputs!P421-Inputs!O421</f>
        <v>0</v>
      </c>
      <c r="O13" s="189">
        <f>Inputs!Q421-Inputs!P421</f>
        <v>0</v>
      </c>
      <c r="P13" s="189">
        <f>Inputs!R421-Inputs!Q421</f>
        <v>0</v>
      </c>
      <c r="Q13" s="190">
        <f t="shared" si="3"/>
        <v>0</v>
      </c>
      <c r="R13" s="189">
        <f>Inputs!S421-Inputs!R421</f>
        <v>0</v>
      </c>
      <c r="S13" s="189">
        <f>Inputs!T421-Inputs!S421</f>
        <v>0</v>
      </c>
      <c r="T13" s="189">
        <f>Inputs!U421-Inputs!T421</f>
        <v>0</v>
      </c>
      <c r="U13" s="190">
        <f t="shared" si="4"/>
        <v>0</v>
      </c>
      <c r="V13" s="189">
        <f>Inputs!V421-Inputs!U421</f>
        <v>0</v>
      </c>
      <c r="W13" s="189">
        <f>Inputs!W421-Inputs!V421</f>
        <v>0</v>
      </c>
      <c r="X13" s="189">
        <f>Inputs!X421-Inputs!W421</f>
        <v>0</v>
      </c>
      <c r="Y13" s="190">
        <f t="shared" si="5"/>
        <v>0</v>
      </c>
    </row>
    <row r="14" spans="1:25" ht="12.75" customHeight="1" x14ac:dyDescent="0.2">
      <c r="A14" s="191" t="str">
        <f>Labels!B37</f>
        <v>Chg Bond Principal</v>
      </c>
      <c r="B14" s="189">
        <f>'(Tables)'!AL1441</f>
        <v>0</v>
      </c>
      <c r="C14" s="189">
        <f>'(Tables)'!AM1441</f>
        <v>0</v>
      </c>
      <c r="D14" s="189">
        <f>'(Tables)'!AN1441</f>
        <v>0</v>
      </c>
      <c r="E14" s="190">
        <f t="shared" si="0"/>
        <v>0</v>
      </c>
      <c r="F14" s="189">
        <f>'(Tables)'!AO1441</f>
        <v>0</v>
      </c>
      <c r="G14" s="189">
        <f>'(Tables)'!AP1441</f>
        <v>0</v>
      </c>
      <c r="H14" s="189">
        <f>'(Tables)'!AQ1441</f>
        <v>0</v>
      </c>
      <c r="I14" s="190">
        <f t="shared" si="1"/>
        <v>0</v>
      </c>
      <c r="J14" s="189">
        <f>'(Tables)'!AR1441</f>
        <v>0</v>
      </c>
      <c r="K14" s="189">
        <f>'(Tables)'!AS1441</f>
        <v>0</v>
      </c>
      <c r="L14" s="189">
        <f>'(Tables)'!AT1441</f>
        <v>0</v>
      </c>
      <c r="M14" s="190">
        <f t="shared" si="2"/>
        <v>0</v>
      </c>
      <c r="N14" s="189">
        <f>'(Tables)'!AU1441</f>
        <v>0</v>
      </c>
      <c r="O14" s="189">
        <f>'(Tables)'!AV1441</f>
        <v>0</v>
      </c>
      <c r="P14" s="189">
        <f>'(Tables)'!AW1441</f>
        <v>0</v>
      </c>
      <c r="Q14" s="190">
        <f t="shared" si="3"/>
        <v>0</v>
      </c>
      <c r="R14" s="189">
        <f>'(Tables)'!AX1441</f>
        <v>0</v>
      </c>
      <c r="S14" s="189">
        <f>'(Tables)'!AY1441</f>
        <v>0</v>
      </c>
      <c r="T14" s="189">
        <f>'(Tables)'!AZ1441</f>
        <v>0</v>
      </c>
      <c r="U14" s="190">
        <f t="shared" si="4"/>
        <v>0</v>
      </c>
      <c r="V14" s="189">
        <f>'(Tables)'!BA1441</f>
        <v>0</v>
      </c>
      <c r="W14" s="189">
        <f>'(Tables)'!BB1441</f>
        <v>0</v>
      </c>
      <c r="X14" s="189">
        <f>'(Tables)'!BC1441</f>
        <v>0</v>
      </c>
      <c r="Y14" s="190">
        <f t="shared" si="5"/>
        <v>0</v>
      </c>
    </row>
    <row r="15" spans="1:25" ht="12.75" customHeight="1" x14ac:dyDescent="0.2">
      <c r="A15" s="191" t="str">
        <f>Labels!B129</f>
        <v>Net Stock Issue</v>
      </c>
      <c r="B15" s="189">
        <f>Inputs!G430</f>
        <v>0</v>
      </c>
      <c r="C15" s="189">
        <f>Inputs!H430</f>
        <v>0</v>
      </c>
      <c r="D15" s="189">
        <f>Inputs!I430</f>
        <v>0</v>
      </c>
      <c r="E15" s="190">
        <f t="shared" si="0"/>
        <v>0</v>
      </c>
      <c r="F15" s="189">
        <f>Inputs!J430</f>
        <v>0</v>
      </c>
      <c r="G15" s="189">
        <f>Inputs!K430</f>
        <v>0</v>
      </c>
      <c r="H15" s="189">
        <f>Inputs!L430</f>
        <v>0</v>
      </c>
      <c r="I15" s="190">
        <f t="shared" si="1"/>
        <v>0</v>
      </c>
      <c r="J15" s="189">
        <f>Inputs!M430</f>
        <v>0</v>
      </c>
      <c r="K15" s="189">
        <f>Inputs!N430</f>
        <v>0</v>
      </c>
      <c r="L15" s="189">
        <f>Inputs!O430</f>
        <v>0</v>
      </c>
      <c r="M15" s="190">
        <f t="shared" si="2"/>
        <v>0</v>
      </c>
      <c r="N15" s="189">
        <f>Inputs!P430</f>
        <v>0</v>
      </c>
      <c r="O15" s="189">
        <f>Inputs!Q430</f>
        <v>0</v>
      </c>
      <c r="P15" s="189">
        <f>Inputs!R430</f>
        <v>0</v>
      </c>
      <c r="Q15" s="190">
        <f t="shared" si="3"/>
        <v>0</v>
      </c>
      <c r="R15" s="189">
        <f>Inputs!S430</f>
        <v>0</v>
      </c>
      <c r="S15" s="189">
        <f>Inputs!T430</f>
        <v>0</v>
      </c>
      <c r="T15" s="189">
        <f>Inputs!U430</f>
        <v>0</v>
      </c>
      <c r="U15" s="190">
        <f t="shared" si="4"/>
        <v>0</v>
      </c>
      <c r="V15" s="189">
        <f>Inputs!V430</f>
        <v>0</v>
      </c>
      <c r="W15" s="189">
        <f>Inputs!W430</f>
        <v>0</v>
      </c>
      <c r="X15" s="189">
        <f>Inputs!X430</f>
        <v>0</v>
      </c>
      <c r="Y15" s="190">
        <f t="shared" si="5"/>
        <v>0</v>
      </c>
    </row>
    <row r="16" spans="1:25" ht="12.75" customHeight="1" x14ac:dyDescent="0.2">
      <c r="A16" s="185" t="str">
        <f>Labels!B29</f>
        <v>Total Sources of Cash</v>
      </c>
      <c r="B16" s="203">
        <f>B9+B10+B11+B12+Assets!C48+B13+'(Tables)'!AL1441+Inputs!G430</f>
        <v>0</v>
      </c>
      <c r="C16" s="203">
        <f>C9+C10+C11+C12+Assets!D48+C13+'(Tables)'!AM1441+Inputs!H430</f>
        <v>0</v>
      </c>
      <c r="D16" s="203">
        <f>D9+D10+D11+D12+Assets!E48+D13+'(Tables)'!AN1441+Inputs!I430</f>
        <v>327338.70967741939</v>
      </c>
      <c r="E16" s="193">
        <f t="shared" si="0"/>
        <v>327338.70967741939</v>
      </c>
      <c r="F16" s="203">
        <f>F9+F10+F11+F12+Assets!G48+F13+'(Tables)'!AO1441+Inputs!J430</f>
        <v>10911.290322580637</v>
      </c>
      <c r="G16" s="203">
        <f>G9+G10+G11+G12+Assets!H48+G13+'(Tables)'!AP1441+Inputs!K430</f>
        <v>-118250</v>
      </c>
      <c r="H16" s="203">
        <f>H9+H10+H11+H12+Assets!I48+H13+'(Tables)'!AQ1441+Inputs!L430</f>
        <v>80000</v>
      </c>
      <c r="I16" s="193">
        <f t="shared" si="1"/>
        <v>-27338.709677419363</v>
      </c>
      <c r="J16" s="203">
        <f>J9+J10+J11+J12+Assets!K48+J13+'(Tables)'!AR1441+Inputs!M430</f>
        <v>51739.107028939994</v>
      </c>
      <c r="K16" s="203">
        <f>K9+K10+K11+K12+Assets!L48+K13+'(Tables)'!AS1441+Inputs!N430</f>
        <v>37504.112064300745</v>
      </c>
      <c r="L16" s="203">
        <f>L9+L10+L11+L12+Assets!M48+L13+'(Tables)'!AT1441+Inputs!O430</f>
        <v>0</v>
      </c>
      <c r="M16" s="193">
        <f t="shared" si="2"/>
        <v>89243.219093240739</v>
      </c>
      <c r="N16" s="203">
        <f>N9+N10+N11+N12+Assets!O48+N13+'(Tables)'!AU1441+Inputs!P430</f>
        <v>0</v>
      </c>
      <c r="O16" s="203">
        <f>O9+O10+O11+O12+Assets!P48+O13+'(Tables)'!AV1441+Inputs!Q430</f>
        <v>0</v>
      </c>
      <c r="P16" s="203">
        <f>P9+P10+P11+P12+Assets!Q48+P13+'(Tables)'!AW1441+Inputs!R430</f>
        <v>0</v>
      </c>
      <c r="Q16" s="193">
        <f t="shared" si="3"/>
        <v>0</v>
      </c>
      <c r="R16" s="203">
        <f>R9+R10+R11+R12+Assets!S48+R13+'(Tables)'!AX1441+Inputs!S430</f>
        <v>0</v>
      </c>
      <c r="S16" s="203">
        <f>S9+S10+S11+S12+Assets!T48+S13+'(Tables)'!AY1441+Inputs!T430</f>
        <v>0</v>
      </c>
      <c r="T16" s="203">
        <f>T9+T10+T11+T12+Assets!U48+T13+'(Tables)'!AZ1441+Inputs!U430</f>
        <v>0</v>
      </c>
      <c r="U16" s="193">
        <f t="shared" si="4"/>
        <v>0</v>
      </c>
      <c r="V16" s="203">
        <f>V9+V10+V11+V12+Assets!W48+V13+'(Tables)'!BA1441+Inputs!V430</f>
        <v>0</v>
      </c>
      <c r="W16" s="203">
        <f>W9+W10+W11+W12+Assets!X48+W13+'(Tables)'!BB1441+Inputs!W430</f>
        <v>0</v>
      </c>
      <c r="X16" s="203">
        <f>X9+X10+X11+X12+Assets!Y48+X13+'(Tables)'!BC1441+Inputs!X430</f>
        <v>0</v>
      </c>
      <c r="Y16" s="193">
        <f t="shared" si="5"/>
        <v>0</v>
      </c>
    </row>
    <row r="18" spans="1:25" ht="12.75" customHeight="1" x14ac:dyDescent="0.2">
      <c r="A18" s="2" t="str">
        <f>"Uses of Cash"</f>
        <v>Uses of Cash</v>
      </c>
    </row>
    <row r="19" spans="1:25" ht="12.75" customHeight="1" x14ac:dyDescent="0.2">
      <c r="A19" s="182" t="str">
        <f>Labels!B35</f>
        <v>Chg Accts Rec</v>
      </c>
      <c r="B19" s="202">
        <f>Assets!C12-Assets!B12</f>
        <v>0</v>
      </c>
      <c r="C19" s="202">
        <f>Assets!D12-Assets!C12</f>
        <v>0</v>
      </c>
      <c r="D19" s="202">
        <f>Assets!E12-Assets!D12</f>
        <v>218225.80645161291</v>
      </c>
      <c r="E19" s="184">
        <f t="shared" ref="E19:E24" si="6">SUM(B19:D19)</f>
        <v>218225.80645161291</v>
      </c>
      <c r="F19" s="202">
        <f>Assets!G12-Assets!E12</f>
        <v>7274.1935483870911</v>
      </c>
      <c r="G19" s="202">
        <f>Assets!H12-Assets!G12</f>
        <v>-225500</v>
      </c>
      <c r="H19" s="202">
        <f>Assets!I12-Assets!H12</f>
        <v>164000</v>
      </c>
      <c r="I19" s="184">
        <f t="shared" ref="I19:I24" si="7">SUM(F19:H19)</f>
        <v>-54225.806451612909</v>
      </c>
      <c r="J19" s="202">
        <f>Assets!K12-Assets!I12</f>
        <v>-5290.3225806451519</v>
      </c>
      <c r="K19" s="202">
        <f>Assets!L12-Assets!K12</f>
        <v>0</v>
      </c>
      <c r="L19" s="202">
        <f>Assets!M12-Assets!L12</f>
        <v>-158709.67741935485</v>
      </c>
      <c r="M19" s="184">
        <f t="shared" ref="M19:M24" si="8">SUM(J19:L19)</f>
        <v>-164000</v>
      </c>
      <c r="N19" s="202">
        <f>Assets!O12-Assets!M12</f>
        <v>0</v>
      </c>
      <c r="O19" s="202">
        <f>Assets!P12-Assets!O12</f>
        <v>0</v>
      </c>
      <c r="P19" s="202">
        <f>Assets!Q12-Assets!P12</f>
        <v>0</v>
      </c>
      <c r="Q19" s="184">
        <f t="shared" ref="Q19:Q24" si="9">SUM(N19:P19)</f>
        <v>0</v>
      </c>
      <c r="R19" s="202">
        <f>Assets!S12-Assets!Q12</f>
        <v>0</v>
      </c>
      <c r="S19" s="202">
        <f>Assets!T12-Assets!S12</f>
        <v>0</v>
      </c>
      <c r="T19" s="202">
        <f>Assets!U12-Assets!T12</f>
        <v>0</v>
      </c>
      <c r="U19" s="184">
        <f t="shared" ref="U19:U24" si="10">SUM(R19:T19)</f>
        <v>0</v>
      </c>
      <c r="V19" s="202">
        <f>Assets!W12-Assets!U12</f>
        <v>0</v>
      </c>
      <c r="W19" s="202">
        <f>Assets!X12-Assets!W12</f>
        <v>0</v>
      </c>
      <c r="X19" s="202">
        <f>Assets!Y12-Assets!X12</f>
        <v>0</v>
      </c>
      <c r="Y19" s="184">
        <f t="shared" ref="Y19:Y24" si="11">SUM(V19:X19)</f>
        <v>0</v>
      </c>
    </row>
    <row r="20" spans="1:25" ht="12.75" customHeight="1" x14ac:dyDescent="0.2">
      <c r="A20" s="191" t="str">
        <f>Labels!B38</f>
        <v>Chg Supplies Inventory</v>
      </c>
      <c r="B20" s="189">
        <f>0-'(Compute)'!B725</f>
        <v>0</v>
      </c>
      <c r="C20" s="189">
        <f>0-'(Compute)'!C725</f>
        <v>0</v>
      </c>
      <c r="D20" s="189">
        <f>0-'(Compute)'!D725</f>
        <v>0</v>
      </c>
      <c r="E20" s="190">
        <f t="shared" si="6"/>
        <v>0</v>
      </c>
      <c r="F20" s="189">
        <f>0-'(Compute)'!E725</f>
        <v>0</v>
      </c>
      <c r="G20" s="189">
        <f>0-'(Compute)'!F725</f>
        <v>0</v>
      </c>
      <c r="H20" s="189">
        <f>0-'(Compute)'!G725</f>
        <v>0</v>
      </c>
      <c r="I20" s="190">
        <f t="shared" si="7"/>
        <v>0</v>
      </c>
      <c r="J20" s="189">
        <f>0-'(Compute)'!H725</f>
        <v>0</v>
      </c>
      <c r="K20" s="189">
        <f>0-'(Compute)'!I725</f>
        <v>0</v>
      </c>
      <c r="L20" s="189">
        <f>0-'(Compute)'!J725</f>
        <v>0</v>
      </c>
      <c r="M20" s="190">
        <f t="shared" si="8"/>
        <v>0</v>
      </c>
      <c r="N20" s="189">
        <f>0-'(Compute)'!K725</f>
        <v>0</v>
      </c>
      <c r="O20" s="189">
        <f>0-'(Compute)'!L725</f>
        <v>0</v>
      </c>
      <c r="P20" s="189">
        <f>0-'(Compute)'!M725</f>
        <v>0</v>
      </c>
      <c r="Q20" s="190">
        <f t="shared" si="9"/>
        <v>0</v>
      </c>
      <c r="R20" s="189">
        <f>0-'(Compute)'!N725</f>
        <v>0</v>
      </c>
      <c r="S20" s="189">
        <f>0-'(Compute)'!O725</f>
        <v>0</v>
      </c>
      <c r="T20" s="189">
        <f>0-'(Compute)'!P725</f>
        <v>0</v>
      </c>
      <c r="U20" s="190">
        <f t="shared" si="10"/>
        <v>0</v>
      </c>
      <c r="V20" s="189">
        <f>0-'(Compute)'!Q725</f>
        <v>0</v>
      </c>
      <c r="W20" s="189">
        <f>0-'(Compute)'!R725</f>
        <v>0</v>
      </c>
      <c r="X20" s="189">
        <f>0-'(Compute)'!S725</f>
        <v>0</v>
      </c>
      <c r="Y20" s="190">
        <f t="shared" si="11"/>
        <v>0</v>
      </c>
    </row>
    <row r="21" spans="1:25" ht="12.75" customHeight="1" x14ac:dyDescent="0.2">
      <c r="A21" s="191" t="str">
        <f>Labels!B117</f>
        <v>Long Asset Purch</v>
      </c>
      <c r="B21" s="189">
        <f>Assets!C66+Assets!C38</f>
        <v>0</v>
      </c>
      <c r="C21" s="189">
        <f>Assets!D66+Assets!D38</f>
        <v>0</v>
      </c>
      <c r="D21" s="189">
        <f>Assets!E66+Assets!E38</f>
        <v>0</v>
      </c>
      <c r="E21" s="190">
        <f t="shared" si="6"/>
        <v>0</v>
      </c>
      <c r="F21" s="189">
        <f>Assets!G66+Assets!G38</f>
        <v>0</v>
      </c>
      <c r="G21" s="189">
        <f>Assets!H66+Assets!H38</f>
        <v>0</v>
      </c>
      <c r="H21" s="189">
        <f>Assets!I66+Assets!I38</f>
        <v>0</v>
      </c>
      <c r="I21" s="190">
        <f t="shared" si="7"/>
        <v>0</v>
      </c>
      <c r="J21" s="189">
        <f>Assets!K66+Assets!K38</f>
        <v>0</v>
      </c>
      <c r="K21" s="189">
        <f>Assets!L66+Assets!L38</f>
        <v>0</v>
      </c>
      <c r="L21" s="189">
        <f>Assets!M66+Assets!M38</f>
        <v>0</v>
      </c>
      <c r="M21" s="190">
        <f t="shared" si="8"/>
        <v>0</v>
      </c>
      <c r="N21" s="189">
        <f>Assets!O66+Assets!O38</f>
        <v>0</v>
      </c>
      <c r="O21" s="189">
        <f>Assets!P66+Assets!P38</f>
        <v>0</v>
      </c>
      <c r="P21" s="189">
        <f>Assets!Q66+Assets!Q38</f>
        <v>0</v>
      </c>
      <c r="Q21" s="190">
        <f t="shared" si="9"/>
        <v>0</v>
      </c>
      <c r="R21" s="189">
        <f>Assets!S66+Assets!S38</f>
        <v>0</v>
      </c>
      <c r="S21" s="189">
        <f>Assets!T66+Assets!T38</f>
        <v>0</v>
      </c>
      <c r="T21" s="189">
        <f>Assets!U66+Assets!U38</f>
        <v>0</v>
      </c>
      <c r="U21" s="190">
        <f t="shared" si="10"/>
        <v>0</v>
      </c>
      <c r="V21" s="189">
        <f>Assets!W66+Assets!W38</f>
        <v>0</v>
      </c>
      <c r="W21" s="189">
        <f>Assets!X66+Assets!X38</f>
        <v>0</v>
      </c>
      <c r="X21" s="189">
        <f>Assets!Y66+Assets!Y38</f>
        <v>0</v>
      </c>
      <c r="Y21" s="190">
        <f t="shared" si="11"/>
        <v>0</v>
      </c>
    </row>
    <row r="22" spans="1:25" ht="12.75" customHeight="1" x14ac:dyDescent="0.2">
      <c r="A22" s="191" t="str">
        <f>Labels!B59</f>
        <v>New Cap'd Development</v>
      </c>
      <c r="B22" s="204">
        <f>SUM(OpExp!B69:B70)</f>
        <v>0</v>
      </c>
      <c r="C22" s="204">
        <f>SUM(OpExp!C69:C70)</f>
        <v>0</v>
      </c>
      <c r="D22" s="204">
        <f>SUM(OpExp!D69:D70)</f>
        <v>0</v>
      </c>
      <c r="E22" s="205">
        <f t="shared" si="6"/>
        <v>0</v>
      </c>
      <c r="F22" s="204">
        <f>SUM(OpExp!F69:F70)</f>
        <v>0</v>
      </c>
      <c r="G22" s="204">
        <f>SUM(OpExp!G69:G70)</f>
        <v>0</v>
      </c>
      <c r="H22" s="204">
        <f>SUM(OpExp!H69:H70)</f>
        <v>0</v>
      </c>
      <c r="I22" s="205">
        <f t="shared" si="7"/>
        <v>0</v>
      </c>
      <c r="J22" s="204">
        <f>SUM(OpExp!J69:J70)</f>
        <v>0</v>
      </c>
      <c r="K22" s="204">
        <f>SUM(OpExp!K69:K70)</f>
        <v>0</v>
      </c>
      <c r="L22" s="204">
        <f>SUM(OpExp!L69:L70)</f>
        <v>0</v>
      </c>
      <c r="M22" s="205">
        <f t="shared" si="8"/>
        <v>0</v>
      </c>
      <c r="N22" s="204">
        <f>SUM(OpExp!N69:N70)</f>
        <v>0</v>
      </c>
      <c r="O22" s="204">
        <f>SUM(OpExp!O69:O70)</f>
        <v>0</v>
      </c>
      <c r="P22" s="204">
        <f>SUM(OpExp!P69:P70)</f>
        <v>0</v>
      </c>
      <c r="Q22" s="205">
        <f t="shared" si="9"/>
        <v>0</v>
      </c>
      <c r="R22" s="204">
        <f>SUM(OpExp!R69:R70)</f>
        <v>0</v>
      </c>
      <c r="S22" s="204">
        <f>SUM(OpExp!S69:S70)</f>
        <v>0</v>
      </c>
      <c r="T22" s="204">
        <f>SUM(OpExp!T69:T70)</f>
        <v>0</v>
      </c>
      <c r="U22" s="205">
        <f t="shared" si="10"/>
        <v>0</v>
      </c>
      <c r="V22" s="204">
        <f>SUM(OpExp!V69:V70)</f>
        <v>0</v>
      </c>
      <c r="W22" s="204">
        <f>SUM(OpExp!W69:W70)</f>
        <v>0</v>
      </c>
      <c r="X22" s="204">
        <f>SUM(OpExp!X69:X70)</f>
        <v>0</v>
      </c>
      <c r="Y22" s="205">
        <f t="shared" si="11"/>
        <v>0</v>
      </c>
    </row>
    <row r="23" spans="1:25" ht="12.75" customHeight="1" x14ac:dyDescent="0.2">
      <c r="A23" s="191" t="str">
        <f>Labels!B64</f>
        <v>Dividend</v>
      </c>
      <c r="B23" s="189">
        <f>Inputs!G432</f>
        <v>0</v>
      </c>
      <c r="C23" s="189">
        <f>Inputs!H432</f>
        <v>0</v>
      </c>
      <c r="D23" s="189">
        <f>Inputs!I432</f>
        <v>0</v>
      </c>
      <c r="E23" s="190">
        <f t="shared" si="6"/>
        <v>0</v>
      </c>
      <c r="F23" s="189">
        <f>Inputs!J432</f>
        <v>0</v>
      </c>
      <c r="G23" s="189">
        <f>Inputs!K432</f>
        <v>0</v>
      </c>
      <c r="H23" s="189">
        <f>Inputs!L432</f>
        <v>0</v>
      </c>
      <c r="I23" s="190">
        <f t="shared" si="7"/>
        <v>0</v>
      </c>
      <c r="J23" s="189">
        <f>Inputs!M432</f>
        <v>0</v>
      </c>
      <c r="K23" s="189">
        <f>Inputs!N432</f>
        <v>0</v>
      </c>
      <c r="L23" s="189">
        <f>Inputs!O432</f>
        <v>0</v>
      </c>
      <c r="M23" s="190">
        <f t="shared" si="8"/>
        <v>0</v>
      </c>
      <c r="N23" s="189">
        <f>Inputs!P432</f>
        <v>0</v>
      </c>
      <c r="O23" s="189">
        <f>Inputs!Q432</f>
        <v>0</v>
      </c>
      <c r="P23" s="189">
        <f>Inputs!R432</f>
        <v>0</v>
      </c>
      <c r="Q23" s="190">
        <f t="shared" si="9"/>
        <v>0</v>
      </c>
      <c r="R23" s="189">
        <f>Inputs!S432</f>
        <v>0</v>
      </c>
      <c r="S23" s="189">
        <f>Inputs!T432</f>
        <v>0</v>
      </c>
      <c r="T23" s="189">
        <f>Inputs!U432</f>
        <v>0</v>
      </c>
      <c r="U23" s="190">
        <f t="shared" si="10"/>
        <v>0</v>
      </c>
      <c r="V23" s="189">
        <f>Inputs!V432</f>
        <v>0</v>
      </c>
      <c r="W23" s="189">
        <f>Inputs!W432</f>
        <v>0</v>
      </c>
      <c r="X23" s="189">
        <f>Inputs!X432</f>
        <v>0</v>
      </c>
      <c r="Y23" s="190">
        <f t="shared" si="11"/>
        <v>0</v>
      </c>
    </row>
    <row r="24" spans="1:25" ht="12.75" customHeight="1" x14ac:dyDescent="0.2">
      <c r="A24" s="185" t="str">
        <f>Labels!B32</f>
        <v>Total Uses of Cash</v>
      </c>
      <c r="B24" s="203">
        <f>B19+B20+B21+B22+B23</f>
        <v>0</v>
      </c>
      <c r="C24" s="203">
        <f>C19+C20+C21+C22+C23</f>
        <v>0</v>
      </c>
      <c r="D24" s="203">
        <f>D19+D20+D21+D22+D23</f>
        <v>218225.80645161291</v>
      </c>
      <c r="E24" s="193">
        <f t="shared" si="6"/>
        <v>218225.80645161291</v>
      </c>
      <c r="F24" s="203">
        <f>F19+F20+F21+F22+F23</f>
        <v>7274.1935483870911</v>
      </c>
      <c r="G24" s="203">
        <f>G19+G20+G21+G22+G23</f>
        <v>-225500</v>
      </c>
      <c r="H24" s="203">
        <f>H19+H20+H21+H22+H23</f>
        <v>164000</v>
      </c>
      <c r="I24" s="193">
        <f t="shared" si="7"/>
        <v>-54225.806451612909</v>
      </c>
      <c r="J24" s="203">
        <f>J19+J20+J21+J22+J23</f>
        <v>-5290.3225806451519</v>
      </c>
      <c r="K24" s="203">
        <f>K19+K20+K21+K22+K23</f>
        <v>0</v>
      </c>
      <c r="L24" s="203">
        <f>L19+L20+L21+L22+L23</f>
        <v>-158709.67741935485</v>
      </c>
      <c r="M24" s="193">
        <f t="shared" si="8"/>
        <v>-164000</v>
      </c>
      <c r="N24" s="203">
        <f>N19+N20+N21+N22+N23</f>
        <v>0</v>
      </c>
      <c r="O24" s="203">
        <f>O19+O20+O21+O22+O23</f>
        <v>0</v>
      </c>
      <c r="P24" s="203">
        <f>P19+P20+P21+P22+P23</f>
        <v>0</v>
      </c>
      <c r="Q24" s="193">
        <f t="shared" si="9"/>
        <v>0</v>
      </c>
      <c r="R24" s="203">
        <f>R19+R20+R21+R22+R23</f>
        <v>0</v>
      </c>
      <c r="S24" s="203">
        <f>S19+S20+S21+S22+S23</f>
        <v>0</v>
      </c>
      <c r="T24" s="203">
        <f>T19+T20+T21+T22+T23</f>
        <v>0</v>
      </c>
      <c r="U24" s="193">
        <f t="shared" si="10"/>
        <v>0</v>
      </c>
      <c r="V24" s="203">
        <f>V19+V20+V21+V22+V23</f>
        <v>0</v>
      </c>
      <c r="W24" s="203">
        <f>W19+W20+W21+W22+W23</f>
        <v>0</v>
      </c>
      <c r="X24" s="203">
        <f>X19+X20+X21+X22+X23</f>
        <v>0</v>
      </c>
      <c r="Y24" s="193">
        <f t="shared" si="11"/>
        <v>0</v>
      </c>
    </row>
    <row r="26" spans="1:25" ht="12.75" customHeight="1" x14ac:dyDescent="0.2">
      <c r="A26" s="97" t="str">
        <f>Labels!B18</f>
        <v>Ending Cash</v>
      </c>
      <c r="B26" s="201">
        <f>'(Tables)'!C1367+Inputs!G414</f>
        <v>0</v>
      </c>
      <c r="C26" s="201">
        <f>'(Tables)'!D1367+Inputs!H414</f>
        <v>0</v>
      </c>
      <c r="D26" s="201">
        <f>'(Tables)'!E1367+Inputs!I414</f>
        <v>109112.90322580645</v>
      </c>
      <c r="E26" s="195">
        <f>D26</f>
        <v>109112.90322580645</v>
      </c>
      <c r="F26" s="201">
        <f>'(Tables)'!F1367+Inputs!J414</f>
        <v>112750</v>
      </c>
      <c r="G26" s="201">
        <f>'(Tables)'!G1367+Inputs!K414</f>
        <v>220000</v>
      </c>
      <c r="H26" s="201">
        <f>'(Tables)'!H1367+Inputs!L414</f>
        <v>136000</v>
      </c>
      <c r="I26" s="195">
        <f>H26</f>
        <v>136000</v>
      </c>
      <c r="J26" s="201">
        <f>'(Tables)'!I1367+Inputs!M414</f>
        <v>193029.42960958515</v>
      </c>
      <c r="K26" s="201">
        <f>'(Tables)'!J1367+Inputs!N414</f>
        <v>230533.54167388589</v>
      </c>
      <c r="L26" s="201">
        <f>'(Tables)'!K1367+Inputs!O414</f>
        <v>389243.21909324074</v>
      </c>
      <c r="M26" s="195">
        <f>L26</f>
        <v>389243.21909324074</v>
      </c>
      <c r="N26" s="201">
        <f>'(Tables)'!L1367+Inputs!P414</f>
        <v>389243.21909324074</v>
      </c>
      <c r="O26" s="201">
        <f>'(Tables)'!M1367+Inputs!Q414</f>
        <v>389243.21909324074</v>
      </c>
      <c r="P26" s="201">
        <f>'(Tables)'!N1367+Inputs!R414</f>
        <v>389243.21909324074</v>
      </c>
      <c r="Q26" s="195">
        <f>P26</f>
        <v>389243.21909324074</v>
      </c>
      <c r="R26" s="201">
        <f>'(Tables)'!O1367+Inputs!S414</f>
        <v>389243.21909324074</v>
      </c>
      <c r="S26" s="201">
        <f>'(Tables)'!P1367+Inputs!T414</f>
        <v>389243.21909324074</v>
      </c>
      <c r="T26" s="201">
        <f>'(Tables)'!Q1367+Inputs!U414</f>
        <v>389243.21909324074</v>
      </c>
      <c r="U26" s="195">
        <f>T26</f>
        <v>389243.21909324074</v>
      </c>
      <c r="V26" s="201">
        <f>'(Tables)'!R1367+Inputs!V414</f>
        <v>389243.21909324074</v>
      </c>
      <c r="W26" s="201">
        <f>'(Tables)'!S1367+Inputs!W414</f>
        <v>389243.21909324074</v>
      </c>
      <c r="X26" s="201">
        <f>'(Tables)'!T1367+Inputs!X414</f>
        <v>389243.21909324074</v>
      </c>
      <c r="Y26" s="195">
        <f>X26</f>
        <v>389243.21909324074</v>
      </c>
    </row>
    <row r="28" spans="1:25" ht="12.75" customHeight="1" x14ac:dyDescent="0.2">
      <c r="A28" s="182" t="str">
        <f>Labels!B19</f>
        <v>Cash Flow</v>
      </c>
      <c r="B28" s="202">
        <f>B26-B6</f>
        <v>0</v>
      </c>
      <c r="C28" s="202">
        <f>C26-C6</f>
        <v>0</v>
      </c>
      <c r="D28" s="202">
        <f>D26-D6</f>
        <v>109112.90322580645</v>
      </c>
      <c r="E28" s="184">
        <f>SUM(B28:D28)</f>
        <v>109112.90322580645</v>
      </c>
      <c r="F28" s="202">
        <f>F26-F6</f>
        <v>3637.0967741935456</v>
      </c>
      <c r="G28" s="202">
        <f>G26-G6</f>
        <v>107250</v>
      </c>
      <c r="H28" s="202">
        <f>H26-H6</f>
        <v>-84000</v>
      </c>
      <c r="I28" s="184">
        <f>SUM(F28:H28)</f>
        <v>26887.096774193546</v>
      </c>
      <c r="J28" s="202">
        <f>J26-J6</f>
        <v>57029.429609585146</v>
      </c>
      <c r="K28" s="202">
        <f>K26-K6</f>
        <v>37504.112064300745</v>
      </c>
      <c r="L28" s="202">
        <f>L26-L6</f>
        <v>158709.67741935485</v>
      </c>
      <c r="M28" s="184">
        <f>SUM(J28:L28)</f>
        <v>253243.21909324074</v>
      </c>
      <c r="N28" s="202">
        <f>N26-N6</f>
        <v>0</v>
      </c>
      <c r="O28" s="202">
        <f>O26-O6</f>
        <v>0</v>
      </c>
      <c r="P28" s="202">
        <f>P26-P6</f>
        <v>0</v>
      </c>
      <c r="Q28" s="184">
        <f>SUM(N28:P28)</f>
        <v>0</v>
      </c>
      <c r="R28" s="202">
        <f>R26-R6</f>
        <v>0</v>
      </c>
      <c r="S28" s="202">
        <f>S26-S6</f>
        <v>0</v>
      </c>
      <c r="T28" s="202">
        <f>T26-T6</f>
        <v>0</v>
      </c>
      <c r="U28" s="184">
        <f>SUM(R28:T28)</f>
        <v>0</v>
      </c>
      <c r="V28" s="202">
        <f>V26-V6</f>
        <v>0</v>
      </c>
      <c r="W28" s="202">
        <f>W26-W6</f>
        <v>0</v>
      </c>
      <c r="X28" s="202">
        <f>X26-X6</f>
        <v>0</v>
      </c>
      <c r="Y28" s="184">
        <f>SUM(V28:X28)</f>
        <v>0</v>
      </c>
    </row>
    <row r="29" spans="1:25" ht="12.75" customHeight="1" x14ac:dyDescent="0.2">
      <c r="A29" s="185" t="str">
        <f>Labels!B25</f>
        <v>Operating Cash Flow</v>
      </c>
      <c r="B29" s="203">
        <f>B28+B23+'(Compute)'!B728-Inputs!G430-B11-B13-0</f>
        <v>0</v>
      </c>
      <c r="C29" s="203">
        <f>C28+C23+'(Compute)'!C728-Inputs!H430-C11-C13-0</f>
        <v>0</v>
      </c>
      <c r="D29" s="203">
        <f>D28+D23+'(Compute)'!D728-Inputs!I430-D11-D13-0</f>
        <v>-108225.80645161291</v>
      </c>
      <c r="E29" s="193">
        <f>SUM(B29:D29)</f>
        <v>-108225.80645161291</v>
      </c>
      <c r="F29" s="203">
        <f>F28+F23+'(Compute)'!E728-Inputs!J430-F11-F13-0</f>
        <v>102725.80645161291</v>
      </c>
      <c r="G29" s="203">
        <f>G28+G23+'(Compute)'!F728-Inputs!K430-G11-G13-0</f>
        <v>225500</v>
      </c>
      <c r="H29" s="203">
        <f>H28+H23+'(Compute)'!G728-Inputs!L430-H11-H13-0</f>
        <v>-84000</v>
      </c>
      <c r="I29" s="193">
        <f>SUM(F29:H29)</f>
        <v>244225.80645161291</v>
      </c>
      <c r="J29" s="203">
        <f>J28+J23+'(Compute)'!H728-Inputs!M430-J11-J13-0</f>
        <v>57029.429609585146</v>
      </c>
      <c r="K29" s="203">
        <f>K28+K23+'(Compute)'!I728-Inputs!N430-K11-K13-0</f>
        <v>37504.112064300745</v>
      </c>
      <c r="L29" s="203">
        <f>L28+L23+'(Compute)'!J728-Inputs!O430-L11-L13-0</f>
        <v>158709.67741935485</v>
      </c>
      <c r="M29" s="193">
        <f>SUM(J29:L29)</f>
        <v>253243.21909324074</v>
      </c>
      <c r="N29" s="203">
        <f>N28+N23+'(Compute)'!K728-Inputs!P430-N11-N13-0</f>
        <v>0</v>
      </c>
      <c r="O29" s="203">
        <f>O28+O23+'(Compute)'!L728-Inputs!Q430-O11-O13-0</f>
        <v>0</v>
      </c>
      <c r="P29" s="203">
        <f>P28+P23+'(Compute)'!M728-Inputs!R430-P11-P13-0</f>
        <v>0</v>
      </c>
      <c r="Q29" s="193">
        <f>SUM(N29:P29)</f>
        <v>0</v>
      </c>
      <c r="R29" s="203">
        <f>R28+R23+'(Compute)'!N728-Inputs!S430-R11-R13-0</f>
        <v>0</v>
      </c>
      <c r="S29" s="203">
        <f>S28+S23+'(Compute)'!O728-Inputs!T430-S11-S13-0</f>
        <v>0</v>
      </c>
      <c r="T29" s="203">
        <f>T28+T23+'(Compute)'!P728-Inputs!U430-T11-T13-0</f>
        <v>0</v>
      </c>
      <c r="U29" s="193">
        <f>SUM(R29:T29)</f>
        <v>0</v>
      </c>
      <c r="V29" s="203">
        <f>V28+V23+'(Compute)'!Q728-Inputs!V430-V11-V13-0</f>
        <v>0</v>
      </c>
      <c r="W29" s="203">
        <f>W28+W23+'(Compute)'!R728-Inputs!W430-W11-W13-0</f>
        <v>0</v>
      </c>
      <c r="X29" s="203">
        <f>X28+X23+'(Compute)'!S728-Inputs!X430-X11-X13-0</f>
        <v>0</v>
      </c>
      <c r="Y29" s="193">
        <f>SUM(V29:X29)</f>
        <v>0</v>
      </c>
    </row>
    <row r="31" spans="1:25" ht="12.75" customHeight="1" collapsed="1" x14ac:dyDescent="0.2">
      <c r="A31" s="1" t="str">
        <f>" "</f>
        <v xml:space="preserve"> </v>
      </c>
    </row>
    <row r="32" spans="1:25" ht="12.75" hidden="1" customHeight="1" outlineLevel="1" x14ac:dyDescent="0.2">
      <c r="B32" s="9" t="str">
        <f>'(FnCalls 1)'!F41</f>
        <v>MMM 2010</v>
      </c>
      <c r="C32" s="10" t="str">
        <f>'(FnCalls 1)'!F42</f>
        <v>MMM 2010</v>
      </c>
      <c r="D32" s="10" t="str">
        <f>'(FnCalls 1)'!F43</f>
        <v>MMM 2010</v>
      </c>
      <c r="E32" s="181" t="str">
        <f>'(FnCalls 1)'!G41</f>
        <v>Q1 2010</v>
      </c>
      <c r="F32" s="10" t="str">
        <f>'(FnCalls 1)'!F44</f>
        <v>MMM 2010</v>
      </c>
      <c r="G32" s="10" t="str">
        <f>'(FnCalls 1)'!F45</f>
        <v>MMM 2010</v>
      </c>
      <c r="H32" s="10" t="str">
        <f>'(FnCalls 1)'!F46</f>
        <v>MMM 2010</v>
      </c>
      <c r="I32" s="181" t="str">
        <f>'(FnCalls 1)'!G44</f>
        <v>Q2 2010</v>
      </c>
      <c r="J32" s="10" t="str">
        <f>'(FnCalls 1)'!F47</f>
        <v>MMM 2010</v>
      </c>
      <c r="K32" s="10" t="str">
        <f>'(FnCalls 1)'!F48</f>
        <v>MMM 2010</v>
      </c>
      <c r="L32" s="10" t="str">
        <f>'(FnCalls 1)'!F49</f>
        <v>MMM 2010</v>
      </c>
      <c r="M32" s="181" t="str">
        <f>'(FnCalls 1)'!G47</f>
        <v>Q3 2010</v>
      </c>
      <c r="N32" s="10" t="str">
        <f>'(FnCalls 1)'!F50</f>
        <v>MMM 2010</v>
      </c>
      <c r="O32" s="10" t="str">
        <f>'(FnCalls 1)'!F51</f>
        <v>MMM 2010</v>
      </c>
      <c r="P32" s="10" t="str">
        <f>'(FnCalls 1)'!F52</f>
        <v>MMM 2010</v>
      </c>
      <c r="Q32" s="181" t="str">
        <f>'(FnCalls 1)'!G50</f>
        <v>Q4 2010</v>
      </c>
      <c r="R32" s="10" t="str">
        <f>'(FnCalls 1)'!F53</f>
        <v>MMM 2011</v>
      </c>
      <c r="S32" s="10" t="str">
        <f>'(FnCalls 1)'!F54</f>
        <v>MMM 2011</v>
      </c>
      <c r="T32" s="10" t="str">
        <f>'(FnCalls 1)'!F55</f>
        <v>MMM 2011</v>
      </c>
      <c r="U32" s="181" t="str">
        <f>'(FnCalls 1)'!G53</f>
        <v>Q1 2011</v>
      </c>
      <c r="V32" s="10" t="str">
        <f>'(FnCalls 1)'!F56</f>
        <v>MMM 2011</v>
      </c>
      <c r="W32" s="10" t="str">
        <f>'(FnCalls 1)'!F57</f>
        <v>MMM 2011</v>
      </c>
      <c r="X32" s="10" t="str">
        <f>'(FnCalls 1)'!F58</f>
        <v>MMM 2011</v>
      </c>
      <c r="Y32" s="181" t="str">
        <f>'(FnCalls 1)'!G56</f>
        <v>Q2 2011</v>
      </c>
    </row>
    <row r="33" spans="1:25" ht="12.75" hidden="1" customHeight="1" outlineLevel="1" x14ac:dyDescent="0.2">
      <c r="A33" s="97" t="str">
        <f>Labels!B20</f>
        <v>Cash Flow Check</v>
      </c>
      <c r="B33" s="206">
        <f>B6+B16-B24-B26</f>
        <v>0</v>
      </c>
      <c r="C33" s="206">
        <f>C6+C16-C24-C26</f>
        <v>0</v>
      </c>
      <c r="D33" s="206">
        <f>D6+D16-D24-D26</f>
        <v>0</v>
      </c>
      <c r="E33" s="200">
        <f>SUM(B33:D33)</f>
        <v>0</v>
      </c>
      <c r="F33" s="206">
        <f>F6+F16-F24-F26</f>
        <v>0</v>
      </c>
      <c r="G33" s="206">
        <f>G6+G16-G24-G26</f>
        <v>0</v>
      </c>
      <c r="H33" s="206">
        <f>H6+H16-H24-H26</f>
        <v>0</v>
      </c>
      <c r="I33" s="200">
        <f>SUM(F33:H33)</f>
        <v>0</v>
      </c>
      <c r="J33" s="206">
        <f>J6+J16-J24-J26</f>
        <v>0</v>
      </c>
      <c r="K33" s="206">
        <f>K6+K16-K24-K26</f>
        <v>0</v>
      </c>
      <c r="L33" s="206">
        <f>L6+L16-L24-L26</f>
        <v>0</v>
      </c>
      <c r="M33" s="200">
        <f>SUM(J33:L33)</f>
        <v>0</v>
      </c>
      <c r="N33" s="206">
        <f>N6+N16-N24-N26</f>
        <v>0</v>
      </c>
      <c r="O33" s="206">
        <f>O6+O16-O24-O26</f>
        <v>0</v>
      </c>
      <c r="P33" s="206">
        <f>P6+P16-P24-P26</f>
        <v>0</v>
      </c>
      <c r="Q33" s="200">
        <f>SUM(N33:P33)</f>
        <v>0</v>
      </c>
      <c r="R33" s="206">
        <f>R6+R16-R24-R26</f>
        <v>0</v>
      </c>
      <c r="S33" s="206">
        <f>S6+S16-S24-S26</f>
        <v>0</v>
      </c>
      <c r="T33" s="206">
        <f>T6+T16-T24-T26</f>
        <v>0</v>
      </c>
      <c r="U33" s="200">
        <f>SUM(R33:T33)</f>
        <v>0</v>
      </c>
      <c r="V33" s="206">
        <f>V6+V16-V24-V26</f>
        <v>0</v>
      </c>
      <c r="W33" s="206">
        <f>W6+W16-W24-W26</f>
        <v>0</v>
      </c>
      <c r="X33" s="206">
        <f>X6+X16-X24-X26</f>
        <v>0</v>
      </c>
      <c r="Y33" s="200">
        <f>SUM(V33:X33)</f>
        <v>0</v>
      </c>
    </row>
    <row r="34" spans="1:25" ht="12.75" hidden="1" customHeight="1" outlineLevel="1" collapsed="1" x14ac:dyDescent="0.2"/>
    <row r="35" spans="1:25" ht="12.75" customHeight="1" collapsed="1" x14ac:dyDescent="0.2">
      <c r="A35" t="s">
        <v>3402</v>
      </c>
      <c r="B35" t="s">
        <v>3402</v>
      </c>
      <c r="C35" t="s">
        <v>3402</v>
      </c>
      <c r="D35" t="s">
        <v>3402</v>
      </c>
      <c r="E35" t="s">
        <v>3402</v>
      </c>
      <c r="F35" t="s">
        <v>3402</v>
      </c>
      <c r="G35" t="s">
        <v>3402</v>
      </c>
      <c r="H35" t="s">
        <v>3402</v>
      </c>
      <c r="I35" t="s">
        <v>3402</v>
      </c>
      <c r="J35" t="s">
        <v>3402</v>
      </c>
      <c r="K35" t="s">
        <v>3402</v>
      </c>
      <c r="L35" t="s">
        <v>3402</v>
      </c>
      <c r="M35" t="s">
        <v>3402</v>
      </c>
      <c r="N35" t="s">
        <v>3402</v>
      </c>
      <c r="O35" t="s">
        <v>3402</v>
      </c>
      <c r="P35" t="s">
        <v>3402</v>
      </c>
      <c r="Q35" t="s">
        <v>3402</v>
      </c>
      <c r="R35" t="s">
        <v>3402</v>
      </c>
      <c r="S35" t="s">
        <v>3402</v>
      </c>
      <c r="T35" t="s">
        <v>3402</v>
      </c>
      <c r="U35" t="s">
        <v>3402</v>
      </c>
      <c r="V35" t="s">
        <v>3402</v>
      </c>
      <c r="W35" t="s">
        <v>3402</v>
      </c>
      <c r="X35" t="s">
        <v>3402</v>
      </c>
      <c r="Y35" t="s">
        <v>3402</v>
      </c>
    </row>
  </sheetData>
  <mergeCells count="4">
    <mergeCell ref="A1:C1"/>
    <mergeCell ref="A2:C2"/>
    <mergeCell ref="A3:C3"/>
    <mergeCell ref="A4:C4"/>
  </mergeCells>
  <pageMargins left="0.25" right="0.25" top="0.5" bottom="0.5" header="0.5" footer="0.5"/>
  <pageSetup paperSize="9" fitToHeight="32767" orientation="landscape" horizontalDpi="300" verticalDpi="300"/>
  <headerFooter alignWithMargins="0"/>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pageSetUpPr fitToPage="1"/>
  </sheetPr>
  <dimension ref="A1:Y38"/>
  <sheetViews>
    <sheetView zoomScaleNormal="100" workbookViewId="0">
      <selection sqref="A1:C1"/>
    </sheetView>
  </sheetViews>
  <sheetFormatPr defaultRowHeight="12.75" customHeight="1" x14ac:dyDescent="0.2"/>
  <cols>
    <col min="1" max="1" width="17.42578125" customWidth="1"/>
    <col min="2" max="25" width="12.42578125" customWidth="1"/>
  </cols>
  <sheetData>
    <row r="1" spans="1:25" ht="12.75" customHeight="1" x14ac:dyDescent="0.2">
      <c r="A1" s="463" t="str">
        <f>Inputs!F7</f>
        <v xml:space="preserve"> </v>
      </c>
      <c r="B1" s="463"/>
      <c r="C1" s="463"/>
    </row>
    <row r="2" spans="1:25" ht="12.75" customHeight="1" x14ac:dyDescent="0.2">
      <c r="A2" s="463" t="e">
        <f>TEXT('(FnCalls 1)'!A41,"m/d/yyyy")&amp;" to "&amp;TEXT('(FnCalls 1)'!A59-1,"m/d/yyyy")</f>
        <v>#VALUE!</v>
      </c>
      <c r="B2" s="463"/>
      <c r="C2" s="463"/>
    </row>
    <row r="3" spans="1:25" ht="12.75" customHeight="1" x14ac:dyDescent="0.2">
      <c r="A3" s="463" t="str">
        <f>"Ratio Report"</f>
        <v>Ratio Report</v>
      </c>
      <c r="B3" s="463"/>
      <c r="C3" s="463"/>
    </row>
    <row r="4" spans="1:25" ht="12.75" customHeight="1" x14ac:dyDescent="0.2">
      <c r="A4" s="463" t="str">
        <f>""</f>
        <v/>
      </c>
      <c r="B4" s="463"/>
      <c r="C4" s="463"/>
    </row>
    <row r="5" spans="1:25" ht="12.75" customHeight="1" x14ac:dyDescent="0.2">
      <c r="A5" s="2" t="str">
        <f>"Margin Ratios"</f>
        <v>Margin Ratios</v>
      </c>
    </row>
    <row r="6" spans="1:25" ht="12.75" customHeight="1" x14ac:dyDescent="0.2">
      <c r="B6" s="9" t="str">
        <f>'(FnCalls 1)'!F41</f>
        <v>MMM 2010</v>
      </c>
      <c r="C6" s="10" t="str">
        <f>'(FnCalls 1)'!F42</f>
        <v>MMM 2010</v>
      </c>
      <c r="D6" s="10" t="str">
        <f>'(FnCalls 1)'!F43</f>
        <v>MMM 2010</v>
      </c>
      <c r="E6" s="181" t="str">
        <f>'(FnCalls 1)'!G41</f>
        <v>Q1 2010</v>
      </c>
      <c r="F6" s="10" t="str">
        <f>'(FnCalls 1)'!F44</f>
        <v>MMM 2010</v>
      </c>
      <c r="G6" s="10" t="str">
        <f>'(FnCalls 1)'!F45</f>
        <v>MMM 2010</v>
      </c>
      <c r="H6" s="10" t="str">
        <f>'(FnCalls 1)'!F46</f>
        <v>MMM 2010</v>
      </c>
      <c r="I6" s="181" t="str">
        <f>'(FnCalls 1)'!G44</f>
        <v>Q2 2010</v>
      </c>
      <c r="J6" s="10" t="str">
        <f>'(FnCalls 1)'!F47</f>
        <v>MMM 2010</v>
      </c>
      <c r="K6" s="10" t="str">
        <f>'(FnCalls 1)'!F48</f>
        <v>MMM 2010</v>
      </c>
      <c r="L6" s="10" t="str">
        <f>'(FnCalls 1)'!F49</f>
        <v>MMM 2010</v>
      </c>
      <c r="M6" s="181" t="str">
        <f>'(FnCalls 1)'!G47</f>
        <v>Q3 2010</v>
      </c>
      <c r="N6" s="10" t="str">
        <f>'(FnCalls 1)'!F50</f>
        <v>MMM 2010</v>
      </c>
      <c r="O6" s="10" t="str">
        <f>'(FnCalls 1)'!F51</f>
        <v>MMM 2010</v>
      </c>
      <c r="P6" s="10" t="str">
        <f>'(FnCalls 1)'!F52</f>
        <v>MMM 2010</v>
      </c>
      <c r="Q6" s="181" t="str">
        <f>'(FnCalls 1)'!G50</f>
        <v>Q4 2010</v>
      </c>
      <c r="R6" s="10" t="str">
        <f>'(FnCalls 1)'!F53</f>
        <v>MMM 2011</v>
      </c>
      <c r="S6" s="10" t="str">
        <f>'(FnCalls 1)'!F54</f>
        <v>MMM 2011</v>
      </c>
      <c r="T6" s="10" t="str">
        <f>'(FnCalls 1)'!F55</f>
        <v>MMM 2011</v>
      </c>
      <c r="U6" s="181" t="str">
        <f>'(FnCalls 1)'!G53</f>
        <v>Q1 2011</v>
      </c>
      <c r="V6" s="10" t="str">
        <f>'(FnCalls 1)'!F56</f>
        <v>MMM 2011</v>
      </c>
      <c r="W6" s="10" t="str">
        <f>'(FnCalls 1)'!F57</f>
        <v>MMM 2011</v>
      </c>
      <c r="X6" s="10" t="str">
        <f>'(FnCalls 1)'!F58</f>
        <v>MMM 2011</v>
      </c>
      <c r="Y6" s="181" t="str">
        <f>'(FnCalls 1)'!G56</f>
        <v>Q2 2011</v>
      </c>
    </row>
    <row r="7" spans="1:25" ht="12.75" customHeight="1" x14ac:dyDescent="0.2">
      <c r="A7" s="182" t="str">
        <f>Labels!B100</f>
        <v>Gross Margin %</v>
      </c>
      <c r="B7" s="207"/>
      <c r="C7" s="207"/>
      <c r="D7" s="207"/>
      <c r="E7" s="208"/>
      <c r="F7" s="207"/>
      <c r="G7" s="207"/>
      <c r="H7" s="207"/>
      <c r="I7" s="208"/>
      <c r="J7" s="207"/>
      <c r="K7" s="207"/>
      <c r="L7" s="207"/>
      <c r="M7" s="208"/>
      <c r="N7" s="207"/>
      <c r="O7" s="207"/>
      <c r="P7" s="207"/>
      <c r="Q7" s="208"/>
      <c r="R7" s="207"/>
      <c r="S7" s="207"/>
      <c r="T7" s="207"/>
      <c r="U7" s="208"/>
      <c r="V7" s="207"/>
      <c r="W7" s="207"/>
      <c r="X7" s="207"/>
      <c r="Y7" s="208"/>
    </row>
    <row r="8" spans="1:25" ht="12.75" customHeight="1" x14ac:dyDescent="0.2">
      <c r="A8" s="188" t="str">
        <f>"   "&amp;Labels!B381</f>
        <v xml:space="preserve">   Practice 1</v>
      </c>
      <c r="B8" s="209">
        <f>IF(Practices!B9=0,0,Practices!B19/Practices!B9)</f>
        <v>0</v>
      </c>
      <c r="C8" s="209">
        <f>IF(Practices!C9=0,0,Practices!C19/Practices!C9)</f>
        <v>0</v>
      </c>
      <c r="D8" s="209">
        <f>IF(Practices!D9=0,0,Practices!D19/Practices!D9)</f>
        <v>0.97560975609756095</v>
      </c>
      <c r="E8" s="210">
        <f>IF(SUM(Practices!B9:D9)=0,0,SUM(Practices!B19:D19)/SUM(Practices!B9:D9))</f>
        <v>0.97560975609756095</v>
      </c>
      <c r="F8" s="209">
        <f>IF(Practices!F9=0,0,Practices!F19/Practices!F9)</f>
        <v>0.97560975609756095</v>
      </c>
      <c r="G8" s="209">
        <f>IF(Practices!G9=0,0,Practices!G19/Practices!G9)</f>
        <v>0</v>
      </c>
      <c r="H8" s="209">
        <f>IF(Practices!H9=0,0,Practices!H19/Practices!H9)</f>
        <v>0.97560975609756095</v>
      </c>
      <c r="I8" s="210">
        <f>IF(SUM(Practices!F9:H9)=0,0,SUM(Practices!F19:H19)/SUM(Practices!F9:H9))</f>
        <v>0.97560975609756095</v>
      </c>
      <c r="J8" s="209">
        <f>IF(Practices!J9=0,0,Practices!J19/Practices!J9)</f>
        <v>0.63096471986512193</v>
      </c>
      <c r="K8" s="209">
        <f>IF(Practices!K9=0,0,Practices!K19/Practices!K9)</f>
        <v>0.45736722029635057</v>
      </c>
      <c r="L8" s="209">
        <f>IF(Practices!L9=0,0,Practices!L19/Practices!L9)</f>
        <v>0</v>
      </c>
      <c r="M8" s="210">
        <f>IF(SUM(Practices!J9:L9)=0,0,SUM(Practices!J19:L19)/SUM(Practices!J9:L9))</f>
        <v>0.54416597008073619</v>
      </c>
      <c r="N8" s="209">
        <f>IF(Practices!N9=0,0,Practices!N19/Practices!N9)</f>
        <v>0</v>
      </c>
      <c r="O8" s="209">
        <f>IF(Practices!O9=0,0,Practices!O19/Practices!O9)</f>
        <v>0</v>
      </c>
      <c r="P8" s="209">
        <f>IF(Practices!P9=0,0,Practices!P19/Practices!P9)</f>
        <v>0</v>
      </c>
      <c r="Q8" s="210">
        <f>IF(SUM(Practices!N9:P9)=0,0,SUM(Practices!N19:P19)/SUM(Practices!N9:P9))</f>
        <v>0</v>
      </c>
      <c r="R8" s="209">
        <f>IF(Practices!R9=0,0,Practices!R19/Practices!R9)</f>
        <v>0</v>
      </c>
      <c r="S8" s="209">
        <f>IF(Practices!S9=0,0,Practices!S19/Practices!S9)</f>
        <v>0</v>
      </c>
      <c r="T8" s="209">
        <f>IF(Practices!T9=0,0,Practices!T19/Practices!T9)</f>
        <v>0</v>
      </c>
      <c r="U8" s="210">
        <f>IF(SUM(Practices!R9:T9)=0,0,SUM(Practices!R19:T19)/SUM(Practices!R9:T9))</f>
        <v>0</v>
      </c>
      <c r="V8" s="209">
        <f>IF(Practices!V9=0,0,Practices!V19/Practices!V9)</f>
        <v>0</v>
      </c>
      <c r="W8" s="209">
        <f>IF(Practices!W9=0,0,Practices!W19/Practices!W9)</f>
        <v>0</v>
      </c>
      <c r="X8" s="209">
        <f>IF(Practices!X9=0,0,Practices!X19/Practices!X9)</f>
        <v>0</v>
      </c>
      <c r="Y8" s="210">
        <f>IF(SUM(Practices!V9:X9)=0,0,SUM(Practices!V19:X19)/SUM(Practices!V9:X9))</f>
        <v>0</v>
      </c>
    </row>
    <row r="9" spans="1:25" ht="12.75" customHeight="1" x14ac:dyDescent="0.2">
      <c r="A9" s="188" t="str">
        <f>"   "&amp;Labels!B382</f>
        <v xml:space="preserve">   Practice 2</v>
      </c>
      <c r="B9" s="209">
        <f>IF(Practices!B10=0,0,Practices!B22/Practices!B10)</f>
        <v>0</v>
      </c>
      <c r="C9" s="209">
        <f>IF(Practices!C10=0,0,Practices!C22/Practices!C10)</f>
        <v>0</v>
      </c>
      <c r="D9" s="209">
        <f>IF(Practices!D10=0,0,Practices!D22/Practices!D10)</f>
        <v>0</v>
      </c>
      <c r="E9" s="210">
        <f>IF(SUM(Practices!B10:D10)=0,0,SUM(Practices!B22:D22)/SUM(Practices!B10:D10))</f>
        <v>0</v>
      </c>
      <c r="F9" s="209">
        <f>IF(Practices!F10=0,0,Practices!F22/Practices!F10)</f>
        <v>0</v>
      </c>
      <c r="G9" s="209">
        <f>IF(Practices!G10=0,0,Practices!G22/Practices!G10)</f>
        <v>0</v>
      </c>
      <c r="H9" s="209">
        <f>IF(Practices!H10=0,0,Practices!H22/Practices!H10)</f>
        <v>0</v>
      </c>
      <c r="I9" s="210">
        <f>IF(SUM(Practices!F10:H10)=0,0,SUM(Practices!F22:H22)/SUM(Practices!F10:H10))</f>
        <v>0</v>
      </c>
      <c r="J9" s="209">
        <f>IF(Practices!J10=0,0,Practices!J22/Practices!J10)</f>
        <v>0</v>
      </c>
      <c r="K9" s="209">
        <f>IF(Practices!K10=0,0,Practices!K22/Practices!K10)</f>
        <v>0</v>
      </c>
      <c r="L9" s="209">
        <f>IF(Practices!L10=0,0,Practices!L22/Practices!L10)</f>
        <v>0</v>
      </c>
      <c r="M9" s="210">
        <f>IF(SUM(Practices!J10:L10)=0,0,SUM(Practices!J22:L22)/SUM(Practices!J10:L10))</f>
        <v>0</v>
      </c>
      <c r="N9" s="209">
        <f>IF(Practices!N10=0,0,Practices!N22/Practices!N10)</f>
        <v>0</v>
      </c>
      <c r="O9" s="209">
        <f>IF(Practices!O10=0,0,Practices!O22/Practices!O10)</f>
        <v>0</v>
      </c>
      <c r="P9" s="209">
        <f>IF(Practices!P10=0,0,Practices!P22/Practices!P10)</f>
        <v>0</v>
      </c>
      <c r="Q9" s="210">
        <f>IF(SUM(Practices!N10:P10)=0,0,SUM(Practices!N22:P22)/SUM(Practices!N10:P10))</f>
        <v>0</v>
      </c>
      <c r="R9" s="209">
        <f>IF(Practices!R10=0,0,Practices!R22/Practices!R10)</f>
        <v>0</v>
      </c>
      <c r="S9" s="209">
        <f>IF(Practices!S10=0,0,Practices!S22/Practices!S10)</f>
        <v>0</v>
      </c>
      <c r="T9" s="209">
        <f>IF(Practices!T10=0,0,Practices!T22/Practices!T10)</f>
        <v>0</v>
      </c>
      <c r="U9" s="210">
        <f>IF(SUM(Practices!R10:T10)=0,0,SUM(Practices!R22:T22)/SUM(Practices!R10:T10))</f>
        <v>0</v>
      </c>
      <c r="V9" s="209">
        <f>IF(Practices!V10=0,0,Practices!V22/Practices!V10)</f>
        <v>0</v>
      </c>
      <c r="W9" s="209">
        <f>IF(Practices!W10=0,0,Practices!W22/Practices!W10)</f>
        <v>0</v>
      </c>
      <c r="X9" s="209">
        <f>IF(Practices!X10=0,0,Practices!X22/Practices!X10)</f>
        <v>0</v>
      </c>
      <c r="Y9" s="210">
        <f>IF(SUM(Practices!V10:X10)=0,0,SUM(Practices!V22:X22)/SUM(Practices!V10:X10))</f>
        <v>0</v>
      </c>
    </row>
    <row r="10" spans="1:25" ht="12.75" customHeight="1" x14ac:dyDescent="0.2">
      <c r="A10" s="191" t="str">
        <f>"   "&amp;Labels!C380</f>
        <v xml:space="preserve">   Total</v>
      </c>
      <c r="B10" s="211">
        <f>IF(IncStmt!B6=0,0,IncStmt!B16/IncStmt!B6)</f>
        <v>0</v>
      </c>
      <c r="C10" s="211">
        <f>IF(IncStmt!C6=0,0,IncStmt!C16/IncStmt!C6)</f>
        <v>0</v>
      </c>
      <c r="D10" s="211">
        <f>IF(IncStmt!D6=0,0,IncStmt!D16/IncStmt!D6)</f>
        <v>0.97560975609756095</v>
      </c>
      <c r="E10" s="210">
        <f>IF(SUM(IncStmt!B6:D6)=0,0,SUM(IncStmt!B16:D16)/SUM(IncStmt!B6:D6))</f>
        <v>0.97560975609756095</v>
      </c>
      <c r="F10" s="211">
        <f>IF(IncStmt!F6=0,0,IncStmt!F16/IncStmt!F6)</f>
        <v>0.97560975609756095</v>
      </c>
      <c r="G10" s="211">
        <f>IF(IncStmt!G6=0,0,IncStmt!G16/IncStmt!G6)</f>
        <v>0</v>
      </c>
      <c r="H10" s="211">
        <f>IF(IncStmt!H6=0,0,IncStmt!H16/IncStmt!H6)</f>
        <v>0.97560975609756095</v>
      </c>
      <c r="I10" s="210">
        <f>IF(SUM(IncStmt!F6:H6)=0,0,SUM(IncStmt!F16:H16)/SUM(IncStmt!F6:H6))</f>
        <v>0.97560975609756095</v>
      </c>
      <c r="J10" s="211">
        <f>IF(IncStmt!J6=0,0,IncStmt!J16/IncStmt!J6)</f>
        <v>0.63096471986512193</v>
      </c>
      <c r="K10" s="211">
        <f>IF(IncStmt!K6=0,0,IncStmt!K16/IncStmt!K6)</f>
        <v>0.45736722029635057</v>
      </c>
      <c r="L10" s="211">
        <f>IF(IncStmt!L6=0,0,IncStmt!L16/IncStmt!L6)</f>
        <v>0</v>
      </c>
      <c r="M10" s="210">
        <f>IF(SUM(IncStmt!J6:L6)=0,0,SUM(IncStmt!J16:L16)/SUM(IncStmt!J6:L6))</f>
        <v>0.54416597008073619</v>
      </c>
      <c r="N10" s="211">
        <f>IF(IncStmt!N6=0,0,IncStmt!N16/IncStmt!N6)</f>
        <v>0</v>
      </c>
      <c r="O10" s="211">
        <f>IF(IncStmt!O6=0,0,IncStmt!O16/IncStmt!O6)</f>
        <v>0</v>
      </c>
      <c r="P10" s="211">
        <f>IF(IncStmt!P6=0,0,IncStmt!P16/IncStmt!P6)</f>
        <v>0</v>
      </c>
      <c r="Q10" s="210">
        <f>IF(SUM(IncStmt!N6:P6)=0,0,SUM(IncStmt!N16:P16)/SUM(IncStmt!N6:P6))</f>
        <v>0</v>
      </c>
      <c r="R10" s="211">
        <f>IF(IncStmt!R6=0,0,IncStmt!R16/IncStmt!R6)</f>
        <v>0</v>
      </c>
      <c r="S10" s="211">
        <f>IF(IncStmt!S6=0,0,IncStmt!S16/IncStmt!S6)</f>
        <v>0</v>
      </c>
      <c r="T10" s="211">
        <f>IF(IncStmt!T6=0,0,IncStmt!T16/IncStmt!T6)</f>
        <v>0</v>
      </c>
      <c r="U10" s="210">
        <f>IF(SUM(IncStmt!R6:T6)=0,0,SUM(IncStmt!R16:T16)/SUM(IncStmt!R6:T6))</f>
        <v>0</v>
      </c>
      <c r="V10" s="211">
        <f>IF(IncStmt!V6=0,0,IncStmt!V16/IncStmt!V6)</f>
        <v>0</v>
      </c>
      <c r="W10" s="211">
        <f>IF(IncStmt!W6=0,0,IncStmt!W16/IncStmt!W6)</f>
        <v>0</v>
      </c>
      <c r="X10" s="211">
        <f>IF(IncStmt!X6=0,0,IncStmt!X16/IncStmt!X6)</f>
        <v>0</v>
      </c>
      <c r="Y10" s="210">
        <f>IF(SUM(IncStmt!V6:X6)=0,0,SUM(IncStmt!V16:X16)/SUM(IncStmt!V6:X6))</f>
        <v>0</v>
      </c>
    </row>
    <row r="11" spans="1:25" ht="12.75" customHeight="1" x14ac:dyDescent="0.2">
      <c r="A11" s="191" t="str">
        <f>Labels!B137</f>
        <v>Operating Margin %</v>
      </c>
      <c r="B11" s="211">
        <f>IncStmt!B21</f>
        <v>0</v>
      </c>
      <c r="C11" s="211">
        <f>IncStmt!C21</f>
        <v>0</v>
      </c>
      <c r="D11" s="211">
        <f>IncStmt!D21</f>
        <v>0.97560975609756095</v>
      </c>
      <c r="E11" s="210">
        <f>IF(SUM(IncStmt!B6:D6)=0,0,SUM(IncStmt!B20:D20)/SUM(IncStmt!B6:D6))</f>
        <v>0.97560975609756095</v>
      </c>
      <c r="F11" s="211">
        <f>IncStmt!F21</f>
        <v>0.97560975609756095</v>
      </c>
      <c r="G11" s="211">
        <f>IncStmt!G21</f>
        <v>0</v>
      </c>
      <c r="H11" s="211">
        <f>IncStmt!H21</f>
        <v>0.97560975609756095</v>
      </c>
      <c r="I11" s="210">
        <f>IF(SUM(IncStmt!F6:H6)=0,0,SUM(IncStmt!F20:H20)/SUM(IncStmt!F6:H6))</f>
        <v>0.97560975609756095</v>
      </c>
      <c r="J11" s="211">
        <f>IncStmt!J21</f>
        <v>0.63096471986512193</v>
      </c>
      <c r="K11" s="211">
        <f>IncStmt!K21</f>
        <v>0.45736722029635057</v>
      </c>
      <c r="L11" s="211">
        <f>IncStmt!L21</f>
        <v>0</v>
      </c>
      <c r="M11" s="210">
        <f>IF(SUM(IncStmt!J6:L6)=0,0,SUM(IncStmt!J20:L20)/SUM(IncStmt!J6:L6))</f>
        <v>0.54416597008073619</v>
      </c>
      <c r="N11" s="211">
        <f>IncStmt!N21</f>
        <v>0</v>
      </c>
      <c r="O11" s="211">
        <f>IncStmt!O21</f>
        <v>0</v>
      </c>
      <c r="P11" s="211">
        <f>IncStmt!P21</f>
        <v>0</v>
      </c>
      <c r="Q11" s="210">
        <f>IF(SUM(IncStmt!N6:P6)=0,0,SUM(IncStmt!N20:P20)/SUM(IncStmt!N6:P6))</f>
        <v>0</v>
      </c>
      <c r="R11" s="211">
        <f>IncStmt!R21</f>
        <v>0</v>
      </c>
      <c r="S11" s="211">
        <f>IncStmt!S21</f>
        <v>0</v>
      </c>
      <c r="T11" s="211">
        <f>IncStmt!T21</f>
        <v>0</v>
      </c>
      <c r="U11" s="210">
        <f>IF(SUM(IncStmt!R6:T6)=0,0,SUM(IncStmt!R20:T20)/SUM(IncStmt!R6:T6))</f>
        <v>0</v>
      </c>
      <c r="V11" s="211">
        <f>IncStmt!V21</f>
        <v>0</v>
      </c>
      <c r="W11" s="211">
        <f>IncStmt!W21</f>
        <v>0</v>
      </c>
      <c r="X11" s="211">
        <f>IncStmt!X21</f>
        <v>0</v>
      </c>
      <c r="Y11" s="210">
        <f>IF(SUM(IncStmt!V6:X6)=0,0,SUM(IncStmt!V20:X20)/SUM(IncStmt!V6:X6))</f>
        <v>0</v>
      </c>
    </row>
    <row r="12" spans="1:25" ht="12.75" customHeight="1" x14ac:dyDescent="0.2">
      <c r="A12" s="185" t="str">
        <f>Labels!B225</f>
        <v>Return on Sales %</v>
      </c>
      <c r="B12" s="186">
        <f>IncStmt!B27</f>
        <v>0</v>
      </c>
      <c r="C12" s="186">
        <f>IncStmt!C27</f>
        <v>0</v>
      </c>
      <c r="D12" s="186">
        <f>IncStmt!D27</f>
        <v>0.97560975609756095</v>
      </c>
      <c r="E12" s="187">
        <f>IF(SUM(IncStmt!B6:D6)=0,0,SUM(IncStmt!B26:D26)/SUM(IncStmt!B6:D6))</f>
        <v>0.97560975609756095</v>
      </c>
      <c r="F12" s="186">
        <f>IncStmt!F27</f>
        <v>0.97560975609756095</v>
      </c>
      <c r="G12" s="186">
        <f>IncStmt!G27</f>
        <v>0</v>
      </c>
      <c r="H12" s="186">
        <f>IncStmt!H27</f>
        <v>0.97560975609756095</v>
      </c>
      <c r="I12" s="187">
        <f>IF(SUM(IncStmt!F6:H6)=0,0,SUM(IncStmt!F26:H26)/SUM(IncStmt!F6:H6))</f>
        <v>0.97560975609756095</v>
      </c>
      <c r="J12" s="186">
        <f>IncStmt!J27</f>
        <v>0.63096471986512193</v>
      </c>
      <c r="K12" s="186">
        <f>IncStmt!K27</f>
        <v>0.45736722029635057</v>
      </c>
      <c r="L12" s="186">
        <f>IncStmt!L27</f>
        <v>0</v>
      </c>
      <c r="M12" s="187">
        <f>IF(SUM(IncStmt!J6:L6)=0,0,SUM(IncStmt!J26:L26)/SUM(IncStmt!J6:L6))</f>
        <v>0.54416597008073619</v>
      </c>
      <c r="N12" s="186">
        <f>IncStmt!N27</f>
        <v>0</v>
      </c>
      <c r="O12" s="186">
        <f>IncStmt!O27</f>
        <v>0</v>
      </c>
      <c r="P12" s="186">
        <f>IncStmt!P27</f>
        <v>0</v>
      </c>
      <c r="Q12" s="187">
        <f>IF(SUM(IncStmt!N6:P6)=0,0,SUM(IncStmt!N26:P26)/SUM(IncStmt!N6:P6))</f>
        <v>0</v>
      </c>
      <c r="R12" s="186">
        <f>IncStmt!R27</f>
        <v>0</v>
      </c>
      <c r="S12" s="186">
        <f>IncStmt!S27</f>
        <v>0</v>
      </c>
      <c r="T12" s="186">
        <f>IncStmt!T27</f>
        <v>0</v>
      </c>
      <c r="U12" s="187">
        <f>IF(SUM(IncStmt!R6:T6)=0,0,SUM(IncStmt!R26:T26)/SUM(IncStmt!R6:T6))</f>
        <v>0</v>
      </c>
      <c r="V12" s="186">
        <f>IncStmt!V27</f>
        <v>0</v>
      </c>
      <c r="W12" s="186">
        <f>IncStmt!W27</f>
        <v>0</v>
      </c>
      <c r="X12" s="186">
        <f>IncStmt!X27</f>
        <v>0</v>
      </c>
      <c r="Y12" s="187">
        <f>IF(SUM(IncStmt!V6:X6)=0,0,SUM(IncStmt!V26:X26)/SUM(IncStmt!V6:X6))</f>
        <v>0</v>
      </c>
    </row>
    <row r="13" spans="1:25" ht="12.75" customHeight="1" x14ac:dyDescent="0.2">
      <c r="A13" s="2" t="str">
        <f>"Expense Ratios"</f>
        <v>Expense Ratios</v>
      </c>
    </row>
    <row r="14" spans="1:25" ht="12.75" customHeight="1" x14ac:dyDescent="0.2">
      <c r="A14" s="182" t="str">
        <f>Labels!B121</f>
        <v>Mktg Exp Ratio</v>
      </c>
      <c r="B14" s="207">
        <f>IF(IncStmt!B6=0,0,OpExp!B8/IncStmt!B6)</f>
        <v>0</v>
      </c>
      <c r="C14" s="207">
        <f>IF(IncStmt!C6=0,0,OpExp!C8/IncStmt!C6)</f>
        <v>0</v>
      </c>
      <c r="D14" s="207">
        <f>IF(IncStmt!D6=0,0,OpExp!D8/IncStmt!D6)</f>
        <v>0</v>
      </c>
      <c r="E14" s="208">
        <f>AVERAGE(B14:D14)</f>
        <v>0</v>
      </c>
      <c r="F14" s="207">
        <f>IF(IncStmt!F6=0,0,OpExp!F8/IncStmt!F6)</f>
        <v>0</v>
      </c>
      <c r="G14" s="207">
        <f>IF(IncStmt!G6=0,0,OpExp!G8/IncStmt!G6)</f>
        <v>0</v>
      </c>
      <c r="H14" s="207">
        <f>IF(IncStmt!H6=0,0,OpExp!H8/IncStmt!H6)</f>
        <v>0</v>
      </c>
      <c r="I14" s="208">
        <f>AVERAGE(F14:H14)</f>
        <v>0</v>
      </c>
      <c r="J14" s="207">
        <f>IF(IncStmt!J6=0,0,OpExp!J8/IncStmt!J6)</f>
        <v>0</v>
      </c>
      <c r="K14" s="207">
        <f>IF(IncStmt!K6=0,0,OpExp!K8/IncStmt!K6)</f>
        <v>0</v>
      </c>
      <c r="L14" s="207">
        <f>IF(IncStmt!L6=0,0,OpExp!L8/IncStmt!L6)</f>
        <v>0</v>
      </c>
      <c r="M14" s="208">
        <f>AVERAGE(J14:L14)</f>
        <v>0</v>
      </c>
      <c r="N14" s="207">
        <f>IF(IncStmt!N6=0,0,OpExp!N8/IncStmt!N6)</f>
        <v>0</v>
      </c>
      <c r="O14" s="207">
        <f>IF(IncStmt!O6=0,0,OpExp!O8/IncStmt!O6)</f>
        <v>0</v>
      </c>
      <c r="P14" s="207">
        <f>IF(IncStmt!P6=0,0,OpExp!P8/IncStmt!P6)</f>
        <v>0</v>
      </c>
      <c r="Q14" s="208">
        <f>AVERAGE(N14:P14)</f>
        <v>0</v>
      </c>
      <c r="R14" s="207">
        <f>IF(IncStmt!R6=0,0,OpExp!R8/IncStmt!R6)</f>
        <v>0</v>
      </c>
      <c r="S14" s="207">
        <f>IF(IncStmt!S6=0,0,OpExp!S8/IncStmt!S6)</f>
        <v>0</v>
      </c>
      <c r="T14" s="207">
        <f>IF(IncStmt!T6=0,0,OpExp!T8/IncStmt!T6)</f>
        <v>0</v>
      </c>
      <c r="U14" s="208">
        <f>AVERAGE(R14:T14)</f>
        <v>0</v>
      </c>
      <c r="V14" s="207">
        <f>IF(IncStmt!V6=0,0,OpExp!V8/IncStmt!V6)</f>
        <v>0</v>
      </c>
      <c r="W14" s="207">
        <f>IF(IncStmt!W6=0,0,OpExp!W8/IncStmt!W6)</f>
        <v>0</v>
      </c>
      <c r="X14" s="207">
        <f>IF(IncStmt!X6=0,0,OpExp!X8/IncStmt!X6)</f>
        <v>0</v>
      </c>
      <c r="Y14" s="208">
        <f>AVERAGE(V14:X14)</f>
        <v>0</v>
      </c>
    </row>
    <row r="15" spans="1:25" ht="12.75" customHeight="1" x14ac:dyDescent="0.2">
      <c r="A15" s="191" t="str">
        <f>Labels!B244</f>
        <v>Selling Exp Ratio</v>
      </c>
      <c r="B15" s="211">
        <f>IF(IncStmt!B6=0,0,OpExp!B9/IncStmt!B6)</f>
        <v>0</v>
      </c>
      <c r="C15" s="211">
        <f>IF(IncStmt!C6=0,0,OpExp!C9/IncStmt!C6)</f>
        <v>0</v>
      </c>
      <c r="D15" s="211">
        <f>IF(IncStmt!D6=0,0,OpExp!D9/IncStmt!D6)</f>
        <v>0</v>
      </c>
      <c r="E15" s="210">
        <f>AVERAGE(B15:D15)</f>
        <v>0</v>
      </c>
      <c r="F15" s="211">
        <f>IF(IncStmt!F6=0,0,OpExp!F9/IncStmt!F6)</f>
        <v>0</v>
      </c>
      <c r="G15" s="211">
        <f>IF(IncStmt!G6=0,0,OpExp!G9/IncStmt!G6)</f>
        <v>0</v>
      </c>
      <c r="H15" s="211">
        <f>IF(IncStmt!H6=0,0,OpExp!H9/IncStmt!H6)</f>
        <v>0</v>
      </c>
      <c r="I15" s="210">
        <f>AVERAGE(F15:H15)</f>
        <v>0</v>
      </c>
      <c r="J15" s="211">
        <f>IF(IncStmt!J6=0,0,OpExp!J9/IncStmt!J6)</f>
        <v>0</v>
      </c>
      <c r="K15" s="211">
        <f>IF(IncStmt!K6=0,0,OpExp!K9/IncStmt!K6)</f>
        <v>0</v>
      </c>
      <c r="L15" s="211">
        <f>IF(IncStmt!L6=0,0,OpExp!L9/IncStmt!L6)</f>
        <v>0</v>
      </c>
      <c r="M15" s="210">
        <f>AVERAGE(J15:L15)</f>
        <v>0</v>
      </c>
      <c r="N15" s="211">
        <f>IF(IncStmt!N6=0,0,OpExp!N9/IncStmt!N6)</f>
        <v>0</v>
      </c>
      <c r="O15" s="211">
        <f>IF(IncStmt!O6=0,0,OpExp!O9/IncStmt!O6)</f>
        <v>0</v>
      </c>
      <c r="P15" s="211">
        <f>IF(IncStmt!P6=0,0,OpExp!P9/IncStmt!P6)</f>
        <v>0</v>
      </c>
      <c r="Q15" s="210">
        <f>AVERAGE(N15:P15)</f>
        <v>0</v>
      </c>
      <c r="R15" s="211">
        <f>IF(IncStmt!R6=0,0,OpExp!R9/IncStmt!R6)</f>
        <v>0</v>
      </c>
      <c r="S15" s="211">
        <f>IF(IncStmt!S6=0,0,OpExp!S9/IncStmt!S6)</f>
        <v>0</v>
      </c>
      <c r="T15" s="211">
        <f>IF(IncStmt!T6=0,0,OpExp!T9/IncStmt!T6)</f>
        <v>0</v>
      </c>
      <c r="U15" s="210">
        <f>AVERAGE(R15:T15)</f>
        <v>0</v>
      </c>
      <c r="V15" s="211">
        <f>IF(IncStmt!V6=0,0,OpExp!V9/IncStmt!V6)</f>
        <v>0</v>
      </c>
      <c r="W15" s="211">
        <f>IF(IncStmt!W6=0,0,OpExp!W9/IncStmt!W6)</f>
        <v>0</v>
      </c>
      <c r="X15" s="211">
        <f>IF(IncStmt!X6=0,0,OpExp!X9/IncStmt!X6)</f>
        <v>0</v>
      </c>
      <c r="Y15" s="210">
        <f>AVERAGE(V15:X15)</f>
        <v>0</v>
      </c>
    </row>
    <row r="16" spans="1:25" ht="12.75" customHeight="1" x14ac:dyDescent="0.2">
      <c r="A16" s="191" t="str">
        <f>Labels!B151</f>
        <v>Practice Dev % Rev</v>
      </c>
      <c r="B16" s="211"/>
      <c r="C16" s="211"/>
      <c r="D16" s="211"/>
      <c r="E16" s="210"/>
      <c r="F16" s="211"/>
      <c r="G16" s="211"/>
      <c r="H16" s="211"/>
      <c r="I16" s="210"/>
      <c r="J16" s="211"/>
      <c r="K16" s="211"/>
      <c r="L16" s="211"/>
      <c r="M16" s="210"/>
      <c r="N16" s="211"/>
      <c r="O16" s="211"/>
      <c r="P16" s="211"/>
      <c r="Q16" s="210"/>
      <c r="R16" s="211"/>
      <c r="S16" s="211"/>
      <c r="T16" s="211"/>
      <c r="U16" s="210"/>
      <c r="V16" s="211"/>
      <c r="W16" s="211"/>
      <c r="X16" s="211"/>
      <c r="Y16" s="210"/>
    </row>
    <row r="17" spans="1:25" ht="12.75" customHeight="1" x14ac:dyDescent="0.2">
      <c r="A17" s="188" t="str">
        <f>"   "&amp;Labels!B381</f>
        <v xml:space="preserve">   Practice 1</v>
      </c>
      <c r="B17" s="209">
        <f>IF(Practices!B9=0,0,Practices!B329/Practices!B9)</f>
        <v>0</v>
      </c>
      <c r="C17" s="209">
        <f>IF(Practices!C9=0,0,Practices!C329/Practices!C9)</f>
        <v>0</v>
      </c>
      <c r="D17" s="209">
        <f>IF(Practices!D9=0,0,Practices!D329/Practices!D9)</f>
        <v>0</v>
      </c>
      <c r="E17" s="210">
        <f>AVERAGE(B17:D17)</f>
        <v>0</v>
      </c>
      <c r="F17" s="209">
        <f>IF(Practices!F9=0,0,Practices!F329/Practices!F9)</f>
        <v>0</v>
      </c>
      <c r="G17" s="209">
        <f>IF(Practices!G9=0,0,Practices!G329/Practices!G9)</f>
        <v>0</v>
      </c>
      <c r="H17" s="209">
        <f>IF(Practices!H9=0,0,Practices!H329/Practices!H9)</f>
        <v>0</v>
      </c>
      <c r="I17" s="210">
        <f>AVERAGE(F17:H17)</f>
        <v>0</v>
      </c>
      <c r="J17" s="209">
        <f>IF(Practices!J9=0,0,Practices!J329/Practices!J9)</f>
        <v>0</v>
      </c>
      <c r="K17" s="209">
        <f>IF(Practices!K9=0,0,Practices!K329/Practices!K9)</f>
        <v>0</v>
      </c>
      <c r="L17" s="209">
        <f>IF(Practices!L9=0,0,Practices!L329/Practices!L9)</f>
        <v>0</v>
      </c>
      <c r="M17" s="210">
        <f>AVERAGE(J17:L17)</f>
        <v>0</v>
      </c>
      <c r="N17" s="209">
        <f>IF(Practices!N9=0,0,Practices!N329/Practices!N9)</f>
        <v>0</v>
      </c>
      <c r="O17" s="209">
        <f>IF(Practices!O9=0,0,Practices!O329/Practices!O9)</f>
        <v>0</v>
      </c>
      <c r="P17" s="209">
        <f>IF(Practices!P9=0,0,Practices!P329/Practices!P9)</f>
        <v>0</v>
      </c>
      <c r="Q17" s="210">
        <f>AVERAGE(N17:P17)</f>
        <v>0</v>
      </c>
      <c r="R17" s="209">
        <f>IF(Practices!R9=0,0,Practices!R329/Practices!R9)</f>
        <v>0</v>
      </c>
      <c r="S17" s="209">
        <f>IF(Practices!S9=0,0,Practices!S329/Practices!S9)</f>
        <v>0</v>
      </c>
      <c r="T17" s="209">
        <f>IF(Practices!T9=0,0,Practices!T329/Practices!T9)</f>
        <v>0</v>
      </c>
      <c r="U17" s="210">
        <f>AVERAGE(R17:T17)</f>
        <v>0</v>
      </c>
      <c r="V17" s="209">
        <f>IF(Practices!V9=0,0,Practices!V329/Practices!V9)</f>
        <v>0</v>
      </c>
      <c r="W17" s="209">
        <f>IF(Practices!W9=0,0,Practices!W329/Practices!W9)</f>
        <v>0</v>
      </c>
      <c r="X17" s="209">
        <f>IF(Practices!X9=0,0,Practices!X329/Practices!X9)</f>
        <v>0</v>
      </c>
      <c r="Y17" s="210">
        <f>AVERAGE(V17:X17)</f>
        <v>0</v>
      </c>
    </row>
    <row r="18" spans="1:25" ht="12.75" customHeight="1" x14ac:dyDescent="0.2">
      <c r="A18" s="188" t="str">
        <f>"   "&amp;Labels!B382</f>
        <v xml:space="preserve">   Practice 2</v>
      </c>
      <c r="B18" s="209">
        <f>IF(Practices!B10=0,0,Practices!B330/Practices!B10)</f>
        <v>0</v>
      </c>
      <c r="C18" s="209">
        <f>IF(Practices!C10=0,0,Practices!C330/Practices!C10)</f>
        <v>0</v>
      </c>
      <c r="D18" s="209">
        <f>IF(Practices!D10=0,0,Practices!D330/Practices!D10)</f>
        <v>0</v>
      </c>
      <c r="E18" s="210">
        <f>AVERAGE(B18:D18)</f>
        <v>0</v>
      </c>
      <c r="F18" s="209">
        <f>IF(Practices!F10=0,0,Practices!F330/Practices!F10)</f>
        <v>0</v>
      </c>
      <c r="G18" s="209">
        <f>IF(Practices!G10=0,0,Practices!G330/Practices!G10)</f>
        <v>0</v>
      </c>
      <c r="H18" s="209">
        <f>IF(Practices!H10=0,0,Practices!H330/Practices!H10)</f>
        <v>0</v>
      </c>
      <c r="I18" s="210">
        <f>AVERAGE(F18:H18)</f>
        <v>0</v>
      </c>
      <c r="J18" s="209">
        <f>IF(Practices!J10=0,0,Practices!J330/Practices!J10)</f>
        <v>0</v>
      </c>
      <c r="K18" s="209">
        <f>IF(Practices!K10=0,0,Practices!K330/Practices!K10)</f>
        <v>0</v>
      </c>
      <c r="L18" s="209">
        <f>IF(Practices!L10=0,0,Practices!L330/Practices!L10)</f>
        <v>0</v>
      </c>
      <c r="M18" s="210">
        <f>AVERAGE(J18:L18)</f>
        <v>0</v>
      </c>
      <c r="N18" s="209">
        <f>IF(Practices!N10=0,0,Practices!N330/Practices!N10)</f>
        <v>0</v>
      </c>
      <c r="O18" s="209">
        <f>IF(Practices!O10=0,0,Practices!O330/Practices!O10)</f>
        <v>0</v>
      </c>
      <c r="P18" s="209">
        <f>IF(Practices!P10=0,0,Practices!P330/Practices!P10)</f>
        <v>0</v>
      </c>
      <c r="Q18" s="210">
        <f>AVERAGE(N18:P18)</f>
        <v>0</v>
      </c>
      <c r="R18" s="209">
        <f>IF(Practices!R10=0,0,Practices!R330/Practices!R10)</f>
        <v>0</v>
      </c>
      <c r="S18" s="209">
        <f>IF(Practices!S10=0,0,Practices!S330/Practices!S10)</f>
        <v>0</v>
      </c>
      <c r="T18" s="209">
        <f>IF(Practices!T10=0,0,Practices!T330/Practices!T10)</f>
        <v>0</v>
      </c>
      <c r="U18" s="210">
        <f>AVERAGE(R18:T18)</f>
        <v>0</v>
      </c>
      <c r="V18" s="209">
        <f>IF(Practices!V10=0,0,Practices!V330/Practices!V10)</f>
        <v>0</v>
      </c>
      <c r="W18" s="209">
        <f>IF(Practices!W10=0,0,Practices!W330/Practices!W10)</f>
        <v>0</v>
      </c>
      <c r="X18" s="209">
        <f>IF(Practices!X10=0,0,Practices!X330/Practices!X10)</f>
        <v>0</v>
      </c>
      <c r="Y18" s="210">
        <f>AVERAGE(V18:X18)</f>
        <v>0</v>
      </c>
    </row>
    <row r="19" spans="1:25" ht="12.75" customHeight="1" x14ac:dyDescent="0.2">
      <c r="A19" s="191" t="str">
        <f>"   "&amp;Labels!C380</f>
        <v xml:space="preserve">   Total</v>
      </c>
      <c r="B19" s="211">
        <f>AVERAGE(B17:B18)</f>
        <v>0</v>
      </c>
      <c r="C19" s="211">
        <f>AVERAGE(C17:C18)</f>
        <v>0</v>
      </c>
      <c r="D19" s="211">
        <f>AVERAGE(D17:D18)</f>
        <v>0</v>
      </c>
      <c r="E19" s="210">
        <f>AVERAGE(B19:D19)</f>
        <v>0</v>
      </c>
      <c r="F19" s="211">
        <f>AVERAGE(F17:F18)</f>
        <v>0</v>
      </c>
      <c r="G19" s="211">
        <f>AVERAGE(G17:G18)</f>
        <v>0</v>
      </c>
      <c r="H19" s="211">
        <f>AVERAGE(H17:H18)</f>
        <v>0</v>
      </c>
      <c r="I19" s="210">
        <f>AVERAGE(F19:H19)</f>
        <v>0</v>
      </c>
      <c r="J19" s="211">
        <f>AVERAGE(J17:J18)</f>
        <v>0</v>
      </c>
      <c r="K19" s="211">
        <f>AVERAGE(K17:K18)</f>
        <v>0</v>
      </c>
      <c r="L19" s="211">
        <f>AVERAGE(L17:L18)</f>
        <v>0</v>
      </c>
      <c r="M19" s="210">
        <f>AVERAGE(J19:L19)</f>
        <v>0</v>
      </c>
      <c r="N19" s="211">
        <f>AVERAGE(N17:N18)</f>
        <v>0</v>
      </c>
      <c r="O19" s="211">
        <f>AVERAGE(O17:O18)</f>
        <v>0</v>
      </c>
      <c r="P19" s="211">
        <f>AVERAGE(P17:P18)</f>
        <v>0</v>
      </c>
      <c r="Q19" s="210">
        <f>AVERAGE(N19:P19)</f>
        <v>0</v>
      </c>
      <c r="R19" s="211">
        <f>AVERAGE(R17:R18)</f>
        <v>0</v>
      </c>
      <c r="S19" s="211">
        <f>AVERAGE(S17:S18)</f>
        <v>0</v>
      </c>
      <c r="T19" s="211">
        <f>AVERAGE(T17:T18)</f>
        <v>0</v>
      </c>
      <c r="U19" s="210">
        <f>AVERAGE(R19:T19)</f>
        <v>0</v>
      </c>
      <c r="V19" s="211">
        <f>AVERAGE(V17:V18)</f>
        <v>0</v>
      </c>
      <c r="W19" s="211">
        <f>AVERAGE(W17:W18)</f>
        <v>0</v>
      </c>
      <c r="X19" s="211">
        <f>AVERAGE(X17:X18)</f>
        <v>0</v>
      </c>
      <c r="Y19" s="210">
        <f>AVERAGE(V19:X19)</f>
        <v>0</v>
      </c>
    </row>
    <row r="20" spans="1:25" ht="12.75" customHeight="1" x14ac:dyDescent="0.2">
      <c r="A20" s="185" t="str">
        <f>Labels!B96</f>
        <v>G&amp;A Exp Ratio</v>
      </c>
      <c r="B20" s="186">
        <f>IF(IncStmt!B6=0,0,OpExp!B170/IncStmt!B6)</f>
        <v>0</v>
      </c>
      <c r="C20" s="186">
        <f>IF(IncStmt!C6=0,0,OpExp!C170/IncStmt!C6)</f>
        <v>0</v>
      </c>
      <c r="D20" s="186">
        <f>IF(IncStmt!D6=0,0,OpExp!D170/IncStmt!D6)</f>
        <v>0</v>
      </c>
      <c r="E20" s="187">
        <f>AVERAGE(B20:D20)</f>
        <v>0</v>
      </c>
      <c r="F20" s="186">
        <f>IF(IncStmt!F6=0,0,OpExp!F170/IncStmt!F6)</f>
        <v>0</v>
      </c>
      <c r="G20" s="186">
        <f>IF(IncStmt!G6=0,0,OpExp!G170/IncStmt!G6)</f>
        <v>0</v>
      </c>
      <c r="H20" s="186">
        <f>IF(IncStmt!H6=0,0,OpExp!H170/IncStmt!H6)</f>
        <v>0</v>
      </c>
      <c r="I20" s="187">
        <f>AVERAGE(F20:H20)</f>
        <v>0</v>
      </c>
      <c r="J20" s="186">
        <f>IF(IncStmt!J6=0,0,OpExp!J170/IncStmt!J6)</f>
        <v>0</v>
      </c>
      <c r="K20" s="186">
        <f>IF(IncStmt!K6=0,0,OpExp!K170/IncStmt!K6)</f>
        <v>0</v>
      </c>
      <c r="L20" s="186">
        <f>IF(IncStmt!L6=0,0,OpExp!L170/IncStmt!L6)</f>
        <v>0</v>
      </c>
      <c r="M20" s="187">
        <f>AVERAGE(J20:L20)</f>
        <v>0</v>
      </c>
      <c r="N20" s="186">
        <f>IF(IncStmt!N6=0,0,OpExp!N170/IncStmt!N6)</f>
        <v>0</v>
      </c>
      <c r="O20" s="186">
        <f>IF(IncStmt!O6=0,0,OpExp!O170/IncStmt!O6)</f>
        <v>0</v>
      </c>
      <c r="P20" s="186">
        <f>IF(IncStmt!P6=0,0,OpExp!P170/IncStmt!P6)</f>
        <v>0</v>
      </c>
      <c r="Q20" s="187">
        <f>AVERAGE(N20:P20)</f>
        <v>0</v>
      </c>
      <c r="R20" s="186">
        <f>IF(IncStmt!R6=0,0,OpExp!R170/IncStmt!R6)</f>
        <v>0</v>
      </c>
      <c r="S20" s="186">
        <f>IF(IncStmt!S6=0,0,OpExp!S170/IncStmt!S6)</f>
        <v>0</v>
      </c>
      <c r="T20" s="186">
        <f>IF(IncStmt!T6=0,0,OpExp!T170/IncStmt!T6)</f>
        <v>0</v>
      </c>
      <c r="U20" s="187">
        <f>AVERAGE(R20:T20)</f>
        <v>0</v>
      </c>
      <c r="V20" s="186">
        <f>IF(IncStmt!V6=0,0,OpExp!V170/IncStmt!V6)</f>
        <v>0</v>
      </c>
      <c r="W20" s="186">
        <f>IF(IncStmt!W6=0,0,OpExp!W170/IncStmt!W6)</f>
        <v>0</v>
      </c>
      <c r="X20" s="186">
        <f>IF(IncStmt!X6=0,0,OpExp!X170/IncStmt!X6)</f>
        <v>0</v>
      </c>
      <c r="Y20" s="187">
        <f>AVERAGE(V20:X20)</f>
        <v>0</v>
      </c>
    </row>
    <row r="21" spans="1:25" ht="12.75" customHeight="1" x14ac:dyDescent="0.2">
      <c r="A21" s="2" t="str">
        <f>"Liquidity Ratios"</f>
        <v>Liquidity Ratios</v>
      </c>
    </row>
    <row r="22" spans="1:25" ht="12.75" customHeight="1" x14ac:dyDescent="0.2">
      <c r="A22" s="182" t="str">
        <f>Labels!B52</f>
        <v>Current Ratio</v>
      </c>
      <c r="B22" s="212">
        <f>IF(BalSht!C19=0,0,BalSht!C11/BalSht!C19)</f>
        <v>0</v>
      </c>
      <c r="C22" s="212">
        <f>IF(BalSht!D19=0,0,BalSht!D11/BalSht!D19)</f>
        <v>0</v>
      </c>
      <c r="D22" s="212">
        <f>IF(BalSht!E19=0,0,BalSht!E11/BalSht!E19)</f>
        <v>1.5061224489795919</v>
      </c>
      <c r="E22" s="213">
        <f>IF(BalSht!E19=0,0,BalSht!E11/BalSht!E19)</f>
        <v>1.5061224489795919</v>
      </c>
      <c r="F22" s="212">
        <f>IF(BalSht!G19=0,0,BalSht!G11/BalSht!G19)</f>
        <v>2.86046511627907</v>
      </c>
      <c r="G22" s="212">
        <f>IF(BalSht!H19=0,0,BalSht!H11/BalSht!H19)</f>
        <v>0</v>
      </c>
      <c r="H22" s="212">
        <f>IF(BalSht!I19=0,0,BalSht!I11/BalSht!I19)</f>
        <v>0</v>
      </c>
      <c r="I22" s="213">
        <f>IF(BalSht!I19=0,0,BalSht!I11/BalSht!I19)</f>
        <v>0</v>
      </c>
      <c r="J22" s="212">
        <f>IF(BalSht!K19=0,0,BalSht!K11/BalSht!K19)</f>
        <v>0</v>
      </c>
      <c r="K22" s="212">
        <f>IF(BalSht!L19=0,0,BalSht!L11/BalSht!L19)</f>
        <v>0</v>
      </c>
      <c r="L22" s="212">
        <f>IF(BalSht!M19=0,0,BalSht!M11/BalSht!M19)</f>
        <v>0</v>
      </c>
      <c r="M22" s="213">
        <f>IF(BalSht!M19=0,0,BalSht!M11/BalSht!M19)</f>
        <v>0</v>
      </c>
      <c r="N22" s="212">
        <f>IF(BalSht!O19=0,0,BalSht!O11/BalSht!O19)</f>
        <v>0</v>
      </c>
      <c r="O22" s="212">
        <f>IF(BalSht!P19=0,0,BalSht!P11/BalSht!P19)</f>
        <v>0</v>
      </c>
      <c r="P22" s="212">
        <f>IF(BalSht!Q19=0,0,BalSht!Q11/BalSht!Q19)</f>
        <v>0</v>
      </c>
      <c r="Q22" s="213">
        <f>IF(BalSht!Q19=0,0,BalSht!Q11/BalSht!Q19)</f>
        <v>0</v>
      </c>
      <c r="R22" s="212">
        <f>IF(BalSht!S19=0,0,BalSht!S11/BalSht!S19)</f>
        <v>0</v>
      </c>
      <c r="S22" s="212">
        <f>IF(BalSht!T19=0,0,BalSht!T11/BalSht!T19)</f>
        <v>0</v>
      </c>
      <c r="T22" s="212">
        <f>IF(BalSht!U19=0,0,BalSht!U11/BalSht!U19)</f>
        <v>0</v>
      </c>
      <c r="U22" s="213">
        <f>IF(BalSht!U19=0,0,BalSht!U11/BalSht!U19)</f>
        <v>0</v>
      </c>
      <c r="V22" s="212">
        <f>IF(BalSht!W19=0,0,BalSht!W11/BalSht!W19)</f>
        <v>0</v>
      </c>
      <c r="W22" s="212">
        <f>IF(BalSht!X19=0,0,BalSht!X11/BalSht!X19)</f>
        <v>0</v>
      </c>
      <c r="X22" s="212">
        <f>IF(BalSht!Y19=0,0,BalSht!Y11/BalSht!Y19)</f>
        <v>0</v>
      </c>
      <c r="Y22" s="213">
        <f>IF(BalSht!Y19=0,0,BalSht!Y11/BalSht!Y19)</f>
        <v>0</v>
      </c>
    </row>
    <row r="23" spans="1:25" ht="12.75" customHeight="1" x14ac:dyDescent="0.2">
      <c r="A23" s="185" t="str">
        <f>Labels!B212</f>
        <v>Quick Ratio</v>
      </c>
      <c r="B23" s="214">
        <f>IF(BalSht!C19=0,0,(BalSht!C11-BalSht!C10)/BalSht!C19)</f>
        <v>0</v>
      </c>
      <c r="C23" s="214">
        <f>IF(BalSht!D19=0,0,(BalSht!D11-BalSht!D10)/BalSht!D19)</f>
        <v>0</v>
      </c>
      <c r="D23" s="214">
        <f>IF(BalSht!E19=0,0,(BalSht!E11-BalSht!E10)/BalSht!E19)</f>
        <v>1.5061224489795919</v>
      </c>
      <c r="E23" s="215">
        <f>IF(BalSht!E19=0,0,(BalSht!E11-BalSht!E10)/BalSht!E19)</f>
        <v>1.5061224489795919</v>
      </c>
      <c r="F23" s="214">
        <f>IF(BalSht!G19=0,0,(BalSht!G11-BalSht!G10)/BalSht!G19)</f>
        <v>2.86046511627907</v>
      </c>
      <c r="G23" s="214">
        <f>IF(BalSht!H19=0,0,(BalSht!H11-BalSht!H10)/BalSht!H19)</f>
        <v>0</v>
      </c>
      <c r="H23" s="214">
        <f>IF(BalSht!I19=0,0,(BalSht!I11-BalSht!I10)/BalSht!I19)</f>
        <v>0</v>
      </c>
      <c r="I23" s="215">
        <f>IF(BalSht!I19=0,0,(BalSht!I11-BalSht!I10)/BalSht!I19)</f>
        <v>0</v>
      </c>
      <c r="J23" s="214">
        <f>IF(BalSht!K19=0,0,(BalSht!K11-BalSht!K10)/BalSht!K19)</f>
        <v>0</v>
      </c>
      <c r="K23" s="214">
        <f>IF(BalSht!L19=0,0,(BalSht!L11-BalSht!L10)/BalSht!L19)</f>
        <v>0</v>
      </c>
      <c r="L23" s="214">
        <f>IF(BalSht!M19=0,0,(BalSht!M11-BalSht!M10)/BalSht!M19)</f>
        <v>0</v>
      </c>
      <c r="M23" s="215">
        <f>IF(BalSht!M19=0,0,(BalSht!M11-BalSht!M10)/BalSht!M19)</f>
        <v>0</v>
      </c>
      <c r="N23" s="214">
        <f>IF(BalSht!O19=0,0,(BalSht!O11-BalSht!O10)/BalSht!O19)</f>
        <v>0</v>
      </c>
      <c r="O23" s="214">
        <f>IF(BalSht!P19=0,0,(BalSht!P11-BalSht!P10)/BalSht!P19)</f>
        <v>0</v>
      </c>
      <c r="P23" s="214">
        <f>IF(BalSht!Q19=0,0,(BalSht!Q11-BalSht!Q10)/BalSht!Q19)</f>
        <v>0</v>
      </c>
      <c r="Q23" s="215">
        <f>IF(BalSht!Q19=0,0,(BalSht!Q11-BalSht!Q10)/BalSht!Q19)</f>
        <v>0</v>
      </c>
      <c r="R23" s="214">
        <f>IF(BalSht!S19=0,0,(BalSht!S11-BalSht!S10)/BalSht!S19)</f>
        <v>0</v>
      </c>
      <c r="S23" s="214">
        <f>IF(BalSht!T19=0,0,(BalSht!T11-BalSht!T10)/BalSht!T19)</f>
        <v>0</v>
      </c>
      <c r="T23" s="214">
        <f>IF(BalSht!U19=0,0,(BalSht!U11-BalSht!U10)/BalSht!U19)</f>
        <v>0</v>
      </c>
      <c r="U23" s="215">
        <f>IF(BalSht!U19=0,0,(BalSht!U11-BalSht!U10)/BalSht!U19)</f>
        <v>0</v>
      </c>
      <c r="V23" s="214">
        <f>IF(BalSht!W19=0,0,(BalSht!W11-BalSht!W10)/BalSht!W19)</f>
        <v>0</v>
      </c>
      <c r="W23" s="214">
        <f>IF(BalSht!X19=0,0,(BalSht!X11-BalSht!X10)/BalSht!X19)</f>
        <v>0</v>
      </c>
      <c r="X23" s="214">
        <f>IF(BalSht!Y19=0,0,(BalSht!Y11-BalSht!Y10)/BalSht!Y19)</f>
        <v>0</v>
      </c>
      <c r="Y23" s="215">
        <f>IF(BalSht!Y19=0,0,(BalSht!Y11-BalSht!Y10)/BalSht!Y19)</f>
        <v>0</v>
      </c>
    </row>
    <row r="24" spans="1:25" ht="12.75" customHeight="1" x14ac:dyDescent="0.2">
      <c r="A24" s="2" t="str">
        <f>"Turnover Ratios"</f>
        <v>Turnover Ratios</v>
      </c>
    </row>
    <row r="25" spans="1:25" ht="12.75" customHeight="1" x14ac:dyDescent="0.2">
      <c r="A25" s="182" t="str">
        <f>Labels!B231</f>
        <v>Revenue / Prof Staff</v>
      </c>
      <c r="B25" s="183">
        <f>IF('GM CostSvcs'!B486=0,0,12*'(Tables)'!B794/'GM CostSvcs'!B486)</f>
        <v>0</v>
      </c>
      <c r="C25" s="183">
        <f>IF('GM CostSvcs'!C486=0,0,12*'(Tables)'!C794/'GM CostSvcs'!C486)</f>
        <v>0</v>
      </c>
      <c r="D25" s="183">
        <f>IF('GM CostSvcs'!D486=0,0,12*'(Tables)'!D794/'GM CostSvcs'!D486)</f>
        <v>0</v>
      </c>
      <c r="E25" s="184">
        <f>IF('GM CostSvcs'!D486=0,0,4*SUM('(Tables)'!B794:D794)/'GM CostSvcs'!D486)</f>
        <v>0</v>
      </c>
      <c r="F25" s="183">
        <f>IF('GM CostSvcs'!F486=0,0,12*'(Tables)'!E794/'GM CostSvcs'!F486)</f>
        <v>0</v>
      </c>
      <c r="G25" s="183">
        <f>IF('GM CostSvcs'!G486=0,0,12*'(Tables)'!F794/'GM CostSvcs'!G486)</f>
        <v>0</v>
      </c>
      <c r="H25" s="183">
        <f>IF('GM CostSvcs'!H486=0,0,12*'(Tables)'!G794/'GM CostSvcs'!H486)</f>
        <v>0</v>
      </c>
      <c r="I25" s="184">
        <f>IF('GM CostSvcs'!H486=0,0,4*SUM('(Tables)'!E794:G794)/'GM CostSvcs'!H486)</f>
        <v>0</v>
      </c>
      <c r="J25" s="183">
        <f>IF('GM CostSvcs'!J486=0,0,12*'(Tables)'!H794/'GM CostSvcs'!J486)</f>
        <v>480000</v>
      </c>
      <c r="K25" s="183">
        <f>IF('GM CostSvcs'!K486=0,0,12*'(Tables)'!I794/'GM CostSvcs'!K486)</f>
        <v>240000</v>
      </c>
      <c r="L25" s="183">
        <f>IF('GM CostSvcs'!L486=0,0,12*'(Tables)'!J794/'GM CostSvcs'!L486)</f>
        <v>0</v>
      </c>
      <c r="M25" s="184">
        <f>IF('GM CostSvcs'!L486=0,0,4*SUM('(Tables)'!H794:J794)/'GM CostSvcs'!L486)</f>
        <v>0</v>
      </c>
      <c r="N25" s="183">
        <f>IF('GM CostSvcs'!N486=0,0,12*'(Tables)'!K794/'GM CostSvcs'!N486)</f>
        <v>0</v>
      </c>
      <c r="O25" s="183">
        <f>IF('GM CostSvcs'!O486=0,0,12*'(Tables)'!L794/'GM CostSvcs'!O486)</f>
        <v>0</v>
      </c>
      <c r="P25" s="183">
        <f>IF('GM CostSvcs'!P486=0,0,12*'(Tables)'!M794/'GM CostSvcs'!P486)</f>
        <v>0</v>
      </c>
      <c r="Q25" s="184">
        <f>IF('GM CostSvcs'!P486=0,0,4*SUM('(Tables)'!K794:M794)/'GM CostSvcs'!P486)</f>
        <v>0</v>
      </c>
      <c r="R25" s="183">
        <f>IF('GM CostSvcs'!R486=0,0,12*'(Tables)'!N794/'GM CostSvcs'!R486)</f>
        <v>0</v>
      </c>
      <c r="S25" s="183">
        <f>IF('GM CostSvcs'!S486=0,0,12*'(Tables)'!O794/'GM CostSvcs'!S486)</f>
        <v>0</v>
      </c>
      <c r="T25" s="183">
        <f>IF('GM CostSvcs'!T486=0,0,12*'(Tables)'!P794/'GM CostSvcs'!T486)</f>
        <v>0</v>
      </c>
      <c r="U25" s="184">
        <f>IF('GM CostSvcs'!T486=0,0,4*SUM('(Tables)'!N794:P794)/'GM CostSvcs'!T486)</f>
        <v>0</v>
      </c>
      <c r="V25" s="183">
        <f>IF('GM CostSvcs'!V486=0,0,12*'(Tables)'!Q794/'GM CostSvcs'!V486)</f>
        <v>0</v>
      </c>
      <c r="W25" s="183">
        <f>IF('GM CostSvcs'!W486=0,0,12*'(Tables)'!R794/'GM CostSvcs'!W486)</f>
        <v>0</v>
      </c>
      <c r="X25" s="183">
        <f>IF('GM CostSvcs'!X486=0,0,12*'(Tables)'!S794/'GM CostSvcs'!X486)</f>
        <v>0</v>
      </c>
      <c r="Y25" s="184">
        <f>IF('GM CostSvcs'!X486=0,0,4*SUM('(Tables)'!Q794:S794)/'GM CostSvcs'!X486)</f>
        <v>0</v>
      </c>
    </row>
    <row r="26" spans="1:25" ht="12.75" customHeight="1" x14ac:dyDescent="0.2">
      <c r="A26" s="185" t="str">
        <f>Labels!B13</f>
        <v>Asset Turnover</v>
      </c>
      <c r="B26" s="214">
        <f>IF(BalSht!C13=0,0,IncStmt!B6/BalSht!C13)</f>
        <v>0</v>
      </c>
      <c r="C26" s="214">
        <f>IF(BalSht!D13=0,0,IncStmt!C6/BalSht!D13)</f>
        <v>0</v>
      </c>
      <c r="D26" s="214">
        <f>IF(BalSht!E13=0,0,IncStmt!D6/BalSht!E13)</f>
        <v>0.34444444444444439</v>
      </c>
      <c r="E26" s="215">
        <f>IF(BalSht!E13=0,0,SUM(IncStmt!B6:D6)/BalSht!E13)</f>
        <v>0.34444444444444439</v>
      </c>
      <c r="F26" s="214">
        <f>IF(BalSht!G13=0,0,IncStmt!F6/BalSht!G13)</f>
        <v>0.33333333333333331</v>
      </c>
      <c r="G26" s="214">
        <f>IF(BalSht!H13=0,0,IncStmt!G6/BalSht!H13)</f>
        <v>0</v>
      </c>
      <c r="H26" s="214">
        <f>IF(BalSht!I13=0,0,IncStmt!H6/BalSht!I13)</f>
        <v>0.27333333333333332</v>
      </c>
      <c r="I26" s="215">
        <f>IF(BalSht!I13=0,0,SUM(IncStmt!F6:H6)/BalSht!I13)</f>
        <v>0.64916666666666667</v>
      </c>
      <c r="J26" s="214">
        <f>IF(BalSht!K13=0,0,IncStmt!J6/BalSht!K13)</f>
        <v>0.23312733318917903</v>
      </c>
      <c r="K26" s="214">
        <f>IF(BalSht!L13=0,0,IncStmt!K6/BalSht!L13)</f>
        <v>0.2106651984613184</v>
      </c>
      <c r="L26" s="214">
        <f>IF(BalSht!M13=0,0,IncStmt!L6/BalSht!M13)</f>
        <v>0</v>
      </c>
      <c r="M26" s="215">
        <f>IF(BalSht!M13=0,0,SUM(IncStmt!J6:L6)/BalSht!M13)</f>
        <v>0.4213303969226368</v>
      </c>
      <c r="N26" s="214">
        <f>IF(BalSht!O13=0,0,IncStmt!N6/BalSht!O13)</f>
        <v>0</v>
      </c>
      <c r="O26" s="214">
        <f>IF(BalSht!P13=0,0,IncStmt!O6/BalSht!P13)</f>
        <v>0</v>
      </c>
      <c r="P26" s="214">
        <f>IF(BalSht!Q13=0,0,IncStmt!P6/BalSht!Q13)</f>
        <v>0</v>
      </c>
      <c r="Q26" s="215">
        <f>IF(BalSht!Q13=0,0,SUM(IncStmt!N6:P6)/BalSht!Q13)</f>
        <v>0</v>
      </c>
      <c r="R26" s="214">
        <f>IF(BalSht!S13=0,0,IncStmt!R6/BalSht!S13)</f>
        <v>0</v>
      </c>
      <c r="S26" s="214">
        <f>IF(BalSht!T13=0,0,IncStmt!S6/BalSht!T13)</f>
        <v>0</v>
      </c>
      <c r="T26" s="214">
        <f>IF(BalSht!U13=0,0,IncStmt!T6/BalSht!U13)</f>
        <v>0</v>
      </c>
      <c r="U26" s="215">
        <f>IF(BalSht!U13=0,0,SUM(IncStmt!R6:T6)/BalSht!U13)</f>
        <v>0</v>
      </c>
      <c r="V26" s="214">
        <f>IF(BalSht!W13=0,0,IncStmt!V6/BalSht!W13)</f>
        <v>0</v>
      </c>
      <c r="W26" s="214">
        <f>IF(BalSht!X13=0,0,IncStmt!W6/BalSht!X13)</f>
        <v>0</v>
      </c>
      <c r="X26" s="214">
        <f>IF(BalSht!Y13=0,0,IncStmt!X6/BalSht!Y13)</f>
        <v>0</v>
      </c>
      <c r="Y26" s="215">
        <f>IF(BalSht!Y13=0,0,SUM(IncStmt!V6:X6)/BalSht!Y13)</f>
        <v>0</v>
      </c>
    </row>
    <row r="27" spans="1:25" ht="12.75" customHeight="1" x14ac:dyDescent="0.2">
      <c r="A27" s="2" t="str">
        <f>"Capital Ratios"</f>
        <v>Capital Ratios</v>
      </c>
    </row>
    <row r="28" spans="1:25" ht="12.75" customHeight="1" x14ac:dyDescent="0.2">
      <c r="A28" s="182" t="str">
        <f>Labels!B223</f>
        <v>Return on Assets</v>
      </c>
      <c r="B28" s="207">
        <f>0</f>
        <v>0</v>
      </c>
      <c r="C28" s="207">
        <f>0</f>
        <v>0</v>
      </c>
      <c r="D28" s="207">
        <f>0</f>
        <v>0</v>
      </c>
      <c r="E28" s="208">
        <f>AVERAGE(B28:D28)</f>
        <v>0</v>
      </c>
      <c r="F28" s="207">
        <f>0</f>
        <v>0</v>
      </c>
      <c r="G28" s="207">
        <f>0</f>
        <v>0</v>
      </c>
      <c r="H28" s="207">
        <f>0</f>
        <v>0</v>
      </c>
      <c r="I28" s="208">
        <f>AVERAGE(F28:H28)</f>
        <v>0</v>
      </c>
      <c r="J28" s="207">
        <f>0</f>
        <v>0</v>
      </c>
      <c r="K28" s="207">
        <f>0</f>
        <v>0</v>
      </c>
      <c r="L28" s="207">
        <f>0</f>
        <v>0</v>
      </c>
      <c r="M28" s="208">
        <f>AVERAGE(J28:L28)</f>
        <v>0</v>
      </c>
      <c r="N28" s="207">
        <f>0</f>
        <v>0</v>
      </c>
      <c r="O28" s="207">
        <f>0</f>
        <v>0</v>
      </c>
      <c r="P28" s="207">
        <f>IF(BalSht!Q13=0,0,SUM(IncStmt!B26:D26,IncStmt!F26:H26,IncStmt!J26:L26,IncStmt!N26:P26)/BalSht!Q13)</f>
        <v>1</v>
      </c>
      <c r="Q28" s="208">
        <f>AVERAGE(N28:P28)</f>
        <v>0.33333333333333331</v>
      </c>
      <c r="R28" s="207">
        <f>IF(BalSht!S13=0,0,SUM(IncStmt!C26:D26,IncStmt!F26:H26,IncStmt!J26:L26,IncStmt!N26:P26,IncStmt!R26)/BalSht!S13)</f>
        <v>1</v>
      </c>
      <c r="S28" s="207">
        <f>IF(BalSht!T13=0,0,SUM(IncStmt!D26,IncStmt!F26:H26,IncStmt!J26:L26,IncStmt!N26:P26,IncStmt!R26:S26)/BalSht!T13)</f>
        <v>1</v>
      </c>
      <c r="T28" s="207">
        <f>IF(BalSht!U13=0,0,SUM(IncStmt!F26:H26,IncStmt!J26:L26,IncStmt!N26:P26,IncStmt!R26:T26)/BalSht!U13)</f>
        <v>0.71740034352749971</v>
      </c>
      <c r="U28" s="208">
        <f>AVERAGE(R28:T28)</f>
        <v>0.90580011450916664</v>
      </c>
      <c r="V28" s="207">
        <f>IF(BalSht!W13=0,0,SUM(IncStmt!G26:H26,IncStmt!J26:L26,IncStmt!N26:P26,IncStmt!R26:T26,IncStmt!V26)/BalSht!W13)</f>
        <v>0.43480068705499941</v>
      </c>
      <c r="W28" s="207">
        <f>IF(BalSht!X13=0,0,SUM(IncStmt!H26,IncStmt!J26:L26,IncStmt!N26:P26,IncStmt!R26:T26,IncStmt!V26:W26)/BalSht!X13)</f>
        <v>0.43480068705499941</v>
      </c>
      <c r="X28" s="207">
        <f>IF(BalSht!Y13=0,0,SUM(IncStmt!J26:L26,IncStmt!N26:P26,IncStmt!R26:T26,IncStmt!V26:X26)/BalSht!Y13)</f>
        <v>0.2292736641659083</v>
      </c>
      <c r="Y28" s="208">
        <f>AVERAGE(V28:X28)</f>
        <v>0.36629167942530239</v>
      </c>
    </row>
    <row r="29" spans="1:25" ht="12.75" customHeight="1" x14ac:dyDescent="0.2">
      <c r="A29" s="191" t="str">
        <f>Labels!B224</f>
        <v>Return on Equity</v>
      </c>
      <c r="B29" s="211">
        <f>0</f>
        <v>0</v>
      </c>
      <c r="C29" s="211">
        <f>0</f>
        <v>0</v>
      </c>
      <c r="D29" s="211">
        <f>0</f>
        <v>0</v>
      </c>
      <c r="E29" s="210">
        <f>AVERAGE(B29:D29)</f>
        <v>0</v>
      </c>
      <c r="F29" s="211">
        <f>0</f>
        <v>0</v>
      </c>
      <c r="G29" s="211">
        <f>0</f>
        <v>0</v>
      </c>
      <c r="H29" s="211">
        <f>0</f>
        <v>0</v>
      </c>
      <c r="I29" s="210">
        <f>AVERAGE(F29:H29)</f>
        <v>0</v>
      </c>
      <c r="J29" s="211">
        <f>0</f>
        <v>0</v>
      </c>
      <c r="K29" s="211">
        <f>0</f>
        <v>0</v>
      </c>
      <c r="L29" s="211">
        <f>0</f>
        <v>0</v>
      </c>
      <c r="M29" s="210">
        <f>AVERAGE(J29:L29)</f>
        <v>0</v>
      </c>
      <c r="N29" s="211">
        <f>0</f>
        <v>0</v>
      </c>
      <c r="O29" s="211">
        <f>0</f>
        <v>0</v>
      </c>
      <c r="P29" s="211">
        <f>IF(BalSht!Q29=0,0,SUM(IncStmt!B26:D26,IncStmt!F26:H26,IncStmt!J26:L26,IncStmt!N26:P26)/BalSht!Q29)</f>
        <v>1</v>
      </c>
      <c r="Q29" s="210">
        <f>AVERAGE(N29:P29)</f>
        <v>0.33333333333333331</v>
      </c>
      <c r="R29" s="211">
        <f>IF(BalSht!S29=0,0,SUM(IncStmt!C26:D26,IncStmt!F26:H26,IncStmt!J26:L26,IncStmt!N26:P26,IncStmt!R26)/BalSht!S29)</f>
        <v>1</v>
      </c>
      <c r="S29" s="211">
        <f>IF(BalSht!T29=0,0,SUM(IncStmt!D26,IncStmt!F26:H26,IncStmt!J26:L26,IncStmt!N26:P26,IncStmt!R26:S26)/BalSht!T29)</f>
        <v>1</v>
      </c>
      <c r="T29" s="211">
        <f>IF(BalSht!U29=0,0,SUM(IncStmt!F26:H26,IncStmt!J26:L26,IncStmt!N26:P26,IncStmt!R26:T26)/BalSht!U29)</f>
        <v>0.71740034352749971</v>
      </c>
      <c r="U29" s="210">
        <f>AVERAGE(R29:T29)</f>
        <v>0.90580011450916664</v>
      </c>
      <c r="V29" s="211">
        <f>IF(BalSht!W29=0,0,SUM(IncStmt!G26:H26,IncStmt!J26:L26,IncStmt!N26:P26,IncStmt!R26:T26,IncStmt!V26)/BalSht!W29)</f>
        <v>0.43480068705499941</v>
      </c>
      <c r="W29" s="211">
        <f>IF(BalSht!X29=0,0,SUM(IncStmt!H26,IncStmt!J26:L26,IncStmt!N26:P26,IncStmt!R26:T26,IncStmt!V26:W26)/BalSht!X29)</f>
        <v>0.43480068705499941</v>
      </c>
      <c r="X29" s="211">
        <f>IF(BalSht!Y29=0,0,SUM(IncStmt!J26:L26,IncStmt!N26:P26,IncStmt!R26:T26,IncStmt!V26:X26)/BalSht!Y29)</f>
        <v>0.2292736641659083</v>
      </c>
      <c r="Y29" s="210">
        <f>AVERAGE(V29:X29)</f>
        <v>0.36629167942530239</v>
      </c>
    </row>
    <row r="30" spans="1:25" ht="12.75" customHeight="1" x14ac:dyDescent="0.2">
      <c r="A30" s="191" t="str">
        <f>Labels!B159</f>
        <v>Price Earnings Ratio</v>
      </c>
      <c r="B30" s="216">
        <f>0</f>
        <v>0</v>
      </c>
      <c r="C30" s="216">
        <f>0</f>
        <v>0</v>
      </c>
      <c r="D30" s="216">
        <f>0</f>
        <v>0</v>
      </c>
      <c r="E30" s="217">
        <f>D30</f>
        <v>0</v>
      </c>
      <c r="F30" s="216">
        <f>0</f>
        <v>0</v>
      </c>
      <c r="G30" s="216">
        <f>0</f>
        <v>0</v>
      </c>
      <c r="H30" s="216">
        <f>0</f>
        <v>0</v>
      </c>
      <c r="I30" s="217">
        <f>H30</f>
        <v>0</v>
      </c>
      <c r="J30" s="216">
        <f>0</f>
        <v>0</v>
      </c>
      <c r="K30" s="216">
        <f>0</f>
        <v>0</v>
      </c>
      <c r="L30" s="216">
        <f>0</f>
        <v>0</v>
      </c>
      <c r="M30" s="217">
        <f>L30</f>
        <v>0</v>
      </c>
      <c r="N30" s="216">
        <f>0</f>
        <v>0</v>
      </c>
      <c r="O30" s="216">
        <f>0</f>
        <v>0</v>
      </c>
      <c r="P30" s="216">
        <f>IF(SUM(IncStmt!B26:D26,IncStmt!F26:H26,IncStmt!J26:L26,IncStmt!N26:P26)=0,0,Value!P6/SUM(IncStmt!B26:D26,IncStmt!F26:H26,IncStmt!J26:L26,IncStmt!N26:P26))</f>
        <v>0</v>
      </c>
      <c r="Q30" s="217">
        <f>P30</f>
        <v>0</v>
      </c>
      <c r="R30" s="216">
        <f>IF(SUM(IncStmt!C26:D26,IncStmt!F26:H26,IncStmt!J26:L26,IncStmt!N26:P26,IncStmt!R26)=0,0,Value!R6/SUM(IncStmt!C26:D26,IncStmt!F26:H26,IncStmt!J26:L26,IncStmt!N26:P26,IncStmt!R26))</f>
        <v>0</v>
      </c>
      <c r="S30" s="216">
        <f>IF(SUM(IncStmt!D26,IncStmt!F26:H26,IncStmt!J26:L26,IncStmt!N26:P26,IncStmt!R26:S26)=0,0,Value!S6/SUM(IncStmt!D26,IncStmt!F26:H26,IncStmt!J26:L26,IncStmt!N26:P26,IncStmt!R26:S26))</f>
        <v>0</v>
      </c>
      <c r="T30" s="216">
        <f>IF(SUM(IncStmt!F26:H26,IncStmt!J26:L26,IncStmt!N26:P26,IncStmt!R26:T26)=0,0,Value!T6/SUM(IncStmt!F26:H26,IncStmt!J26:L26,IncStmt!N26:P26,IncStmt!R26:T26))</f>
        <v>0</v>
      </c>
      <c r="U30" s="217">
        <f>T30</f>
        <v>0</v>
      </c>
      <c r="V30" s="216">
        <f>IF(SUM(IncStmt!G26:H26,IncStmt!J26:L26,IncStmt!N26:P26,IncStmt!R26:T26,IncStmt!V26)=0,0,Value!V6/SUM(IncStmt!G26:H26,IncStmt!J26:L26,IncStmt!N26:P26,IncStmt!R26:T26,IncStmt!V26))</f>
        <v>0</v>
      </c>
      <c r="W30" s="216">
        <f>IF(SUM(IncStmt!H26,IncStmt!J26:L26,IncStmt!N26:P26,IncStmt!R26:T26,IncStmt!V26:W26)=0,0,Value!W6/SUM(IncStmt!H26,IncStmt!J26:L26,IncStmt!N26:P26,IncStmt!R26:T26,IncStmt!V26:W26))</f>
        <v>0</v>
      </c>
      <c r="X30" s="216">
        <f>IF(SUM(IncStmt!J26:L26,IncStmt!N26:P26,IncStmt!R26:T26,IncStmt!V26:X26)=0,0,Value!X6/SUM(IncStmt!J26:L26,IncStmt!N26:P26,IncStmt!R26:T26,IncStmt!V26:X26))</f>
        <v>0</v>
      </c>
      <c r="Y30" s="217">
        <f>X30</f>
        <v>0</v>
      </c>
    </row>
    <row r="31" spans="1:25" ht="12.75" customHeight="1" x14ac:dyDescent="0.2">
      <c r="A31" s="191" t="str">
        <f>Labels!B160</f>
        <v>Price/Sales Ratio</v>
      </c>
      <c r="B31" s="216">
        <f>0</f>
        <v>0</v>
      </c>
      <c r="C31" s="216">
        <f>0</f>
        <v>0</v>
      </c>
      <c r="D31" s="216">
        <f>0</f>
        <v>0</v>
      </c>
      <c r="E31" s="217">
        <f>D31</f>
        <v>0</v>
      </c>
      <c r="F31" s="216">
        <f>0</f>
        <v>0</v>
      </c>
      <c r="G31" s="216">
        <f>0</f>
        <v>0</v>
      </c>
      <c r="H31" s="216">
        <f>0</f>
        <v>0</v>
      </c>
      <c r="I31" s="217">
        <f>H31</f>
        <v>0</v>
      </c>
      <c r="J31" s="216">
        <f>0</f>
        <v>0</v>
      </c>
      <c r="K31" s="216">
        <f>0</f>
        <v>0</v>
      </c>
      <c r="L31" s="216">
        <f>0</f>
        <v>0</v>
      </c>
      <c r="M31" s="217">
        <f>L31</f>
        <v>0</v>
      </c>
      <c r="N31" s="216">
        <f>0</f>
        <v>0</v>
      </c>
      <c r="O31" s="216">
        <f>0</f>
        <v>0</v>
      </c>
      <c r="P31" s="216">
        <f>IF(SUM(IncStmt!B6:D6,IncStmt!F6:H6,IncStmt!J6:L6,IncStmt!N6:P6)=0,0,Value!P6/SUM(IncStmt!B6:D6,IncStmt!F6:H6,IncStmt!J6:L6,IncStmt!N6:P6))</f>
        <v>0</v>
      </c>
      <c r="Q31" s="217">
        <f>P31</f>
        <v>0</v>
      </c>
      <c r="R31" s="216">
        <f>IF(SUM(IncStmt!C6:D6,IncStmt!F6:H6,IncStmt!J6:L6,IncStmt!N6:P6,IncStmt!R6)=0,0,Value!R6/SUM(IncStmt!C6:D6,IncStmt!F6:H6,IncStmt!J6:L6,IncStmt!N6:P6,IncStmt!R6))</f>
        <v>0</v>
      </c>
      <c r="S31" s="216">
        <f>IF(SUM(IncStmt!D6,IncStmt!F6:H6,IncStmt!J6:L6,IncStmt!N6:P6,IncStmt!R6:S6)=0,0,Value!S6/SUM(IncStmt!D6,IncStmt!F6:H6,IncStmt!J6:L6,IncStmt!N6:P6,IncStmt!R6:S6))</f>
        <v>0</v>
      </c>
      <c r="T31" s="216">
        <f>IF(SUM(IncStmt!F6:H6,IncStmt!J6:L6,IncStmt!N6:P6,IncStmt!R6:T6)=0,0,Value!T6/SUM(IncStmt!F6:H6,IncStmt!J6:L6,IncStmt!N6:P6,IncStmt!R6:T6))</f>
        <v>0</v>
      </c>
      <c r="U31" s="217">
        <f>T31</f>
        <v>0</v>
      </c>
      <c r="V31" s="216">
        <f>IF(SUM(IncStmt!G6:H6,IncStmt!J6:L6,IncStmt!N6:P6,IncStmt!R6:T6,IncStmt!V6)=0,0,Value!V6/SUM(IncStmt!G6:H6,IncStmt!J6:L6,IncStmt!N6:P6,IncStmt!R6:T6,IncStmt!V6))</f>
        <v>0</v>
      </c>
      <c r="W31" s="216">
        <f>IF(SUM(IncStmt!H6,IncStmt!J6:L6,IncStmt!N6:P6,IncStmt!R6:T6,IncStmt!V6:W6)=0,0,Value!W6/SUM(IncStmt!H6,IncStmt!J6:L6,IncStmt!N6:P6,IncStmt!R6:T6,IncStmt!V6:W6))</f>
        <v>0</v>
      </c>
      <c r="X31" s="216">
        <f>IF(SUM(IncStmt!J6:L6,IncStmt!N6:P6,IncStmt!R6:T6,IncStmt!V6:X6)=0,0,Value!X6/SUM(IncStmt!J6:L6,IncStmt!N6:P6,IncStmt!R6:T6,IncStmt!V6:X6))</f>
        <v>0</v>
      </c>
      <c r="Y31" s="217">
        <f>X31</f>
        <v>0</v>
      </c>
    </row>
    <row r="32" spans="1:25" ht="12.75" customHeight="1" x14ac:dyDescent="0.2">
      <c r="A32" s="191" t="str">
        <f>Labels!B158</f>
        <v>Price Book Multiple</v>
      </c>
      <c r="B32" s="216">
        <f>IF(BalSht!C29=0,0,Value!B6/BalSht!C29)</f>
        <v>0</v>
      </c>
      <c r="C32" s="216">
        <f>IF(BalSht!D29=0,0,Value!C6/BalSht!D29)</f>
        <v>0</v>
      </c>
      <c r="D32" s="216">
        <f>IF(BalSht!E29=0,0,Value!D6/BalSht!E29)</f>
        <v>2.5466392351584934</v>
      </c>
      <c r="E32" s="217">
        <f>IF(BalSht!E29=0,0,Value!D6/BalSht!E29)</f>
        <v>2.5466392351584934</v>
      </c>
      <c r="F32" s="216">
        <f>IF(BalSht!G29=0,0,Value!F6/BalSht!G29)</f>
        <v>1.2567873595147305</v>
      </c>
      <c r="G32" s="216">
        <f>IF(BalSht!H29=0,0,Value!G6/BalSht!H29)</f>
        <v>0.7692873595147306</v>
      </c>
      <c r="H32" s="216">
        <f>IF(BalSht!I29=0,0,Value!H6/BalSht!I29)</f>
        <v>0.84414406364413574</v>
      </c>
      <c r="I32" s="217">
        <f>IF(BalSht!I29=0,0,Value!H6/BalSht!I29)</f>
        <v>0.84414406364413574</v>
      </c>
      <c r="J32" s="216">
        <f>IF(BalSht!K29=0,0,Value!J6/BalSht!K29)</f>
        <v>0.55783899362521472</v>
      </c>
      <c r="K32" s="216">
        <f>IF(BalSht!L29=0,0,Value!K6/BalSht!L29)</f>
        <v>0.40773909379610013</v>
      </c>
      <c r="L32" s="216">
        <f>IF(BalSht!M29=0,0,Value!L6/BalSht!M29)</f>
        <v>0</v>
      </c>
      <c r="M32" s="217">
        <f>IF(BalSht!M29=0,0,Value!L6/BalSht!M29)</f>
        <v>0</v>
      </c>
      <c r="N32" s="216">
        <f>IF(BalSht!O29=0,0,Value!N6/BalSht!O29)</f>
        <v>0</v>
      </c>
      <c r="O32" s="216">
        <f>IF(BalSht!P29=0,0,Value!O6/BalSht!P29)</f>
        <v>0</v>
      </c>
      <c r="P32" s="216">
        <f>IF(BalSht!Q29=0,0,Value!P6/BalSht!Q29)</f>
        <v>0</v>
      </c>
      <c r="Q32" s="217">
        <f>IF(BalSht!Q29=0,0,Value!P6/BalSht!Q29)</f>
        <v>0</v>
      </c>
      <c r="R32" s="216">
        <f>IF(BalSht!S29=0,0,Value!R6/BalSht!S29)</f>
        <v>0</v>
      </c>
      <c r="S32" s="216">
        <f>IF(BalSht!T29=0,0,Value!S6/BalSht!T29)</f>
        <v>0</v>
      </c>
      <c r="T32" s="216">
        <f>IF(BalSht!U29=0,0,Value!T6/BalSht!U29)</f>
        <v>0</v>
      </c>
      <c r="U32" s="217">
        <f>IF(BalSht!U29=0,0,Value!T6/BalSht!U29)</f>
        <v>0</v>
      </c>
      <c r="V32" s="216">
        <f>IF(BalSht!W29=0,0,Value!V6/BalSht!W29)</f>
        <v>0</v>
      </c>
      <c r="W32" s="216">
        <f>IF(BalSht!X29=0,0,Value!W6/BalSht!X29)</f>
        <v>0</v>
      </c>
      <c r="X32" s="216">
        <f>IF(BalSht!Y29=0,0,Value!X6/BalSht!Y29)</f>
        <v>0</v>
      </c>
      <c r="Y32" s="217">
        <f>IF(BalSht!Y29=0,0,Value!X6/BalSht!Y29)</f>
        <v>0</v>
      </c>
    </row>
    <row r="33" spans="1:25" ht="12.75" customHeight="1" x14ac:dyDescent="0.2">
      <c r="A33" s="191" t="str">
        <f>Labels!B65</f>
        <v>Dividend Yield</v>
      </c>
      <c r="B33" s="211">
        <f>0</f>
        <v>0</v>
      </c>
      <c r="C33" s="211">
        <f>0</f>
        <v>0</v>
      </c>
      <c r="D33" s="211">
        <f>0</f>
        <v>0</v>
      </c>
      <c r="E33" s="210">
        <f>0</f>
        <v>0</v>
      </c>
      <c r="F33" s="211">
        <f>0</f>
        <v>0</v>
      </c>
      <c r="G33" s="211">
        <f>0</f>
        <v>0</v>
      </c>
      <c r="H33" s="211">
        <f>0</f>
        <v>0</v>
      </c>
      <c r="I33" s="210">
        <f>0</f>
        <v>0</v>
      </c>
      <c r="J33" s="211">
        <f>0</f>
        <v>0</v>
      </c>
      <c r="K33" s="211">
        <f>0</f>
        <v>0</v>
      </c>
      <c r="L33" s="211">
        <f>0</f>
        <v>0</v>
      </c>
      <c r="M33" s="210">
        <f>0</f>
        <v>0</v>
      </c>
      <c r="N33" s="211">
        <f>0</f>
        <v>0</v>
      </c>
      <c r="O33" s="211">
        <f>0</f>
        <v>0</v>
      </c>
      <c r="P33" s="211" t="str">
        <f>IF(ISERROR(Inputs!R432/Value!P6)," ",Inputs!R432/Value!P6)</f>
        <v xml:space="preserve"> </v>
      </c>
      <c r="Q33" s="210" t="str">
        <f>IF(ISERROR(SUM(Inputs!P432:R432)/Value!P6)," ",SUM(Inputs!P432:R432)/Value!P6)</f>
        <v xml:space="preserve"> </v>
      </c>
      <c r="R33" s="211" t="str">
        <f>IF(ISERROR(Inputs!S432/Value!R6)," ",Inputs!S432/Value!R6)</f>
        <v xml:space="preserve"> </v>
      </c>
      <c r="S33" s="211" t="str">
        <f>IF(ISERROR(Inputs!T432/Value!S6)," ",Inputs!T432/Value!S6)</f>
        <v xml:space="preserve"> </v>
      </c>
      <c r="T33" s="211" t="str">
        <f>IF(ISERROR(Inputs!U432/Value!T6)," ",Inputs!U432/Value!T6)</f>
        <v xml:space="preserve"> </v>
      </c>
      <c r="U33" s="210" t="str">
        <f>IF(ISERROR(SUM(Inputs!S432:U432)/Value!T6)," ",SUM(Inputs!S432:U432)/Value!T6)</f>
        <v xml:space="preserve"> </v>
      </c>
      <c r="V33" s="211" t="str">
        <f>IF(ISERROR(Inputs!V432/Value!V6)," ",Inputs!V432/Value!V6)</f>
        <v xml:space="preserve"> </v>
      </c>
      <c r="W33" s="211" t="str">
        <f>IF(ISERROR(Inputs!W432/Value!W6)," ",Inputs!W432/Value!W6)</f>
        <v xml:space="preserve"> </v>
      </c>
      <c r="X33" s="211" t="str">
        <f>IF(ISERROR(Inputs!X432/Value!X6)," ",Inputs!X432/Value!X6)</f>
        <v xml:space="preserve"> </v>
      </c>
      <c r="Y33" s="210" t="str">
        <f>IF(ISERROR(SUM(Inputs!V432:X432)/Value!X6)," ",SUM(Inputs!V432:X432)/Value!X6)</f>
        <v xml:space="preserve"> </v>
      </c>
    </row>
    <row r="34" spans="1:25" ht="12.75" customHeight="1" x14ac:dyDescent="0.2">
      <c r="A34" s="185" t="str">
        <f>Labels!B53</f>
        <v>Debt Ratio</v>
      </c>
      <c r="B34" s="186">
        <f>IF(BalSht!C13=0,0,BalSht!C24/BalSht!C13)</f>
        <v>0</v>
      </c>
      <c r="C34" s="186">
        <f>IF(BalSht!D13=0,0,BalSht!D24/BalSht!D13)</f>
        <v>0</v>
      </c>
      <c r="D34" s="186">
        <f>IF(BalSht!E13=0,0,BalSht!E24/BalSht!E13)</f>
        <v>0.66395663956639561</v>
      </c>
      <c r="E34" s="187">
        <f>D34</f>
        <v>0.66395663956639561</v>
      </c>
      <c r="F34" s="186">
        <f>IF(BalSht!G13=0,0,BalSht!G24/BalSht!G13)</f>
        <v>0.34959349593495936</v>
      </c>
      <c r="G34" s="186">
        <f>IF(BalSht!H13=0,0,BalSht!H24/BalSht!H13)</f>
        <v>0</v>
      </c>
      <c r="H34" s="186">
        <f>IF(BalSht!I13=0,0,BalSht!I24/BalSht!I13)</f>
        <v>0</v>
      </c>
      <c r="I34" s="187">
        <f>H34</f>
        <v>0</v>
      </c>
      <c r="J34" s="186">
        <f>IF(BalSht!K13=0,0,BalSht!K24/BalSht!K13)</f>
        <v>0</v>
      </c>
      <c r="K34" s="186">
        <f>IF(BalSht!L13=0,0,BalSht!L24/BalSht!L13)</f>
        <v>0</v>
      </c>
      <c r="L34" s="186">
        <f>IF(BalSht!M13=0,0,BalSht!M24/BalSht!M13)</f>
        <v>0</v>
      </c>
      <c r="M34" s="187">
        <f>L34</f>
        <v>0</v>
      </c>
      <c r="N34" s="186">
        <f>IF(BalSht!O13=0,0,BalSht!O24/BalSht!O13)</f>
        <v>0</v>
      </c>
      <c r="O34" s="186">
        <f>IF(BalSht!P13=0,0,BalSht!P24/BalSht!P13)</f>
        <v>0</v>
      </c>
      <c r="P34" s="186">
        <f>IF(BalSht!Q13=0,0,BalSht!Q24/BalSht!Q13)</f>
        <v>0</v>
      </c>
      <c r="Q34" s="187">
        <f>P34</f>
        <v>0</v>
      </c>
      <c r="R34" s="186">
        <f>IF(BalSht!S13=0,0,BalSht!S24/BalSht!S13)</f>
        <v>0</v>
      </c>
      <c r="S34" s="186">
        <f>IF(BalSht!T13=0,0,BalSht!T24/BalSht!T13)</f>
        <v>0</v>
      </c>
      <c r="T34" s="186">
        <f>IF(BalSht!U13=0,0,BalSht!U24/BalSht!U13)</f>
        <v>0</v>
      </c>
      <c r="U34" s="187">
        <f>T34</f>
        <v>0</v>
      </c>
      <c r="V34" s="186">
        <f>IF(BalSht!W13=0,0,BalSht!W24/BalSht!W13)</f>
        <v>0</v>
      </c>
      <c r="W34" s="186">
        <f>IF(BalSht!X13=0,0,BalSht!X24/BalSht!X13)</f>
        <v>0</v>
      </c>
      <c r="X34" s="186">
        <f>IF(BalSht!Y13=0,0,BalSht!Y24/BalSht!Y13)</f>
        <v>0</v>
      </c>
      <c r="Y34" s="187">
        <f>X34</f>
        <v>0</v>
      </c>
    </row>
    <row r="35" spans="1:25" ht="12.75" customHeight="1" x14ac:dyDescent="0.2">
      <c r="A35" s="182" t="str">
        <f>Labels!B114</f>
        <v>IRR Model Time (Yr)</v>
      </c>
      <c r="B35" s="208">
        <f>IF(ISERROR(IRR('(Tables)'!B1462:T1462,(1+Inputs!F443)^(1/12)-1))," ",(1+IRR('(Tables)'!B1462:T1462,(1+Inputs!F443)^(1/12)-1))^12-1)</f>
        <v>3145.5570913601168</v>
      </c>
    </row>
    <row r="36" spans="1:25" ht="12.75" customHeight="1" x14ac:dyDescent="0.2">
      <c r="A36" s="185" t="str">
        <f>Labels!B115</f>
        <v>IRR with Tail (Yr)</v>
      </c>
      <c r="B36" s="187">
        <f>IF(ISERROR(IRR('(Tables)'!B1465:T1465,(1+Inputs!F444)^(1/12)-1))," ",(1+IRR('(Tables)'!B1465:T1465,(1+Inputs!F444)^(1/12)-1))^12-1)</f>
        <v>3145.5570913601168</v>
      </c>
    </row>
    <row r="38" spans="1:25" ht="12.75" customHeight="1" x14ac:dyDescent="0.2">
      <c r="A38" t="s">
        <v>3402</v>
      </c>
      <c r="B38" t="s">
        <v>3402</v>
      </c>
      <c r="C38" t="s">
        <v>3402</v>
      </c>
      <c r="D38" t="s">
        <v>3402</v>
      </c>
      <c r="E38" t="s">
        <v>3402</v>
      </c>
      <c r="F38" t="s">
        <v>3402</v>
      </c>
      <c r="G38" t="s">
        <v>3402</v>
      </c>
      <c r="H38" t="s">
        <v>3402</v>
      </c>
      <c r="I38" t="s">
        <v>3402</v>
      </c>
      <c r="J38" t="s">
        <v>3402</v>
      </c>
      <c r="K38" t="s">
        <v>3402</v>
      </c>
      <c r="L38" t="s">
        <v>3402</v>
      </c>
      <c r="M38" t="s">
        <v>3402</v>
      </c>
      <c r="N38" t="s">
        <v>3402</v>
      </c>
      <c r="O38" t="s">
        <v>3402</v>
      </c>
      <c r="P38" t="s">
        <v>3402</v>
      </c>
      <c r="Q38" t="s">
        <v>3402</v>
      </c>
      <c r="R38" t="s">
        <v>3402</v>
      </c>
      <c r="S38" t="s">
        <v>3402</v>
      </c>
      <c r="T38" t="s">
        <v>3402</v>
      </c>
      <c r="U38" t="s">
        <v>3402</v>
      </c>
      <c r="V38" t="s">
        <v>3402</v>
      </c>
      <c r="W38" t="s">
        <v>3402</v>
      </c>
      <c r="X38" t="s">
        <v>3402</v>
      </c>
      <c r="Y38" t="s">
        <v>3402</v>
      </c>
    </row>
  </sheetData>
  <mergeCells count="4">
    <mergeCell ref="A1:C1"/>
    <mergeCell ref="A2:C2"/>
    <mergeCell ref="A3:C3"/>
    <mergeCell ref="A4:C4"/>
  </mergeCells>
  <pageMargins left="0.25" right="0.25" top="0.5" bottom="0.5" header="0.5" footer="0.5"/>
  <pageSetup paperSize="9" fitToHeight="32767" orientation="landscape" horizontalDpi="300" verticalDpi="300"/>
  <headerFooter alignWithMargins="0"/>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pageSetUpPr fitToPage="1"/>
  </sheetPr>
  <dimension ref="A1:Y466"/>
  <sheetViews>
    <sheetView zoomScaleNormal="100" workbookViewId="0">
      <selection sqref="A1:C1"/>
    </sheetView>
  </sheetViews>
  <sheetFormatPr defaultRowHeight="12.75" customHeight="1" outlineLevelRow="2" x14ac:dyDescent="0.2"/>
  <cols>
    <col min="1" max="1" width="24.140625" customWidth="1"/>
    <col min="2" max="25" width="12.42578125" customWidth="1"/>
  </cols>
  <sheetData>
    <row r="1" spans="1:25" ht="12.75" customHeight="1" x14ac:dyDescent="0.2">
      <c r="A1" s="463" t="str">
        <f>Inputs!F7</f>
        <v xml:space="preserve"> </v>
      </c>
      <c r="B1" s="463"/>
      <c r="C1" s="463"/>
    </row>
    <row r="2" spans="1:25" ht="12.75" customHeight="1" x14ac:dyDescent="0.2">
      <c r="A2" s="463" t="e">
        <f>TEXT('(FnCalls 1)'!A41,"m/d/yyyy")&amp;" to "&amp;TEXT('(FnCalls 1)'!A59-1,"m/d/yyyy")</f>
        <v>#VALUE!</v>
      </c>
      <c r="B2" s="463"/>
      <c r="C2" s="463"/>
    </row>
    <row r="3" spans="1:25" ht="12.75" customHeight="1" x14ac:dyDescent="0.2">
      <c r="A3" s="463" t="str">
        <f>"Practice Areas"</f>
        <v>Practice Areas</v>
      </c>
      <c r="B3" s="463"/>
      <c r="C3" s="463"/>
    </row>
    <row r="4" spans="1:25" ht="12.75" customHeight="1" x14ac:dyDescent="0.2">
      <c r="A4" s="463" t="str">
        <f>" "</f>
        <v xml:space="preserve"> </v>
      </c>
      <c r="B4" s="463"/>
      <c r="C4" s="463"/>
    </row>
    <row r="5" spans="1:25" ht="12.75" customHeight="1" collapsed="1" x14ac:dyDescent="0.2">
      <c r="A5" s="2" t="str">
        <f>"Summary"</f>
        <v>Summary</v>
      </c>
    </row>
    <row r="6" spans="1:25" ht="12.75" hidden="1" customHeight="1" outlineLevel="1" x14ac:dyDescent="0.2">
      <c r="A6" s="1" t="str">
        <f>" "</f>
        <v xml:space="preserve"> </v>
      </c>
    </row>
    <row r="7" spans="1:25" ht="12.75" hidden="1" customHeight="1" outlineLevel="1" x14ac:dyDescent="0.2">
      <c r="B7" s="9" t="str">
        <f>'(FnCalls 1)'!F41</f>
        <v>MMM 2010</v>
      </c>
      <c r="C7" s="10" t="str">
        <f>'(FnCalls 1)'!F42</f>
        <v>MMM 2010</v>
      </c>
      <c r="D7" s="10" t="str">
        <f>'(FnCalls 1)'!F43</f>
        <v>MMM 2010</v>
      </c>
      <c r="E7" s="181" t="str">
        <f>'(FnCalls 1)'!G41</f>
        <v>Q1 2010</v>
      </c>
      <c r="F7" s="10" t="str">
        <f>'(FnCalls 1)'!F44</f>
        <v>MMM 2010</v>
      </c>
      <c r="G7" s="10" t="str">
        <f>'(FnCalls 1)'!F45</f>
        <v>MMM 2010</v>
      </c>
      <c r="H7" s="10" t="str">
        <f>'(FnCalls 1)'!F46</f>
        <v>MMM 2010</v>
      </c>
      <c r="I7" s="181" t="str">
        <f>'(FnCalls 1)'!G44</f>
        <v>Q2 2010</v>
      </c>
      <c r="J7" s="10" t="str">
        <f>'(FnCalls 1)'!F47</f>
        <v>MMM 2010</v>
      </c>
      <c r="K7" s="10" t="str">
        <f>'(FnCalls 1)'!F48</f>
        <v>MMM 2010</v>
      </c>
      <c r="L7" s="10" t="str">
        <f>'(FnCalls 1)'!F49</f>
        <v>MMM 2010</v>
      </c>
      <c r="M7" s="181" t="str">
        <f>'(FnCalls 1)'!G47</f>
        <v>Q3 2010</v>
      </c>
      <c r="N7" s="10" t="str">
        <f>'(FnCalls 1)'!F50</f>
        <v>MMM 2010</v>
      </c>
      <c r="O7" s="10" t="str">
        <f>'(FnCalls 1)'!F51</f>
        <v>MMM 2010</v>
      </c>
      <c r="P7" s="10" t="str">
        <f>'(FnCalls 1)'!F52</f>
        <v>MMM 2010</v>
      </c>
      <c r="Q7" s="181" t="str">
        <f>'(FnCalls 1)'!G50</f>
        <v>Q4 2010</v>
      </c>
      <c r="R7" s="10" t="str">
        <f>'(FnCalls 1)'!F53</f>
        <v>MMM 2011</v>
      </c>
      <c r="S7" s="10" t="str">
        <f>'(FnCalls 1)'!F54</f>
        <v>MMM 2011</v>
      </c>
      <c r="T7" s="10" t="str">
        <f>'(FnCalls 1)'!F55</f>
        <v>MMM 2011</v>
      </c>
      <c r="U7" s="181" t="str">
        <f>'(FnCalls 1)'!G53</f>
        <v>Q1 2011</v>
      </c>
      <c r="V7" s="10" t="str">
        <f>'(FnCalls 1)'!F56</f>
        <v>MMM 2011</v>
      </c>
      <c r="W7" s="10" t="str">
        <f>'(FnCalls 1)'!F57</f>
        <v>MMM 2011</v>
      </c>
      <c r="X7" s="10" t="str">
        <f>'(FnCalls 1)'!F58</f>
        <v>MMM 2011</v>
      </c>
      <c r="Y7" s="181" t="str">
        <f>'(FnCalls 1)'!G56</f>
        <v>Q2 2011</v>
      </c>
    </row>
    <row r="8" spans="1:25" ht="12.75" hidden="1" customHeight="1" outlineLevel="1" x14ac:dyDescent="0.2">
      <c r="A8" s="182" t="str">
        <f>Labels!B226</f>
        <v>Revenue</v>
      </c>
      <c r="B8" s="183"/>
      <c r="C8" s="183"/>
      <c r="D8" s="183"/>
      <c r="E8" s="184"/>
      <c r="F8" s="183"/>
      <c r="G8" s="183"/>
      <c r="H8" s="183"/>
      <c r="I8" s="184"/>
      <c r="J8" s="183"/>
      <c r="K8" s="183"/>
      <c r="L8" s="183"/>
      <c r="M8" s="184"/>
      <c r="N8" s="183"/>
      <c r="O8" s="183"/>
      <c r="P8" s="183"/>
      <c r="Q8" s="184"/>
      <c r="R8" s="183"/>
      <c r="S8" s="183"/>
      <c r="T8" s="183"/>
      <c r="U8" s="184"/>
      <c r="V8" s="183"/>
      <c r="W8" s="183"/>
      <c r="X8" s="183"/>
      <c r="Y8" s="184"/>
    </row>
    <row r="9" spans="1:25" ht="12.75" hidden="1" customHeight="1" outlineLevel="1" x14ac:dyDescent="0.2">
      <c r="A9" s="188" t="str">
        <f>"   "&amp;Labels!B381</f>
        <v xml:space="preserve">   Practice 1</v>
      </c>
      <c r="B9" s="196">
        <f>SUM(B179:B180)</f>
        <v>0</v>
      </c>
      <c r="C9" s="196">
        <f>SUM(C179:C180)</f>
        <v>0</v>
      </c>
      <c r="D9" s="196">
        <f>SUM(D179:D180)</f>
        <v>112750</v>
      </c>
      <c r="E9" s="197">
        <f>SUM(B9:D9)</f>
        <v>112750</v>
      </c>
      <c r="F9" s="196">
        <f>SUM(F179:F180)</f>
        <v>112750</v>
      </c>
      <c r="G9" s="196">
        <f>SUM(G179:G180)</f>
        <v>0</v>
      </c>
      <c r="H9" s="196">
        <f>SUM(H179:H180)</f>
        <v>82000</v>
      </c>
      <c r="I9" s="197">
        <f>SUM(F9:H9)</f>
        <v>194750</v>
      </c>
      <c r="J9" s="196">
        <f>SUM(J179:J180)</f>
        <v>82000</v>
      </c>
      <c r="K9" s="196">
        <f>SUM(K179:K180)</f>
        <v>82000</v>
      </c>
      <c r="L9" s="196">
        <f>SUM(L179:L180)</f>
        <v>0</v>
      </c>
      <c r="M9" s="197">
        <f>SUM(J9:L9)</f>
        <v>164000</v>
      </c>
      <c r="N9" s="196">
        <f>SUM(N179:N180)</f>
        <v>0</v>
      </c>
      <c r="O9" s="196">
        <f>SUM(O179:O180)</f>
        <v>0</v>
      </c>
      <c r="P9" s="196">
        <f>SUM(P179:P180)</f>
        <v>0</v>
      </c>
      <c r="Q9" s="197">
        <f>SUM(N9:P9)</f>
        <v>0</v>
      </c>
      <c r="R9" s="196">
        <f>SUM(R179:R180)</f>
        <v>0</v>
      </c>
      <c r="S9" s="196">
        <f>SUM(S179:S180)</f>
        <v>0</v>
      </c>
      <c r="T9" s="196">
        <f>SUM(T179:T180)</f>
        <v>0</v>
      </c>
      <c r="U9" s="197">
        <f>SUM(R9:T9)</f>
        <v>0</v>
      </c>
      <c r="V9" s="196">
        <f>SUM(V179:V180)</f>
        <v>0</v>
      </c>
      <c r="W9" s="196">
        <f>SUM(W179:W180)</f>
        <v>0</v>
      </c>
      <c r="X9" s="196">
        <f>SUM(X179:X180)</f>
        <v>0</v>
      </c>
      <c r="Y9" s="197">
        <f>SUM(V9:X9)</f>
        <v>0</v>
      </c>
    </row>
    <row r="10" spans="1:25" ht="12.75" hidden="1" customHeight="1" outlineLevel="1" x14ac:dyDescent="0.2">
      <c r="A10" s="188" t="str">
        <f>"   "&amp;Labels!B382</f>
        <v xml:space="preserve">   Practice 2</v>
      </c>
      <c r="B10" s="196">
        <f>SUM(B183:B184)</f>
        <v>0</v>
      </c>
      <c r="C10" s="196">
        <f>SUM(C183:C184)</f>
        <v>0</v>
      </c>
      <c r="D10" s="196">
        <f>SUM(D183:D184)</f>
        <v>0</v>
      </c>
      <c r="E10" s="197">
        <f>SUM(B10:D10)</f>
        <v>0</v>
      </c>
      <c r="F10" s="196">
        <f>SUM(F183:F184)</f>
        <v>0</v>
      </c>
      <c r="G10" s="196">
        <f>SUM(G183:G184)</f>
        <v>0</v>
      </c>
      <c r="H10" s="196">
        <f>SUM(H183:H184)</f>
        <v>0</v>
      </c>
      <c r="I10" s="197">
        <f>SUM(F10:H10)</f>
        <v>0</v>
      </c>
      <c r="J10" s="196">
        <f>SUM(J183:J184)</f>
        <v>0</v>
      </c>
      <c r="K10" s="196">
        <f>SUM(K183:K184)</f>
        <v>0</v>
      </c>
      <c r="L10" s="196">
        <f>SUM(L183:L184)</f>
        <v>0</v>
      </c>
      <c r="M10" s="197">
        <f>SUM(J10:L10)</f>
        <v>0</v>
      </c>
      <c r="N10" s="196">
        <f>SUM(N183:N184)</f>
        <v>0</v>
      </c>
      <c r="O10" s="196">
        <f>SUM(O183:O184)</f>
        <v>0</v>
      </c>
      <c r="P10" s="196">
        <f>SUM(P183:P184)</f>
        <v>0</v>
      </c>
      <c r="Q10" s="197">
        <f>SUM(N10:P10)</f>
        <v>0</v>
      </c>
      <c r="R10" s="196">
        <f>SUM(R183:R184)</f>
        <v>0</v>
      </c>
      <c r="S10" s="196">
        <f>SUM(S183:S184)</f>
        <v>0</v>
      </c>
      <c r="T10" s="196">
        <f>SUM(T183:T184)</f>
        <v>0</v>
      </c>
      <c r="U10" s="197">
        <f>SUM(R10:T10)</f>
        <v>0</v>
      </c>
      <c r="V10" s="196">
        <f>SUM(V183:V184)</f>
        <v>0</v>
      </c>
      <c r="W10" s="196">
        <f>SUM(W183:W184)</f>
        <v>0</v>
      </c>
      <c r="X10" s="196">
        <f>SUM(X183:X184)</f>
        <v>0</v>
      </c>
      <c r="Y10" s="197">
        <f>SUM(V10:X10)</f>
        <v>0</v>
      </c>
    </row>
    <row r="11" spans="1:25" ht="12.75" hidden="1" customHeight="1" outlineLevel="1" x14ac:dyDescent="0.2">
      <c r="A11" s="185" t="str">
        <f>"   "&amp;Labels!C380</f>
        <v xml:space="preserve">   Total</v>
      </c>
      <c r="B11" s="176">
        <f>SUM(B9:B10)</f>
        <v>0</v>
      </c>
      <c r="C11" s="176">
        <f>SUM(C9:C10)</f>
        <v>0</v>
      </c>
      <c r="D11" s="176">
        <f>SUM(D9:D10)</f>
        <v>112750</v>
      </c>
      <c r="E11" s="193">
        <f>SUM(B11:D11)</f>
        <v>112750</v>
      </c>
      <c r="F11" s="176">
        <f>SUM(F9:F10)</f>
        <v>112750</v>
      </c>
      <c r="G11" s="176">
        <f>SUM(G9:G10)</f>
        <v>0</v>
      </c>
      <c r="H11" s="176">
        <f>SUM(H9:H10)</f>
        <v>82000</v>
      </c>
      <c r="I11" s="193">
        <f>SUM(F11:H11)</f>
        <v>194750</v>
      </c>
      <c r="J11" s="176">
        <f>SUM(J9:J10)</f>
        <v>82000</v>
      </c>
      <c r="K11" s="176">
        <f>SUM(K9:K10)</f>
        <v>82000</v>
      </c>
      <c r="L11" s="176">
        <f>SUM(L9:L10)</f>
        <v>0</v>
      </c>
      <c r="M11" s="193">
        <f>SUM(J11:L11)</f>
        <v>164000</v>
      </c>
      <c r="N11" s="176">
        <f>SUM(N9:N10)</f>
        <v>0</v>
      </c>
      <c r="O11" s="176">
        <f>SUM(O9:O10)</f>
        <v>0</v>
      </c>
      <c r="P11" s="176">
        <f>SUM(P9:P10)</f>
        <v>0</v>
      </c>
      <c r="Q11" s="193">
        <f>SUM(N11:P11)</f>
        <v>0</v>
      </c>
      <c r="R11" s="176">
        <f>SUM(R9:R10)</f>
        <v>0</v>
      </c>
      <c r="S11" s="176">
        <f>SUM(S9:S10)</f>
        <v>0</v>
      </c>
      <c r="T11" s="176">
        <f>SUM(T9:T10)</f>
        <v>0</v>
      </c>
      <c r="U11" s="193">
        <f>SUM(R11:T11)</f>
        <v>0</v>
      </c>
      <c r="V11" s="176">
        <f>SUM(V9:V10)</f>
        <v>0</v>
      </c>
      <c r="W11" s="176">
        <f>SUM(W9:W10)</f>
        <v>0</v>
      </c>
      <c r="X11" s="176">
        <f>SUM(X9:X10)</f>
        <v>0</v>
      </c>
      <c r="Y11" s="193">
        <f>SUM(V11:X11)</f>
        <v>0</v>
      </c>
    </row>
    <row r="12" spans="1:25" ht="12.75" hidden="1" customHeight="1" outlineLevel="1" x14ac:dyDescent="0.2"/>
    <row r="13" spans="1:25" ht="12.75" hidden="1" customHeight="1" outlineLevel="1" x14ac:dyDescent="0.2">
      <c r="A13" s="182" t="str">
        <f>Labels!B42</f>
        <v>Cost of Services</v>
      </c>
      <c r="B13" s="183"/>
      <c r="C13" s="183"/>
      <c r="D13" s="183"/>
      <c r="E13" s="184"/>
      <c r="F13" s="183"/>
      <c r="G13" s="183"/>
      <c r="H13" s="183"/>
      <c r="I13" s="184"/>
      <c r="J13" s="183"/>
      <c r="K13" s="183"/>
      <c r="L13" s="183"/>
      <c r="M13" s="184"/>
      <c r="N13" s="183"/>
      <c r="O13" s="183"/>
      <c r="P13" s="183"/>
      <c r="Q13" s="184"/>
      <c r="R13" s="183"/>
      <c r="S13" s="183"/>
      <c r="T13" s="183"/>
      <c r="U13" s="184"/>
      <c r="V13" s="183"/>
      <c r="W13" s="183"/>
      <c r="X13" s="183"/>
      <c r="Y13" s="184"/>
    </row>
    <row r="14" spans="1:25" ht="12.75" hidden="1" customHeight="1" outlineLevel="1" x14ac:dyDescent="0.2">
      <c r="A14" s="188" t="str">
        <f>"   "&amp;Labels!B381</f>
        <v xml:space="preserve">   Practice 1</v>
      </c>
      <c r="B14" s="196">
        <f>SUM(B66,B71)</f>
        <v>0</v>
      </c>
      <c r="C14" s="196">
        <f>SUM(C66,C71)</f>
        <v>0</v>
      </c>
      <c r="D14" s="196">
        <f>SUM(D66,D71)</f>
        <v>2750</v>
      </c>
      <c r="E14" s="197">
        <f>SUM(B14:D14)</f>
        <v>2750</v>
      </c>
      <c r="F14" s="196">
        <f>SUM(F66,F71)</f>
        <v>2750</v>
      </c>
      <c r="G14" s="196">
        <f>SUM(G66,G71)</f>
        <v>0</v>
      </c>
      <c r="H14" s="196">
        <f>SUM(H66,H71)</f>
        <v>2000</v>
      </c>
      <c r="I14" s="197">
        <f>SUM(F14:H14)</f>
        <v>4750</v>
      </c>
      <c r="J14" s="196">
        <f>SUM(J66,J71)</f>
        <v>30260.89297106001</v>
      </c>
      <c r="K14" s="196">
        <f>SUM(K66,K71)</f>
        <v>30330.591957132838</v>
      </c>
      <c r="L14" s="196">
        <f>SUM(L66,L71)</f>
        <v>0</v>
      </c>
      <c r="M14" s="197">
        <f>SUM(J14:L14)</f>
        <v>60591.484928192847</v>
      </c>
      <c r="N14" s="196">
        <f>SUM(N66,N71)</f>
        <v>0</v>
      </c>
      <c r="O14" s="196">
        <f>SUM(O66,O71)</f>
        <v>0</v>
      </c>
      <c r="P14" s="196">
        <f>SUM(P66,P71)</f>
        <v>0</v>
      </c>
      <c r="Q14" s="197">
        <f>SUM(N14:P14)</f>
        <v>0</v>
      </c>
      <c r="R14" s="196">
        <f>SUM(R66,R71)</f>
        <v>0</v>
      </c>
      <c r="S14" s="196">
        <f>SUM(S66,S71)</f>
        <v>0</v>
      </c>
      <c r="T14" s="196">
        <f>SUM(T66,T71)</f>
        <v>0</v>
      </c>
      <c r="U14" s="197">
        <f>SUM(R14:T14)</f>
        <v>0</v>
      </c>
      <c r="V14" s="196">
        <f>SUM(V66,V71)</f>
        <v>0</v>
      </c>
      <c r="W14" s="196">
        <f>SUM(W66,W71)</f>
        <v>0</v>
      </c>
      <c r="X14" s="196">
        <f>SUM(X66,X71)</f>
        <v>0</v>
      </c>
      <c r="Y14" s="197">
        <f>SUM(V14:X14)</f>
        <v>0</v>
      </c>
    </row>
    <row r="15" spans="1:25" ht="12.75" hidden="1" customHeight="1" outlineLevel="1" x14ac:dyDescent="0.2">
      <c r="A15" s="188" t="str">
        <f>"   "&amp;Labels!B382</f>
        <v xml:space="preserve">   Practice 2</v>
      </c>
      <c r="B15" s="196">
        <f>SUM(B82,B87)</f>
        <v>0</v>
      </c>
      <c r="C15" s="196">
        <f>SUM(C82,C87)</f>
        <v>0</v>
      </c>
      <c r="D15" s="196">
        <f>SUM(D82,D87)</f>
        <v>0</v>
      </c>
      <c r="E15" s="197">
        <f>SUM(B15:D15)</f>
        <v>0</v>
      </c>
      <c r="F15" s="196">
        <f>SUM(F82,F87)</f>
        <v>0</v>
      </c>
      <c r="G15" s="196">
        <f>SUM(G82,G87)</f>
        <v>0</v>
      </c>
      <c r="H15" s="196">
        <f>SUM(H82,H87)</f>
        <v>0</v>
      </c>
      <c r="I15" s="197">
        <f>SUM(F15:H15)</f>
        <v>0</v>
      </c>
      <c r="J15" s="196">
        <f>SUM(J82,J87)</f>
        <v>0</v>
      </c>
      <c r="K15" s="196">
        <f>SUM(K82,K87)</f>
        <v>0</v>
      </c>
      <c r="L15" s="196">
        <f>SUM(L82,L87)</f>
        <v>0</v>
      </c>
      <c r="M15" s="197">
        <f>SUM(J15:L15)</f>
        <v>0</v>
      </c>
      <c r="N15" s="196">
        <f>SUM(N82,N87)</f>
        <v>0</v>
      </c>
      <c r="O15" s="196">
        <f>SUM(O82,O87)</f>
        <v>0</v>
      </c>
      <c r="P15" s="196">
        <f>SUM(P82,P87)</f>
        <v>0</v>
      </c>
      <c r="Q15" s="197">
        <f>SUM(N15:P15)</f>
        <v>0</v>
      </c>
      <c r="R15" s="196">
        <f>SUM(R82,R87)</f>
        <v>0</v>
      </c>
      <c r="S15" s="196">
        <f>SUM(S82,S87)</f>
        <v>0</v>
      </c>
      <c r="T15" s="196">
        <f>SUM(T82,T87)</f>
        <v>0</v>
      </c>
      <c r="U15" s="197">
        <f>SUM(R15:T15)</f>
        <v>0</v>
      </c>
      <c r="V15" s="196">
        <f>SUM(V82,V87)</f>
        <v>0</v>
      </c>
      <c r="W15" s="196">
        <f>SUM(W82,W87)</f>
        <v>0</v>
      </c>
      <c r="X15" s="196">
        <f>SUM(X82,X87)</f>
        <v>0</v>
      </c>
      <c r="Y15" s="197">
        <f>SUM(V15:X15)</f>
        <v>0</v>
      </c>
    </row>
    <row r="16" spans="1:25" ht="12.75" hidden="1" customHeight="1" outlineLevel="1" x14ac:dyDescent="0.2">
      <c r="A16" s="185" t="str">
        <f>"   "&amp;Labels!C380</f>
        <v xml:space="preserve">   Total</v>
      </c>
      <c r="B16" s="176">
        <f>SUM(B105:B107)</f>
        <v>0</v>
      </c>
      <c r="C16" s="176">
        <f>SUM(C105:C107)</f>
        <v>0</v>
      </c>
      <c r="D16" s="176">
        <f>SUM(D105:D107)</f>
        <v>2750</v>
      </c>
      <c r="E16" s="193">
        <f>SUM(B16:D16)</f>
        <v>2750</v>
      </c>
      <c r="F16" s="176">
        <f>SUM(F105:F107)</f>
        <v>2750</v>
      </c>
      <c r="G16" s="176">
        <f>SUM(G105:G107)</f>
        <v>0</v>
      </c>
      <c r="H16" s="176">
        <f>SUM(H105:H107)</f>
        <v>2000</v>
      </c>
      <c r="I16" s="193">
        <f>SUM(F16:H16)</f>
        <v>4750</v>
      </c>
      <c r="J16" s="176">
        <f>SUM(J105:J107)</f>
        <v>30260.89297106001</v>
      </c>
      <c r="K16" s="176">
        <f>SUM(K105:K107)</f>
        <v>30330.591957132838</v>
      </c>
      <c r="L16" s="176">
        <f>SUM(L105:L107)</f>
        <v>0</v>
      </c>
      <c r="M16" s="193">
        <f>SUM(J16:L16)</f>
        <v>60591.484928192847</v>
      </c>
      <c r="N16" s="176">
        <f>SUM(N105:N107)</f>
        <v>0</v>
      </c>
      <c r="O16" s="176">
        <f>SUM(O105:O107)</f>
        <v>0</v>
      </c>
      <c r="P16" s="176">
        <f>SUM(P105:P107)</f>
        <v>0</v>
      </c>
      <c r="Q16" s="193">
        <f>SUM(N16:P16)</f>
        <v>0</v>
      </c>
      <c r="R16" s="176">
        <f>SUM(R105:R107)</f>
        <v>0</v>
      </c>
      <c r="S16" s="176">
        <f>SUM(S105:S107)</f>
        <v>0</v>
      </c>
      <c r="T16" s="176">
        <f>SUM(T105:T107)</f>
        <v>0</v>
      </c>
      <c r="U16" s="193">
        <f>SUM(R16:T16)</f>
        <v>0</v>
      </c>
      <c r="V16" s="176">
        <f>SUM(V105:V107)</f>
        <v>0</v>
      </c>
      <c r="W16" s="176">
        <f>SUM(W105:W107)</f>
        <v>0</v>
      </c>
      <c r="X16" s="176">
        <f>SUM(X105:X107)</f>
        <v>0</v>
      </c>
      <c r="Y16" s="193">
        <f>SUM(V16:X16)</f>
        <v>0</v>
      </c>
    </row>
    <row r="17" spans="1:25" ht="12.75" hidden="1" customHeight="1" outlineLevel="1" x14ac:dyDescent="0.2"/>
    <row r="18" spans="1:25" ht="12.75" hidden="1" customHeight="1" outlineLevel="1" x14ac:dyDescent="0.2">
      <c r="A18" s="182" t="str">
        <f>Labels!B381</f>
        <v>Practice 1</v>
      </c>
      <c r="B18" s="13"/>
      <c r="C18" s="13"/>
      <c r="D18" s="13"/>
      <c r="E18" s="182"/>
      <c r="F18" s="13"/>
      <c r="G18" s="13"/>
      <c r="H18" s="13"/>
      <c r="I18" s="182"/>
      <c r="J18" s="13"/>
      <c r="K18" s="13"/>
      <c r="L18" s="13"/>
      <c r="M18" s="182"/>
      <c r="N18" s="13"/>
      <c r="O18" s="13"/>
      <c r="P18" s="13"/>
      <c r="Q18" s="182"/>
      <c r="R18" s="13"/>
      <c r="S18" s="13"/>
      <c r="T18" s="13"/>
      <c r="U18" s="182"/>
      <c r="V18" s="13"/>
      <c r="W18" s="13"/>
      <c r="X18" s="13"/>
      <c r="Y18" s="182"/>
    </row>
    <row r="19" spans="1:25" ht="12.75" hidden="1" customHeight="1" outlineLevel="1" x14ac:dyDescent="0.2">
      <c r="A19" s="188" t="str">
        <f>"   "&amp;Labels!B98</f>
        <v xml:space="preserve">   Gross Margin</v>
      </c>
      <c r="B19" s="196">
        <f>SUM(B262,B265)</f>
        <v>0</v>
      </c>
      <c r="C19" s="196">
        <f>SUM(C262,C265)</f>
        <v>0</v>
      </c>
      <c r="D19" s="196">
        <f>SUM(D262,D265)</f>
        <v>110000</v>
      </c>
      <c r="E19" s="197">
        <f>SUM(B19:D19)</f>
        <v>110000</v>
      </c>
      <c r="F19" s="196">
        <f>SUM(F262,F265)</f>
        <v>110000</v>
      </c>
      <c r="G19" s="196">
        <f>SUM(G262,G265)</f>
        <v>0</v>
      </c>
      <c r="H19" s="196">
        <f>SUM(H262,H265)</f>
        <v>80000</v>
      </c>
      <c r="I19" s="197">
        <f>SUM(F19:H19)</f>
        <v>190000</v>
      </c>
      <c r="J19" s="196">
        <f>SUM(J262,J265)</f>
        <v>51739.107028939994</v>
      </c>
      <c r="K19" s="196">
        <f>SUM(K262,K265)</f>
        <v>37504.112064300745</v>
      </c>
      <c r="L19" s="196">
        <f>SUM(L262,L265)</f>
        <v>0</v>
      </c>
      <c r="M19" s="197">
        <f>SUM(J19:L19)</f>
        <v>89243.219093240739</v>
      </c>
      <c r="N19" s="196">
        <f>SUM(N262,N265)</f>
        <v>0</v>
      </c>
      <c r="O19" s="196">
        <f>SUM(O262,O265)</f>
        <v>0</v>
      </c>
      <c r="P19" s="196">
        <f>SUM(P262,P265)</f>
        <v>0</v>
      </c>
      <c r="Q19" s="197">
        <f>SUM(N19:P19)</f>
        <v>0</v>
      </c>
      <c r="R19" s="196">
        <f>SUM(R262,R265)</f>
        <v>0</v>
      </c>
      <c r="S19" s="196">
        <f>SUM(S262,S265)</f>
        <v>0</v>
      </c>
      <c r="T19" s="196">
        <f>SUM(T262,T265)</f>
        <v>0</v>
      </c>
      <c r="U19" s="197">
        <f>SUM(R19:T19)</f>
        <v>0</v>
      </c>
      <c r="V19" s="196">
        <f>SUM(V262,V265)</f>
        <v>0</v>
      </c>
      <c r="W19" s="196">
        <f>SUM(W262,W265)</f>
        <v>0</v>
      </c>
      <c r="X19" s="196">
        <f>SUM(X262,X265)</f>
        <v>0</v>
      </c>
      <c r="Y19" s="197">
        <f>SUM(V19:X19)</f>
        <v>0</v>
      </c>
    </row>
    <row r="20" spans="1:25" ht="12.75" hidden="1" customHeight="1" outlineLevel="1" x14ac:dyDescent="0.2">
      <c r="A20" s="188" t="str">
        <f>"   "&amp;Labels!B100</f>
        <v xml:space="preserve">   Gross Margin %</v>
      </c>
      <c r="B20" s="218">
        <f>IF(B9=0,0,B19/B9)</f>
        <v>0</v>
      </c>
      <c r="C20" s="218">
        <f>IF(C9=0,0,C19/C9)</f>
        <v>0</v>
      </c>
      <c r="D20" s="218">
        <f>IF(D9=0,0,D19/D9)</f>
        <v>0.97560975609756095</v>
      </c>
      <c r="E20" s="219">
        <f>IF(SUM(B9:D9)=0,0,SUM(B19:D19)/SUM(B9:D9))</f>
        <v>0.97560975609756095</v>
      </c>
      <c r="F20" s="218">
        <f>IF(F9=0,0,F19/F9)</f>
        <v>0.97560975609756095</v>
      </c>
      <c r="G20" s="218">
        <f>IF(G9=0,0,G19/G9)</f>
        <v>0</v>
      </c>
      <c r="H20" s="218">
        <f>IF(H9=0,0,H19/H9)</f>
        <v>0.97560975609756095</v>
      </c>
      <c r="I20" s="219">
        <f>IF(SUM(F9:H9)=0,0,SUM(F19:H19)/SUM(F9:H9))</f>
        <v>0.97560975609756095</v>
      </c>
      <c r="J20" s="218">
        <f>IF(J9=0,0,J19/J9)</f>
        <v>0.63096471986512193</v>
      </c>
      <c r="K20" s="218">
        <f>IF(K9=0,0,K19/K9)</f>
        <v>0.45736722029635057</v>
      </c>
      <c r="L20" s="218">
        <f>IF(L9=0,0,L19/L9)</f>
        <v>0</v>
      </c>
      <c r="M20" s="219">
        <f>IF(SUM(J9:L9)=0,0,SUM(J19:L19)/SUM(J9:L9))</f>
        <v>0.54416597008073619</v>
      </c>
      <c r="N20" s="218">
        <f>IF(N9=0,0,N19/N9)</f>
        <v>0</v>
      </c>
      <c r="O20" s="218">
        <f>IF(O9=0,0,O19/O9)</f>
        <v>0</v>
      </c>
      <c r="P20" s="218">
        <f>IF(P9=0,0,P19/P9)</f>
        <v>0</v>
      </c>
      <c r="Q20" s="219">
        <f>IF(SUM(N9:P9)=0,0,SUM(N19:P19)/SUM(N9:P9))</f>
        <v>0</v>
      </c>
      <c r="R20" s="218">
        <f>IF(R9=0,0,R19/R9)</f>
        <v>0</v>
      </c>
      <c r="S20" s="218">
        <f>IF(S9=0,0,S19/S9)</f>
        <v>0</v>
      </c>
      <c r="T20" s="218">
        <f>IF(T9=0,0,T19/T9)</f>
        <v>0</v>
      </c>
      <c r="U20" s="219">
        <f>IF(SUM(R9:T9)=0,0,SUM(R19:T19)/SUM(R9:T9))</f>
        <v>0</v>
      </c>
      <c r="V20" s="218">
        <f>IF(V9=0,0,V19/V9)</f>
        <v>0</v>
      </c>
      <c r="W20" s="218">
        <f>IF(W9=0,0,W19/W9)</f>
        <v>0</v>
      </c>
      <c r="X20" s="218">
        <f>IF(X9=0,0,X19/X9)</f>
        <v>0</v>
      </c>
      <c r="Y20" s="219">
        <f>IF(SUM(V9:X9)=0,0,SUM(V19:X19)/SUM(V9:X9))</f>
        <v>0</v>
      </c>
    </row>
    <row r="21" spans="1:25" ht="12.75" hidden="1" customHeight="1" outlineLevel="1" x14ac:dyDescent="0.2">
      <c r="A21" s="191" t="str">
        <f>Labels!B382</f>
        <v>Practice 2</v>
      </c>
      <c r="B21" s="3"/>
      <c r="C21" s="3"/>
      <c r="D21" s="3"/>
      <c r="E21" s="191"/>
      <c r="F21" s="3"/>
      <c r="G21" s="3"/>
      <c r="H21" s="3"/>
      <c r="I21" s="191"/>
      <c r="J21" s="3"/>
      <c r="K21" s="3"/>
      <c r="L21" s="3"/>
      <c r="M21" s="191"/>
      <c r="N21" s="3"/>
      <c r="O21" s="3"/>
      <c r="P21" s="3"/>
      <c r="Q21" s="191"/>
      <c r="R21" s="3"/>
      <c r="S21" s="3"/>
      <c r="T21" s="3"/>
      <c r="U21" s="191"/>
      <c r="V21" s="3"/>
      <c r="W21" s="3"/>
      <c r="X21" s="3"/>
      <c r="Y21" s="191"/>
    </row>
    <row r="22" spans="1:25" ht="12.75" hidden="1" customHeight="1" outlineLevel="1" x14ac:dyDescent="0.2">
      <c r="A22" s="188" t="str">
        <f>"   "&amp;Labels!B98</f>
        <v xml:space="preserve">   Gross Margin</v>
      </c>
      <c r="B22" s="196">
        <f>SUM(B272,B275)</f>
        <v>0</v>
      </c>
      <c r="C22" s="196">
        <f>SUM(C272,C275)</f>
        <v>0</v>
      </c>
      <c r="D22" s="196">
        <f>SUM(D272,D275)</f>
        <v>0</v>
      </c>
      <c r="E22" s="197">
        <f>SUM(B22:D22)</f>
        <v>0</v>
      </c>
      <c r="F22" s="196">
        <f>SUM(F272,F275)</f>
        <v>0</v>
      </c>
      <c r="G22" s="196">
        <f>SUM(G272,G275)</f>
        <v>0</v>
      </c>
      <c r="H22" s="196">
        <f>SUM(H272,H275)</f>
        <v>0</v>
      </c>
      <c r="I22" s="197">
        <f>SUM(F22:H22)</f>
        <v>0</v>
      </c>
      <c r="J22" s="196">
        <f>SUM(J272,J275)</f>
        <v>0</v>
      </c>
      <c r="K22" s="196">
        <f>SUM(K272,K275)</f>
        <v>0</v>
      </c>
      <c r="L22" s="196">
        <f>SUM(L272,L275)</f>
        <v>0</v>
      </c>
      <c r="M22" s="197">
        <f>SUM(J22:L22)</f>
        <v>0</v>
      </c>
      <c r="N22" s="196">
        <f>SUM(N272,N275)</f>
        <v>0</v>
      </c>
      <c r="O22" s="196">
        <f>SUM(O272,O275)</f>
        <v>0</v>
      </c>
      <c r="P22" s="196">
        <f>SUM(P272,P275)</f>
        <v>0</v>
      </c>
      <c r="Q22" s="197">
        <f>SUM(N22:P22)</f>
        <v>0</v>
      </c>
      <c r="R22" s="196">
        <f>SUM(R272,R275)</f>
        <v>0</v>
      </c>
      <c r="S22" s="196">
        <f>SUM(S272,S275)</f>
        <v>0</v>
      </c>
      <c r="T22" s="196">
        <f>SUM(T272,T275)</f>
        <v>0</v>
      </c>
      <c r="U22" s="197">
        <f>SUM(R22:T22)</f>
        <v>0</v>
      </c>
      <c r="V22" s="196">
        <f>SUM(V272,V275)</f>
        <v>0</v>
      </c>
      <c r="W22" s="196">
        <f>SUM(W272,W275)</f>
        <v>0</v>
      </c>
      <c r="X22" s="196">
        <f>SUM(X272,X275)</f>
        <v>0</v>
      </c>
      <c r="Y22" s="197">
        <f>SUM(V22:X22)</f>
        <v>0</v>
      </c>
    </row>
    <row r="23" spans="1:25" ht="12.75" hidden="1" customHeight="1" outlineLevel="1" x14ac:dyDescent="0.2">
      <c r="A23" s="188" t="str">
        <f>"   "&amp;Labels!B100</f>
        <v xml:space="preserve">   Gross Margin %</v>
      </c>
      <c r="B23" s="218">
        <f>IF(B10=0,0,B22/B10)</f>
        <v>0</v>
      </c>
      <c r="C23" s="218">
        <f>IF(C10=0,0,C22/C10)</f>
        <v>0</v>
      </c>
      <c r="D23" s="218">
        <f>IF(D10=0,0,D22/D10)</f>
        <v>0</v>
      </c>
      <c r="E23" s="219">
        <f>IF(SUM(B10:D10)=0,0,SUM(B22:D22)/SUM(B10:D10))</f>
        <v>0</v>
      </c>
      <c r="F23" s="218">
        <f>IF(F10=0,0,F22/F10)</f>
        <v>0</v>
      </c>
      <c r="G23" s="218">
        <f>IF(G10=0,0,G22/G10)</f>
        <v>0</v>
      </c>
      <c r="H23" s="218">
        <f>IF(H10=0,0,H22/H10)</f>
        <v>0</v>
      </c>
      <c r="I23" s="219">
        <f>IF(SUM(F10:H10)=0,0,SUM(F22:H22)/SUM(F10:H10))</f>
        <v>0</v>
      </c>
      <c r="J23" s="218">
        <f>IF(J10=0,0,J22/J10)</f>
        <v>0</v>
      </c>
      <c r="K23" s="218">
        <f>IF(K10=0,0,K22/K10)</f>
        <v>0</v>
      </c>
      <c r="L23" s="218">
        <f>IF(L10=0,0,L22/L10)</f>
        <v>0</v>
      </c>
      <c r="M23" s="219">
        <f>IF(SUM(J10:L10)=0,0,SUM(J22:L22)/SUM(J10:L10))</f>
        <v>0</v>
      </c>
      <c r="N23" s="218">
        <f>IF(N10=0,0,N22/N10)</f>
        <v>0</v>
      </c>
      <c r="O23" s="218">
        <f>IF(O10=0,0,O22/O10)</f>
        <v>0</v>
      </c>
      <c r="P23" s="218">
        <f>IF(P10=0,0,P22/P10)</f>
        <v>0</v>
      </c>
      <c r="Q23" s="219">
        <f>IF(SUM(N10:P10)=0,0,SUM(N22:P22)/SUM(N10:P10))</f>
        <v>0</v>
      </c>
      <c r="R23" s="218">
        <f>IF(R10=0,0,R22/R10)</f>
        <v>0</v>
      </c>
      <c r="S23" s="218">
        <f>IF(S10=0,0,S22/S10)</f>
        <v>0</v>
      </c>
      <c r="T23" s="218">
        <f>IF(T10=0,0,T22/T10)</f>
        <v>0</v>
      </c>
      <c r="U23" s="219">
        <f>IF(SUM(R10:T10)=0,0,SUM(R22:T22)/SUM(R10:T10))</f>
        <v>0</v>
      </c>
      <c r="V23" s="218">
        <f>IF(V10=0,0,V22/V10)</f>
        <v>0</v>
      </c>
      <c r="W23" s="218">
        <f>IF(W10=0,0,W22/W10)</f>
        <v>0</v>
      </c>
      <c r="X23" s="218">
        <f>IF(X10=0,0,X22/X10)</f>
        <v>0</v>
      </c>
      <c r="Y23" s="219">
        <f>IF(SUM(V10:X10)=0,0,SUM(V22:X22)/SUM(V10:X10))</f>
        <v>0</v>
      </c>
    </row>
    <row r="24" spans="1:25" ht="12.75" hidden="1" customHeight="1" outlineLevel="1" x14ac:dyDescent="0.2">
      <c r="A24" s="97" t="str">
        <f>Labels!C380</f>
        <v>Total</v>
      </c>
      <c r="B24" s="6"/>
      <c r="C24" s="6"/>
      <c r="D24" s="6"/>
      <c r="E24" s="97"/>
      <c r="F24" s="6"/>
      <c r="G24" s="6"/>
      <c r="H24" s="6"/>
      <c r="I24" s="97"/>
      <c r="J24" s="6"/>
      <c r="K24" s="6"/>
      <c r="L24" s="6"/>
      <c r="M24" s="97"/>
      <c r="N24" s="6"/>
      <c r="O24" s="6"/>
      <c r="P24" s="6"/>
      <c r="Q24" s="97"/>
      <c r="R24" s="6"/>
      <c r="S24" s="6"/>
      <c r="T24" s="6"/>
      <c r="U24" s="97"/>
      <c r="V24" s="6"/>
      <c r="W24" s="6"/>
      <c r="X24" s="6"/>
      <c r="Y24" s="97"/>
    </row>
    <row r="25" spans="1:25" ht="12.75" hidden="1" customHeight="1" outlineLevel="1" x14ac:dyDescent="0.2">
      <c r="A25" s="188" t="str">
        <f>"   "&amp;Labels!B98</f>
        <v xml:space="preserve">   Gross Margin</v>
      </c>
      <c r="B25" s="196">
        <f>SUM(B19,B22)</f>
        <v>0</v>
      </c>
      <c r="C25" s="196">
        <f>SUM(C19,C22)</f>
        <v>0</v>
      </c>
      <c r="D25" s="196">
        <f>SUM(D19,D22)</f>
        <v>110000</v>
      </c>
      <c r="E25" s="197">
        <f>SUM(B25:D25)</f>
        <v>110000</v>
      </c>
      <c r="F25" s="196">
        <f>SUM(F19,F22)</f>
        <v>110000</v>
      </c>
      <c r="G25" s="196">
        <f>SUM(G19,G22)</f>
        <v>0</v>
      </c>
      <c r="H25" s="196">
        <f>SUM(H19,H22)</f>
        <v>80000</v>
      </c>
      <c r="I25" s="197">
        <f>SUM(F25:H25)</f>
        <v>190000</v>
      </c>
      <c r="J25" s="196">
        <f>SUM(J19,J22)</f>
        <v>51739.107028939994</v>
      </c>
      <c r="K25" s="196">
        <f>SUM(K19,K22)</f>
        <v>37504.112064300745</v>
      </c>
      <c r="L25" s="196">
        <f>SUM(L19,L22)</f>
        <v>0</v>
      </c>
      <c r="M25" s="197">
        <f>SUM(J25:L25)</f>
        <v>89243.219093240739</v>
      </c>
      <c r="N25" s="196">
        <f>SUM(N19,N22)</f>
        <v>0</v>
      </c>
      <c r="O25" s="196">
        <f>SUM(O19,O22)</f>
        <v>0</v>
      </c>
      <c r="P25" s="196">
        <f>SUM(P19,P22)</f>
        <v>0</v>
      </c>
      <c r="Q25" s="197">
        <f>SUM(N25:P25)</f>
        <v>0</v>
      </c>
      <c r="R25" s="196">
        <f>SUM(R19,R22)</f>
        <v>0</v>
      </c>
      <c r="S25" s="196">
        <f>SUM(S19,S22)</f>
        <v>0</v>
      </c>
      <c r="T25" s="196">
        <f>SUM(T19,T22)</f>
        <v>0</v>
      </c>
      <c r="U25" s="197">
        <f>SUM(R25:T25)</f>
        <v>0</v>
      </c>
      <c r="V25" s="196">
        <f>SUM(V19,V22)</f>
        <v>0</v>
      </c>
      <c r="W25" s="196">
        <f>SUM(W19,W22)</f>
        <v>0</v>
      </c>
      <c r="X25" s="196">
        <f>SUM(X19,X22)</f>
        <v>0</v>
      </c>
      <c r="Y25" s="197">
        <f>SUM(V25:X25)</f>
        <v>0</v>
      </c>
    </row>
    <row r="26" spans="1:25" ht="12.75" hidden="1" customHeight="1" outlineLevel="1" x14ac:dyDescent="0.2">
      <c r="A26" s="220" t="str">
        <f>"   "&amp;Labels!B100</f>
        <v xml:space="preserve">   Gross Margin %</v>
      </c>
      <c r="B26" s="221">
        <f>IF(B11=0,0,B25/B11)</f>
        <v>0</v>
      </c>
      <c r="C26" s="221">
        <f>IF(C11=0,0,C25/C11)</f>
        <v>0</v>
      </c>
      <c r="D26" s="221">
        <f>IF(D11=0,0,D25/D11)</f>
        <v>0.97560975609756095</v>
      </c>
      <c r="E26" s="222">
        <f>IF(SUM(B11:D11)=0,0,SUM(B25:D25)/SUM(B11:D11))</f>
        <v>0.97560975609756095</v>
      </c>
      <c r="F26" s="221">
        <f>IF(F11=0,0,F25/F11)</f>
        <v>0.97560975609756095</v>
      </c>
      <c r="G26" s="221">
        <f>IF(G11=0,0,G25/G11)</f>
        <v>0</v>
      </c>
      <c r="H26" s="221">
        <f>IF(H11=0,0,H25/H11)</f>
        <v>0.97560975609756095</v>
      </c>
      <c r="I26" s="222">
        <f>IF(SUM(F11:H11)=0,0,SUM(F25:H25)/SUM(F11:H11))</f>
        <v>0.97560975609756095</v>
      </c>
      <c r="J26" s="221">
        <f>IF(J11=0,0,J25/J11)</f>
        <v>0.63096471986512193</v>
      </c>
      <c r="K26" s="221">
        <f>IF(K11=0,0,K25/K11)</f>
        <v>0.45736722029635057</v>
      </c>
      <c r="L26" s="221">
        <f>IF(L11=0,0,L25/L11)</f>
        <v>0</v>
      </c>
      <c r="M26" s="222">
        <f>IF(SUM(J11:L11)=0,0,SUM(J25:L25)/SUM(J11:L11))</f>
        <v>0.54416597008073619</v>
      </c>
      <c r="N26" s="221">
        <f>IF(N11=0,0,N25/N11)</f>
        <v>0</v>
      </c>
      <c r="O26" s="221">
        <f>IF(O11=0,0,O25/O11)</f>
        <v>0</v>
      </c>
      <c r="P26" s="221">
        <f>IF(P11=0,0,P25/P11)</f>
        <v>0</v>
      </c>
      <c r="Q26" s="222">
        <f>IF(SUM(N11:P11)=0,0,SUM(N25:P25)/SUM(N11:P11))</f>
        <v>0</v>
      </c>
      <c r="R26" s="221">
        <f>IF(R11=0,0,R25/R11)</f>
        <v>0</v>
      </c>
      <c r="S26" s="221">
        <f>IF(S11=0,0,S25/S11)</f>
        <v>0</v>
      </c>
      <c r="T26" s="221">
        <f>IF(T11=0,0,T25/T11)</f>
        <v>0</v>
      </c>
      <c r="U26" s="222">
        <f>IF(SUM(R11:T11)=0,0,SUM(R25:T25)/SUM(R11:T11))</f>
        <v>0</v>
      </c>
      <c r="V26" s="221">
        <f>IF(V11=0,0,V25/V11)</f>
        <v>0</v>
      </c>
      <c r="W26" s="221">
        <f>IF(W11=0,0,W25/W11)</f>
        <v>0</v>
      </c>
      <c r="X26" s="221">
        <f>IF(X11=0,0,X25/X11)</f>
        <v>0</v>
      </c>
      <c r="Y26" s="222">
        <f>IF(SUM(V11:X11)=0,0,SUM(V25:X25)/SUM(V11:X11))</f>
        <v>0</v>
      </c>
    </row>
    <row r="27" spans="1:25" ht="12.75" hidden="1" customHeight="1" outlineLevel="1" x14ac:dyDescent="0.2"/>
    <row r="28" spans="1:25" ht="12.75" hidden="1" customHeight="1" outlineLevel="1" x14ac:dyDescent="0.2">
      <c r="A28" s="3" t="str">
        <f>"Billed Hours"</f>
        <v>Billed Hours</v>
      </c>
    </row>
    <row r="29" spans="1:25" ht="12.75" hidden="1" customHeight="1" outlineLevel="2" x14ac:dyDescent="0.2">
      <c r="A29" s="3" t="str">
        <f>" "</f>
        <v xml:space="preserve"> </v>
      </c>
    </row>
    <row r="30" spans="1:25" ht="12.75" hidden="1" customHeight="1" outlineLevel="2" x14ac:dyDescent="0.2">
      <c r="B30" s="9" t="str">
        <f>'(FnCalls 1)'!F41</f>
        <v>MMM 2010</v>
      </c>
      <c r="C30" s="10" t="str">
        <f>'(FnCalls 1)'!F42</f>
        <v>MMM 2010</v>
      </c>
      <c r="D30" s="10" t="str">
        <f>'(FnCalls 1)'!F43</f>
        <v>MMM 2010</v>
      </c>
      <c r="E30" s="181" t="str">
        <f>'(FnCalls 1)'!G41</f>
        <v>Q1 2010</v>
      </c>
      <c r="F30" s="10" t="str">
        <f>'(FnCalls 1)'!F44</f>
        <v>MMM 2010</v>
      </c>
      <c r="G30" s="10" t="str">
        <f>'(FnCalls 1)'!F45</f>
        <v>MMM 2010</v>
      </c>
      <c r="H30" s="10" t="str">
        <f>'(FnCalls 1)'!F46</f>
        <v>MMM 2010</v>
      </c>
      <c r="I30" s="181" t="str">
        <f>'(FnCalls 1)'!G44</f>
        <v>Q2 2010</v>
      </c>
      <c r="J30" s="10" t="str">
        <f>'(FnCalls 1)'!F47</f>
        <v>MMM 2010</v>
      </c>
      <c r="K30" s="10" t="str">
        <f>'(FnCalls 1)'!F48</f>
        <v>MMM 2010</v>
      </c>
      <c r="L30" s="10" t="str">
        <f>'(FnCalls 1)'!F49</f>
        <v>MMM 2010</v>
      </c>
      <c r="M30" s="181" t="str">
        <f>'(FnCalls 1)'!G47</f>
        <v>Q3 2010</v>
      </c>
      <c r="N30" s="10" t="str">
        <f>'(FnCalls 1)'!F50</f>
        <v>MMM 2010</v>
      </c>
      <c r="O30" s="10" t="str">
        <f>'(FnCalls 1)'!F51</f>
        <v>MMM 2010</v>
      </c>
      <c r="P30" s="10" t="str">
        <f>'(FnCalls 1)'!F52</f>
        <v>MMM 2010</v>
      </c>
      <c r="Q30" s="181" t="str">
        <f>'(FnCalls 1)'!G50</f>
        <v>Q4 2010</v>
      </c>
      <c r="R30" s="10" t="str">
        <f>'(FnCalls 1)'!F53</f>
        <v>MMM 2011</v>
      </c>
      <c r="S30" s="10" t="str">
        <f>'(FnCalls 1)'!F54</f>
        <v>MMM 2011</v>
      </c>
      <c r="T30" s="10" t="str">
        <f>'(FnCalls 1)'!F55</f>
        <v>MMM 2011</v>
      </c>
      <c r="U30" s="181" t="str">
        <f>'(FnCalls 1)'!G53</f>
        <v>Q1 2011</v>
      </c>
      <c r="V30" s="10" t="str">
        <f>'(FnCalls 1)'!F56</f>
        <v>MMM 2011</v>
      </c>
      <c r="W30" s="10" t="str">
        <f>'(FnCalls 1)'!F57</f>
        <v>MMM 2011</v>
      </c>
      <c r="X30" s="10" t="str">
        <f>'(FnCalls 1)'!F58</f>
        <v>MMM 2011</v>
      </c>
      <c r="Y30" s="181" t="str">
        <f>'(FnCalls 1)'!G56</f>
        <v>Q2 2011</v>
      </c>
    </row>
    <row r="31" spans="1:25" ht="12.75" hidden="1" customHeight="1" outlineLevel="2" x14ac:dyDescent="0.2">
      <c r="A31" s="182" t="str">
        <f>Labels!B182</f>
        <v>Prof Staff Hours Billed</v>
      </c>
      <c r="B31" s="223"/>
      <c r="C31" s="223"/>
      <c r="D31" s="223"/>
      <c r="E31" s="224"/>
      <c r="F31" s="223"/>
      <c r="G31" s="223"/>
      <c r="H31" s="223"/>
      <c r="I31" s="224"/>
      <c r="J31" s="223"/>
      <c r="K31" s="223"/>
      <c r="L31" s="223"/>
      <c r="M31" s="224"/>
      <c r="N31" s="223"/>
      <c r="O31" s="223"/>
      <c r="P31" s="223"/>
      <c r="Q31" s="224"/>
      <c r="R31" s="223"/>
      <c r="S31" s="223"/>
      <c r="T31" s="223"/>
      <c r="U31" s="224"/>
      <c r="V31" s="223"/>
      <c r="W31" s="223"/>
      <c r="X31" s="223"/>
      <c r="Y31" s="224"/>
    </row>
    <row r="32" spans="1:25" ht="12.75" hidden="1" customHeight="1" outlineLevel="2" x14ac:dyDescent="0.2">
      <c r="A32" s="188" t="str">
        <f>"   "&amp;Labels!B381</f>
        <v xml:space="preserve">   Practice 1</v>
      </c>
      <c r="B32" s="166">
        <f>SUM(B296:B297)</f>
        <v>0</v>
      </c>
      <c r="C32" s="166">
        <f>SUM(C296:C297)</f>
        <v>0</v>
      </c>
      <c r="D32" s="166">
        <f>SUM(D296:D297)</f>
        <v>550</v>
      </c>
      <c r="E32" s="225">
        <f>SUM(B32:D32)</f>
        <v>550</v>
      </c>
      <c r="F32" s="166">
        <f>SUM(F296:F297)</f>
        <v>550</v>
      </c>
      <c r="G32" s="166">
        <f>SUM(G296:G297)</f>
        <v>0</v>
      </c>
      <c r="H32" s="166">
        <f>SUM(H296:H297)</f>
        <v>400</v>
      </c>
      <c r="I32" s="225">
        <f>SUM(F32:H32)</f>
        <v>950</v>
      </c>
      <c r="J32" s="166">
        <f>SUM(J296:J297)</f>
        <v>400</v>
      </c>
      <c r="K32" s="166">
        <f>SUM(K296:K297)</f>
        <v>400</v>
      </c>
      <c r="L32" s="166">
        <f>SUM(L296:L297)</f>
        <v>0</v>
      </c>
      <c r="M32" s="225">
        <f>SUM(J32:L32)</f>
        <v>800</v>
      </c>
      <c r="N32" s="166">
        <f>SUM(N296:N297)</f>
        <v>0</v>
      </c>
      <c r="O32" s="166">
        <f>SUM(O296:O297)</f>
        <v>0</v>
      </c>
      <c r="P32" s="166">
        <f>SUM(P296:P297)</f>
        <v>0</v>
      </c>
      <c r="Q32" s="225">
        <f>SUM(N32:P32)</f>
        <v>0</v>
      </c>
      <c r="R32" s="166">
        <f>SUM(R296:R297)</f>
        <v>0</v>
      </c>
      <c r="S32" s="166">
        <f>SUM(S296:S297)</f>
        <v>0</v>
      </c>
      <c r="T32" s="166">
        <f>SUM(T296:T297)</f>
        <v>0</v>
      </c>
      <c r="U32" s="225">
        <f>SUM(R32:T32)</f>
        <v>0</v>
      </c>
      <c r="V32" s="166">
        <f>SUM(V296:V297)</f>
        <v>0</v>
      </c>
      <c r="W32" s="166">
        <f>SUM(W296:W297)</f>
        <v>0</v>
      </c>
      <c r="X32" s="166">
        <f>SUM(X296:X297)</f>
        <v>0</v>
      </c>
      <c r="Y32" s="225">
        <f>SUM(V32:X32)</f>
        <v>0</v>
      </c>
    </row>
    <row r="33" spans="1:25" ht="12.75" hidden="1" customHeight="1" outlineLevel="2" x14ac:dyDescent="0.2">
      <c r="A33" s="188" t="str">
        <f>"   "&amp;Labels!B382</f>
        <v xml:space="preserve">   Practice 2</v>
      </c>
      <c r="B33" s="166">
        <f>SUM(B300:B301)</f>
        <v>0</v>
      </c>
      <c r="C33" s="166">
        <f>SUM(C300:C301)</f>
        <v>0</v>
      </c>
      <c r="D33" s="166">
        <f>SUM(D300:D301)</f>
        <v>0</v>
      </c>
      <c r="E33" s="225">
        <f>SUM(B33:D33)</f>
        <v>0</v>
      </c>
      <c r="F33" s="166">
        <f>SUM(F300:F301)</f>
        <v>0</v>
      </c>
      <c r="G33" s="166">
        <f>SUM(G300:G301)</f>
        <v>0</v>
      </c>
      <c r="H33" s="166">
        <f>SUM(H300:H301)</f>
        <v>0</v>
      </c>
      <c r="I33" s="225">
        <f>SUM(F33:H33)</f>
        <v>0</v>
      </c>
      <c r="J33" s="166">
        <f>SUM(J300:J301)</f>
        <v>0</v>
      </c>
      <c r="K33" s="166">
        <f>SUM(K300:K301)</f>
        <v>0</v>
      </c>
      <c r="L33" s="166">
        <f>SUM(L300:L301)</f>
        <v>0</v>
      </c>
      <c r="M33" s="225">
        <f>SUM(J33:L33)</f>
        <v>0</v>
      </c>
      <c r="N33" s="166">
        <f>SUM(N300:N301)</f>
        <v>0</v>
      </c>
      <c r="O33" s="166">
        <f>SUM(O300:O301)</f>
        <v>0</v>
      </c>
      <c r="P33" s="166">
        <f>SUM(P300:P301)</f>
        <v>0</v>
      </c>
      <c r="Q33" s="225">
        <f>SUM(N33:P33)</f>
        <v>0</v>
      </c>
      <c r="R33" s="166">
        <f>SUM(R300:R301)</f>
        <v>0</v>
      </c>
      <c r="S33" s="166">
        <f>SUM(S300:S301)</f>
        <v>0</v>
      </c>
      <c r="T33" s="166">
        <f>SUM(T300:T301)</f>
        <v>0</v>
      </c>
      <c r="U33" s="225">
        <f>SUM(R33:T33)</f>
        <v>0</v>
      </c>
      <c r="V33" s="166">
        <f>SUM(V300:V301)</f>
        <v>0</v>
      </c>
      <c r="W33" s="166">
        <f>SUM(W300:W301)</f>
        <v>0</v>
      </c>
      <c r="X33" s="166">
        <f>SUM(X300:X301)</f>
        <v>0</v>
      </c>
      <c r="Y33" s="225">
        <f>SUM(V33:X33)</f>
        <v>0</v>
      </c>
    </row>
    <row r="34" spans="1:25" ht="12.75" hidden="1" customHeight="1" outlineLevel="2" x14ac:dyDescent="0.2">
      <c r="A34" s="191" t="str">
        <f>"   "&amp;Labels!C380</f>
        <v xml:space="preserve">   Total</v>
      </c>
      <c r="B34" s="216">
        <f>SUM(B32:B33)</f>
        <v>0</v>
      </c>
      <c r="C34" s="216">
        <f>SUM(C32:C33)</f>
        <v>0</v>
      </c>
      <c r="D34" s="216">
        <f>SUM(D32:D33)</f>
        <v>550</v>
      </c>
      <c r="E34" s="217">
        <f>SUM(B34:D34)</f>
        <v>550</v>
      </c>
      <c r="F34" s="216">
        <f>SUM(F32:F33)</f>
        <v>550</v>
      </c>
      <c r="G34" s="216">
        <f>SUM(G32:G33)</f>
        <v>0</v>
      </c>
      <c r="H34" s="216">
        <f>SUM(H32:H33)</f>
        <v>400</v>
      </c>
      <c r="I34" s="217">
        <f>SUM(F34:H34)</f>
        <v>950</v>
      </c>
      <c r="J34" s="216">
        <f>SUM(J32:J33)</f>
        <v>400</v>
      </c>
      <c r="K34" s="216">
        <f>SUM(K32:K33)</f>
        <v>400</v>
      </c>
      <c r="L34" s="216">
        <f>SUM(L32:L33)</f>
        <v>0</v>
      </c>
      <c r="M34" s="217">
        <f>SUM(J34:L34)</f>
        <v>800</v>
      </c>
      <c r="N34" s="216">
        <f>SUM(N32:N33)</f>
        <v>0</v>
      </c>
      <c r="O34" s="216">
        <f>SUM(O32:O33)</f>
        <v>0</v>
      </c>
      <c r="P34" s="216">
        <f>SUM(P32:P33)</f>
        <v>0</v>
      </c>
      <c r="Q34" s="217">
        <f>SUM(N34:P34)</f>
        <v>0</v>
      </c>
      <c r="R34" s="216">
        <f>SUM(R32:R33)</f>
        <v>0</v>
      </c>
      <c r="S34" s="216">
        <f>SUM(S32:S33)</f>
        <v>0</v>
      </c>
      <c r="T34" s="216">
        <f>SUM(T32:T33)</f>
        <v>0</v>
      </c>
      <c r="U34" s="217">
        <f>SUM(R34:T34)</f>
        <v>0</v>
      </c>
      <c r="V34" s="216">
        <f>SUM(V32:V33)</f>
        <v>0</v>
      </c>
      <c r="W34" s="216">
        <f>SUM(W32:W33)</f>
        <v>0</v>
      </c>
      <c r="X34" s="216">
        <f>SUM(X32:X33)</f>
        <v>0</v>
      </c>
      <c r="Y34" s="217">
        <f>SUM(V34:X34)</f>
        <v>0</v>
      </c>
    </row>
    <row r="35" spans="1:25" ht="12.75" hidden="1" customHeight="1" outlineLevel="2" x14ac:dyDescent="0.2">
      <c r="A35" s="97"/>
      <c r="B35" s="6"/>
      <c r="C35" s="6"/>
      <c r="D35" s="6"/>
      <c r="E35" s="97"/>
      <c r="F35" s="6"/>
      <c r="G35" s="6"/>
      <c r="H35" s="6"/>
      <c r="I35" s="97"/>
      <c r="J35" s="6"/>
      <c r="K35" s="6"/>
      <c r="L35" s="6"/>
      <c r="M35" s="97"/>
      <c r="N35" s="6"/>
      <c r="O35" s="6"/>
      <c r="P35" s="6"/>
      <c r="Q35" s="97"/>
      <c r="R35" s="6"/>
      <c r="S35" s="6"/>
      <c r="T35" s="6"/>
      <c r="U35" s="97"/>
      <c r="V35" s="6"/>
      <c r="W35" s="6"/>
      <c r="X35" s="6"/>
      <c r="Y35" s="97"/>
    </row>
    <row r="36" spans="1:25" ht="12.75" hidden="1" customHeight="1" outlineLevel="2" x14ac:dyDescent="0.2">
      <c r="A36" s="191" t="str">
        <f>Labels!B187</f>
        <v>Billed Hours Growth</v>
      </c>
      <c r="B36" s="211"/>
      <c r="C36" s="211"/>
      <c r="D36" s="211"/>
      <c r="E36" s="210"/>
      <c r="F36" s="211"/>
      <c r="G36" s="211"/>
      <c r="H36" s="211"/>
      <c r="I36" s="210"/>
      <c r="J36" s="211"/>
      <c r="K36" s="211"/>
      <c r="L36" s="211"/>
      <c r="M36" s="210"/>
      <c r="N36" s="211"/>
      <c r="O36" s="211"/>
      <c r="P36" s="211"/>
      <c r="Q36" s="210"/>
      <c r="R36" s="211"/>
      <c r="S36" s="211"/>
      <c r="T36" s="211"/>
      <c r="U36" s="210"/>
      <c r="V36" s="211"/>
      <c r="W36" s="211"/>
      <c r="X36" s="211"/>
      <c r="Y36" s="210"/>
    </row>
    <row r="37" spans="1:25" ht="12.75" hidden="1" customHeight="1" outlineLevel="2" x14ac:dyDescent="0.2">
      <c r="A37" s="188" t="str">
        <f>"   "&amp;Labels!B381</f>
        <v xml:space="preserve">   Practice 1</v>
      </c>
      <c r="B37" s="218"/>
      <c r="C37" s="218">
        <f t="shared" ref="C37:D39" si="0">IF(B32=0,0,C32/B32-1)</f>
        <v>0</v>
      </c>
      <c r="D37" s="218">
        <f t="shared" si="0"/>
        <v>0</v>
      </c>
      <c r="E37" s="219">
        <f>IF(0=0,0,SUM(B32:D32)/0-1)</f>
        <v>0</v>
      </c>
      <c r="F37" s="218">
        <f>IF(D32=0,0,F32/D32-1)</f>
        <v>0</v>
      </c>
      <c r="G37" s="218">
        <f t="shared" ref="G37:H39" si="1">IF(F32=0,0,G32/F32-1)</f>
        <v>-1</v>
      </c>
      <c r="H37" s="218">
        <f t="shared" si="1"/>
        <v>0</v>
      </c>
      <c r="I37" s="219">
        <f>IF(SUM(B32:D32)=0,0,SUM(F32:H32)/SUM(B32:D32)-1)</f>
        <v>0.72727272727272729</v>
      </c>
      <c r="J37" s="218">
        <f>IF(H32=0,0,J32/H32-1)</f>
        <v>0</v>
      </c>
      <c r="K37" s="218">
        <f t="shared" ref="K37:L39" si="2">IF(J32=0,0,K32/J32-1)</f>
        <v>0</v>
      </c>
      <c r="L37" s="218">
        <f t="shared" si="2"/>
        <v>-1</v>
      </c>
      <c r="M37" s="219">
        <f>IF(SUM(F32:H32)=0,0,SUM(J32:L32)/SUM(F32:H32)-1)</f>
        <v>-0.15789473684210531</v>
      </c>
      <c r="N37" s="218">
        <f>IF(L32=0,0,N32/L32-1)</f>
        <v>0</v>
      </c>
      <c r="O37" s="218">
        <f t="shared" ref="O37:P39" si="3">IF(N32=0,0,O32/N32-1)</f>
        <v>0</v>
      </c>
      <c r="P37" s="218">
        <f t="shared" si="3"/>
        <v>0</v>
      </c>
      <c r="Q37" s="219">
        <f>IF(SUM(J32:L32)=0,0,SUM(N32:P32)/SUM(J32:L32)-1)</f>
        <v>-1</v>
      </c>
      <c r="R37" s="218">
        <f>IF(P32=0,0,R32/P32-1)</f>
        <v>0</v>
      </c>
      <c r="S37" s="218">
        <f t="shared" ref="S37:T39" si="4">IF(R32=0,0,S32/R32-1)</f>
        <v>0</v>
      </c>
      <c r="T37" s="218">
        <f t="shared" si="4"/>
        <v>0</v>
      </c>
      <c r="U37" s="219">
        <f>IF(SUM(N32:P32)=0,0,SUM(R32:T32)/SUM(N32:P32)-1)</f>
        <v>0</v>
      </c>
      <c r="V37" s="218">
        <f>IF(T32=0,0,V32/T32-1)</f>
        <v>0</v>
      </c>
      <c r="W37" s="218">
        <f t="shared" ref="W37:X39" si="5">IF(V32=0,0,W32/V32-1)</f>
        <v>0</v>
      </c>
      <c r="X37" s="218">
        <f t="shared" si="5"/>
        <v>0</v>
      </c>
      <c r="Y37" s="219">
        <f>IF(SUM(R32:T32)=0,0,SUM(V32:X32)/SUM(R32:T32)-1)</f>
        <v>0</v>
      </c>
    </row>
    <row r="38" spans="1:25" ht="12.75" hidden="1" customHeight="1" outlineLevel="2" x14ac:dyDescent="0.2">
      <c r="A38" s="188" t="str">
        <f>"   "&amp;Labels!B382</f>
        <v xml:space="preserve">   Practice 2</v>
      </c>
      <c r="B38" s="218"/>
      <c r="C38" s="218">
        <f t="shared" si="0"/>
        <v>0</v>
      </c>
      <c r="D38" s="218">
        <f t="shared" si="0"/>
        <v>0</v>
      </c>
      <c r="E38" s="219">
        <f>IF(0=0,0,SUM(B33:D33)/0-1)</f>
        <v>0</v>
      </c>
      <c r="F38" s="218">
        <f>IF(D33=0,0,F33/D33-1)</f>
        <v>0</v>
      </c>
      <c r="G38" s="218">
        <f t="shared" si="1"/>
        <v>0</v>
      </c>
      <c r="H38" s="218">
        <f t="shared" si="1"/>
        <v>0</v>
      </c>
      <c r="I38" s="219">
        <f>IF(SUM(B33:D33)=0,0,SUM(F33:H33)/SUM(B33:D33)-1)</f>
        <v>0</v>
      </c>
      <c r="J38" s="218">
        <f>IF(H33=0,0,J33/H33-1)</f>
        <v>0</v>
      </c>
      <c r="K38" s="218">
        <f t="shared" si="2"/>
        <v>0</v>
      </c>
      <c r="L38" s="218">
        <f t="shared" si="2"/>
        <v>0</v>
      </c>
      <c r="M38" s="219">
        <f>IF(SUM(F33:H33)=0,0,SUM(J33:L33)/SUM(F33:H33)-1)</f>
        <v>0</v>
      </c>
      <c r="N38" s="218">
        <f>IF(L33=0,0,N33/L33-1)</f>
        <v>0</v>
      </c>
      <c r="O38" s="218">
        <f t="shared" si="3"/>
        <v>0</v>
      </c>
      <c r="P38" s="218">
        <f t="shared" si="3"/>
        <v>0</v>
      </c>
      <c r="Q38" s="219">
        <f>IF(SUM(J33:L33)=0,0,SUM(N33:P33)/SUM(J33:L33)-1)</f>
        <v>0</v>
      </c>
      <c r="R38" s="218">
        <f>IF(P33=0,0,R33/P33-1)</f>
        <v>0</v>
      </c>
      <c r="S38" s="218">
        <f t="shared" si="4"/>
        <v>0</v>
      </c>
      <c r="T38" s="218">
        <f t="shared" si="4"/>
        <v>0</v>
      </c>
      <c r="U38" s="219">
        <f>IF(SUM(N33:P33)=0,0,SUM(R33:T33)/SUM(N33:P33)-1)</f>
        <v>0</v>
      </c>
      <c r="V38" s="218">
        <f>IF(T33=0,0,V33/T33-1)</f>
        <v>0</v>
      </c>
      <c r="W38" s="218">
        <f t="shared" si="5"/>
        <v>0</v>
      </c>
      <c r="X38" s="218">
        <f t="shared" si="5"/>
        <v>0</v>
      </c>
      <c r="Y38" s="219">
        <f>IF(SUM(R33:T33)=0,0,SUM(V33:X33)/SUM(R33:T33)-1)</f>
        <v>0</v>
      </c>
    </row>
    <row r="39" spans="1:25" ht="12.75" hidden="1" customHeight="1" outlineLevel="2" x14ac:dyDescent="0.2">
      <c r="A39" s="185" t="str">
        <f>"   "&amp;Labels!C380</f>
        <v xml:space="preserve">   Total</v>
      </c>
      <c r="B39" s="186"/>
      <c r="C39" s="186">
        <f t="shared" si="0"/>
        <v>0</v>
      </c>
      <c r="D39" s="186">
        <f t="shared" si="0"/>
        <v>0</v>
      </c>
      <c r="E39" s="187">
        <f>IF(0=0,0,SUM(B34:D34)/0-1)</f>
        <v>0</v>
      </c>
      <c r="F39" s="186">
        <f>IF(D34=0,0,F34/D34-1)</f>
        <v>0</v>
      </c>
      <c r="G39" s="186">
        <f t="shared" si="1"/>
        <v>-1</v>
      </c>
      <c r="H39" s="186">
        <f t="shared" si="1"/>
        <v>0</v>
      </c>
      <c r="I39" s="187">
        <f>IF(SUM(B34:D34)=0,0,SUM(F34:H34)/SUM(B34:D34)-1)</f>
        <v>0.72727272727272729</v>
      </c>
      <c r="J39" s="186">
        <f>IF(H34=0,0,J34/H34-1)</f>
        <v>0</v>
      </c>
      <c r="K39" s="186">
        <f t="shared" si="2"/>
        <v>0</v>
      </c>
      <c r="L39" s="186">
        <f t="shared" si="2"/>
        <v>-1</v>
      </c>
      <c r="M39" s="187">
        <f>IF(SUM(F34:H34)=0,0,SUM(J34:L34)/SUM(F34:H34)-1)</f>
        <v>-0.15789473684210531</v>
      </c>
      <c r="N39" s="186">
        <f>IF(L34=0,0,N34/L34-1)</f>
        <v>0</v>
      </c>
      <c r="O39" s="186">
        <f t="shared" si="3"/>
        <v>0</v>
      </c>
      <c r="P39" s="186">
        <f t="shared" si="3"/>
        <v>0</v>
      </c>
      <c r="Q39" s="187">
        <f>IF(SUM(J34:L34)=0,0,SUM(N34:P34)/SUM(J34:L34)-1)</f>
        <v>-1</v>
      </c>
      <c r="R39" s="186">
        <f>IF(P34=0,0,R34/P34-1)</f>
        <v>0</v>
      </c>
      <c r="S39" s="186">
        <f t="shared" si="4"/>
        <v>0</v>
      </c>
      <c r="T39" s="186">
        <f t="shared" si="4"/>
        <v>0</v>
      </c>
      <c r="U39" s="187">
        <f>IF(SUM(N34:P34)=0,0,SUM(R34:T34)/SUM(N34:P34)-1)</f>
        <v>0</v>
      </c>
      <c r="V39" s="186">
        <f>IF(T34=0,0,V34/T34-1)</f>
        <v>0</v>
      </c>
      <c r="W39" s="186">
        <f t="shared" si="5"/>
        <v>0</v>
      </c>
      <c r="X39" s="186">
        <f t="shared" si="5"/>
        <v>0</v>
      </c>
      <c r="Y39" s="187">
        <f>IF(SUM(R34:T34)=0,0,SUM(V34:X34)/SUM(R34:T34)-1)</f>
        <v>0</v>
      </c>
    </row>
    <row r="40" spans="1:25" ht="12.75" hidden="1" customHeight="1" outlineLevel="2" collapsed="1" x14ac:dyDescent="0.2"/>
    <row r="41" spans="1:25" ht="12.75" hidden="1" customHeight="1" outlineLevel="1" collapsed="1" x14ac:dyDescent="0.2"/>
    <row r="42" spans="1:25" ht="12.75" customHeight="1" collapsed="1" x14ac:dyDescent="0.2"/>
    <row r="43" spans="1:25" ht="12.75" customHeight="1" collapsed="1" x14ac:dyDescent="0.2">
      <c r="A43" s="464" t="str">
        <f>"Practice Areas and Channels"</f>
        <v>Practice Areas and Channels</v>
      </c>
      <c r="B43" s="464"/>
    </row>
    <row r="44" spans="1:25" ht="12.75" hidden="1" customHeight="1" outlineLevel="1" x14ac:dyDescent="0.2">
      <c r="A44" s="1" t="str">
        <f>" "</f>
        <v xml:space="preserve"> </v>
      </c>
    </row>
    <row r="45" spans="1:25" ht="12.75" hidden="1" customHeight="1" outlineLevel="1" x14ac:dyDescent="0.2">
      <c r="B45" s="9" t="str">
        <f>'(FnCalls 1)'!F41</f>
        <v>MMM 2010</v>
      </c>
      <c r="C45" s="10" t="str">
        <f>'(FnCalls 1)'!F42</f>
        <v>MMM 2010</v>
      </c>
      <c r="D45" s="10" t="str">
        <f>'(FnCalls 1)'!F43</f>
        <v>MMM 2010</v>
      </c>
      <c r="E45" s="181" t="str">
        <f>'(FnCalls 1)'!G41</f>
        <v>Q1 2010</v>
      </c>
      <c r="F45" s="10" t="str">
        <f>'(FnCalls 1)'!F44</f>
        <v>MMM 2010</v>
      </c>
      <c r="G45" s="10" t="str">
        <f>'(FnCalls 1)'!F45</f>
        <v>MMM 2010</v>
      </c>
      <c r="H45" s="10" t="str">
        <f>'(FnCalls 1)'!F46</f>
        <v>MMM 2010</v>
      </c>
      <c r="I45" s="181" t="str">
        <f>'(FnCalls 1)'!G44</f>
        <v>Q2 2010</v>
      </c>
      <c r="J45" s="10" t="str">
        <f>'(FnCalls 1)'!F47</f>
        <v>MMM 2010</v>
      </c>
      <c r="K45" s="10" t="str">
        <f>'(FnCalls 1)'!F48</f>
        <v>MMM 2010</v>
      </c>
      <c r="L45" s="10" t="str">
        <f>'(FnCalls 1)'!F49</f>
        <v>MMM 2010</v>
      </c>
      <c r="M45" s="181" t="str">
        <f>'(FnCalls 1)'!G47</f>
        <v>Q3 2010</v>
      </c>
      <c r="N45" s="10" t="str">
        <f>'(FnCalls 1)'!F50</f>
        <v>MMM 2010</v>
      </c>
      <c r="O45" s="10" t="str">
        <f>'(FnCalls 1)'!F51</f>
        <v>MMM 2010</v>
      </c>
      <c r="P45" s="10" t="str">
        <f>'(FnCalls 1)'!F52</f>
        <v>MMM 2010</v>
      </c>
      <c r="Q45" s="181" t="str">
        <f>'(FnCalls 1)'!G50</f>
        <v>Q4 2010</v>
      </c>
      <c r="R45" s="10" t="str">
        <f>'(FnCalls 1)'!F53</f>
        <v>MMM 2011</v>
      </c>
      <c r="S45" s="10" t="str">
        <f>'(FnCalls 1)'!F54</f>
        <v>MMM 2011</v>
      </c>
      <c r="T45" s="10" t="str">
        <f>'(FnCalls 1)'!F55</f>
        <v>MMM 2011</v>
      </c>
      <c r="U45" s="181" t="str">
        <f>'(FnCalls 1)'!G53</f>
        <v>Q1 2011</v>
      </c>
      <c r="V45" s="10" t="str">
        <f>'(FnCalls 1)'!F56</f>
        <v>MMM 2011</v>
      </c>
      <c r="W45" s="10" t="str">
        <f>'(FnCalls 1)'!F57</f>
        <v>MMM 2011</v>
      </c>
      <c r="X45" s="10" t="str">
        <f>'(FnCalls 1)'!F58</f>
        <v>MMM 2011</v>
      </c>
      <c r="Y45" s="181" t="str">
        <f>'(FnCalls 1)'!G56</f>
        <v>Q2 2011</v>
      </c>
    </row>
    <row r="46" spans="1:25" ht="12.75" hidden="1" customHeight="1" outlineLevel="1" x14ac:dyDescent="0.2">
      <c r="A46" s="182" t="str">
        <f>Labels!B226</f>
        <v>Revenue</v>
      </c>
      <c r="B46" s="183"/>
      <c r="C46" s="183"/>
      <c r="D46" s="183"/>
      <c r="E46" s="184"/>
      <c r="F46" s="183"/>
      <c r="G46" s="183"/>
      <c r="H46" s="183"/>
      <c r="I46" s="184"/>
      <c r="J46" s="183"/>
      <c r="K46" s="183"/>
      <c r="L46" s="183"/>
      <c r="M46" s="184"/>
      <c r="N46" s="183"/>
      <c r="O46" s="183"/>
      <c r="P46" s="183"/>
      <c r="Q46" s="184"/>
      <c r="R46" s="183"/>
      <c r="S46" s="183"/>
      <c r="T46" s="183"/>
      <c r="U46" s="184"/>
      <c r="V46" s="183"/>
      <c r="W46" s="183"/>
      <c r="X46" s="183"/>
      <c r="Y46" s="184"/>
    </row>
    <row r="47" spans="1:25" ht="12.75" hidden="1" customHeight="1" outlineLevel="1" x14ac:dyDescent="0.2">
      <c r="A47" s="188" t="str">
        <f>"   "&amp;Labels!B381</f>
        <v xml:space="preserve">   Practice 1</v>
      </c>
      <c r="B47" s="196"/>
      <c r="C47" s="196"/>
      <c r="D47" s="196"/>
      <c r="E47" s="197"/>
      <c r="F47" s="196"/>
      <c r="G47" s="196"/>
      <c r="H47" s="196"/>
      <c r="I47" s="197"/>
      <c r="J47" s="196"/>
      <c r="K47" s="196"/>
      <c r="L47" s="196"/>
      <c r="M47" s="197"/>
      <c r="N47" s="196"/>
      <c r="O47" s="196"/>
      <c r="P47" s="196"/>
      <c r="Q47" s="197"/>
      <c r="R47" s="196"/>
      <c r="S47" s="196"/>
      <c r="T47" s="196"/>
      <c r="U47" s="197"/>
      <c r="V47" s="196"/>
      <c r="W47" s="196"/>
      <c r="X47" s="196"/>
      <c r="Y47" s="197"/>
    </row>
    <row r="48" spans="1:25" ht="12.75" hidden="1" customHeight="1" outlineLevel="1" x14ac:dyDescent="0.2">
      <c r="A48" s="198" t="str">
        <f>"      "&amp;Labels!B317</f>
        <v xml:space="preserve">      Channels 1</v>
      </c>
      <c r="B48" s="226">
        <f>SUM(Sales!B109,Sales!B113)</f>
        <v>0</v>
      </c>
      <c r="C48" s="226">
        <f>SUM(Sales!C109,Sales!C113)</f>
        <v>0</v>
      </c>
      <c r="D48" s="226">
        <f>SUM(Sales!D109,Sales!D113)</f>
        <v>57750</v>
      </c>
      <c r="E48" s="227">
        <f>SUM(B48:D48)</f>
        <v>57750</v>
      </c>
      <c r="F48" s="226">
        <f>SUM(Sales!F109,Sales!F113)</f>
        <v>57750</v>
      </c>
      <c r="G48" s="226">
        <f>SUM(Sales!G109,Sales!G113)</f>
        <v>0</v>
      </c>
      <c r="H48" s="226">
        <f>SUM(Sales!H109,Sales!H113)</f>
        <v>42000</v>
      </c>
      <c r="I48" s="227">
        <f>SUM(F48:H48)</f>
        <v>99750</v>
      </c>
      <c r="J48" s="226">
        <f>SUM(Sales!J109,Sales!J113)</f>
        <v>42000</v>
      </c>
      <c r="K48" s="226">
        <f>SUM(Sales!K109,Sales!K113)</f>
        <v>42000</v>
      </c>
      <c r="L48" s="226">
        <f>SUM(Sales!L109,Sales!L113)</f>
        <v>0</v>
      </c>
      <c r="M48" s="227">
        <f>SUM(J48:L48)</f>
        <v>84000</v>
      </c>
      <c r="N48" s="226">
        <f>SUM(Sales!N109,Sales!N113)</f>
        <v>0</v>
      </c>
      <c r="O48" s="226">
        <f>SUM(Sales!O109,Sales!O113)</f>
        <v>0</v>
      </c>
      <c r="P48" s="226">
        <f>SUM(Sales!P109,Sales!P113)</f>
        <v>0</v>
      </c>
      <c r="Q48" s="227">
        <f>SUM(N48:P48)</f>
        <v>0</v>
      </c>
      <c r="R48" s="226">
        <f>SUM(Sales!R109,Sales!R113)</f>
        <v>0</v>
      </c>
      <c r="S48" s="226">
        <f>SUM(Sales!S109,Sales!S113)</f>
        <v>0</v>
      </c>
      <c r="T48" s="226">
        <f>SUM(Sales!T109,Sales!T113)</f>
        <v>0</v>
      </c>
      <c r="U48" s="227">
        <f>SUM(R48:T48)</f>
        <v>0</v>
      </c>
      <c r="V48" s="226">
        <f>SUM(Sales!V109,Sales!V113)</f>
        <v>0</v>
      </c>
      <c r="W48" s="226">
        <f>SUM(Sales!W109,Sales!W113)</f>
        <v>0</v>
      </c>
      <c r="X48" s="226">
        <f>SUM(Sales!X109,Sales!X113)</f>
        <v>0</v>
      </c>
      <c r="Y48" s="227">
        <f>SUM(V48:X48)</f>
        <v>0</v>
      </c>
    </row>
    <row r="49" spans="1:25" ht="12.75" hidden="1" customHeight="1" outlineLevel="1" x14ac:dyDescent="0.2">
      <c r="A49" s="198" t="str">
        <f>"      "&amp;Labels!B318</f>
        <v xml:space="preserve">      Channels 2</v>
      </c>
      <c r="B49" s="226">
        <f>SUM(Sales!B110,Sales!B114)</f>
        <v>0</v>
      </c>
      <c r="C49" s="226">
        <f>SUM(Sales!C110,Sales!C114)</f>
        <v>0</v>
      </c>
      <c r="D49" s="226">
        <f>SUM(Sales!D110,Sales!D114)</f>
        <v>55000</v>
      </c>
      <c r="E49" s="227">
        <f>SUM(B49:D49)</f>
        <v>55000</v>
      </c>
      <c r="F49" s="226">
        <f>SUM(Sales!F110,Sales!F114)</f>
        <v>55000</v>
      </c>
      <c r="G49" s="226">
        <f>SUM(Sales!G110,Sales!G114)</f>
        <v>0</v>
      </c>
      <c r="H49" s="226">
        <f>SUM(Sales!H110,Sales!H114)</f>
        <v>40000</v>
      </c>
      <c r="I49" s="227">
        <f>SUM(F49:H49)</f>
        <v>95000</v>
      </c>
      <c r="J49" s="226">
        <f>SUM(Sales!J110,Sales!J114)</f>
        <v>40000</v>
      </c>
      <c r="K49" s="226">
        <f>SUM(Sales!K110,Sales!K114)</f>
        <v>40000</v>
      </c>
      <c r="L49" s="226">
        <f>SUM(Sales!L110,Sales!L114)</f>
        <v>0</v>
      </c>
      <c r="M49" s="227">
        <f>SUM(J49:L49)</f>
        <v>80000</v>
      </c>
      <c r="N49" s="226">
        <f>SUM(Sales!N110,Sales!N114)</f>
        <v>0</v>
      </c>
      <c r="O49" s="226">
        <f>SUM(Sales!O110,Sales!O114)</f>
        <v>0</v>
      </c>
      <c r="P49" s="226">
        <f>SUM(Sales!P110,Sales!P114)</f>
        <v>0</v>
      </c>
      <c r="Q49" s="227">
        <f>SUM(N49:P49)</f>
        <v>0</v>
      </c>
      <c r="R49" s="226">
        <f>SUM(Sales!R110,Sales!R114)</f>
        <v>0</v>
      </c>
      <c r="S49" s="226">
        <f>SUM(Sales!S110,Sales!S114)</f>
        <v>0</v>
      </c>
      <c r="T49" s="226">
        <f>SUM(Sales!T110,Sales!T114)</f>
        <v>0</v>
      </c>
      <c r="U49" s="227">
        <f>SUM(R49:T49)</f>
        <v>0</v>
      </c>
      <c r="V49" s="226">
        <f>SUM(Sales!V110,Sales!V114)</f>
        <v>0</v>
      </c>
      <c r="W49" s="226">
        <f>SUM(Sales!W110,Sales!W114)</f>
        <v>0</v>
      </c>
      <c r="X49" s="226">
        <f>SUM(Sales!X110,Sales!X114)</f>
        <v>0</v>
      </c>
      <c r="Y49" s="227">
        <f>SUM(V49:X49)</f>
        <v>0</v>
      </c>
    </row>
    <row r="50" spans="1:25" ht="12.75" hidden="1" customHeight="1" outlineLevel="1" x14ac:dyDescent="0.2">
      <c r="A50" s="188" t="str">
        <f>"      "&amp;Labels!C316</f>
        <v xml:space="preserve">      Total</v>
      </c>
      <c r="B50" s="196">
        <f>SUM(B179:B180)</f>
        <v>0</v>
      </c>
      <c r="C50" s="196">
        <f>SUM(C179:C180)</f>
        <v>0</v>
      </c>
      <c r="D50" s="196">
        <f>SUM(D179:D180)</f>
        <v>112750</v>
      </c>
      <c r="E50" s="197">
        <f>SUM(B50:D50)</f>
        <v>112750</v>
      </c>
      <c r="F50" s="196">
        <f>SUM(F179:F180)</f>
        <v>112750</v>
      </c>
      <c r="G50" s="196">
        <f>SUM(G179:G180)</f>
        <v>0</v>
      </c>
      <c r="H50" s="196">
        <f>SUM(H179:H180)</f>
        <v>82000</v>
      </c>
      <c r="I50" s="197">
        <f>SUM(F50:H50)</f>
        <v>194750</v>
      </c>
      <c r="J50" s="196">
        <f>SUM(J179:J180)</f>
        <v>82000</v>
      </c>
      <c r="K50" s="196">
        <f>SUM(K179:K180)</f>
        <v>82000</v>
      </c>
      <c r="L50" s="196">
        <f>SUM(L179:L180)</f>
        <v>0</v>
      </c>
      <c r="M50" s="197">
        <f>SUM(J50:L50)</f>
        <v>164000</v>
      </c>
      <c r="N50" s="196">
        <f>SUM(N179:N180)</f>
        <v>0</v>
      </c>
      <c r="O50" s="196">
        <f>SUM(O179:O180)</f>
        <v>0</v>
      </c>
      <c r="P50" s="196">
        <f>SUM(P179:P180)</f>
        <v>0</v>
      </c>
      <c r="Q50" s="197">
        <f>SUM(N50:P50)</f>
        <v>0</v>
      </c>
      <c r="R50" s="196">
        <f>SUM(R179:R180)</f>
        <v>0</v>
      </c>
      <c r="S50" s="196">
        <f>SUM(S179:S180)</f>
        <v>0</v>
      </c>
      <c r="T50" s="196">
        <f>SUM(T179:T180)</f>
        <v>0</v>
      </c>
      <c r="U50" s="197">
        <f>SUM(R50:T50)</f>
        <v>0</v>
      </c>
      <c r="V50" s="196">
        <f>SUM(V179:V180)</f>
        <v>0</v>
      </c>
      <c r="W50" s="196">
        <f>SUM(W179:W180)</f>
        <v>0</v>
      </c>
      <c r="X50" s="196">
        <f>SUM(X179:X180)</f>
        <v>0</v>
      </c>
      <c r="Y50" s="197">
        <f>SUM(V50:X50)</f>
        <v>0</v>
      </c>
    </row>
    <row r="51" spans="1:25" ht="12.75" hidden="1" customHeight="1" outlineLevel="1" x14ac:dyDescent="0.2">
      <c r="A51" s="188" t="str">
        <f>"   "&amp;Labels!B382</f>
        <v xml:space="preserve">   Practice 2</v>
      </c>
      <c r="B51" s="196"/>
      <c r="C51" s="196"/>
      <c r="D51" s="196"/>
      <c r="E51" s="197"/>
      <c r="F51" s="196"/>
      <c r="G51" s="196"/>
      <c r="H51" s="196"/>
      <c r="I51" s="197"/>
      <c r="J51" s="196"/>
      <c r="K51" s="196"/>
      <c r="L51" s="196"/>
      <c r="M51" s="197"/>
      <c r="N51" s="196"/>
      <c r="O51" s="196"/>
      <c r="P51" s="196"/>
      <c r="Q51" s="197"/>
      <c r="R51" s="196"/>
      <c r="S51" s="196"/>
      <c r="T51" s="196"/>
      <c r="U51" s="197"/>
      <c r="V51" s="196"/>
      <c r="W51" s="196"/>
      <c r="X51" s="196"/>
      <c r="Y51" s="197"/>
    </row>
    <row r="52" spans="1:25" ht="12.75" hidden="1" customHeight="1" outlineLevel="1" x14ac:dyDescent="0.2">
      <c r="A52" s="198" t="str">
        <f>"      "&amp;Labels!B317</f>
        <v xml:space="preserve">      Channels 1</v>
      </c>
      <c r="B52" s="226">
        <f>SUM(Sales!B122,Sales!B126)</f>
        <v>0</v>
      </c>
      <c r="C52" s="226">
        <f>SUM(Sales!C122,Sales!C126)</f>
        <v>0</v>
      </c>
      <c r="D52" s="226">
        <f>SUM(Sales!D122,Sales!D126)</f>
        <v>0</v>
      </c>
      <c r="E52" s="227">
        <f t="shared" ref="E52:E57" si="6">SUM(B52:D52)</f>
        <v>0</v>
      </c>
      <c r="F52" s="226">
        <f>SUM(Sales!F122,Sales!F126)</f>
        <v>0</v>
      </c>
      <c r="G52" s="226">
        <f>SUM(Sales!G122,Sales!G126)</f>
        <v>0</v>
      </c>
      <c r="H52" s="226">
        <f>SUM(Sales!H122,Sales!H126)</f>
        <v>0</v>
      </c>
      <c r="I52" s="227">
        <f t="shared" ref="I52:I57" si="7">SUM(F52:H52)</f>
        <v>0</v>
      </c>
      <c r="J52" s="226">
        <f>SUM(Sales!J122,Sales!J126)</f>
        <v>0</v>
      </c>
      <c r="K52" s="226">
        <f>SUM(Sales!K122,Sales!K126)</f>
        <v>0</v>
      </c>
      <c r="L52" s="226">
        <f>SUM(Sales!L122,Sales!L126)</f>
        <v>0</v>
      </c>
      <c r="M52" s="227">
        <f t="shared" ref="M52:M57" si="8">SUM(J52:L52)</f>
        <v>0</v>
      </c>
      <c r="N52" s="226">
        <f>SUM(Sales!N122,Sales!N126)</f>
        <v>0</v>
      </c>
      <c r="O52" s="226">
        <f>SUM(Sales!O122,Sales!O126)</f>
        <v>0</v>
      </c>
      <c r="P52" s="226">
        <f>SUM(Sales!P122,Sales!P126)</f>
        <v>0</v>
      </c>
      <c r="Q52" s="227">
        <f t="shared" ref="Q52:Q57" si="9">SUM(N52:P52)</f>
        <v>0</v>
      </c>
      <c r="R52" s="226">
        <f>SUM(Sales!R122,Sales!R126)</f>
        <v>0</v>
      </c>
      <c r="S52" s="226">
        <f>SUM(Sales!S122,Sales!S126)</f>
        <v>0</v>
      </c>
      <c r="T52" s="226">
        <f>SUM(Sales!T122,Sales!T126)</f>
        <v>0</v>
      </c>
      <c r="U52" s="227">
        <f t="shared" ref="U52:U57" si="10">SUM(R52:T52)</f>
        <v>0</v>
      </c>
      <c r="V52" s="226">
        <f>SUM(Sales!V122,Sales!V126)</f>
        <v>0</v>
      </c>
      <c r="W52" s="226">
        <f>SUM(Sales!W122,Sales!W126)</f>
        <v>0</v>
      </c>
      <c r="X52" s="226">
        <f>SUM(Sales!X122,Sales!X126)</f>
        <v>0</v>
      </c>
      <c r="Y52" s="227">
        <f t="shared" ref="Y52:Y57" si="11">SUM(V52:X52)</f>
        <v>0</v>
      </c>
    </row>
    <row r="53" spans="1:25" ht="12.75" hidden="1" customHeight="1" outlineLevel="1" x14ac:dyDescent="0.2">
      <c r="A53" s="198" t="str">
        <f>"      "&amp;Labels!B318</f>
        <v xml:space="preserve">      Channels 2</v>
      </c>
      <c r="B53" s="226">
        <f>SUM(Sales!B123,Sales!B127)</f>
        <v>0</v>
      </c>
      <c r="C53" s="226">
        <f>SUM(Sales!C123,Sales!C127)</f>
        <v>0</v>
      </c>
      <c r="D53" s="226">
        <f>SUM(Sales!D123,Sales!D127)</f>
        <v>0</v>
      </c>
      <c r="E53" s="227">
        <f t="shared" si="6"/>
        <v>0</v>
      </c>
      <c r="F53" s="226">
        <f>SUM(Sales!F123,Sales!F127)</f>
        <v>0</v>
      </c>
      <c r="G53" s="226">
        <f>SUM(Sales!G123,Sales!G127)</f>
        <v>0</v>
      </c>
      <c r="H53" s="226">
        <f>SUM(Sales!H123,Sales!H127)</f>
        <v>0</v>
      </c>
      <c r="I53" s="227">
        <f t="shared" si="7"/>
        <v>0</v>
      </c>
      <c r="J53" s="226">
        <f>SUM(Sales!J123,Sales!J127)</f>
        <v>0</v>
      </c>
      <c r="K53" s="226">
        <f>SUM(Sales!K123,Sales!K127)</f>
        <v>0</v>
      </c>
      <c r="L53" s="226">
        <f>SUM(Sales!L123,Sales!L127)</f>
        <v>0</v>
      </c>
      <c r="M53" s="227">
        <f t="shared" si="8"/>
        <v>0</v>
      </c>
      <c r="N53" s="226">
        <f>SUM(Sales!N123,Sales!N127)</f>
        <v>0</v>
      </c>
      <c r="O53" s="226">
        <f>SUM(Sales!O123,Sales!O127)</f>
        <v>0</v>
      </c>
      <c r="P53" s="226">
        <f>SUM(Sales!P123,Sales!P127)</f>
        <v>0</v>
      </c>
      <c r="Q53" s="227">
        <f t="shared" si="9"/>
        <v>0</v>
      </c>
      <c r="R53" s="226">
        <f>SUM(Sales!R123,Sales!R127)</f>
        <v>0</v>
      </c>
      <c r="S53" s="226">
        <f>SUM(Sales!S123,Sales!S127)</f>
        <v>0</v>
      </c>
      <c r="T53" s="226">
        <f>SUM(Sales!T123,Sales!T127)</f>
        <v>0</v>
      </c>
      <c r="U53" s="227">
        <f t="shared" si="10"/>
        <v>0</v>
      </c>
      <c r="V53" s="226">
        <f>SUM(Sales!V123,Sales!V127)</f>
        <v>0</v>
      </c>
      <c r="W53" s="226">
        <f>SUM(Sales!W123,Sales!W127)</f>
        <v>0</v>
      </c>
      <c r="X53" s="226">
        <f>SUM(Sales!X123,Sales!X127)</f>
        <v>0</v>
      </c>
      <c r="Y53" s="227">
        <f t="shared" si="11"/>
        <v>0</v>
      </c>
    </row>
    <row r="54" spans="1:25" ht="12.75" hidden="1" customHeight="1" outlineLevel="1" x14ac:dyDescent="0.2">
      <c r="A54" s="188" t="str">
        <f>"      "&amp;Labels!C316</f>
        <v xml:space="preserve">      Total</v>
      </c>
      <c r="B54" s="196">
        <f>SUM(B183:B184)</f>
        <v>0</v>
      </c>
      <c r="C54" s="196">
        <f>SUM(C183:C184)</f>
        <v>0</v>
      </c>
      <c r="D54" s="196">
        <f>SUM(D183:D184)</f>
        <v>0</v>
      </c>
      <c r="E54" s="197">
        <f t="shared" si="6"/>
        <v>0</v>
      </c>
      <c r="F54" s="196">
        <f>SUM(F183:F184)</f>
        <v>0</v>
      </c>
      <c r="G54" s="196">
        <f>SUM(G183:G184)</f>
        <v>0</v>
      </c>
      <c r="H54" s="196">
        <f>SUM(H183:H184)</f>
        <v>0</v>
      </c>
      <c r="I54" s="197">
        <f t="shared" si="7"/>
        <v>0</v>
      </c>
      <c r="J54" s="196">
        <f>SUM(J183:J184)</f>
        <v>0</v>
      </c>
      <c r="K54" s="196">
        <f>SUM(K183:K184)</f>
        <v>0</v>
      </c>
      <c r="L54" s="196">
        <f>SUM(L183:L184)</f>
        <v>0</v>
      </c>
      <c r="M54" s="197">
        <f t="shared" si="8"/>
        <v>0</v>
      </c>
      <c r="N54" s="196">
        <f>SUM(N183:N184)</f>
        <v>0</v>
      </c>
      <c r="O54" s="196">
        <f>SUM(O183:O184)</f>
        <v>0</v>
      </c>
      <c r="P54" s="196">
        <f>SUM(P183:P184)</f>
        <v>0</v>
      </c>
      <c r="Q54" s="197">
        <f t="shared" si="9"/>
        <v>0</v>
      </c>
      <c r="R54" s="196">
        <f>SUM(R183:R184)</f>
        <v>0</v>
      </c>
      <c r="S54" s="196">
        <f>SUM(S183:S184)</f>
        <v>0</v>
      </c>
      <c r="T54" s="196">
        <f>SUM(T183:T184)</f>
        <v>0</v>
      </c>
      <c r="U54" s="197">
        <f t="shared" si="10"/>
        <v>0</v>
      </c>
      <c r="V54" s="196">
        <f>SUM(V183:V184)</f>
        <v>0</v>
      </c>
      <c r="W54" s="196">
        <f>SUM(W183:W184)</f>
        <v>0</v>
      </c>
      <c r="X54" s="196">
        <f>SUM(X183:X184)</f>
        <v>0</v>
      </c>
      <c r="Y54" s="197">
        <f t="shared" si="11"/>
        <v>0</v>
      </c>
    </row>
    <row r="55" spans="1:25" ht="12.75" hidden="1" customHeight="1" outlineLevel="1" x14ac:dyDescent="0.2">
      <c r="A55" s="191" t="str">
        <f>"   "&amp;Labels!C380</f>
        <v xml:space="preserve">   Total</v>
      </c>
      <c r="B55" s="192">
        <f>SUM(B50,B54)</f>
        <v>0</v>
      </c>
      <c r="C55" s="192">
        <f>SUM(C50,C54)</f>
        <v>0</v>
      </c>
      <c r="D55" s="192">
        <f>SUM(D50,D54)</f>
        <v>112750</v>
      </c>
      <c r="E55" s="190">
        <f t="shared" si="6"/>
        <v>112750</v>
      </c>
      <c r="F55" s="192">
        <f>SUM(F50,F54)</f>
        <v>112750</v>
      </c>
      <c r="G55" s="192">
        <f>SUM(G50,G54)</f>
        <v>0</v>
      </c>
      <c r="H55" s="192">
        <f>SUM(H50,H54)</f>
        <v>82000</v>
      </c>
      <c r="I55" s="190">
        <f t="shared" si="7"/>
        <v>194750</v>
      </c>
      <c r="J55" s="192">
        <f>SUM(J50,J54)</f>
        <v>82000</v>
      </c>
      <c r="K55" s="192">
        <f>SUM(K50,K54)</f>
        <v>82000</v>
      </c>
      <c r="L55" s="192">
        <f>SUM(L50,L54)</f>
        <v>0</v>
      </c>
      <c r="M55" s="190">
        <f t="shared" si="8"/>
        <v>164000</v>
      </c>
      <c r="N55" s="192">
        <f>SUM(N50,N54)</f>
        <v>0</v>
      </c>
      <c r="O55" s="192">
        <f>SUM(O50,O54)</f>
        <v>0</v>
      </c>
      <c r="P55" s="192">
        <f>SUM(P50,P54)</f>
        <v>0</v>
      </c>
      <c r="Q55" s="190">
        <f t="shared" si="9"/>
        <v>0</v>
      </c>
      <c r="R55" s="192">
        <f>SUM(R50,R54)</f>
        <v>0</v>
      </c>
      <c r="S55" s="192">
        <f>SUM(S50,S54)</f>
        <v>0</v>
      </c>
      <c r="T55" s="192">
        <f>SUM(T50,T54)</f>
        <v>0</v>
      </c>
      <c r="U55" s="190">
        <f t="shared" si="10"/>
        <v>0</v>
      </c>
      <c r="V55" s="192">
        <f>SUM(V50,V54)</f>
        <v>0</v>
      </c>
      <c r="W55" s="192">
        <f>SUM(W50,W54)</f>
        <v>0</v>
      </c>
      <c r="X55" s="192">
        <f>SUM(X50,X54)</f>
        <v>0</v>
      </c>
      <c r="Y55" s="190">
        <f t="shared" si="11"/>
        <v>0</v>
      </c>
    </row>
    <row r="56" spans="1:25" ht="12.75" hidden="1" customHeight="1" outlineLevel="1" x14ac:dyDescent="0.2">
      <c r="A56" s="198" t="str">
        <f>"      "&amp;Labels!B317</f>
        <v xml:space="preserve">      Channels 1</v>
      </c>
      <c r="B56" s="226">
        <f t="shared" ref="B56:D58" si="12">SUM(B48,B52)</f>
        <v>0</v>
      </c>
      <c r="C56" s="226">
        <f t="shared" si="12"/>
        <v>0</v>
      </c>
      <c r="D56" s="226">
        <f t="shared" si="12"/>
        <v>57750</v>
      </c>
      <c r="E56" s="227">
        <f t="shared" si="6"/>
        <v>57750</v>
      </c>
      <c r="F56" s="226">
        <f t="shared" ref="F56:H58" si="13">SUM(F48,F52)</f>
        <v>57750</v>
      </c>
      <c r="G56" s="226">
        <f t="shared" si="13"/>
        <v>0</v>
      </c>
      <c r="H56" s="226">
        <f t="shared" si="13"/>
        <v>42000</v>
      </c>
      <c r="I56" s="227">
        <f t="shared" si="7"/>
        <v>99750</v>
      </c>
      <c r="J56" s="226">
        <f t="shared" ref="J56:L58" si="14">SUM(J48,J52)</f>
        <v>42000</v>
      </c>
      <c r="K56" s="226">
        <f t="shared" si="14"/>
        <v>42000</v>
      </c>
      <c r="L56" s="226">
        <f t="shared" si="14"/>
        <v>0</v>
      </c>
      <c r="M56" s="227">
        <f t="shared" si="8"/>
        <v>84000</v>
      </c>
      <c r="N56" s="226">
        <f t="shared" ref="N56:P58" si="15">SUM(N48,N52)</f>
        <v>0</v>
      </c>
      <c r="O56" s="226">
        <f t="shared" si="15"/>
        <v>0</v>
      </c>
      <c r="P56" s="226">
        <f t="shared" si="15"/>
        <v>0</v>
      </c>
      <c r="Q56" s="227">
        <f t="shared" si="9"/>
        <v>0</v>
      </c>
      <c r="R56" s="226">
        <f t="shared" ref="R56:T58" si="16">SUM(R48,R52)</f>
        <v>0</v>
      </c>
      <c r="S56" s="226">
        <f t="shared" si="16"/>
        <v>0</v>
      </c>
      <c r="T56" s="226">
        <f t="shared" si="16"/>
        <v>0</v>
      </c>
      <c r="U56" s="227">
        <f t="shared" si="10"/>
        <v>0</v>
      </c>
      <c r="V56" s="226">
        <f t="shared" ref="V56:X58" si="17">SUM(V48,V52)</f>
        <v>0</v>
      </c>
      <c r="W56" s="226">
        <f t="shared" si="17"/>
        <v>0</v>
      </c>
      <c r="X56" s="226">
        <f t="shared" si="17"/>
        <v>0</v>
      </c>
      <c r="Y56" s="227">
        <f t="shared" si="11"/>
        <v>0</v>
      </c>
    </row>
    <row r="57" spans="1:25" ht="12.75" hidden="1" customHeight="1" outlineLevel="1" x14ac:dyDescent="0.2">
      <c r="A57" s="198" t="str">
        <f>"      "&amp;Labels!B318</f>
        <v xml:space="preserve">      Channels 2</v>
      </c>
      <c r="B57" s="226">
        <f t="shared" si="12"/>
        <v>0</v>
      </c>
      <c r="C57" s="226">
        <f t="shared" si="12"/>
        <v>0</v>
      </c>
      <c r="D57" s="226">
        <f t="shared" si="12"/>
        <v>55000</v>
      </c>
      <c r="E57" s="227">
        <f t="shared" si="6"/>
        <v>55000</v>
      </c>
      <c r="F57" s="226">
        <f t="shared" si="13"/>
        <v>55000</v>
      </c>
      <c r="G57" s="226">
        <f t="shared" si="13"/>
        <v>0</v>
      </c>
      <c r="H57" s="226">
        <f t="shared" si="13"/>
        <v>40000</v>
      </c>
      <c r="I57" s="227">
        <f t="shared" si="7"/>
        <v>95000</v>
      </c>
      <c r="J57" s="226">
        <f t="shared" si="14"/>
        <v>40000</v>
      </c>
      <c r="K57" s="226">
        <f t="shared" si="14"/>
        <v>40000</v>
      </c>
      <c r="L57" s="226">
        <f t="shared" si="14"/>
        <v>0</v>
      </c>
      <c r="M57" s="227">
        <f t="shared" si="8"/>
        <v>80000</v>
      </c>
      <c r="N57" s="226">
        <f t="shared" si="15"/>
        <v>0</v>
      </c>
      <c r="O57" s="226">
        <f t="shared" si="15"/>
        <v>0</v>
      </c>
      <c r="P57" s="226">
        <f t="shared" si="15"/>
        <v>0</v>
      </c>
      <c r="Q57" s="227">
        <f t="shared" si="9"/>
        <v>0</v>
      </c>
      <c r="R57" s="226">
        <f t="shared" si="16"/>
        <v>0</v>
      </c>
      <c r="S57" s="226">
        <f t="shared" si="16"/>
        <v>0</v>
      </c>
      <c r="T57" s="226">
        <f t="shared" si="16"/>
        <v>0</v>
      </c>
      <c r="U57" s="227">
        <f t="shared" si="10"/>
        <v>0</v>
      </c>
      <c r="V57" s="226">
        <f t="shared" si="17"/>
        <v>0</v>
      </c>
      <c r="W57" s="226">
        <f t="shared" si="17"/>
        <v>0</v>
      </c>
      <c r="X57" s="226">
        <f t="shared" si="17"/>
        <v>0</v>
      </c>
      <c r="Y57" s="227">
        <f t="shared" si="11"/>
        <v>0</v>
      </c>
    </row>
    <row r="58" spans="1:25" ht="12.75" hidden="1" customHeight="1" outlineLevel="1" x14ac:dyDescent="0.2">
      <c r="A58" s="220" t="str">
        <f>"      "&amp;Labels!C316</f>
        <v xml:space="preserve">      Total</v>
      </c>
      <c r="B58" s="228">
        <f t="shared" si="12"/>
        <v>0</v>
      </c>
      <c r="C58" s="228">
        <f t="shared" si="12"/>
        <v>0</v>
      </c>
      <c r="D58" s="228">
        <f t="shared" si="12"/>
        <v>112750</v>
      </c>
      <c r="E58" s="229">
        <f>SUM(B55:D55)</f>
        <v>112750</v>
      </c>
      <c r="F58" s="228">
        <f t="shared" si="13"/>
        <v>112750</v>
      </c>
      <c r="G58" s="228">
        <f t="shared" si="13"/>
        <v>0</v>
      </c>
      <c r="H58" s="228">
        <f t="shared" si="13"/>
        <v>82000</v>
      </c>
      <c r="I58" s="229">
        <f>SUM(F55:H55)</f>
        <v>194750</v>
      </c>
      <c r="J58" s="228">
        <f t="shared" si="14"/>
        <v>82000</v>
      </c>
      <c r="K58" s="228">
        <f t="shared" si="14"/>
        <v>82000</v>
      </c>
      <c r="L58" s="228">
        <f t="shared" si="14"/>
        <v>0</v>
      </c>
      <c r="M58" s="229">
        <f>SUM(J55:L55)</f>
        <v>164000</v>
      </c>
      <c r="N58" s="228">
        <f t="shared" si="15"/>
        <v>0</v>
      </c>
      <c r="O58" s="228">
        <f t="shared" si="15"/>
        <v>0</v>
      </c>
      <c r="P58" s="228">
        <f t="shared" si="15"/>
        <v>0</v>
      </c>
      <c r="Q58" s="229">
        <f>SUM(N55:P55)</f>
        <v>0</v>
      </c>
      <c r="R58" s="228">
        <f t="shared" si="16"/>
        <v>0</v>
      </c>
      <c r="S58" s="228">
        <f t="shared" si="16"/>
        <v>0</v>
      </c>
      <c r="T58" s="228">
        <f t="shared" si="16"/>
        <v>0</v>
      </c>
      <c r="U58" s="229">
        <f>SUM(R55:T55)</f>
        <v>0</v>
      </c>
      <c r="V58" s="228">
        <f t="shared" si="17"/>
        <v>0</v>
      </c>
      <c r="W58" s="228">
        <f t="shared" si="17"/>
        <v>0</v>
      </c>
      <c r="X58" s="228">
        <f t="shared" si="17"/>
        <v>0</v>
      </c>
      <c r="Y58" s="229">
        <f>SUM(V55:X55)</f>
        <v>0</v>
      </c>
    </row>
    <row r="59" spans="1:25" ht="12.75" hidden="1" customHeight="1" outlineLevel="1" x14ac:dyDescent="0.2"/>
    <row r="60" spans="1:25" ht="12.75" hidden="1" customHeight="1" outlineLevel="1" x14ac:dyDescent="0.2">
      <c r="A60" s="182" t="str">
        <f>Labels!B42</f>
        <v>Cost of Services</v>
      </c>
      <c r="B60" s="183"/>
      <c r="C60" s="183"/>
      <c r="D60" s="183"/>
      <c r="E60" s="184"/>
      <c r="F60" s="183"/>
      <c r="G60" s="183"/>
      <c r="H60" s="183"/>
      <c r="I60" s="184"/>
      <c r="J60" s="183"/>
      <c r="K60" s="183"/>
      <c r="L60" s="183"/>
      <c r="M60" s="184"/>
      <c r="N60" s="183"/>
      <c r="O60" s="183"/>
      <c r="P60" s="183"/>
      <c r="Q60" s="184"/>
      <c r="R60" s="183"/>
      <c r="S60" s="183"/>
      <c r="T60" s="183"/>
      <c r="U60" s="184"/>
      <c r="V60" s="183"/>
      <c r="W60" s="183"/>
      <c r="X60" s="183"/>
      <c r="Y60" s="184"/>
    </row>
    <row r="61" spans="1:25" ht="12.75" hidden="1" customHeight="1" outlineLevel="1" x14ac:dyDescent="0.2">
      <c r="A61" s="188" t="str">
        <f>"   "&amp;Labels!B381</f>
        <v xml:space="preserve">   Practice 1</v>
      </c>
      <c r="B61" s="196"/>
      <c r="C61" s="196"/>
      <c r="D61" s="196"/>
      <c r="E61" s="197"/>
      <c r="F61" s="196"/>
      <c r="G61" s="196"/>
      <c r="H61" s="196"/>
      <c r="I61" s="197"/>
      <c r="J61" s="196"/>
      <c r="K61" s="196"/>
      <c r="L61" s="196"/>
      <c r="M61" s="197"/>
      <c r="N61" s="196"/>
      <c r="O61" s="196"/>
      <c r="P61" s="196"/>
      <c r="Q61" s="197"/>
      <c r="R61" s="196"/>
      <c r="S61" s="196"/>
      <c r="T61" s="196"/>
      <c r="U61" s="197"/>
      <c r="V61" s="196"/>
      <c r="W61" s="196"/>
      <c r="X61" s="196"/>
      <c r="Y61" s="197"/>
    </row>
    <row r="62" spans="1:25" ht="12.75" hidden="1" customHeight="1" outlineLevel="1" x14ac:dyDescent="0.2">
      <c r="A62" s="198" t="str">
        <f>"      "&amp;Labels!B317</f>
        <v xml:space="preserve">      Channels 1</v>
      </c>
      <c r="B62" s="226"/>
      <c r="C62" s="226"/>
      <c r="D62" s="226"/>
      <c r="E62" s="227"/>
      <c r="F62" s="226"/>
      <c r="G62" s="226"/>
      <c r="H62" s="226"/>
      <c r="I62" s="227"/>
      <c r="J62" s="226"/>
      <c r="K62" s="226"/>
      <c r="L62" s="226"/>
      <c r="M62" s="227"/>
      <c r="N62" s="226"/>
      <c r="O62" s="226"/>
      <c r="P62" s="226"/>
      <c r="Q62" s="227"/>
      <c r="R62" s="226"/>
      <c r="S62" s="226"/>
      <c r="T62" s="226"/>
      <c r="U62" s="227"/>
      <c r="V62" s="226"/>
      <c r="W62" s="226"/>
      <c r="X62" s="226"/>
      <c r="Y62" s="227"/>
    </row>
    <row r="63" spans="1:25" ht="12.75" hidden="1" customHeight="1" outlineLevel="1" x14ac:dyDescent="0.2">
      <c r="A63" s="198" t="str">
        <f>"         "&amp;Labels!B325</f>
        <v xml:space="preserve">         Direct Labor</v>
      </c>
      <c r="B63" s="189">
        <f>'GM CostSvcs'!B21</f>
        <v>0</v>
      </c>
      <c r="C63" s="189">
        <f>'GM CostSvcs'!C21</f>
        <v>0</v>
      </c>
      <c r="D63" s="189">
        <f>'GM CostSvcs'!D21</f>
        <v>0</v>
      </c>
      <c r="E63" s="190">
        <f>SUM(B63:D63)</f>
        <v>0</v>
      </c>
      <c r="F63" s="189">
        <f>'GM CostSvcs'!F21</f>
        <v>0</v>
      </c>
      <c r="G63" s="189">
        <f>'GM CostSvcs'!G21</f>
        <v>0</v>
      </c>
      <c r="H63" s="189">
        <f>'GM CostSvcs'!H21</f>
        <v>0</v>
      </c>
      <c r="I63" s="190">
        <f>SUM(F63:H63)</f>
        <v>0</v>
      </c>
      <c r="J63" s="189">
        <f>'GM CostSvcs'!J21</f>
        <v>28260.89297106001</v>
      </c>
      <c r="K63" s="189">
        <f>'GM CostSvcs'!K21</f>
        <v>28330.591957132838</v>
      </c>
      <c r="L63" s="189">
        <f>'GM CostSvcs'!L21</f>
        <v>0</v>
      </c>
      <c r="M63" s="190">
        <f>SUM(J63:L63)</f>
        <v>56591.484928192847</v>
      </c>
      <c r="N63" s="189">
        <f>'GM CostSvcs'!N21</f>
        <v>0</v>
      </c>
      <c r="O63" s="189">
        <f>'GM CostSvcs'!O21</f>
        <v>0</v>
      </c>
      <c r="P63" s="189">
        <f>'GM CostSvcs'!P21</f>
        <v>0</v>
      </c>
      <c r="Q63" s="190">
        <f>SUM(N63:P63)</f>
        <v>0</v>
      </c>
      <c r="R63" s="189">
        <f>'GM CostSvcs'!R21</f>
        <v>0</v>
      </c>
      <c r="S63" s="189">
        <f>'GM CostSvcs'!S21</f>
        <v>0</v>
      </c>
      <c r="T63" s="189">
        <f>'GM CostSvcs'!T21</f>
        <v>0</v>
      </c>
      <c r="U63" s="190">
        <f>SUM(R63:T63)</f>
        <v>0</v>
      </c>
      <c r="V63" s="189">
        <f>'GM CostSvcs'!V21</f>
        <v>0</v>
      </c>
      <c r="W63" s="189">
        <f>'GM CostSvcs'!W21</f>
        <v>0</v>
      </c>
      <c r="X63" s="189">
        <f>'GM CostSvcs'!X21</f>
        <v>0</v>
      </c>
      <c r="Y63" s="190">
        <f>SUM(V63:X63)</f>
        <v>0</v>
      </c>
    </row>
    <row r="64" spans="1:25" ht="12.75" hidden="1" customHeight="1" outlineLevel="1" x14ac:dyDescent="0.2">
      <c r="A64" s="198" t="str">
        <f>"         "&amp;Labels!B326</f>
        <v xml:space="preserve">         Travel &amp; Entertain</v>
      </c>
      <c r="B64" s="189">
        <f>'GM CostSvcs'!B62</f>
        <v>0</v>
      </c>
      <c r="C64" s="189">
        <f>'GM CostSvcs'!C62</f>
        <v>0</v>
      </c>
      <c r="D64" s="189">
        <f>'GM CostSvcs'!D62</f>
        <v>2750</v>
      </c>
      <c r="E64" s="190">
        <f>SUM(B64:D64)</f>
        <v>2750</v>
      </c>
      <c r="F64" s="189">
        <f>'GM CostSvcs'!F62</f>
        <v>2750</v>
      </c>
      <c r="G64" s="189">
        <f>'GM CostSvcs'!G62</f>
        <v>0</v>
      </c>
      <c r="H64" s="189">
        <f>'GM CostSvcs'!H62</f>
        <v>2000</v>
      </c>
      <c r="I64" s="190">
        <f>SUM(F64:H64)</f>
        <v>4750</v>
      </c>
      <c r="J64" s="189">
        <f>'GM CostSvcs'!J62</f>
        <v>2000</v>
      </c>
      <c r="K64" s="189">
        <f>'GM CostSvcs'!K62</f>
        <v>2000</v>
      </c>
      <c r="L64" s="189">
        <f>'GM CostSvcs'!L62</f>
        <v>0</v>
      </c>
      <c r="M64" s="190">
        <f>SUM(J64:L64)</f>
        <v>4000</v>
      </c>
      <c r="N64" s="189">
        <f>'GM CostSvcs'!N62</f>
        <v>0</v>
      </c>
      <c r="O64" s="189">
        <f>'GM CostSvcs'!O62</f>
        <v>0</v>
      </c>
      <c r="P64" s="189">
        <f>'GM CostSvcs'!P62</f>
        <v>0</v>
      </c>
      <c r="Q64" s="190">
        <f>SUM(N64:P64)</f>
        <v>0</v>
      </c>
      <c r="R64" s="189">
        <f>'GM CostSvcs'!R62</f>
        <v>0</v>
      </c>
      <c r="S64" s="189">
        <f>'GM CostSvcs'!S62</f>
        <v>0</v>
      </c>
      <c r="T64" s="189">
        <f>'GM CostSvcs'!T62</f>
        <v>0</v>
      </c>
      <c r="U64" s="190">
        <f>SUM(R64:T64)</f>
        <v>0</v>
      </c>
      <c r="V64" s="189">
        <f>'GM CostSvcs'!V62</f>
        <v>0</v>
      </c>
      <c r="W64" s="189">
        <f>'GM CostSvcs'!W62</f>
        <v>0</v>
      </c>
      <c r="X64" s="189">
        <f>'GM CostSvcs'!X62</f>
        <v>0</v>
      </c>
      <c r="Y64" s="190">
        <f>SUM(V64:X64)</f>
        <v>0</v>
      </c>
    </row>
    <row r="65" spans="1:25" ht="12.75" hidden="1" customHeight="1" outlineLevel="1" x14ac:dyDescent="0.2">
      <c r="A65" s="198" t="str">
        <f>"         "&amp;Labels!B327</f>
        <v xml:space="preserve">         Direct Supplies</v>
      </c>
      <c r="B65" s="189">
        <f>'GM CostSvcs'!B124</f>
        <v>0</v>
      </c>
      <c r="C65" s="189">
        <f>'GM CostSvcs'!C124</f>
        <v>0</v>
      </c>
      <c r="D65" s="189">
        <f>'GM CostSvcs'!D124</f>
        <v>0</v>
      </c>
      <c r="E65" s="190">
        <f>SUM(B65:D65)</f>
        <v>0</v>
      </c>
      <c r="F65" s="189">
        <f>'GM CostSvcs'!F124</f>
        <v>0</v>
      </c>
      <c r="G65" s="189">
        <f>'GM CostSvcs'!G124</f>
        <v>0</v>
      </c>
      <c r="H65" s="189">
        <f>'GM CostSvcs'!H124</f>
        <v>0</v>
      </c>
      <c r="I65" s="190">
        <f>SUM(F65:H65)</f>
        <v>0</v>
      </c>
      <c r="J65" s="189">
        <f>'GM CostSvcs'!J124</f>
        <v>0</v>
      </c>
      <c r="K65" s="189">
        <f>'GM CostSvcs'!K124</f>
        <v>0</v>
      </c>
      <c r="L65" s="189">
        <f>'GM CostSvcs'!L124</f>
        <v>0</v>
      </c>
      <c r="M65" s="190">
        <f>SUM(J65:L65)</f>
        <v>0</v>
      </c>
      <c r="N65" s="189">
        <f>'GM CostSvcs'!N124</f>
        <v>0</v>
      </c>
      <c r="O65" s="189">
        <f>'GM CostSvcs'!O124</f>
        <v>0</v>
      </c>
      <c r="P65" s="189">
        <f>'GM CostSvcs'!P124</f>
        <v>0</v>
      </c>
      <c r="Q65" s="190">
        <f>SUM(N65:P65)</f>
        <v>0</v>
      </c>
      <c r="R65" s="189">
        <f>'GM CostSvcs'!R124</f>
        <v>0</v>
      </c>
      <c r="S65" s="189">
        <f>'GM CostSvcs'!S124</f>
        <v>0</v>
      </c>
      <c r="T65" s="189">
        <f>'GM CostSvcs'!T124</f>
        <v>0</v>
      </c>
      <c r="U65" s="190">
        <f>SUM(R65:T65)</f>
        <v>0</v>
      </c>
      <c r="V65" s="189">
        <f>'GM CostSvcs'!V124</f>
        <v>0</v>
      </c>
      <c r="W65" s="189">
        <f>'GM CostSvcs'!W124</f>
        <v>0</v>
      </c>
      <c r="X65" s="189">
        <f>'GM CostSvcs'!X124</f>
        <v>0</v>
      </c>
      <c r="Y65" s="190">
        <f>SUM(V65:X65)</f>
        <v>0</v>
      </c>
    </row>
    <row r="66" spans="1:25" ht="12.75" hidden="1" customHeight="1" outlineLevel="1" x14ac:dyDescent="0.2">
      <c r="A66" s="198" t="str">
        <f>"         "&amp;Labels!C324</f>
        <v xml:space="preserve">         Total</v>
      </c>
      <c r="B66" s="226">
        <f>SUM(B63:B65)</f>
        <v>0</v>
      </c>
      <c r="C66" s="226">
        <f>SUM(C63:C65)</f>
        <v>0</v>
      </c>
      <c r="D66" s="226">
        <f>SUM(D63:D65)</f>
        <v>2750</v>
      </c>
      <c r="E66" s="227">
        <f>SUM(B66:D66)</f>
        <v>2750</v>
      </c>
      <c r="F66" s="226">
        <f>SUM(F63:F65)</f>
        <v>2750</v>
      </c>
      <c r="G66" s="226">
        <f>SUM(G63:G65)</f>
        <v>0</v>
      </c>
      <c r="H66" s="226">
        <f>SUM(H63:H65)</f>
        <v>2000</v>
      </c>
      <c r="I66" s="227">
        <f>SUM(F66:H66)</f>
        <v>4750</v>
      </c>
      <c r="J66" s="226">
        <f>SUM(J63:J65)</f>
        <v>30260.89297106001</v>
      </c>
      <c r="K66" s="226">
        <f>SUM(K63:K65)</f>
        <v>30330.591957132838</v>
      </c>
      <c r="L66" s="226">
        <f>SUM(L63:L65)</f>
        <v>0</v>
      </c>
      <c r="M66" s="227">
        <f>SUM(J66:L66)</f>
        <v>60591.484928192847</v>
      </c>
      <c r="N66" s="226">
        <f>SUM(N63:N65)</f>
        <v>0</v>
      </c>
      <c r="O66" s="226">
        <f>SUM(O63:O65)</f>
        <v>0</v>
      </c>
      <c r="P66" s="226">
        <f>SUM(P63:P65)</f>
        <v>0</v>
      </c>
      <c r="Q66" s="227">
        <f>SUM(N66:P66)</f>
        <v>0</v>
      </c>
      <c r="R66" s="226">
        <f>SUM(R63:R65)</f>
        <v>0</v>
      </c>
      <c r="S66" s="226">
        <f>SUM(S63:S65)</f>
        <v>0</v>
      </c>
      <c r="T66" s="226">
        <f>SUM(T63:T65)</f>
        <v>0</v>
      </c>
      <c r="U66" s="227">
        <f>SUM(R66:T66)</f>
        <v>0</v>
      </c>
      <c r="V66" s="226">
        <f>SUM(V63:V65)</f>
        <v>0</v>
      </c>
      <c r="W66" s="226">
        <f>SUM(W63:W65)</f>
        <v>0</v>
      </c>
      <c r="X66" s="226">
        <f>SUM(X63:X65)</f>
        <v>0</v>
      </c>
      <c r="Y66" s="227">
        <f>SUM(V66:X66)</f>
        <v>0</v>
      </c>
    </row>
    <row r="67" spans="1:25" ht="12.75" hidden="1" customHeight="1" outlineLevel="1" x14ac:dyDescent="0.2">
      <c r="A67" s="198" t="str">
        <f>"      "&amp;Labels!B318</f>
        <v xml:space="preserve">      Channels 2</v>
      </c>
      <c r="B67" s="226"/>
      <c r="C67" s="226"/>
      <c r="D67" s="226"/>
      <c r="E67" s="227"/>
      <c r="F67" s="226"/>
      <c r="G67" s="226"/>
      <c r="H67" s="226"/>
      <c r="I67" s="227"/>
      <c r="J67" s="226"/>
      <c r="K67" s="226"/>
      <c r="L67" s="226"/>
      <c r="M67" s="227"/>
      <c r="N67" s="226"/>
      <c r="O67" s="226"/>
      <c r="P67" s="226"/>
      <c r="Q67" s="227"/>
      <c r="R67" s="226"/>
      <c r="S67" s="226"/>
      <c r="T67" s="226"/>
      <c r="U67" s="227"/>
      <c r="V67" s="226"/>
      <c r="W67" s="226"/>
      <c r="X67" s="226"/>
      <c r="Y67" s="227"/>
    </row>
    <row r="68" spans="1:25" ht="12.75" hidden="1" customHeight="1" outlineLevel="1" x14ac:dyDescent="0.2">
      <c r="A68" s="198" t="str">
        <f>"         "&amp;Labels!B325</f>
        <v xml:space="preserve">         Direct Labor</v>
      </c>
      <c r="B68" s="189">
        <f>'GM CostSvcs'!B22</f>
        <v>0</v>
      </c>
      <c r="C68" s="189">
        <f>'GM CostSvcs'!C22</f>
        <v>0</v>
      </c>
      <c r="D68" s="189">
        <f>'GM CostSvcs'!D22</f>
        <v>0</v>
      </c>
      <c r="E68" s="190">
        <f t="shared" ref="E68:E75" si="18">SUM(B68:D68)</f>
        <v>0</v>
      </c>
      <c r="F68" s="189">
        <f>'GM CostSvcs'!F22</f>
        <v>0</v>
      </c>
      <c r="G68" s="189">
        <f>'GM CostSvcs'!G22</f>
        <v>0</v>
      </c>
      <c r="H68" s="189">
        <f>'GM CostSvcs'!H22</f>
        <v>0</v>
      </c>
      <c r="I68" s="190">
        <f t="shared" ref="I68:I75" si="19">SUM(F68:H68)</f>
        <v>0</v>
      </c>
      <c r="J68" s="189">
        <f>'GM CostSvcs'!J22</f>
        <v>0</v>
      </c>
      <c r="K68" s="189">
        <f>'GM CostSvcs'!K22</f>
        <v>0</v>
      </c>
      <c r="L68" s="189">
        <f>'GM CostSvcs'!L22</f>
        <v>0</v>
      </c>
      <c r="M68" s="190">
        <f t="shared" ref="M68:M75" si="20">SUM(J68:L68)</f>
        <v>0</v>
      </c>
      <c r="N68" s="189">
        <f>'GM CostSvcs'!N22</f>
        <v>0</v>
      </c>
      <c r="O68" s="189">
        <f>'GM CostSvcs'!O22</f>
        <v>0</v>
      </c>
      <c r="P68" s="189">
        <f>'GM CostSvcs'!P22</f>
        <v>0</v>
      </c>
      <c r="Q68" s="190">
        <f t="shared" ref="Q68:Q75" si="21">SUM(N68:P68)</f>
        <v>0</v>
      </c>
      <c r="R68" s="189">
        <f>'GM CostSvcs'!R22</f>
        <v>0</v>
      </c>
      <c r="S68" s="189">
        <f>'GM CostSvcs'!S22</f>
        <v>0</v>
      </c>
      <c r="T68" s="189">
        <f>'GM CostSvcs'!T22</f>
        <v>0</v>
      </c>
      <c r="U68" s="190">
        <f t="shared" ref="U68:U75" si="22">SUM(R68:T68)</f>
        <v>0</v>
      </c>
      <c r="V68" s="189">
        <f>'GM CostSvcs'!V22</f>
        <v>0</v>
      </c>
      <c r="W68" s="189">
        <f>'GM CostSvcs'!W22</f>
        <v>0</v>
      </c>
      <c r="X68" s="189">
        <f>'GM CostSvcs'!X22</f>
        <v>0</v>
      </c>
      <c r="Y68" s="190">
        <f t="shared" ref="Y68:Y75" si="23">SUM(V68:X68)</f>
        <v>0</v>
      </c>
    </row>
    <row r="69" spans="1:25" ht="12.75" hidden="1" customHeight="1" outlineLevel="1" x14ac:dyDescent="0.2">
      <c r="A69" s="198" t="str">
        <f>"         "&amp;Labels!B326</f>
        <v xml:space="preserve">         Travel &amp; Entertain</v>
      </c>
      <c r="B69" s="189">
        <f>'GM CostSvcs'!B63</f>
        <v>0</v>
      </c>
      <c r="C69" s="189">
        <f>'GM CostSvcs'!C63</f>
        <v>0</v>
      </c>
      <c r="D69" s="189">
        <f>'GM CostSvcs'!D63</f>
        <v>0</v>
      </c>
      <c r="E69" s="190">
        <f t="shared" si="18"/>
        <v>0</v>
      </c>
      <c r="F69" s="189">
        <f>'GM CostSvcs'!F63</f>
        <v>0</v>
      </c>
      <c r="G69" s="189">
        <f>'GM CostSvcs'!G63</f>
        <v>0</v>
      </c>
      <c r="H69" s="189">
        <f>'GM CostSvcs'!H63</f>
        <v>0</v>
      </c>
      <c r="I69" s="190">
        <f t="shared" si="19"/>
        <v>0</v>
      </c>
      <c r="J69" s="189">
        <f>'GM CostSvcs'!J63</f>
        <v>0</v>
      </c>
      <c r="K69" s="189">
        <f>'GM CostSvcs'!K63</f>
        <v>0</v>
      </c>
      <c r="L69" s="189">
        <f>'GM CostSvcs'!L63</f>
        <v>0</v>
      </c>
      <c r="M69" s="190">
        <f t="shared" si="20"/>
        <v>0</v>
      </c>
      <c r="N69" s="189">
        <f>'GM CostSvcs'!N63</f>
        <v>0</v>
      </c>
      <c r="O69" s="189">
        <f>'GM CostSvcs'!O63</f>
        <v>0</v>
      </c>
      <c r="P69" s="189">
        <f>'GM CostSvcs'!P63</f>
        <v>0</v>
      </c>
      <c r="Q69" s="190">
        <f t="shared" si="21"/>
        <v>0</v>
      </c>
      <c r="R69" s="189">
        <f>'GM CostSvcs'!R63</f>
        <v>0</v>
      </c>
      <c r="S69" s="189">
        <f>'GM CostSvcs'!S63</f>
        <v>0</v>
      </c>
      <c r="T69" s="189">
        <f>'GM CostSvcs'!T63</f>
        <v>0</v>
      </c>
      <c r="U69" s="190">
        <f t="shared" si="22"/>
        <v>0</v>
      </c>
      <c r="V69" s="189">
        <f>'GM CostSvcs'!V63</f>
        <v>0</v>
      </c>
      <c r="W69" s="189">
        <f>'GM CostSvcs'!W63</f>
        <v>0</v>
      </c>
      <c r="X69" s="189">
        <f>'GM CostSvcs'!X63</f>
        <v>0</v>
      </c>
      <c r="Y69" s="190">
        <f t="shared" si="23"/>
        <v>0</v>
      </c>
    </row>
    <row r="70" spans="1:25" ht="12.75" hidden="1" customHeight="1" outlineLevel="1" x14ac:dyDescent="0.2">
      <c r="A70" s="198" t="str">
        <f>"         "&amp;Labels!B327</f>
        <v xml:space="preserve">         Direct Supplies</v>
      </c>
      <c r="B70" s="189">
        <f>'GM CostSvcs'!B128</f>
        <v>0</v>
      </c>
      <c r="C70" s="189">
        <f>'GM CostSvcs'!C128</f>
        <v>0</v>
      </c>
      <c r="D70" s="189">
        <f>'GM CostSvcs'!D128</f>
        <v>0</v>
      </c>
      <c r="E70" s="190">
        <f t="shared" si="18"/>
        <v>0</v>
      </c>
      <c r="F70" s="189">
        <f>'GM CostSvcs'!F128</f>
        <v>0</v>
      </c>
      <c r="G70" s="189">
        <f>'GM CostSvcs'!G128</f>
        <v>0</v>
      </c>
      <c r="H70" s="189">
        <f>'GM CostSvcs'!H128</f>
        <v>0</v>
      </c>
      <c r="I70" s="190">
        <f t="shared" si="19"/>
        <v>0</v>
      </c>
      <c r="J70" s="189">
        <f>'GM CostSvcs'!J128</f>
        <v>0</v>
      </c>
      <c r="K70" s="189">
        <f>'GM CostSvcs'!K128</f>
        <v>0</v>
      </c>
      <c r="L70" s="189">
        <f>'GM CostSvcs'!L128</f>
        <v>0</v>
      </c>
      <c r="M70" s="190">
        <f t="shared" si="20"/>
        <v>0</v>
      </c>
      <c r="N70" s="189">
        <f>'GM CostSvcs'!N128</f>
        <v>0</v>
      </c>
      <c r="O70" s="189">
        <f>'GM CostSvcs'!O128</f>
        <v>0</v>
      </c>
      <c r="P70" s="189">
        <f>'GM CostSvcs'!P128</f>
        <v>0</v>
      </c>
      <c r="Q70" s="190">
        <f t="shared" si="21"/>
        <v>0</v>
      </c>
      <c r="R70" s="189">
        <f>'GM CostSvcs'!R128</f>
        <v>0</v>
      </c>
      <c r="S70" s="189">
        <f>'GM CostSvcs'!S128</f>
        <v>0</v>
      </c>
      <c r="T70" s="189">
        <f>'GM CostSvcs'!T128</f>
        <v>0</v>
      </c>
      <c r="U70" s="190">
        <f t="shared" si="22"/>
        <v>0</v>
      </c>
      <c r="V70" s="189">
        <f>'GM CostSvcs'!V128</f>
        <v>0</v>
      </c>
      <c r="W70" s="189">
        <f>'GM CostSvcs'!W128</f>
        <v>0</v>
      </c>
      <c r="X70" s="189">
        <f>'GM CostSvcs'!X128</f>
        <v>0</v>
      </c>
      <c r="Y70" s="190">
        <f t="shared" si="23"/>
        <v>0</v>
      </c>
    </row>
    <row r="71" spans="1:25" ht="12.75" hidden="1" customHeight="1" outlineLevel="1" x14ac:dyDescent="0.2">
      <c r="A71" s="198" t="str">
        <f>"         "&amp;Labels!C324</f>
        <v xml:space="preserve">         Total</v>
      </c>
      <c r="B71" s="226">
        <f>SUM(B68:B70)</f>
        <v>0</v>
      </c>
      <c r="C71" s="226">
        <f>SUM(C68:C70)</f>
        <v>0</v>
      </c>
      <c r="D71" s="226">
        <f>SUM(D68:D70)</f>
        <v>0</v>
      </c>
      <c r="E71" s="227">
        <f t="shared" si="18"/>
        <v>0</v>
      </c>
      <c r="F71" s="226">
        <f>SUM(F68:F70)</f>
        <v>0</v>
      </c>
      <c r="G71" s="226">
        <f>SUM(G68:G70)</f>
        <v>0</v>
      </c>
      <c r="H71" s="226">
        <f>SUM(H68:H70)</f>
        <v>0</v>
      </c>
      <c r="I71" s="227">
        <f t="shared" si="19"/>
        <v>0</v>
      </c>
      <c r="J71" s="226">
        <f>SUM(J68:J70)</f>
        <v>0</v>
      </c>
      <c r="K71" s="226">
        <f>SUM(K68:K70)</f>
        <v>0</v>
      </c>
      <c r="L71" s="226">
        <f>SUM(L68:L70)</f>
        <v>0</v>
      </c>
      <c r="M71" s="227">
        <f t="shared" si="20"/>
        <v>0</v>
      </c>
      <c r="N71" s="226">
        <f>SUM(N68:N70)</f>
        <v>0</v>
      </c>
      <c r="O71" s="226">
        <f>SUM(O68:O70)</f>
        <v>0</v>
      </c>
      <c r="P71" s="226">
        <f>SUM(P68:P70)</f>
        <v>0</v>
      </c>
      <c r="Q71" s="227">
        <f t="shared" si="21"/>
        <v>0</v>
      </c>
      <c r="R71" s="226">
        <f>SUM(R68:R70)</f>
        <v>0</v>
      </c>
      <c r="S71" s="226">
        <f>SUM(S68:S70)</f>
        <v>0</v>
      </c>
      <c r="T71" s="226">
        <f>SUM(T68:T70)</f>
        <v>0</v>
      </c>
      <c r="U71" s="227">
        <f t="shared" si="22"/>
        <v>0</v>
      </c>
      <c r="V71" s="226">
        <f>SUM(V68:V70)</f>
        <v>0</v>
      </c>
      <c r="W71" s="226">
        <f>SUM(W68:W70)</f>
        <v>0</v>
      </c>
      <c r="X71" s="226">
        <f>SUM(X68:X70)</f>
        <v>0</v>
      </c>
      <c r="Y71" s="227">
        <f t="shared" si="23"/>
        <v>0</v>
      </c>
    </row>
    <row r="72" spans="1:25" ht="12.75" hidden="1" customHeight="1" outlineLevel="1" x14ac:dyDescent="0.2">
      <c r="A72" s="188" t="str">
        <f>"      "&amp;Labels!C316</f>
        <v xml:space="preserve">      Total</v>
      </c>
      <c r="B72" s="196">
        <f>SUM(B66,B71)</f>
        <v>0</v>
      </c>
      <c r="C72" s="196">
        <f>SUM(C66,C71)</f>
        <v>0</v>
      </c>
      <c r="D72" s="196">
        <f>SUM(D66,D71)</f>
        <v>2750</v>
      </c>
      <c r="E72" s="197">
        <f t="shared" si="18"/>
        <v>2750</v>
      </c>
      <c r="F72" s="196">
        <f>SUM(F66,F71)</f>
        <v>2750</v>
      </c>
      <c r="G72" s="196">
        <f>SUM(G66,G71)</f>
        <v>0</v>
      </c>
      <c r="H72" s="196">
        <f>SUM(H66,H71)</f>
        <v>2000</v>
      </c>
      <c r="I72" s="197">
        <f t="shared" si="19"/>
        <v>4750</v>
      </c>
      <c r="J72" s="196">
        <f>SUM(J66,J71)</f>
        <v>30260.89297106001</v>
      </c>
      <c r="K72" s="196">
        <f>SUM(K66,K71)</f>
        <v>30330.591957132838</v>
      </c>
      <c r="L72" s="196">
        <f>SUM(L66,L71)</f>
        <v>0</v>
      </c>
      <c r="M72" s="197">
        <f t="shared" si="20"/>
        <v>60591.484928192847</v>
      </c>
      <c r="N72" s="196">
        <f>SUM(N66,N71)</f>
        <v>0</v>
      </c>
      <c r="O72" s="196">
        <f>SUM(O66,O71)</f>
        <v>0</v>
      </c>
      <c r="P72" s="196">
        <f>SUM(P66,P71)</f>
        <v>0</v>
      </c>
      <c r="Q72" s="197">
        <f t="shared" si="21"/>
        <v>0</v>
      </c>
      <c r="R72" s="196">
        <f>SUM(R66,R71)</f>
        <v>0</v>
      </c>
      <c r="S72" s="196">
        <f>SUM(S66,S71)</f>
        <v>0</v>
      </c>
      <c r="T72" s="196">
        <f>SUM(T66,T71)</f>
        <v>0</v>
      </c>
      <c r="U72" s="197">
        <f t="shared" si="22"/>
        <v>0</v>
      </c>
      <c r="V72" s="196">
        <f>SUM(V66,V71)</f>
        <v>0</v>
      </c>
      <c r="W72" s="196">
        <f>SUM(W66,W71)</f>
        <v>0</v>
      </c>
      <c r="X72" s="196">
        <f>SUM(X66,X71)</f>
        <v>0</v>
      </c>
      <c r="Y72" s="197">
        <f t="shared" si="23"/>
        <v>0</v>
      </c>
    </row>
    <row r="73" spans="1:25" ht="12.75" hidden="1" customHeight="1" outlineLevel="1" x14ac:dyDescent="0.2">
      <c r="A73" s="198" t="str">
        <f>"         "&amp;Labels!B325</f>
        <v xml:space="preserve">         Direct Labor</v>
      </c>
      <c r="B73" s="189">
        <f t="shared" ref="B73:D76" si="24">SUM(B63,B68)</f>
        <v>0</v>
      </c>
      <c r="C73" s="189">
        <f t="shared" si="24"/>
        <v>0</v>
      </c>
      <c r="D73" s="189">
        <f t="shared" si="24"/>
        <v>0</v>
      </c>
      <c r="E73" s="190">
        <f t="shared" si="18"/>
        <v>0</v>
      </c>
      <c r="F73" s="189">
        <f t="shared" ref="F73:H76" si="25">SUM(F63,F68)</f>
        <v>0</v>
      </c>
      <c r="G73" s="189">
        <f t="shared" si="25"/>
        <v>0</v>
      </c>
      <c r="H73" s="189">
        <f t="shared" si="25"/>
        <v>0</v>
      </c>
      <c r="I73" s="190">
        <f t="shared" si="19"/>
        <v>0</v>
      </c>
      <c r="J73" s="189">
        <f t="shared" ref="J73:L76" si="26">SUM(J63,J68)</f>
        <v>28260.89297106001</v>
      </c>
      <c r="K73" s="189">
        <f t="shared" si="26"/>
        <v>28330.591957132838</v>
      </c>
      <c r="L73" s="189">
        <f t="shared" si="26"/>
        <v>0</v>
      </c>
      <c r="M73" s="190">
        <f t="shared" si="20"/>
        <v>56591.484928192847</v>
      </c>
      <c r="N73" s="189">
        <f t="shared" ref="N73:P76" si="27">SUM(N63,N68)</f>
        <v>0</v>
      </c>
      <c r="O73" s="189">
        <f t="shared" si="27"/>
        <v>0</v>
      </c>
      <c r="P73" s="189">
        <f t="shared" si="27"/>
        <v>0</v>
      </c>
      <c r="Q73" s="190">
        <f t="shared" si="21"/>
        <v>0</v>
      </c>
      <c r="R73" s="189">
        <f t="shared" ref="R73:T76" si="28">SUM(R63,R68)</f>
        <v>0</v>
      </c>
      <c r="S73" s="189">
        <f t="shared" si="28"/>
        <v>0</v>
      </c>
      <c r="T73" s="189">
        <f t="shared" si="28"/>
        <v>0</v>
      </c>
      <c r="U73" s="190">
        <f t="shared" si="22"/>
        <v>0</v>
      </c>
      <c r="V73" s="189">
        <f t="shared" ref="V73:X76" si="29">SUM(V63,V68)</f>
        <v>0</v>
      </c>
      <c r="W73" s="189">
        <f t="shared" si="29"/>
        <v>0</v>
      </c>
      <c r="X73" s="189">
        <f t="shared" si="29"/>
        <v>0</v>
      </c>
      <c r="Y73" s="190">
        <f t="shared" si="23"/>
        <v>0</v>
      </c>
    </row>
    <row r="74" spans="1:25" ht="12.75" hidden="1" customHeight="1" outlineLevel="1" x14ac:dyDescent="0.2">
      <c r="A74" s="198" t="str">
        <f>"         "&amp;Labels!B326</f>
        <v xml:space="preserve">         Travel &amp; Entertain</v>
      </c>
      <c r="B74" s="189">
        <f t="shared" si="24"/>
        <v>0</v>
      </c>
      <c r="C74" s="189">
        <f t="shared" si="24"/>
        <v>0</v>
      </c>
      <c r="D74" s="189">
        <f t="shared" si="24"/>
        <v>2750</v>
      </c>
      <c r="E74" s="190">
        <f t="shared" si="18"/>
        <v>2750</v>
      </c>
      <c r="F74" s="189">
        <f t="shared" si="25"/>
        <v>2750</v>
      </c>
      <c r="G74" s="189">
        <f t="shared" si="25"/>
        <v>0</v>
      </c>
      <c r="H74" s="189">
        <f t="shared" si="25"/>
        <v>2000</v>
      </c>
      <c r="I74" s="190">
        <f t="shared" si="19"/>
        <v>4750</v>
      </c>
      <c r="J74" s="189">
        <f t="shared" si="26"/>
        <v>2000</v>
      </c>
      <c r="K74" s="189">
        <f t="shared" si="26"/>
        <v>2000</v>
      </c>
      <c r="L74" s="189">
        <f t="shared" si="26"/>
        <v>0</v>
      </c>
      <c r="M74" s="190">
        <f t="shared" si="20"/>
        <v>4000</v>
      </c>
      <c r="N74" s="189">
        <f t="shared" si="27"/>
        <v>0</v>
      </c>
      <c r="O74" s="189">
        <f t="shared" si="27"/>
        <v>0</v>
      </c>
      <c r="P74" s="189">
        <f t="shared" si="27"/>
        <v>0</v>
      </c>
      <c r="Q74" s="190">
        <f t="shared" si="21"/>
        <v>0</v>
      </c>
      <c r="R74" s="189">
        <f t="shared" si="28"/>
        <v>0</v>
      </c>
      <c r="S74" s="189">
        <f t="shared" si="28"/>
        <v>0</v>
      </c>
      <c r="T74" s="189">
        <f t="shared" si="28"/>
        <v>0</v>
      </c>
      <c r="U74" s="190">
        <f t="shared" si="22"/>
        <v>0</v>
      </c>
      <c r="V74" s="189">
        <f t="shared" si="29"/>
        <v>0</v>
      </c>
      <c r="W74" s="189">
        <f t="shared" si="29"/>
        <v>0</v>
      </c>
      <c r="X74" s="189">
        <f t="shared" si="29"/>
        <v>0</v>
      </c>
      <c r="Y74" s="190">
        <f t="shared" si="23"/>
        <v>0</v>
      </c>
    </row>
    <row r="75" spans="1:25" ht="12.75" hidden="1" customHeight="1" outlineLevel="1" x14ac:dyDescent="0.2">
      <c r="A75" s="198" t="str">
        <f>"         "&amp;Labels!B327</f>
        <v xml:space="preserve">         Direct Supplies</v>
      </c>
      <c r="B75" s="189">
        <f t="shared" si="24"/>
        <v>0</v>
      </c>
      <c r="C75" s="189">
        <f t="shared" si="24"/>
        <v>0</v>
      </c>
      <c r="D75" s="189">
        <f t="shared" si="24"/>
        <v>0</v>
      </c>
      <c r="E75" s="190">
        <f t="shared" si="18"/>
        <v>0</v>
      </c>
      <c r="F75" s="189">
        <f t="shared" si="25"/>
        <v>0</v>
      </c>
      <c r="G75" s="189">
        <f t="shared" si="25"/>
        <v>0</v>
      </c>
      <c r="H75" s="189">
        <f t="shared" si="25"/>
        <v>0</v>
      </c>
      <c r="I75" s="190">
        <f t="shared" si="19"/>
        <v>0</v>
      </c>
      <c r="J75" s="189">
        <f t="shared" si="26"/>
        <v>0</v>
      </c>
      <c r="K75" s="189">
        <f t="shared" si="26"/>
        <v>0</v>
      </c>
      <c r="L75" s="189">
        <f t="shared" si="26"/>
        <v>0</v>
      </c>
      <c r="M75" s="190">
        <f t="shared" si="20"/>
        <v>0</v>
      </c>
      <c r="N75" s="189">
        <f t="shared" si="27"/>
        <v>0</v>
      </c>
      <c r="O75" s="189">
        <f t="shared" si="27"/>
        <v>0</v>
      </c>
      <c r="P75" s="189">
        <f t="shared" si="27"/>
        <v>0</v>
      </c>
      <c r="Q75" s="190">
        <f t="shared" si="21"/>
        <v>0</v>
      </c>
      <c r="R75" s="189">
        <f t="shared" si="28"/>
        <v>0</v>
      </c>
      <c r="S75" s="189">
        <f t="shared" si="28"/>
        <v>0</v>
      </c>
      <c r="T75" s="189">
        <f t="shared" si="28"/>
        <v>0</v>
      </c>
      <c r="U75" s="190">
        <f t="shared" si="22"/>
        <v>0</v>
      </c>
      <c r="V75" s="189">
        <f t="shared" si="29"/>
        <v>0</v>
      </c>
      <c r="W75" s="189">
        <f t="shared" si="29"/>
        <v>0</v>
      </c>
      <c r="X75" s="189">
        <f t="shared" si="29"/>
        <v>0</v>
      </c>
      <c r="Y75" s="190">
        <f t="shared" si="23"/>
        <v>0</v>
      </c>
    </row>
    <row r="76" spans="1:25" ht="12.75" hidden="1" customHeight="1" outlineLevel="1" x14ac:dyDescent="0.2">
      <c r="A76" s="198" t="str">
        <f>"         "&amp;Labels!C324</f>
        <v xml:space="preserve">         Total</v>
      </c>
      <c r="B76" s="226">
        <f t="shared" si="24"/>
        <v>0</v>
      </c>
      <c r="C76" s="226">
        <f t="shared" si="24"/>
        <v>0</v>
      </c>
      <c r="D76" s="226">
        <f t="shared" si="24"/>
        <v>2750</v>
      </c>
      <c r="E76" s="227">
        <f>SUM(B72:D72)</f>
        <v>2750</v>
      </c>
      <c r="F76" s="226">
        <f t="shared" si="25"/>
        <v>2750</v>
      </c>
      <c r="G76" s="226">
        <f t="shared" si="25"/>
        <v>0</v>
      </c>
      <c r="H76" s="226">
        <f t="shared" si="25"/>
        <v>2000</v>
      </c>
      <c r="I76" s="227">
        <f>SUM(F72:H72)</f>
        <v>4750</v>
      </c>
      <c r="J76" s="226">
        <f t="shared" si="26"/>
        <v>30260.89297106001</v>
      </c>
      <c r="K76" s="226">
        <f t="shared" si="26"/>
        <v>30330.591957132838</v>
      </c>
      <c r="L76" s="226">
        <f t="shared" si="26"/>
        <v>0</v>
      </c>
      <c r="M76" s="227">
        <f>SUM(J72:L72)</f>
        <v>60591.484928192847</v>
      </c>
      <c r="N76" s="226">
        <f t="shared" si="27"/>
        <v>0</v>
      </c>
      <c r="O76" s="226">
        <f t="shared" si="27"/>
        <v>0</v>
      </c>
      <c r="P76" s="226">
        <f t="shared" si="27"/>
        <v>0</v>
      </c>
      <c r="Q76" s="227">
        <f>SUM(N72:P72)</f>
        <v>0</v>
      </c>
      <c r="R76" s="226">
        <f t="shared" si="28"/>
        <v>0</v>
      </c>
      <c r="S76" s="226">
        <f t="shared" si="28"/>
        <v>0</v>
      </c>
      <c r="T76" s="226">
        <f t="shared" si="28"/>
        <v>0</v>
      </c>
      <c r="U76" s="227">
        <f>SUM(R72:T72)</f>
        <v>0</v>
      </c>
      <c r="V76" s="226">
        <f t="shared" si="29"/>
        <v>0</v>
      </c>
      <c r="W76" s="226">
        <f t="shared" si="29"/>
        <v>0</v>
      </c>
      <c r="X76" s="226">
        <f t="shared" si="29"/>
        <v>0</v>
      </c>
      <c r="Y76" s="227">
        <f>SUM(V72:X72)</f>
        <v>0</v>
      </c>
    </row>
    <row r="77" spans="1:25" ht="12.75" hidden="1" customHeight="1" outlineLevel="1" x14ac:dyDescent="0.2">
      <c r="A77" s="188" t="str">
        <f>"   "&amp;Labels!B382</f>
        <v xml:space="preserve">   Practice 2</v>
      </c>
      <c r="B77" s="196"/>
      <c r="C77" s="196"/>
      <c r="D77" s="196"/>
      <c r="E77" s="197"/>
      <c r="F77" s="196"/>
      <c r="G77" s="196"/>
      <c r="H77" s="196"/>
      <c r="I77" s="197"/>
      <c r="J77" s="196"/>
      <c r="K77" s="196"/>
      <c r="L77" s="196"/>
      <c r="M77" s="197"/>
      <c r="N77" s="196"/>
      <c r="O77" s="196"/>
      <c r="P77" s="196"/>
      <c r="Q77" s="197"/>
      <c r="R77" s="196"/>
      <c r="S77" s="196"/>
      <c r="T77" s="196"/>
      <c r="U77" s="197"/>
      <c r="V77" s="196"/>
      <c r="W77" s="196"/>
      <c r="X77" s="196"/>
      <c r="Y77" s="197"/>
    </row>
    <row r="78" spans="1:25" ht="12.75" hidden="1" customHeight="1" outlineLevel="1" x14ac:dyDescent="0.2">
      <c r="A78" s="198" t="str">
        <f>"      "&amp;Labels!B317</f>
        <v xml:space="preserve">      Channels 1</v>
      </c>
      <c r="B78" s="226"/>
      <c r="C78" s="226"/>
      <c r="D78" s="226"/>
      <c r="E78" s="227"/>
      <c r="F78" s="226"/>
      <c r="G78" s="226"/>
      <c r="H78" s="226"/>
      <c r="I78" s="227"/>
      <c r="J78" s="226"/>
      <c r="K78" s="226"/>
      <c r="L78" s="226"/>
      <c r="M78" s="227"/>
      <c r="N78" s="226"/>
      <c r="O78" s="226"/>
      <c r="P78" s="226"/>
      <c r="Q78" s="227"/>
      <c r="R78" s="226"/>
      <c r="S78" s="226"/>
      <c r="T78" s="226"/>
      <c r="U78" s="227"/>
      <c r="V78" s="226"/>
      <c r="W78" s="226"/>
      <c r="X78" s="226"/>
      <c r="Y78" s="227"/>
    </row>
    <row r="79" spans="1:25" ht="12.75" hidden="1" customHeight="1" outlineLevel="1" x14ac:dyDescent="0.2">
      <c r="A79" s="198" t="str">
        <f>"         "&amp;Labels!B325</f>
        <v xml:space="preserve">         Direct Labor</v>
      </c>
      <c r="B79" s="189">
        <f>'GM CostSvcs'!B34</f>
        <v>0</v>
      </c>
      <c r="C79" s="189">
        <f>'GM CostSvcs'!C34</f>
        <v>0</v>
      </c>
      <c r="D79" s="189">
        <f>'GM CostSvcs'!D34</f>
        <v>0</v>
      </c>
      <c r="E79" s="190">
        <f>SUM(B79:D79)</f>
        <v>0</v>
      </c>
      <c r="F79" s="189">
        <f>'GM CostSvcs'!F34</f>
        <v>0</v>
      </c>
      <c r="G79" s="189">
        <f>'GM CostSvcs'!G34</f>
        <v>0</v>
      </c>
      <c r="H79" s="189">
        <f>'GM CostSvcs'!H34</f>
        <v>0</v>
      </c>
      <c r="I79" s="190">
        <f>SUM(F79:H79)</f>
        <v>0</v>
      </c>
      <c r="J79" s="189">
        <f>'GM CostSvcs'!J34</f>
        <v>0</v>
      </c>
      <c r="K79" s="189">
        <f>'GM CostSvcs'!K34</f>
        <v>0</v>
      </c>
      <c r="L79" s="189">
        <f>'GM CostSvcs'!L34</f>
        <v>0</v>
      </c>
      <c r="M79" s="190">
        <f>SUM(J79:L79)</f>
        <v>0</v>
      </c>
      <c r="N79" s="189">
        <f>'GM CostSvcs'!N34</f>
        <v>0</v>
      </c>
      <c r="O79" s="189">
        <f>'GM CostSvcs'!O34</f>
        <v>0</v>
      </c>
      <c r="P79" s="189">
        <f>'GM CostSvcs'!P34</f>
        <v>0</v>
      </c>
      <c r="Q79" s="190">
        <f>SUM(N79:P79)</f>
        <v>0</v>
      </c>
      <c r="R79" s="189">
        <f>'GM CostSvcs'!R34</f>
        <v>0</v>
      </c>
      <c r="S79" s="189">
        <f>'GM CostSvcs'!S34</f>
        <v>0</v>
      </c>
      <c r="T79" s="189">
        <f>'GM CostSvcs'!T34</f>
        <v>0</v>
      </c>
      <c r="U79" s="190">
        <f>SUM(R79:T79)</f>
        <v>0</v>
      </c>
      <c r="V79" s="189">
        <f>'GM CostSvcs'!V34</f>
        <v>0</v>
      </c>
      <c r="W79" s="189">
        <f>'GM CostSvcs'!W34</f>
        <v>0</v>
      </c>
      <c r="X79" s="189">
        <f>'GM CostSvcs'!X34</f>
        <v>0</v>
      </c>
      <c r="Y79" s="190">
        <f>SUM(V79:X79)</f>
        <v>0</v>
      </c>
    </row>
    <row r="80" spans="1:25" ht="12.75" hidden="1" customHeight="1" outlineLevel="1" x14ac:dyDescent="0.2">
      <c r="A80" s="198" t="str">
        <f>"         "&amp;Labels!B326</f>
        <v xml:space="preserve">         Travel &amp; Entertain</v>
      </c>
      <c r="B80" s="189">
        <f>'GM CostSvcs'!B75</f>
        <v>0</v>
      </c>
      <c r="C80" s="189">
        <f>'GM CostSvcs'!C75</f>
        <v>0</v>
      </c>
      <c r="D80" s="189">
        <f>'GM CostSvcs'!D75</f>
        <v>0</v>
      </c>
      <c r="E80" s="190">
        <f>SUM(B80:D80)</f>
        <v>0</v>
      </c>
      <c r="F80" s="189">
        <f>'GM CostSvcs'!F75</f>
        <v>0</v>
      </c>
      <c r="G80" s="189">
        <f>'GM CostSvcs'!G75</f>
        <v>0</v>
      </c>
      <c r="H80" s="189">
        <f>'GM CostSvcs'!H75</f>
        <v>0</v>
      </c>
      <c r="I80" s="190">
        <f>SUM(F80:H80)</f>
        <v>0</v>
      </c>
      <c r="J80" s="189">
        <f>'GM CostSvcs'!J75</f>
        <v>0</v>
      </c>
      <c r="K80" s="189">
        <f>'GM CostSvcs'!K75</f>
        <v>0</v>
      </c>
      <c r="L80" s="189">
        <f>'GM CostSvcs'!L75</f>
        <v>0</v>
      </c>
      <c r="M80" s="190">
        <f>SUM(J80:L80)</f>
        <v>0</v>
      </c>
      <c r="N80" s="189">
        <f>'GM CostSvcs'!N75</f>
        <v>0</v>
      </c>
      <c r="O80" s="189">
        <f>'GM CostSvcs'!O75</f>
        <v>0</v>
      </c>
      <c r="P80" s="189">
        <f>'GM CostSvcs'!P75</f>
        <v>0</v>
      </c>
      <c r="Q80" s="190">
        <f>SUM(N80:P80)</f>
        <v>0</v>
      </c>
      <c r="R80" s="189">
        <f>'GM CostSvcs'!R75</f>
        <v>0</v>
      </c>
      <c r="S80" s="189">
        <f>'GM CostSvcs'!S75</f>
        <v>0</v>
      </c>
      <c r="T80" s="189">
        <f>'GM CostSvcs'!T75</f>
        <v>0</v>
      </c>
      <c r="U80" s="190">
        <f>SUM(R80:T80)</f>
        <v>0</v>
      </c>
      <c r="V80" s="189">
        <f>'GM CostSvcs'!V75</f>
        <v>0</v>
      </c>
      <c r="W80" s="189">
        <f>'GM CostSvcs'!W75</f>
        <v>0</v>
      </c>
      <c r="X80" s="189">
        <f>'GM CostSvcs'!X75</f>
        <v>0</v>
      </c>
      <c r="Y80" s="190">
        <f>SUM(V80:X80)</f>
        <v>0</v>
      </c>
    </row>
    <row r="81" spans="1:25" ht="12.75" hidden="1" customHeight="1" outlineLevel="1" x14ac:dyDescent="0.2">
      <c r="A81" s="198" t="str">
        <f>"         "&amp;Labels!B327</f>
        <v xml:space="preserve">         Direct Supplies</v>
      </c>
      <c r="B81" s="189">
        <f>'GM CostSvcs'!B164</f>
        <v>0</v>
      </c>
      <c r="C81" s="189">
        <f>'GM CostSvcs'!C164</f>
        <v>0</v>
      </c>
      <c r="D81" s="189">
        <f>'GM CostSvcs'!D164</f>
        <v>0</v>
      </c>
      <c r="E81" s="190">
        <f>SUM(B81:D81)</f>
        <v>0</v>
      </c>
      <c r="F81" s="189">
        <f>'GM CostSvcs'!F164</f>
        <v>0</v>
      </c>
      <c r="G81" s="189">
        <f>'GM CostSvcs'!G164</f>
        <v>0</v>
      </c>
      <c r="H81" s="189">
        <f>'GM CostSvcs'!H164</f>
        <v>0</v>
      </c>
      <c r="I81" s="190">
        <f>SUM(F81:H81)</f>
        <v>0</v>
      </c>
      <c r="J81" s="189">
        <f>'GM CostSvcs'!J164</f>
        <v>0</v>
      </c>
      <c r="K81" s="189">
        <f>'GM CostSvcs'!K164</f>
        <v>0</v>
      </c>
      <c r="L81" s="189">
        <f>'GM CostSvcs'!L164</f>
        <v>0</v>
      </c>
      <c r="M81" s="190">
        <f>SUM(J81:L81)</f>
        <v>0</v>
      </c>
      <c r="N81" s="189">
        <f>'GM CostSvcs'!N164</f>
        <v>0</v>
      </c>
      <c r="O81" s="189">
        <f>'GM CostSvcs'!O164</f>
        <v>0</v>
      </c>
      <c r="P81" s="189">
        <f>'GM CostSvcs'!P164</f>
        <v>0</v>
      </c>
      <c r="Q81" s="190">
        <f>SUM(N81:P81)</f>
        <v>0</v>
      </c>
      <c r="R81" s="189">
        <f>'GM CostSvcs'!R164</f>
        <v>0</v>
      </c>
      <c r="S81" s="189">
        <f>'GM CostSvcs'!S164</f>
        <v>0</v>
      </c>
      <c r="T81" s="189">
        <f>'GM CostSvcs'!T164</f>
        <v>0</v>
      </c>
      <c r="U81" s="190">
        <f>SUM(R81:T81)</f>
        <v>0</v>
      </c>
      <c r="V81" s="189">
        <f>'GM CostSvcs'!V164</f>
        <v>0</v>
      </c>
      <c r="W81" s="189">
        <f>'GM CostSvcs'!W164</f>
        <v>0</v>
      </c>
      <c r="X81" s="189">
        <f>'GM CostSvcs'!X164</f>
        <v>0</v>
      </c>
      <c r="Y81" s="190">
        <f>SUM(V81:X81)</f>
        <v>0</v>
      </c>
    </row>
    <row r="82" spans="1:25" ht="12.75" hidden="1" customHeight="1" outlineLevel="1" x14ac:dyDescent="0.2">
      <c r="A82" s="198" t="str">
        <f>"         "&amp;Labels!C324</f>
        <v xml:space="preserve">         Total</v>
      </c>
      <c r="B82" s="226">
        <f>SUM(B79:B81)</f>
        <v>0</v>
      </c>
      <c r="C82" s="226">
        <f>SUM(C79:C81)</f>
        <v>0</v>
      </c>
      <c r="D82" s="226">
        <f>SUM(D79:D81)</f>
        <v>0</v>
      </c>
      <c r="E82" s="227">
        <f>SUM(B82:D82)</f>
        <v>0</v>
      </c>
      <c r="F82" s="226">
        <f>SUM(F79:F81)</f>
        <v>0</v>
      </c>
      <c r="G82" s="226">
        <f>SUM(G79:G81)</f>
        <v>0</v>
      </c>
      <c r="H82" s="226">
        <f>SUM(H79:H81)</f>
        <v>0</v>
      </c>
      <c r="I82" s="227">
        <f>SUM(F82:H82)</f>
        <v>0</v>
      </c>
      <c r="J82" s="226">
        <f>SUM(J79:J81)</f>
        <v>0</v>
      </c>
      <c r="K82" s="226">
        <f>SUM(K79:K81)</f>
        <v>0</v>
      </c>
      <c r="L82" s="226">
        <f>SUM(L79:L81)</f>
        <v>0</v>
      </c>
      <c r="M82" s="227">
        <f>SUM(J82:L82)</f>
        <v>0</v>
      </c>
      <c r="N82" s="226">
        <f>SUM(N79:N81)</f>
        <v>0</v>
      </c>
      <c r="O82" s="226">
        <f>SUM(O79:O81)</f>
        <v>0</v>
      </c>
      <c r="P82" s="226">
        <f>SUM(P79:P81)</f>
        <v>0</v>
      </c>
      <c r="Q82" s="227">
        <f>SUM(N82:P82)</f>
        <v>0</v>
      </c>
      <c r="R82" s="226">
        <f>SUM(R79:R81)</f>
        <v>0</v>
      </c>
      <c r="S82" s="226">
        <f>SUM(S79:S81)</f>
        <v>0</v>
      </c>
      <c r="T82" s="226">
        <f>SUM(T79:T81)</f>
        <v>0</v>
      </c>
      <c r="U82" s="227">
        <f>SUM(R82:T82)</f>
        <v>0</v>
      </c>
      <c r="V82" s="226">
        <f>SUM(V79:V81)</f>
        <v>0</v>
      </c>
      <c r="W82" s="226">
        <f>SUM(W79:W81)</f>
        <v>0</v>
      </c>
      <c r="X82" s="226">
        <f>SUM(X79:X81)</f>
        <v>0</v>
      </c>
      <c r="Y82" s="227">
        <f>SUM(V82:X82)</f>
        <v>0</v>
      </c>
    </row>
    <row r="83" spans="1:25" ht="12.75" hidden="1" customHeight="1" outlineLevel="1" x14ac:dyDescent="0.2">
      <c r="A83" s="198" t="str">
        <f>"      "&amp;Labels!B318</f>
        <v xml:space="preserve">      Channels 2</v>
      </c>
      <c r="B83" s="226"/>
      <c r="C83" s="226"/>
      <c r="D83" s="226"/>
      <c r="E83" s="227"/>
      <c r="F83" s="226"/>
      <c r="G83" s="226"/>
      <c r="H83" s="226"/>
      <c r="I83" s="227"/>
      <c r="J83" s="226"/>
      <c r="K83" s="226"/>
      <c r="L83" s="226"/>
      <c r="M83" s="227"/>
      <c r="N83" s="226"/>
      <c r="O83" s="226"/>
      <c r="P83" s="226"/>
      <c r="Q83" s="227"/>
      <c r="R83" s="226"/>
      <c r="S83" s="226"/>
      <c r="T83" s="226"/>
      <c r="U83" s="227"/>
      <c r="V83" s="226"/>
      <c r="W83" s="226"/>
      <c r="X83" s="226"/>
      <c r="Y83" s="227"/>
    </row>
    <row r="84" spans="1:25" ht="12.75" hidden="1" customHeight="1" outlineLevel="1" x14ac:dyDescent="0.2">
      <c r="A84" s="198" t="str">
        <f>"         "&amp;Labels!B325</f>
        <v xml:space="preserve">         Direct Labor</v>
      </c>
      <c r="B84" s="189">
        <f>'GM CostSvcs'!B35</f>
        <v>0</v>
      </c>
      <c r="C84" s="189">
        <f>'GM CostSvcs'!C35</f>
        <v>0</v>
      </c>
      <c r="D84" s="189">
        <f>'GM CostSvcs'!D35</f>
        <v>0</v>
      </c>
      <c r="E84" s="190">
        <f t="shared" ref="E84:E91" si="30">SUM(B84:D84)</f>
        <v>0</v>
      </c>
      <c r="F84" s="189">
        <f>'GM CostSvcs'!F35</f>
        <v>0</v>
      </c>
      <c r="G84" s="189">
        <f>'GM CostSvcs'!G35</f>
        <v>0</v>
      </c>
      <c r="H84" s="189">
        <f>'GM CostSvcs'!H35</f>
        <v>0</v>
      </c>
      <c r="I84" s="190">
        <f t="shared" ref="I84:I91" si="31">SUM(F84:H84)</f>
        <v>0</v>
      </c>
      <c r="J84" s="189">
        <f>'GM CostSvcs'!J35</f>
        <v>0</v>
      </c>
      <c r="K84" s="189">
        <f>'GM CostSvcs'!K35</f>
        <v>0</v>
      </c>
      <c r="L84" s="189">
        <f>'GM CostSvcs'!L35</f>
        <v>0</v>
      </c>
      <c r="M84" s="190">
        <f t="shared" ref="M84:M91" si="32">SUM(J84:L84)</f>
        <v>0</v>
      </c>
      <c r="N84" s="189">
        <f>'GM CostSvcs'!N35</f>
        <v>0</v>
      </c>
      <c r="O84" s="189">
        <f>'GM CostSvcs'!O35</f>
        <v>0</v>
      </c>
      <c r="P84" s="189">
        <f>'GM CostSvcs'!P35</f>
        <v>0</v>
      </c>
      <c r="Q84" s="190">
        <f t="shared" ref="Q84:Q91" si="33">SUM(N84:P84)</f>
        <v>0</v>
      </c>
      <c r="R84" s="189">
        <f>'GM CostSvcs'!R35</f>
        <v>0</v>
      </c>
      <c r="S84" s="189">
        <f>'GM CostSvcs'!S35</f>
        <v>0</v>
      </c>
      <c r="T84" s="189">
        <f>'GM CostSvcs'!T35</f>
        <v>0</v>
      </c>
      <c r="U84" s="190">
        <f t="shared" ref="U84:U91" si="34">SUM(R84:T84)</f>
        <v>0</v>
      </c>
      <c r="V84" s="189">
        <f>'GM CostSvcs'!V35</f>
        <v>0</v>
      </c>
      <c r="W84" s="189">
        <f>'GM CostSvcs'!W35</f>
        <v>0</v>
      </c>
      <c r="X84" s="189">
        <f>'GM CostSvcs'!X35</f>
        <v>0</v>
      </c>
      <c r="Y84" s="190">
        <f t="shared" ref="Y84:Y91" si="35">SUM(V84:X84)</f>
        <v>0</v>
      </c>
    </row>
    <row r="85" spans="1:25" ht="12.75" hidden="1" customHeight="1" outlineLevel="1" x14ac:dyDescent="0.2">
      <c r="A85" s="198" t="str">
        <f>"         "&amp;Labels!B326</f>
        <v xml:space="preserve">         Travel &amp; Entertain</v>
      </c>
      <c r="B85" s="189">
        <f>'GM CostSvcs'!B76</f>
        <v>0</v>
      </c>
      <c r="C85" s="189">
        <f>'GM CostSvcs'!C76</f>
        <v>0</v>
      </c>
      <c r="D85" s="189">
        <f>'GM CostSvcs'!D76</f>
        <v>0</v>
      </c>
      <c r="E85" s="190">
        <f t="shared" si="30"/>
        <v>0</v>
      </c>
      <c r="F85" s="189">
        <f>'GM CostSvcs'!F76</f>
        <v>0</v>
      </c>
      <c r="G85" s="189">
        <f>'GM CostSvcs'!G76</f>
        <v>0</v>
      </c>
      <c r="H85" s="189">
        <f>'GM CostSvcs'!H76</f>
        <v>0</v>
      </c>
      <c r="I85" s="190">
        <f t="shared" si="31"/>
        <v>0</v>
      </c>
      <c r="J85" s="189">
        <f>'GM CostSvcs'!J76</f>
        <v>0</v>
      </c>
      <c r="K85" s="189">
        <f>'GM CostSvcs'!K76</f>
        <v>0</v>
      </c>
      <c r="L85" s="189">
        <f>'GM CostSvcs'!L76</f>
        <v>0</v>
      </c>
      <c r="M85" s="190">
        <f t="shared" si="32"/>
        <v>0</v>
      </c>
      <c r="N85" s="189">
        <f>'GM CostSvcs'!N76</f>
        <v>0</v>
      </c>
      <c r="O85" s="189">
        <f>'GM CostSvcs'!O76</f>
        <v>0</v>
      </c>
      <c r="P85" s="189">
        <f>'GM CostSvcs'!P76</f>
        <v>0</v>
      </c>
      <c r="Q85" s="190">
        <f t="shared" si="33"/>
        <v>0</v>
      </c>
      <c r="R85" s="189">
        <f>'GM CostSvcs'!R76</f>
        <v>0</v>
      </c>
      <c r="S85" s="189">
        <f>'GM CostSvcs'!S76</f>
        <v>0</v>
      </c>
      <c r="T85" s="189">
        <f>'GM CostSvcs'!T76</f>
        <v>0</v>
      </c>
      <c r="U85" s="190">
        <f t="shared" si="34"/>
        <v>0</v>
      </c>
      <c r="V85" s="189">
        <f>'GM CostSvcs'!V76</f>
        <v>0</v>
      </c>
      <c r="W85" s="189">
        <f>'GM CostSvcs'!W76</f>
        <v>0</v>
      </c>
      <c r="X85" s="189">
        <f>'GM CostSvcs'!X76</f>
        <v>0</v>
      </c>
      <c r="Y85" s="190">
        <f t="shared" si="35"/>
        <v>0</v>
      </c>
    </row>
    <row r="86" spans="1:25" ht="12.75" hidden="1" customHeight="1" outlineLevel="1" x14ac:dyDescent="0.2">
      <c r="A86" s="198" t="str">
        <f>"         "&amp;Labels!B327</f>
        <v xml:space="preserve">         Direct Supplies</v>
      </c>
      <c r="B86" s="189">
        <f>'GM CostSvcs'!B168</f>
        <v>0</v>
      </c>
      <c r="C86" s="189">
        <f>'GM CostSvcs'!C168</f>
        <v>0</v>
      </c>
      <c r="D86" s="189">
        <f>'GM CostSvcs'!D168</f>
        <v>0</v>
      </c>
      <c r="E86" s="190">
        <f t="shared" si="30"/>
        <v>0</v>
      </c>
      <c r="F86" s="189">
        <f>'GM CostSvcs'!F168</f>
        <v>0</v>
      </c>
      <c r="G86" s="189">
        <f>'GM CostSvcs'!G168</f>
        <v>0</v>
      </c>
      <c r="H86" s="189">
        <f>'GM CostSvcs'!H168</f>
        <v>0</v>
      </c>
      <c r="I86" s="190">
        <f t="shared" si="31"/>
        <v>0</v>
      </c>
      <c r="J86" s="189">
        <f>'GM CostSvcs'!J168</f>
        <v>0</v>
      </c>
      <c r="K86" s="189">
        <f>'GM CostSvcs'!K168</f>
        <v>0</v>
      </c>
      <c r="L86" s="189">
        <f>'GM CostSvcs'!L168</f>
        <v>0</v>
      </c>
      <c r="M86" s="190">
        <f t="shared" si="32"/>
        <v>0</v>
      </c>
      <c r="N86" s="189">
        <f>'GM CostSvcs'!N168</f>
        <v>0</v>
      </c>
      <c r="O86" s="189">
        <f>'GM CostSvcs'!O168</f>
        <v>0</v>
      </c>
      <c r="P86" s="189">
        <f>'GM CostSvcs'!P168</f>
        <v>0</v>
      </c>
      <c r="Q86" s="190">
        <f t="shared" si="33"/>
        <v>0</v>
      </c>
      <c r="R86" s="189">
        <f>'GM CostSvcs'!R168</f>
        <v>0</v>
      </c>
      <c r="S86" s="189">
        <f>'GM CostSvcs'!S168</f>
        <v>0</v>
      </c>
      <c r="T86" s="189">
        <f>'GM CostSvcs'!T168</f>
        <v>0</v>
      </c>
      <c r="U86" s="190">
        <f t="shared" si="34"/>
        <v>0</v>
      </c>
      <c r="V86" s="189">
        <f>'GM CostSvcs'!V168</f>
        <v>0</v>
      </c>
      <c r="W86" s="189">
        <f>'GM CostSvcs'!W168</f>
        <v>0</v>
      </c>
      <c r="X86" s="189">
        <f>'GM CostSvcs'!X168</f>
        <v>0</v>
      </c>
      <c r="Y86" s="190">
        <f t="shared" si="35"/>
        <v>0</v>
      </c>
    </row>
    <row r="87" spans="1:25" ht="12.75" hidden="1" customHeight="1" outlineLevel="1" x14ac:dyDescent="0.2">
      <c r="A87" s="198" t="str">
        <f>"         "&amp;Labels!C324</f>
        <v xml:space="preserve">         Total</v>
      </c>
      <c r="B87" s="226">
        <f>SUM(B84:B86)</f>
        <v>0</v>
      </c>
      <c r="C87" s="226">
        <f>SUM(C84:C86)</f>
        <v>0</v>
      </c>
      <c r="D87" s="226">
        <f>SUM(D84:D86)</f>
        <v>0</v>
      </c>
      <c r="E87" s="227">
        <f t="shared" si="30"/>
        <v>0</v>
      </c>
      <c r="F87" s="226">
        <f>SUM(F84:F86)</f>
        <v>0</v>
      </c>
      <c r="G87" s="226">
        <f>SUM(G84:G86)</f>
        <v>0</v>
      </c>
      <c r="H87" s="226">
        <f>SUM(H84:H86)</f>
        <v>0</v>
      </c>
      <c r="I87" s="227">
        <f t="shared" si="31"/>
        <v>0</v>
      </c>
      <c r="J87" s="226">
        <f>SUM(J84:J86)</f>
        <v>0</v>
      </c>
      <c r="K87" s="226">
        <f>SUM(K84:K86)</f>
        <v>0</v>
      </c>
      <c r="L87" s="226">
        <f>SUM(L84:L86)</f>
        <v>0</v>
      </c>
      <c r="M87" s="227">
        <f t="shared" si="32"/>
        <v>0</v>
      </c>
      <c r="N87" s="226">
        <f>SUM(N84:N86)</f>
        <v>0</v>
      </c>
      <c r="O87" s="226">
        <f>SUM(O84:O86)</f>
        <v>0</v>
      </c>
      <c r="P87" s="226">
        <f>SUM(P84:P86)</f>
        <v>0</v>
      </c>
      <c r="Q87" s="227">
        <f t="shared" si="33"/>
        <v>0</v>
      </c>
      <c r="R87" s="226">
        <f>SUM(R84:R86)</f>
        <v>0</v>
      </c>
      <c r="S87" s="226">
        <f>SUM(S84:S86)</f>
        <v>0</v>
      </c>
      <c r="T87" s="226">
        <f>SUM(T84:T86)</f>
        <v>0</v>
      </c>
      <c r="U87" s="227">
        <f t="shared" si="34"/>
        <v>0</v>
      </c>
      <c r="V87" s="226">
        <f>SUM(V84:V86)</f>
        <v>0</v>
      </c>
      <c r="W87" s="226">
        <f>SUM(W84:W86)</f>
        <v>0</v>
      </c>
      <c r="X87" s="226">
        <f>SUM(X84:X86)</f>
        <v>0</v>
      </c>
      <c r="Y87" s="227">
        <f t="shared" si="35"/>
        <v>0</v>
      </c>
    </row>
    <row r="88" spans="1:25" ht="12.75" hidden="1" customHeight="1" outlineLevel="1" x14ac:dyDescent="0.2">
      <c r="A88" s="188" t="str">
        <f>"      "&amp;Labels!C316</f>
        <v xml:space="preserve">      Total</v>
      </c>
      <c r="B88" s="196">
        <f>SUM(B82,B87)</f>
        <v>0</v>
      </c>
      <c r="C88" s="196">
        <f>SUM(C82,C87)</f>
        <v>0</v>
      </c>
      <c r="D88" s="196">
        <f>SUM(D82,D87)</f>
        <v>0</v>
      </c>
      <c r="E88" s="197">
        <f t="shared" si="30"/>
        <v>0</v>
      </c>
      <c r="F88" s="196">
        <f>SUM(F82,F87)</f>
        <v>0</v>
      </c>
      <c r="G88" s="196">
        <f>SUM(G82,G87)</f>
        <v>0</v>
      </c>
      <c r="H88" s="196">
        <f>SUM(H82,H87)</f>
        <v>0</v>
      </c>
      <c r="I88" s="197">
        <f t="shared" si="31"/>
        <v>0</v>
      </c>
      <c r="J88" s="196">
        <f>SUM(J82,J87)</f>
        <v>0</v>
      </c>
      <c r="K88" s="196">
        <f>SUM(K82,K87)</f>
        <v>0</v>
      </c>
      <c r="L88" s="196">
        <f>SUM(L82,L87)</f>
        <v>0</v>
      </c>
      <c r="M88" s="197">
        <f t="shared" si="32"/>
        <v>0</v>
      </c>
      <c r="N88" s="196">
        <f>SUM(N82,N87)</f>
        <v>0</v>
      </c>
      <c r="O88" s="196">
        <f>SUM(O82,O87)</f>
        <v>0</v>
      </c>
      <c r="P88" s="196">
        <f>SUM(P82,P87)</f>
        <v>0</v>
      </c>
      <c r="Q88" s="197">
        <f t="shared" si="33"/>
        <v>0</v>
      </c>
      <c r="R88" s="196">
        <f>SUM(R82,R87)</f>
        <v>0</v>
      </c>
      <c r="S88" s="196">
        <f>SUM(S82,S87)</f>
        <v>0</v>
      </c>
      <c r="T88" s="196">
        <f>SUM(T82,T87)</f>
        <v>0</v>
      </c>
      <c r="U88" s="197">
        <f t="shared" si="34"/>
        <v>0</v>
      </c>
      <c r="V88" s="196">
        <f>SUM(V82,V87)</f>
        <v>0</v>
      </c>
      <c r="W88" s="196">
        <f>SUM(W82,W87)</f>
        <v>0</v>
      </c>
      <c r="X88" s="196">
        <f>SUM(X82,X87)</f>
        <v>0</v>
      </c>
      <c r="Y88" s="197">
        <f t="shared" si="35"/>
        <v>0</v>
      </c>
    </row>
    <row r="89" spans="1:25" ht="12.75" hidden="1" customHeight="1" outlineLevel="1" x14ac:dyDescent="0.2">
      <c r="A89" s="198" t="str">
        <f>"         "&amp;Labels!B325</f>
        <v xml:space="preserve">         Direct Labor</v>
      </c>
      <c r="B89" s="189">
        <f t="shared" ref="B89:D92" si="36">SUM(B79,B84)</f>
        <v>0</v>
      </c>
      <c r="C89" s="189">
        <f t="shared" si="36"/>
        <v>0</v>
      </c>
      <c r="D89" s="189">
        <f t="shared" si="36"/>
        <v>0</v>
      </c>
      <c r="E89" s="190">
        <f t="shared" si="30"/>
        <v>0</v>
      </c>
      <c r="F89" s="189">
        <f t="shared" ref="F89:H92" si="37">SUM(F79,F84)</f>
        <v>0</v>
      </c>
      <c r="G89" s="189">
        <f t="shared" si="37"/>
        <v>0</v>
      </c>
      <c r="H89" s="189">
        <f t="shared" si="37"/>
        <v>0</v>
      </c>
      <c r="I89" s="190">
        <f t="shared" si="31"/>
        <v>0</v>
      </c>
      <c r="J89" s="189">
        <f t="shared" ref="J89:L92" si="38">SUM(J79,J84)</f>
        <v>0</v>
      </c>
      <c r="K89" s="189">
        <f t="shared" si="38"/>
        <v>0</v>
      </c>
      <c r="L89" s="189">
        <f t="shared" si="38"/>
        <v>0</v>
      </c>
      <c r="M89" s="190">
        <f t="shared" si="32"/>
        <v>0</v>
      </c>
      <c r="N89" s="189">
        <f t="shared" ref="N89:P92" si="39">SUM(N79,N84)</f>
        <v>0</v>
      </c>
      <c r="O89" s="189">
        <f t="shared" si="39"/>
        <v>0</v>
      </c>
      <c r="P89" s="189">
        <f t="shared" si="39"/>
        <v>0</v>
      </c>
      <c r="Q89" s="190">
        <f t="shared" si="33"/>
        <v>0</v>
      </c>
      <c r="R89" s="189">
        <f t="shared" ref="R89:T92" si="40">SUM(R79,R84)</f>
        <v>0</v>
      </c>
      <c r="S89" s="189">
        <f t="shared" si="40"/>
        <v>0</v>
      </c>
      <c r="T89" s="189">
        <f t="shared" si="40"/>
        <v>0</v>
      </c>
      <c r="U89" s="190">
        <f t="shared" si="34"/>
        <v>0</v>
      </c>
      <c r="V89" s="189">
        <f t="shared" ref="V89:X92" si="41">SUM(V79,V84)</f>
        <v>0</v>
      </c>
      <c r="W89" s="189">
        <f t="shared" si="41"/>
        <v>0</v>
      </c>
      <c r="X89" s="189">
        <f t="shared" si="41"/>
        <v>0</v>
      </c>
      <c r="Y89" s="190">
        <f t="shared" si="35"/>
        <v>0</v>
      </c>
    </row>
    <row r="90" spans="1:25" ht="12.75" hidden="1" customHeight="1" outlineLevel="1" x14ac:dyDescent="0.2">
      <c r="A90" s="198" t="str">
        <f>"         "&amp;Labels!B326</f>
        <v xml:space="preserve">         Travel &amp; Entertain</v>
      </c>
      <c r="B90" s="189">
        <f t="shared" si="36"/>
        <v>0</v>
      </c>
      <c r="C90" s="189">
        <f t="shared" si="36"/>
        <v>0</v>
      </c>
      <c r="D90" s="189">
        <f t="shared" si="36"/>
        <v>0</v>
      </c>
      <c r="E90" s="190">
        <f t="shared" si="30"/>
        <v>0</v>
      </c>
      <c r="F90" s="189">
        <f t="shared" si="37"/>
        <v>0</v>
      </c>
      <c r="G90" s="189">
        <f t="shared" si="37"/>
        <v>0</v>
      </c>
      <c r="H90" s="189">
        <f t="shared" si="37"/>
        <v>0</v>
      </c>
      <c r="I90" s="190">
        <f t="shared" si="31"/>
        <v>0</v>
      </c>
      <c r="J90" s="189">
        <f t="shared" si="38"/>
        <v>0</v>
      </c>
      <c r="K90" s="189">
        <f t="shared" si="38"/>
        <v>0</v>
      </c>
      <c r="L90" s="189">
        <f t="shared" si="38"/>
        <v>0</v>
      </c>
      <c r="M90" s="190">
        <f t="shared" si="32"/>
        <v>0</v>
      </c>
      <c r="N90" s="189">
        <f t="shared" si="39"/>
        <v>0</v>
      </c>
      <c r="O90" s="189">
        <f t="shared" si="39"/>
        <v>0</v>
      </c>
      <c r="P90" s="189">
        <f t="shared" si="39"/>
        <v>0</v>
      </c>
      <c r="Q90" s="190">
        <f t="shared" si="33"/>
        <v>0</v>
      </c>
      <c r="R90" s="189">
        <f t="shared" si="40"/>
        <v>0</v>
      </c>
      <c r="S90" s="189">
        <f t="shared" si="40"/>
        <v>0</v>
      </c>
      <c r="T90" s="189">
        <f t="shared" si="40"/>
        <v>0</v>
      </c>
      <c r="U90" s="190">
        <f t="shared" si="34"/>
        <v>0</v>
      </c>
      <c r="V90" s="189">
        <f t="shared" si="41"/>
        <v>0</v>
      </c>
      <c r="W90" s="189">
        <f t="shared" si="41"/>
        <v>0</v>
      </c>
      <c r="X90" s="189">
        <f t="shared" si="41"/>
        <v>0</v>
      </c>
      <c r="Y90" s="190">
        <f t="shared" si="35"/>
        <v>0</v>
      </c>
    </row>
    <row r="91" spans="1:25" ht="12.75" hidden="1" customHeight="1" outlineLevel="1" x14ac:dyDescent="0.2">
      <c r="A91" s="198" t="str">
        <f>"         "&amp;Labels!B327</f>
        <v xml:space="preserve">         Direct Supplies</v>
      </c>
      <c r="B91" s="189">
        <f t="shared" si="36"/>
        <v>0</v>
      </c>
      <c r="C91" s="189">
        <f t="shared" si="36"/>
        <v>0</v>
      </c>
      <c r="D91" s="189">
        <f t="shared" si="36"/>
        <v>0</v>
      </c>
      <c r="E91" s="190">
        <f t="shared" si="30"/>
        <v>0</v>
      </c>
      <c r="F91" s="189">
        <f t="shared" si="37"/>
        <v>0</v>
      </c>
      <c r="G91" s="189">
        <f t="shared" si="37"/>
        <v>0</v>
      </c>
      <c r="H91" s="189">
        <f t="shared" si="37"/>
        <v>0</v>
      </c>
      <c r="I91" s="190">
        <f t="shared" si="31"/>
        <v>0</v>
      </c>
      <c r="J91" s="189">
        <f t="shared" si="38"/>
        <v>0</v>
      </c>
      <c r="K91" s="189">
        <f t="shared" si="38"/>
        <v>0</v>
      </c>
      <c r="L91" s="189">
        <f t="shared" si="38"/>
        <v>0</v>
      </c>
      <c r="M91" s="190">
        <f t="shared" si="32"/>
        <v>0</v>
      </c>
      <c r="N91" s="189">
        <f t="shared" si="39"/>
        <v>0</v>
      </c>
      <c r="O91" s="189">
        <f t="shared" si="39"/>
        <v>0</v>
      </c>
      <c r="P91" s="189">
        <f t="shared" si="39"/>
        <v>0</v>
      </c>
      <c r="Q91" s="190">
        <f t="shared" si="33"/>
        <v>0</v>
      </c>
      <c r="R91" s="189">
        <f t="shared" si="40"/>
        <v>0</v>
      </c>
      <c r="S91" s="189">
        <f t="shared" si="40"/>
        <v>0</v>
      </c>
      <c r="T91" s="189">
        <f t="shared" si="40"/>
        <v>0</v>
      </c>
      <c r="U91" s="190">
        <f t="shared" si="34"/>
        <v>0</v>
      </c>
      <c r="V91" s="189">
        <f t="shared" si="41"/>
        <v>0</v>
      </c>
      <c r="W91" s="189">
        <f t="shared" si="41"/>
        <v>0</v>
      </c>
      <c r="X91" s="189">
        <f t="shared" si="41"/>
        <v>0</v>
      </c>
      <c r="Y91" s="190">
        <f t="shared" si="35"/>
        <v>0</v>
      </c>
    </row>
    <row r="92" spans="1:25" ht="12.75" hidden="1" customHeight="1" outlineLevel="1" x14ac:dyDescent="0.2">
      <c r="A92" s="198" t="str">
        <f>"         "&amp;Labels!C324</f>
        <v xml:space="preserve">         Total</v>
      </c>
      <c r="B92" s="226">
        <f t="shared" si="36"/>
        <v>0</v>
      </c>
      <c r="C92" s="226">
        <f t="shared" si="36"/>
        <v>0</v>
      </c>
      <c r="D92" s="226">
        <f t="shared" si="36"/>
        <v>0</v>
      </c>
      <c r="E92" s="227">
        <f>SUM(B88:D88)</f>
        <v>0</v>
      </c>
      <c r="F92" s="226">
        <f t="shared" si="37"/>
        <v>0</v>
      </c>
      <c r="G92" s="226">
        <f t="shared" si="37"/>
        <v>0</v>
      </c>
      <c r="H92" s="226">
        <f t="shared" si="37"/>
        <v>0</v>
      </c>
      <c r="I92" s="227">
        <f>SUM(F88:H88)</f>
        <v>0</v>
      </c>
      <c r="J92" s="226">
        <f t="shared" si="38"/>
        <v>0</v>
      </c>
      <c r="K92" s="226">
        <f t="shared" si="38"/>
        <v>0</v>
      </c>
      <c r="L92" s="226">
        <f t="shared" si="38"/>
        <v>0</v>
      </c>
      <c r="M92" s="227">
        <f>SUM(J88:L88)</f>
        <v>0</v>
      </c>
      <c r="N92" s="226">
        <f t="shared" si="39"/>
        <v>0</v>
      </c>
      <c r="O92" s="226">
        <f t="shared" si="39"/>
        <v>0</v>
      </c>
      <c r="P92" s="226">
        <f t="shared" si="39"/>
        <v>0</v>
      </c>
      <c r="Q92" s="227">
        <f>SUM(N88:P88)</f>
        <v>0</v>
      </c>
      <c r="R92" s="226">
        <f t="shared" si="40"/>
        <v>0</v>
      </c>
      <c r="S92" s="226">
        <f t="shared" si="40"/>
        <v>0</v>
      </c>
      <c r="T92" s="226">
        <f t="shared" si="40"/>
        <v>0</v>
      </c>
      <c r="U92" s="227">
        <f>SUM(R88:T88)</f>
        <v>0</v>
      </c>
      <c r="V92" s="226">
        <f t="shared" si="41"/>
        <v>0</v>
      </c>
      <c r="W92" s="226">
        <f t="shared" si="41"/>
        <v>0</v>
      </c>
      <c r="X92" s="226">
        <f t="shared" si="41"/>
        <v>0</v>
      </c>
      <c r="Y92" s="227">
        <f>SUM(V88:X88)</f>
        <v>0</v>
      </c>
    </row>
    <row r="93" spans="1:25" ht="12.75" hidden="1" customHeight="1" outlineLevel="1" x14ac:dyDescent="0.2">
      <c r="A93" s="191" t="str">
        <f>"   "&amp;Labels!C380</f>
        <v xml:space="preserve">   Total</v>
      </c>
      <c r="B93" s="192">
        <f>SUM(B72,B88)</f>
        <v>0</v>
      </c>
      <c r="C93" s="192">
        <f>SUM(C72,C88)</f>
        <v>0</v>
      </c>
      <c r="D93" s="192">
        <f>SUM(D72,D88)</f>
        <v>2750</v>
      </c>
      <c r="E93" s="190">
        <f>SUM(B93:D93)</f>
        <v>2750</v>
      </c>
      <c r="F93" s="192">
        <f>SUM(F72,F88)</f>
        <v>2750</v>
      </c>
      <c r="G93" s="192">
        <f>SUM(G72,G88)</f>
        <v>0</v>
      </c>
      <c r="H93" s="192">
        <f>SUM(H72,H88)</f>
        <v>2000</v>
      </c>
      <c r="I93" s="190">
        <f>SUM(F93:H93)</f>
        <v>4750</v>
      </c>
      <c r="J93" s="192">
        <f>SUM(J72,J88)</f>
        <v>30260.89297106001</v>
      </c>
      <c r="K93" s="192">
        <f>SUM(K72,K88)</f>
        <v>30330.591957132838</v>
      </c>
      <c r="L93" s="192">
        <f>SUM(L72,L88)</f>
        <v>0</v>
      </c>
      <c r="M93" s="190">
        <f>SUM(J93:L93)</f>
        <v>60591.484928192847</v>
      </c>
      <c r="N93" s="192">
        <f>SUM(N72,N88)</f>
        <v>0</v>
      </c>
      <c r="O93" s="192">
        <f>SUM(O72,O88)</f>
        <v>0</v>
      </c>
      <c r="P93" s="192">
        <f>SUM(P72,P88)</f>
        <v>0</v>
      </c>
      <c r="Q93" s="190">
        <f>SUM(N93:P93)</f>
        <v>0</v>
      </c>
      <c r="R93" s="192">
        <f>SUM(R72,R88)</f>
        <v>0</v>
      </c>
      <c r="S93" s="192">
        <f>SUM(S72,S88)</f>
        <v>0</v>
      </c>
      <c r="T93" s="192">
        <f>SUM(T72,T88)</f>
        <v>0</v>
      </c>
      <c r="U93" s="190">
        <f>SUM(R93:T93)</f>
        <v>0</v>
      </c>
      <c r="V93" s="192">
        <f>SUM(V72,V88)</f>
        <v>0</v>
      </c>
      <c r="W93" s="192">
        <f>SUM(W72,W88)</f>
        <v>0</v>
      </c>
      <c r="X93" s="192">
        <f>SUM(X72,X88)</f>
        <v>0</v>
      </c>
      <c r="Y93" s="190">
        <f>SUM(V93:X93)</f>
        <v>0</v>
      </c>
    </row>
    <row r="94" spans="1:25" ht="12.75" hidden="1" customHeight="1" outlineLevel="1" x14ac:dyDescent="0.2">
      <c r="A94" s="198" t="str">
        <f>"      "&amp;Labels!B317</f>
        <v xml:space="preserve">      Channels 1</v>
      </c>
      <c r="B94" s="226"/>
      <c r="C94" s="226"/>
      <c r="D94" s="226"/>
      <c r="E94" s="227"/>
      <c r="F94" s="226"/>
      <c r="G94" s="226"/>
      <c r="H94" s="226"/>
      <c r="I94" s="227"/>
      <c r="J94" s="226"/>
      <c r="K94" s="226"/>
      <c r="L94" s="226"/>
      <c r="M94" s="227"/>
      <c r="N94" s="226"/>
      <c r="O94" s="226"/>
      <c r="P94" s="226"/>
      <c r="Q94" s="227"/>
      <c r="R94" s="226"/>
      <c r="S94" s="226"/>
      <c r="T94" s="226"/>
      <c r="U94" s="227"/>
      <c r="V94" s="226"/>
      <c r="W94" s="226"/>
      <c r="X94" s="226"/>
      <c r="Y94" s="227"/>
    </row>
    <row r="95" spans="1:25" ht="12.75" hidden="1" customHeight="1" outlineLevel="1" x14ac:dyDescent="0.2">
      <c r="A95" s="198" t="str">
        <f>"         "&amp;Labels!B325</f>
        <v xml:space="preserve">         Direct Labor</v>
      </c>
      <c r="B95" s="189">
        <f t="shared" ref="B95:D98" si="42">SUM(B63,B79)</f>
        <v>0</v>
      </c>
      <c r="C95" s="189">
        <f t="shared" si="42"/>
        <v>0</v>
      </c>
      <c r="D95" s="189">
        <f t="shared" si="42"/>
        <v>0</v>
      </c>
      <c r="E95" s="190">
        <f>SUM(B95:D95)</f>
        <v>0</v>
      </c>
      <c r="F95" s="189">
        <f t="shared" ref="F95:H98" si="43">SUM(F63,F79)</f>
        <v>0</v>
      </c>
      <c r="G95" s="189">
        <f t="shared" si="43"/>
        <v>0</v>
      </c>
      <c r="H95" s="189">
        <f t="shared" si="43"/>
        <v>0</v>
      </c>
      <c r="I95" s="190">
        <f>SUM(F95:H95)</f>
        <v>0</v>
      </c>
      <c r="J95" s="189">
        <f t="shared" ref="J95:L98" si="44">SUM(J63,J79)</f>
        <v>28260.89297106001</v>
      </c>
      <c r="K95" s="189">
        <f t="shared" si="44"/>
        <v>28330.591957132838</v>
      </c>
      <c r="L95" s="189">
        <f t="shared" si="44"/>
        <v>0</v>
      </c>
      <c r="M95" s="190">
        <f>SUM(J95:L95)</f>
        <v>56591.484928192847</v>
      </c>
      <c r="N95" s="189">
        <f t="shared" ref="N95:P98" si="45">SUM(N63,N79)</f>
        <v>0</v>
      </c>
      <c r="O95" s="189">
        <f t="shared" si="45"/>
        <v>0</v>
      </c>
      <c r="P95" s="189">
        <f t="shared" si="45"/>
        <v>0</v>
      </c>
      <c r="Q95" s="190">
        <f>SUM(N95:P95)</f>
        <v>0</v>
      </c>
      <c r="R95" s="189">
        <f t="shared" ref="R95:T98" si="46">SUM(R63,R79)</f>
        <v>0</v>
      </c>
      <c r="S95" s="189">
        <f t="shared" si="46"/>
        <v>0</v>
      </c>
      <c r="T95" s="189">
        <f t="shared" si="46"/>
        <v>0</v>
      </c>
      <c r="U95" s="190">
        <f>SUM(R95:T95)</f>
        <v>0</v>
      </c>
      <c r="V95" s="189">
        <f t="shared" ref="V95:X98" si="47">SUM(V63,V79)</f>
        <v>0</v>
      </c>
      <c r="W95" s="189">
        <f t="shared" si="47"/>
        <v>0</v>
      </c>
      <c r="X95" s="189">
        <f t="shared" si="47"/>
        <v>0</v>
      </c>
      <c r="Y95" s="190">
        <f>SUM(V95:X95)</f>
        <v>0</v>
      </c>
    </row>
    <row r="96" spans="1:25" ht="12.75" hidden="1" customHeight="1" outlineLevel="1" x14ac:dyDescent="0.2">
      <c r="A96" s="198" t="str">
        <f>"         "&amp;Labels!B326</f>
        <v xml:space="preserve">         Travel &amp; Entertain</v>
      </c>
      <c r="B96" s="189">
        <f t="shared" si="42"/>
        <v>0</v>
      </c>
      <c r="C96" s="189">
        <f t="shared" si="42"/>
        <v>0</v>
      </c>
      <c r="D96" s="189">
        <f t="shared" si="42"/>
        <v>2750</v>
      </c>
      <c r="E96" s="190">
        <f>SUM(B96:D96)</f>
        <v>2750</v>
      </c>
      <c r="F96" s="189">
        <f t="shared" si="43"/>
        <v>2750</v>
      </c>
      <c r="G96" s="189">
        <f t="shared" si="43"/>
        <v>0</v>
      </c>
      <c r="H96" s="189">
        <f t="shared" si="43"/>
        <v>2000</v>
      </c>
      <c r="I96" s="190">
        <f>SUM(F96:H96)</f>
        <v>4750</v>
      </c>
      <c r="J96" s="189">
        <f t="shared" si="44"/>
        <v>2000</v>
      </c>
      <c r="K96" s="189">
        <f t="shared" si="44"/>
        <v>2000</v>
      </c>
      <c r="L96" s="189">
        <f t="shared" si="44"/>
        <v>0</v>
      </c>
      <c r="M96" s="190">
        <f>SUM(J96:L96)</f>
        <v>4000</v>
      </c>
      <c r="N96" s="189">
        <f t="shared" si="45"/>
        <v>0</v>
      </c>
      <c r="O96" s="189">
        <f t="shared" si="45"/>
        <v>0</v>
      </c>
      <c r="P96" s="189">
        <f t="shared" si="45"/>
        <v>0</v>
      </c>
      <c r="Q96" s="190">
        <f>SUM(N96:P96)</f>
        <v>0</v>
      </c>
      <c r="R96" s="189">
        <f t="shared" si="46"/>
        <v>0</v>
      </c>
      <c r="S96" s="189">
        <f t="shared" si="46"/>
        <v>0</v>
      </c>
      <c r="T96" s="189">
        <f t="shared" si="46"/>
        <v>0</v>
      </c>
      <c r="U96" s="190">
        <f>SUM(R96:T96)</f>
        <v>0</v>
      </c>
      <c r="V96" s="189">
        <f t="shared" si="47"/>
        <v>0</v>
      </c>
      <c r="W96" s="189">
        <f t="shared" si="47"/>
        <v>0</v>
      </c>
      <c r="X96" s="189">
        <f t="shared" si="47"/>
        <v>0</v>
      </c>
      <c r="Y96" s="190">
        <f>SUM(V96:X96)</f>
        <v>0</v>
      </c>
    </row>
    <row r="97" spans="1:25" ht="12.75" hidden="1" customHeight="1" outlineLevel="1" x14ac:dyDescent="0.2">
      <c r="A97" s="198" t="str">
        <f>"         "&amp;Labels!B327</f>
        <v xml:space="preserve">         Direct Supplies</v>
      </c>
      <c r="B97" s="189">
        <f t="shared" si="42"/>
        <v>0</v>
      </c>
      <c r="C97" s="189">
        <f t="shared" si="42"/>
        <v>0</v>
      </c>
      <c r="D97" s="189">
        <f t="shared" si="42"/>
        <v>0</v>
      </c>
      <c r="E97" s="190">
        <f>SUM(B97:D97)</f>
        <v>0</v>
      </c>
      <c r="F97" s="189">
        <f t="shared" si="43"/>
        <v>0</v>
      </c>
      <c r="G97" s="189">
        <f t="shared" si="43"/>
        <v>0</v>
      </c>
      <c r="H97" s="189">
        <f t="shared" si="43"/>
        <v>0</v>
      </c>
      <c r="I97" s="190">
        <f>SUM(F97:H97)</f>
        <v>0</v>
      </c>
      <c r="J97" s="189">
        <f t="shared" si="44"/>
        <v>0</v>
      </c>
      <c r="K97" s="189">
        <f t="shared" si="44"/>
        <v>0</v>
      </c>
      <c r="L97" s="189">
        <f t="shared" si="44"/>
        <v>0</v>
      </c>
      <c r="M97" s="190">
        <f>SUM(J97:L97)</f>
        <v>0</v>
      </c>
      <c r="N97" s="189">
        <f t="shared" si="45"/>
        <v>0</v>
      </c>
      <c r="O97" s="189">
        <f t="shared" si="45"/>
        <v>0</v>
      </c>
      <c r="P97" s="189">
        <f t="shared" si="45"/>
        <v>0</v>
      </c>
      <c r="Q97" s="190">
        <f>SUM(N97:P97)</f>
        <v>0</v>
      </c>
      <c r="R97" s="189">
        <f t="shared" si="46"/>
        <v>0</v>
      </c>
      <c r="S97" s="189">
        <f t="shared" si="46"/>
        <v>0</v>
      </c>
      <c r="T97" s="189">
        <f t="shared" si="46"/>
        <v>0</v>
      </c>
      <c r="U97" s="190">
        <f>SUM(R97:T97)</f>
        <v>0</v>
      </c>
      <c r="V97" s="189">
        <f t="shared" si="47"/>
        <v>0</v>
      </c>
      <c r="W97" s="189">
        <f t="shared" si="47"/>
        <v>0</v>
      </c>
      <c r="X97" s="189">
        <f t="shared" si="47"/>
        <v>0</v>
      </c>
      <c r="Y97" s="190">
        <f>SUM(V97:X97)</f>
        <v>0</v>
      </c>
    </row>
    <row r="98" spans="1:25" ht="12.75" hidden="1" customHeight="1" outlineLevel="1" x14ac:dyDescent="0.2">
      <c r="A98" s="198" t="str">
        <f>"         "&amp;Labels!C324</f>
        <v xml:space="preserve">         Total</v>
      </c>
      <c r="B98" s="226">
        <f t="shared" si="42"/>
        <v>0</v>
      </c>
      <c r="C98" s="226">
        <f t="shared" si="42"/>
        <v>0</v>
      </c>
      <c r="D98" s="226">
        <f t="shared" si="42"/>
        <v>2750</v>
      </c>
      <c r="E98" s="227">
        <f>SUM(B98:D98)</f>
        <v>2750</v>
      </c>
      <c r="F98" s="226">
        <f t="shared" si="43"/>
        <v>2750</v>
      </c>
      <c r="G98" s="226">
        <f t="shared" si="43"/>
        <v>0</v>
      </c>
      <c r="H98" s="226">
        <f t="shared" si="43"/>
        <v>2000</v>
      </c>
      <c r="I98" s="227">
        <f>SUM(F98:H98)</f>
        <v>4750</v>
      </c>
      <c r="J98" s="226">
        <f t="shared" si="44"/>
        <v>30260.89297106001</v>
      </c>
      <c r="K98" s="226">
        <f t="shared" si="44"/>
        <v>30330.591957132838</v>
      </c>
      <c r="L98" s="226">
        <f t="shared" si="44"/>
        <v>0</v>
      </c>
      <c r="M98" s="227">
        <f>SUM(J98:L98)</f>
        <v>60591.484928192847</v>
      </c>
      <c r="N98" s="226">
        <f t="shared" si="45"/>
        <v>0</v>
      </c>
      <c r="O98" s="226">
        <f t="shared" si="45"/>
        <v>0</v>
      </c>
      <c r="P98" s="226">
        <f t="shared" si="45"/>
        <v>0</v>
      </c>
      <c r="Q98" s="227">
        <f>SUM(N98:P98)</f>
        <v>0</v>
      </c>
      <c r="R98" s="226">
        <f t="shared" si="46"/>
        <v>0</v>
      </c>
      <c r="S98" s="226">
        <f t="shared" si="46"/>
        <v>0</v>
      </c>
      <c r="T98" s="226">
        <f t="shared" si="46"/>
        <v>0</v>
      </c>
      <c r="U98" s="227">
        <f>SUM(R98:T98)</f>
        <v>0</v>
      </c>
      <c r="V98" s="226">
        <f t="shared" si="47"/>
        <v>0</v>
      </c>
      <c r="W98" s="226">
        <f t="shared" si="47"/>
        <v>0</v>
      </c>
      <c r="X98" s="226">
        <f t="shared" si="47"/>
        <v>0</v>
      </c>
      <c r="Y98" s="227">
        <f>SUM(V98:X98)</f>
        <v>0</v>
      </c>
    </row>
    <row r="99" spans="1:25" ht="12.75" hidden="1" customHeight="1" outlineLevel="1" x14ac:dyDescent="0.2">
      <c r="A99" s="198" t="str">
        <f>"      "&amp;Labels!B318</f>
        <v xml:space="preserve">      Channels 2</v>
      </c>
      <c r="B99" s="226"/>
      <c r="C99" s="226"/>
      <c r="D99" s="226"/>
      <c r="E99" s="227"/>
      <c r="F99" s="226"/>
      <c r="G99" s="226"/>
      <c r="H99" s="226"/>
      <c r="I99" s="227"/>
      <c r="J99" s="226"/>
      <c r="K99" s="226"/>
      <c r="L99" s="226"/>
      <c r="M99" s="227"/>
      <c r="N99" s="226"/>
      <c r="O99" s="226"/>
      <c r="P99" s="226"/>
      <c r="Q99" s="227"/>
      <c r="R99" s="226"/>
      <c r="S99" s="226"/>
      <c r="T99" s="226"/>
      <c r="U99" s="227"/>
      <c r="V99" s="226"/>
      <c r="W99" s="226"/>
      <c r="X99" s="226"/>
      <c r="Y99" s="227"/>
    </row>
    <row r="100" spans="1:25" ht="12.75" hidden="1" customHeight="1" outlineLevel="1" x14ac:dyDescent="0.2">
      <c r="A100" s="198" t="str">
        <f>"         "&amp;Labels!B325</f>
        <v xml:space="preserve">         Direct Labor</v>
      </c>
      <c r="B100" s="189">
        <f t="shared" ref="B100:D107" si="48">SUM(B68,B84)</f>
        <v>0</v>
      </c>
      <c r="C100" s="189">
        <f t="shared" si="48"/>
        <v>0</v>
      </c>
      <c r="D100" s="189">
        <f t="shared" si="48"/>
        <v>0</v>
      </c>
      <c r="E100" s="190">
        <f>SUM(B100:D100)</f>
        <v>0</v>
      </c>
      <c r="F100" s="189">
        <f t="shared" ref="F100:H107" si="49">SUM(F68,F84)</f>
        <v>0</v>
      </c>
      <c r="G100" s="189">
        <f t="shared" si="49"/>
        <v>0</v>
      </c>
      <c r="H100" s="189">
        <f t="shared" si="49"/>
        <v>0</v>
      </c>
      <c r="I100" s="190">
        <f>SUM(F100:H100)</f>
        <v>0</v>
      </c>
      <c r="J100" s="189">
        <f t="shared" ref="J100:L107" si="50">SUM(J68,J84)</f>
        <v>0</v>
      </c>
      <c r="K100" s="189">
        <f t="shared" si="50"/>
        <v>0</v>
      </c>
      <c r="L100" s="189">
        <f t="shared" si="50"/>
        <v>0</v>
      </c>
      <c r="M100" s="190">
        <f>SUM(J100:L100)</f>
        <v>0</v>
      </c>
      <c r="N100" s="189">
        <f t="shared" ref="N100:P107" si="51">SUM(N68,N84)</f>
        <v>0</v>
      </c>
      <c r="O100" s="189">
        <f t="shared" si="51"/>
        <v>0</v>
      </c>
      <c r="P100" s="189">
        <f t="shared" si="51"/>
        <v>0</v>
      </c>
      <c r="Q100" s="190">
        <f>SUM(N100:P100)</f>
        <v>0</v>
      </c>
      <c r="R100" s="189">
        <f t="shared" ref="R100:T107" si="52">SUM(R68,R84)</f>
        <v>0</v>
      </c>
      <c r="S100" s="189">
        <f t="shared" si="52"/>
        <v>0</v>
      </c>
      <c r="T100" s="189">
        <f t="shared" si="52"/>
        <v>0</v>
      </c>
      <c r="U100" s="190">
        <f>SUM(R100:T100)</f>
        <v>0</v>
      </c>
      <c r="V100" s="189">
        <f t="shared" ref="V100:X107" si="53">SUM(V68,V84)</f>
        <v>0</v>
      </c>
      <c r="W100" s="189">
        <f t="shared" si="53"/>
        <v>0</v>
      </c>
      <c r="X100" s="189">
        <f t="shared" si="53"/>
        <v>0</v>
      </c>
      <c r="Y100" s="190">
        <f>SUM(V100:X100)</f>
        <v>0</v>
      </c>
    </row>
    <row r="101" spans="1:25" ht="12.75" hidden="1" customHeight="1" outlineLevel="1" x14ac:dyDescent="0.2">
      <c r="A101" s="198" t="str">
        <f>"         "&amp;Labels!B326</f>
        <v xml:space="preserve">         Travel &amp; Entertain</v>
      </c>
      <c r="B101" s="189">
        <f t="shared" si="48"/>
        <v>0</v>
      </c>
      <c r="C101" s="189">
        <f t="shared" si="48"/>
        <v>0</v>
      </c>
      <c r="D101" s="189">
        <f t="shared" si="48"/>
        <v>0</v>
      </c>
      <c r="E101" s="190">
        <f>SUM(B101:D101)</f>
        <v>0</v>
      </c>
      <c r="F101" s="189">
        <f t="shared" si="49"/>
        <v>0</v>
      </c>
      <c r="G101" s="189">
        <f t="shared" si="49"/>
        <v>0</v>
      </c>
      <c r="H101" s="189">
        <f t="shared" si="49"/>
        <v>0</v>
      </c>
      <c r="I101" s="190">
        <f>SUM(F101:H101)</f>
        <v>0</v>
      </c>
      <c r="J101" s="189">
        <f t="shared" si="50"/>
        <v>0</v>
      </c>
      <c r="K101" s="189">
        <f t="shared" si="50"/>
        <v>0</v>
      </c>
      <c r="L101" s="189">
        <f t="shared" si="50"/>
        <v>0</v>
      </c>
      <c r="M101" s="190">
        <f>SUM(J101:L101)</f>
        <v>0</v>
      </c>
      <c r="N101" s="189">
        <f t="shared" si="51"/>
        <v>0</v>
      </c>
      <c r="O101" s="189">
        <f t="shared" si="51"/>
        <v>0</v>
      </c>
      <c r="P101" s="189">
        <f t="shared" si="51"/>
        <v>0</v>
      </c>
      <c r="Q101" s="190">
        <f>SUM(N101:P101)</f>
        <v>0</v>
      </c>
      <c r="R101" s="189">
        <f t="shared" si="52"/>
        <v>0</v>
      </c>
      <c r="S101" s="189">
        <f t="shared" si="52"/>
        <v>0</v>
      </c>
      <c r="T101" s="189">
        <f t="shared" si="52"/>
        <v>0</v>
      </c>
      <c r="U101" s="190">
        <f>SUM(R101:T101)</f>
        <v>0</v>
      </c>
      <c r="V101" s="189">
        <f t="shared" si="53"/>
        <v>0</v>
      </c>
      <c r="W101" s="189">
        <f t="shared" si="53"/>
        <v>0</v>
      </c>
      <c r="X101" s="189">
        <f t="shared" si="53"/>
        <v>0</v>
      </c>
      <c r="Y101" s="190">
        <f>SUM(V101:X101)</f>
        <v>0</v>
      </c>
    </row>
    <row r="102" spans="1:25" ht="12.75" hidden="1" customHeight="1" outlineLevel="1" x14ac:dyDescent="0.2">
      <c r="A102" s="198" t="str">
        <f>"         "&amp;Labels!B327</f>
        <v xml:space="preserve">         Direct Supplies</v>
      </c>
      <c r="B102" s="189">
        <f t="shared" si="48"/>
        <v>0</v>
      </c>
      <c r="C102" s="189">
        <f t="shared" si="48"/>
        <v>0</v>
      </c>
      <c r="D102" s="189">
        <f t="shared" si="48"/>
        <v>0</v>
      </c>
      <c r="E102" s="190">
        <f>SUM(B102:D102)</f>
        <v>0</v>
      </c>
      <c r="F102" s="189">
        <f t="shared" si="49"/>
        <v>0</v>
      </c>
      <c r="G102" s="189">
        <f t="shared" si="49"/>
        <v>0</v>
      </c>
      <c r="H102" s="189">
        <f t="shared" si="49"/>
        <v>0</v>
      </c>
      <c r="I102" s="190">
        <f>SUM(F102:H102)</f>
        <v>0</v>
      </c>
      <c r="J102" s="189">
        <f t="shared" si="50"/>
        <v>0</v>
      </c>
      <c r="K102" s="189">
        <f t="shared" si="50"/>
        <v>0</v>
      </c>
      <c r="L102" s="189">
        <f t="shared" si="50"/>
        <v>0</v>
      </c>
      <c r="M102" s="190">
        <f>SUM(J102:L102)</f>
        <v>0</v>
      </c>
      <c r="N102" s="189">
        <f t="shared" si="51"/>
        <v>0</v>
      </c>
      <c r="O102" s="189">
        <f t="shared" si="51"/>
        <v>0</v>
      </c>
      <c r="P102" s="189">
        <f t="shared" si="51"/>
        <v>0</v>
      </c>
      <c r="Q102" s="190">
        <f>SUM(N102:P102)</f>
        <v>0</v>
      </c>
      <c r="R102" s="189">
        <f t="shared" si="52"/>
        <v>0</v>
      </c>
      <c r="S102" s="189">
        <f t="shared" si="52"/>
        <v>0</v>
      </c>
      <c r="T102" s="189">
        <f t="shared" si="52"/>
        <v>0</v>
      </c>
      <c r="U102" s="190">
        <f>SUM(R102:T102)</f>
        <v>0</v>
      </c>
      <c r="V102" s="189">
        <f t="shared" si="53"/>
        <v>0</v>
      </c>
      <c r="W102" s="189">
        <f t="shared" si="53"/>
        <v>0</v>
      </c>
      <c r="X102" s="189">
        <f t="shared" si="53"/>
        <v>0</v>
      </c>
      <c r="Y102" s="190">
        <f>SUM(V102:X102)</f>
        <v>0</v>
      </c>
    </row>
    <row r="103" spans="1:25" ht="12.75" hidden="1" customHeight="1" outlineLevel="1" x14ac:dyDescent="0.2">
      <c r="A103" s="198" t="str">
        <f>"         "&amp;Labels!C324</f>
        <v xml:space="preserve">         Total</v>
      </c>
      <c r="B103" s="226">
        <f t="shared" si="48"/>
        <v>0</v>
      </c>
      <c r="C103" s="226">
        <f t="shared" si="48"/>
        <v>0</v>
      </c>
      <c r="D103" s="226">
        <f t="shared" si="48"/>
        <v>0</v>
      </c>
      <c r="E103" s="227">
        <f>SUM(B103:D103)</f>
        <v>0</v>
      </c>
      <c r="F103" s="226">
        <f t="shared" si="49"/>
        <v>0</v>
      </c>
      <c r="G103" s="226">
        <f t="shared" si="49"/>
        <v>0</v>
      </c>
      <c r="H103" s="226">
        <f t="shared" si="49"/>
        <v>0</v>
      </c>
      <c r="I103" s="227">
        <f>SUM(F103:H103)</f>
        <v>0</v>
      </c>
      <c r="J103" s="226">
        <f t="shared" si="50"/>
        <v>0</v>
      </c>
      <c r="K103" s="226">
        <f t="shared" si="50"/>
        <v>0</v>
      </c>
      <c r="L103" s="226">
        <f t="shared" si="50"/>
        <v>0</v>
      </c>
      <c r="M103" s="227">
        <f>SUM(J103:L103)</f>
        <v>0</v>
      </c>
      <c r="N103" s="226">
        <f t="shared" si="51"/>
        <v>0</v>
      </c>
      <c r="O103" s="226">
        <f t="shared" si="51"/>
        <v>0</v>
      </c>
      <c r="P103" s="226">
        <f t="shared" si="51"/>
        <v>0</v>
      </c>
      <c r="Q103" s="227">
        <f>SUM(N103:P103)</f>
        <v>0</v>
      </c>
      <c r="R103" s="226">
        <f t="shared" si="52"/>
        <v>0</v>
      </c>
      <c r="S103" s="226">
        <f t="shared" si="52"/>
        <v>0</v>
      </c>
      <c r="T103" s="226">
        <f t="shared" si="52"/>
        <v>0</v>
      </c>
      <c r="U103" s="227">
        <f>SUM(R103:T103)</f>
        <v>0</v>
      </c>
      <c r="V103" s="226">
        <f t="shared" si="53"/>
        <v>0</v>
      </c>
      <c r="W103" s="226">
        <f t="shared" si="53"/>
        <v>0</v>
      </c>
      <c r="X103" s="226">
        <f t="shared" si="53"/>
        <v>0</v>
      </c>
      <c r="Y103" s="227">
        <f>SUM(V103:X103)</f>
        <v>0</v>
      </c>
    </row>
    <row r="104" spans="1:25" ht="12.75" hidden="1" customHeight="1" outlineLevel="1" x14ac:dyDescent="0.2">
      <c r="A104" s="188" t="str">
        <f>"      "&amp;Labels!C316</f>
        <v xml:space="preserve">      Total</v>
      </c>
      <c r="B104" s="196">
        <f t="shared" si="48"/>
        <v>0</v>
      </c>
      <c r="C104" s="196">
        <f t="shared" si="48"/>
        <v>0</v>
      </c>
      <c r="D104" s="196">
        <f t="shared" si="48"/>
        <v>2750</v>
      </c>
      <c r="E104" s="197">
        <f>SUM(B93:D93)</f>
        <v>2750</v>
      </c>
      <c r="F104" s="196">
        <f t="shared" si="49"/>
        <v>2750</v>
      </c>
      <c r="G104" s="196">
        <f t="shared" si="49"/>
        <v>0</v>
      </c>
      <c r="H104" s="196">
        <f t="shared" si="49"/>
        <v>2000</v>
      </c>
      <c r="I104" s="197">
        <f>SUM(F93:H93)</f>
        <v>4750</v>
      </c>
      <c r="J104" s="196">
        <f t="shared" si="50"/>
        <v>30260.89297106001</v>
      </c>
      <c r="K104" s="196">
        <f t="shared" si="50"/>
        <v>30330.591957132838</v>
      </c>
      <c r="L104" s="196">
        <f t="shared" si="50"/>
        <v>0</v>
      </c>
      <c r="M104" s="197">
        <f>SUM(J93:L93)</f>
        <v>60591.484928192847</v>
      </c>
      <c r="N104" s="196">
        <f t="shared" si="51"/>
        <v>0</v>
      </c>
      <c r="O104" s="196">
        <f t="shared" si="51"/>
        <v>0</v>
      </c>
      <c r="P104" s="196">
        <f t="shared" si="51"/>
        <v>0</v>
      </c>
      <c r="Q104" s="197">
        <f>SUM(N93:P93)</f>
        <v>0</v>
      </c>
      <c r="R104" s="196">
        <f t="shared" si="52"/>
        <v>0</v>
      </c>
      <c r="S104" s="196">
        <f t="shared" si="52"/>
        <v>0</v>
      </c>
      <c r="T104" s="196">
        <f t="shared" si="52"/>
        <v>0</v>
      </c>
      <c r="U104" s="197">
        <f>SUM(R93:T93)</f>
        <v>0</v>
      </c>
      <c r="V104" s="196">
        <f t="shared" si="53"/>
        <v>0</v>
      </c>
      <c r="W104" s="196">
        <f t="shared" si="53"/>
        <v>0</v>
      </c>
      <c r="X104" s="196">
        <f t="shared" si="53"/>
        <v>0</v>
      </c>
      <c r="Y104" s="197">
        <f>SUM(V93:X93)</f>
        <v>0</v>
      </c>
    </row>
    <row r="105" spans="1:25" ht="12.75" hidden="1" customHeight="1" outlineLevel="1" x14ac:dyDescent="0.2">
      <c r="A105" s="198" t="str">
        <f>"         "&amp;Labels!B325</f>
        <v xml:space="preserve">         Direct Labor</v>
      </c>
      <c r="B105" s="189">
        <f t="shared" si="48"/>
        <v>0</v>
      </c>
      <c r="C105" s="189">
        <f t="shared" si="48"/>
        <v>0</v>
      </c>
      <c r="D105" s="189">
        <f t="shared" si="48"/>
        <v>0</v>
      </c>
      <c r="E105" s="190">
        <f>SUM(B105:D105)</f>
        <v>0</v>
      </c>
      <c r="F105" s="189">
        <f t="shared" si="49"/>
        <v>0</v>
      </c>
      <c r="G105" s="189">
        <f t="shared" si="49"/>
        <v>0</v>
      </c>
      <c r="H105" s="189">
        <f t="shared" si="49"/>
        <v>0</v>
      </c>
      <c r="I105" s="190">
        <f>SUM(F105:H105)</f>
        <v>0</v>
      </c>
      <c r="J105" s="189">
        <f t="shared" si="50"/>
        <v>28260.89297106001</v>
      </c>
      <c r="K105" s="189">
        <f t="shared" si="50"/>
        <v>28330.591957132838</v>
      </c>
      <c r="L105" s="189">
        <f t="shared" si="50"/>
        <v>0</v>
      </c>
      <c r="M105" s="190">
        <f>SUM(J105:L105)</f>
        <v>56591.484928192847</v>
      </c>
      <c r="N105" s="189">
        <f t="shared" si="51"/>
        <v>0</v>
      </c>
      <c r="O105" s="189">
        <f t="shared" si="51"/>
        <v>0</v>
      </c>
      <c r="P105" s="189">
        <f t="shared" si="51"/>
        <v>0</v>
      </c>
      <c r="Q105" s="190">
        <f>SUM(N105:P105)</f>
        <v>0</v>
      </c>
      <c r="R105" s="189">
        <f t="shared" si="52"/>
        <v>0</v>
      </c>
      <c r="S105" s="189">
        <f t="shared" si="52"/>
        <v>0</v>
      </c>
      <c r="T105" s="189">
        <f t="shared" si="52"/>
        <v>0</v>
      </c>
      <c r="U105" s="190">
        <f>SUM(R105:T105)</f>
        <v>0</v>
      </c>
      <c r="V105" s="189">
        <f t="shared" si="53"/>
        <v>0</v>
      </c>
      <c r="W105" s="189">
        <f t="shared" si="53"/>
        <v>0</v>
      </c>
      <c r="X105" s="189">
        <f t="shared" si="53"/>
        <v>0</v>
      </c>
      <c r="Y105" s="190">
        <f>SUM(V105:X105)</f>
        <v>0</v>
      </c>
    </row>
    <row r="106" spans="1:25" ht="12.75" hidden="1" customHeight="1" outlineLevel="1" x14ac:dyDescent="0.2">
      <c r="A106" s="198" t="str">
        <f>"         "&amp;Labels!B326</f>
        <v xml:space="preserve">         Travel &amp; Entertain</v>
      </c>
      <c r="B106" s="189">
        <f t="shared" si="48"/>
        <v>0</v>
      </c>
      <c r="C106" s="189">
        <f t="shared" si="48"/>
        <v>0</v>
      </c>
      <c r="D106" s="189">
        <f t="shared" si="48"/>
        <v>2750</v>
      </c>
      <c r="E106" s="190">
        <f>SUM(B106:D106)</f>
        <v>2750</v>
      </c>
      <c r="F106" s="189">
        <f t="shared" si="49"/>
        <v>2750</v>
      </c>
      <c r="G106" s="189">
        <f t="shared" si="49"/>
        <v>0</v>
      </c>
      <c r="H106" s="189">
        <f t="shared" si="49"/>
        <v>2000</v>
      </c>
      <c r="I106" s="190">
        <f>SUM(F106:H106)</f>
        <v>4750</v>
      </c>
      <c r="J106" s="189">
        <f t="shared" si="50"/>
        <v>2000</v>
      </c>
      <c r="K106" s="189">
        <f t="shared" si="50"/>
        <v>2000</v>
      </c>
      <c r="L106" s="189">
        <f t="shared" si="50"/>
        <v>0</v>
      </c>
      <c r="M106" s="190">
        <f>SUM(J106:L106)</f>
        <v>4000</v>
      </c>
      <c r="N106" s="189">
        <f t="shared" si="51"/>
        <v>0</v>
      </c>
      <c r="O106" s="189">
        <f t="shared" si="51"/>
        <v>0</v>
      </c>
      <c r="P106" s="189">
        <f t="shared" si="51"/>
        <v>0</v>
      </c>
      <c r="Q106" s="190">
        <f>SUM(N106:P106)</f>
        <v>0</v>
      </c>
      <c r="R106" s="189">
        <f t="shared" si="52"/>
        <v>0</v>
      </c>
      <c r="S106" s="189">
        <f t="shared" si="52"/>
        <v>0</v>
      </c>
      <c r="T106" s="189">
        <f t="shared" si="52"/>
        <v>0</v>
      </c>
      <c r="U106" s="190">
        <f>SUM(R106:T106)</f>
        <v>0</v>
      </c>
      <c r="V106" s="189">
        <f t="shared" si="53"/>
        <v>0</v>
      </c>
      <c r="W106" s="189">
        <f t="shared" si="53"/>
        <v>0</v>
      </c>
      <c r="X106" s="189">
        <f t="shared" si="53"/>
        <v>0</v>
      </c>
      <c r="Y106" s="190">
        <f>SUM(V106:X106)</f>
        <v>0</v>
      </c>
    </row>
    <row r="107" spans="1:25" ht="12.75" hidden="1" customHeight="1" outlineLevel="1" x14ac:dyDescent="0.2">
      <c r="A107" s="198" t="str">
        <f>"         "&amp;Labels!B327</f>
        <v xml:space="preserve">         Direct Supplies</v>
      </c>
      <c r="B107" s="189">
        <f t="shared" si="48"/>
        <v>0</v>
      </c>
      <c r="C107" s="189">
        <f t="shared" si="48"/>
        <v>0</v>
      </c>
      <c r="D107" s="189">
        <f t="shared" si="48"/>
        <v>0</v>
      </c>
      <c r="E107" s="190">
        <f>SUM(B107:D107)</f>
        <v>0</v>
      </c>
      <c r="F107" s="189">
        <f t="shared" si="49"/>
        <v>0</v>
      </c>
      <c r="G107" s="189">
        <f t="shared" si="49"/>
        <v>0</v>
      </c>
      <c r="H107" s="189">
        <f t="shared" si="49"/>
        <v>0</v>
      </c>
      <c r="I107" s="190">
        <f>SUM(F107:H107)</f>
        <v>0</v>
      </c>
      <c r="J107" s="189">
        <f t="shared" si="50"/>
        <v>0</v>
      </c>
      <c r="K107" s="189">
        <f t="shared" si="50"/>
        <v>0</v>
      </c>
      <c r="L107" s="189">
        <f t="shared" si="50"/>
        <v>0</v>
      </c>
      <c r="M107" s="190">
        <f>SUM(J107:L107)</f>
        <v>0</v>
      </c>
      <c r="N107" s="189">
        <f t="shared" si="51"/>
        <v>0</v>
      </c>
      <c r="O107" s="189">
        <f t="shared" si="51"/>
        <v>0</v>
      </c>
      <c r="P107" s="189">
        <f t="shared" si="51"/>
        <v>0</v>
      </c>
      <c r="Q107" s="190">
        <f>SUM(N107:P107)</f>
        <v>0</v>
      </c>
      <c r="R107" s="189">
        <f t="shared" si="52"/>
        <v>0</v>
      </c>
      <c r="S107" s="189">
        <f t="shared" si="52"/>
        <v>0</v>
      </c>
      <c r="T107" s="189">
        <f t="shared" si="52"/>
        <v>0</v>
      </c>
      <c r="U107" s="190">
        <f>SUM(R107:T107)</f>
        <v>0</v>
      </c>
      <c r="V107" s="189">
        <f t="shared" si="53"/>
        <v>0</v>
      </c>
      <c r="W107" s="189">
        <f t="shared" si="53"/>
        <v>0</v>
      </c>
      <c r="X107" s="189">
        <f t="shared" si="53"/>
        <v>0</v>
      </c>
      <c r="Y107" s="190">
        <f>SUM(V107:X107)</f>
        <v>0</v>
      </c>
    </row>
    <row r="108" spans="1:25" ht="12.75" hidden="1" customHeight="1" outlineLevel="1" x14ac:dyDescent="0.2">
      <c r="A108" s="230" t="str">
        <f>"         "&amp;Labels!C324</f>
        <v xml:space="preserve">         Total</v>
      </c>
      <c r="B108" s="231">
        <f>SUM(B72,B88)</f>
        <v>0</v>
      </c>
      <c r="C108" s="231">
        <f>SUM(C72,C88)</f>
        <v>0</v>
      </c>
      <c r="D108" s="231">
        <f>SUM(D72,D88)</f>
        <v>2750</v>
      </c>
      <c r="E108" s="232">
        <f>SUM(B93:D93)</f>
        <v>2750</v>
      </c>
      <c r="F108" s="231">
        <f>SUM(F72,F88)</f>
        <v>2750</v>
      </c>
      <c r="G108" s="231">
        <f>SUM(G72,G88)</f>
        <v>0</v>
      </c>
      <c r="H108" s="231">
        <f>SUM(H72,H88)</f>
        <v>2000</v>
      </c>
      <c r="I108" s="232">
        <f>SUM(F93:H93)</f>
        <v>4750</v>
      </c>
      <c r="J108" s="231">
        <f>SUM(J72,J88)</f>
        <v>30260.89297106001</v>
      </c>
      <c r="K108" s="231">
        <f>SUM(K72,K88)</f>
        <v>30330.591957132838</v>
      </c>
      <c r="L108" s="231">
        <f>SUM(L72,L88)</f>
        <v>0</v>
      </c>
      <c r="M108" s="232">
        <f>SUM(J93:L93)</f>
        <v>60591.484928192847</v>
      </c>
      <c r="N108" s="231">
        <f>SUM(N72,N88)</f>
        <v>0</v>
      </c>
      <c r="O108" s="231">
        <f>SUM(O72,O88)</f>
        <v>0</v>
      </c>
      <c r="P108" s="231">
        <f>SUM(P72,P88)</f>
        <v>0</v>
      </c>
      <c r="Q108" s="232">
        <f>SUM(N93:P93)</f>
        <v>0</v>
      </c>
      <c r="R108" s="231">
        <f>SUM(R72,R88)</f>
        <v>0</v>
      </c>
      <c r="S108" s="231">
        <f>SUM(S72,S88)</f>
        <v>0</v>
      </c>
      <c r="T108" s="231">
        <f>SUM(T72,T88)</f>
        <v>0</v>
      </c>
      <c r="U108" s="232">
        <f>SUM(R93:T93)</f>
        <v>0</v>
      </c>
      <c r="V108" s="231">
        <f>SUM(V72,V88)</f>
        <v>0</v>
      </c>
      <c r="W108" s="231">
        <f>SUM(W72,W88)</f>
        <v>0</v>
      </c>
      <c r="X108" s="231">
        <f>SUM(X72,X88)</f>
        <v>0</v>
      </c>
      <c r="Y108" s="232">
        <f>SUM(V93:X93)</f>
        <v>0</v>
      </c>
    </row>
    <row r="109" spans="1:25" ht="12.75" hidden="1" customHeight="1" outlineLevel="1" x14ac:dyDescent="0.2"/>
    <row r="110" spans="1:25" ht="12.75" hidden="1" customHeight="1" outlineLevel="1" x14ac:dyDescent="0.2">
      <c r="A110" s="182" t="str">
        <f>Labels!B381</f>
        <v>Practice 1</v>
      </c>
      <c r="B110" s="13"/>
      <c r="C110" s="13"/>
      <c r="D110" s="13"/>
      <c r="E110" s="182"/>
      <c r="F110" s="13"/>
      <c r="G110" s="13"/>
      <c r="H110" s="13"/>
      <c r="I110" s="182"/>
      <c r="J110" s="13"/>
      <c r="K110" s="13"/>
      <c r="L110" s="13"/>
      <c r="M110" s="182"/>
      <c r="N110" s="13"/>
      <c r="O110" s="13"/>
      <c r="P110" s="13"/>
      <c r="Q110" s="182"/>
      <c r="R110" s="13"/>
      <c r="S110" s="13"/>
      <c r="T110" s="13"/>
      <c r="U110" s="182"/>
      <c r="V110" s="13"/>
      <c r="W110" s="13"/>
      <c r="X110" s="13"/>
      <c r="Y110" s="182"/>
    </row>
    <row r="111" spans="1:25" ht="12.75" hidden="1" customHeight="1" outlineLevel="1" x14ac:dyDescent="0.2">
      <c r="A111" s="188" t="str">
        <f>"   "&amp;Labels!B317</f>
        <v xml:space="preserve">   Channels 1</v>
      </c>
      <c r="B111" s="31"/>
      <c r="C111" s="31"/>
      <c r="D111" s="31"/>
      <c r="E111" s="188"/>
      <c r="F111" s="31"/>
      <c r="G111" s="31"/>
      <c r="H111" s="31"/>
      <c r="I111" s="188"/>
      <c r="J111" s="31"/>
      <c r="K111" s="31"/>
      <c r="L111" s="31"/>
      <c r="M111" s="188"/>
      <c r="N111" s="31"/>
      <c r="O111" s="31"/>
      <c r="P111" s="31"/>
      <c r="Q111" s="188"/>
      <c r="R111" s="31"/>
      <c r="S111" s="31"/>
      <c r="T111" s="31"/>
      <c r="U111" s="188"/>
      <c r="V111" s="31"/>
      <c r="W111" s="31"/>
      <c r="X111" s="31"/>
      <c r="Y111" s="188"/>
    </row>
    <row r="112" spans="1:25" ht="12.75" hidden="1" customHeight="1" outlineLevel="1" x14ac:dyDescent="0.2">
      <c r="A112" s="198" t="str">
        <f>"      "&amp;Labels!B98</f>
        <v xml:space="preserve">      Gross Margin</v>
      </c>
      <c r="B112" s="226">
        <f>SUM('GM CostSvcs'!B219,'GM CostSvcs'!B229)</f>
        <v>0</v>
      </c>
      <c r="C112" s="226">
        <f>SUM('GM CostSvcs'!C219,'GM CostSvcs'!C229)</f>
        <v>0</v>
      </c>
      <c r="D112" s="226">
        <f>SUM('GM CostSvcs'!D219,'GM CostSvcs'!D229)</f>
        <v>55000</v>
      </c>
      <c r="E112" s="227">
        <f>SUM(B112:D112)</f>
        <v>55000</v>
      </c>
      <c r="F112" s="226">
        <f>SUM('GM CostSvcs'!F219,'GM CostSvcs'!F229)</f>
        <v>55000</v>
      </c>
      <c r="G112" s="226">
        <f>SUM('GM CostSvcs'!G219,'GM CostSvcs'!G229)</f>
        <v>0</v>
      </c>
      <c r="H112" s="226">
        <f>SUM('GM CostSvcs'!H219,'GM CostSvcs'!H229)</f>
        <v>40000</v>
      </c>
      <c r="I112" s="227">
        <f>SUM(F112:H112)</f>
        <v>95000</v>
      </c>
      <c r="J112" s="226">
        <f>SUM('GM CostSvcs'!J219,'GM CostSvcs'!J229)</f>
        <v>11739.10702893999</v>
      </c>
      <c r="K112" s="226">
        <f>SUM('GM CostSvcs'!K219,'GM CostSvcs'!K229)</f>
        <v>4586.7600535839529</v>
      </c>
      <c r="L112" s="226">
        <f>SUM('GM CostSvcs'!L219,'GM CostSvcs'!L229)</f>
        <v>0</v>
      </c>
      <c r="M112" s="227">
        <f>SUM(J112:L112)</f>
        <v>16325.867082523942</v>
      </c>
      <c r="N112" s="226">
        <f>SUM('GM CostSvcs'!N219,'GM CostSvcs'!N229)</f>
        <v>0</v>
      </c>
      <c r="O112" s="226">
        <f>SUM('GM CostSvcs'!O219,'GM CostSvcs'!O229)</f>
        <v>0</v>
      </c>
      <c r="P112" s="226">
        <f>SUM('GM CostSvcs'!P219,'GM CostSvcs'!P229)</f>
        <v>0</v>
      </c>
      <c r="Q112" s="227">
        <f>SUM(N112:P112)</f>
        <v>0</v>
      </c>
      <c r="R112" s="226">
        <f>SUM('GM CostSvcs'!R219,'GM CostSvcs'!R229)</f>
        <v>0</v>
      </c>
      <c r="S112" s="226">
        <f>SUM('GM CostSvcs'!S219,'GM CostSvcs'!S229)</f>
        <v>0</v>
      </c>
      <c r="T112" s="226">
        <f>SUM('GM CostSvcs'!T219,'GM CostSvcs'!T229)</f>
        <v>0</v>
      </c>
      <c r="U112" s="227">
        <f>SUM(R112:T112)</f>
        <v>0</v>
      </c>
      <c r="V112" s="226">
        <f>SUM('GM CostSvcs'!V219,'GM CostSvcs'!V229)</f>
        <v>0</v>
      </c>
      <c r="W112" s="226">
        <f>SUM('GM CostSvcs'!W219,'GM CostSvcs'!W229)</f>
        <v>0</v>
      </c>
      <c r="X112" s="226">
        <f>SUM('GM CostSvcs'!X219,'GM CostSvcs'!X229)</f>
        <v>0</v>
      </c>
      <c r="Y112" s="227">
        <f>SUM(V112:X112)</f>
        <v>0</v>
      </c>
    </row>
    <row r="113" spans="1:25" ht="12.75" hidden="1" customHeight="1" outlineLevel="1" x14ac:dyDescent="0.2">
      <c r="A113" s="198" t="str">
        <f>"      "&amp;Labels!B100</f>
        <v xml:space="preserve">      Gross Margin %</v>
      </c>
      <c r="B113" s="233">
        <f>IF(B48=0,0,B112/B48)</f>
        <v>0</v>
      </c>
      <c r="C113" s="233">
        <f>IF(C48=0,0,C112/C48)</f>
        <v>0</v>
      </c>
      <c r="D113" s="233">
        <f>IF(D48=0,0,D112/D48)</f>
        <v>0.95238095238095233</v>
      </c>
      <c r="E113" s="234">
        <f>IF(SUM(B48:D48)=0,0,SUM(B112:D112)/SUM(B48:D48))</f>
        <v>0.95238095238095233</v>
      </c>
      <c r="F113" s="233">
        <f>IF(F48=0,0,F112/F48)</f>
        <v>0.95238095238095233</v>
      </c>
      <c r="G113" s="233">
        <f>IF(G48=0,0,G112/G48)</f>
        <v>0</v>
      </c>
      <c r="H113" s="233">
        <f>IF(H48=0,0,H112/H48)</f>
        <v>0.95238095238095233</v>
      </c>
      <c r="I113" s="234">
        <f>IF(SUM(F48:H48)=0,0,SUM(F112:H112)/SUM(F48:H48))</f>
        <v>0.95238095238095233</v>
      </c>
      <c r="J113" s="233">
        <f>IF(J48=0,0,J112/J48)</f>
        <v>0.27950254830809501</v>
      </c>
      <c r="K113" s="233">
        <f>IF(K48=0,0,K112/K48)</f>
        <v>0.10920857270437984</v>
      </c>
      <c r="L113" s="233">
        <f>IF(L48=0,0,L112/L48)</f>
        <v>0</v>
      </c>
      <c r="M113" s="234">
        <f>IF(SUM(J48:L48)=0,0,SUM(J112:L112)/SUM(J48:L48))</f>
        <v>0.1943555605062374</v>
      </c>
      <c r="N113" s="233">
        <f>IF(N48=0,0,N112/N48)</f>
        <v>0</v>
      </c>
      <c r="O113" s="233">
        <f>IF(O48=0,0,O112/O48)</f>
        <v>0</v>
      </c>
      <c r="P113" s="233">
        <f>IF(P48=0,0,P112/P48)</f>
        <v>0</v>
      </c>
      <c r="Q113" s="234">
        <f>IF(SUM(N48:P48)=0,0,SUM(N112:P112)/SUM(N48:P48))</f>
        <v>0</v>
      </c>
      <c r="R113" s="233">
        <f>IF(R48=0,0,R112/R48)</f>
        <v>0</v>
      </c>
      <c r="S113" s="233">
        <f>IF(S48=0,0,S112/S48)</f>
        <v>0</v>
      </c>
      <c r="T113" s="233">
        <f>IF(T48=0,0,T112/T48)</f>
        <v>0</v>
      </c>
      <c r="U113" s="234">
        <f>IF(SUM(R48:T48)=0,0,SUM(R112:T112)/SUM(R48:T48))</f>
        <v>0</v>
      </c>
      <c r="V113" s="233">
        <f>IF(V48=0,0,V112/V48)</f>
        <v>0</v>
      </c>
      <c r="W113" s="233">
        <f>IF(W48=0,0,W112/W48)</f>
        <v>0</v>
      </c>
      <c r="X113" s="233">
        <f>IF(X48=0,0,X112/X48)</f>
        <v>0</v>
      </c>
      <c r="Y113" s="234">
        <f>IF(SUM(V48:X48)=0,0,SUM(V112:X112)/SUM(V48:X48))</f>
        <v>0</v>
      </c>
    </row>
    <row r="114" spans="1:25" ht="12.75" hidden="1" customHeight="1" outlineLevel="1" x14ac:dyDescent="0.2">
      <c r="A114" s="188" t="str">
        <f>"   "&amp;Labels!B318</f>
        <v xml:space="preserve">   Channels 2</v>
      </c>
      <c r="B114" s="31"/>
      <c r="C114" s="31"/>
      <c r="D114" s="31"/>
      <c r="E114" s="188"/>
      <c r="F114" s="31"/>
      <c r="G114" s="31"/>
      <c r="H114" s="31"/>
      <c r="I114" s="188"/>
      <c r="J114" s="31"/>
      <c r="K114" s="31"/>
      <c r="L114" s="31"/>
      <c r="M114" s="188"/>
      <c r="N114" s="31"/>
      <c r="O114" s="31"/>
      <c r="P114" s="31"/>
      <c r="Q114" s="188"/>
      <c r="R114" s="31"/>
      <c r="S114" s="31"/>
      <c r="T114" s="31"/>
      <c r="U114" s="188"/>
      <c r="V114" s="31"/>
      <c r="W114" s="31"/>
      <c r="X114" s="31"/>
      <c r="Y114" s="188"/>
    </row>
    <row r="115" spans="1:25" ht="12.75" hidden="1" customHeight="1" outlineLevel="1" x14ac:dyDescent="0.2">
      <c r="A115" s="198" t="str">
        <f>"      "&amp;Labels!B98</f>
        <v xml:space="preserve">      Gross Margin</v>
      </c>
      <c r="B115" s="226">
        <f>SUM('GM CostSvcs'!B222,'GM CostSvcs'!B232)</f>
        <v>0</v>
      </c>
      <c r="C115" s="226">
        <f>SUM('GM CostSvcs'!C222,'GM CostSvcs'!C232)</f>
        <v>0</v>
      </c>
      <c r="D115" s="226">
        <f>SUM('GM CostSvcs'!D222,'GM CostSvcs'!D232)</f>
        <v>55000</v>
      </c>
      <c r="E115" s="227">
        <f>SUM(B115:D115)</f>
        <v>55000</v>
      </c>
      <c r="F115" s="226">
        <f>SUM('GM CostSvcs'!F222,'GM CostSvcs'!F232)</f>
        <v>55000</v>
      </c>
      <c r="G115" s="226">
        <f>SUM('GM CostSvcs'!G222,'GM CostSvcs'!G232)</f>
        <v>0</v>
      </c>
      <c r="H115" s="226">
        <f>SUM('GM CostSvcs'!H222,'GM CostSvcs'!H232)</f>
        <v>40000</v>
      </c>
      <c r="I115" s="227">
        <f>SUM(F115:H115)</f>
        <v>95000</v>
      </c>
      <c r="J115" s="226">
        <f>SUM('GM CostSvcs'!J222,'GM CostSvcs'!J232)</f>
        <v>40000</v>
      </c>
      <c r="K115" s="226">
        <f>SUM('GM CostSvcs'!K222,'GM CostSvcs'!K232)</f>
        <v>32917.352010716793</v>
      </c>
      <c r="L115" s="226">
        <f>SUM('GM CostSvcs'!L222,'GM CostSvcs'!L232)</f>
        <v>0</v>
      </c>
      <c r="M115" s="227">
        <f>SUM(J115:L115)</f>
        <v>72917.352010716801</v>
      </c>
      <c r="N115" s="226">
        <f>SUM('GM CostSvcs'!N222,'GM CostSvcs'!N232)</f>
        <v>0</v>
      </c>
      <c r="O115" s="226">
        <f>SUM('GM CostSvcs'!O222,'GM CostSvcs'!O232)</f>
        <v>0</v>
      </c>
      <c r="P115" s="226">
        <f>SUM('GM CostSvcs'!P222,'GM CostSvcs'!P232)</f>
        <v>0</v>
      </c>
      <c r="Q115" s="227">
        <f>SUM(N115:P115)</f>
        <v>0</v>
      </c>
      <c r="R115" s="226">
        <f>SUM('GM CostSvcs'!R222,'GM CostSvcs'!R232)</f>
        <v>0</v>
      </c>
      <c r="S115" s="226">
        <f>SUM('GM CostSvcs'!S222,'GM CostSvcs'!S232)</f>
        <v>0</v>
      </c>
      <c r="T115" s="226">
        <f>SUM('GM CostSvcs'!T222,'GM CostSvcs'!T232)</f>
        <v>0</v>
      </c>
      <c r="U115" s="227">
        <f>SUM(R115:T115)</f>
        <v>0</v>
      </c>
      <c r="V115" s="226">
        <f>SUM('GM CostSvcs'!V222,'GM CostSvcs'!V232)</f>
        <v>0</v>
      </c>
      <c r="W115" s="226">
        <f>SUM('GM CostSvcs'!W222,'GM CostSvcs'!W232)</f>
        <v>0</v>
      </c>
      <c r="X115" s="226">
        <f>SUM('GM CostSvcs'!X222,'GM CostSvcs'!X232)</f>
        <v>0</v>
      </c>
      <c r="Y115" s="227">
        <f>SUM(V115:X115)</f>
        <v>0</v>
      </c>
    </row>
    <row r="116" spans="1:25" ht="12.75" hidden="1" customHeight="1" outlineLevel="1" x14ac:dyDescent="0.2">
      <c r="A116" s="198" t="str">
        <f>"      "&amp;Labels!B100</f>
        <v xml:space="preserve">      Gross Margin %</v>
      </c>
      <c r="B116" s="233">
        <f>IF(B49=0,0,B115/B49)</f>
        <v>0</v>
      </c>
      <c r="C116" s="233">
        <f>IF(C49=0,0,C115/C49)</f>
        <v>0</v>
      </c>
      <c r="D116" s="233">
        <f>IF(D49=0,0,D115/D49)</f>
        <v>1</v>
      </c>
      <c r="E116" s="234">
        <f>IF(SUM(B49:D49)=0,0,SUM(B115:D115)/SUM(B49:D49))</f>
        <v>1</v>
      </c>
      <c r="F116" s="233">
        <f>IF(F49=0,0,F115/F49)</f>
        <v>1</v>
      </c>
      <c r="G116" s="233">
        <f>IF(G49=0,0,G115/G49)</f>
        <v>0</v>
      </c>
      <c r="H116" s="233">
        <f>IF(H49=0,0,H115/H49)</f>
        <v>1</v>
      </c>
      <c r="I116" s="234">
        <f>IF(SUM(F49:H49)=0,0,SUM(F115:H115)/SUM(F49:H49))</f>
        <v>1</v>
      </c>
      <c r="J116" s="233">
        <f>IF(J49=0,0,J115/J49)</f>
        <v>1</v>
      </c>
      <c r="K116" s="233">
        <f>IF(K49=0,0,K115/K49)</f>
        <v>0.82293380026791985</v>
      </c>
      <c r="L116" s="233">
        <f>IF(L49=0,0,L115/L49)</f>
        <v>0</v>
      </c>
      <c r="M116" s="234">
        <f>IF(SUM(J49:L49)=0,0,SUM(J115:L115)/SUM(J49:L49))</f>
        <v>0.91146690013396003</v>
      </c>
      <c r="N116" s="233">
        <f>IF(N49=0,0,N115/N49)</f>
        <v>0</v>
      </c>
      <c r="O116" s="233">
        <f>IF(O49=0,0,O115/O49)</f>
        <v>0</v>
      </c>
      <c r="P116" s="233">
        <f>IF(P49=0,0,P115/P49)</f>
        <v>0</v>
      </c>
      <c r="Q116" s="234">
        <f>IF(SUM(N49:P49)=0,0,SUM(N115:P115)/SUM(N49:P49))</f>
        <v>0</v>
      </c>
      <c r="R116" s="233">
        <f>IF(R49=0,0,R115/R49)</f>
        <v>0</v>
      </c>
      <c r="S116" s="233">
        <f>IF(S49=0,0,S115/S49)</f>
        <v>0</v>
      </c>
      <c r="T116" s="233">
        <f>IF(T49=0,0,T115/T49)</f>
        <v>0</v>
      </c>
      <c r="U116" s="234">
        <f>IF(SUM(R49:T49)=0,0,SUM(R115:T115)/SUM(R49:T49))</f>
        <v>0</v>
      </c>
      <c r="V116" s="233">
        <f>IF(V49=0,0,V115/V49)</f>
        <v>0</v>
      </c>
      <c r="W116" s="233">
        <f>IF(W49=0,0,W115/W49)</f>
        <v>0</v>
      </c>
      <c r="X116" s="233">
        <f>IF(X49=0,0,X115/X49)</f>
        <v>0</v>
      </c>
      <c r="Y116" s="234">
        <f>IF(SUM(V49:X49)=0,0,SUM(V115:X115)/SUM(V49:X49))</f>
        <v>0</v>
      </c>
    </row>
    <row r="117" spans="1:25" ht="12.75" hidden="1" customHeight="1" outlineLevel="1" x14ac:dyDescent="0.2">
      <c r="A117" s="191" t="str">
        <f>"   "&amp;Labels!C316</f>
        <v xml:space="preserve">   Total</v>
      </c>
      <c r="B117" s="3"/>
      <c r="C117" s="3"/>
      <c r="D117" s="3"/>
      <c r="E117" s="191"/>
      <c r="F117" s="3"/>
      <c r="G117" s="3"/>
      <c r="H117" s="3"/>
      <c r="I117" s="191"/>
      <c r="J117" s="3"/>
      <c r="K117" s="3"/>
      <c r="L117" s="3"/>
      <c r="M117" s="191"/>
      <c r="N117" s="3"/>
      <c r="O117" s="3"/>
      <c r="P117" s="3"/>
      <c r="Q117" s="191"/>
      <c r="R117" s="3"/>
      <c r="S117" s="3"/>
      <c r="T117" s="3"/>
      <c r="U117" s="191"/>
      <c r="V117" s="3"/>
      <c r="W117" s="3"/>
      <c r="X117" s="3"/>
      <c r="Y117" s="191"/>
    </row>
    <row r="118" spans="1:25" ht="12.75" hidden="1" customHeight="1" outlineLevel="1" x14ac:dyDescent="0.2">
      <c r="A118" s="198" t="str">
        <f>"      "&amp;Labels!B98</f>
        <v xml:space="preserve">      Gross Margin</v>
      </c>
      <c r="B118" s="226">
        <f>SUM(B262,B265)</f>
        <v>0</v>
      </c>
      <c r="C118" s="226">
        <f>SUM(C262,C265)</f>
        <v>0</v>
      </c>
      <c r="D118" s="226">
        <f>SUM(D262,D265)</f>
        <v>110000</v>
      </c>
      <c r="E118" s="227">
        <f>SUM(B118:D118)</f>
        <v>110000</v>
      </c>
      <c r="F118" s="226">
        <f>SUM(F262,F265)</f>
        <v>110000</v>
      </c>
      <c r="G118" s="226">
        <f>SUM(G262,G265)</f>
        <v>0</v>
      </c>
      <c r="H118" s="226">
        <f>SUM(H262,H265)</f>
        <v>80000</v>
      </c>
      <c r="I118" s="227">
        <f>SUM(F118:H118)</f>
        <v>190000</v>
      </c>
      <c r="J118" s="226">
        <f>SUM(J262,J265)</f>
        <v>51739.107028939994</v>
      </c>
      <c r="K118" s="226">
        <f>SUM(K262,K265)</f>
        <v>37504.112064300745</v>
      </c>
      <c r="L118" s="226">
        <f>SUM(L262,L265)</f>
        <v>0</v>
      </c>
      <c r="M118" s="227">
        <f>SUM(J118:L118)</f>
        <v>89243.219093240739</v>
      </c>
      <c r="N118" s="226">
        <f>SUM(N262,N265)</f>
        <v>0</v>
      </c>
      <c r="O118" s="226">
        <f>SUM(O262,O265)</f>
        <v>0</v>
      </c>
      <c r="P118" s="226">
        <f>SUM(P262,P265)</f>
        <v>0</v>
      </c>
      <c r="Q118" s="227">
        <f>SUM(N118:P118)</f>
        <v>0</v>
      </c>
      <c r="R118" s="226">
        <f>SUM(R262,R265)</f>
        <v>0</v>
      </c>
      <c r="S118" s="226">
        <f>SUM(S262,S265)</f>
        <v>0</v>
      </c>
      <c r="T118" s="226">
        <f>SUM(T262,T265)</f>
        <v>0</v>
      </c>
      <c r="U118" s="227">
        <f>SUM(R118:T118)</f>
        <v>0</v>
      </c>
      <c r="V118" s="226">
        <f>SUM(V262,V265)</f>
        <v>0</v>
      </c>
      <c r="W118" s="226">
        <f>SUM(W262,W265)</f>
        <v>0</v>
      </c>
      <c r="X118" s="226">
        <f>SUM(X262,X265)</f>
        <v>0</v>
      </c>
      <c r="Y118" s="227">
        <f>SUM(V118:X118)</f>
        <v>0</v>
      </c>
    </row>
    <row r="119" spans="1:25" ht="12.75" hidden="1" customHeight="1" outlineLevel="1" x14ac:dyDescent="0.2">
      <c r="A119" s="198" t="str">
        <f>"      "&amp;Labels!B100</f>
        <v xml:space="preserve">      Gross Margin %</v>
      </c>
      <c r="B119" s="233">
        <f>IF(B9=0,0,B118/B9)</f>
        <v>0</v>
      </c>
      <c r="C119" s="233">
        <f>IF(C9=0,0,C118/C9)</f>
        <v>0</v>
      </c>
      <c r="D119" s="233">
        <f>IF(D9=0,0,D118/D9)</f>
        <v>0.97560975609756095</v>
      </c>
      <c r="E119" s="234">
        <f>IF(SUM(B9:D9)=0,0,SUM(B118:D118)/SUM(B9:D9))</f>
        <v>0.97560975609756095</v>
      </c>
      <c r="F119" s="233">
        <f>IF(F9=0,0,F118/F9)</f>
        <v>0.97560975609756095</v>
      </c>
      <c r="G119" s="233">
        <f>IF(G9=0,0,G118/G9)</f>
        <v>0</v>
      </c>
      <c r="H119" s="233">
        <f>IF(H9=0,0,H118/H9)</f>
        <v>0.97560975609756095</v>
      </c>
      <c r="I119" s="234">
        <f>IF(SUM(F9:H9)=0,0,SUM(F118:H118)/SUM(F9:H9))</f>
        <v>0.97560975609756095</v>
      </c>
      <c r="J119" s="233">
        <f>IF(J9=0,0,J118/J9)</f>
        <v>0.63096471986512193</v>
      </c>
      <c r="K119" s="233">
        <f>IF(K9=0,0,K118/K9)</f>
        <v>0.45736722029635057</v>
      </c>
      <c r="L119" s="233">
        <f>IF(L9=0,0,L118/L9)</f>
        <v>0</v>
      </c>
      <c r="M119" s="234">
        <f>IF(SUM(J9:L9)=0,0,SUM(J118:L118)/SUM(J9:L9))</f>
        <v>0.54416597008073619</v>
      </c>
      <c r="N119" s="233">
        <f>IF(N9=0,0,N118/N9)</f>
        <v>0</v>
      </c>
      <c r="O119" s="233">
        <f>IF(O9=0,0,O118/O9)</f>
        <v>0</v>
      </c>
      <c r="P119" s="233">
        <f>IF(P9=0,0,P118/P9)</f>
        <v>0</v>
      </c>
      <c r="Q119" s="234">
        <f>IF(SUM(N9:P9)=0,0,SUM(N118:P118)/SUM(N9:P9))</f>
        <v>0</v>
      </c>
      <c r="R119" s="233">
        <f>IF(R9=0,0,R118/R9)</f>
        <v>0</v>
      </c>
      <c r="S119" s="233">
        <f>IF(S9=0,0,S118/S9)</f>
        <v>0</v>
      </c>
      <c r="T119" s="233">
        <f>IF(T9=0,0,T118/T9)</f>
        <v>0</v>
      </c>
      <c r="U119" s="234">
        <f>IF(SUM(R9:T9)=0,0,SUM(R118:T118)/SUM(R9:T9))</f>
        <v>0</v>
      </c>
      <c r="V119" s="233">
        <f>IF(V9=0,0,V118/V9)</f>
        <v>0</v>
      </c>
      <c r="W119" s="233">
        <f>IF(W9=0,0,W118/W9)</f>
        <v>0</v>
      </c>
      <c r="X119" s="233">
        <f>IF(X9=0,0,X118/X9)</f>
        <v>0</v>
      </c>
      <c r="Y119" s="234">
        <f>IF(SUM(V9:X9)=0,0,SUM(V118:X118)/SUM(V9:X9))</f>
        <v>0</v>
      </c>
    </row>
    <row r="120" spans="1:25" ht="12.75" hidden="1" customHeight="1" outlineLevel="1" x14ac:dyDescent="0.2">
      <c r="A120" s="191" t="str">
        <f>Labels!B382</f>
        <v>Practice 2</v>
      </c>
      <c r="B120" s="3"/>
      <c r="C120" s="3"/>
      <c r="D120" s="3"/>
      <c r="E120" s="191"/>
      <c r="F120" s="3"/>
      <c r="G120" s="3"/>
      <c r="H120" s="3"/>
      <c r="I120" s="191"/>
      <c r="J120" s="3"/>
      <c r="K120" s="3"/>
      <c r="L120" s="3"/>
      <c r="M120" s="191"/>
      <c r="N120" s="3"/>
      <c r="O120" s="3"/>
      <c r="P120" s="3"/>
      <c r="Q120" s="191"/>
      <c r="R120" s="3"/>
      <c r="S120" s="3"/>
      <c r="T120" s="3"/>
      <c r="U120" s="191"/>
      <c r="V120" s="3"/>
      <c r="W120" s="3"/>
      <c r="X120" s="3"/>
      <c r="Y120" s="191"/>
    </row>
    <row r="121" spans="1:25" ht="12.75" hidden="1" customHeight="1" outlineLevel="1" x14ac:dyDescent="0.2">
      <c r="A121" s="188" t="str">
        <f>"   "&amp;Labels!B317</f>
        <v xml:space="preserve">   Channels 1</v>
      </c>
      <c r="B121" s="31"/>
      <c r="C121" s="31"/>
      <c r="D121" s="31"/>
      <c r="E121" s="188"/>
      <c r="F121" s="31"/>
      <c r="G121" s="31"/>
      <c r="H121" s="31"/>
      <c r="I121" s="188"/>
      <c r="J121" s="31"/>
      <c r="K121" s="31"/>
      <c r="L121" s="31"/>
      <c r="M121" s="188"/>
      <c r="N121" s="31"/>
      <c r="O121" s="31"/>
      <c r="P121" s="31"/>
      <c r="Q121" s="188"/>
      <c r="R121" s="31"/>
      <c r="S121" s="31"/>
      <c r="T121" s="31"/>
      <c r="U121" s="188"/>
      <c r="V121" s="31"/>
      <c r="W121" s="31"/>
      <c r="X121" s="31"/>
      <c r="Y121" s="188"/>
    </row>
    <row r="122" spans="1:25" ht="12.75" hidden="1" customHeight="1" outlineLevel="1" x14ac:dyDescent="0.2">
      <c r="A122" s="198" t="str">
        <f>"      "&amp;Labels!B98</f>
        <v xml:space="preserve">      Gross Margin</v>
      </c>
      <c r="B122" s="226">
        <f>SUM('GM CostSvcs'!B250,'GM CostSvcs'!B260)</f>
        <v>0</v>
      </c>
      <c r="C122" s="226">
        <f>SUM('GM CostSvcs'!C250,'GM CostSvcs'!C260)</f>
        <v>0</v>
      </c>
      <c r="D122" s="226">
        <f>SUM('GM CostSvcs'!D250,'GM CostSvcs'!D260)</f>
        <v>0</v>
      </c>
      <c r="E122" s="227">
        <f>SUM(B122:D122)</f>
        <v>0</v>
      </c>
      <c r="F122" s="226">
        <f>SUM('GM CostSvcs'!F250,'GM CostSvcs'!F260)</f>
        <v>0</v>
      </c>
      <c r="G122" s="226">
        <f>SUM('GM CostSvcs'!G250,'GM CostSvcs'!G260)</f>
        <v>0</v>
      </c>
      <c r="H122" s="226">
        <f>SUM('GM CostSvcs'!H250,'GM CostSvcs'!H260)</f>
        <v>0</v>
      </c>
      <c r="I122" s="227">
        <f>SUM(F122:H122)</f>
        <v>0</v>
      </c>
      <c r="J122" s="226">
        <f>SUM('GM CostSvcs'!J250,'GM CostSvcs'!J260)</f>
        <v>0</v>
      </c>
      <c r="K122" s="226">
        <f>SUM('GM CostSvcs'!K250,'GM CostSvcs'!K260)</f>
        <v>0</v>
      </c>
      <c r="L122" s="226">
        <f>SUM('GM CostSvcs'!L250,'GM CostSvcs'!L260)</f>
        <v>0</v>
      </c>
      <c r="M122" s="227">
        <f>SUM(J122:L122)</f>
        <v>0</v>
      </c>
      <c r="N122" s="226">
        <f>SUM('GM CostSvcs'!N250,'GM CostSvcs'!N260)</f>
        <v>0</v>
      </c>
      <c r="O122" s="226">
        <f>SUM('GM CostSvcs'!O250,'GM CostSvcs'!O260)</f>
        <v>0</v>
      </c>
      <c r="P122" s="226">
        <f>SUM('GM CostSvcs'!P250,'GM CostSvcs'!P260)</f>
        <v>0</v>
      </c>
      <c r="Q122" s="227">
        <f>SUM(N122:P122)</f>
        <v>0</v>
      </c>
      <c r="R122" s="226">
        <f>SUM('GM CostSvcs'!R250,'GM CostSvcs'!R260)</f>
        <v>0</v>
      </c>
      <c r="S122" s="226">
        <f>SUM('GM CostSvcs'!S250,'GM CostSvcs'!S260)</f>
        <v>0</v>
      </c>
      <c r="T122" s="226">
        <f>SUM('GM CostSvcs'!T250,'GM CostSvcs'!T260)</f>
        <v>0</v>
      </c>
      <c r="U122" s="227">
        <f>SUM(R122:T122)</f>
        <v>0</v>
      </c>
      <c r="V122" s="226">
        <f>SUM('GM CostSvcs'!V250,'GM CostSvcs'!V260)</f>
        <v>0</v>
      </c>
      <c r="W122" s="226">
        <f>SUM('GM CostSvcs'!W250,'GM CostSvcs'!W260)</f>
        <v>0</v>
      </c>
      <c r="X122" s="226">
        <f>SUM('GM CostSvcs'!X250,'GM CostSvcs'!X260)</f>
        <v>0</v>
      </c>
      <c r="Y122" s="227">
        <f>SUM(V122:X122)</f>
        <v>0</v>
      </c>
    </row>
    <row r="123" spans="1:25" ht="12.75" hidden="1" customHeight="1" outlineLevel="1" x14ac:dyDescent="0.2">
      <c r="A123" s="198" t="str">
        <f>"      "&amp;Labels!B100</f>
        <v xml:space="preserve">      Gross Margin %</v>
      </c>
      <c r="B123" s="233">
        <f>IF(B52=0,0,B122/B52)</f>
        <v>0</v>
      </c>
      <c r="C123" s="233">
        <f>IF(C52=0,0,C122/C52)</f>
        <v>0</v>
      </c>
      <c r="D123" s="233">
        <f>IF(D52=0,0,D122/D52)</f>
        <v>0</v>
      </c>
      <c r="E123" s="234">
        <f>IF(SUM(B52:D52)=0,0,SUM(B122:D122)/SUM(B52:D52))</f>
        <v>0</v>
      </c>
      <c r="F123" s="233">
        <f>IF(F52=0,0,F122/F52)</f>
        <v>0</v>
      </c>
      <c r="G123" s="233">
        <f>IF(G52=0,0,G122/G52)</f>
        <v>0</v>
      </c>
      <c r="H123" s="233">
        <f>IF(H52=0,0,H122/H52)</f>
        <v>0</v>
      </c>
      <c r="I123" s="234">
        <f>IF(SUM(F52:H52)=0,0,SUM(F122:H122)/SUM(F52:H52))</f>
        <v>0</v>
      </c>
      <c r="J123" s="233">
        <f>IF(J52=0,0,J122/J52)</f>
        <v>0</v>
      </c>
      <c r="K123" s="233">
        <f>IF(K52=0,0,K122/K52)</f>
        <v>0</v>
      </c>
      <c r="L123" s="233">
        <f>IF(L52=0,0,L122/L52)</f>
        <v>0</v>
      </c>
      <c r="M123" s="234">
        <f>IF(SUM(J52:L52)=0,0,SUM(J122:L122)/SUM(J52:L52))</f>
        <v>0</v>
      </c>
      <c r="N123" s="233">
        <f>IF(N52=0,0,N122/N52)</f>
        <v>0</v>
      </c>
      <c r="O123" s="233">
        <f>IF(O52=0,0,O122/O52)</f>
        <v>0</v>
      </c>
      <c r="P123" s="233">
        <f>IF(P52=0,0,P122/P52)</f>
        <v>0</v>
      </c>
      <c r="Q123" s="234">
        <f>IF(SUM(N52:P52)=0,0,SUM(N122:P122)/SUM(N52:P52))</f>
        <v>0</v>
      </c>
      <c r="R123" s="233">
        <f>IF(R52=0,0,R122/R52)</f>
        <v>0</v>
      </c>
      <c r="S123" s="233">
        <f>IF(S52=0,0,S122/S52)</f>
        <v>0</v>
      </c>
      <c r="T123" s="233">
        <f>IF(T52=0,0,T122/T52)</f>
        <v>0</v>
      </c>
      <c r="U123" s="234">
        <f>IF(SUM(R52:T52)=0,0,SUM(R122:T122)/SUM(R52:T52))</f>
        <v>0</v>
      </c>
      <c r="V123" s="233">
        <f>IF(V52=0,0,V122/V52)</f>
        <v>0</v>
      </c>
      <c r="W123" s="233">
        <f>IF(W52=0,0,W122/W52)</f>
        <v>0</v>
      </c>
      <c r="X123" s="233">
        <f>IF(X52=0,0,X122/X52)</f>
        <v>0</v>
      </c>
      <c r="Y123" s="234">
        <f>IF(SUM(V52:X52)=0,0,SUM(V122:X122)/SUM(V52:X52))</f>
        <v>0</v>
      </c>
    </row>
    <row r="124" spans="1:25" ht="12.75" hidden="1" customHeight="1" outlineLevel="1" x14ac:dyDescent="0.2">
      <c r="A124" s="188" t="str">
        <f>"   "&amp;Labels!B318</f>
        <v xml:space="preserve">   Channels 2</v>
      </c>
      <c r="B124" s="31"/>
      <c r="C124" s="31"/>
      <c r="D124" s="31"/>
      <c r="E124" s="188"/>
      <c r="F124" s="31"/>
      <c r="G124" s="31"/>
      <c r="H124" s="31"/>
      <c r="I124" s="188"/>
      <c r="J124" s="31"/>
      <c r="K124" s="31"/>
      <c r="L124" s="31"/>
      <c r="M124" s="188"/>
      <c r="N124" s="31"/>
      <c r="O124" s="31"/>
      <c r="P124" s="31"/>
      <c r="Q124" s="188"/>
      <c r="R124" s="31"/>
      <c r="S124" s="31"/>
      <c r="T124" s="31"/>
      <c r="U124" s="188"/>
      <c r="V124" s="31"/>
      <c r="W124" s="31"/>
      <c r="X124" s="31"/>
      <c r="Y124" s="188"/>
    </row>
    <row r="125" spans="1:25" ht="12.75" hidden="1" customHeight="1" outlineLevel="1" x14ac:dyDescent="0.2">
      <c r="A125" s="198" t="str">
        <f>"      "&amp;Labels!B98</f>
        <v xml:space="preserve">      Gross Margin</v>
      </c>
      <c r="B125" s="226">
        <f>SUM('GM CostSvcs'!B253,'GM CostSvcs'!B263)</f>
        <v>0</v>
      </c>
      <c r="C125" s="226">
        <f>SUM('GM CostSvcs'!C253,'GM CostSvcs'!C263)</f>
        <v>0</v>
      </c>
      <c r="D125" s="226">
        <f>SUM('GM CostSvcs'!D253,'GM CostSvcs'!D263)</f>
        <v>0</v>
      </c>
      <c r="E125" s="227">
        <f>SUM(B125:D125)</f>
        <v>0</v>
      </c>
      <c r="F125" s="226">
        <f>SUM('GM CostSvcs'!F253,'GM CostSvcs'!F263)</f>
        <v>0</v>
      </c>
      <c r="G125" s="226">
        <f>SUM('GM CostSvcs'!G253,'GM CostSvcs'!G263)</f>
        <v>0</v>
      </c>
      <c r="H125" s="226">
        <f>SUM('GM CostSvcs'!H253,'GM CostSvcs'!H263)</f>
        <v>0</v>
      </c>
      <c r="I125" s="227">
        <f>SUM(F125:H125)</f>
        <v>0</v>
      </c>
      <c r="J125" s="226">
        <f>SUM('GM CostSvcs'!J253,'GM CostSvcs'!J263)</f>
        <v>0</v>
      </c>
      <c r="K125" s="226">
        <f>SUM('GM CostSvcs'!K253,'GM CostSvcs'!K263)</f>
        <v>0</v>
      </c>
      <c r="L125" s="226">
        <f>SUM('GM CostSvcs'!L253,'GM CostSvcs'!L263)</f>
        <v>0</v>
      </c>
      <c r="M125" s="227">
        <f>SUM(J125:L125)</f>
        <v>0</v>
      </c>
      <c r="N125" s="226">
        <f>SUM('GM CostSvcs'!N253,'GM CostSvcs'!N263)</f>
        <v>0</v>
      </c>
      <c r="O125" s="226">
        <f>SUM('GM CostSvcs'!O253,'GM CostSvcs'!O263)</f>
        <v>0</v>
      </c>
      <c r="P125" s="226">
        <f>SUM('GM CostSvcs'!P253,'GM CostSvcs'!P263)</f>
        <v>0</v>
      </c>
      <c r="Q125" s="227">
        <f>SUM(N125:P125)</f>
        <v>0</v>
      </c>
      <c r="R125" s="226">
        <f>SUM('GM CostSvcs'!R253,'GM CostSvcs'!R263)</f>
        <v>0</v>
      </c>
      <c r="S125" s="226">
        <f>SUM('GM CostSvcs'!S253,'GM CostSvcs'!S263)</f>
        <v>0</v>
      </c>
      <c r="T125" s="226">
        <f>SUM('GM CostSvcs'!T253,'GM CostSvcs'!T263)</f>
        <v>0</v>
      </c>
      <c r="U125" s="227">
        <f>SUM(R125:T125)</f>
        <v>0</v>
      </c>
      <c r="V125" s="226">
        <f>SUM('GM CostSvcs'!V253,'GM CostSvcs'!V263)</f>
        <v>0</v>
      </c>
      <c r="W125" s="226">
        <f>SUM('GM CostSvcs'!W253,'GM CostSvcs'!W263)</f>
        <v>0</v>
      </c>
      <c r="X125" s="226">
        <f>SUM('GM CostSvcs'!X253,'GM CostSvcs'!X263)</f>
        <v>0</v>
      </c>
      <c r="Y125" s="227">
        <f>SUM(V125:X125)</f>
        <v>0</v>
      </c>
    </row>
    <row r="126" spans="1:25" ht="12.75" hidden="1" customHeight="1" outlineLevel="1" x14ac:dyDescent="0.2">
      <c r="A126" s="198" t="str">
        <f>"      "&amp;Labels!B100</f>
        <v xml:space="preserve">      Gross Margin %</v>
      </c>
      <c r="B126" s="233">
        <f>IF(B53=0,0,B125/B53)</f>
        <v>0</v>
      </c>
      <c r="C126" s="233">
        <f>IF(C53=0,0,C125/C53)</f>
        <v>0</v>
      </c>
      <c r="D126" s="233">
        <f>IF(D53=0,0,D125/D53)</f>
        <v>0</v>
      </c>
      <c r="E126" s="234">
        <f>IF(SUM(B53:D53)=0,0,SUM(B125:D125)/SUM(B53:D53))</f>
        <v>0</v>
      </c>
      <c r="F126" s="233">
        <f>IF(F53=0,0,F125/F53)</f>
        <v>0</v>
      </c>
      <c r="G126" s="233">
        <f>IF(G53=0,0,G125/G53)</f>
        <v>0</v>
      </c>
      <c r="H126" s="233">
        <f>IF(H53=0,0,H125/H53)</f>
        <v>0</v>
      </c>
      <c r="I126" s="234">
        <f>IF(SUM(F53:H53)=0,0,SUM(F125:H125)/SUM(F53:H53))</f>
        <v>0</v>
      </c>
      <c r="J126" s="233">
        <f>IF(J53=0,0,J125/J53)</f>
        <v>0</v>
      </c>
      <c r="K126" s="233">
        <f>IF(K53=0,0,K125/K53)</f>
        <v>0</v>
      </c>
      <c r="L126" s="233">
        <f>IF(L53=0,0,L125/L53)</f>
        <v>0</v>
      </c>
      <c r="M126" s="234">
        <f>IF(SUM(J53:L53)=0,0,SUM(J125:L125)/SUM(J53:L53))</f>
        <v>0</v>
      </c>
      <c r="N126" s="233">
        <f>IF(N53=0,0,N125/N53)</f>
        <v>0</v>
      </c>
      <c r="O126" s="233">
        <f>IF(O53=0,0,O125/O53)</f>
        <v>0</v>
      </c>
      <c r="P126" s="233">
        <f>IF(P53=0,0,P125/P53)</f>
        <v>0</v>
      </c>
      <c r="Q126" s="234">
        <f>IF(SUM(N53:P53)=0,0,SUM(N125:P125)/SUM(N53:P53))</f>
        <v>0</v>
      </c>
      <c r="R126" s="233">
        <f>IF(R53=0,0,R125/R53)</f>
        <v>0</v>
      </c>
      <c r="S126" s="233">
        <f>IF(S53=0,0,S125/S53)</f>
        <v>0</v>
      </c>
      <c r="T126" s="233">
        <f>IF(T53=0,0,T125/T53)</f>
        <v>0</v>
      </c>
      <c r="U126" s="234">
        <f>IF(SUM(R53:T53)=0,0,SUM(R125:T125)/SUM(R53:T53))</f>
        <v>0</v>
      </c>
      <c r="V126" s="233">
        <f>IF(V53=0,0,V125/V53)</f>
        <v>0</v>
      </c>
      <c r="W126" s="233">
        <f>IF(W53=0,0,W125/W53)</f>
        <v>0</v>
      </c>
      <c r="X126" s="233">
        <f>IF(X53=0,0,X125/X53)</f>
        <v>0</v>
      </c>
      <c r="Y126" s="234">
        <f>IF(SUM(V53:X53)=0,0,SUM(V125:X125)/SUM(V53:X53))</f>
        <v>0</v>
      </c>
    </row>
    <row r="127" spans="1:25" ht="12.75" hidden="1" customHeight="1" outlineLevel="1" x14ac:dyDescent="0.2">
      <c r="A127" s="191" t="str">
        <f>"   "&amp;Labels!C316</f>
        <v xml:space="preserve">   Total</v>
      </c>
      <c r="B127" s="3"/>
      <c r="C127" s="3"/>
      <c r="D127" s="3"/>
      <c r="E127" s="191"/>
      <c r="F127" s="3"/>
      <c r="G127" s="3"/>
      <c r="H127" s="3"/>
      <c r="I127" s="191"/>
      <c r="J127" s="3"/>
      <c r="K127" s="3"/>
      <c r="L127" s="3"/>
      <c r="M127" s="191"/>
      <c r="N127" s="3"/>
      <c r="O127" s="3"/>
      <c r="P127" s="3"/>
      <c r="Q127" s="191"/>
      <c r="R127" s="3"/>
      <c r="S127" s="3"/>
      <c r="T127" s="3"/>
      <c r="U127" s="191"/>
      <c r="V127" s="3"/>
      <c r="W127" s="3"/>
      <c r="X127" s="3"/>
      <c r="Y127" s="191"/>
    </row>
    <row r="128" spans="1:25" ht="12.75" hidden="1" customHeight="1" outlineLevel="1" x14ac:dyDescent="0.2">
      <c r="A128" s="198" t="str">
        <f>"      "&amp;Labels!B98</f>
        <v xml:space="preserve">      Gross Margin</v>
      </c>
      <c r="B128" s="226">
        <f>SUM(B272,B275)</f>
        <v>0</v>
      </c>
      <c r="C128" s="226">
        <f>SUM(C272,C275)</f>
        <v>0</v>
      </c>
      <c r="D128" s="226">
        <f>SUM(D272,D275)</f>
        <v>0</v>
      </c>
      <c r="E128" s="227">
        <f>SUM(B128:D128)</f>
        <v>0</v>
      </c>
      <c r="F128" s="226">
        <f>SUM(F272,F275)</f>
        <v>0</v>
      </c>
      <c r="G128" s="226">
        <f>SUM(G272,G275)</f>
        <v>0</v>
      </c>
      <c r="H128" s="226">
        <f>SUM(H272,H275)</f>
        <v>0</v>
      </c>
      <c r="I128" s="227">
        <f>SUM(F128:H128)</f>
        <v>0</v>
      </c>
      <c r="J128" s="226">
        <f>SUM(J272,J275)</f>
        <v>0</v>
      </c>
      <c r="K128" s="226">
        <f>SUM(K272,K275)</f>
        <v>0</v>
      </c>
      <c r="L128" s="226">
        <f>SUM(L272,L275)</f>
        <v>0</v>
      </c>
      <c r="M128" s="227">
        <f>SUM(J128:L128)</f>
        <v>0</v>
      </c>
      <c r="N128" s="226">
        <f>SUM(N272,N275)</f>
        <v>0</v>
      </c>
      <c r="O128" s="226">
        <f>SUM(O272,O275)</f>
        <v>0</v>
      </c>
      <c r="P128" s="226">
        <f>SUM(P272,P275)</f>
        <v>0</v>
      </c>
      <c r="Q128" s="227">
        <f>SUM(N128:P128)</f>
        <v>0</v>
      </c>
      <c r="R128" s="226">
        <f>SUM(R272,R275)</f>
        <v>0</v>
      </c>
      <c r="S128" s="226">
        <f>SUM(S272,S275)</f>
        <v>0</v>
      </c>
      <c r="T128" s="226">
        <f>SUM(T272,T275)</f>
        <v>0</v>
      </c>
      <c r="U128" s="227">
        <f>SUM(R128:T128)</f>
        <v>0</v>
      </c>
      <c r="V128" s="226">
        <f>SUM(V272,V275)</f>
        <v>0</v>
      </c>
      <c r="W128" s="226">
        <f>SUM(W272,W275)</f>
        <v>0</v>
      </c>
      <c r="X128" s="226">
        <f>SUM(X272,X275)</f>
        <v>0</v>
      </c>
      <c r="Y128" s="227">
        <f>SUM(V128:X128)</f>
        <v>0</v>
      </c>
    </row>
    <row r="129" spans="1:25" ht="12.75" hidden="1" customHeight="1" outlineLevel="1" x14ac:dyDescent="0.2">
      <c r="A129" s="198" t="str">
        <f>"      "&amp;Labels!B100</f>
        <v xml:space="preserve">      Gross Margin %</v>
      </c>
      <c r="B129" s="233">
        <f>IF(B10=0,0,B128/B10)</f>
        <v>0</v>
      </c>
      <c r="C129" s="233">
        <f>IF(C10=0,0,C128/C10)</f>
        <v>0</v>
      </c>
      <c r="D129" s="233">
        <f>IF(D10=0,0,D128/D10)</f>
        <v>0</v>
      </c>
      <c r="E129" s="234">
        <f>IF(SUM(B10:D10)=0,0,SUM(B128:D128)/SUM(B10:D10))</f>
        <v>0</v>
      </c>
      <c r="F129" s="233">
        <f>IF(F10=0,0,F128/F10)</f>
        <v>0</v>
      </c>
      <c r="G129" s="233">
        <f>IF(G10=0,0,G128/G10)</f>
        <v>0</v>
      </c>
      <c r="H129" s="233">
        <f>IF(H10=0,0,H128/H10)</f>
        <v>0</v>
      </c>
      <c r="I129" s="234">
        <f>IF(SUM(F10:H10)=0,0,SUM(F128:H128)/SUM(F10:H10))</f>
        <v>0</v>
      </c>
      <c r="J129" s="233">
        <f>IF(J10=0,0,J128/J10)</f>
        <v>0</v>
      </c>
      <c r="K129" s="233">
        <f>IF(K10=0,0,K128/K10)</f>
        <v>0</v>
      </c>
      <c r="L129" s="233">
        <f>IF(L10=0,0,L128/L10)</f>
        <v>0</v>
      </c>
      <c r="M129" s="234">
        <f>IF(SUM(J10:L10)=0,0,SUM(J128:L128)/SUM(J10:L10))</f>
        <v>0</v>
      </c>
      <c r="N129" s="233">
        <f>IF(N10=0,0,N128/N10)</f>
        <v>0</v>
      </c>
      <c r="O129" s="233">
        <f>IF(O10=0,0,O128/O10)</f>
        <v>0</v>
      </c>
      <c r="P129" s="233">
        <f>IF(P10=0,0,P128/P10)</f>
        <v>0</v>
      </c>
      <c r="Q129" s="234">
        <f>IF(SUM(N10:P10)=0,0,SUM(N128:P128)/SUM(N10:P10))</f>
        <v>0</v>
      </c>
      <c r="R129" s="233">
        <f>IF(R10=0,0,R128/R10)</f>
        <v>0</v>
      </c>
      <c r="S129" s="233">
        <f>IF(S10=0,0,S128/S10)</f>
        <v>0</v>
      </c>
      <c r="T129" s="233">
        <f>IF(T10=0,0,T128/T10)</f>
        <v>0</v>
      </c>
      <c r="U129" s="234">
        <f>IF(SUM(R10:T10)=0,0,SUM(R128:T128)/SUM(R10:T10))</f>
        <v>0</v>
      </c>
      <c r="V129" s="233">
        <f>IF(V10=0,0,V128/V10)</f>
        <v>0</v>
      </c>
      <c r="W129" s="233">
        <f>IF(W10=0,0,W128/W10)</f>
        <v>0</v>
      </c>
      <c r="X129" s="233">
        <f>IF(X10=0,0,X128/X10)</f>
        <v>0</v>
      </c>
      <c r="Y129" s="234">
        <f>IF(SUM(V10:X10)=0,0,SUM(V128:X128)/SUM(V10:X10))</f>
        <v>0</v>
      </c>
    </row>
    <row r="130" spans="1:25" ht="12.75" hidden="1" customHeight="1" outlineLevel="1" x14ac:dyDescent="0.2">
      <c r="A130" s="97" t="str">
        <f>Labels!C380</f>
        <v>Total</v>
      </c>
      <c r="B130" s="6"/>
      <c r="C130" s="6"/>
      <c r="D130" s="6"/>
      <c r="E130" s="97"/>
      <c r="F130" s="6"/>
      <c r="G130" s="6"/>
      <c r="H130" s="6"/>
      <c r="I130" s="97"/>
      <c r="J130" s="6"/>
      <c r="K130" s="6"/>
      <c r="L130" s="6"/>
      <c r="M130" s="97"/>
      <c r="N130" s="6"/>
      <c r="O130" s="6"/>
      <c r="P130" s="6"/>
      <c r="Q130" s="97"/>
      <c r="R130" s="6"/>
      <c r="S130" s="6"/>
      <c r="T130" s="6"/>
      <c r="U130" s="97"/>
      <c r="V130" s="6"/>
      <c r="W130" s="6"/>
      <c r="X130" s="6"/>
      <c r="Y130" s="97"/>
    </row>
    <row r="131" spans="1:25" ht="12.75" hidden="1" customHeight="1" outlineLevel="1" x14ac:dyDescent="0.2">
      <c r="A131" s="188" t="str">
        <f>"   "&amp;Labels!B317</f>
        <v xml:space="preserve">   Channels 1</v>
      </c>
      <c r="B131" s="31"/>
      <c r="C131" s="31"/>
      <c r="D131" s="31"/>
      <c r="E131" s="188"/>
      <c r="F131" s="31"/>
      <c r="G131" s="31"/>
      <c r="H131" s="31"/>
      <c r="I131" s="188"/>
      <c r="J131" s="31"/>
      <c r="K131" s="31"/>
      <c r="L131" s="31"/>
      <c r="M131" s="188"/>
      <c r="N131" s="31"/>
      <c r="O131" s="31"/>
      <c r="P131" s="31"/>
      <c r="Q131" s="188"/>
      <c r="R131" s="31"/>
      <c r="S131" s="31"/>
      <c r="T131" s="31"/>
      <c r="U131" s="188"/>
      <c r="V131" s="31"/>
      <c r="W131" s="31"/>
      <c r="X131" s="31"/>
      <c r="Y131" s="188"/>
    </row>
    <row r="132" spans="1:25" ht="12.75" hidden="1" customHeight="1" outlineLevel="1" x14ac:dyDescent="0.2">
      <c r="A132" s="198" t="str">
        <f>"      "&amp;Labels!B98</f>
        <v xml:space="preserve">      Gross Margin</v>
      </c>
      <c r="B132" s="226">
        <f>SUM(B112,B122)</f>
        <v>0</v>
      </c>
      <c r="C132" s="226">
        <f>SUM(C112,C122)</f>
        <v>0</v>
      </c>
      <c r="D132" s="226">
        <f>SUM(D112,D122)</f>
        <v>55000</v>
      </c>
      <c r="E132" s="227">
        <f>SUM(B132:D132)</f>
        <v>55000</v>
      </c>
      <c r="F132" s="226">
        <f>SUM(F112,F122)</f>
        <v>55000</v>
      </c>
      <c r="G132" s="226">
        <f>SUM(G112,G122)</f>
        <v>0</v>
      </c>
      <c r="H132" s="226">
        <f>SUM(H112,H122)</f>
        <v>40000</v>
      </c>
      <c r="I132" s="227">
        <f>SUM(F132:H132)</f>
        <v>95000</v>
      </c>
      <c r="J132" s="226">
        <f>SUM(J112,J122)</f>
        <v>11739.10702893999</v>
      </c>
      <c r="K132" s="226">
        <f>SUM(K112,K122)</f>
        <v>4586.7600535839529</v>
      </c>
      <c r="L132" s="226">
        <f>SUM(L112,L122)</f>
        <v>0</v>
      </c>
      <c r="M132" s="227">
        <f>SUM(J132:L132)</f>
        <v>16325.867082523942</v>
      </c>
      <c r="N132" s="226">
        <f>SUM(N112,N122)</f>
        <v>0</v>
      </c>
      <c r="O132" s="226">
        <f>SUM(O112,O122)</f>
        <v>0</v>
      </c>
      <c r="P132" s="226">
        <f>SUM(P112,P122)</f>
        <v>0</v>
      </c>
      <c r="Q132" s="227">
        <f>SUM(N132:P132)</f>
        <v>0</v>
      </c>
      <c r="R132" s="226">
        <f>SUM(R112,R122)</f>
        <v>0</v>
      </c>
      <c r="S132" s="226">
        <f>SUM(S112,S122)</f>
        <v>0</v>
      </c>
      <c r="T132" s="226">
        <f>SUM(T112,T122)</f>
        <v>0</v>
      </c>
      <c r="U132" s="227">
        <f>SUM(R132:T132)</f>
        <v>0</v>
      </c>
      <c r="V132" s="226">
        <f>SUM(V112,V122)</f>
        <v>0</v>
      </c>
      <c r="W132" s="226">
        <f>SUM(W112,W122)</f>
        <v>0</v>
      </c>
      <c r="X132" s="226">
        <f>SUM(X112,X122)</f>
        <v>0</v>
      </c>
      <c r="Y132" s="227">
        <f>SUM(V132:X132)</f>
        <v>0</v>
      </c>
    </row>
    <row r="133" spans="1:25" ht="12.75" hidden="1" customHeight="1" outlineLevel="1" x14ac:dyDescent="0.2">
      <c r="A133" s="198" t="str">
        <f>"      "&amp;Labels!B100</f>
        <v xml:space="preserve">      Gross Margin %</v>
      </c>
      <c r="B133" s="233">
        <f>IF(B56=0,0,B132/B56)</f>
        <v>0</v>
      </c>
      <c r="C133" s="233">
        <f>IF(C56=0,0,C132/C56)</f>
        <v>0</v>
      </c>
      <c r="D133" s="233">
        <f>IF(D56=0,0,D132/D56)</f>
        <v>0.95238095238095233</v>
      </c>
      <c r="E133" s="234">
        <f>IF(SUM(B56:D56)=0,0,SUM(B132:D132)/SUM(B56:D56))</f>
        <v>0.95238095238095233</v>
      </c>
      <c r="F133" s="233">
        <f>IF(F56=0,0,F132/F56)</f>
        <v>0.95238095238095233</v>
      </c>
      <c r="G133" s="233">
        <f>IF(G56=0,0,G132/G56)</f>
        <v>0</v>
      </c>
      <c r="H133" s="233">
        <f>IF(H56=0,0,H132/H56)</f>
        <v>0.95238095238095233</v>
      </c>
      <c r="I133" s="234">
        <f>IF(SUM(F56:H56)=0,0,SUM(F132:H132)/SUM(F56:H56))</f>
        <v>0.95238095238095233</v>
      </c>
      <c r="J133" s="233">
        <f>IF(J56=0,0,J132/J56)</f>
        <v>0.27950254830809501</v>
      </c>
      <c r="K133" s="233">
        <f>IF(K56=0,0,K132/K56)</f>
        <v>0.10920857270437984</v>
      </c>
      <c r="L133" s="233">
        <f>IF(L56=0,0,L132/L56)</f>
        <v>0</v>
      </c>
      <c r="M133" s="234">
        <f>IF(SUM(J56:L56)=0,0,SUM(J132:L132)/SUM(J56:L56))</f>
        <v>0.1943555605062374</v>
      </c>
      <c r="N133" s="233">
        <f>IF(N56=0,0,N132/N56)</f>
        <v>0</v>
      </c>
      <c r="O133" s="233">
        <f>IF(O56=0,0,O132/O56)</f>
        <v>0</v>
      </c>
      <c r="P133" s="233">
        <f>IF(P56=0,0,P132/P56)</f>
        <v>0</v>
      </c>
      <c r="Q133" s="234">
        <f>IF(SUM(N56:P56)=0,0,SUM(N132:P132)/SUM(N56:P56))</f>
        <v>0</v>
      </c>
      <c r="R133" s="233">
        <f>IF(R56=0,0,R132/R56)</f>
        <v>0</v>
      </c>
      <c r="S133" s="233">
        <f>IF(S56=0,0,S132/S56)</f>
        <v>0</v>
      </c>
      <c r="T133" s="233">
        <f>IF(T56=0,0,T132/T56)</f>
        <v>0</v>
      </c>
      <c r="U133" s="234">
        <f>IF(SUM(R56:T56)=0,0,SUM(R132:T132)/SUM(R56:T56))</f>
        <v>0</v>
      </c>
      <c r="V133" s="233">
        <f>IF(V56=0,0,V132/V56)</f>
        <v>0</v>
      </c>
      <c r="W133" s="233">
        <f>IF(W56=0,0,W132/W56)</f>
        <v>0</v>
      </c>
      <c r="X133" s="233">
        <f>IF(X56=0,0,X132/X56)</f>
        <v>0</v>
      </c>
      <c r="Y133" s="234">
        <f>IF(SUM(V56:X56)=0,0,SUM(V132:X132)/SUM(V56:X56))</f>
        <v>0</v>
      </c>
    </row>
    <row r="134" spans="1:25" ht="12.75" hidden="1" customHeight="1" outlineLevel="1" x14ac:dyDescent="0.2">
      <c r="A134" s="188" t="str">
        <f>"   "&amp;Labels!B318</f>
        <v xml:space="preserve">   Channels 2</v>
      </c>
      <c r="B134" s="31"/>
      <c r="C134" s="31"/>
      <c r="D134" s="31"/>
      <c r="E134" s="188"/>
      <c r="F134" s="31"/>
      <c r="G134" s="31"/>
      <c r="H134" s="31"/>
      <c r="I134" s="188"/>
      <c r="J134" s="31"/>
      <c r="K134" s="31"/>
      <c r="L134" s="31"/>
      <c r="M134" s="188"/>
      <c r="N134" s="31"/>
      <c r="O134" s="31"/>
      <c r="P134" s="31"/>
      <c r="Q134" s="188"/>
      <c r="R134" s="31"/>
      <c r="S134" s="31"/>
      <c r="T134" s="31"/>
      <c r="U134" s="188"/>
      <c r="V134" s="31"/>
      <c r="W134" s="31"/>
      <c r="X134" s="31"/>
      <c r="Y134" s="188"/>
    </row>
    <row r="135" spans="1:25" ht="12.75" hidden="1" customHeight="1" outlineLevel="1" x14ac:dyDescent="0.2">
      <c r="A135" s="198" t="str">
        <f>"      "&amp;Labels!B98</f>
        <v xml:space="preserve">      Gross Margin</v>
      </c>
      <c r="B135" s="226">
        <f>SUM(B115,B125)</f>
        <v>0</v>
      </c>
      <c r="C135" s="226">
        <f>SUM(C115,C125)</f>
        <v>0</v>
      </c>
      <c r="D135" s="226">
        <f>SUM(D115,D125)</f>
        <v>55000</v>
      </c>
      <c r="E135" s="227">
        <f>SUM(B135:D135)</f>
        <v>55000</v>
      </c>
      <c r="F135" s="226">
        <f>SUM(F115,F125)</f>
        <v>55000</v>
      </c>
      <c r="G135" s="226">
        <f>SUM(G115,G125)</f>
        <v>0</v>
      </c>
      <c r="H135" s="226">
        <f>SUM(H115,H125)</f>
        <v>40000</v>
      </c>
      <c r="I135" s="227">
        <f>SUM(F135:H135)</f>
        <v>95000</v>
      </c>
      <c r="J135" s="226">
        <f>SUM(J115,J125)</f>
        <v>40000</v>
      </c>
      <c r="K135" s="226">
        <f>SUM(K115,K125)</f>
        <v>32917.352010716793</v>
      </c>
      <c r="L135" s="226">
        <f>SUM(L115,L125)</f>
        <v>0</v>
      </c>
      <c r="M135" s="227">
        <f>SUM(J135:L135)</f>
        <v>72917.352010716801</v>
      </c>
      <c r="N135" s="226">
        <f>SUM(N115,N125)</f>
        <v>0</v>
      </c>
      <c r="O135" s="226">
        <f>SUM(O115,O125)</f>
        <v>0</v>
      </c>
      <c r="P135" s="226">
        <f>SUM(P115,P125)</f>
        <v>0</v>
      </c>
      <c r="Q135" s="227">
        <f>SUM(N135:P135)</f>
        <v>0</v>
      </c>
      <c r="R135" s="226">
        <f>SUM(R115,R125)</f>
        <v>0</v>
      </c>
      <c r="S135" s="226">
        <f>SUM(S115,S125)</f>
        <v>0</v>
      </c>
      <c r="T135" s="226">
        <f>SUM(T115,T125)</f>
        <v>0</v>
      </c>
      <c r="U135" s="227">
        <f>SUM(R135:T135)</f>
        <v>0</v>
      </c>
      <c r="V135" s="226">
        <f>SUM(V115,V125)</f>
        <v>0</v>
      </c>
      <c r="W135" s="226">
        <f>SUM(W115,W125)</f>
        <v>0</v>
      </c>
      <c r="X135" s="226">
        <f>SUM(X115,X125)</f>
        <v>0</v>
      </c>
      <c r="Y135" s="227">
        <f>SUM(V135:X135)</f>
        <v>0</v>
      </c>
    </row>
    <row r="136" spans="1:25" ht="12.75" hidden="1" customHeight="1" outlineLevel="1" x14ac:dyDescent="0.2">
      <c r="A136" s="198" t="str">
        <f>"      "&amp;Labels!B100</f>
        <v xml:space="preserve">      Gross Margin %</v>
      </c>
      <c r="B136" s="233">
        <f>IF(B57=0,0,B135/B57)</f>
        <v>0</v>
      </c>
      <c r="C136" s="233">
        <f>IF(C57=0,0,C135/C57)</f>
        <v>0</v>
      </c>
      <c r="D136" s="233">
        <f>IF(D57=0,0,D135/D57)</f>
        <v>1</v>
      </c>
      <c r="E136" s="234">
        <f>IF(SUM(B57:D57)=0,0,SUM(B135:D135)/SUM(B57:D57))</f>
        <v>1</v>
      </c>
      <c r="F136" s="233">
        <f>IF(F57=0,0,F135/F57)</f>
        <v>1</v>
      </c>
      <c r="G136" s="233">
        <f>IF(G57=0,0,G135/G57)</f>
        <v>0</v>
      </c>
      <c r="H136" s="233">
        <f>IF(H57=0,0,H135/H57)</f>
        <v>1</v>
      </c>
      <c r="I136" s="234">
        <f>IF(SUM(F57:H57)=0,0,SUM(F135:H135)/SUM(F57:H57))</f>
        <v>1</v>
      </c>
      <c r="J136" s="233">
        <f>IF(J57=0,0,J135/J57)</f>
        <v>1</v>
      </c>
      <c r="K136" s="233">
        <f>IF(K57=0,0,K135/K57)</f>
        <v>0.82293380026791985</v>
      </c>
      <c r="L136" s="233">
        <f>IF(L57=0,0,L135/L57)</f>
        <v>0</v>
      </c>
      <c r="M136" s="234">
        <f>IF(SUM(J57:L57)=0,0,SUM(J135:L135)/SUM(J57:L57))</f>
        <v>0.91146690013396003</v>
      </c>
      <c r="N136" s="233">
        <f>IF(N57=0,0,N135/N57)</f>
        <v>0</v>
      </c>
      <c r="O136" s="233">
        <f>IF(O57=0,0,O135/O57)</f>
        <v>0</v>
      </c>
      <c r="P136" s="233">
        <f>IF(P57=0,0,P135/P57)</f>
        <v>0</v>
      </c>
      <c r="Q136" s="234">
        <f>IF(SUM(N57:P57)=0,0,SUM(N135:P135)/SUM(N57:P57))</f>
        <v>0</v>
      </c>
      <c r="R136" s="233">
        <f>IF(R57=0,0,R135/R57)</f>
        <v>0</v>
      </c>
      <c r="S136" s="233">
        <f>IF(S57=0,0,S135/S57)</f>
        <v>0</v>
      </c>
      <c r="T136" s="233">
        <f>IF(T57=0,0,T135/T57)</f>
        <v>0</v>
      </c>
      <c r="U136" s="234">
        <f>IF(SUM(R57:T57)=0,0,SUM(R135:T135)/SUM(R57:T57))</f>
        <v>0</v>
      </c>
      <c r="V136" s="233">
        <f>IF(V57=0,0,V135/V57)</f>
        <v>0</v>
      </c>
      <c r="W136" s="233">
        <f>IF(W57=0,0,W135/W57)</f>
        <v>0</v>
      </c>
      <c r="X136" s="233">
        <f>IF(X57=0,0,X135/X57)</f>
        <v>0</v>
      </c>
      <c r="Y136" s="234">
        <f>IF(SUM(V57:X57)=0,0,SUM(V135:X135)/SUM(V57:X57))</f>
        <v>0</v>
      </c>
    </row>
    <row r="137" spans="1:25" ht="12.75" hidden="1" customHeight="1" outlineLevel="1" x14ac:dyDescent="0.2">
      <c r="A137" s="191" t="str">
        <f>"   "&amp;Labels!C316</f>
        <v xml:space="preserve">   Total</v>
      </c>
      <c r="B137" s="3"/>
      <c r="C137" s="3"/>
      <c r="D137" s="3"/>
      <c r="E137" s="191"/>
      <c r="F137" s="3"/>
      <c r="G137" s="3"/>
      <c r="H137" s="3"/>
      <c r="I137" s="191"/>
      <c r="J137" s="3"/>
      <c r="K137" s="3"/>
      <c r="L137" s="3"/>
      <c r="M137" s="191"/>
      <c r="N137" s="3"/>
      <c r="O137" s="3"/>
      <c r="P137" s="3"/>
      <c r="Q137" s="191"/>
      <c r="R137" s="3"/>
      <c r="S137" s="3"/>
      <c r="T137" s="3"/>
      <c r="U137" s="191"/>
      <c r="V137" s="3"/>
      <c r="W137" s="3"/>
      <c r="X137" s="3"/>
      <c r="Y137" s="191"/>
    </row>
    <row r="138" spans="1:25" ht="12.75" hidden="1" customHeight="1" outlineLevel="1" x14ac:dyDescent="0.2">
      <c r="A138" s="198" t="str">
        <f>"      "&amp;Labels!B98</f>
        <v xml:space="preserve">      Gross Margin</v>
      </c>
      <c r="B138" s="226">
        <f>SUM(B118,B128)</f>
        <v>0</v>
      </c>
      <c r="C138" s="226">
        <f>SUM(C118,C128)</f>
        <v>0</v>
      </c>
      <c r="D138" s="226">
        <f>SUM(D118,D128)</f>
        <v>110000</v>
      </c>
      <c r="E138" s="227">
        <f>SUM(B138:D138)</f>
        <v>110000</v>
      </c>
      <c r="F138" s="226">
        <f>SUM(F118,F128)</f>
        <v>110000</v>
      </c>
      <c r="G138" s="226">
        <f>SUM(G118,G128)</f>
        <v>0</v>
      </c>
      <c r="H138" s="226">
        <f>SUM(H118,H128)</f>
        <v>80000</v>
      </c>
      <c r="I138" s="227">
        <f>SUM(F138:H138)</f>
        <v>190000</v>
      </c>
      <c r="J138" s="226">
        <f>SUM(J118,J128)</f>
        <v>51739.107028939994</v>
      </c>
      <c r="K138" s="226">
        <f>SUM(K118,K128)</f>
        <v>37504.112064300745</v>
      </c>
      <c r="L138" s="226">
        <f>SUM(L118,L128)</f>
        <v>0</v>
      </c>
      <c r="M138" s="227">
        <f>SUM(J138:L138)</f>
        <v>89243.219093240739</v>
      </c>
      <c r="N138" s="226">
        <f>SUM(N118,N128)</f>
        <v>0</v>
      </c>
      <c r="O138" s="226">
        <f>SUM(O118,O128)</f>
        <v>0</v>
      </c>
      <c r="P138" s="226">
        <f>SUM(P118,P128)</f>
        <v>0</v>
      </c>
      <c r="Q138" s="227">
        <f>SUM(N138:P138)</f>
        <v>0</v>
      </c>
      <c r="R138" s="226">
        <f>SUM(R118,R128)</f>
        <v>0</v>
      </c>
      <c r="S138" s="226">
        <f>SUM(S118,S128)</f>
        <v>0</v>
      </c>
      <c r="T138" s="226">
        <f>SUM(T118,T128)</f>
        <v>0</v>
      </c>
      <c r="U138" s="227">
        <f>SUM(R138:T138)</f>
        <v>0</v>
      </c>
      <c r="V138" s="226">
        <f>SUM(V118,V128)</f>
        <v>0</v>
      </c>
      <c r="W138" s="226">
        <f>SUM(W118,W128)</f>
        <v>0</v>
      </c>
      <c r="X138" s="226">
        <f>SUM(X118,X128)</f>
        <v>0</v>
      </c>
      <c r="Y138" s="227">
        <f>SUM(V138:X138)</f>
        <v>0</v>
      </c>
    </row>
    <row r="139" spans="1:25" ht="12.75" hidden="1" customHeight="1" outlineLevel="1" x14ac:dyDescent="0.2">
      <c r="A139" s="230" t="str">
        <f>"      "&amp;Labels!B100</f>
        <v xml:space="preserve">      Gross Margin %</v>
      </c>
      <c r="B139" s="235">
        <f>IF(B11=0,0,B138/B11)</f>
        <v>0</v>
      </c>
      <c r="C139" s="235">
        <f>IF(C11=0,0,C138/C11)</f>
        <v>0</v>
      </c>
      <c r="D139" s="235">
        <f>IF(D11=0,0,D138/D11)</f>
        <v>0.97560975609756095</v>
      </c>
      <c r="E139" s="236">
        <f>IF(SUM(B11:D11)=0,0,SUM(B138:D138)/SUM(B11:D11))</f>
        <v>0.97560975609756095</v>
      </c>
      <c r="F139" s="235">
        <f>IF(F11=0,0,F138/F11)</f>
        <v>0.97560975609756095</v>
      </c>
      <c r="G139" s="235">
        <f>IF(G11=0,0,G138/G11)</f>
        <v>0</v>
      </c>
      <c r="H139" s="235">
        <f>IF(H11=0,0,H138/H11)</f>
        <v>0.97560975609756095</v>
      </c>
      <c r="I139" s="236">
        <f>IF(SUM(F11:H11)=0,0,SUM(F138:H138)/SUM(F11:H11))</f>
        <v>0.97560975609756095</v>
      </c>
      <c r="J139" s="235">
        <f>IF(J11=0,0,J138/J11)</f>
        <v>0.63096471986512193</v>
      </c>
      <c r="K139" s="235">
        <f>IF(K11=0,0,K138/K11)</f>
        <v>0.45736722029635057</v>
      </c>
      <c r="L139" s="235">
        <f>IF(L11=0,0,L138/L11)</f>
        <v>0</v>
      </c>
      <c r="M139" s="236">
        <f>IF(SUM(J11:L11)=0,0,SUM(J138:L138)/SUM(J11:L11))</f>
        <v>0.54416597008073619</v>
      </c>
      <c r="N139" s="235">
        <f>IF(N11=0,0,N138/N11)</f>
        <v>0</v>
      </c>
      <c r="O139" s="235">
        <f>IF(O11=0,0,O138/O11)</f>
        <v>0</v>
      </c>
      <c r="P139" s="235">
        <f>IF(P11=0,0,P138/P11)</f>
        <v>0</v>
      </c>
      <c r="Q139" s="236">
        <f>IF(SUM(N11:P11)=0,0,SUM(N138:P138)/SUM(N11:P11))</f>
        <v>0</v>
      </c>
      <c r="R139" s="235">
        <f>IF(R11=0,0,R138/R11)</f>
        <v>0</v>
      </c>
      <c r="S139" s="235">
        <f>IF(S11=0,0,S138/S11)</f>
        <v>0</v>
      </c>
      <c r="T139" s="235">
        <f>IF(T11=0,0,T138/T11)</f>
        <v>0</v>
      </c>
      <c r="U139" s="236">
        <f>IF(SUM(R11:T11)=0,0,SUM(R138:T138)/SUM(R11:T11))</f>
        <v>0</v>
      </c>
      <c r="V139" s="235">
        <f>IF(V11=0,0,V138/V11)</f>
        <v>0</v>
      </c>
      <c r="W139" s="235">
        <f>IF(W11=0,0,W138/W11)</f>
        <v>0</v>
      </c>
      <c r="X139" s="235">
        <f>IF(X11=0,0,X138/X11)</f>
        <v>0</v>
      </c>
      <c r="Y139" s="236">
        <f>IF(SUM(V11:X11)=0,0,SUM(V138:X138)/SUM(V11:X11))</f>
        <v>0</v>
      </c>
    </row>
    <row r="140" spans="1:25" ht="12.75" hidden="1" customHeight="1" outlineLevel="1" x14ac:dyDescent="0.2"/>
    <row r="141" spans="1:25" ht="12.75" hidden="1" customHeight="1" outlineLevel="1" x14ac:dyDescent="0.2">
      <c r="A141" s="3" t="str">
        <f>"Billed Hours"</f>
        <v>Billed Hours</v>
      </c>
    </row>
    <row r="142" spans="1:25" ht="12.75" hidden="1" customHeight="1" outlineLevel="1" x14ac:dyDescent="0.2">
      <c r="A142" s="3" t="str">
        <f>" "</f>
        <v xml:space="preserve"> </v>
      </c>
    </row>
    <row r="143" spans="1:25" ht="12.75" hidden="1" customHeight="1" outlineLevel="1" x14ac:dyDescent="0.2">
      <c r="B143" s="9" t="str">
        <f>'(FnCalls 1)'!F41</f>
        <v>MMM 2010</v>
      </c>
      <c r="C143" s="10" t="str">
        <f>'(FnCalls 1)'!F42</f>
        <v>MMM 2010</v>
      </c>
      <c r="D143" s="10" t="str">
        <f>'(FnCalls 1)'!F43</f>
        <v>MMM 2010</v>
      </c>
      <c r="E143" s="181" t="str">
        <f>'(FnCalls 1)'!G41</f>
        <v>Q1 2010</v>
      </c>
      <c r="F143" s="10" t="str">
        <f>'(FnCalls 1)'!F44</f>
        <v>MMM 2010</v>
      </c>
      <c r="G143" s="10" t="str">
        <f>'(FnCalls 1)'!F45</f>
        <v>MMM 2010</v>
      </c>
      <c r="H143" s="10" t="str">
        <f>'(FnCalls 1)'!F46</f>
        <v>MMM 2010</v>
      </c>
      <c r="I143" s="181" t="str">
        <f>'(FnCalls 1)'!G44</f>
        <v>Q2 2010</v>
      </c>
      <c r="J143" s="10" t="str">
        <f>'(FnCalls 1)'!F47</f>
        <v>MMM 2010</v>
      </c>
      <c r="K143" s="10" t="str">
        <f>'(FnCalls 1)'!F48</f>
        <v>MMM 2010</v>
      </c>
      <c r="L143" s="10" t="str">
        <f>'(FnCalls 1)'!F49</f>
        <v>MMM 2010</v>
      </c>
      <c r="M143" s="181" t="str">
        <f>'(FnCalls 1)'!G47</f>
        <v>Q3 2010</v>
      </c>
      <c r="N143" s="10" t="str">
        <f>'(FnCalls 1)'!F50</f>
        <v>MMM 2010</v>
      </c>
      <c r="O143" s="10" t="str">
        <f>'(FnCalls 1)'!F51</f>
        <v>MMM 2010</v>
      </c>
      <c r="P143" s="10" t="str">
        <f>'(FnCalls 1)'!F52</f>
        <v>MMM 2010</v>
      </c>
      <c r="Q143" s="181" t="str">
        <f>'(FnCalls 1)'!G50</f>
        <v>Q4 2010</v>
      </c>
      <c r="R143" s="10" t="str">
        <f>'(FnCalls 1)'!F53</f>
        <v>MMM 2011</v>
      </c>
      <c r="S143" s="10" t="str">
        <f>'(FnCalls 1)'!F54</f>
        <v>MMM 2011</v>
      </c>
      <c r="T143" s="10" t="str">
        <f>'(FnCalls 1)'!F55</f>
        <v>MMM 2011</v>
      </c>
      <c r="U143" s="181" t="str">
        <f>'(FnCalls 1)'!G53</f>
        <v>Q1 2011</v>
      </c>
      <c r="V143" s="10" t="str">
        <f>'(FnCalls 1)'!F56</f>
        <v>MMM 2011</v>
      </c>
      <c r="W143" s="10" t="str">
        <f>'(FnCalls 1)'!F57</f>
        <v>MMM 2011</v>
      </c>
      <c r="X143" s="10" t="str">
        <f>'(FnCalls 1)'!F58</f>
        <v>MMM 2011</v>
      </c>
      <c r="Y143" s="181" t="str">
        <f>'(FnCalls 1)'!G56</f>
        <v>Q2 2011</v>
      </c>
    </row>
    <row r="144" spans="1:25" ht="12.75" hidden="1" customHeight="1" outlineLevel="1" x14ac:dyDescent="0.2">
      <c r="A144" s="182" t="str">
        <f>Labels!B182</f>
        <v>Prof Staff Hours Billed</v>
      </c>
      <c r="B144" s="223"/>
      <c r="C144" s="223"/>
      <c r="D144" s="223"/>
      <c r="E144" s="224"/>
      <c r="F144" s="223"/>
      <c r="G144" s="223"/>
      <c r="H144" s="223"/>
      <c r="I144" s="224"/>
      <c r="J144" s="223"/>
      <c r="K144" s="223"/>
      <c r="L144" s="223"/>
      <c r="M144" s="224"/>
      <c r="N144" s="223"/>
      <c r="O144" s="223"/>
      <c r="P144" s="223"/>
      <c r="Q144" s="224"/>
      <c r="R144" s="223"/>
      <c r="S144" s="223"/>
      <c r="T144" s="223"/>
      <c r="U144" s="224"/>
      <c r="V144" s="223"/>
      <c r="W144" s="223"/>
      <c r="X144" s="223"/>
      <c r="Y144" s="224"/>
    </row>
    <row r="145" spans="1:25" ht="12.75" hidden="1" customHeight="1" outlineLevel="1" x14ac:dyDescent="0.2">
      <c r="A145" s="188" t="str">
        <f>"   "&amp;Labels!B381</f>
        <v xml:space="preserve">   Practice 1</v>
      </c>
      <c r="B145" s="166"/>
      <c r="C145" s="166"/>
      <c r="D145" s="166"/>
      <c r="E145" s="225"/>
      <c r="F145" s="166"/>
      <c r="G145" s="166"/>
      <c r="H145" s="166"/>
      <c r="I145" s="225"/>
      <c r="J145" s="166"/>
      <c r="K145" s="166"/>
      <c r="L145" s="166"/>
      <c r="M145" s="225"/>
      <c r="N145" s="166"/>
      <c r="O145" s="166"/>
      <c r="P145" s="166"/>
      <c r="Q145" s="225"/>
      <c r="R145" s="166"/>
      <c r="S145" s="166"/>
      <c r="T145" s="166"/>
      <c r="U145" s="225"/>
      <c r="V145" s="166"/>
      <c r="W145" s="166"/>
      <c r="X145" s="166"/>
      <c r="Y145" s="225"/>
    </row>
    <row r="146" spans="1:25" ht="12.75" hidden="1" customHeight="1" outlineLevel="1" x14ac:dyDescent="0.2">
      <c r="A146" s="198" t="str">
        <f>"      "&amp;Labels!B317</f>
        <v xml:space="preserve">      Channels 1</v>
      </c>
      <c r="B146" s="237">
        <f>SUM(Sales!B184,Sales!B188)</f>
        <v>0</v>
      </c>
      <c r="C146" s="237">
        <f>SUM(Sales!C184,Sales!C188)</f>
        <v>0</v>
      </c>
      <c r="D146" s="237">
        <f>SUM(Sales!D184,Sales!D188)</f>
        <v>275</v>
      </c>
      <c r="E146" s="238">
        <f>SUM(B146:D146)</f>
        <v>275</v>
      </c>
      <c r="F146" s="237">
        <f>SUM(Sales!F184,Sales!F188)</f>
        <v>275</v>
      </c>
      <c r="G146" s="237">
        <f>SUM(Sales!G184,Sales!G188)</f>
        <v>0</v>
      </c>
      <c r="H146" s="237">
        <f>SUM(Sales!H184,Sales!H188)</f>
        <v>200</v>
      </c>
      <c r="I146" s="238">
        <f>SUM(F146:H146)</f>
        <v>475</v>
      </c>
      <c r="J146" s="237">
        <f>SUM(Sales!J184,Sales!J188)</f>
        <v>200</v>
      </c>
      <c r="K146" s="237">
        <f>SUM(Sales!K184,Sales!K188)</f>
        <v>200</v>
      </c>
      <c r="L146" s="237">
        <f>SUM(Sales!L184,Sales!L188)</f>
        <v>0</v>
      </c>
      <c r="M146" s="238">
        <f>SUM(J146:L146)</f>
        <v>400</v>
      </c>
      <c r="N146" s="237">
        <f>SUM(Sales!N184,Sales!N188)</f>
        <v>0</v>
      </c>
      <c r="O146" s="237">
        <f>SUM(Sales!O184,Sales!O188)</f>
        <v>0</v>
      </c>
      <c r="P146" s="237">
        <f>SUM(Sales!P184,Sales!P188)</f>
        <v>0</v>
      </c>
      <c r="Q146" s="238">
        <f>SUM(N146:P146)</f>
        <v>0</v>
      </c>
      <c r="R146" s="237">
        <f>SUM(Sales!R184,Sales!R188)</f>
        <v>0</v>
      </c>
      <c r="S146" s="237">
        <f>SUM(Sales!S184,Sales!S188)</f>
        <v>0</v>
      </c>
      <c r="T146" s="237">
        <f>SUM(Sales!T184,Sales!T188)</f>
        <v>0</v>
      </c>
      <c r="U146" s="238">
        <f>SUM(R146:T146)</f>
        <v>0</v>
      </c>
      <c r="V146" s="237">
        <f>SUM(Sales!V184,Sales!V188)</f>
        <v>0</v>
      </c>
      <c r="W146" s="237">
        <f>SUM(Sales!W184,Sales!W188)</f>
        <v>0</v>
      </c>
      <c r="X146" s="237">
        <f>SUM(Sales!X184,Sales!X188)</f>
        <v>0</v>
      </c>
      <c r="Y146" s="238">
        <f>SUM(V146:X146)</f>
        <v>0</v>
      </c>
    </row>
    <row r="147" spans="1:25" ht="12.75" hidden="1" customHeight="1" outlineLevel="1" x14ac:dyDescent="0.2">
      <c r="A147" s="198" t="str">
        <f>"      "&amp;Labels!B318</f>
        <v xml:space="preserve">      Channels 2</v>
      </c>
      <c r="B147" s="237">
        <f>SUM(Sales!B185,Sales!B189)</f>
        <v>0</v>
      </c>
      <c r="C147" s="237">
        <f>SUM(Sales!C185,Sales!C189)</f>
        <v>0</v>
      </c>
      <c r="D147" s="237">
        <f>SUM(Sales!D185,Sales!D189)</f>
        <v>275</v>
      </c>
      <c r="E147" s="238">
        <f>SUM(B147:D147)</f>
        <v>275</v>
      </c>
      <c r="F147" s="237">
        <f>SUM(Sales!F185,Sales!F189)</f>
        <v>275</v>
      </c>
      <c r="G147" s="237">
        <f>SUM(Sales!G185,Sales!G189)</f>
        <v>0</v>
      </c>
      <c r="H147" s="237">
        <f>SUM(Sales!H185,Sales!H189)</f>
        <v>200</v>
      </c>
      <c r="I147" s="238">
        <f>SUM(F147:H147)</f>
        <v>475</v>
      </c>
      <c r="J147" s="237">
        <f>SUM(Sales!J185,Sales!J189)</f>
        <v>200</v>
      </c>
      <c r="K147" s="237">
        <f>SUM(Sales!K185,Sales!K189)</f>
        <v>200</v>
      </c>
      <c r="L147" s="237">
        <f>SUM(Sales!L185,Sales!L189)</f>
        <v>0</v>
      </c>
      <c r="M147" s="238">
        <f>SUM(J147:L147)</f>
        <v>400</v>
      </c>
      <c r="N147" s="237">
        <f>SUM(Sales!N185,Sales!N189)</f>
        <v>0</v>
      </c>
      <c r="O147" s="237">
        <f>SUM(Sales!O185,Sales!O189)</f>
        <v>0</v>
      </c>
      <c r="P147" s="237">
        <f>SUM(Sales!P185,Sales!P189)</f>
        <v>0</v>
      </c>
      <c r="Q147" s="238">
        <f>SUM(N147:P147)</f>
        <v>0</v>
      </c>
      <c r="R147" s="237">
        <f>SUM(Sales!R185,Sales!R189)</f>
        <v>0</v>
      </c>
      <c r="S147" s="237">
        <f>SUM(Sales!S185,Sales!S189)</f>
        <v>0</v>
      </c>
      <c r="T147" s="237">
        <f>SUM(Sales!T185,Sales!T189)</f>
        <v>0</v>
      </c>
      <c r="U147" s="238">
        <f>SUM(R147:T147)</f>
        <v>0</v>
      </c>
      <c r="V147" s="237">
        <f>SUM(Sales!V185,Sales!V189)</f>
        <v>0</v>
      </c>
      <c r="W147" s="237">
        <f>SUM(Sales!W185,Sales!W189)</f>
        <v>0</v>
      </c>
      <c r="X147" s="237">
        <f>SUM(Sales!X185,Sales!X189)</f>
        <v>0</v>
      </c>
      <c r="Y147" s="238">
        <f>SUM(V147:X147)</f>
        <v>0</v>
      </c>
    </row>
    <row r="148" spans="1:25" ht="12.75" hidden="1" customHeight="1" outlineLevel="1" x14ac:dyDescent="0.2">
      <c r="A148" s="188" t="str">
        <f>"      "&amp;Labels!C316</f>
        <v xml:space="preserve">      Total</v>
      </c>
      <c r="B148" s="166">
        <f>SUM(B296:B297)</f>
        <v>0</v>
      </c>
      <c r="C148" s="166">
        <f>SUM(C296:C297)</f>
        <v>0</v>
      </c>
      <c r="D148" s="166">
        <f>SUM(D296:D297)</f>
        <v>550</v>
      </c>
      <c r="E148" s="225">
        <f>SUM(B148:D148)</f>
        <v>550</v>
      </c>
      <c r="F148" s="166">
        <f>SUM(F296:F297)</f>
        <v>550</v>
      </c>
      <c r="G148" s="166">
        <f>SUM(G296:G297)</f>
        <v>0</v>
      </c>
      <c r="H148" s="166">
        <f>SUM(H296:H297)</f>
        <v>400</v>
      </c>
      <c r="I148" s="225">
        <f>SUM(F148:H148)</f>
        <v>950</v>
      </c>
      <c r="J148" s="166">
        <f>SUM(J296:J297)</f>
        <v>400</v>
      </c>
      <c r="K148" s="166">
        <f>SUM(K296:K297)</f>
        <v>400</v>
      </c>
      <c r="L148" s="166">
        <f>SUM(L296:L297)</f>
        <v>0</v>
      </c>
      <c r="M148" s="225">
        <f>SUM(J148:L148)</f>
        <v>800</v>
      </c>
      <c r="N148" s="166">
        <f>SUM(N296:N297)</f>
        <v>0</v>
      </c>
      <c r="O148" s="166">
        <f>SUM(O296:O297)</f>
        <v>0</v>
      </c>
      <c r="P148" s="166">
        <f>SUM(P296:P297)</f>
        <v>0</v>
      </c>
      <c r="Q148" s="225">
        <f>SUM(N148:P148)</f>
        <v>0</v>
      </c>
      <c r="R148" s="166">
        <f>SUM(R296:R297)</f>
        <v>0</v>
      </c>
      <c r="S148" s="166">
        <f>SUM(S296:S297)</f>
        <v>0</v>
      </c>
      <c r="T148" s="166">
        <f>SUM(T296:T297)</f>
        <v>0</v>
      </c>
      <c r="U148" s="225">
        <f>SUM(R148:T148)</f>
        <v>0</v>
      </c>
      <c r="V148" s="166">
        <f>SUM(V296:V297)</f>
        <v>0</v>
      </c>
      <c r="W148" s="166">
        <f>SUM(W296:W297)</f>
        <v>0</v>
      </c>
      <c r="X148" s="166">
        <f>SUM(X296:X297)</f>
        <v>0</v>
      </c>
      <c r="Y148" s="225">
        <f>SUM(V148:X148)</f>
        <v>0</v>
      </c>
    </row>
    <row r="149" spans="1:25" ht="12.75" hidden="1" customHeight="1" outlineLevel="1" x14ac:dyDescent="0.2">
      <c r="A149" s="188" t="str">
        <f>"   "&amp;Labels!B382</f>
        <v xml:space="preserve">   Practice 2</v>
      </c>
      <c r="B149" s="166"/>
      <c r="C149" s="166"/>
      <c r="D149" s="166"/>
      <c r="E149" s="225"/>
      <c r="F149" s="166"/>
      <c r="G149" s="166"/>
      <c r="H149" s="166"/>
      <c r="I149" s="225"/>
      <c r="J149" s="166"/>
      <c r="K149" s="166"/>
      <c r="L149" s="166"/>
      <c r="M149" s="225"/>
      <c r="N149" s="166"/>
      <c r="O149" s="166"/>
      <c r="P149" s="166"/>
      <c r="Q149" s="225"/>
      <c r="R149" s="166"/>
      <c r="S149" s="166"/>
      <c r="T149" s="166"/>
      <c r="U149" s="225"/>
      <c r="V149" s="166"/>
      <c r="W149" s="166"/>
      <c r="X149" s="166"/>
      <c r="Y149" s="225"/>
    </row>
    <row r="150" spans="1:25" ht="12.75" hidden="1" customHeight="1" outlineLevel="1" x14ac:dyDescent="0.2">
      <c r="A150" s="198" t="str">
        <f>"      "&amp;Labels!B317</f>
        <v xml:space="preserve">      Channels 1</v>
      </c>
      <c r="B150" s="237">
        <f>SUM(Sales!B197,Sales!B201)</f>
        <v>0</v>
      </c>
      <c r="C150" s="237">
        <f>SUM(Sales!C197,Sales!C201)</f>
        <v>0</v>
      </c>
      <c r="D150" s="237">
        <f>SUM(Sales!D197,Sales!D201)</f>
        <v>0</v>
      </c>
      <c r="E150" s="238">
        <f t="shared" ref="E150:E155" si="54">SUM(B150:D150)</f>
        <v>0</v>
      </c>
      <c r="F150" s="237">
        <f>SUM(Sales!F197,Sales!F201)</f>
        <v>0</v>
      </c>
      <c r="G150" s="237">
        <f>SUM(Sales!G197,Sales!G201)</f>
        <v>0</v>
      </c>
      <c r="H150" s="237">
        <f>SUM(Sales!H197,Sales!H201)</f>
        <v>0</v>
      </c>
      <c r="I150" s="238">
        <f t="shared" ref="I150:I155" si="55">SUM(F150:H150)</f>
        <v>0</v>
      </c>
      <c r="J150" s="237">
        <f>SUM(Sales!J197,Sales!J201)</f>
        <v>0</v>
      </c>
      <c r="K150" s="237">
        <f>SUM(Sales!K197,Sales!K201)</f>
        <v>0</v>
      </c>
      <c r="L150" s="237">
        <f>SUM(Sales!L197,Sales!L201)</f>
        <v>0</v>
      </c>
      <c r="M150" s="238">
        <f t="shared" ref="M150:M155" si="56">SUM(J150:L150)</f>
        <v>0</v>
      </c>
      <c r="N150" s="237">
        <f>SUM(Sales!N197,Sales!N201)</f>
        <v>0</v>
      </c>
      <c r="O150" s="237">
        <f>SUM(Sales!O197,Sales!O201)</f>
        <v>0</v>
      </c>
      <c r="P150" s="237">
        <f>SUM(Sales!P197,Sales!P201)</f>
        <v>0</v>
      </c>
      <c r="Q150" s="238">
        <f t="shared" ref="Q150:Q155" si="57">SUM(N150:P150)</f>
        <v>0</v>
      </c>
      <c r="R150" s="237">
        <f>SUM(Sales!R197,Sales!R201)</f>
        <v>0</v>
      </c>
      <c r="S150" s="237">
        <f>SUM(Sales!S197,Sales!S201)</f>
        <v>0</v>
      </c>
      <c r="T150" s="237">
        <f>SUM(Sales!T197,Sales!T201)</f>
        <v>0</v>
      </c>
      <c r="U150" s="238">
        <f t="shared" ref="U150:U155" si="58">SUM(R150:T150)</f>
        <v>0</v>
      </c>
      <c r="V150" s="237">
        <f>SUM(Sales!V197,Sales!V201)</f>
        <v>0</v>
      </c>
      <c r="W150" s="237">
        <f>SUM(Sales!W197,Sales!W201)</f>
        <v>0</v>
      </c>
      <c r="X150" s="237">
        <f>SUM(Sales!X197,Sales!X201)</f>
        <v>0</v>
      </c>
      <c r="Y150" s="238">
        <f t="shared" ref="Y150:Y155" si="59">SUM(V150:X150)</f>
        <v>0</v>
      </c>
    </row>
    <row r="151" spans="1:25" ht="12.75" hidden="1" customHeight="1" outlineLevel="1" x14ac:dyDescent="0.2">
      <c r="A151" s="198" t="str">
        <f>"      "&amp;Labels!B318</f>
        <v xml:space="preserve">      Channels 2</v>
      </c>
      <c r="B151" s="237">
        <f>SUM(Sales!B198,Sales!B202)</f>
        <v>0</v>
      </c>
      <c r="C151" s="237">
        <f>SUM(Sales!C198,Sales!C202)</f>
        <v>0</v>
      </c>
      <c r="D151" s="237">
        <f>SUM(Sales!D198,Sales!D202)</f>
        <v>0</v>
      </c>
      <c r="E151" s="238">
        <f t="shared" si="54"/>
        <v>0</v>
      </c>
      <c r="F151" s="237">
        <f>SUM(Sales!F198,Sales!F202)</f>
        <v>0</v>
      </c>
      <c r="G151" s="237">
        <f>SUM(Sales!G198,Sales!G202)</f>
        <v>0</v>
      </c>
      <c r="H151" s="237">
        <f>SUM(Sales!H198,Sales!H202)</f>
        <v>0</v>
      </c>
      <c r="I151" s="238">
        <f t="shared" si="55"/>
        <v>0</v>
      </c>
      <c r="J151" s="237">
        <f>SUM(Sales!J198,Sales!J202)</f>
        <v>0</v>
      </c>
      <c r="K151" s="237">
        <f>SUM(Sales!K198,Sales!K202)</f>
        <v>0</v>
      </c>
      <c r="L151" s="237">
        <f>SUM(Sales!L198,Sales!L202)</f>
        <v>0</v>
      </c>
      <c r="M151" s="238">
        <f t="shared" si="56"/>
        <v>0</v>
      </c>
      <c r="N151" s="237">
        <f>SUM(Sales!N198,Sales!N202)</f>
        <v>0</v>
      </c>
      <c r="O151" s="237">
        <f>SUM(Sales!O198,Sales!O202)</f>
        <v>0</v>
      </c>
      <c r="P151" s="237">
        <f>SUM(Sales!P198,Sales!P202)</f>
        <v>0</v>
      </c>
      <c r="Q151" s="238">
        <f t="shared" si="57"/>
        <v>0</v>
      </c>
      <c r="R151" s="237">
        <f>SUM(Sales!R198,Sales!R202)</f>
        <v>0</v>
      </c>
      <c r="S151" s="237">
        <f>SUM(Sales!S198,Sales!S202)</f>
        <v>0</v>
      </c>
      <c r="T151" s="237">
        <f>SUM(Sales!T198,Sales!T202)</f>
        <v>0</v>
      </c>
      <c r="U151" s="238">
        <f t="shared" si="58"/>
        <v>0</v>
      </c>
      <c r="V151" s="237">
        <f>SUM(Sales!V198,Sales!V202)</f>
        <v>0</v>
      </c>
      <c r="W151" s="237">
        <f>SUM(Sales!W198,Sales!W202)</f>
        <v>0</v>
      </c>
      <c r="X151" s="237">
        <f>SUM(Sales!X198,Sales!X202)</f>
        <v>0</v>
      </c>
      <c r="Y151" s="238">
        <f t="shared" si="59"/>
        <v>0</v>
      </c>
    </row>
    <row r="152" spans="1:25" ht="12.75" hidden="1" customHeight="1" outlineLevel="1" x14ac:dyDescent="0.2">
      <c r="A152" s="188" t="str">
        <f>"      "&amp;Labels!C316</f>
        <v xml:space="preserve">      Total</v>
      </c>
      <c r="B152" s="166">
        <f>SUM(B300:B301)</f>
        <v>0</v>
      </c>
      <c r="C152" s="166">
        <f>SUM(C300:C301)</f>
        <v>0</v>
      </c>
      <c r="D152" s="166">
        <f>SUM(D300:D301)</f>
        <v>0</v>
      </c>
      <c r="E152" s="225">
        <f t="shared" si="54"/>
        <v>0</v>
      </c>
      <c r="F152" s="166">
        <f>SUM(F300:F301)</f>
        <v>0</v>
      </c>
      <c r="G152" s="166">
        <f>SUM(G300:G301)</f>
        <v>0</v>
      </c>
      <c r="H152" s="166">
        <f>SUM(H300:H301)</f>
        <v>0</v>
      </c>
      <c r="I152" s="225">
        <f t="shared" si="55"/>
        <v>0</v>
      </c>
      <c r="J152" s="166">
        <f>SUM(J300:J301)</f>
        <v>0</v>
      </c>
      <c r="K152" s="166">
        <f>SUM(K300:K301)</f>
        <v>0</v>
      </c>
      <c r="L152" s="166">
        <f>SUM(L300:L301)</f>
        <v>0</v>
      </c>
      <c r="M152" s="225">
        <f t="shared" si="56"/>
        <v>0</v>
      </c>
      <c r="N152" s="166">
        <f>SUM(N300:N301)</f>
        <v>0</v>
      </c>
      <c r="O152" s="166">
        <f>SUM(O300:O301)</f>
        <v>0</v>
      </c>
      <c r="P152" s="166">
        <f>SUM(P300:P301)</f>
        <v>0</v>
      </c>
      <c r="Q152" s="225">
        <f t="shared" si="57"/>
        <v>0</v>
      </c>
      <c r="R152" s="166">
        <f>SUM(R300:R301)</f>
        <v>0</v>
      </c>
      <c r="S152" s="166">
        <f>SUM(S300:S301)</f>
        <v>0</v>
      </c>
      <c r="T152" s="166">
        <f>SUM(T300:T301)</f>
        <v>0</v>
      </c>
      <c r="U152" s="225">
        <f t="shared" si="58"/>
        <v>0</v>
      </c>
      <c r="V152" s="166">
        <f>SUM(V300:V301)</f>
        <v>0</v>
      </c>
      <c r="W152" s="166">
        <f>SUM(W300:W301)</f>
        <v>0</v>
      </c>
      <c r="X152" s="166">
        <f>SUM(X300:X301)</f>
        <v>0</v>
      </c>
      <c r="Y152" s="225">
        <f t="shared" si="59"/>
        <v>0</v>
      </c>
    </row>
    <row r="153" spans="1:25" ht="12.75" hidden="1" customHeight="1" outlineLevel="1" x14ac:dyDescent="0.2">
      <c r="A153" s="191" t="str">
        <f>"   "&amp;Labels!C380</f>
        <v xml:space="preserve">   Total</v>
      </c>
      <c r="B153" s="216">
        <f>SUM(B148,B152)</f>
        <v>0</v>
      </c>
      <c r="C153" s="216">
        <f>SUM(C148,C152)</f>
        <v>0</v>
      </c>
      <c r="D153" s="216">
        <f>SUM(D148,D152)</f>
        <v>550</v>
      </c>
      <c r="E153" s="217">
        <f t="shared" si="54"/>
        <v>550</v>
      </c>
      <c r="F153" s="216">
        <f>SUM(F148,F152)</f>
        <v>550</v>
      </c>
      <c r="G153" s="216">
        <f>SUM(G148,G152)</f>
        <v>0</v>
      </c>
      <c r="H153" s="216">
        <f>SUM(H148,H152)</f>
        <v>400</v>
      </c>
      <c r="I153" s="217">
        <f t="shared" si="55"/>
        <v>950</v>
      </c>
      <c r="J153" s="216">
        <f>SUM(J148,J152)</f>
        <v>400</v>
      </c>
      <c r="K153" s="216">
        <f>SUM(K148,K152)</f>
        <v>400</v>
      </c>
      <c r="L153" s="216">
        <f>SUM(L148,L152)</f>
        <v>0</v>
      </c>
      <c r="M153" s="217">
        <f t="shared" si="56"/>
        <v>800</v>
      </c>
      <c r="N153" s="216">
        <f>SUM(N148,N152)</f>
        <v>0</v>
      </c>
      <c r="O153" s="216">
        <f>SUM(O148,O152)</f>
        <v>0</v>
      </c>
      <c r="P153" s="216">
        <f>SUM(P148,P152)</f>
        <v>0</v>
      </c>
      <c r="Q153" s="217">
        <f t="shared" si="57"/>
        <v>0</v>
      </c>
      <c r="R153" s="216">
        <f>SUM(R148,R152)</f>
        <v>0</v>
      </c>
      <c r="S153" s="216">
        <f>SUM(S148,S152)</f>
        <v>0</v>
      </c>
      <c r="T153" s="216">
        <f>SUM(T148,T152)</f>
        <v>0</v>
      </c>
      <c r="U153" s="217">
        <f t="shared" si="58"/>
        <v>0</v>
      </c>
      <c r="V153" s="216">
        <f>SUM(V148,V152)</f>
        <v>0</v>
      </c>
      <c r="W153" s="216">
        <f>SUM(W148,W152)</f>
        <v>0</v>
      </c>
      <c r="X153" s="216">
        <f>SUM(X148,X152)</f>
        <v>0</v>
      </c>
      <c r="Y153" s="217">
        <f t="shared" si="59"/>
        <v>0</v>
      </c>
    </row>
    <row r="154" spans="1:25" ht="12.75" hidden="1" customHeight="1" outlineLevel="1" x14ac:dyDescent="0.2">
      <c r="A154" s="198" t="str">
        <f>"      "&amp;Labels!B317</f>
        <v xml:space="preserve">      Channels 1</v>
      </c>
      <c r="B154" s="237">
        <f t="shared" ref="B154:D156" si="60">SUM(B146,B150)</f>
        <v>0</v>
      </c>
      <c r="C154" s="237">
        <f t="shared" si="60"/>
        <v>0</v>
      </c>
      <c r="D154" s="237">
        <f t="shared" si="60"/>
        <v>275</v>
      </c>
      <c r="E154" s="238">
        <f t="shared" si="54"/>
        <v>275</v>
      </c>
      <c r="F154" s="237">
        <f t="shared" ref="F154:H156" si="61">SUM(F146,F150)</f>
        <v>275</v>
      </c>
      <c r="G154" s="237">
        <f t="shared" si="61"/>
        <v>0</v>
      </c>
      <c r="H154" s="237">
        <f t="shared" si="61"/>
        <v>200</v>
      </c>
      <c r="I154" s="238">
        <f t="shared" si="55"/>
        <v>475</v>
      </c>
      <c r="J154" s="237">
        <f t="shared" ref="J154:L156" si="62">SUM(J146,J150)</f>
        <v>200</v>
      </c>
      <c r="K154" s="237">
        <f t="shared" si="62"/>
        <v>200</v>
      </c>
      <c r="L154" s="237">
        <f t="shared" si="62"/>
        <v>0</v>
      </c>
      <c r="M154" s="238">
        <f t="shared" si="56"/>
        <v>400</v>
      </c>
      <c r="N154" s="237">
        <f t="shared" ref="N154:P156" si="63">SUM(N146,N150)</f>
        <v>0</v>
      </c>
      <c r="O154" s="237">
        <f t="shared" si="63"/>
        <v>0</v>
      </c>
      <c r="P154" s="237">
        <f t="shared" si="63"/>
        <v>0</v>
      </c>
      <c r="Q154" s="238">
        <f t="shared" si="57"/>
        <v>0</v>
      </c>
      <c r="R154" s="237">
        <f t="shared" ref="R154:T156" si="64">SUM(R146,R150)</f>
        <v>0</v>
      </c>
      <c r="S154" s="237">
        <f t="shared" si="64"/>
        <v>0</v>
      </c>
      <c r="T154" s="237">
        <f t="shared" si="64"/>
        <v>0</v>
      </c>
      <c r="U154" s="238">
        <f t="shared" si="58"/>
        <v>0</v>
      </c>
      <c r="V154" s="237">
        <f t="shared" ref="V154:X156" si="65">SUM(V146,V150)</f>
        <v>0</v>
      </c>
      <c r="W154" s="237">
        <f t="shared" si="65"/>
        <v>0</v>
      </c>
      <c r="X154" s="237">
        <f t="shared" si="65"/>
        <v>0</v>
      </c>
      <c r="Y154" s="238">
        <f t="shared" si="59"/>
        <v>0</v>
      </c>
    </row>
    <row r="155" spans="1:25" ht="12.75" hidden="1" customHeight="1" outlineLevel="1" x14ac:dyDescent="0.2">
      <c r="A155" s="198" t="str">
        <f>"      "&amp;Labels!B318</f>
        <v xml:space="preserve">      Channels 2</v>
      </c>
      <c r="B155" s="237">
        <f t="shared" si="60"/>
        <v>0</v>
      </c>
      <c r="C155" s="237">
        <f t="shared" si="60"/>
        <v>0</v>
      </c>
      <c r="D155" s="237">
        <f t="shared" si="60"/>
        <v>275</v>
      </c>
      <c r="E155" s="238">
        <f t="shared" si="54"/>
        <v>275</v>
      </c>
      <c r="F155" s="237">
        <f t="shared" si="61"/>
        <v>275</v>
      </c>
      <c r="G155" s="237">
        <f t="shared" si="61"/>
        <v>0</v>
      </c>
      <c r="H155" s="237">
        <f t="shared" si="61"/>
        <v>200</v>
      </c>
      <c r="I155" s="238">
        <f t="shared" si="55"/>
        <v>475</v>
      </c>
      <c r="J155" s="237">
        <f t="shared" si="62"/>
        <v>200</v>
      </c>
      <c r="K155" s="237">
        <f t="shared" si="62"/>
        <v>200</v>
      </c>
      <c r="L155" s="237">
        <f t="shared" si="62"/>
        <v>0</v>
      </c>
      <c r="M155" s="238">
        <f t="shared" si="56"/>
        <v>400</v>
      </c>
      <c r="N155" s="237">
        <f t="shared" si="63"/>
        <v>0</v>
      </c>
      <c r="O155" s="237">
        <f t="shared" si="63"/>
        <v>0</v>
      </c>
      <c r="P155" s="237">
        <f t="shared" si="63"/>
        <v>0</v>
      </c>
      <c r="Q155" s="238">
        <f t="shared" si="57"/>
        <v>0</v>
      </c>
      <c r="R155" s="237">
        <f t="shared" si="64"/>
        <v>0</v>
      </c>
      <c r="S155" s="237">
        <f t="shared" si="64"/>
        <v>0</v>
      </c>
      <c r="T155" s="237">
        <f t="shared" si="64"/>
        <v>0</v>
      </c>
      <c r="U155" s="238">
        <f t="shared" si="58"/>
        <v>0</v>
      </c>
      <c r="V155" s="237">
        <f t="shared" si="65"/>
        <v>0</v>
      </c>
      <c r="W155" s="237">
        <f t="shared" si="65"/>
        <v>0</v>
      </c>
      <c r="X155" s="237">
        <f t="shared" si="65"/>
        <v>0</v>
      </c>
      <c r="Y155" s="238">
        <f t="shared" si="59"/>
        <v>0</v>
      </c>
    </row>
    <row r="156" spans="1:25" ht="12.75" hidden="1" customHeight="1" outlineLevel="1" x14ac:dyDescent="0.2">
      <c r="A156" s="188" t="str">
        <f>"      "&amp;Labels!C316</f>
        <v xml:space="preserve">      Total</v>
      </c>
      <c r="B156" s="166">
        <f t="shared" si="60"/>
        <v>0</v>
      </c>
      <c r="C156" s="166">
        <f t="shared" si="60"/>
        <v>0</v>
      </c>
      <c r="D156" s="166">
        <f t="shared" si="60"/>
        <v>550</v>
      </c>
      <c r="E156" s="225">
        <f>SUM(B153:D153)</f>
        <v>550</v>
      </c>
      <c r="F156" s="166">
        <f t="shared" si="61"/>
        <v>550</v>
      </c>
      <c r="G156" s="166">
        <f t="shared" si="61"/>
        <v>0</v>
      </c>
      <c r="H156" s="166">
        <f t="shared" si="61"/>
        <v>400</v>
      </c>
      <c r="I156" s="225">
        <f>SUM(F153:H153)</f>
        <v>950</v>
      </c>
      <c r="J156" s="166">
        <f t="shared" si="62"/>
        <v>400</v>
      </c>
      <c r="K156" s="166">
        <f t="shared" si="62"/>
        <v>400</v>
      </c>
      <c r="L156" s="166">
        <f t="shared" si="62"/>
        <v>0</v>
      </c>
      <c r="M156" s="225">
        <f>SUM(J153:L153)</f>
        <v>800</v>
      </c>
      <c r="N156" s="166">
        <f t="shared" si="63"/>
        <v>0</v>
      </c>
      <c r="O156" s="166">
        <f t="shared" si="63"/>
        <v>0</v>
      </c>
      <c r="P156" s="166">
        <f t="shared" si="63"/>
        <v>0</v>
      </c>
      <c r="Q156" s="225">
        <f>SUM(N153:P153)</f>
        <v>0</v>
      </c>
      <c r="R156" s="166">
        <f t="shared" si="64"/>
        <v>0</v>
      </c>
      <c r="S156" s="166">
        <f t="shared" si="64"/>
        <v>0</v>
      </c>
      <c r="T156" s="166">
        <f t="shared" si="64"/>
        <v>0</v>
      </c>
      <c r="U156" s="225">
        <f>SUM(R153:T153)</f>
        <v>0</v>
      </c>
      <c r="V156" s="166">
        <f t="shared" si="65"/>
        <v>0</v>
      </c>
      <c r="W156" s="166">
        <f t="shared" si="65"/>
        <v>0</v>
      </c>
      <c r="X156" s="166">
        <f t="shared" si="65"/>
        <v>0</v>
      </c>
      <c r="Y156" s="225">
        <f>SUM(V153:X153)</f>
        <v>0</v>
      </c>
    </row>
    <row r="157" spans="1:25" ht="12.75" hidden="1" customHeight="1" outlineLevel="1" x14ac:dyDescent="0.2">
      <c r="A157" s="97"/>
      <c r="B157" s="6"/>
      <c r="C157" s="6"/>
      <c r="D157" s="6"/>
      <c r="E157" s="97"/>
      <c r="F157" s="6"/>
      <c r="G157" s="6"/>
      <c r="H157" s="6"/>
      <c r="I157" s="97"/>
      <c r="J157" s="6"/>
      <c r="K157" s="6"/>
      <c r="L157" s="6"/>
      <c r="M157" s="97"/>
      <c r="N157" s="6"/>
      <c r="O157" s="6"/>
      <c r="P157" s="6"/>
      <c r="Q157" s="97"/>
      <c r="R157" s="6"/>
      <c r="S157" s="6"/>
      <c r="T157" s="6"/>
      <c r="U157" s="97"/>
      <c r="V157" s="6"/>
      <c r="W157" s="6"/>
      <c r="X157" s="6"/>
      <c r="Y157" s="97"/>
    </row>
    <row r="158" spans="1:25" ht="12.75" hidden="1" customHeight="1" outlineLevel="1" x14ac:dyDescent="0.2">
      <c r="A158" s="191" t="str">
        <f>Labels!B187</f>
        <v>Billed Hours Growth</v>
      </c>
      <c r="B158" s="211"/>
      <c r="C158" s="211"/>
      <c r="D158" s="211"/>
      <c r="E158" s="210"/>
      <c r="F158" s="211"/>
      <c r="G158" s="211"/>
      <c r="H158" s="211"/>
      <c r="I158" s="210"/>
      <c r="J158" s="211"/>
      <c r="K158" s="211"/>
      <c r="L158" s="211"/>
      <c r="M158" s="210"/>
      <c r="N158" s="211"/>
      <c r="O158" s="211"/>
      <c r="P158" s="211"/>
      <c r="Q158" s="210"/>
      <c r="R158" s="211"/>
      <c r="S158" s="211"/>
      <c r="T158" s="211"/>
      <c r="U158" s="210"/>
      <c r="V158" s="211"/>
      <c r="W158" s="211"/>
      <c r="X158" s="211"/>
      <c r="Y158" s="210"/>
    </row>
    <row r="159" spans="1:25" ht="12.75" hidden="1" customHeight="1" outlineLevel="1" x14ac:dyDescent="0.2">
      <c r="A159" s="188" t="str">
        <f>"   "&amp;Labels!B381</f>
        <v xml:space="preserve">   Practice 1</v>
      </c>
      <c r="B159" s="218"/>
      <c r="C159" s="218"/>
      <c r="D159" s="218"/>
      <c r="E159" s="219"/>
      <c r="F159" s="218"/>
      <c r="G159" s="218"/>
      <c r="H159" s="218"/>
      <c r="I159" s="219"/>
      <c r="J159" s="218"/>
      <c r="K159" s="218"/>
      <c r="L159" s="218"/>
      <c r="M159" s="219"/>
      <c r="N159" s="218"/>
      <c r="O159" s="218"/>
      <c r="P159" s="218"/>
      <c r="Q159" s="219"/>
      <c r="R159" s="218"/>
      <c r="S159" s="218"/>
      <c r="T159" s="218"/>
      <c r="U159" s="219"/>
      <c r="V159" s="218"/>
      <c r="W159" s="218"/>
      <c r="X159" s="218"/>
      <c r="Y159" s="219"/>
    </row>
    <row r="160" spans="1:25" ht="12.75" hidden="1" customHeight="1" outlineLevel="1" x14ac:dyDescent="0.2">
      <c r="A160" s="198" t="str">
        <f>"      "&amp;Labels!B317</f>
        <v xml:space="preserve">      Channels 1</v>
      </c>
      <c r="B160" s="233"/>
      <c r="C160" s="233">
        <f t="shared" ref="C160:D162" si="66">IF(B146=0,0,C146/B146-1)</f>
        <v>0</v>
      </c>
      <c r="D160" s="233">
        <f t="shared" si="66"/>
        <v>0</v>
      </c>
      <c r="E160" s="234">
        <f>IF(0=0,0,SUM(B146:D146)/0-1)</f>
        <v>0</v>
      </c>
      <c r="F160" s="233">
        <f>IF(D146=0,0,F146/D146-1)</f>
        <v>0</v>
      </c>
      <c r="G160" s="233">
        <f t="shared" ref="G160:H162" si="67">IF(F146=0,0,G146/F146-1)</f>
        <v>-1</v>
      </c>
      <c r="H160" s="233">
        <f t="shared" si="67"/>
        <v>0</v>
      </c>
      <c r="I160" s="234">
        <f>IF(SUM(B146:D146)=0,0,SUM(F146:H146)/SUM(B146:D146)-1)</f>
        <v>0.72727272727272729</v>
      </c>
      <c r="J160" s="233">
        <f>IF(H146=0,0,J146/H146-1)</f>
        <v>0</v>
      </c>
      <c r="K160" s="233">
        <f t="shared" ref="K160:L162" si="68">IF(J146=0,0,K146/J146-1)</f>
        <v>0</v>
      </c>
      <c r="L160" s="233">
        <f t="shared" si="68"/>
        <v>-1</v>
      </c>
      <c r="M160" s="234">
        <f>IF(SUM(F146:H146)=0,0,SUM(J146:L146)/SUM(F146:H146)-1)</f>
        <v>-0.15789473684210531</v>
      </c>
      <c r="N160" s="233">
        <f>IF(L146=0,0,N146/L146-1)</f>
        <v>0</v>
      </c>
      <c r="O160" s="233">
        <f t="shared" ref="O160:P162" si="69">IF(N146=0,0,O146/N146-1)</f>
        <v>0</v>
      </c>
      <c r="P160" s="233">
        <f t="shared" si="69"/>
        <v>0</v>
      </c>
      <c r="Q160" s="234">
        <f>IF(SUM(J146:L146)=0,0,SUM(N146:P146)/SUM(J146:L146)-1)</f>
        <v>-1</v>
      </c>
      <c r="R160" s="233">
        <f>IF(P146=0,0,R146/P146-1)</f>
        <v>0</v>
      </c>
      <c r="S160" s="233">
        <f t="shared" ref="S160:T162" si="70">IF(R146=0,0,S146/R146-1)</f>
        <v>0</v>
      </c>
      <c r="T160" s="233">
        <f t="shared" si="70"/>
        <v>0</v>
      </c>
      <c r="U160" s="234">
        <f>IF(SUM(N146:P146)=0,0,SUM(R146:T146)/SUM(N146:P146)-1)</f>
        <v>0</v>
      </c>
      <c r="V160" s="233">
        <f>IF(T146=0,0,V146/T146-1)</f>
        <v>0</v>
      </c>
      <c r="W160" s="233">
        <f t="shared" ref="W160:X162" si="71">IF(V146=0,0,W146/V146-1)</f>
        <v>0</v>
      </c>
      <c r="X160" s="233">
        <f t="shared" si="71"/>
        <v>0</v>
      </c>
      <c r="Y160" s="234">
        <f>IF(SUM(R146:T146)=0,0,SUM(V146:X146)/SUM(R146:T146)-1)</f>
        <v>0</v>
      </c>
    </row>
    <row r="161" spans="1:25" ht="12.75" hidden="1" customHeight="1" outlineLevel="1" x14ac:dyDescent="0.2">
      <c r="A161" s="198" t="str">
        <f>"      "&amp;Labels!B318</f>
        <v xml:space="preserve">      Channels 2</v>
      </c>
      <c r="B161" s="233"/>
      <c r="C161" s="233">
        <f t="shared" si="66"/>
        <v>0</v>
      </c>
      <c r="D161" s="233">
        <f t="shared" si="66"/>
        <v>0</v>
      </c>
      <c r="E161" s="234">
        <f>IF(0=0,0,SUM(B147:D147)/0-1)</f>
        <v>0</v>
      </c>
      <c r="F161" s="233">
        <f>IF(D147=0,0,F147/D147-1)</f>
        <v>0</v>
      </c>
      <c r="G161" s="233">
        <f t="shared" si="67"/>
        <v>-1</v>
      </c>
      <c r="H161" s="233">
        <f t="shared" si="67"/>
        <v>0</v>
      </c>
      <c r="I161" s="234">
        <f>IF(SUM(B147:D147)=0,0,SUM(F147:H147)/SUM(B147:D147)-1)</f>
        <v>0.72727272727272729</v>
      </c>
      <c r="J161" s="233">
        <f>IF(H147=0,0,J147/H147-1)</f>
        <v>0</v>
      </c>
      <c r="K161" s="233">
        <f t="shared" si="68"/>
        <v>0</v>
      </c>
      <c r="L161" s="233">
        <f t="shared" si="68"/>
        <v>-1</v>
      </c>
      <c r="M161" s="234">
        <f>IF(SUM(F147:H147)=0,0,SUM(J147:L147)/SUM(F147:H147)-1)</f>
        <v>-0.15789473684210531</v>
      </c>
      <c r="N161" s="233">
        <f>IF(L147=0,0,N147/L147-1)</f>
        <v>0</v>
      </c>
      <c r="O161" s="233">
        <f t="shared" si="69"/>
        <v>0</v>
      </c>
      <c r="P161" s="233">
        <f t="shared" si="69"/>
        <v>0</v>
      </c>
      <c r="Q161" s="234">
        <f>IF(SUM(J147:L147)=0,0,SUM(N147:P147)/SUM(J147:L147)-1)</f>
        <v>-1</v>
      </c>
      <c r="R161" s="233">
        <f>IF(P147=0,0,R147/P147-1)</f>
        <v>0</v>
      </c>
      <c r="S161" s="233">
        <f t="shared" si="70"/>
        <v>0</v>
      </c>
      <c r="T161" s="233">
        <f t="shared" si="70"/>
        <v>0</v>
      </c>
      <c r="U161" s="234">
        <f>IF(SUM(N147:P147)=0,0,SUM(R147:T147)/SUM(N147:P147)-1)</f>
        <v>0</v>
      </c>
      <c r="V161" s="233">
        <f>IF(T147=0,0,V147/T147-1)</f>
        <v>0</v>
      </c>
      <c r="W161" s="233">
        <f t="shared" si="71"/>
        <v>0</v>
      </c>
      <c r="X161" s="233">
        <f t="shared" si="71"/>
        <v>0</v>
      </c>
      <c r="Y161" s="234">
        <f>IF(SUM(R147:T147)=0,0,SUM(V147:X147)/SUM(R147:T147)-1)</f>
        <v>0</v>
      </c>
    </row>
    <row r="162" spans="1:25" ht="12.75" hidden="1" customHeight="1" outlineLevel="1" x14ac:dyDescent="0.2">
      <c r="A162" s="188" t="str">
        <f>"      "&amp;Labels!C316</f>
        <v xml:space="preserve">      Total</v>
      </c>
      <c r="B162" s="218"/>
      <c r="C162" s="218">
        <f t="shared" si="66"/>
        <v>0</v>
      </c>
      <c r="D162" s="218">
        <f t="shared" si="66"/>
        <v>0</v>
      </c>
      <c r="E162" s="219">
        <f>IF(0=0,0,SUM(B148:D148)/0-1)</f>
        <v>0</v>
      </c>
      <c r="F162" s="218">
        <f>IF(D148=0,0,F148/D148-1)</f>
        <v>0</v>
      </c>
      <c r="G162" s="218">
        <f t="shared" si="67"/>
        <v>-1</v>
      </c>
      <c r="H162" s="218">
        <f t="shared" si="67"/>
        <v>0</v>
      </c>
      <c r="I162" s="219">
        <f>IF(SUM(B148:D148)=0,0,SUM(F148:H148)/SUM(B148:D148)-1)</f>
        <v>0.72727272727272729</v>
      </c>
      <c r="J162" s="218">
        <f>IF(H148=0,0,J148/H148-1)</f>
        <v>0</v>
      </c>
      <c r="K162" s="218">
        <f t="shared" si="68"/>
        <v>0</v>
      </c>
      <c r="L162" s="218">
        <f t="shared" si="68"/>
        <v>-1</v>
      </c>
      <c r="M162" s="219">
        <f>IF(SUM(F148:H148)=0,0,SUM(J148:L148)/SUM(F148:H148)-1)</f>
        <v>-0.15789473684210531</v>
      </c>
      <c r="N162" s="218">
        <f>IF(L148=0,0,N148/L148-1)</f>
        <v>0</v>
      </c>
      <c r="O162" s="218">
        <f t="shared" si="69"/>
        <v>0</v>
      </c>
      <c r="P162" s="218">
        <f t="shared" si="69"/>
        <v>0</v>
      </c>
      <c r="Q162" s="219">
        <f>IF(SUM(J148:L148)=0,0,SUM(N148:P148)/SUM(J148:L148)-1)</f>
        <v>-1</v>
      </c>
      <c r="R162" s="218">
        <f>IF(P148=0,0,R148/P148-1)</f>
        <v>0</v>
      </c>
      <c r="S162" s="218">
        <f t="shared" si="70"/>
        <v>0</v>
      </c>
      <c r="T162" s="218">
        <f t="shared" si="70"/>
        <v>0</v>
      </c>
      <c r="U162" s="219">
        <f>IF(SUM(N148:P148)=0,0,SUM(R148:T148)/SUM(N148:P148)-1)</f>
        <v>0</v>
      </c>
      <c r="V162" s="218">
        <f>IF(T148=0,0,V148/T148-1)</f>
        <v>0</v>
      </c>
      <c r="W162" s="218">
        <f t="shared" si="71"/>
        <v>0</v>
      </c>
      <c r="X162" s="218">
        <f t="shared" si="71"/>
        <v>0</v>
      </c>
      <c r="Y162" s="219">
        <f>IF(SUM(R148:T148)=0,0,SUM(V148:X148)/SUM(R148:T148)-1)</f>
        <v>0</v>
      </c>
    </row>
    <row r="163" spans="1:25" ht="12.75" hidden="1" customHeight="1" outlineLevel="1" x14ac:dyDescent="0.2">
      <c r="A163" s="188" t="str">
        <f>"   "&amp;Labels!B382</f>
        <v xml:space="preserve">   Practice 2</v>
      </c>
      <c r="B163" s="218"/>
      <c r="C163" s="218"/>
      <c r="D163" s="218"/>
      <c r="E163" s="219"/>
      <c r="F163" s="218"/>
      <c r="G163" s="218"/>
      <c r="H163" s="218"/>
      <c r="I163" s="219"/>
      <c r="J163" s="218"/>
      <c r="K163" s="218"/>
      <c r="L163" s="218"/>
      <c r="M163" s="219"/>
      <c r="N163" s="218"/>
      <c r="O163" s="218"/>
      <c r="P163" s="218"/>
      <c r="Q163" s="219"/>
      <c r="R163" s="218"/>
      <c r="S163" s="218"/>
      <c r="T163" s="218"/>
      <c r="U163" s="219"/>
      <c r="V163" s="218"/>
      <c r="W163" s="218"/>
      <c r="X163" s="218"/>
      <c r="Y163" s="219"/>
    </row>
    <row r="164" spans="1:25" ht="12.75" hidden="1" customHeight="1" outlineLevel="1" x14ac:dyDescent="0.2">
      <c r="A164" s="198" t="str">
        <f>"      "&amp;Labels!B317</f>
        <v xml:space="preserve">      Channels 1</v>
      </c>
      <c r="B164" s="233"/>
      <c r="C164" s="233">
        <f t="shared" ref="C164:D169" si="72">IF(B150=0,0,C150/B150-1)</f>
        <v>0</v>
      </c>
      <c r="D164" s="233">
        <f t="shared" si="72"/>
        <v>0</v>
      </c>
      <c r="E164" s="234">
        <f t="shared" ref="E164:E169" si="73">IF(0=0,0,SUM(B150:D150)/0-1)</f>
        <v>0</v>
      </c>
      <c r="F164" s="233">
        <f t="shared" ref="F164:F169" si="74">IF(D150=0,0,F150/D150-1)</f>
        <v>0</v>
      </c>
      <c r="G164" s="233">
        <f t="shared" ref="G164:H169" si="75">IF(F150=0,0,G150/F150-1)</f>
        <v>0</v>
      </c>
      <c r="H164" s="233">
        <f t="shared" si="75"/>
        <v>0</v>
      </c>
      <c r="I164" s="234">
        <f t="shared" ref="I164:I169" si="76">IF(SUM(B150:D150)=0,0,SUM(F150:H150)/SUM(B150:D150)-1)</f>
        <v>0</v>
      </c>
      <c r="J164" s="233">
        <f t="shared" ref="J164:J169" si="77">IF(H150=0,0,J150/H150-1)</f>
        <v>0</v>
      </c>
      <c r="K164" s="233">
        <f t="shared" ref="K164:L169" si="78">IF(J150=0,0,K150/J150-1)</f>
        <v>0</v>
      </c>
      <c r="L164" s="233">
        <f t="shared" si="78"/>
        <v>0</v>
      </c>
      <c r="M164" s="234">
        <f t="shared" ref="M164:M169" si="79">IF(SUM(F150:H150)=0,0,SUM(J150:L150)/SUM(F150:H150)-1)</f>
        <v>0</v>
      </c>
      <c r="N164" s="233">
        <f t="shared" ref="N164:N169" si="80">IF(L150=0,0,N150/L150-1)</f>
        <v>0</v>
      </c>
      <c r="O164" s="233">
        <f t="shared" ref="O164:P169" si="81">IF(N150=0,0,O150/N150-1)</f>
        <v>0</v>
      </c>
      <c r="P164" s="233">
        <f t="shared" si="81"/>
        <v>0</v>
      </c>
      <c r="Q164" s="234">
        <f t="shared" ref="Q164:Q169" si="82">IF(SUM(J150:L150)=0,0,SUM(N150:P150)/SUM(J150:L150)-1)</f>
        <v>0</v>
      </c>
      <c r="R164" s="233">
        <f t="shared" ref="R164:R169" si="83">IF(P150=0,0,R150/P150-1)</f>
        <v>0</v>
      </c>
      <c r="S164" s="233">
        <f t="shared" ref="S164:T169" si="84">IF(R150=0,0,S150/R150-1)</f>
        <v>0</v>
      </c>
      <c r="T164" s="233">
        <f t="shared" si="84"/>
        <v>0</v>
      </c>
      <c r="U164" s="234">
        <f t="shared" ref="U164:U169" si="85">IF(SUM(N150:P150)=0,0,SUM(R150:T150)/SUM(N150:P150)-1)</f>
        <v>0</v>
      </c>
      <c r="V164" s="233">
        <f t="shared" ref="V164:V169" si="86">IF(T150=0,0,V150/T150-1)</f>
        <v>0</v>
      </c>
      <c r="W164" s="233">
        <f t="shared" ref="W164:X169" si="87">IF(V150=0,0,W150/V150-1)</f>
        <v>0</v>
      </c>
      <c r="X164" s="233">
        <f t="shared" si="87"/>
        <v>0</v>
      </c>
      <c r="Y164" s="234">
        <f t="shared" ref="Y164:Y169" si="88">IF(SUM(R150:T150)=0,0,SUM(V150:X150)/SUM(R150:T150)-1)</f>
        <v>0</v>
      </c>
    </row>
    <row r="165" spans="1:25" ht="12.75" hidden="1" customHeight="1" outlineLevel="1" x14ac:dyDescent="0.2">
      <c r="A165" s="198" t="str">
        <f>"      "&amp;Labels!B318</f>
        <v xml:space="preserve">      Channels 2</v>
      </c>
      <c r="B165" s="233"/>
      <c r="C165" s="233">
        <f t="shared" si="72"/>
        <v>0</v>
      </c>
      <c r="D165" s="233">
        <f t="shared" si="72"/>
        <v>0</v>
      </c>
      <c r="E165" s="234">
        <f t="shared" si="73"/>
        <v>0</v>
      </c>
      <c r="F165" s="233">
        <f t="shared" si="74"/>
        <v>0</v>
      </c>
      <c r="G165" s="233">
        <f t="shared" si="75"/>
        <v>0</v>
      </c>
      <c r="H165" s="233">
        <f t="shared" si="75"/>
        <v>0</v>
      </c>
      <c r="I165" s="234">
        <f t="shared" si="76"/>
        <v>0</v>
      </c>
      <c r="J165" s="233">
        <f t="shared" si="77"/>
        <v>0</v>
      </c>
      <c r="K165" s="233">
        <f t="shared" si="78"/>
        <v>0</v>
      </c>
      <c r="L165" s="233">
        <f t="shared" si="78"/>
        <v>0</v>
      </c>
      <c r="M165" s="234">
        <f t="shared" si="79"/>
        <v>0</v>
      </c>
      <c r="N165" s="233">
        <f t="shared" si="80"/>
        <v>0</v>
      </c>
      <c r="O165" s="233">
        <f t="shared" si="81"/>
        <v>0</v>
      </c>
      <c r="P165" s="233">
        <f t="shared" si="81"/>
        <v>0</v>
      </c>
      <c r="Q165" s="234">
        <f t="shared" si="82"/>
        <v>0</v>
      </c>
      <c r="R165" s="233">
        <f t="shared" si="83"/>
        <v>0</v>
      </c>
      <c r="S165" s="233">
        <f t="shared" si="84"/>
        <v>0</v>
      </c>
      <c r="T165" s="233">
        <f t="shared" si="84"/>
        <v>0</v>
      </c>
      <c r="U165" s="234">
        <f t="shared" si="85"/>
        <v>0</v>
      </c>
      <c r="V165" s="233">
        <f t="shared" si="86"/>
        <v>0</v>
      </c>
      <c r="W165" s="233">
        <f t="shared" si="87"/>
        <v>0</v>
      </c>
      <c r="X165" s="233">
        <f t="shared" si="87"/>
        <v>0</v>
      </c>
      <c r="Y165" s="234">
        <f t="shared" si="88"/>
        <v>0</v>
      </c>
    </row>
    <row r="166" spans="1:25" ht="12.75" hidden="1" customHeight="1" outlineLevel="1" x14ac:dyDescent="0.2">
      <c r="A166" s="188" t="str">
        <f>"      "&amp;Labels!C316</f>
        <v xml:space="preserve">      Total</v>
      </c>
      <c r="B166" s="218"/>
      <c r="C166" s="218">
        <f t="shared" si="72"/>
        <v>0</v>
      </c>
      <c r="D166" s="218">
        <f t="shared" si="72"/>
        <v>0</v>
      </c>
      <c r="E166" s="219">
        <f t="shared" si="73"/>
        <v>0</v>
      </c>
      <c r="F166" s="218">
        <f t="shared" si="74"/>
        <v>0</v>
      </c>
      <c r="G166" s="218">
        <f t="shared" si="75"/>
        <v>0</v>
      </c>
      <c r="H166" s="218">
        <f t="shared" si="75"/>
        <v>0</v>
      </c>
      <c r="I166" s="219">
        <f t="shared" si="76"/>
        <v>0</v>
      </c>
      <c r="J166" s="218">
        <f t="shared" si="77"/>
        <v>0</v>
      </c>
      <c r="K166" s="218">
        <f t="shared" si="78"/>
        <v>0</v>
      </c>
      <c r="L166" s="218">
        <f t="shared" si="78"/>
        <v>0</v>
      </c>
      <c r="M166" s="219">
        <f t="shared" si="79"/>
        <v>0</v>
      </c>
      <c r="N166" s="218">
        <f t="shared" si="80"/>
        <v>0</v>
      </c>
      <c r="O166" s="218">
        <f t="shared" si="81"/>
        <v>0</v>
      </c>
      <c r="P166" s="218">
        <f t="shared" si="81"/>
        <v>0</v>
      </c>
      <c r="Q166" s="219">
        <f t="shared" si="82"/>
        <v>0</v>
      </c>
      <c r="R166" s="218">
        <f t="shared" si="83"/>
        <v>0</v>
      </c>
      <c r="S166" s="218">
        <f t="shared" si="84"/>
        <v>0</v>
      </c>
      <c r="T166" s="218">
        <f t="shared" si="84"/>
        <v>0</v>
      </c>
      <c r="U166" s="219">
        <f t="shared" si="85"/>
        <v>0</v>
      </c>
      <c r="V166" s="218">
        <f t="shared" si="86"/>
        <v>0</v>
      </c>
      <c r="W166" s="218">
        <f t="shared" si="87"/>
        <v>0</v>
      </c>
      <c r="X166" s="218">
        <f t="shared" si="87"/>
        <v>0</v>
      </c>
      <c r="Y166" s="219">
        <f t="shared" si="88"/>
        <v>0</v>
      </c>
    </row>
    <row r="167" spans="1:25" ht="12.75" hidden="1" customHeight="1" outlineLevel="1" x14ac:dyDescent="0.2">
      <c r="A167" s="191" t="str">
        <f>"   "&amp;Labels!C380</f>
        <v xml:space="preserve">   Total</v>
      </c>
      <c r="B167" s="211"/>
      <c r="C167" s="211">
        <f t="shared" si="72"/>
        <v>0</v>
      </c>
      <c r="D167" s="211">
        <f t="shared" si="72"/>
        <v>0</v>
      </c>
      <c r="E167" s="210">
        <f t="shared" si="73"/>
        <v>0</v>
      </c>
      <c r="F167" s="211">
        <f t="shared" si="74"/>
        <v>0</v>
      </c>
      <c r="G167" s="211">
        <f t="shared" si="75"/>
        <v>-1</v>
      </c>
      <c r="H167" s="211">
        <f t="shared" si="75"/>
        <v>0</v>
      </c>
      <c r="I167" s="210">
        <f t="shared" si="76"/>
        <v>0.72727272727272729</v>
      </c>
      <c r="J167" s="211">
        <f t="shared" si="77"/>
        <v>0</v>
      </c>
      <c r="K167" s="211">
        <f t="shared" si="78"/>
        <v>0</v>
      </c>
      <c r="L167" s="211">
        <f t="shared" si="78"/>
        <v>-1</v>
      </c>
      <c r="M167" s="210">
        <f t="shared" si="79"/>
        <v>-0.15789473684210531</v>
      </c>
      <c r="N167" s="211">
        <f t="shared" si="80"/>
        <v>0</v>
      </c>
      <c r="O167" s="211">
        <f t="shared" si="81"/>
        <v>0</v>
      </c>
      <c r="P167" s="211">
        <f t="shared" si="81"/>
        <v>0</v>
      </c>
      <c r="Q167" s="210">
        <f t="shared" si="82"/>
        <v>-1</v>
      </c>
      <c r="R167" s="211">
        <f t="shared" si="83"/>
        <v>0</v>
      </c>
      <c r="S167" s="211">
        <f t="shared" si="84"/>
        <v>0</v>
      </c>
      <c r="T167" s="211">
        <f t="shared" si="84"/>
        <v>0</v>
      </c>
      <c r="U167" s="210">
        <f t="shared" si="85"/>
        <v>0</v>
      </c>
      <c r="V167" s="211">
        <f t="shared" si="86"/>
        <v>0</v>
      </c>
      <c r="W167" s="211">
        <f t="shared" si="87"/>
        <v>0</v>
      </c>
      <c r="X167" s="211">
        <f t="shared" si="87"/>
        <v>0</v>
      </c>
      <c r="Y167" s="210">
        <f t="shared" si="88"/>
        <v>0</v>
      </c>
    </row>
    <row r="168" spans="1:25" ht="12.75" hidden="1" customHeight="1" outlineLevel="1" x14ac:dyDescent="0.2">
      <c r="A168" s="198" t="str">
        <f>"      "&amp;Labels!B317</f>
        <v xml:space="preserve">      Channels 1</v>
      </c>
      <c r="B168" s="233"/>
      <c r="C168" s="233">
        <f t="shared" si="72"/>
        <v>0</v>
      </c>
      <c r="D168" s="233">
        <f t="shared" si="72"/>
        <v>0</v>
      </c>
      <c r="E168" s="234">
        <f t="shared" si="73"/>
        <v>0</v>
      </c>
      <c r="F168" s="233">
        <f t="shared" si="74"/>
        <v>0</v>
      </c>
      <c r="G168" s="233">
        <f t="shared" si="75"/>
        <v>-1</v>
      </c>
      <c r="H168" s="233">
        <f t="shared" si="75"/>
        <v>0</v>
      </c>
      <c r="I168" s="234">
        <f t="shared" si="76"/>
        <v>0.72727272727272729</v>
      </c>
      <c r="J168" s="233">
        <f t="shared" si="77"/>
        <v>0</v>
      </c>
      <c r="K168" s="233">
        <f t="shared" si="78"/>
        <v>0</v>
      </c>
      <c r="L168" s="233">
        <f t="shared" si="78"/>
        <v>-1</v>
      </c>
      <c r="M168" s="234">
        <f t="shared" si="79"/>
        <v>-0.15789473684210531</v>
      </c>
      <c r="N168" s="233">
        <f t="shared" si="80"/>
        <v>0</v>
      </c>
      <c r="O168" s="233">
        <f t="shared" si="81"/>
        <v>0</v>
      </c>
      <c r="P168" s="233">
        <f t="shared" si="81"/>
        <v>0</v>
      </c>
      <c r="Q168" s="234">
        <f t="shared" si="82"/>
        <v>-1</v>
      </c>
      <c r="R168" s="233">
        <f t="shared" si="83"/>
        <v>0</v>
      </c>
      <c r="S168" s="233">
        <f t="shared" si="84"/>
        <v>0</v>
      </c>
      <c r="T168" s="233">
        <f t="shared" si="84"/>
        <v>0</v>
      </c>
      <c r="U168" s="234">
        <f t="shared" si="85"/>
        <v>0</v>
      </c>
      <c r="V168" s="233">
        <f t="shared" si="86"/>
        <v>0</v>
      </c>
      <c r="W168" s="233">
        <f t="shared" si="87"/>
        <v>0</v>
      </c>
      <c r="X168" s="233">
        <f t="shared" si="87"/>
        <v>0</v>
      </c>
      <c r="Y168" s="234">
        <f t="shared" si="88"/>
        <v>0</v>
      </c>
    </row>
    <row r="169" spans="1:25" ht="12.75" hidden="1" customHeight="1" outlineLevel="1" x14ac:dyDescent="0.2">
      <c r="A169" s="198" t="str">
        <f>"      "&amp;Labels!B318</f>
        <v xml:space="preserve">      Channels 2</v>
      </c>
      <c r="B169" s="233"/>
      <c r="C169" s="233">
        <f t="shared" si="72"/>
        <v>0</v>
      </c>
      <c r="D169" s="233">
        <f t="shared" si="72"/>
        <v>0</v>
      </c>
      <c r="E169" s="234">
        <f t="shared" si="73"/>
        <v>0</v>
      </c>
      <c r="F169" s="233">
        <f t="shared" si="74"/>
        <v>0</v>
      </c>
      <c r="G169" s="233">
        <f t="shared" si="75"/>
        <v>-1</v>
      </c>
      <c r="H169" s="233">
        <f t="shared" si="75"/>
        <v>0</v>
      </c>
      <c r="I169" s="234">
        <f t="shared" si="76"/>
        <v>0.72727272727272729</v>
      </c>
      <c r="J169" s="233">
        <f t="shared" si="77"/>
        <v>0</v>
      </c>
      <c r="K169" s="233">
        <f t="shared" si="78"/>
        <v>0</v>
      </c>
      <c r="L169" s="233">
        <f t="shared" si="78"/>
        <v>-1</v>
      </c>
      <c r="M169" s="234">
        <f t="shared" si="79"/>
        <v>-0.15789473684210531</v>
      </c>
      <c r="N169" s="233">
        <f t="shared" si="80"/>
        <v>0</v>
      </c>
      <c r="O169" s="233">
        <f t="shared" si="81"/>
        <v>0</v>
      </c>
      <c r="P169" s="233">
        <f t="shared" si="81"/>
        <v>0</v>
      </c>
      <c r="Q169" s="234">
        <f t="shared" si="82"/>
        <v>-1</v>
      </c>
      <c r="R169" s="233">
        <f t="shared" si="83"/>
        <v>0</v>
      </c>
      <c r="S169" s="233">
        <f t="shared" si="84"/>
        <v>0</v>
      </c>
      <c r="T169" s="233">
        <f t="shared" si="84"/>
        <v>0</v>
      </c>
      <c r="U169" s="234">
        <f t="shared" si="85"/>
        <v>0</v>
      </c>
      <c r="V169" s="233">
        <f t="shared" si="86"/>
        <v>0</v>
      </c>
      <c r="W169" s="233">
        <f t="shared" si="87"/>
        <v>0</v>
      </c>
      <c r="X169" s="233">
        <f t="shared" si="87"/>
        <v>0</v>
      </c>
      <c r="Y169" s="234">
        <f t="shared" si="88"/>
        <v>0</v>
      </c>
    </row>
    <row r="170" spans="1:25" ht="12.75" hidden="1" customHeight="1" outlineLevel="1" x14ac:dyDescent="0.2">
      <c r="A170" s="220" t="str">
        <f>"      "&amp;Labels!C316</f>
        <v xml:space="preserve">      Total</v>
      </c>
      <c r="B170" s="221"/>
      <c r="C170" s="221">
        <f>IF(B153=0,0,C153/B153-1)</f>
        <v>0</v>
      </c>
      <c r="D170" s="221">
        <f>IF(C153=0,0,D153/C153-1)</f>
        <v>0</v>
      </c>
      <c r="E170" s="222">
        <f>IF(0=0,0,SUM(B153:D153)/0-1)</f>
        <v>0</v>
      </c>
      <c r="F170" s="221">
        <f>IF(D153=0,0,F153/D153-1)</f>
        <v>0</v>
      </c>
      <c r="G170" s="221">
        <f>IF(F153=0,0,G153/F153-1)</f>
        <v>-1</v>
      </c>
      <c r="H170" s="221">
        <f>IF(G153=0,0,H153/G153-1)</f>
        <v>0</v>
      </c>
      <c r="I170" s="222">
        <f>IF(SUM(B153:D153)=0,0,SUM(F153:H153)/SUM(B153:D153)-1)</f>
        <v>0.72727272727272729</v>
      </c>
      <c r="J170" s="221">
        <f>IF(H153=0,0,J153/H153-1)</f>
        <v>0</v>
      </c>
      <c r="K170" s="221">
        <f>IF(J153=0,0,K153/J153-1)</f>
        <v>0</v>
      </c>
      <c r="L170" s="221">
        <f>IF(K153=0,0,L153/K153-1)</f>
        <v>-1</v>
      </c>
      <c r="M170" s="222">
        <f>IF(SUM(F153:H153)=0,0,SUM(J153:L153)/SUM(F153:H153)-1)</f>
        <v>-0.15789473684210531</v>
      </c>
      <c r="N170" s="221">
        <f>IF(L153=0,0,N153/L153-1)</f>
        <v>0</v>
      </c>
      <c r="O170" s="221">
        <f>IF(N153=0,0,O153/N153-1)</f>
        <v>0</v>
      </c>
      <c r="P170" s="221">
        <f>IF(O153=0,0,P153/O153-1)</f>
        <v>0</v>
      </c>
      <c r="Q170" s="222">
        <f>IF(SUM(J153:L153)=0,0,SUM(N153:P153)/SUM(J153:L153)-1)</f>
        <v>-1</v>
      </c>
      <c r="R170" s="221">
        <f>IF(P153=0,0,R153/P153-1)</f>
        <v>0</v>
      </c>
      <c r="S170" s="221">
        <f>IF(R153=0,0,S153/R153-1)</f>
        <v>0</v>
      </c>
      <c r="T170" s="221">
        <f>IF(S153=0,0,T153/S153-1)</f>
        <v>0</v>
      </c>
      <c r="U170" s="222">
        <f>IF(SUM(N153:P153)=0,0,SUM(R153:T153)/SUM(N153:P153)-1)</f>
        <v>0</v>
      </c>
      <c r="V170" s="221">
        <f>IF(T153=0,0,V153/T153-1)</f>
        <v>0</v>
      </c>
      <c r="W170" s="221">
        <f>IF(V153=0,0,W153/V153-1)</f>
        <v>0</v>
      </c>
      <c r="X170" s="221">
        <f>IF(W153=0,0,X153/W153-1)</f>
        <v>0</v>
      </c>
      <c r="Y170" s="222">
        <f>IF(SUM(R153:T153)=0,0,SUM(V153:X153)/SUM(R153:T153)-1)</f>
        <v>0</v>
      </c>
    </row>
    <row r="171" spans="1:25" ht="12.75" hidden="1" customHeight="1" outlineLevel="1" x14ac:dyDescent="0.2"/>
    <row r="172" spans="1:25" ht="12.75" hidden="1" customHeight="1" outlineLevel="1" collapsed="1" x14ac:dyDescent="0.2"/>
    <row r="173" spans="1:25" ht="12.75" customHeight="1" collapsed="1" x14ac:dyDescent="0.2"/>
    <row r="174" spans="1:25" ht="12.75" customHeight="1" collapsed="1" x14ac:dyDescent="0.2">
      <c r="A174" s="464" t="str">
        <f>"Professional Staff Detail"</f>
        <v>Professional Staff Detail</v>
      </c>
      <c r="B174" s="464"/>
      <c r="C174" s="464"/>
    </row>
    <row r="175" spans="1:25" ht="12.75" hidden="1" customHeight="1" outlineLevel="1" x14ac:dyDescent="0.2">
      <c r="A175" s="1" t="str">
        <f>""</f>
        <v/>
      </c>
    </row>
    <row r="176" spans="1:25" ht="12.75" hidden="1" customHeight="1" outlineLevel="1" x14ac:dyDescent="0.2">
      <c r="B176" s="9" t="str">
        <f>'(FnCalls 1)'!F41</f>
        <v>MMM 2010</v>
      </c>
      <c r="C176" s="10" t="str">
        <f>'(FnCalls 1)'!F42</f>
        <v>MMM 2010</v>
      </c>
      <c r="D176" s="10" t="str">
        <f>'(FnCalls 1)'!F43</f>
        <v>MMM 2010</v>
      </c>
      <c r="E176" s="181" t="str">
        <f>'(FnCalls 1)'!G41</f>
        <v>Q1 2010</v>
      </c>
      <c r="F176" s="10" t="str">
        <f>'(FnCalls 1)'!F44</f>
        <v>MMM 2010</v>
      </c>
      <c r="G176" s="10" t="str">
        <f>'(FnCalls 1)'!F45</f>
        <v>MMM 2010</v>
      </c>
      <c r="H176" s="10" t="str">
        <f>'(FnCalls 1)'!F46</f>
        <v>MMM 2010</v>
      </c>
      <c r="I176" s="181" t="str">
        <f>'(FnCalls 1)'!G44</f>
        <v>Q2 2010</v>
      </c>
      <c r="J176" s="10" t="str">
        <f>'(FnCalls 1)'!F47</f>
        <v>MMM 2010</v>
      </c>
      <c r="K176" s="10" t="str">
        <f>'(FnCalls 1)'!F48</f>
        <v>MMM 2010</v>
      </c>
      <c r="L176" s="10" t="str">
        <f>'(FnCalls 1)'!F49</f>
        <v>MMM 2010</v>
      </c>
      <c r="M176" s="181" t="str">
        <f>'(FnCalls 1)'!G47</f>
        <v>Q3 2010</v>
      </c>
      <c r="N176" s="10" t="str">
        <f>'(FnCalls 1)'!F50</f>
        <v>MMM 2010</v>
      </c>
      <c r="O176" s="10" t="str">
        <f>'(FnCalls 1)'!F51</f>
        <v>MMM 2010</v>
      </c>
      <c r="P176" s="10" t="str">
        <f>'(FnCalls 1)'!F52</f>
        <v>MMM 2010</v>
      </c>
      <c r="Q176" s="181" t="str">
        <f>'(FnCalls 1)'!G50</f>
        <v>Q4 2010</v>
      </c>
      <c r="R176" s="10" t="str">
        <f>'(FnCalls 1)'!F53</f>
        <v>MMM 2011</v>
      </c>
      <c r="S176" s="10" t="str">
        <f>'(FnCalls 1)'!F54</f>
        <v>MMM 2011</v>
      </c>
      <c r="T176" s="10" t="str">
        <f>'(FnCalls 1)'!F55</f>
        <v>MMM 2011</v>
      </c>
      <c r="U176" s="181" t="str">
        <f>'(FnCalls 1)'!G53</f>
        <v>Q1 2011</v>
      </c>
      <c r="V176" s="10" t="str">
        <f>'(FnCalls 1)'!F56</f>
        <v>MMM 2011</v>
      </c>
      <c r="W176" s="10" t="str">
        <f>'(FnCalls 1)'!F57</f>
        <v>MMM 2011</v>
      </c>
      <c r="X176" s="10" t="str">
        <f>'(FnCalls 1)'!F58</f>
        <v>MMM 2011</v>
      </c>
      <c r="Y176" s="181" t="str">
        <f>'(FnCalls 1)'!G56</f>
        <v>Q2 2011</v>
      </c>
    </row>
    <row r="177" spans="1:25" ht="12.75" hidden="1" customHeight="1" outlineLevel="1" x14ac:dyDescent="0.2">
      <c r="A177" s="182" t="str">
        <f>Labels!B226</f>
        <v>Revenue</v>
      </c>
      <c r="B177" s="183"/>
      <c r="C177" s="183"/>
      <c r="D177" s="183"/>
      <c r="E177" s="184"/>
      <c r="F177" s="183"/>
      <c r="G177" s="183"/>
      <c r="H177" s="183"/>
      <c r="I177" s="184"/>
      <c r="J177" s="183"/>
      <c r="K177" s="183"/>
      <c r="L177" s="183"/>
      <c r="M177" s="184"/>
      <c r="N177" s="183"/>
      <c r="O177" s="183"/>
      <c r="P177" s="183"/>
      <c r="Q177" s="184"/>
      <c r="R177" s="183"/>
      <c r="S177" s="183"/>
      <c r="T177" s="183"/>
      <c r="U177" s="184"/>
      <c r="V177" s="183"/>
      <c r="W177" s="183"/>
      <c r="X177" s="183"/>
      <c r="Y177" s="184"/>
    </row>
    <row r="178" spans="1:25" ht="12.75" hidden="1" customHeight="1" outlineLevel="1" x14ac:dyDescent="0.2">
      <c r="A178" s="188" t="str">
        <f>"   "&amp;Labels!B381</f>
        <v xml:space="preserve">   Practice 1</v>
      </c>
      <c r="B178" s="196"/>
      <c r="C178" s="196"/>
      <c r="D178" s="196"/>
      <c r="E178" s="197"/>
      <c r="F178" s="196"/>
      <c r="G178" s="196"/>
      <c r="H178" s="196"/>
      <c r="I178" s="197"/>
      <c r="J178" s="196"/>
      <c r="K178" s="196"/>
      <c r="L178" s="196"/>
      <c r="M178" s="197"/>
      <c r="N178" s="196"/>
      <c r="O178" s="196"/>
      <c r="P178" s="196"/>
      <c r="Q178" s="197"/>
      <c r="R178" s="196"/>
      <c r="S178" s="196"/>
      <c r="T178" s="196"/>
      <c r="U178" s="197"/>
      <c r="V178" s="196"/>
      <c r="W178" s="196"/>
      <c r="X178" s="196"/>
      <c r="Y178" s="197"/>
    </row>
    <row r="179" spans="1:25" ht="12.75" hidden="1" customHeight="1" outlineLevel="1" x14ac:dyDescent="0.2">
      <c r="A179" s="198" t="str">
        <f>"      "&amp;Labels!B385</f>
        <v xml:space="preserve">      Prof Level 1</v>
      </c>
      <c r="B179" s="226">
        <f>SUM(Sales!B109:B110)</f>
        <v>0</v>
      </c>
      <c r="C179" s="226">
        <f>SUM(Sales!C109:C110)</f>
        <v>0</v>
      </c>
      <c r="D179" s="226">
        <f>SUM(Sales!D109:D110)</f>
        <v>56375</v>
      </c>
      <c r="E179" s="227">
        <f>SUM(B179:D179)</f>
        <v>56375</v>
      </c>
      <c r="F179" s="226">
        <f>SUM(Sales!F109:F110)</f>
        <v>56375</v>
      </c>
      <c r="G179" s="226">
        <f>SUM(Sales!G109:G110)</f>
        <v>0</v>
      </c>
      <c r="H179" s="226">
        <f>SUM(Sales!H109:H110)</f>
        <v>41000</v>
      </c>
      <c r="I179" s="227">
        <f>SUM(F179:H179)</f>
        <v>97375</v>
      </c>
      <c r="J179" s="226">
        <f>SUM(Sales!J109:J110)</f>
        <v>41000</v>
      </c>
      <c r="K179" s="226">
        <f>SUM(Sales!K109:K110)</f>
        <v>41000</v>
      </c>
      <c r="L179" s="226">
        <f>SUM(Sales!L109:L110)</f>
        <v>0</v>
      </c>
      <c r="M179" s="227">
        <f>SUM(J179:L179)</f>
        <v>82000</v>
      </c>
      <c r="N179" s="226">
        <f>SUM(Sales!N109:N110)</f>
        <v>0</v>
      </c>
      <c r="O179" s="226">
        <f>SUM(Sales!O109:O110)</f>
        <v>0</v>
      </c>
      <c r="P179" s="226">
        <f>SUM(Sales!P109:P110)</f>
        <v>0</v>
      </c>
      <c r="Q179" s="227">
        <f>SUM(N179:P179)</f>
        <v>0</v>
      </c>
      <c r="R179" s="226">
        <f>SUM(Sales!R109:R110)</f>
        <v>0</v>
      </c>
      <c r="S179" s="226">
        <f>SUM(Sales!S109:S110)</f>
        <v>0</v>
      </c>
      <c r="T179" s="226">
        <f>SUM(Sales!T109:T110)</f>
        <v>0</v>
      </c>
      <c r="U179" s="227">
        <f>SUM(R179:T179)</f>
        <v>0</v>
      </c>
      <c r="V179" s="226">
        <f>SUM(Sales!V109:V110)</f>
        <v>0</v>
      </c>
      <c r="W179" s="226">
        <f>SUM(Sales!W109:W110)</f>
        <v>0</v>
      </c>
      <c r="X179" s="226">
        <f>SUM(Sales!X109:X110)</f>
        <v>0</v>
      </c>
      <c r="Y179" s="227">
        <f>SUM(V179:X179)</f>
        <v>0</v>
      </c>
    </row>
    <row r="180" spans="1:25" ht="12.75" hidden="1" customHeight="1" outlineLevel="1" x14ac:dyDescent="0.2">
      <c r="A180" s="198" t="str">
        <f>"      "&amp;Labels!B386</f>
        <v xml:space="preserve">      Prof Level 2</v>
      </c>
      <c r="B180" s="226">
        <f>SUM(Sales!B113:B114)</f>
        <v>0</v>
      </c>
      <c r="C180" s="226">
        <f>SUM(Sales!C113:C114)</f>
        <v>0</v>
      </c>
      <c r="D180" s="226">
        <f>SUM(Sales!D113:D114)</f>
        <v>56375</v>
      </c>
      <c r="E180" s="227">
        <f>SUM(B180:D180)</f>
        <v>56375</v>
      </c>
      <c r="F180" s="226">
        <f>SUM(Sales!F113:F114)</f>
        <v>56375</v>
      </c>
      <c r="G180" s="226">
        <f>SUM(Sales!G113:G114)</f>
        <v>0</v>
      </c>
      <c r="H180" s="226">
        <f>SUM(Sales!H113:H114)</f>
        <v>41000</v>
      </c>
      <c r="I180" s="227">
        <f>SUM(F180:H180)</f>
        <v>97375</v>
      </c>
      <c r="J180" s="226">
        <f>SUM(Sales!J113:J114)</f>
        <v>41000</v>
      </c>
      <c r="K180" s="226">
        <f>SUM(Sales!K113:K114)</f>
        <v>41000</v>
      </c>
      <c r="L180" s="226">
        <f>SUM(Sales!L113:L114)</f>
        <v>0</v>
      </c>
      <c r="M180" s="227">
        <f>SUM(J180:L180)</f>
        <v>82000</v>
      </c>
      <c r="N180" s="226">
        <f>SUM(Sales!N113:N114)</f>
        <v>0</v>
      </c>
      <c r="O180" s="226">
        <f>SUM(Sales!O113:O114)</f>
        <v>0</v>
      </c>
      <c r="P180" s="226">
        <f>SUM(Sales!P113:P114)</f>
        <v>0</v>
      </c>
      <c r="Q180" s="227">
        <f>SUM(N180:P180)</f>
        <v>0</v>
      </c>
      <c r="R180" s="226">
        <f>SUM(Sales!R113:R114)</f>
        <v>0</v>
      </c>
      <c r="S180" s="226">
        <f>SUM(Sales!S113:S114)</f>
        <v>0</v>
      </c>
      <c r="T180" s="226">
        <f>SUM(Sales!T113:T114)</f>
        <v>0</v>
      </c>
      <c r="U180" s="227">
        <f>SUM(R180:T180)</f>
        <v>0</v>
      </c>
      <c r="V180" s="226">
        <f>SUM(Sales!V113:V114)</f>
        <v>0</v>
      </c>
      <c r="W180" s="226">
        <f>SUM(Sales!W113:W114)</f>
        <v>0</v>
      </c>
      <c r="X180" s="226">
        <f>SUM(Sales!X113:X114)</f>
        <v>0</v>
      </c>
      <c r="Y180" s="227">
        <f>SUM(V180:X180)</f>
        <v>0</v>
      </c>
    </row>
    <row r="181" spans="1:25" ht="12.75" hidden="1" customHeight="1" outlineLevel="1" x14ac:dyDescent="0.2">
      <c r="A181" s="188" t="str">
        <f>"      "&amp;Labels!C384</f>
        <v xml:space="preserve">      Total</v>
      </c>
      <c r="B181" s="196">
        <f>SUM(B48:B49)</f>
        <v>0</v>
      </c>
      <c r="C181" s="196">
        <f>SUM(C48:C49)</f>
        <v>0</v>
      </c>
      <c r="D181" s="196">
        <f>SUM(D48:D49)</f>
        <v>112750</v>
      </c>
      <c r="E181" s="197">
        <f>SUM(B181:D181)</f>
        <v>112750</v>
      </c>
      <c r="F181" s="196">
        <f>SUM(F48:F49)</f>
        <v>112750</v>
      </c>
      <c r="G181" s="196">
        <f>SUM(G48:G49)</f>
        <v>0</v>
      </c>
      <c r="H181" s="196">
        <f>SUM(H48:H49)</f>
        <v>82000</v>
      </c>
      <c r="I181" s="197">
        <f>SUM(F181:H181)</f>
        <v>194750</v>
      </c>
      <c r="J181" s="196">
        <f>SUM(J48:J49)</f>
        <v>82000</v>
      </c>
      <c r="K181" s="196">
        <f>SUM(K48:K49)</f>
        <v>82000</v>
      </c>
      <c r="L181" s="196">
        <f>SUM(L48:L49)</f>
        <v>0</v>
      </c>
      <c r="M181" s="197">
        <f>SUM(J181:L181)</f>
        <v>164000</v>
      </c>
      <c r="N181" s="196">
        <f>SUM(N48:N49)</f>
        <v>0</v>
      </c>
      <c r="O181" s="196">
        <f>SUM(O48:O49)</f>
        <v>0</v>
      </c>
      <c r="P181" s="196">
        <f>SUM(P48:P49)</f>
        <v>0</v>
      </c>
      <c r="Q181" s="197">
        <f>SUM(N181:P181)</f>
        <v>0</v>
      </c>
      <c r="R181" s="196">
        <f>SUM(R48:R49)</f>
        <v>0</v>
      </c>
      <c r="S181" s="196">
        <f>SUM(S48:S49)</f>
        <v>0</v>
      </c>
      <c r="T181" s="196">
        <f>SUM(T48:T49)</f>
        <v>0</v>
      </c>
      <c r="U181" s="197">
        <f>SUM(R181:T181)</f>
        <v>0</v>
      </c>
      <c r="V181" s="196">
        <f>SUM(V48:V49)</f>
        <v>0</v>
      </c>
      <c r="W181" s="196">
        <f>SUM(W48:W49)</f>
        <v>0</v>
      </c>
      <c r="X181" s="196">
        <f>SUM(X48:X49)</f>
        <v>0</v>
      </c>
      <c r="Y181" s="197">
        <f>SUM(V181:X181)</f>
        <v>0</v>
      </c>
    </row>
    <row r="182" spans="1:25" ht="12.75" hidden="1" customHeight="1" outlineLevel="1" x14ac:dyDescent="0.2">
      <c r="A182" s="188" t="str">
        <f>"   "&amp;Labels!B382</f>
        <v xml:space="preserve">   Practice 2</v>
      </c>
      <c r="B182" s="196"/>
      <c r="C182" s="196"/>
      <c r="D182" s="196"/>
      <c r="E182" s="197"/>
      <c r="F182" s="196"/>
      <c r="G182" s="196"/>
      <c r="H182" s="196"/>
      <c r="I182" s="197"/>
      <c r="J182" s="196"/>
      <c r="K182" s="196"/>
      <c r="L182" s="196"/>
      <c r="M182" s="197"/>
      <c r="N182" s="196"/>
      <c r="O182" s="196"/>
      <c r="P182" s="196"/>
      <c r="Q182" s="197"/>
      <c r="R182" s="196"/>
      <c r="S182" s="196"/>
      <c r="T182" s="196"/>
      <c r="U182" s="197"/>
      <c r="V182" s="196"/>
      <c r="W182" s="196"/>
      <c r="X182" s="196"/>
      <c r="Y182" s="197"/>
    </row>
    <row r="183" spans="1:25" ht="12.75" hidden="1" customHeight="1" outlineLevel="1" x14ac:dyDescent="0.2">
      <c r="A183" s="198" t="str">
        <f>"      "&amp;Labels!B385</f>
        <v xml:space="preserve">      Prof Level 1</v>
      </c>
      <c r="B183" s="226">
        <f>SUM(Sales!B122:B123)</f>
        <v>0</v>
      </c>
      <c r="C183" s="226">
        <f>SUM(Sales!C122:C123)</f>
        <v>0</v>
      </c>
      <c r="D183" s="226">
        <f>SUM(Sales!D122:D123)</f>
        <v>0</v>
      </c>
      <c r="E183" s="227">
        <f t="shared" ref="E183:E188" si="89">SUM(B183:D183)</f>
        <v>0</v>
      </c>
      <c r="F183" s="226">
        <f>SUM(Sales!F122:F123)</f>
        <v>0</v>
      </c>
      <c r="G183" s="226">
        <f>SUM(Sales!G122:G123)</f>
        <v>0</v>
      </c>
      <c r="H183" s="226">
        <f>SUM(Sales!H122:H123)</f>
        <v>0</v>
      </c>
      <c r="I183" s="227">
        <f t="shared" ref="I183:I188" si="90">SUM(F183:H183)</f>
        <v>0</v>
      </c>
      <c r="J183" s="226">
        <f>SUM(Sales!J122:J123)</f>
        <v>0</v>
      </c>
      <c r="K183" s="226">
        <f>SUM(Sales!K122:K123)</f>
        <v>0</v>
      </c>
      <c r="L183" s="226">
        <f>SUM(Sales!L122:L123)</f>
        <v>0</v>
      </c>
      <c r="M183" s="227">
        <f t="shared" ref="M183:M188" si="91">SUM(J183:L183)</f>
        <v>0</v>
      </c>
      <c r="N183" s="226">
        <f>SUM(Sales!N122:N123)</f>
        <v>0</v>
      </c>
      <c r="O183" s="226">
        <f>SUM(Sales!O122:O123)</f>
        <v>0</v>
      </c>
      <c r="P183" s="226">
        <f>SUM(Sales!P122:P123)</f>
        <v>0</v>
      </c>
      <c r="Q183" s="227">
        <f t="shared" ref="Q183:Q188" si="92">SUM(N183:P183)</f>
        <v>0</v>
      </c>
      <c r="R183" s="226">
        <f>SUM(Sales!R122:R123)</f>
        <v>0</v>
      </c>
      <c r="S183" s="226">
        <f>SUM(Sales!S122:S123)</f>
        <v>0</v>
      </c>
      <c r="T183" s="226">
        <f>SUM(Sales!T122:T123)</f>
        <v>0</v>
      </c>
      <c r="U183" s="227">
        <f t="shared" ref="U183:U188" si="93">SUM(R183:T183)</f>
        <v>0</v>
      </c>
      <c r="V183" s="226">
        <f>SUM(Sales!V122:V123)</f>
        <v>0</v>
      </c>
      <c r="W183" s="226">
        <f>SUM(Sales!W122:W123)</f>
        <v>0</v>
      </c>
      <c r="X183" s="226">
        <f>SUM(Sales!X122:X123)</f>
        <v>0</v>
      </c>
      <c r="Y183" s="227">
        <f t="shared" ref="Y183:Y188" si="94">SUM(V183:X183)</f>
        <v>0</v>
      </c>
    </row>
    <row r="184" spans="1:25" ht="12.75" hidden="1" customHeight="1" outlineLevel="1" x14ac:dyDescent="0.2">
      <c r="A184" s="198" t="str">
        <f>"      "&amp;Labels!B386</f>
        <v xml:space="preserve">      Prof Level 2</v>
      </c>
      <c r="B184" s="226">
        <f>SUM(Sales!B126:B127)</f>
        <v>0</v>
      </c>
      <c r="C184" s="226">
        <f>SUM(Sales!C126:C127)</f>
        <v>0</v>
      </c>
      <c r="D184" s="226">
        <f>SUM(Sales!D126:D127)</f>
        <v>0</v>
      </c>
      <c r="E184" s="227">
        <f t="shared" si="89"/>
        <v>0</v>
      </c>
      <c r="F184" s="226">
        <f>SUM(Sales!F126:F127)</f>
        <v>0</v>
      </c>
      <c r="G184" s="226">
        <f>SUM(Sales!G126:G127)</f>
        <v>0</v>
      </c>
      <c r="H184" s="226">
        <f>SUM(Sales!H126:H127)</f>
        <v>0</v>
      </c>
      <c r="I184" s="227">
        <f t="shared" si="90"/>
        <v>0</v>
      </c>
      <c r="J184" s="226">
        <f>SUM(Sales!J126:J127)</f>
        <v>0</v>
      </c>
      <c r="K184" s="226">
        <f>SUM(Sales!K126:K127)</f>
        <v>0</v>
      </c>
      <c r="L184" s="226">
        <f>SUM(Sales!L126:L127)</f>
        <v>0</v>
      </c>
      <c r="M184" s="227">
        <f t="shared" si="91"/>
        <v>0</v>
      </c>
      <c r="N184" s="226">
        <f>SUM(Sales!N126:N127)</f>
        <v>0</v>
      </c>
      <c r="O184" s="226">
        <f>SUM(Sales!O126:O127)</f>
        <v>0</v>
      </c>
      <c r="P184" s="226">
        <f>SUM(Sales!P126:P127)</f>
        <v>0</v>
      </c>
      <c r="Q184" s="227">
        <f t="shared" si="92"/>
        <v>0</v>
      </c>
      <c r="R184" s="226">
        <f>SUM(Sales!R126:R127)</f>
        <v>0</v>
      </c>
      <c r="S184" s="226">
        <f>SUM(Sales!S126:S127)</f>
        <v>0</v>
      </c>
      <c r="T184" s="226">
        <f>SUM(Sales!T126:T127)</f>
        <v>0</v>
      </c>
      <c r="U184" s="227">
        <f t="shared" si="93"/>
        <v>0</v>
      </c>
      <c r="V184" s="226">
        <f>SUM(Sales!V126:V127)</f>
        <v>0</v>
      </c>
      <c r="W184" s="226">
        <f>SUM(Sales!W126:W127)</f>
        <v>0</v>
      </c>
      <c r="X184" s="226">
        <f>SUM(Sales!X126:X127)</f>
        <v>0</v>
      </c>
      <c r="Y184" s="227">
        <f t="shared" si="94"/>
        <v>0</v>
      </c>
    </row>
    <row r="185" spans="1:25" ht="12.75" hidden="1" customHeight="1" outlineLevel="1" x14ac:dyDescent="0.2">
      <c r="A185" s="188" t="str">
        <f>"      "&amp;Labels!C384</f>
        <v xml:space="preserve">      Total</v>
      </c>
      <c r="B185" s="196">
        <f>SUM(B52:B53)</f>
        <v>0</v>
      </c>
      <c r="C185" s="196">
        <f>SUM(C52:C53)</f>
        <v>0</v>
      </c>
      <c r="D185" s="196">
        <f>SUM(D52:D53)</f>
        <v>0</v>
      </c>
      <c r="E185" s="197">
        <f t="shared" si="89"/>
        <v>0</v>
      </c>
      <c r="F185" s="196">
        <f>SUM(F52:F53)</f>
        <v>0</v>
      </c>
      <c r="G185" s="196">
        <f>SUM(G52:G53)</f>
        <v>0</v>
      </c>
      <c r="H185" s="196">
        <f>SUM(H52:H53)</f>
        <v>0</v>
      </c>
      <c r="I185" s="197">
        <f t="shared" si="90"/>
        <v>0</v>
      </c>
      <c r="J185" s="196">
        <f>SUM(J52:J53)</f>
        <v>0</v>
      </c>
      <c r="K185" s="196">
        <f>SUM(K52:K53)</f>
        <v>0</v>
      </c>
      <c r="L185" s="196">
        <f>SUM(L52:L53)</f>
        <v>0</v>
      </c>
      <c r="M185" s="197">
        <f t="shared" si="91"/>
        <v>0</v>
      </c>
      <c r="N185" s="196">
        <f>SUM(N52:N53)</f>
        <v>0</v>
      </c>
      <c r="O185" s="196">
        <f>SUM(O52:O53)</f>
        <v>0</v>
      </c>
      <c r="P185" s="196">
        <f>SUM(P52:P53)</f>
        <v>0</v>
      </c>
      <c r="Q185" s="197">
        <f t="shared" si="92"/>
        <v>0</v>
      </c>
      <c r="R185" s="196">
        <f>SUM(R52:R53)</f>
        <v>0</v>
      </c>
      <c r="S185" s="196">
        <f>SUM(S52:S53)</f>
        <v>0</v>
      </c>
      <c r="T185" s="196">
        <f>SUM(T52:T53)</f>
        <v>0</v>
      </c>
      <c r="U185" s="197">
        <f t="shared" si="93"/>
        <v>0</v>
      </c>
      <c r="V185" s="196">
        <f>SUM(V52:V53)</f>
        <v>0</v>
      </c>
      <c r="W185" s="196">
        <f>SUM(W52:W53)</f>
        <v>0</v>
      </c>
      <c r="X185" s="196">
        <f>SUM(X52:X53)</f>
        <v>0</v>
      </c>
      <c r="Y185" s="197">
        <f t="shared" si="94"/>
        <v>0</v>
      </c>
    </row>
    <row r="186" spans="1:25" ht="12.75" hidden="1" customHeight="1" outlineLevel="1" x14ac:dyDescent="0.2">
      <c r="A186" s="191" t="str">
        <f>"   "&amp;Labels!C380</f>
        <v xml:space="preserve">   Total</v>
      </c>
      <c r="B186" s="192">
        <f>SUM(B181,B185)</f>
        <v>0</v>
      </c>
      <c r="C186" s="192">
        <f>SUM(C181,C185)</f>
        <v>0</v>
      </c>
      <c r="D186" s="192">
        <f>SUM(D181,D185)</f>
        <v>112750</v>
      </c>
      <c r="E186" s="190">
        <f t="shared" si="89"/>
        <v>112750</v>
      </c>
      <c r="F186" s="192">
        <f>SUM(F181,F185)</f>
        <v>112750</v>
      </c>
      <c r="G186" s="192">
        <f>SUM(G181,G185)</f>
        <v>0</v>
      </c>
      <c r="H186" s="192">
        <f>SUM(H181,H185)</f>
        <v>82000</v>
      </c>
      <c r="I186" s="190">
        <f t="shared" si="90"/>
        <v>194750</v>
      </c>
      <c r="J186" s="192">
        <f>SUM(J181,J185)</f>
        <v>82000</v>
      </c>
      <c r="K186" s="192">
        <f>SUM(K181,K185)</f>
        <v>82000</v>
      </c>
      <c r="L186" s="192">
        <f>SUM(L181,L185)</f>
        <v>0</v>
      </c>
      <c r="M186" s="190">
        <f t="shared" si="91"/>
        <v>164000</v>
      </c>
      <c r="N186" s="192">
        <f>SUM(N181,N185)</f>
        <v>0</v>
      </c>
      <c r="O186" s="192">
        <f>SUM(O181,O185)</f>
        <v>0</v>
      </c>
      <c r="P186" s="192">
        <f>SUM(P181,P185)</f>
        <v>0</v>
      </c>
      <c r="Q186" s="190">
        <f t="shared" si="92"/>
        <v>0</v>
      </c>
      <c r="R186" s="192">
        <f>SUM(R181,R185)</f>
        <v>0</v>
      </c>
      <c r="S186" s="192">
        <f>SUM(S181,S185)</f>
        <v>0</v>
      </c>
      <c r="T186" s="192">
        <f>SUM(T181,T185)</f>
        <v>0</v>
      </c>
      <c r="U186" s="190">
        <f t="shared" si="93"/>
        <v>0</v>
      </c>
      <c r="V186" s="192">
        <f>SUM(V181,V185)</f>
        <v>0</v>
      </c>
      <c r="W186" s="192">
        <f>SUM(W181,W185)</f>
        <v>0</v>
      </c>
      <c r="X186" s="192">
        <f>SUM(X181,X185)</f>
        <v>0</v>
      </c>
      <c r="Y186" s="190">
        <f t="shared" si="94"/>
        <v>0</v>
      </c>
    </row>
    <row r="187" spans="1:25" ht="12.75" hidden="1" customHeight="1" outlineLevel="1" x14ac:dyDescent="0.2">
      <c r="A187" s="198" t="str">
        <f>"      "&amp;Labels!B385</f>
        <v xml:space="preserve">      Prof Level 1</v>
      </c>
      <c r="B187" s="226">
        <f t="shared" ref="B187:D189" si="95">SUM(B179,B183)</f>
        <v>0</v>
      </c>
      <c r="C187" s="226">
        <f t="shared" si="95"/>
        <v>0</v>
      </c>
      <c r="D187" s="226">
        <f t="shared" si="95"/>
        <v>56375</v>
      </c>
      <c r="E187" s="227">
        <f t="shared" si="89"/>
        <v>56375</v>
      </c>
      <c r="F187" s="226">
        <f t="shared" ref="F187:H189" si="96">SUM(F179,F183)</f>
        <v>56375</v>
      </c>
      <c r="G187" s="226">
        <f t="shared" si="96"/>
        <v>0</v>
      </c>
      <c r="H187" s="226">
        <f t="shared" si="96"/>
        <v>41000</v>
      </c>
      <c r="I187" s="227">
        <f t="shared" si="90"/>
        <v>97375</v>
      </c>
      <c r="J187" s="226">
        <f t="shared" ref="J187:L189" si="97">SUM(J179,J183)</f>
        <v>41000</v>
      </c>
      <c r="K187" s="226">
        <f t="shared" si="97"/>
        <v>41000</v>
      </c>
      <c r="L187" s="226">
        <f t="shared" si="97"/>
        <v>0</v>
      </c>
      <c r="M187" s="227">
        <f t="shared" si="91"/>
        <v>82000</v>
      </c>
      <c r="N187" s="226">
        <f t="shared" ref="N187:P189" si="98">SUM(N179,N183)</f>
        <v>0</v>
      </c>
      <c r="O187" s="226">
        <f t="shared" si="98"/>
        <v>0</v>
      </c>
      <c r="P187" s="226">
        <f t="shared" si="98"/>
        <v>0</v>
      </c>
      <c r="Q187" s="227">
        <f t="shared" si="92"/>
        <v>0</v>
      </c>
      <c r="R187" s="226">
        <f t="shared" ref="R187:T189" si="99">SUM(R179,R183)</f>
        <v>0</v>
      </c>
      <c r="S187" s="226">
        <f t="shared" si="99"/>
        <v>0</v>
      </c>
      <c r="T187" s="226">
        <f t="shared" si="99"/>
        <v>0</v>
      </c>
      <c r="U187" s="227">
        <f t="shared" si="93"/>
        <v>0</v>
      </c>
      <c r="V187" s="226">
        <f t="shared" ref="V187:X189" si="100">SUM(V179,V183)</f>
        <v>0</v>
      </c>
      <c r="W187" s="226">
        <f t="shared" si="100"/>
        <v>0</v>
      </c>
      <c r="X187" s="226">
        <f t="shared" si="100"/>
        <v>0</v>
      </c>
      <c r="Y187" s="227">
        <f t="shared" si="94"/>
        <v>0</v>
      </c>
    </row>
    <row r="188" spans="1:25" ht="12.75" hidden="1" customHeight="1" outlineLevel="1" x14ac:dyDescent="0.2">
      <c r="A188" s="198" t="str">
        <f>"      "&amp;Labels!B386</f>
        <v xml:space="preserve">      Prof Level 2</v>
      </c>
      <c r="B188" s="226">
        <f t="shared" si="95"/>
        <v>0</v>
      </c>
      <c r="C188" s="226">
        <f t="shared" si="95"/>
        <v>0</v>
      </c>
      <c r="D188" s="226">
        <f t="shared" si="95"/>
        <v>56375</v>
      </c>
      <c r="E188" s="227">
        <f t="shared" si="89"/>
        <v>56375</v>
      </c>
      <c r="F188" s="226">
        <f t="shared" si="96"/>
        <v>56375</v>
      </c>
      <c r="G188" s="226">
        <f t="shared" si="96"/>
        <v>0</v>
      </c>
      <c r="H188" s="226">
        <f t="shared" si="96"/>
        <v>41000</v>
      </c>
      <c r="I188" s="227">
        <f t="shared" si="90"/>
        <v>97375</v>
      </c>
      <c r="J188" s="226">
        <f t="shared" si="97"/>
        <v>41000</v>
      </c>
      <c r="K188" s="226">
        <f t="shared" si="97"/>
        <v>41000</v>
      </c>
      <c r="L188" s="226">
        <f t="shared" si="97"/>
        <v>0</v>
      </c>
      <c r="M188" s="227">
        <f t="shared" si="91"/>
        <v>82000</v>
      </c>
      <c r="N188" s="226">
        <f t="shared" si="98"/>
        <v>0</v>
      </c>
      <c r="O188" s="226">
        <f t="shared" si="98"/>
        <v>0</v>
      </c>
      <c r="P188" s="226">
        <f t="shared" si="98"/>
        <v>0</v>
      </c>
      <c r="Q188" s="227">
        <f t="shared" si="92"/>
        <v>0</v>
      </c>
      <c r="R188" s="226">
        <f t="shared" si="99"/>
        <v>0</v>
      </c>
      <c r="S188" s="226">
        <f t="shared" si="99"/>
        <v>0</v>
      </c>
      <c r="T188" s="226">
        <f t="shared" si="99"/>
        <v>0</v>
      </c>
      <c r="U188" s="227">
        <f t="shared" si="93"/>
        <v>0</v>
      </c>
      <c r="V188" s="226">
        <f t="shared" si="100"/>
        <v>0</v>
      </c>
      <c r="W188" s="226">
        <f t="shared" si="100"/>
        <v>0</v>
      </c>
      <c r="X188" s="226">
        <f t="shared" si="100"/>
        <v>0</v>
      </c>
      <c r="Y188" s="227">
        <f t="shared" si="94"/>
        <v>0</v>
      </c>
    </row>
    <row r="189" spans="1:25" ht="12.75" hidden="1" customHeight="1" outlineLevel="1" x14ac:dyDescent="0.2">
      <c r="A189" s="220" t="str">
        <f>"      "&amp;Labels!C384</f>
        <v xml:space="preserve">      Total</v>
      </c>
      <c r="B189" s="228">
        <f t="shared" si="95"/>
        <v>0</v>
      </c>
      <c r="C189" s="228">
        <f t="shared" si="95"/>
        <v>0</v>
      </c>
      <c r="D189" s="228">
        <f t="shared" si="95"/>
        <v>112750</v>
      </c>
      <c r="E189" s="229">
        <f>SUM(B186:D186)</f>
        <v>112750</v>
      </c>
      <c r="F189" s="228">
        <f t="shared" si="96"/>
        <v>112750</v>
      </c>
      <c r="G189" s="228">
        <f t="shared" si="96"/>
        <v>0</v>
      </c>
      <c r="H189" s="228">
        <f t="shared" si="96"/>
        <v>82000</v>
      </c>
      <c r="I189" s="229">
        <f>SUM(F186:H186)</f>
        <v>194750</v>
      </c>
      <c r="J189" s="228">
        <f t="shared" si="97"/>
        <v>82000</v>
      </c>
      <c r="K189" s="228">
        <f t="shared" si="97"/>
        <v>82000</v>
      </c>
      <c r="L189" s="228">
        <f t="shared" si="97"/>
        <v>0</v>
      </c>
      <c r="M189" s="229">
        <f>SUM(J186:L186)</f>
        <v>164000</v>
      </c>
      <c r="N189" s="228">
        <f t="shared" si="98"/>
        <v>0</v>
      </c>
      <c r="O189" s="228">
        <f t="shared" si="98"/>
        <v>0</v>
      </c>
      <c r="P189" s="228">
        <f t="shared" si="98"/>
        <v>0</v>
      </c>
      <c r="Q189" s="229">
        <f>SUM(N186:P186)</f>
        <v>0</v>
      </c>
      <c r="R189" s="228">
        <f t="shared" si="99"/>
        <v>0</v>
      </c>
      <c r="S189" s="228">
        <f t="shared" si="99"/>
        <v>0</v>
      </c>
      <c r="T189" s="228">
        <f t="shared" si="99"/>
        <v>0</v>
      </c>
      <c r="U189" s="229">
        <f>SUM(R186:T186)</f>
        <v>0</v>
      </c>
      <c r="V189" s="228">
        <f t="shared" si="100"/>
        <v>0</v>
      </c>
      <c r="W189" s="228">
        <f t="shared" si="100"/>
        <v>0</v>
      </c>
      <c r="X189" s="228">
        <f t="shared" si="100"/>
        <v>0</v>
      </c>
      <c r="Y189" s="229">
        <f>SUM(V186:X186)</f>
        <v>0</v>
      </c>
    </row>
    <row r="190" spans="1:25" ht="12.75" hidden="1" customHeight="1" outlineLevel="1" x14ac:dyDescent="0.2"/>
    <row r="191" spans="1:25" ht="12.75" hidden="1" customHeight="1" outlineLevel="1" x14ac:dyDescent="0.2">
      <c r="A191" s="182" t="str">
        <f>Labels!B44</f>
        <v xml:space="preserve">Cost of Services - Staff </v>
      </c>
      <c r="B191" s="239"/>
      <c r="C191" s="239"/>
      <c r="D191" s="239"/>
      <c r="E191" s="240"/>
      <c r="F191" s="239"/>
      <c r="G191" s="239"/>
      <c r="H191" s="239"/>
      <c r="I191" s="240"/>
      <c r="J191" s="239"/>
      <c r="K191" s="239"/>
      <c r="L191" s="239"/>
      <c r="M191" s="240"/>
      <c r="N191" s="239"/>
      <c r="O191" s="239"/>
      <c r="P191" s="239"/>
      <c r="Q191" s="240"/>
      <c r="R191" s="239"/>
      <c r="S191" s="239"/>
      <c r="T191" s="239"/>
      <c r="U191" s="240"/>
      <c r="V191" s="239"/>
      <c r="W191" s="239"/>
      <c r="X191" s="239"/>
      <c r="Y191" s="240"/>
    </row>
    <row r="192" spans="1:25" ht="12.75" hidden="1" customHeight="1" outlineLevel="1" x14ac:dyDescent="0.2">
      <c r="A192" s="188" t="str">
        <f>"   "&amp;Labels!B381</f>
        <v xml:space="preserve">   Practice 1</v>
      </c>
      <c r="B192" s="241"/>
      <c r="C192" s="241"/>
      <c r="D192" s="241"/>
      <c r="E192" s="242"/>
      <c r="F192" s="241"/>
      <c r="G192" s="241"/>
      <c r="H192" s="241"/>
      <c r="I192" s="242"/>
      <c r="J192" s="241"/>
      <c r="K192" s="241"/>
      <c r="L192" s="241"/>
      <c r="M192" s="242"/>
      <c r="N192" s="241"/>
      <c r="O192" s="241"/>
      <c r="P192" s="241"/>
      <c r="Q192" s="242"/>
      <c r="R192" s="241"/>
      <c r="S192" s="241"/>
      <c r="T192" s="241"/>
      <c r="U192" s="242"/>
      <c r="V192" s="241"/>
      <c r="W192" s="241"/>
      <c r="X192" s="241"/>
      <c r="Y192" s="242"/>
    </row>
    <row r="193" spans="1:25" ht="12.75" hidden="1" customHeight="1" outlineLevel="1" x14ac:dyDescent="0.2">
      <c r="A193" s="198" t="str">
        <f>"      "&amp;Labels!B385</f>
        <v xml:space="preserve">      Prof Level 1</v>
      </c>
      <c r="B193" s="243">
        <f>SUM('GM CostSvcs'!B13:B14)</f>
        <v>0</v>
      </c>
      <c r="C193" s="243">
        <f>SUM('GM CostSvcs'!C13:C14)</f>
        <v>0</v>
      </c>
      <c r="D193" s="243">
        <f>SUM('GM CostSvcs'!D13:D14)</f>
        <v>0</v>
      </c>
      <c r="E193" s="244">
        <f>SUM(B193:D193)</f>
        <v>0</v>
      </c>
      <c r="F193" s="243">
        <f>SUM('GM CostSvcs'!F13:F14)</f>
        <v>0</v>
      </c>
      <c r="G193" s="243">
        <f>SUM('GM CostSvcs'!G13:G14)</f>
        <v>0</v>
      </c>
      <c r="H193" s="243">
        <f>SUM('GM CostSvcs'!H13:H14)</f>
        <v>0</v>
      </c>
      <c r="I193" s="244">
        <f>SUM(F193:H193)</f>
        <v>0</v>
      </c>
      <c r="J193" s="243">
        <f>SUM('GM CostSvcs'!J13:J14)</f>
        <v>14130.446485530005</v>
      </c>
      <c r="K193" s="243">
        <f>SUM('GM CostSvcs'!K13:K14)</f>
        <v>14165.295978566419</v>
      </c>
      <c r="L193" s="243">
        <f>SUM('GM CostSvcs'!L13:L14)</f>
        <v>0</v>
      </c>
      <c r="M193" s="244">
        <f>SUM(J193:L193)</f>
        <v>28295.742464096424</v>
      </c>
      <c r="N193" s="243">
        <f>SUM('GM CostSvcs'!N13:N14)</f>
        <v>0</v>
      </c>
      <c r="O193" s="243">
        <f>SUM('GM CostSvcs'!O13:O14)</f>
        <v>0</v>
      </c>
      <c r="P193" s="243">
        <f>SUM('GM CostSvcs'!P13:P14)</f>
        <v>0</v>
      </c>
      <c r="Q193" s="244">
        <f>SUM(N193:P193)</f>
        <v>0</v>
      </c>
      <c r="R193" s="243">
        <f>SUM('GM CostSvcs'!R13:R14)</f>
        <v>0</v>
      </c>
      <c r="S193" s="243">
        <f>SUM('GM CostSvcs'!S13:S14)</f>
        <v>0</v>
      </c>
      <c r="T193" s="243">
        <f>SUM('GM CostSvcs'!T13:T14)</f>
        <v>0</v>
      </c>
      <c r="U193" s="244">
        <f>SUM(R193:T193)</f>
        <v>0</v>
      </c>
      <c r="V193" s="243">
        <f>SUM('GM CostSvcs'!V13:V14)</f>
        <v>0</v>
      </c>
      <c r="W193" s="243">
        <f>SUM('GM CostSvcs'!W13:W14)</f>
        <v>0</v>
      </c>
      <c r="X193" s="243">
        <f>SUM('GM CostSvcs'!X13:X14)</f>
        <v>0</v>
      </c>
      <c r="Y193" s="244">
        <f>SUM(V193:X193)</f>
        <v>0</v>
      </c>
    </row>
    <row r="194" spans="1:25" ht="12.75" hidden="1" customHeight="1" outlineLevel="1" x14ac:dyDescent="0.2">
      <c r="A194" s="198" t="str">
        <f>"      "&amp;Labels!B386</f>
        <v xml:space="preserve">      Prof Level 2</v>
      </c>
      <c r="B194" s="243">
        <f>SUM('GM CostSvcs'!B17:B18)</f>
        <v>0</v>
      </c>
      <c r="C194" s="243">
        <f>SUM('GM CostSvcs'!C17:C18)</f>
        <v>0</v>
      </c>
      <c r="D194" s="243">
        <f>SUM('GM CostSvcs'!D17:D18)</f>
        <v>0</v>
      </c>
      <c r="E194" s="244">
        <f>SUM(B194:D194)</f>
        <v>0</v>
      </c>
      <c r="F194" s="243">
        <f>SUM('GM CostSvcs'!F17:F18)</f>
        <v>0</v>
      </c>
      <c r="G194" s="243">
        <f>SUM('GM CostSvcs'!G17:G18)</f>
        <v>0</v>
      </c>
      <c r="H194" s="243">
        <f>SUM('GM CostSvcs'!H17:H18)</f>
        <v>0</v>
      </c>
      <c r="I194" s="244">
        <f>SUM(F194:H194)</f>
        <v>0</v>
      </c>
      <c r="J194" s="243">
        <f>SUM('GM CostSvcs'!J17:J18)</f>
        <v>14130.446485530005</v>
      </c>
      <c r="K194" s="243">
        <f>SUM('GM CostSvcs'!K17:K18)</f>
        <v>14165.295978566419</v>
      </c>
      <c r="L194" s="243">
        <f>SUM('GM CostSvcs'!L17:L18)</f>
        <v>0</v>
      </c>
      <c r="M194" s="244">
        <f>SUM(J194:L194)</f>
        <v>28295.742464096424</v>
      </c>
      <c r="N194" s="243">
        <f>SUM('GM CostSvcs'!N17:N18)</f>
        <v>0</v>
      </c>
      <c r="O194" s="243">
        <f>SUM('GM CostSvcs'!O17:O18)</f>
        <v>0</v>
      </c>
      <c r="P194" s="243">
        <f>SUM('GM CostSvcs'!P17:P18)</f>
        <v>0</v>
      </c>
      <c r="Q194" s="244">
        <f>SUM(N194:P194)</f>
        <v>0</v>
      </c>
      <c r="R194" s="243">
        <f>SUM('GM CostSvcs'!R17:R18)</f>
        <v>0</v>
      </c>
      <c r="S194" s="243">
        <f>SUM('GM CostSvcs'!S17:S18)</f>
        <v>0</v>
      </c>
      <c r="T194" s="243">
        <f>SUM('GM CostSvcs'!T17:T18)</f>
        <v>0</v>
      </c>
      <c r="U194" s="244">
        <f>SUM(R194:T194)</f>
        <v>0</v>
      </c>
      <c r="V194" s="243">
        <f>SUM('GM CostSvcs'!V17:V18)</f>
        <v>0</v>
      </c>
      <c r="W194" s="243">
        <f>SUM('GM CostSvcs'!W17:W18)</f>
        <v>0</v>
      </c>
      <c r="X194" s="243">
        <f>SUM('GM CostSvcs'!X17:X18)</f>
        <v>0</v>
      </c>
      <c r="Y194" s="244">
        <f>SUM(V194:X194)</f>
        <v>0</v>
      </c>
    </row>
    <row r="195" spans="1:25" ht="12.75" hidden="1" customHeight="1" outlineLevel="1" x14ac:dyDescent="0.2">
      <c r="A195" s="188" t="str">
        <f>"      "&amp;Labels!C384</f>
        <v xml:space="preserve">      Total</v>
      </c>
      <c r="B195" s="241">
        <f>SUM(B193:B194)</f>
        <v>0</v>
      </c>
      <c r="C195" s="241">
        <f>SUM(C193:C194)</f>
        <v>0</v>
      </c>
      <c r="D195" s="241">
        <f>SUM(D193:D194)</f>
        <v>0</v>
      </c>
      <c r="E195" s="242">
        <f>SUM(B195:D195)</f>
        <v>0</v>
      </c>
      <c r="F195" s="241">
        <f>SUM(F193:F194)</f>
        <v>0</v>
      </c>
      <c r="G195" s="241">
        <f>SUM(G193:G194)</f>
        <v>0</v>
      </c>
      <c r="H195" s="241">
        <f>SUM(H193:H194)</f>
        <v>0</v>
      </c>
      <c r="I195" s="242">
        <f>SUM(F195:H195)</f>
        <v>0</v>
      </c>
      <c r="J195" s="241">
        <f>SUM(J193:J194)</f>
        <v>28260.89297106001</v>
      </c>
      <c r="K195" s="241">
        <f>SUM(K193:K194)</f>
        <v>28330.591957132838</v>
      </c>
      <c r="L195" s="241">
        <f>SUM(L193:L194)</f>
        <v>0</v>
      </c>
      <c r="M195" s="242">
        <f>SUM(J195:L195)</f>
        <v>56591.484928192847</v>
      </c>
      <c r="N195" s="241">
        <f>SUM(N193:N194)</f>
        <v>0</v>
      </c>
      <c r="O195" s="241">
        <f>SUM(O193:O194)</f>
        <v>0</v>
      </c>
      <c r="P195" s="241">
        <f>SUM(P193:P194)</f>
        <v>0</v>
      </c>
      <c r="Q195" s="242">
        <f>SUM(N195:P195)</f>
        <v>0</v>
      </c>
      <c r="R195" s="241">
        <f>SUM(R193:R194)</f>
        <v>0</v>
      </c>
      <c r="S195" s="241">
        <f>SUM(S193:S194)</f>
        <v>0</v>
      </c>
      <c r="T195" s="241">
        <f>SUM(T193:T194)</f>
        <v>0</v>
      </c>
      <c r="U195" s="242">
        <f>SUM(R195:T195)</f>
        <v>0</v>
      </c>
      <c r="V195" s="241">
        <f>SUM(V193:V194)</f>
        <v>0</v>
      </c>
      <c r="W195" s="241">
        <f>SUM(W193:W194)</f>
        <v>0</v>
      </c>
      <c r="X195" s="241">
        <f>SUM(X193:X194)</f>
        <v>0</v>
      </c>
      <c r="Y195" s="242">
        <f>SUM(V195:X195)</f>
        <v>0</v>
      </c>
    </row>
    <row r="196" spans="1:25" ht="12.75" hidden="1" customHeight="1" outlineLevel="1" x14ac:dyDescent="0.2">
      <c r="A196" s="188" t="str">
        <f>"   "&amp;Labels!B382</f>
        <v xml:space="preserve">   Practice 2</v>
      </c>
      <c r="B196" s="241"/>
      <c r="C196" s="241"/>
      <c r="D196" s="241"/>
      <c r="E196" s="242"/>
      <c r="F196" s="241"/>
      <c r="G196" s="241"/>
      <c r="H196" s="241"/>
      <c r="I196" s="242"/>
      <c r="J196" s="241"/>
      <c r="K196" s="241"/>
      <c r="L196" s="241"/>
      <c r="M196" s="242"/>
      <c r="N196" s="241"/>
      <c r="O196" s="241"/>
      <c r="P196" s="241"/>
      <c r="Q196" s="242"/>
      <c r="R196" s="241"/>
      <c r="S196" s="241"/>
      <c r="T196" s="241"/>
      <c r="U196" s="242"/>
      <c r="V196" s="241"/>
      <c r="W196" s="241"/>
      <c r="X196" s="241"/>
      <c r="Y196" s="242"/>
    </row>
    <row r="197" spans="1:25" ht="12.75" hidden="1" customHeight="1" outlineLevel="1" x14ac:dyDescent="0.2">
      <c r="A197" s="198" t="str">
        <f>"      "&amp;Labels!B385</f>
        <v xml:space="preserve">      Prof Level 1</v>
      </c>
      <c r="B197" s="243">
        <f>SUM('GM CostSvcs'!B26:B27)</f>
        <v>0</v>
      </c>
      <c r="C197" s="243">
        <f>SUM('GM CostSvcs'!C26:C27)</f>
        <v>0</v>
      </c>
      <c r="D197" s="243">
        <f>SUM('GM CostSvcs'!D26:D27)</f>
        <v>0</v>
      </c>
      <c r="E197" s="244">
        <f t="shared" ref="E197:E202" si="101">SUM(B197:D197)</f>
        <v>0</v>
      </c>
      <c r="F197" s="243">
        <f>SUM('GM CostSvcs'!F26:F27)</f>
        <v>0</v>
      </c>
      <c r="G197" s="243">
        <f>SUM('GM CostSvcs'!G26:G27)</f>
        <v>0</v>
      </c>
      <c r="H197" s="243">
        <f>SUM('GM CostSvcs'!H26:H27)</f>
        <v>0</v>
      </c>
      <c r="I197" s="244">
        <f t="shared" ref="I197:I202" si="102">SUM(F197:H197)</f>
        <v>0</v>
      </c>
      <c r="J197" s="243">
        <f>SUM('GM CostSvcs'!J26:J27)</f>
        <v>0</v>
      </c>
      <c r="K197" s="243">
        <f>SUM('GM CostSvcs'!K26:K27)</f>
        <v>0</v>
      </c>
      <c r="L197" s="243">
        <f>SUM('GM CostSvcs'!L26:L27)</f>
        <v>0</v>
      </c>
      <c r="M197" s="244">
        <f t="shared" ref="M197:M202" si="103">SUM(J197:L197)</f>
        <v>0</v>
      </c>
      <c r="N197" s="243">
        <f>SUM('GM CostSvcs'!N26:N27)</f>
        <v>0</v>
      </c>
      <c r="O197" s="243">
        <f>SUM('GM CostSvcs'!O26:O27)</f>
        <v>0</v>
      </c>
      <c r="P197" s="243">
        <f>SUM('GM CostSvcs'!P26:P27)</f>
        <v>0</v>
      </c>
      <c r="Q197" s="244">
        <f t="shared" ref="Q197:Q202" si="104">SUM(N197:P197)</f>
        <v>0</v>
      </c>
      <c r="R197" s="243">
        <f>SUM('GM CostSvcs'!R26:R27)</f>
        <v>0</v>
      </c>
      <c r="S197" s="243">
        <f>SUM('GM CostSvcs'!S26:S27)</f>
        <v>0</v>
      </c>
      <c r="T197" s="243">
        <f>SUM('GM CostSvcs'!T26:T27)</f>
        <v>0</v>
      </c>
      <c r="U197" s="244">
        <f t="shared" ref="U197:U202" si="105">SUM(R197:T197)</f>
        <v>0</v>
      </c>
      <c r="V197" s="243">
        <f>SUM('GM CostSvcs'!V26:V27)</f>
        <v>0</v>
      </c>
      <c r="W197" s="243">
        <f>SUM('GM CostSvcs'!W26:W27)</f>
        <v>0</v>
      </c>
      <c r="X197" s="243">
        <f>SUM('GM CostSvcs'!X26:X27)</f>
        <v>0</v>
      </c>
      <c r="Y197" s="244">
        <f t="shared" ref="Y197:Y202" si="106">SUM(V197:X197)</f>
        <v>0</v>
      </c>
    </row>
    <row r="198" spans="1:25" ht="12.75" hidden="1" customHeight="1" outlineLevel="1" x14ac:dyDescent="0.2">
      <c r="A198" s="198" t="str">
        <f>"      "&amp;Labels!B386</f>
        <v xml:space="preserve">      Prof Level 2</v>
      </c>
      <c r="B198" s="243">
        <f>SUM('GM CostSvcs'!B30:B31)</f>
        <v>0</v>
      </c>
      <c r="C198" s="243">
        <f>SUM('GM CostSvcs'!C30:C31)</f>
        <v>0</v>
      </c>
      <c r="D198" s="243">
        <f>SUM('GM CostSvcs'!D30:D31)</f>
        <v>0</v>
      </c>
      <c r="E198" s="244">
        <f t="shared" si="101"/>
        <v>0</v>
      </c>
      <c r="F198" s="243">
        <f>SUM('GM CostSvcs'!F30:F31)</f>
        <v>0</v>
      </c>
      <c r="G198" s="243">
        <f>SUM('GM CostSvcs'!G30:G31)</f>
        <v>0</v>
      </c>
      <c r="H198" s="243">
        <f>SUM('GM CostSvcs'!H30:H31)</f>
        <v>0</v>
      </c>
      <c r="I198" s="244">
        <f t="shared" si="102"/>
        <v>0</v>
      </c>
      <c r="J198" s="243">
        <f>SUM('GM CostSvcs'!J30:J31)</f>
        <v>0</v>
      </c>
      <c r="K198" s="243">
        <f>SUM('GM CostSvcs'!K30:K31)</f>
        <v>0</v>
      </c>
      <c r="L198" s="243">
        <f>SUM('GM CostSvcs'!L30:L31)</f>
        <v>0</v>
      </c>
      <c r="M198" s="244">
        <f t="shared" si="103"/>
        <v>0</v>
      </c>
      <c r="N198" s="243">
        <f>SUM('GM CostSvcs'!N30:N31)</f>
        <v>0</v>
      </c>
      <c r="O198" s="243">
        <f>SUM('GM CostSvcs'!O30:O31)</f>
        <v>0</v>
      </c>
      <c r="P198" s="243">
        <f>SUM('GM CostSvcs'!P30:P31)</f>
        <v>0</v>
      </c>
      <c r="Q198" s="244">
        <f t="shared" si="104"/>
        <v>0</v>
      </c>
      <c r="R198" s="243">
        <f>SUM('GM CostSvcs'!R30:R31)</f>
        <v>0</v>
      </c>
      <c r="S198" s="243">
        <f>SUM('GM CostSvcs'!S30:S31)</f>
        <v>0</v>
      </c>
      <c r="T198" s="243">
        <f>SUM('GM CostSvcs'!T30:T31)</f>
        <v>0</v>
      </c>
      <c r="U198" s="244">
        <f t="shared" si="105"/>
        <v>0</v>
      </c>
      <c r="V198" s="243">
        <f>SUM('GM CostSvcs'!V30:V31)</f>
        <v>0</v>
      </c>
      <c r="W198" s="243">
        <f>SUM('GM CostSvcs'!W30:W31)</f>
        <v>0</v>
      </c>
      <c r="X198" s="243">
        <f>SUM('GM CostSvcs'!X30:X31)</f>
        <v>0</v>
      </c>
      <c r="Y198" s="244">
        <f t="shared" si="106"/>
        <v>0</v>
      </c>
    </row>
    <row r="199" spans="1:25" ht="12.75" hidden="1" customHeight="1" outlineLevel="1" x14ac:dyDescent="0.2">
      <c r="A199" s="188" t="str">
        <f>"      "&amp;Labels!C384</f>
        <v xml:space="preserve">      Total</v>
      </c>
      <c r="B199" s="241">
        <f>SUM(B197:B198)</f>
        <v>0</v>
      </c>
      <c r="C199" s="241">
        <f>SUM(C197:C198)</f>
        <v>0</v>
      </c>
      <c r="D199" s="241">
        <f>SUM(D197:D198)</f>
        <v>0</v>
      </c>
      <c r="E199" s="242">
        <f t="shared" si="101"/>
        <v>0</v>
      </c>
      <c r="F199" s="241">
        <f>SUM(F197:F198)</f>
        <v>0</v>
      </c>
      <c r="G199" s="241">
        <f>SUM(G197:G198)</f>
        <v>0</v>
      </c>
      <c r="H199" s="241">
        <f>SUM(H197:H198)</f>
        <v>0</v>
      </c>
      <c r="I199" s="242">
        <f t="shared" si="102"/>
        <v>0</v>
      </c>
      <c r="J199" s="241">
        <f>SUM(J197:J198)</f>
        <v>0</v>
      </c>
      <c r="K199" s="241">
        <f>SUM(K197:K198)</f>
        <v>0</v>
      </c>
      <c r="L199" s="241">
        <f>SUM(L197:L198)</f>
        <v>0</v>
      </c>
      <c r="M199" s="242">
        <f t="shared" si="103"/>
        <v>0</v>
      </c>
      <c r="N199" s="241">
        <f>SUM(N197:N198)</f>
        <v>0</v>
      </c>
      <c r="O199" s="241">
        <f>SUM(O197:O198)</f>
        <v>0</v>
      </c>
      <c r="P199" s="241">
        <f>SUM(P197:P198)</f>
        <v>0</v>
      </c>
      <c r="Q199" s="242">
        <f t="shared" si="104"/>
        <v>0</v>
      </c>
      <c r="R199" s="241">
        <f>SUM(R197:R198)</f>
        <v>0</v>
      </c>
      <c r="S199" s="241">
        <f>SUM(S197:S198)</f>
        <v>0</v>
      </c>
      <c r="T199" s="241">
        <f>SUM(T197:T198)</f>
        <v>0</v>
      </c>
      <c r="U199" s="242">
        <f t="shared" si="105"/>
        <v>0</v>
      </c>
      <c r="V199" s="241">
        <f>SUM(V197:V198)</f>
        <v>0</v>
      </c>
      <c r="W199" s="241">
        <f>SUM(W197:W198)</f>
        <v>0</v>
      </c>
      <c r="X199" s="241">
        <f>SUM(X197:X198)</f>
        <v>0</v>
      </c>
      <c r="Y199" s="242">
        <f t="shared" si="106"/>
        <v>0</v>
      </c>
    </row>
    <row r="200" spans="1:25" ht="12.75" hidden="1" customHeight="1" outlineLevel="1" x14ac:dyDescent="0.2">
      <c r="A200" s="191" t="str">
        <f>"   "&amp;Labels!C380</f>
        <v xml:space="preserve">   Total</v>
      </c>
      <c r="B200" s="245">
        <f>SUM(B195,B199)</f>
        <v>0</v>
      </c>
      <c r="C200" s="245">
        <f>SUM(C195,C199)</f>
        <v>0</v>
      </c>
      <c r="D200" s="245">
        <f>SUM(D195,D199)</f>
        <v>0</v>
      </c>
      <c r="E200" s="246">
        <f t="shared" si="101"/>
        <v>0</v>
      </c>
      <c r="F200" s="245">
        <f>SUM(F195,F199)</f>
        <v>0</v>
      </c>
      <c r="G200" s="245">
        <f>SUM(G195,G199)</f>
        <v>0</v>
      </c>
      <c r="H200" s="245">
        <f>SUM(H195,H199)</f>
        <v>0</v>
      </c>
      <c r="I200" s="246">
        <f t="shared" si="102"/>
        <v>0</v>
      </c>
      <c r="J200" s="245">
        <f>SUM(J195,J199)</f>
        <v>28260.89297106001</v>
      </c>
      <c r="K200" s="245">
        <f>SUM(K195,K199)</f>
        <v>28330.591957132838</v>
      </c>
      <c r="L200" s="245">
        <f>SUM(L195,L199)</f>
        <v>0</v>
      </c>
      <c r="M200" s="246">
        <f t="shared" si="103"/>
        <v>56591.484928192847</v>
      </c>
      <c r="N200" s="245">
        <f>SUM(N195,N199)</f>
        <v>0</v>
      </c>
      <c r="O200" s="245">
        <f>SUM(O195,O199)</f>
        <v>0</v>
      </c>
      <c r="P200" s="245">
        <f>SUM(P195,P199)</f>
        <v>0</v>
      </c>
      <c r="Q200" s="246">
        <f t="shared" si="104"/>
        <v>0</v>
      </c>
      <c r="R200" s="245">
        <f>SUM(R195,R199)</f>
        <v>0</v>
      </c>
      <c r="S200" s="245">
        <f>SUM(S195,S199)</f>
        <v>0</v>
      </c>
      <c r="T200" s="245">
        <f>SUM(T195,T199)</f>
        <v>0</v>
      </c>
      <c r="U200" s="246">
        <f t="shared" si="105"/>
        <v>0</v>
      </c>
      <c r="V200" s="245">
        <f>SUM(V195,V199)</f>
        <v>0</v>
      </c>
      <c r="W200" s="245">
        <f>SUM(W195,W199)</f>
        <v>0</v>
      </c>
      <c r="X200" s="245">
        <f>SUM(X195,X199)</f>
        <v>0</v>
      </c>
      <c r="Y200" s="246">
        <f t="shared" si="106"/>
        <v>0</v>
      </c>
    </row>
    <row r="201" spans="1:25" ht="12.75" hidden="1" customHeight="1" outlineLevel="1" x14ac:dyDescent="0.2">
      <c r="A201" s="198" t="str">
        <f>"      "&amp;Labels!B385</f>
        <v xml:space="preserve">      Prof Level 1</v>
      </c>
      <c r="B201" s="243">
        <f t="shared" ref="B201:D203" si="107">SUM(B193,B197)</f>
        <v>0</v>
      </c>
      <c r="C201" s="243">
        <f t="shared" si="107"/>
        <v>0</v>
      </c>
      <c r="D201" s="243">
        <f t="shared" si="107"/>
        <v>0</v>
      </c>
      <c r="E201" s="244">
        <f t="shared" si="101"/>
        <v>0</v>
      </c>
      <c r="F201" s="243">
        <f t="shared" ref="F201:H203" si="108">SUM(F193,F197)</f>
        <v>0</v>
      </c>
      <c r="G201" s="243">
        <f t="shared" si="108"/>
        <v>0</v>
      </c>
      <c r="H201" s="243">
        <f t="shared" si="108"/>
        <v>0</v>
      </c>
      <c r="I201" s="244">
        <f t="shared" si="102"/>
        <v>0</v>
      </c>
      <c r="J201" s="243">
        <f t="shared" ref="J201:L203" si="109">SUM(J193,J197)</f>
        <v>14130.446485530005</v>
      </c>
      <c r="K201" s="243">
        <f t="shared" si="109"/>
        <v>14165.295978566419</v>
      </c>
      <c r="L201" s="243">
        <f t="shared" si="109"/>
        <v>0</v>
      </c>
      <c r="M201" s="244">
        <f t="shared" si="103"/>
        <v>28295.742464096424</v>
      </c>
      <c r="N201" s="243">
        <f t="shared" ref="N201:P203" si="110">SUM(N193,N197)</f>
        <v>0</v>
      </c>
      <c r="O201" s="243">
        <f t="shared" si="110"/>
        <v>0</v>
      </c>
      <c r="P201" s="243">
        <f t="shared" si="110"/>
        <v>0</v>
      </c>
      <c r="Q201" s="244">
        <f t="shared" si="104"/>
        <v>0</v>
      </c>
      <c r="R201" s="243">
        <f t="shared" ref="R201:T203" si="111">SUM(R193,R197)</f>
        <v>0</v>
      </c>
      <c r="S201" s="243">
        <f t="shared" si="111"/>
        <v>0</v>
      </c>
      <c r="T201" s="243">
        <f t="shared" si="111"/>
        <v>0</v>
      </c>
      <c r="U201" s="244">
        <f t="shared" si="105"/>
        <v>0</v>
      </c>
      <c r="V201" s="243">
        <f t="shared" ref="V201:X203" si="112">SUM(V193,V197)</f>
        <v>0</v>
      </c>
      <c r="W201" s="243">
        <f t="shared" si="112"/>
        <v>0</v>
      </c>
      <c r="X201" s="243">
        <f t="shared" si="112"/>
        <v>0</v>
      </c>
      <c r="Y201" s="244">
        <f t="shared" si="106"/>
        <v>0</v>
      </c>
    </row>
    <row r="202" spans="1:25" ht="12.75" hidden="1" customHeight="1" outlineLevel="1" x14ac:dyDescent="0.2">
      <c r="A202" s="198" t="str">
        <f>"      "&amp;Labels!B386</f>
        <v xml:space="preserve">      Prof Level 2</v>
      </c>
      <c r="B202" s="243">
        <f t="shared" si="107"/>
        <v>0</v>
      </c>
      <c r="C202" s="243">
        <f t="shared" si="107"/>
        <v>0</v>
      </c>
      <c r="D202" s="243">
        <f t="shared" si="107"/>
        <v>0</v>
      </c>
      <c r="E202" s="244">
        <f t="shared" si="101"/>
        <v>0</v>
      </c>
      <c r="F202" s="243">
        <f t="shared" si="108"/>
        <v>0</v>
      </c>
      <c r="G202" s="243">
        <f t="shared" si="108"/>
        <v>0</v>
      </c>
      <c r="H202" s="243">
        <f t="shared" si="108"/>
        <v>0</v>
      </c>
      <c r="I202" s="244">
        <f t="shared" si="102"/>
        <v>0</v>
      </c>
      <c r="J202" s="243">
        <f t="shared" si="109"/>
        <v>14130.446485530005</v>
      </c>
      <c r="K202" s="243">
        <f t="shared" si="109"/>
        <v>14165.295978566419</v>
      </c>
      <c r="L202" s="243">
        <f t="shared" si="109"/>
        <v>0</v>
      </c>
      <c r="M202" s="244">
        <f t="shared" si="103"/>
        <v>28295.742464096424</v>
      </c>
      <c r="N202" s="243">
        <f t="shared" si="110"/>
        <v>0</v>
      </c>
      <c r="O202" s="243">
        <f t="shared" si="110"/>
        <v>0</v>
      </c>
      <c r="P202" s="243">
        <f t="shared" si="110"/>
        <v>0</v>
      </c>
      <c r="Q202" s="244">
        <f t="shared" si="104"/>
        <v>0</v>
      </c>
      <c r="R202" s="243">
        <f t="shared" si="111"/>
        <v>0</v>
      </c>
      <c r="S202" s="243">
        <f t="shared" si="111"/>
        <v>0</v>
      </c>
      <c r="T202" s="243">
        <f t="shared" si="111"/>
        <v>0</v>
      </c>
      <c r="U202" s="244">
        <f t="shared" si="105"/>
        <v>0</v>
      </c>
      <c r="V202" s="243">
        <f t="shared" si="112"/>
        <v>0</v>
      </c>
      <c r="W202" s="243">
        <f t="shared" si="112"/>
        <v>0</v>
      </c>
      <c r="X202" s="243">
        <f t="shared" si="112"/>
        <v>0</v>
      </c>
      <c r="Y202" s="244">
        <f t="shared" si="106"/>
        <v>0</v>
      </c>
    </row>
    <row r="203" spans="1:25" ht="12.75" hidden="1" customHeight="1" outlineLevel="1" x14ac:dyDescent="0.2">
      <c r="A203" s="188" t="str">
        <f>"      "&amp;Labels!C384</f>
        <v xml:space="preserve">      Total</v>
      </c>
      <c r="B203" s="241">
        <f t="shared" si="107"/>
        <v>0</v>
      </c>
      <c r="C203" s="241">
        <f t="shared" si="107"/>
        <v>0</v>
      </c>
      <c r="D203" s="241">
        <f t="shared" si="107"/>
        <v>0</v>
      </c>
      <c r="E203" s="242">
        <f>SUM(B200:D200)</f>
        <v>0</v>
      </c>
      <c r="F203" s="241">
        <f t="shared" si="108"/>
        <v>0</v>
      </c>
      <c r="G203" s="241">
        <f t="shared" si="108"/>
        <v>0</v>
      </c>
      <c r="H203" s="241">
        <f t="shared" si="108"/>
        <v>0</v>
      </c>
      <c r="I203" s="242">
        <f>SUM(F200:H200)</f>
        <v>0</v>
      </c>
      <c r="J203" s="241">
        <f t="shared" si="109"/>
        <v>28260.89297106001</v>
      </c>
      <c r="K203" s="241">
        <f t="shared" si="109"/>
        <v>28330.591957132838</v>
      </c>
      <c r="L203" s="241">
        <f t="shared" si="109"/>
        <v>0</v>
      </c>
      <c r="M203" s="242">
        <f>SUM(J200:L200)</f>
        <v>56591.484928192847</v>
      </c>
      <c r="N203" s="241">
        <f t="shared" si="110"/>
        <v>0</v>
      </c>
      <c r="O203" s="241">
        <f t="shared" si="110"/>
        <v>0</v>
      </c>
      <c r="P203" s="241">
        <f t="shared" si="110"/>
        <v>0</v>
      </c>
      <c r="Q203" s="242">
        <f>SUM(N200:P200)</f>
        <v>0</v>
      </c>
      <c r="R203" s="241">
        <f t="shared" si="111"/>
        <v>0</v>
      </c>
      <c r="S203" s="241">
        <f t="shared" si="111"/>
        <v>0</v>
      </c>
      <c r="T203" s="241">
        <f t="shared" si="111"/>
        <v>0</v>
      </c>
      <c r="U203" s="242">
        <f>SUM(R200:T200)</f>
        <v>0</v>
      </c>
      <c r="V203" s="241">
        <f t="shared" si="112"/>
        <v>0</v>
      </c>
      <c r="W203" s="241">
        <f t="shared" si="112"/>
        <v>0</v>
      </c>
      <c r="X203" s="241">
        <f t="shared" si="112"/>
        <v>0</v>
      </c>
      <c r="Y203" s="242">
        <f>SUM(V200:X200)</f>
        <v>0</v>
      </c>
    </row>
    <row r="204" spans="1:25" ht="12.75" hidden="1" customHeight="1" outlineLevel="1" x14ac:dyDescent="0.2">
      <c r="A204" s="97"/>
      <c r="B204" s="6"/>
      <c r="C204" s="6"/>
      <c r="D204" s="6"/>
      <c r="E204" s="97"/>
      <c r="F204" s="6"/>
      <c r="G204" s="6"/>
      <c r="H204" s="6"/>
      <c r="I204" s="97"/>
      <c r="J204" s="6"/>
      <c r="K204" s="6"/>
      <c r="L204" s="6"/>
      <c r="M204" s="97"/>
      <c r="N204" s="6"/>
      <c r="O204" s="6"/>
      <c r="P204" s="6"/>
      <c r="Q204" s="97"/>
      <c r="R204" s="6"/>
      <c r="S204" s="6"/>
      <c r="T204" s="6"/>
      <c r="U204" s="97"/>
      <c r="V204" s="6"/>
      <c r="W204" s="6"/>
      <c r="X204" s="6"/>
      <c r="Y204" s="97"/>
    </row>
    <row r="205" spans="1:25" ht="12.75" hidden="1" customHeight="1" outlineLevel="1" x14ac:dyDescent="0.2">
      <c r="A205" s="191" t="str">
        <f>Labels!B49</f>
        <v>Travel &amp; Entertainment</v>
      </c>
      <c r="B205" s="192"/>
      <c r="C205" s="192"/>
      <c r="D205" s="192"/>
      <c r="E205" s="190"/>
      <c r="F205" s="192"/>
      <c r="G205" s="192"/>
      <c r="H205" s="192"/>
      <c r="I205" s="190"/>
      <c r="J205" s="192"/>
      <c r="K205" s="192"/>
      <c r="L205" s="192"/>
      <c r="M205" s="190"/>
      <c r="N205" s="192"/>
      <c r="O205" s="192"/>
      <c r="P205" s="192"/>
      <c r="Q205" s="190"/>
      <c r="R205" s="192"/>
      <c r="S205" s="192"/>
      <c r="T205" s="192"/>
      <c r="U205" s="190"/>
      <c r="V205" s="192"/>
      <c r="W205" s="192"/>
      <c r="X205" s="192"/>
      <c r="Y205" s="190"/>
    </row>
    <row r="206" spans="1:25" ht="12.75" hidden="1" customHeight="1" outlineLevel="1" x14ac:dyDescent="0.2">
      <c r="A206" s="188" t="str">
        <f>"   "&amp;Labels!B381</f>
        <v xml:space="preserve">   Practice 1</v>
      </c>
      <c r="B206" s="196"/>
      <c r="C206" s="196"/>
      <c r="D206" s="196"/>
      <c r="E206" s="197"/>
      <c r="F206" s="196"/>
      <c r="G206" s="196"/>
      <c r="H206" s="196"/>
      <c r="I206" s="197"/>
      <c r="J206" s="196"/>
      <c r="K206" s="196"/>
      <c r="L206" s="196"/>
      <c r="M206" s="197"/>
      <c r="N206" s="196"/>
      <c r="O206" s="196"/>
      <c r="P206" s="196"/>
      <c r="Q206" s="197"/>
      <c r="R206" s="196"/>
      <c r="S206" s="196"/>
      <c r="T206" s="196"/>
      <c r="U206" s="197"/>
      <c r="V206" s="196"/>
      <c r="W206" s="196"/>
      <c r="X206" s="196"/>
      <c r="Y206" s="197"/>
    </row>
    <row r="207" spans="1:25" ht="12.75" hidden="1" customHeight="1" outlineLevel="1" x14ac:dyDescent="0.2">
      <c r="A207" s="198" t="str">
        <f>"      "&amp;Labels!B385</f>
        <v xml:space="preserve">      Prof Level 1</v>
      </c>
      <c r="B207" s="226">
        <f>SUM('GM CostSvcs'!B54:B55)</f>
        <v>0</v>
      </c>
      <c r="C207" s="226">
        <f>SUM('GM CostSvcs'!C54:C55)</f>
        <v>0</v>
      </c>
      <c r="D207" s="226">
        <f>SUM('GM CostSvcs'!D54:D55)</f>
        <v>1375</v>
      </c>
      <c r="E207" s="227">
        <f>SUM(B207:D207)</f>
        <v>1375</v>
      </c>
      <c r="F207" s="226">
        <f>SUM('GM CostSvcs'!F54:F55)</f>
        <v>1375</v>
      </c>
      <c r="G207" s="226">
        <f>SUM('GM CostSvcs'!G54:G55)</f>
        <v>0</v>
      </c>
      <c r="H207" s="226">
        <f>SUM('GM CostSvcs'!H54:H55)</f>
        <v>1000</v>
      </c>
      <c r="I207" s="227">
        <f>SUM(F207:H207)</f>
        <v>2375</v>
      </c>
      <c r="J207" s="226">
        <f>SUM('GM CostSvcs'!J54:J55)</f>
        <v>1000</v>
      </c>
      <c r="K207" s="226">
        <f>SUM('GM CostSvcs'!K54:K55)</f>
        <v>1000</v>
      </c>
      <c r="L207" s="226">
        <f>SUM('GM CostSvcs'!L54:L55)</f>
        <v>0</v>
      </c>
      <c r="M207" s="227">
        <f>SUM(J207:L207)</f>
        <v>2000</v>
      </c>
      <c r="N207" s="226">
        <f>SUM('GM CostSvcs'!N54:N55)</f>
        <v>0</v>
      </c>
      <c r="O207" s="226">
        <f>SUM('GM CostSvcs'!O54:O55)</f>
        <v>0</v>
      </c>
      <c r="P207" s="226">
        <f>SUM('GM CostSvcs'!P54:P55)</f>
        <v>0</v>
      </c>
      <c r="Q207" s="227">
        <f>SUM(N207:P207)</f>
        <v>0</v>
      </c>
      <c r="R207" s="226">
        <f>SUM('GM CostSvcs'!R54:R55)</f>
        <v>0</v>
      </c>
      <c r="S207" s="226">
        <f>SUM('GM CostSvcs'!S54:S55)</f>
        <v>0</v>
      </c>
      <c r="T207" s="226">
        <f>SUM('GM CostSvcs'!T54:T55)</f>
        <v>0</v>
      </c>
      <c r="U207" s="227">
        <f>SUM(R207:T207)</f>
        <v>0</v>
      </c>
      <c r="V207" s="226">
        <f>SUM('GM CostSvcs'!V54:V55)</f>
        <v>0</v>
      </c>
      <c r="W207" s="226">
        <f>SUM('GM CostSvcs'!W54:W55)</f>
        <v>0</v>
      </c>
      <c r="X207" s="226">
        <f>SUM('GM CostSvcs'!X54:X55)</f>
        <v>0</v>
      </c>
      <c r="Y207" s="227">
        <f>SUM(V207:X207)</f>
        <v>0</v>
      </c>
    </row>
    <row r="208" spans="1:25" ht="12.75" hidden="1" customHeight="1" outlineLevel="1" x14ac:dyDescent="0.2">
      <c r="A208" s="198" t="str">
        <f>"      "&amp;Labels!B386</f>
        <v xml:space="preserve">      Prof Level 2</v>
      </c>
      <c r="B208" s="226">
        <f>SUM('GM CostSvcs'!B58:B59)</f>
        <v>0</v>
      </c>
      <c r="C208" s="226">
        <f>SUM('GM CostSvcs'!C58:C59)</f>
        <v>0</v>
      </c>
      <c r="D208" s="226">
        <f>SUM('GM CostSvcs'!D58:D59)</f>
        <v>1375</v>
      </c>
      <c r="E208" s="227">
        <f>SUM(B208:D208)</f>
        <v>1375</v>
      </c>
      <c r="F208" s="226">
        <f>SUM('GM CostSvcs'!F58:F59)</f>
        <v>1375</v>
      </c>
      <c r="G208" s="226">
        <f>SUM('GM CostSvcs'!G58:G59)</f>
        <v>0</v>
      </c>
      <c r="H208" s="226">
        <f>SUM('GM CostSvcs'!H58:H59)</f>
        <v>1000</v>
      </c>
      <c r="I208" s="227">
        <f>SUM(F208:H208)</f>
        <v>2375</v>
      </c>
      <c r="J208" s="226">
        <f>SUM('GM CostSvcs'!J58:J59)</f>
        <v>1000</v>
      </c>
      <c r="K208" s="226">
        <f>SUM('GM CostSvcs'!K58:K59)</f>
        <v>1000</v>
      </c>
      <c r="L208" s="226">
        <f>SUM('GM CostSvcs'!L58:L59)</f>
        <v>0</v>
      </c>
      <c r="M208" s="227">
        <f>SUM(J208:L208)</f>
        <v>2000</v>
      </c>
      <c r="N208" s="226">
        <f>SUM('GM CostSvcs'!N58:N59)</f>
        <v>0</v>
      </c>
      <c r="O208" s="226">
        <f>SUM('GM CostSvcs'!O58:O59)</f>
        <v>0</v>
      </c>
      <c r="P208" s="226">
        <f>SUM('GM CostSvcs'!P58:P59)</f>
        <v>0</v>
      </c>
      <c r="Q208" s="227">
        <f>SUM(N208:P208)</f>
        <v>0</v>
      </c>
      <c r="R208" s="226">
        <f>SUM('GM CostSvcs'!R58:R59)</f>
        <v>0</v>
      </c>
      <c r="S208" s="226">
        <f>SUM('GM CostSvcs'!S58:S59)</f>
        <v>0</v>
      </c>
      <c r="T208" s="226">
        <f>SUM('GM CostSvcs'!T58:T59)</f>
        <v>0</v>
      </c>
      <c r="U208" s="227">
        <f>SUM(R208:T208)</f>
        <v>0</v>
      </c>
      <c r="V208" s="226">
        <f>SUM('GM CostSvcs'!V58:V59)</f>
        <v>0</v>
      </c>
      <c r="W208" s="226">
        <f>SUM('GM CostSvcs'!W58:W59)</f>
        <v>0</v>
      </c>
      <c r="X208" s="226">
        <f>SUM('GM CostSvcs'!X58:X59)</f>
        <v>0</v>
      </c>
      <c r="Y208" s="227">
        <f>SUM(V208:X208)</f>
        <v>0</v>
      </c>
    </row>
    <row r="209" spans="1:25" ht="12.75" hidden="1" customHeight="1" outlineLevel="1" x14ac:dyDescent="0.2">
      <c r="A209" s="188" t="str">
        <f>"      "&amp;Labels!C384</f>
        <v xml:space="preserve">      Total</v>
      </c>
      <c r="B209" s="196">
        <f>SUM(B207:B208)</f>
        <v>0</v>
      </c>
      <c r="C209" s="196">
        <f>SUM(C207:C208)</f>
        <v>0</v>
      </c>
      <c r="D209" s="196">
        <f>SUM(D207:D208)</f>
        <v>2750</v>
      </c>
      <c r="E209" s="197">
        <f>SUM(B209:D209)</f>
        <v>2750</v>
      </c>
      <c r="F209" s="196">
        <f>SUM(F207:F208)</f>
        <v>2750</v>
      </c>
      <c r="G209" s="196">
        <f>SUM(G207:G208)</f>
        <v>0</v>
      </c>
      <c r="H209" s="196">
        <f>SUM(H207:H208)</f>
        <v>2000</v>
      </c>
      <c r="I209" s="197">
        <f>SUM(F209:H209)</f>
        <v>4750</v>
      </c>
      <c r="J209" s="196">
        <f>SUM(J207:J208)</f>
        <v>2000</v>
      </c>
      <c r="K209" s="196">
        <f>SUM(K207:K208)</f>
        <v>2000</v>
      </c>
      <c r="L209" s="196">
        <f>SUM(L207:L208)</f>
        <v>0</v>
      </c>
      <c r="M209" s="197">
        <f>SUM(J209:L209)</f>
        <v>4000</v>
      </c>
      <c r="N209" s="196">
        <f>SUM(N207:N208)</f>
        <v>0</v>
      </c>
      <c r="O209" s="196">
        <f>SUM(O207:O208)</f>
        <v>0</v>
      </c>
      <c r="P209" s="196">
        <f>SUM(P207:P208)</f>
        <v>0</v>
      </c>
      <c r="Q209" s="197">
        <f>SUM(N209:P209)</f>
        <v>0</v>
      </c>
      <c r="R209" s="196">
        <f>SUM(R207:R208)</f>
        <v>0</v>
      </c>
      <c r="S209" s="196">
        <f>SUM(S207:S208)</f>
        <v>0</v>
      </c>
      <c r="T209" s="196">
        <f>SUM(T207:T208)</f>
        <v>0</v>
      </c>
      <c r="U209" s="197">
        <f>SUM(R209:T209)</f>
        <v>0</v>
      </c>
      <c r="V209" s="196">
        <f>SUM(V207:V208)</f>
        <v>0</v>
      </c>
      <c r="W209" s="196">
        <f>SUM(W207:W208)</f>
        <v>0</v>
      </c>
      <c r="X209" s="196">
        <f>SUM(X207:X208)</f>
        <v>0</v>
      </c>
      <c r="Y209" s="197">
        <f>SUM(V209:X209)</f>
        <v>0</v>
      </c>
    </row>
    <row r="210" spans="1:25" ht="12.75" hidden="1" customHeight="1" outlineLevel="1" x14ac:dyDescent="0.2">
      <c r="A210" s="188" t="str">
        <f>"   "&amp;Labels!B382</f>
        <v xml:space="preserve">   Practice 2</v>
      </c>
      <c r="B210" s="196"/>
      <c r="C210" s="196"/>
      <c r="D210" s="196"/>
      <c r="E210" s="197"/>
      <c r="F210" s="196"/>
      <c r="G210" s="196"/>
      <c r="H210" s="196"/>
      <c r="I210" s="197"/>
      <c r="J210" s="196"/>
      <c r="K210" s="196"/>
      <c r="L210" s="196"/>
      <c r="M210" s="197"/>
      <c r="N210" s="196"/>
      <c r="O210" s="196"/>
      <c r="P210" s="196"/>
      <c r="Q210" s="197"/>
      <c r="R210" s="196"/>
      <c r="S210" s="196"/>
      <c r="T210" s="196"/>
      <c r="U210" s="197"/>
      <c r="V210" s="196"/>
      <c r="W210" s="196"/>
      <c r="X210" s="196"/>
      <c r="Y210" s="197"/>
    </row>
    <row r="211" spans="1:25" ht="12.75" hidden="1" customHeight="1" outlineLevel="1" x14ac:dyDescent="0.2">
      <c r="A211" s="198" t="str">
        <f>"      "&amp;Labels!B385</f>
        <v xml:space="preserve">      Prof Level 1</v>
      </c>
      <c r="B211" s="226">
        <f>SUM('GM CostSvcs'!B67:B68)</f>
        <v>0</v>
      </c>
      <c r="C211" s="226">
        <f>SUM('GM CostSvcs'!C67:C68)</f>
        <v>0</v>
      </c>
      <c r="D211" s="226">
        <f>SUM('GM CostSvcs'!D67:D68)</f>
        <v>0</v>
      </c>
      <c r="E211" s="227">
        <f t="shared" ref="E211:E216" si="113">SUM(B211:D211)</f>
        <v>0</v>
      </c>
      <c r="F211" s="226">
        <f>SUM('GM CostSvcs'!F67:F68)</f>
        <v>0</v>
      </c>
      <c r="G211" s="226">
        <f>SUM('GM CostSvcs'!G67:G68)</f>
        <v>0</v>
      </c>
      <c r="H211" s="226">
        <f>SUM('GM CostSvcs'!H67:H68)</f>
        <v>0</v>
      </c>
      <c r="I211" s="227">
        <f t="shared" ref="I211:I216" si="114">SUM(F211:H211)</f>
        <v>0</v>
      </c>
      <c r="J211" s="226">
        <f>SUM('GM CostSvcs'!J67:J68)</f>
        <v>0</v>
      </c>
      <c r="K211" s="226">
        <f>SUM('GM CostSvcs'!K67:K68)</f>
        <v>0</v>
      </c>
      <c r="L211" s="226">
        <f>SUM('GM CostSvcs'!L67:L68)</f>
        <v>0</v>
      </c>
      <c r="M211" s="227">
        <f t="shared" ref="M211:M216" si="115">SUM(J211:L211)</f>
        <v>0</v>
      </c>
      <c r="N211" s="226">
        <f>SUM('GM CostSvcs'!N67:N68)</f>
        <v>0</v>
      </c>
      <c r="O211" s="226">
        <f>SUM('GM CostSvcs'!O67:O68)</f>
        <v>0</v>
      </c>
      <c r="P211" s="226">
        <f>SUM('GM CostSvcs'!P67:P68)</f>
        <v>0</v>
      </c>
      <c r="Q211" s="227">
        <f t="shared" ref="Q211:Q216" si="116">SUM(N211:P211)</f>
        <v>0</v>
      </c>
      <c r="R211" s="226">
        <f>SUM('GM CostSvcs'!R67:R68)</f>
        <v>0</v>
      </c>
      <c r="S211" s="226">
        <f>SUM('GM CostSvcs'!S67:S68)</f>
        <v>0</v>
      </c>
      <c r="T211" s="226">
        <f>SUM('GM CostSvcs'!T67:T68)</f>
        <v>0</v>
      </c>
      <c r="U211" s="227">
        <f t="shared" ref="U211:U216" si="117">SUM(R211:T211)</f>
        <v>0</v>
      </c>
      <c r="V211" s="226">
        <f>SUM('GM CostSvcs'!V67:V68)</f>
        <v>0</v>
      </c>
      <c r="W211" s="226">
        <f>SUM('GM CostSvcs'!W67:W68)</f>
        <v>0</v>
      </c>
      <c r="X211" s="226">
        <f>SUM('GM CostSvcs'!X67:X68)</f>
        <v>0</v>
      </c>
      <c r="Y211" s="227">
        <f t="shared" ref="Y211:Y216" si="118">SUM(V211:X211)</f>
        <v>0</v>
      </c>
    </row>
    <row r="212" spans="1:25" ht="12.75" hidden="1" customHeight="1" outlineLevel="1" x14ac:dyDescent="0.2">
      <c r="A212" s="198" t="str">
        <f>"      "&amp;Labels!B386</f>
        <v xml:space="preserve">      Prof Level 2</v>
      </c>
      <c r="B212" s="226">
        <f>SUM('GM CostSvcs'!B71:B72)</f>
        <v>0</v>
      </c>
      <c r="C212" s="226">
        <f>SUM('GM CostSvcs'!C71:C72)</f>
        <v>0</v>
      </c>
      <c r="D212" s="226">
        <f>SUM('GM CostSvcs'!D71:D72)</f>
        <v>0</v>
      </c>
      <c r="E212" s="227">
        <f t="shared" si="113"/>
        <v>0</v>
      </c>
      <c r="F212" s="226">
        <f>SUM('GM CostSvcs'!F71:F72)</f>
        <v>0</v>
      </c>
      <c r="G212" s="226">
        <f>SUM('GM CostSvcs'!G71:G72)</f>
        <v>0</v>
      </c>
      <c r="H212" s="226">
        <f>SUM('GM CostSvcs'!H71:H72)</f>
        <v>0</v>
      </c>
      <c r="I212" s="227">
        <f t="shared" si="114"/>
        <v>0</v>
      </c>
      <c r="J212" s="226">
        <f>SUM('GM CostSvcs'!J71:J72)</f>
        <v>0</v>
      </c>
      <c r="K212" s="226">
        <f>SUM('GM CostSvcs'!K71:K72)</f>
        <v>0</v>
      </c>
      <c r="L212" s="226">
        <f>SUM('GM CostSvcs'!L71:L72)</f>
        <v>0</v>
      </c>
      <c r="M212" s="227">
        <f t="shared" si="115"/>
        <v>0</v>
      </c>
      <c r="N212" s="226">
        <f>SUM('GM CostSvcs'!N71:N72)</f>
        <v>0</v>
      </c>
      <c r="O212" s="226">
        <f>SUM('GM CostSvcs'!O71:O72)</f>
        <v>0</v>
      </c>
      <c r="P212" s="226">
        <f>SUM('GM CostSvcs'!P71:P72)</f>
        <v>0</v>
      </c>
      <c r="Q212" s="227">
        <f t="shared" si="116"/>
        <v>0</v>
      </c>
      <c r="R212" s="226">
        <f>SUM('GM CostSvcs'!R71:R72)</f>
        <v>0</v>
      </c>
      <c r="S212" s="226">
        <f>SUM('GM CostSvcs'!S71:S72)</f>
        <v>0</v>
      </c>
      <c r="T212" s="226">
        <f>SUM('GM CostSvcs'!T71:T72)</f>
        <v>0</v>
      </c>
      <c r="U212" s="227">
        <f t="shared" si="117"/>
        <v>0</v>
      </c>
      <c r="V212" s="226">
        <f>SUM('GM CostSvcs'!V71:V72)</f>
        <v>0</v>
      </c>
      <c r="W212" s="226">
        <f>SUM('GM CostSvcs'!W71:W72)</f>
        <v>0</v>
      </c>
      <c r="X212" s="226">
        <f>SUM('GM CostSvcs'!X71:X72)</f>
        <v>0</v>
      </c>
      <c r="Y212" s="227">
        <f t="shared" si="118"/>
        <v>0</v>
      </c>
    </row>
    <row r="213" spans="1:25" ht="12.75" hidden="1" customHeight="1" outlineLevel="1" x14ac:dyDescent="0.2">
      <c r="A213" s="188" t="str">
        <f>"      "&amp;Labels!C384</f>
        <v xml:space="preserve">      Total</v>
      </c>
      <c r="B213" s="196">
        <f>SUM(B211:B212)</f>
        <v>0</v>
      </c>
      <c r="C213" s="196">
        <f>SUM(C211:C212)</f>
        <v>0</v>
      </c>
      <c r="D213" s="196">
        <f>SUM(D211:D212)</f>
        <v>0</v>
      </c>
      <c r="E213" s="197">
        <f t="shared" si="113"/>
        <v>0</v>
      </c>
      <c r="F213" s="196">
        <f>SUM(F211:F212)</f>
        <v>0</v>
      </c>
      <c r="G213" s="196">
        <f>SUM(G211:G212)</f>
        <v>0</v>
      </c>
      <c r="H213" s="196">
        <f>SUM(H211:H212)</f>
        <v>0</v>
      </c>
      <c r="I213" s="197">
        <f t="shared" si="114"/>
        <v>0</v>
      </c>
      <c r="J213" s="196">
        <f>SUM(J211:J212)</f>
        <v>0</v>
      </c>
      <c r="K213" s="196">
        <f>SUM(K211:K212)</f>
        <v>0</v>
      </c>
      <c r="L213" s="196">
        <f>SUM(L211:L212)</f>
        <v>0</v>
      </c>
      <c r="M213" s="197">
        <f t="shared" si="115"/>
        <v>0</v>
      </c>
      <c r="N213" s="196">
        <f>SUM(N211:N212)</f>
        <v>0</v>
      </c>
      <c r="O213" s="196">
        <f>SUM(O211:O212)</f>
        <v>0</v>
      </c>
      <c r="P213" s="196">
        <f>SUM(P211:P212)</f>
        <v>0</v>
      </c>
      <c r="Q213" s="197">
        <f t="shared" si="116"/>
        <v>0</v>
      </c>
      <c r="R213" s="196">
        <f>SUM(R211:R212)</f>
        <v>0</v>
      </c>
      <c r="S213" s="196">
        <f>SUM(S211:S212)</f>
        <v>0</v>
      </c>
      <c r="T213" s="196">
        <f>SUM(T211:T212)</f>
        <v>0</v>
      </c>
      <c r="U213" s="197">
        <f t="shared" si="117"/>
        <v>0</v>
      </c>
      <c r="V213" s="196">
        <f>SUM(V211:V212)</f>
        <v>0</v>
      </c>
      <c r="W213" s="196">
        <f>SUM(W211:W212)</f>
        <v>0</v>
      </c>
      <c r="X213" s="196">
        <f>SUM(X211:X212)</f>
        <v>0</v>
      </c>
      <c r="Y213" s="197">
        <f t="shared" si="118"/>
        <v>0</v>
      </c>
    </row>
    <row r="214" spans="1:25" ht="12.75" hidden="1" customHeight="1" outlineLevel="1" x14ac:dyDescent="0.2">
      <c r="A214" s="191" t="str">
        <f>"   "&amp;Labels!C380</f>
        <v xml:space="preserve">   Total</v>
      </c>
      <c r="B214" s="192">
        <f>SUM(B209,B213)</f>
        <v>0</v>
      </c>
      <c r="C214" s="192">
        <f>SUM(C209,C213)</f>
        <v>0</v>
      </c>
      <c r="D214" s="192">
        <f>SUM(D209,D213)</f>
        <v>2750</v>
      </c>
      <c r="E214" s="190">
        <f t="shared" si="113"/>
        <v>2750</v>
      </c>
      <c r="F214" s="192">
        <f>SUM(F209,F213)</f>
        <v>2750</v>
      </c>
      <c r="G214" s="192">
        <f>SUM(G209,G213)</f>
        <v>0</v>
      </c>
      <c r="H214" s="192">
        <f>SUM(H209,H213)</f>
        <v>2000</v>
      </c>
      <c r="I214" s="190">
        <f t="shared" si="114"/>
        <v>4750</v>
      </c>
      <c r="J214" s="192">
        <f>SUM(J209,J213)</f>
        <v>2000</v>
      </c>
      <c r="K214" s="192">
        <f>SUM(K209,K213)</f>
        <v>2000</v>
      </c>
      <c r="L214" s="192">
        <f>SUM(L209,L213)</f>
        <v>0</v>
      </c>
      <c r="M214" s="190">
        <f t="shared" si="115"/>
        <v>4000</v>
      </c>
      <c r="N214" s="192">
        <f>SUM(N209,N213)</f>
        <v>0</v>
      </c>
      <c r="O214" s="192">
        <f>SUM(O209,O213)</f>
        <v>0</v>
      </c>
      <c r="P214" s="192">
        <f>SUM(P209,P213)</f>
        <v>0</v>
      </c>
      <c r="Q214" s="190">
        <f t="shared" si="116"/>
        <v>0</v>
      </c>
      <c r="R214" s="192">
        <f>SUM(R209,R213)</f>
        <v>0</v>
      </c>
      <c r="S214" s="192">
        <f>SUM(S209,S213)</f>
        <v>0</v>
      </c>
      <c r="T214" s="192">
        <f>SUM(T209,T213)</f>
        <v>0</v>
      </c>
      <c r="U214" s="190">
        <f t="shared" si="117"/>
        <v>0</v>
      </c>
      <c r="V214" s="192">
        <f>SUM(V209,V213)</f>
        <v>0</v>
      </c>
      <c r="W214" s="192">
        <f>SUM(W209,W213)</f>
        <v>0</v>
      </c>
      <c r="X214" s="192">
        <f>SUM(X209,X213)</f>
        <v>0</v>
      </c>
      <c r="Y214" s="190">
        <f t="shared" si="118"/>
        <v>0</v>
      </c>
    </row>
    <row r="215" spans="1:25" ht="12.75" hidden="1" customHeight="1" outlineLevel="1" x14ac:dyDescent="0.2">
      <c r="A215" s="198" t="str">
        <f>"      "&amp;Labels!B385</f>
        <v xml:space="preserve">      Prof Level 1</v>
      </c>
      <c r="B215" s="226">
        <f t="shared" ref="B215:D217" si="119">SUM(B207,B211)</f>
        <v>0</v>
      </c>
      <c r="C215" s="226">
        <f t="shared" si="119"/>
        <v>0</v>
      </c>
      <c r="D215" s="226">
        <f t="shared" si="119"/>
        <v>1375</v>
      </c>
      <c r="E215" s="227">
        <f t="shared" si="113"/>
        <v>1375</v>
      </c>
      <c r="F215" s="226">
        <f t="shared" ref="F215:H217" si="120">SUM(F207,F211)</f>
        <v>1375</v>
      </c>
      <c r="G215" s="226">
        <f t="shared" si="120"/>
        <v>0</v>
      </c>
      <c r="H215" s="226">
        <f t="shared" si="120"/>
        <v>1000</v>
      </c>
      <c r="I215" s="227">
        <f t="shared" si="114"/>
        <v>2375</v>
      </c>
      <c r="J215" s="226">
        <f t="shared" ref="J215:L217" si="121">SUM(J207,J211)</f>
        <v>1000</v>
      </c>
      <c r="K215" s="226">
        <f t="shared" si="121"/>
        <v>1000</v>
      </c>
      <c r="L215" s="226">
        <f t="shared" si="121"/>
        <v>0</v>
      </c>
      <c r="M215" s="227">
        <f t="shared" si="115"/>
        <v>2000</v>
      </c>
      <c r="N215" s="226">
        <f t="shared" ref="N215:P217" si="122">SUM(N207,N211)</f>
        <v>0</v>
      </c>
      <c r="O215" s="226">
        <f t="shared" si="122"/>
        <v>0</v>
      </c>
      <c r="P215" s="226">
        <f t="shared" si="122"/>
        <v>0</v>
      </c>
      <c r="Q215" s="227">
        <f t="shared" si="116"/>
        <v>0</v>
      </c>
      <c r="R215" s="226">
        <f t="shared" ref="R215:T217" si="123">SUM(R207,R211)</f>
        <v>0</v>
      </c>
      <c r="S215" s="226">
        <f t="shared" si="123"/>
        <v>0</v>
      </c>
      <c r="T215" s="226">
        <f t="shared" si="123"/>
        <v>0</v>
      </c>
      <c r="U215" s="227">
        <f t="shared" si="117"/>
        <v>0</v>
      </c>
      <c r="V215" s="226">
        <f t="shared" ref="V215:X217" si="124">SUM(V207,V211)</f>
        <v>0</v>
      </c>
      <c r="W215" s="226">
        <f t="shared" si="124"/>
        <v>0</v>
      </c>
      <c r="X215" s="226">
        <f t="shared" si="124"/>
        <v>0</v>
      </c>
      <c r="Y215" s="227">
        <f t="shared" si="118"/>
        <v>0</v>
      </c>
    </row>
    <row r="216" spans="1:25" ht="12.75" hidden="1" customHeight="1" outlineLevel="1" x14ac:dyDescent="0.2">
      <c r="A216" s="198" t="str">
        <f>"      "&amp;Labels!B386</f>
        <v xml:space="preserve">      Prof Level 2</v>
      </c>
      <c r="B216" s="226">
        <f t="shared" si="119"/>
        <v>0</v>
      </c>
      <c r="C216" s="226">
        <f t="shared" si="119"/>
        <v>0</v>
      </c>
      <c r="D216" s="226">
        <f t="shared" si="119"/>
        <v>1375</v>
      </c>
      <c r="E216" s="227">
        <f t="shared" si="113"/>
        <v>1375</v>
      </c>
      <c r="F216" s="226">
        <f t="shared" si="120"/>
        <v>1375</v>
      </c>
      <c r="G216" s="226">
        <f t="shared" si="120"/>
        <v>0</v>
      </c>
      <c r="H216" s="226">
        <f t="shared" si="120"/>
        <v>1000</v>
      </c>
      <c r="I216" s="227">
        <f t="shared" si="114"/>
        <v>2375</v>
      </c>
      <c r="J216" s="226">
        <f t="shared" si="121"/>
        <v>1000</v>
      </c>
      <c r="K216" s="226">
        <f t="shared" si="121"/>
        <v>1000</v>
      </c>
      <c r="L216" s="226">
        <f t="shared" si="121"/>
        <v>0</v>
      </c>
      <c r="M216" s="227">
        <f t="shared" si="115"/>
        <v>2000</v>
      </c>
      <c r="N216" s="226">
        <f t="shared" si="122"/>
        <v>0</v>
      </c>
      <c r="O216" s="226">
        <f t="shared" si="122"/>
        <v>0</v>
      </c>
      <c r="P216" s="226">
        <f t="shared" si="122"/>
        <v>0</v>
      </c>
      <c r="Q216" s="227">
        <f t="shared" si="116"/>
        <v>0</v>
      </c>
      <c r="R216" s="226">
        <f t="shared" si="123"/>
        <v>0</v>
      </c>
      <c r="S216" s="226">
        <f t="shared" si="123"/>
        <v>0</v>
      </c>
      <c r="T216" s="226">
        <f t="shared" si="123"/>
        <v>0</v>
      </c>
      <c r="U216" s="227">
        <f t="shared" si="117"/>
        <v>0</v>
      </c>
      <c r="V216" s="226">
        <f t="shared" si="124"/>
        <v>0</v>
      </c>
      <c r="W216" s="226">
        <f t="shared" si="124"/>
        <v>0</v>
      </c>
      <c r="X216" s="226">
        <f t="shared" si="124"/>
        <v>0</v>
      </c>
      <c r="Y216" s="227">
        <f t="shared" si="118"/>
        <v>0</v>
      </c>
    </row>
    <row r="217" spans="1:25" ht="12.75" hidden="1" customHeight="1" outlineLevel="1" x14ac:dyDescent="0.2">
      <c r="A217" s="188" t="str">
        <f>"      "&amp;Labels!C384</f>
        <v xml:space="preserve">      Total</v>
      </c>
      <c r="B217" s="196">
        <f t="shared" si="119"/>
        <v>0</v>
      </c>
      <c r="C217" s="196">
        <f t="shared" si="119"/>
        <v>0</v>
      </c>
      <c r="D217" s="196">
        <f t="shared" si="119"/>
        <v>2750</v>
      </c>
      <c r="E217" s="197">
        <f>SUM(B214:D214)</f>
        <v>2750</v>
      </c>
      <c r="F217" s="196">
        <f t="shared" si="120"/>
        <v>2750</v>
      </c>
      <c r="G217" s="196">
        <f t="shared" si="120"/>
        <v>0</v>
      </c>
      <c r="H217" s="196">
        <f t="shared" si="120"/>
        <v>2000</v>
      </c>
      <c r="I217" s="197">
        <f>SUM(F214:H214)</f>
        <v>4750</v>
      </c>
      <c r="J217" s="196">
        <f t="shared" si="121"/>
        <v>2000</v>
      </c>
      <c r="K217" s="196">
        <f t="shared" si="121"/>
        <v>2000</v>
      </c>
      <c r="L217" s="196">
        <f t="shared" si="121"/>
        <v>0</v>
      </c>
      <c r="M217" s="197">
        <f>SUM(J214:L214)</f>
        <v>4000</v>
      </c>
      <c r="N217" s="196">
        <f t="shared" si="122"/>
        <v>0</v>
      </c>
      <c r="O217" s="196">
        <f t="shared" si="122"/>
        <v>0</v>
      </c>
      <c r="P217" s="196">
        <f t="shared" si="122"/>
        <v>0</v>
      </c>
      <c r="Q217" s="197">
        <f>SUM(N214:P214)</f>
        <v>0</v>
      </c>
      <c r="R217" s="196">
        <f t="shared" si="123"/>
        <v>0</v>
      </c>
      <c r="S217" s="196">
        <f t="shared" si="123"/>
        <v>0</v>
      </c>
      <c r="T217" s="196">
        <f t="shared" si="123"/>
        <v>0</v>
      </c>
      <c r="U217" s="197">
        <f>SUM(R214:T214)</f>
        <v>0</v>
      </c>
      <c r="V217" s="196">
        <f t="shared" si="124"/>
        <v>0</v>
      </c>
      <c r="W217" s="196">
        <f t="shared" si="124"/>
        <v>0</v>
      </c>
      <c r="X217" s="196">
        <f t="shared" si="124"/>
        <v>0</v>
      </c>
      <c r="Y217" s="197">
        <f>SUM(V214:X214)</f>
        <v>0</v>
      </c>
    </row>
    <row r="218" spans="1:25" ht="12.75" hidden="1" customHeight="1" outlineLevel="1" x14ac:dyDescent="0.2">
      <c r="A218" s="97"/>
      <c r="B218" s="6"/>
      <c r="C218" s="6"/>
      <c r="D218" s="6"/>
      <c r="E218" s="97"/>
      <c r="F218" s="6"/>
      <c r="G218" s="6"/>
      <c r="H218" s="6"/>
      <c r="I218" s="97"/>
      <c r="J218" s="6"/>
      <c r="K218" s="6"/>
      <c r="L218" s="6"/>
      <c r="M218" s="97"/>
      <c r="N218" s="6"/>
      <c r="O218" s="6"/>
      <c r="P218" s="6"/>
      <c r="Q218" s="97"/>
      <c r="R218" s="6"/>
      <c r="S218" s="6"/>
      <c r="T218" s="6"/>
      <c r="U218" s="97"/>
      <c r="V218" s="6"/>
      <c r="W218" s="6"/>
      <c r="X218" s="6"/>
      <c r="Y218" s="97"/>
    </row>
    <row r="219" spans="1:25" ht="12.75" hidden="1" customHeight="1" outlineLevel="1" x14ac:dyDescent="0.2">
      <c r="A219" s="191" t="str">
        <f>Labels!B46</f>
        <v xml:space="preserve">Cost of Services - Supplies </v>
      </c>
      <c r="B219" s="192"/>
      <c r="C219" s="192"/>
      <c r="D219" s="192"/>
      <c r="E219" s="190"/>
      <c r="F219" s="192"/>
      <c r="G219" s="192"/>
      <c r="H219" s="192"/>
      <c r="I219" s="190"/>
      <c r="J219" s="192"/>
      <c r="K219" s="192"/>
      <c r="L219" s="192"/>
      <c r="M219" s="190"/>
      <c r="N219" s="192"/>
      <c r="O219" s="192"/>
      <c r="P219" s="192"/>
      <c r="Q219" s="190"/>
      <c r="R219" s="192"/>
      <c r="S219" s="192"/>
      <c r="T219" s="192"/>
      <c r="U219" s="190"/>
      <c r="V219" s="192"/>
      <c r="W219" s="192"/>
      <c r="X219" s="192"/>
      <c r="Y219" s="190"/>
    </row>
    <row r="220" spans="1:25" ht="12.75" hidden="1" customHeight="1" outlineLevel="1" x14ac:dyDescent="0.2">
      <c r="A220" s="188" t="str">
        <f>"   "&amp;Labels!B381</f>
        <v xml:space="preserve">   Practice 1</v>
      </c>
      <c r="B220" s="196"/>
      <c r="C220" s="196"/>
      <c r="D220" s="196"/>
      <c r="E220" s="197"/>
      <c r="F220" s="196"/>
      <c r="G220" s="196"/>
      <c r="H220" s="196"/>
      <c r="I220" s="197"/>
      <c r="J220" s="196"/>
      <c r="K220" s="196"/>
      <c r="L220" s="196"/>
      <c r="M220" s="197"/>
      <c r="N220" s="196"/>
      <c r="O220" s="196"/>
      <c r="P220" s="196"/>
      <c r="Q220" s="197"/>
      <c r="R220" s="196"/>
      <c r="S220" s="196"/>
      <c r="T220" s="196"/>
      <c r="U220" s="197"/>
      <c r="V220" s="196"/>
      <c r="W220" s="196"/>
      <c r="X220" s="196"/>
      <c r="Y220" s="197"/>
    </row>
    <row r="221" spans="1:25" ht="12.75" hidden="1" customHeight="1" outlineLevel="1" x14ac:dyDescent="0.2">
      <c r="A221" s="198" t="str">
        <f>"      "&amp;Labels!B385</f>
        <v xml:space="preserve">      Prof Level 1</v>
      </c>
      <c r="B221" s="226"/>
      <c r="C221" s="226"/>
      <c r="D221" s="226"/>
      <c r="E221" s="227"/>
      <c r="F221" s="226"/>
      <c r="G221" s="226"/>
      <c r="H221" s="226"/>
      <c r="I221" s="227"/>
      <c r="J221" s="226"/>
      <c r="K221" s="226"/>
      <c r="L221" s="226"/>
      <c r="M221" s="227"/>
      <c r="N221" s="226"/>
      <c r="O221" s="226"/>
      <c r="P221" s="226"/>
      <c r="Q221" s="227"/>
      <c r="R221" s="226"/>
      <c r="S221" s="226"/>
      <c r="T221" s="226"/>
      <c r="U221" s="227"/>
      <c r="V221" s="226"/>
      <c r="W221" s="226"/>
      <c r="X221" s="226"/>
      <c r="Y221" s="227"/>
    </row>
    <row r="222" spans="1:25" ht="12.75" hidden="1" customHeight="1" outlineLevel="1" x14ac:dyDescent="0.2">
      <c r="A222" s="198" t="str">
        <f>"         "&amp;Labels!B397</f>
        <v xml:space="preserve">         Supply Type 1</v>
      </c>
      <c r="B222" s="189">
        <f>SUM('GM CostSvcs'!B96,'GM CostSvcs'!B100)</f>
        <v>0</v>
      </c>
      <c r="C222" s="189">
        <f>SUM('GM CostSvcs'!C96,'GM CostSvcs'!C100)</f>
        <v>0</v>
      </c>
      <c r="D222" s="189">
        <f>SUM('GM CostSvcs'!D96,'GM CostSvcs'!D100)</f>
        <v>0</v>
      </c>
      <c r="E222" s="190">
        <f>SUM(B222:D222)</f>
        <v>0</v>
      </c>
      <c r="F222" s="189">
        <f>SUM('GM CostSvcs'!F96,'GM CostSvcs'!F100)</f>
        <v>0</v>
      </c>
      <c r="G222" s="189">
        <f>SUM('GM CostSvcs'!G96,'GM CostSvcs'!G100)</f>
        <v>0</v>
      </c>
      <c r="H222" s="189">
        <f>SUM('GM CostSvcs'!H96,'GM CostSvcs'!H100)</f>
        <v>0</v>
      </c>
      <c r="I222" s="190">
        <f>SUM(F222:H222)</f>
        <v>0</v>
      </c>
      <c r="J222" s="189">
        <f>SUM('GM CostSvcs'!J96,'GM CostSvcs'!J100)</f>
        <v>0</v>
      </c>
      <c r="K222" s="189">
        <f>SUM('GM CostSvcs'!K96,'GM CostSvcs'!K100)</f>
        <v>0</v>
      </c>
      <c r="L222" s="189">
        <f>SUM('GM CostSvcs'!L96,'GM CostSvcs'!L100)</f>
        <v>0</v>
      </c>
      <c r="M222" s="190">
        <f>SUM(J222:L222)</f>
        <v>0</v>
      </c>
      <c r="N222" s="189">
        <f>SUM('GM CostSvcs'!N96,'GM CostSvcs'!N100)</f>
        <v>0</v>
      </c>
      <c r="O222" s="189">
        <f>SUM('GM CostSvcs'!O96,'GM CostSvcs'!O100)</f>
        <v>0</v>
      </c>
      <c r="P222" s="189">
        <f>SUM('GM CostSvcs'!P96,'GM CostSvcs'!P100)</f>
        <v>0</v>
      </c>
      <c r="Q222" s="190">
        <f>SUM(N222:P222)</f>
        <v>0</v>
      </c>
      <c r="R222" s="189">
        <f>SUM('GM CostSvcs'!R96,'GM CostSvcs'!R100)</f>
        <v>0</v>
      </c>
      <c r="S222" s="189">
        <f>SUM('GM CostSvcs'!S96,'GM CostSvcs'!S100)</f>
        <v>0</v>
      </c>
      <c r="T222" s="189">
        <f>SUM('GM CostSvcs'!T96,'GM CostSvcs'!T100)</f>
        <v>0</v>
      </c>
      <c r="U222" s="190">
        <f>SUM(R222:T222)</f>
        <v>0</v>
      </c>
      <c r="V222" s="189">
        <f>SUM('GM CostSvcs'!V96,'GM CostSvcs'!V100)</f>
        <v>0</v>
      </c>
      <c r="W222" s="189">
        <f>SUM('GM CostSvcs'!W96,'GM CostSvcs'!W100)</f>
        <v>0</v>
      </c>
      <c r="X222" s="189">
        <f>SUM('GM CostSvcs'!X96,'GM CostSvcs'!X100)</f>
        <v>0</v>
      </c>
      <c r="Y222" s="190">
        <f>SUM(V222:X222)</f>
        <v>0</v>
      </c>
    </row>
    <row r="223" spans="1:25" ht="12.75" hidden="1" customHeight="1" outlineLevel="1" x14ac:dyDescent="0.2">
      <c r="A223" s="198" t="str">
        <f>"         "&amp;Labels!B398</f>
        <v xml:space="preserve">         Supply Type 2</v>
      </c>
      <c r="B223" s="189">
        <f>SUM('GM CostSvcs'!B97,'GM CostSvcs'!B101)</f>
        <v>0</v>
      </c>
      <c r="C223" s="189">
        <f>SUM('GM CostSvcs'!C97,'GM CostSvcs'!C101)</f>
        <v>0</v>
      </c>
      <c r="D223" s="189">
        <f>SUM('GM CostSvcs'!D97,'GM CostSvcs'!D101)</f>
        <v>0</v>
      </c>
      <c r="E223" s="190">
        <f>SUM(B223:D223)</f>
        <v>0</v>
      </c>
      <c r="F223" s="189">
        <f>SUM('GM CostSvcs'!F97,'GM CostSvcs'!F101)</f>
        <v>0</v>
      </c>
      <c r="G223" s="189">
        <f>SUM('GM CostSvcs'!G97,'GM CostSvcs'!G101)</f>
        <v>0</v>
      </c>
      <c r="H223" s="189">
        <f>SUM('GM CostSvcs'!H97,'GM CostSvcs'!H101)</f>
        <v>0</v>
      </c>
      <c r="I223" s="190">
        <f>SUM(F223:H223)</f>
        <v>0</v>
      </c>
      <c r="J223" s="189">
        <f>SUM('GM CostSvcs'!J97,'GM CostSvcs'!J101)</f>
        <v>0</v>
      </c>
      <c r="K223" s="189">
        <f>SUM('GM CostSvcs'!K97,'GM CostSvcs'!K101)</f>
        <v>0</v>
      </c>
      <c r="L223" s="189">
        <f>SUM('GM CostSvcs'!L97,'GM CostSvcs'!L101)</f>
        <v>0</v>
      </c>
      <c r="M223" s="190">
        <f>SUM(J223:L223)</f>
        <v>0</v>
      </c>
      <c r="N223" s="189">
        <f>SUM('GM CostSvcs'!N97,'GM CostSvcs'!N101)</f>
        <v>0</v>
      </c>
      <c r="O223" s="189">
        <f>SUM('GM CostSvcs'!O97,'GM CostSvcs'!O101)</f>
        <v>0</v>
      </c>
      <c r="P223" s="189">
        <f>SUM('GM CostSvcs'!P97,'GM CostSvcs'!P101)</f>
        <v>0</v>
      </c>
      <c r="Q223" s="190">
        <f>SUM(N223:P223)</f>
        <v>0</v>
      </c>
      <c r="R223" s="189">
        <f>SUM('GM CostSvcs'!R97,'GM CostSvcs'!R101)</f>
        <v>0</v>
      </c>
      <c r="S223" s="189">
        <f>SUM('GM CostSvcs'!S97,'GM CostSvcs'!S101)</f>
        <v>0</v>
      </c>
      <c r="T223" s="189">
        <f>SUM('GM CostSvcs'!T97,'GM CostSvcs'!T101)</f>
        <v>0</v>
      </c>
      <c r="U223" s="190">
        <f>SUM(R223:T223)</f>
        <v>0</v>
      </c>
      <c r="V223" s="189">
        <f>SUM('GM CostSvcs'!V97,'GM CostSvcs'!V101)</f>
        <v>0</v>
      </c>
      <c r="W223" s="189">
        <f>SUM('GM CostSvcs'!W97,'GM CostSvcs'!W101)</f>
        <v>0</v>
      </c>
      <c r="X223" s="189">
        <f>SUM('GM CostSvcs'!X97,'GM CostSvcs'!X101)</f>
        <v>0</v>
      </c>
      <c r="Y223" s="190">
        <f>SUM(V223:X223)</f>
        <v>0</v>
      </c>
    </row>
    <row r="224" spans="1:25" ht="12.75" hidden="1" customHeight="1" outlineLevel="1" x14ac:dyDescent="0.2">
      <c r="A224" s="198" t="str">
        <f>"         "&amp;Labels!C396</f>
        <v xml:space="preserve">         Total</v>
      </c>
      <c r="B224" s="226">
        <f>SUM('GM CostSvcs'!B98,'GM CostSvcs'!B102)</f>
        <v>0</v>
      </c>
      <c r="C224" s="226">
        <f>SUM('GM CostSvcs'!C98,'GM CostSvcs'!C102)</f>
        <v>0</v>
      </c>
      <c r="D224" s="226">
        <f>SUM('GM CostSvcs'!D98,'GM CostSvcs'!D102)</f>
        <v>0</v>
      </c>
      <c r="E224" s="227">
        <f>SUM(B224:D224)</f>
        <v>0</v>
      </c>
      <c r="F224" s="226">
        <f>SUM('GM CostSvcs'!F98,'GM CostSvcs'!F102)</f>
        <v>0</v>
      </c>
      <c r="G224" s="226">
        <f>SUM('GM CostSvcs'!G98,'GM CostSvcs'!G102)</f>
        <v>0</v>
      </c>
      <c r="H224" s="226">
        <f>SUM('GM CostSvcs'!H98,'GM CostSvcs'!H102)</f>
        <v>0</v>
      </c>
      <c r="I224" s="227">
        <f>SUM(F224:H224)</f>
        <v>0</v>
      </c>
      <c r="J224" s="226">
        <f>SUM('GM CostSvcs'!J98,'GM CostSvcs'!J102)</f>
        <v>0</v>
      </c>
      <c r="K224" s="226">
        <f>SUM('GM CostSvcs'!K98,'GM CostSvcs'!K102)</f>
        <v>0</v>
      </c>
      <c r="L224" s="226">
        <f>SUM('GM CostSvcs'!L98,'GM CostSvcs'!L102)</f>
        <v>0</v>
      </c>
      <c r="M224" s="227">
        <f>SUM(J224:L224)</f>
        <v>0</v>
      </c>
      <c r="N224" s="226">
        <f>SUM('GM CostSvcs'!N98,'GM CostSvcs'!N102)</f>
        <v>0</v>
      </c>
      <c r="O224" s="226">
        <f>SUM('GM CostSvcs'!O98,'GM CostSvcs'!O102)</f>
        <v>0</v>
      </c>
      <c r="P224" s="226">
        <f>SUM('GM CostSvcs'!P98,'GM CostSvcs'!P102)</f>
        <v>0</v>
      </c>
      <c r="Q224" s="227">
        <f>SUM(N224:P224)</f>
        <v>0</v>
      </c>
      <c r="R224" s="226">
        <f>SUM('GM CostSvcs'!R98,'GM CostSvcs'!R102)</f>
        <v>0</v>
      </c>
      <c r="S224" s="226">
        <f>SUM('GM CostSvcs'!S98,'GM CostSvcs'!S102)</f>
        <v>0</v>
      </c>
      <c r="T224" s="226">
        <f>SUM('GM CostSvcs'!T98,'GM CostSvcs'!T102)</f>
        <v>0</v>
      </c>
      <c r="U224" s="227">
        <f>SUM(R224:T224)</f>
        <v>0</v>
      </c>
      <c r="V224" s="226">
        <f>SUM('GM CostSvcs'!V98,'GM CostSvcs'!V102)</f>
        <v>0</v>
      </c>
      <c r="W224" s="226">
        <f>SUM('GM CostSvcs'!W98,'GM CostSvcs'!W102)</f>
        <v>0</v>
      </c>
      <c r="X224" s="226">
        <f>SUM('GM CostSvcs'!X98,'GM CostSvcs'!X102)</f>
        <v>0</v>
      </c>
      <c r="Y224" s="227">
        <f>SUM(V224:X224)</f>
        <v>0</v>
      </c>
    </row>
    <row r="225" spans="1:25" ht="12.75" hidden="1" customHeight="1" outlineLevel="1" x14ac:dyDescent="0.2">
      <c r="A225" s="198" t="str">
        <f>"      "&amp;Labels!B386</f>
        <v xml:space="preserve">      Prof Level 2</v>
      </c>
      <c r="B225" s="226"/>
      <c r="C225" s="226"/>
      <c r="D225" s="226"/>
      <c r="E225" s="227"/>
      <c r="F225" s="226"/>
      <c r="G225" s="226"/>
      <c r="H225" s="226"/>
      <c r="I225" s="227"/>
      <c r="J225" s="226"/>
      <c r="K225" s="226"/>
      <c r="L225" s="226"/>
      <c r="M225" s="227"/>
      <c r="N225" s="226"/>
      <c r="O225" s="226"/>
      <c r="P225" s="226"/>
      <c r="Q225" s="227"/>
      <c r="R225" s="226"/>
      <c r="S225" s="226"/>
      <c r="T225" s="226"/>
      <c r="U225" s="227"/>
      <c r="V225" s="226"/>
      <c r="W225" s="226"/>
      <c r="X225" s="226"/>
      <c r="Y225" s="227"/>
    </row>
    <row r="226" spans="1:25" ht="12.75" hidden="1" customHeight="1" outlineLevel="1" x14ac:dyDescent="0.2">
      <c r="A226" s="198" t="str">
        <f>"         "&amp;Labels!B397</f>
        <v xml:space="preserve">         Supply Type 1</v>
      </c>
      <c r="B226" s="189">
        <f>SUM('GM CostSvcs'!B109,'GM CostSvcs'!B113)</f>
        <v>0</v>
      </c>
      <c r="C226" s="189">
        <f>SUM('GM CostSvcs'!C109,'GM CostSvcs'!C113)</f>
        <v>0</v>
      </c>
      <c r="D226" s="189">
        <f>SUM('GM CostSvcs'!D109,'GM CostSvcs'!D113)</f>
        <v>0</v>
      </c>
      <c r="E226" s="190">
        <f t="shared" ref="E226:E231" si="125">SUM(B226:D226)</f>
        <v>0</v>
      </c>
      <c r="F226" s="189">
        <f>SUM('GM CostSvcs'!F109,'GM CostSvcs'!F113)</f>
        <v>0</v>
      </c>
      <c r="G226" s="189">
        <f>SUM('GM CostSvcs'!G109,'GM CostSvcs'!G113)</f>
        <v>0</v>
      </c>
      <c r="H226" s="189">
        <f>SUM('GM CostSvcs'!H109,'GM CostSvcs'!H113)</f>
        <v>0</v>
      </c>
      <c r="I226" s="190">
        <f t="shared" ref="I226:I231" si="126">SUM(F226:H226)</f>
        <v>0</v>
      </c>
      <c r="J226" s="189">
        <f>SUM('GM CostSvcs'!J109,'GM CostSvcs'!J113)</f>
        <v>0</v>
      </c>
      <c r="K226" s="189">
        <f>SUM('GM CostSvcs'!K109,'GM CostSvcs'!K113)</f>
        <v>0</v>
      </c>
      <c r="L226" s="189">
        <f>SUM('GM CostSvcs'!L109,'GM CostSvcs'!L113)</f>
        <v>0</v>
      </c>
      <c r="M226" s="190">
        <f t="shared" ref="M226:M231" si="127">SUM(J226:L226)</f>
        <v>0</v>
      </c>
      <c r="N226" s="189">
        <f>SUM('GM CostSvcs'!N109,'GM CostSvcs'!N113)</f>
        <v>0</v>
      </c>
      <c r="O226" s="189">
        <f>SUM('GM CostSvcs'!O109,'GM CostSvcs'!O113)</f>
        <v>0</v>
      </c>
      <c r="P226" s="189">
        <f>SUM('GM CostSvcs'!P109,'GM CostSvcs'!P113)</f>
        <v>0</v>
      </c>
      <c r="Q226" s="190">
        <f t="shared" ref="Q226:Q231" si="128">SUM(N226:P226)</f>
        <v>0</v>
      </c>
      <c r="R226" s="189">
        <f>SUM('GM CostSvcs'!R109,'GM CostSvcs'!R113)</f>
        <v>0</v>
      </c>
      <c r="S226" s="189">
        <f>SUM('GM CostSvcs'!S109,'GM CostSvcs'!S113)</f>
        <v>0</v>
      </c>
      <c r="T226" s="189">
        <f>SUM('GM CostSvcs'!T109,'GM CostSvcs'!T113)</f>
        <v>0</v>
      </c>
      <c r="U226" s="190">
        <f t="shared" ref="U226:U231" si="129">SUM(R226:T226)</f>
        <v>0</v>
      </c>
      <c r="V226" s="189">
        <f>SUM('GM CostSvcs'!V109,'GM CostSvcs'!V113)</f>
        <v>0</v>
      </c>
      <c r="W226" s="189">
        <f>SUM('GM CostSvcs'!W109,'GM CostSvcs'!W113)</f>
        <v>0</v>
      </c>
      <c r="X226" s="189">
        <f>SUM('GM CostSvcs'!X109,'GM CostSvcs'!X113)</f>
        <v>0</v>
      </c>
      <c r="Y226" s="190">
        <f t="shared" ref="Y226:Y231" si="130">SUM(V226:X226)</f>
        <v>0</v>
      </c>
    </row>
    <row r="227" spans="1:25" ht="12.75" hidden="1" customHeight="1" outlineLevel="1" x14ac:dyDescent="0.2">
      <c r="A227" s="198" t="str">
        <f>"         "&amp;Labels!B398</f>
        <v xml:space="preserve">         Supply Type 2</v>
      </c>
      <c r="B227" s="189">
        <f>SUM('GM CostSvcs'!B110,'GM CostSvcs'!B114)</f>
        <v>0</v>
      </c>
      <c r="C227" s="189">
        <f>SUM('GM CostSvcs'!C110,'GM CostSvcs'!C114)</f>
        <v>0</v>
      </c>
      <c r="D227" s="189">
        <f>SUM('GM CostSvcs'!D110,'GM CostSvcs'!D114)</f>
        <v>0</v>
      </c>
      <c r="E227" s="190">
        <f t="shared" si="125"/>
        <v>0</v>
      </c>
      <c r="F227" s="189">
        <f>SUM('GM CostSvcs'!F110,'GM CostSvcs'!F114)</f>
        <v>0</v>
      </c>
      <c r="G227" s="189">
        <f>SUM('GM CostSvcs'!G110,'GM CostSvcs'!G114)</f>
        <v>0</v>
      </c>
      <c r="H227" s="189">
        <f>SUM('GM CostSvcs'!H110,'GM CostSvcs'!H114)</f>
        <v>0</v>
      </c>
      <c r="I227" s="190">
        <f t="shared" si="126"/>
        <v>0</v>
      </c>
      <c r="J227" s="189">
        <f>SUM('GM CostSvcs'!J110,'GM CostSvcs'!J114)</f>
        <v>0</v>
      </c>
      <c r="K227" s="189">
        <f>SUM('GM CostSvcs'!K110,'GM CostSvcs'!K114)</f>
        <v>0</v>
      </c>
      <c r="L227" s="189">
        <f>SUM('GM CostSvcs'!L110,'GM CostSvcs'!L114)</f>
        <v>0</v>
      </c>
      <c r="M227" s="190">
        <f t="shared" si="127"/>
        <v>0</v>
      </c>
      <c r="N227" s="189">
        <f>SUM('GM CostSvcs'!N110,'GM CostSvcs'!N114)</f>
        <v>0</v>
      </c>
      <c r="O227" s="189">
        <f>SUM('GM CostSvcs'!O110,'GM CostSvcs'!O114)</f>
        <v>0</v>
      </c>
      <c r="P227" s="189">
        <f>SUM('GM CostSvcs'!P110,'GM CostSvcs'!P114)</f>
        <v>0</v>
      </c>
      <c r="Q227" s="190">
        <f t="shared" si="128"/>
        <v>0</v>
      </c>
      <c r="R227" s="189">
        <f>SUM('GM CostSvcs'!R110,'GM CostSvcs'!R114)</f>
        <v>0</v>
      </c>
      <c r="S227" s="189">
        <f>SUM('GM CostSvcs'!S110,'GM CostSvcs'!S114)</f>
        <v>0</v>
      </c>
      <c r="T227" s="189">
        <f>SUM('GM CostSvcs'!T110,'GM CostSvcs'!T114)</f>
        <v>0</v>
      </c>
      <c r="U227" s="190">
        <f t="shared" si="129"/>
        <v>0</v>
      </c>
      <c r="V227" s="189">
        <f>SUM('GM CostSvcs'!V110,'GM CostSvcs'!V114)</f>
        <v>0</v>
      </c>
      <c r="W227" s="189">
        <f>SUM('GM CostSvcs'!W110,'GM CostSvcs'!W114)</f>
        <v>0</v>
      </c>
      <c r="X227" s="189">
        <f>SUM('GM CostSvcs'!X110,'GM CostSvcs'!X114)</f>
        <v>0</v>
      </c>
      <c r="Y227" s="190">
        <f t="shared" si="130"/>
        <v>0</v>
      </c>
    </row>
    <row r="228" spans="1:25" ht="12.75" hidden="1" customHeight="1" outlineLevel="1" x14ac:dyDescent="0.2">
      <c r="A228" s="198" t="str">
        <f>"         "&amp;Labels!C396</f>
        <v xml:space="preserve">         Total</v>
      </c>
      <c r="B228" s="226">
        <f>SUM('GM CostSvcs'!B111,'GM CostSvcs'!B115)</f>
        <v>0</v>
      </c>
      <c r="C228" s="226">
        <f>SUM('GM CostSvcs'!C111,'GM CostSvcs'!C115)</f>
        <v>0</v>
      </c>
      <c r="D228" s="226">
        <f>SUM('GM CostSvcs'!D111,'GM CostSvcs'!D115)</f>
        <v>0</v>
      </c>
      <c r="E228" s="227">
        <f t="shared" si="125"/>
        <v>0</v>
      </c>
      <c r="F228" s="226">
        <f>SUM('GM CostSvcs'!F111,'GM CostSvcs'!F115)</f>
        <v>0</v>
      </c>
      <c r="G228" s="226">
        <f>SUM('GM CostSvcs'!G111,'GM CostSvcs'!G115)</f>
        <v>0</v>
      </c>
      <c r="H228" s="226">
        <f>SUM('GM CostSvcs'!H111,'GM CostSvcs'!H115)</f>
        <v>0</v>
      </c>
      <c r="I228" s="227">
        <f t="shared" si="126"/>
        <v>0</v>
      </c>
      <c r="J228" s="226">
        <f>SUM('GM CostSvcs'!J111,'GM CostSvcs'!J115)</f>
        <v>0</v>
      </c>
      <c r="K228" s="226">
        <f>SUM('GM CostSvcs'!K111,'GM CostSvcs'!K115)</f>
        <v>0</v>
      </c>
      <c r="L228" s="226">
        <f>SUM('GM CostSvcs'!L111,'GM CostSvcs'!L115)</f>
        <v>0</v>
      </c>
      <c r="M228" s="227">
        <f t="shared" si="127"/>
        <v>0</v>
      </c>
      <c r="N228" s="226">
        <f>SUM('GM CostSvcs'!N111,'GM CostSvcs'!N115)</f>
        <v>0</v>
      </c>
      <c r="O228" s="226">
        <f>SUM('GM CostSvcs'!O111,'GM CostSvcs'!O115)</f>
        <v>0</v>
      </c>
      <c r="P228" s="226">
        <f>SUM('GM CostSvcs'!P111,'GM CostSvcs'!P115)</f>
        <v>0</v>
      </c>
      <c r="Q228" s="227">
        <f t="shared" si="128"/>
        <v>0</v>
      </c>
      <c r="R228" s="226">
        <f>SUM('GM CostSvcs'!R111,'GM CostSvcs'!R115)</f>
        <v>0</v>
      </c>
      <c r="S228" s="226">
        <f>SUM('GM CostSvcs'!S111,'GM CostSvcs'!S115)</f>
        <v>0</v>
      </c>
      <c r="T228" s="226">
        <f>SUM('GM CostSvcs'!T111,'GM CostSvcs'!T115)</f>
        <v>0</v>
      </c>
      <c r="U228" s="227">
        <f t="shared" si="129"/>
        <v>0</v>
      </c>
      <c r="V228" s="226">
        <f>SUM('GM CostSvcs'!V111,'GM CostSvcs'!V115)</f>
        <v>0</v>
      </c>
      <c r="W228" s="226">
        <f>SUM('GM CostSvcs'!W111,'GM CostSvcs'!W115)</f>
        <v>0</v>
      </c>
      <c r="X228" s="226">
        <f>SUM('GM CostSvcs'!X111,'GM CostSvcs'!X115)</f>
        <v>0</v>
      </c>
      <c r="Y228" s="227">
        <f t="shared" si="130"/>
        <v>0</v>
      </c>
    </row>
    <row r="229" spans="1:25" ht="12.75" hidden="1" customHeight="1" outlineLevel="1" x14ac:dyDescent="0.2">
      <c r="A229" s="188" t="str">
        <f>"      "&amp;Labels!C384</f>
        <v xml:space="preserve">      Total</v>
      </c>
      <c r="B229" s="196">
        <f>SUM(B224,B228)</f>
        <v>0</v>
      </c>
      <c r="C229" s="196">
        <f>SUM(C224,C228)</f>
        <v>0</v>
      </c>
      <c r="D229" s="196">
        <f>SUM(D224,D228)</f>
        <v>0</v>
      </c>
      <c r="E229" s="197">
        <f t="shared" si="125"/>
        <v>0</v>
      </c>
      <c r="F229" s="196">
        <f>SUM(F224,F228)</f>
        <v>0</v>
      </c>
      <c r="G229" s="196">
        <f>SUM(G224,G228)</f>
        <v>0</v>
      </c>
      <c r="H229" s="196">
        <f>SUM(H224,H228)</f>
        <v>0</v>
      </c>
      <c r="I229" s="197">
        <f t="shared" si="126"/>
        <v>0</v>
      </c>
      <c r="J229" s="196">
        <f>SUM(J224,J228)</f>
        <v>0</v>
      </c>
      <c r="K229" s="196">
        <f>SUM(K224,K228)</f>
        <v>0</v>
      </c>
      <c r="L229" s="196">
        <f>SUM(L224,L228)</f>
        <v>0</v>
      </c>
      <c r="M229" s="197">
        <f t="shared" si="127"/>
        <v>0</v>
      </c>
      <c r="N229" s="196">
        <f>SUM(N224,N228)</f>
        <v>0</v>
      </c>
      <c r="O229" s="196">
        <f>SUM(O224,O228)</f>
        <v>0</v>
      </c>
      <c r="P229" s="196">
        <f>SUM(P224,P228)</f>
        <v>0</v>
      </c>
      <c r="Q229" s="197">
        <f t="shared" si="128"/>
        <v>0</v>
      </c>
      <c r="R229" s="196">
        <f>SUM(R224,R228)</f>
        <v>0</v>
      </c>
      <c r="S229" s="196">
        <f>SUM(S224,S228)</f>
        <v>0</v>
      </c>
      <c r="T229" s="196">
        <f>SUM(T224,T228)</f>
        <v>0</v>
      </c>
      <c r="U229" s="197">
        <f t="shared" si="129"/>
        <v>0</v>
      </c>
      <c r="V229" s="196">
        <f>SUM(V224,V228)</f>
        <v>0</v>
      </c>
      <c r="W229" s="196">
        <f>SUM(W224,W228)</f>
        <v>0</v>
      </c>
      <c r="X229" s="196">
        <f>SUM(X224,X228)</f>
        <v>0</v>
      </c>
      <c r="Y229" s="197">
        <f t="shared" si="130"/>
        <v>0</v>
      </c>
    </row>
    <row r="230" spans="1:25" ht="12.75" hidden="1" customHeight="1" outlineLevel="1" x14ac:dyDescent="0.2">
      <c r="A230" s="198" t="str">
        <f>"         "&amp;Labels!B397</f>
        <v xml:space="preserve">         Supply Type 1</v>
      </c>
      <c r="B230" s="189">
        <f t="shared" ref="B230:D232" si="131">SUM(B222,B226)</f>
        <v>0</v>
      </c>
      <c r="C230" s="189">
        <f t="shared" si="131"/>
        <v>0</v>
      </c>
      <c r="D230" s="189">
        <f t="shared" si="131"/>
        <v>0</v>
      </c>
      <c r="E230" s="190">
        <f t="shared" si="125"/>
        <v>0</v>
      </c>
      <c r="F230" s="189">
        <f t="shared" ref="F230:H232" si="132">SUM(F222,F226)</f>
        <v>0</v>
      </c>
      <c r="G230" s="189">
        <f t="shared" si="132"/>
        <v>0</v>
      </c>
      <c r="H230" s="189">
        <f t="shared" si="132"/>
        <v>0</v>
      </c>
      <c r="I230" s="190">
        <f t="shared" si="126"/>
        <v>0</v>
      </c>
      <c r="J230" s="189">
        <f t="shared" ref="J230:L232" si="133">SUM(J222,J226)</f>
        <v>0</v>
      </c>
      <c r="K230" s="189">
        <f t="shared" si="133"/>
        <v>0</v>
      </c>
      <c r="L230" s="189">
        <f t="shared" si="133"/>
        <v>0</v>
      </c>
      <c r="M230" s="190">
        <f t="shared" si="127"/>
        <v>0</v>
      </c>
      <c r="N230" s="189">
        <f t="shared" ref="N230:P232" si="134">SUM(N222,N226)</f>
        <v>0</v>
      </c>
      <c r="O230" s="189">
        <f t="shared" si="134"/>
        <v>0</v>
      </c>
      <c r="P230" s="189">
        <f t="shared" si="134"/>
        <v>0</v>
      </c>
      <c r="Q230" s="190">
        <f t="shared" si="128"/>
        <v>0</v>
      </c>
      <c r="R230" s="189">
        <f t="shared" ref="R230:T232" si="135">SUM(R222,R226)</f>
        <v>0</v>
      </c>
      <c r="S230" s="189">
        <f t="shared" si="135"/>
        <v>0</v>
      </c>
      <c r="T230" s="189">
        <f t="shared" si="135"/>
        <v>0</v>
      </c>
      <c r="U230" s="190">
        <f t="shared" si="129"/>
        <v>0</v>
      </c>
      <c r="V230" s="189">
        <f t="shared" ref="V230:X232" si="136">SUM(V222,V226)</f>
        <v>0</v>
      </c>
      <c r="W230" s="189">
        <f t="shared" si="136"/>
        <v>0</v>
      </c>
      <c r="X230" s="189">
        <f t="shared" si="136"/>
        <v>0</v>
      </c>
      <c r="Y230" s="190">
        <f t="shared" si="130"/>
        <v>0</v>
      </c>
    </row>
    <row r="231" spans="1:25" ht="12.75" hidden="1" customHeight="1" outlineLevel="1" x14ac:dyDescent="0.2">
      <c r="A231" s="198" t="str">
        <f>"         "&amp;Labels!B398</f>
        <v xml:space="preserve">         Supply Type 2</v>
      </c>
      <c r="B231" s="189">
        <f t="shared" si="131"/>
        <v>0</v>
      </c>
      <c r="C231" s="189">
        <f t="shared" si="131"/>
        <v>0</v>
      </c>
      <c r="D231" s="189">
        <f t="shared" si="131"/>
        <v>0</v>
      </c>
      <c r="E231" s="190">
        <f t="shared" si="125"/>
        <v>0</v>
      </c>
      <c r="F231" s="189">
        <f t="shared" si="132"/>
        <v>0</v>
      </c>
      <c r="G231" s="189">
        <f t="shared" si="132"/>
        <v>0</v>
      </c>
      <c r="H231" s="189">
        <f t="shared" si="132"/>
        <v>0</v>
      </c>
      <c r="I231" s="190">
        <f t="shared" si="126"/>
        <v>0</v>
      </c>
      <c r="J231" s="189">
        <f t="shared" si="133"/>
        <v>0</v>
      </c>
      <c r="K231" s="189">
        <f t="shared" si="133"/>
        <v>0</v>
      </c>
      <c r="L231" s="189">
        <f t="shared" si="133"/>
        <v>0</v>
      </c>
      <c r="M231" s="190">
        <f t="shared" si="127"/>
        <v>0</v>
      </c>
      <c r="N231" s="189">
        <f t="shared" si="134"/>
        <v>0</v>
      </c>
      <c r="O231" s="189">
        <f t="shared" si="134"/>
        <v>0</v>
      </c>
      <c r="P231" s="189">
        <f t="shared" si="134"/>
        <v>0</v>
      </c>
      <c r="Q231" s="190">
        <f t="shared" si="128"/>
        <v>0</v>
      </c>
      <c r="R231" s="189">
        <f t="shared" si="135"/>
        <v>0</v>
      </c>
      <c r="S231" s="189">
        <f t="shared" si="135"/>
        <v>0</v>
      </c>
      <c r="T231" s="189">
        <f t="shared" si="135"/>
        <v>0</v>
      </c>
      <c r="U231" s="190">
        <f t="shared" si="129"/>
        <v>0</v>
      </c>
      <c r="V231" s="189">
        <f t="shared" si="136"/>
        <v>0</v>
      </c>
      <c r="W231" s="189">
        <f t="shared" si="136"/>
        <v>0</v>
      </c>
      <c r="X231" s="189">
        <f t="shared" si="136"/>
        <v>0</v>
      </c>
      <c r="Y231" s="190">
        <f t="shared" si="130"/>
        <v>0</v>
      </c>
    </row>
    <row r="232" spans="1:25" ht="12.75" hidden="1" customHeight="1" outlineLevel="1" x14ac:dyDescent="0.2">
      <c r="A232" s="198" t="str">
        <f>"         "&amp;Labels!C396</f>
        <v xml:space="preserve">         Total</v>
      </c>
      <c r="B232" s="226">
        <f t="shared" si="131"/>
        <v>0</v>
      </c>
      <c r="C232" s="226">
        <f t="shared" si="131"/>
        <v>0</v>
      </c>
      <c r="D232" s="226">
        <f t="shared" si="131"/>
        <v>0</v>
      </c>
      <c r="E232" s="227">
        <f>SUM(B229:D229)</f>
        <v>0</v>
      </c>
      <c r="F232" s="226">
        <f t="shared" si="132"/>
        <v>0</v>
      </c>
      <c r="G232" s="226">
        <f t="shared" si="132"/>
        <v>0</v>
      </c>
      <c r="H232" s="226">
        <f t="shared" si="132"/>
        <v>0</v>
      </c>
      <c r="I232" s="227">
        <f>SUM(F229:H229)</f>
        <v>0</v>
      </c>
      <c r="J232" s="226">
        <f t="shared" si="133"/>
        <v>0</v>
      </c>
      <c r="K232" s="226">
        <f t="shared" si="133"/>
        <v>0</v>
      </c>
      <c r="L232" s="226">
        <f t="shared" si="133"/>
        <v>0</v>
      </c>
      <c r="M232" s="227">
        <f>SUM(J229:L229)</f>
        <v>0</v>
      </c>
      <c r="N232" s="226">
        <f t="shared" si="134"/>
        <v>0</v>
      </c>
      <c r="O232" s="226">
        <f t="shared" si="134"/>
        <v>0</v>
      </c>
      <c r="P232" s="226">
        <f t="shared" si="134"/>
        <v>0</v>
      </c>
      <c r="Q232" s="227">
        <f>SUM(N229:P229)</f>
        <v>0</v>
      </c>
      <c r="R232" s="226">
        <f t="shared" si="135"/>
        <v>0</v>
      </c>
      <c r="S232" s="226">
        <f t="shared" si="135"/>
        <v>0</v>
      </c>
      <c r="T232" s="226">
        <f t="shared" si="135"/>
        <v>0</v>
      </c>
      <c r="U232" s="227">
        <f>SUM(R229:T229)</f>
        <v>0</v>
      </c>
      <c r="V232" s="226">
        <f t="shared" si="136"/>
        <v>0</v>
      </c>
      <c r="W232" s="226">
        <f t="shared" si="136"/>
        <v>0</v>
      </c>
      <c r="X232" s="226">
        <f t="shared" si="136"/>
        <v>0</v>
      </c>
      <c r="Y232" s="227">
        <f>SUM(V229:X229)</f>
        <v>0</v>
      </c>
    </row>
    <row r="233" spans="1:25" ht="12.75" hidden="1" customHeight="1" outlineLevel="1" x14ac:dyDescent="0.2">
      <c r="A233" s="188" t="str">
        <f>"   "&amp;Labels!B382</f>
        <v xml:space="preserve">   Practice 2</v>
      </c>
      <c r="B233" s="196"/>
      <c r="C233" s="196"/>
      <c r="D233" s="196"/>
      <c r="E233" s="197"/>
      <c r="F233" s="196"/>
      <c r="G233" s="196"/>
      <c r="H233" s="196"/>
      <c r="I233" s="197"/>
      <c r="J233" s="196"/>
      <c r="K233" s="196"/>
      <c r="L233" s="196"/>
      <c r="M233" s="197"/>
      <c r="N233" s="196"/>
      <c r="O233" s="196"/>
      <c r="P233" s="196"/>
      <c r="Q233" s="197"/>
      <c r="R233" s="196"/>
      <c r="S233" s="196"/>
      <c r="T233" s="196"/>
      <c r="U233" s="197"/>
      <c r="V233" s="196"/>
      <c r="W233" s="196"/>
      <c r="X233" s="196"/>
      <c r="Y233" s="197"/>
    </row>
    <row r="234" spans="1:25" ht="12.75" hidden="1" customHeight="1" outlineLevel="1" x14ac:dyDescent="0.2">
      <c r="A234" s="198" t="str">
        <f>"      "&amp;Labels!B385</f>
        <v xml:space="preserve">      Prof Level 1</v>
      </c>
      <c r="B234" s="226"/>
      <c r="C234" s="226"/>
      <c r="D234" s="226"/>
      <c r="E234" s="227"/>
      <c r="F234" s="226"/>
      <c r="G234" s="226"/>
      <c r="H234" s="226"/>
      <c r="I234" s="227"/>
      <c r="J234" s="226"/>
      <c r="K234" s="226"/>
      <c r="L234" s="226"/>
      <c r="M234" s="227"/>
      <c r="N234" s="226"/>
      <c r="O234" s="226"/>
      <c r="P234" s="226"/>
      <c r="Q234" s="227"/>
      <c r="R234" s="226"/>
      <c r="S234" s="226"/>
      <c r="T234" s="226"/>
      <c r="U234" s="227"/>
      <c r="V234" s="226"/>
      <c r="W234" s="226"/>
      <c r="X234" s="226"/>
      <c r="Y234" s="227"/>
    </row>
    <row r="235" spans="1:25" ht="12.75" hidden="1" customHeight="1" outlineLevel="1" x14ac:dyDescent="0.2">
      <c r="A235" s="198" t="str">
        <f>"         "&amp;Labels!B397</f>
        <v xml:space="preserve">         Supply Type 1</v>
      </c>
      <c r="B235" s="189">
        <f>SUM('GM CostSvcs'!B136,'GM CostSvcs'!B140)</f>
        <v>0</v>
      </c>
      <c r="C235" s="189">
        <f>SUM('GM CostSvcs'!C136,'GM CostSvcs'!C140)</f>
        <v>0</v>
      </c>
      <c r="D235" s="189">
        <f>SUM('GM CostSvcs'!D136,'GM CostSvcs'!D140)</f>
        <v>0</v>
      </c>
      <c r="E235" s="190">
        <f>SUM(B235:D235)</f>
        <v>0</v>
      </c>
      <c r="F235" s="189">
        <f>SUM('GM CostSvcs'!F136,'GM CostSvcs'!F140)</f>
        <v>0</v>
      </c>
      <c r="G235" s="189">
        <f>SUM('GM CostSvcs'!G136,'GM CostSvcs'!G140)</f>
        <v>0</v>
      </c>
      <c r="H235" s="189">
        <f>SUM('GM CostSvcs'!H136,'GM CostSvcs'!H140)</f>
        <v>0</v>
      </c>
      <c r="I235" s="190">
        <f>SUM(F235:H235)</f>
        <v>0</v>
      </c>
      <c r="J235" s="189">
        <f>SUM('GM CostSvcs'!J136,'GM CostSvcs'!J140)</f>
        <v>0</v>
      </c>
      <c r="K235" s="189">
        <f>SUM('GM CostSvcs'!K136,'GM CostSvcs'!K140)</f>
        <v>0</v>
      </c>
      <c r="L235" s="189">
        <f>SUM('GM CostSvcs'!L136,'GM CostSvcs'!L140)</f>
        <v>0</v>
      </c>
      <c r="M235" s="190">
        <f>SUM(J235:L235)</f>
        <v>0</v>
      </c>
      <c r="N235" s="189">
        <f>SUM('GM CostSvcs'!N136,'GM CostSvcs'!N140)</f>
        <v>0</v>
      </c>
      <c r="O235" s="189">
        <f>SUM('GM CostSvcs'!O136,'GM CostSvcs'!O140)</f>
        <v>0</v>
      </c>
      <c r="P235" s="189">
        <f>SUM('GM CostSvcs'!P136,'GM CostSvcs'!P140)</f>
        <v>0</v>
      </c>
      <c r="Q235" s="190">
        <f>SUM(N235:P235)</f>
        <v>0</v>
      </c>
      <c r="R235" s="189">
        <f>SUM('GM CostSvcs'!R136,'GM CostSvcs'!R140)</f>
        <v>0</v>
      </c>
      <c r="S235" s="189">
        <f>SUM('GM CostSvcs'!S136,'GM CostSvcs'!S140)</f>
        <v>0</v>
      </c>
      <c r="T235" s="189">
        <f>SUM('GM CostSvcs'!T136,'GM CostSvcs'!T140)</f>
        <v>0</v>
      </c>
      <c r="U235" s="190">
        <f>SUM(R235:T235)</f>
        <v>0</v>
      </c>
      <c r="V235" s="189">
        <f>SUM('GM CostSvcs'!V136,'GM CostSvcs'!V140)</f>
        <v>0</v>
      </c>
      <c r="W235" s="189">
        <f>SUM('GM CostSvcs'!W136,'GM CostSvcs'!W140)</f>
        <v>0</v>
      </c>
      <c r="X235" s="189">
        <f>SUM('GM CostSvcs'!X136,'GM CostSvcs'!X140)</f>
        <v>0</v>
      </c>
      <c r="Y235" s="190">
        <f>SUM(V235:X235)</f>
        <v>0</v>
      </c>
    </row>
    <row r="236" spans="1:25" ht="12.75" hidden="1" customHeight="1" outlineLevel="1" x14ac:dyDescent="0.2">
      <c r="A236" s="198" t="str">
        <f>"         "&amp;Labels!B398</f>
        <v xml:space="preserve">         Supply Type 2</v>
      </c>
      <c r="B236" s="189">
        <f>SUM('GM CostSvcs'!B137,'GM CostSvcs'!B141)</f>
        <v>0</v>
      </c>
      <c r="C236" s="189">
        <f>SUM('GM CostSvcs'!C137,'GM CostSvcs'!C141)</f>
        <v>0</v>
      </c>
      <c r="D236" s="189">
        <f>SUM('GM CostSvcs'!D137,'GM CostSvcs'!D141)</f>
        <v>0</v>
      </c>
      <c r="E236" s="190">
        <f>SUM(B236:D236)</f>
        <v>0</v>
      </c>
      <c r="F236" s="189">
        <f>SUM('GM CostSvcs'!F137,'GM CostSvcs'!F141)</f>
        <v>0</v>
      </c>
      <c r="G236" s="189">
        <f>SUM('GM CostSvcs'!G137,'GM CostSvcs'!G141)</f>
        <v>0</v>
      </c>
      <c r="H236" s="189">
        <f>SUM('GM CostSvcs'!H137,'GM CostSvcs'!H141)</f>
        <v>0</v>
      </c>
      <c r="I236" s="190">
        <f>SUM(F236:H236)</f>
        <v>0</v>
      </c>
      <c r="J236" s="189">
        <f>SUM('GM CostSvcs'!J137,'GM CostSvcs'!J141)</f>
        <v>0</v>
      </c>
      <c r="K236" s="189">
        <f>SUM('GM CostSvcs'!K137,'GM CostSvcs'!K141)</f>
        <v>0</v>
      </c>
      <c r="L236" s="189">
        <f>SUM('GM CostSvcs'!L137,'GM CostSvcs'!L141)</f>
        <v>0</v>
      </c>
      <c r="M236" s="190">
        <f>SUM(J236:L236)</f>
        <v>0</v>
      </c>
      <c r="N236" s="189">
        <f>SUM('GM CostSvcs'!N137,'GM CostSvcs'!N141)</f>
        <v>0</v>
      </c>
      <c r="O236" s="189">
        <f>SUM('GM CostSvcs'!O137,'GM CostSvcs'!O141)</f>
        <v>0</v>
      </c>
      <c r="P236" s="189">
        <f>SUM('GM CostSvcs'!P137,'GM CostSvcs'!P141)</f>
        <v>0</v>
      </c>
      <c r="Q236" s="190">
        <f>SUM(N236:P236)</f>
        <v>0</v>
      </c>
      <c r="R236" s="189">
        <f>SUM('GM CostSvcs'!R137,'GM CostSvcs'!R141)</f>
        <v>0</v>
      </c>
      <c r="S236" s="189">
        <f>SUM('GM CostSvcs'!S137,'GM CostSvcs'!S141)</f>
        <v>0</v>
      </c>
      <c r="T236" s="189">
        <f>SUM('GM CostSvcs'!T137,'GM CostSvcs'!T141)</f>
        <v>0</v>
      </c>
      <c r="U236" s="190">
        <f>SUM(R236:T236)</f>
        <v>0</v>
      </c>
      <c r="V236" s="189">
        <f>SUM('GM CostSvcs'!V137,'GM CostSvcs'!V141)</f>
        <v>0</v>
      </c>
      <c r="W236" s="189">
        <f>SUM('GM CostSvcs'!W137,'GM CostSvcs'!W141)</f>
        <v>0</v>
      </c>
      <c r="X236" s="189">
        <f>SUM('GM CostSvcs'!X137,'GM CostSvcs'!X141)</f>
        <v>0</v>
      </c>
      <c r="Y236" s="190">
        <f>SUM(V236:X236)</f>
        <v>0</v>
      </c>
    </row>
    <row r="237" spans="1:25" ht="12.75" hidden="1" customHeight="1" outlineLevel="1" x14ac:dyDescent="0.2">
      <c r="A237" s="198" t="str">
        <f>"         "&amp;Labels!C396</f>
        <v xml:space="preserve">         Total</v>
      </c>
      <c r="B237" s="226">
        <f>SUM('GM CostSvcs'!B138,'GM CostSvcs'!B142)</f>
        <v>0</v>
      </c>
      <c r="C237" s="226">
        <f>SUM('GM CostSvcs'!C138,'GM CostSvcs'!C142)</f>
        <v>0</v>
      </c>
      <c r="D237" s="226">
        <f>SUM('GM CostSvcs'!D138,'GM CostSvcs'!D142)</f>
        <v>0</v>
      </c>
      <c r="E237" s="227">
        <f>SUM(B237:D237)</f>
        <v>0</v>
      </c>
      <c r="F237" s="226">
        <f>SUM('GM CostSvcs'!F138,'GM CostSvcs'!F142)</f>
        <v>0</v>
      </c>
      <c r="G237" s="226">
        <f>SUM('GM CostSvcs'!G138,'GM CostSvcs'!G142)</f>
        <v>0</v>
      </c>
      <c r="H237" s="226">
        <f>SUM('GM CostSvcs'!H138,'GM CostSvcs'!H142)</f>
        <v>0</v>
      </c>
      <c r="I237" s="227">
        <f>SUM(F237:H237)</f>
        <v>0</v>
      </c>
      <c r="J237" s="226">
        <f>SUM('GM CostSvcs'!J138,'GM CostSvcs'!J142)</f>
        <v>0</v>
      </c>
      <c r="K237" s="226">
        <f>SUM('GM CostSvcs'!K138,'GM CostSvcs'!K142)</f>
        <v>0</v>
      </c>
      <c r="L237" s="226">
        <f>SUM('GM CostSvcs'!L138,'GM CostSvcs'!L142)</f>
        <v>0</v>
      </c>
      <c r="M237" s="227">
        <f>SUM(J237:L237)</f>
        <v>0</v>
      </c>
      <c r="N237" s="226">
        <f>SUM('GM CostSvcs'!N138,'GM CostSvcs'!N142)</f>
        <v>0</v>
      </c>
      <c r="O237" s="226">
        <f>SUM('GM CostSvcs'!O138,'GM CostSvcs'!O142)</f>
        <v>0</v>
      </c>
      <c r="P237" s="226">
        <f>SUM('GM CostSvcs'!P138,'GM CostSvcs'!P142)</f>
        <v>0</v>
      </c>
      <c r="Q237" s="227">
        <f>SUM(N237:P237)</f>
        <v>0</v>
      </c>
      <c r="R237" s="226">
        <f>SUM('GM CostSvcs'!R138,'GM CostSvcs'!R142)</f>
        <v>0</v>
      </c>
      <c r="S237" s="226">
        <f>SUM('GM CostSvcs'!S138,'GM CostSvcs'!S142)</f>
        <v>0</v>
      </c>
      <c r="T237" s="226">
        <f>SUM('GM CostSvcs'!T138,'GM CostSvcs'!T142)</f>
        <v>0</v>
      </c>
      <c r="U237" s="227">
        <f>SUM(R237:T237)</f>
        <v>0</v>
      </c>
      <c r="V237" s="226">
        <f>SUM('GM CostSvcs'!V138,'GM CostSvcs'!V142)</f>
        <v>0</v>
      </c>
      <c r="W237" s="226">
        <f>SUM('GM CostSvcs'!W138,'GM CostSvcs'!W142)</f>
        <v>0</v>
      </c>
      <c r="X237" s="226">
        <f>SUM('GM CostSvcs'!X138,'GM CostSvcs'!X142)</f>
        <v>0</v>
      </c>
      <c r="Y237" s="227">
        <f>SUM(V237:X237)</f>
        <v>0</v>
      </c>
    </row>
    <row r="238" spans="1:25" ht="12.75" hidden="1" customHeight="1" outlineLevel="1" x14ac:dyDescent="0.2">
      <c r="A238" s="198" t="str">
        <f>"      "&amp;Labels!B386</f>
        <v xml:space="preserve">      Prof Level 2</v>
      </c>
      <c r="B238" s="226"/>
      <c r="C238" s="226"/>
      <c r="D238" s="226"/>
      <c r="E238" s="227"/>
      <c r="F238" s="226"/>
      <c r="G238" s="226"/>
      <c r="H238" s="226"/>
      <c r="I238" s="227"/>
      <c r="J238" s="226"/>
      <c r="K238" s="226"/>
      <c r="L238" s="226"/>
      <c r="M238" s="227"/>
      <c r="N238" s="226"/>
      <c r="O238" s="226"/>
      <c r="P238" s="226"/>
      <c r="Q238" s="227"/>
      <c r="R238" s="226"/>
      <c r="S238" s="226"/>
      <c r="T238" s="226"/>
      <c r="U238" s="227"/>
      <c r="V238" s="226"/>
      <c r="W238" s="226"/>
      <c r="X238" s="226"/>
      <c r="Y238" s="227"/>
    </row>
    <row r="239" spans="1:25" ht="12.75" hidden="1" customHeight="1" outlineLevel="1" x14ac:dyDescent="0.2">
      <c r="A239" s="198" t="str">
        <f>"         "&amp;Labels!B397</f>
        <v xml:space="preserve">         Supply Type 1</v>
      </c>
      <c r="B239" s="189">
        <f>SUM('GM CostSvcs'!B149,'GM CostSvcs'!B153)</f>
        <v>0</v>
      </c>
      <c r="C239" s="189">
        <f>SUM('GM CostSvcs'!C149,'GM CostSvcs'!C153)</f>
        <v>0</v>
      </c>
      <c r="D239" s="189">
        <f>SUM('GM CostSvcs'!D149,'GM CostSvcs'!D153)</f>
        <v>0</v>
      </c>
      <c r="E239" s="190">
        <f t="shared" ref="E239:E244" si="137">SUM(B239:D239)</f>
        <v>0</v>
      </c>
      <c r="F239" s="189">
        <f>SUM('GM CostSvcs'!F149,'GM CostSvcs'!F153)</f>
        <v>0</v>
      </c>
      <c r="G239" s="189">
        <f>SUM('GM CostSvcs'!G149,'GM CostSvcs'!G153)</f>
        <v>0</v>
      </c>
      <c r="H239" s="189">
        <f>SUM('GM CostSvcs'!H149,'GM CostSvcs'!H153)</f>
        <v>0</v>
      </c>
      <c r="I239" s="190">
        <f t="shared" ref="I239:I244" si="138">SUM(F239:H239)</f>
        <v>0</v>
      </c>
      <c r="J239" s="189">
        <f>SUM('GM CostSvcs'!J149,'GM CostSvcs'!J153)</f>
        <v>0</v>
      </c>
      <c r="K239" s="189">
        <f>SUM('GM CostSvcs'!K149,'GM CostSvcs'!K153)</f>
        <v>0</v>
      </c>
      <c r="L239" s="189">
        <f>SUM('GM CostSvcs'!L149,'GM CostSvcs'!L153)</f>
        <v>0</v>
      </c>
      <c r="M239" s="190">
        <f t="shared" ref="M239:M244" si="139">SUM(J239:L239)</f>
        <v>0</v>
      </c>
      <c r="N239" s="189">
        <f>SUM('GM CostSvcs'!N149,'GM CostSvcs'!N153)</f>
        <v>0</v>
      </c>
      <c r="O239" s="189">
        <f>SUM('GM CostSvcs'!O149,'GM CostSvcs'!O153)</f>
        <v>0</v>
      </c>
      <c r="P239" s="189">
        <f>SUM('GM CostSvcs'!P149,'GM CostSvcs'!P153)</f>
        <v>0</v>
      </c>
      <c r="Q239" s="190">
        <f t="shared" ref="Q239:Q244" si="140">SUM(N239:P239)</f>
        <v>0</v>
      </c>
      <c r="R239" s="189">
        <f>SUM('GM CostSvcs'!R149,'GM CostSvcs'!R153)</f>
        <v>0</v>
      </c>
      <c r="S239" s="189">
        <f>SUM('GM CostSvcs'!S149,'GM CostSvcs'!S153)</f>
        <v>0</v>
      </c>
      <c r="T239" s="189">
        <f>SUM('GM CostSvcs'!T149,'GM CostSvcs'!T153)</f>
        <v>0</v>
      </c>
      <c r="U239" s="190">
        <f t="shared" ref="U239:U244" si="141">SUM(R239:T239)</f>
        <v>0</v>
      </c>
      <c r="V239" s="189">
        <f>SUM('GM CostSvcs'!V149,'GM CostSvcs'!V153)</f>
        <v>0</v>
      </c>
      <c r="W239" s="189">
        <f>SUM('GM CostSvcs'!W149,'GM CostSvcs'!W153)</f>
        <v>0</v>
      </c>
      <c r="X239" s="189">
        <f>SUM('GM CostSvcs'!X149,'GM CostSvcs'!X153)</f>
        <v>0</v>
      </c>
      <c r="Y239" s="190">
        <f t="shared" ref="Y239:Y244" si="142">SUM(V239:X239)</f>
        <v>0</v>
      </c>
    </row>
    <row r="240" spans="1:25" ht="12.75" hidden="1" customHeight="1" outlineLevel="1" x14ac:dyDescent="0.2">
      <c r="A240" s="198" t="str">
        <f>"         "&amp;Labels!B398</f>
        <v xml:space="preserve">         Supply Type 2</v>
      </c>
      <c r="B240" s="189">
        <f>SUM('GM CostSvcs'!B150,'GM CostSvcs'!B154)</f>
        <v>0</v>
      </c>
      <c r="C240" s="189">
        <f>SUM('GM CostSvcs'!C150,'GM CostSvcs'!C154)</f>
        <v>0</v>
      </c>
      <c r="D240" s="189">
        <f>SUM('GM CostSvcs'!D150,'GM CostSvcs'!D154)</f>
        <v>0</v>
      </c>
      <c r="E240" s="190">
        <f t="shared" si="137"/>
        <v>0</v>
      </c>
      <c r="F240" s="189">
        <f>SUM('GM CostSvcs'!F150,'GM CostSvcs'!F154)</f>
        <v>0</v>
      </c>
      <c r="G240" s="189">
        <f>SUM('GM CostSvcs'!G150,'GM CostSvcs'!G154)</f>
        <v>0</v>
      </c>
      <c r="H240" s="189">
        <f>SUM('GM CostSvcs'!H150,'GM CostSvcs'!H154)</f>
        <v>0</v>
      </c>
      <c r="I240" s="190">
        <f t="shared" si="138"/>
        <v>0</v>
      </c>
      <c r="J240" s="189">
        <f>SUM('GM CostSvcs'!J150,'GM CostSvcs'!J154)</f>
        <v>0</v>
      </c>
      <c r="K240" s="189">
        <f>SUM('GM CostSvcs'!K150,'GM CostSvcs'!K154)</f>
        <v>0</v>
      </c>
      <c r="L240" s="189">
        <f>SUM('GM CostSvcs'!L150,'GM CostSvcs'!L154)</f>
        <v>0</v>
      </c>
      <c r="M240" s="190">
        <f t="shared" si="139"/>
        <v>0</v>
      </c>
      <c r="N240" s="189">
        <f>SUM('GM CostSvcs'!N150,'GM CostSvcs'!N154)</f>
        <v>0</v>
      </c>
      <c r="O240" s="189">
        <f>SUM('GM CostSvcs'!O150,'GM CostSvcs'!O154)</f>
        <v>0</v>
      </c>
      <c r="P240" s="189">
        <f>SUM('GM CostSvcs'!P150,'GM CostSvcs'!P154)</f>
        <v>0</v>
      </c>
      <c r="Q240" s="190">
        <f t="shared" si="140"/>
        <v>0</v>
      </c>
      <c r="R240" s="189">
        <f>SUM('GM CostSvcs'!R150,'GM CostSvcs'!R154)</f>
        <v>0</v>
      </c>
      <c r="S240" s="189">
        <f>SUM('GM CostSvcs'!S150,'GM CostSvcs'!S154)</f>
        <v>0</v>
      </c>
      <c r="T240" s="189">
        <f>SUM('GM CostSvcs'!T150,'GM CostSvcs'!T154)</f>
        <v>0</v>
      </c>
      <c r="U240" s="190">
        <f t="shared" si="141"/>
        <v>0</v>
      </c>
      <c r="V240" s="189">
        <f>SUM('GM CostSvcs'!V150,'GM CostSvcs'!V154)</f>
        <v>0</v>
      </c>
      <c r="W240" s="189">
        <f>SUM('GM CostSvcs'!W150,'GM CostSvcs'!W154)</f>
        <v>0</v>
      </c>
      <c r="X240" s="189">
        <f>SUM('GM CostSvcs'!X150,'GM CostSvcs'!X154)</f>
        <v>0</v>
      </c>
      <c r="Y240" s="190">
        <f t="shared" si="142"/>
        <v>0</v>
      </c>
    </row>
    <row r="241" spans="1:25" ht="12.75" hidden="1" customHeight="1" outlineLevel="1" x14ac:dyDescent="0.2">
      <c r="A241" s="198" t="str">
        <f>"         "&amp;Labels!C396</f>
        <v xml:space="preserve">         Total</v>
      </c>
      <c r="B241" s="226">
        <f>SUM('GM CostSvcs'!B151,'GM CostSvcs'!B155)</f>
        <v>0</v>
      </c>
      <c r="C241" s="226">
        <f>SUM('GM CostSvcs'!C151,'GM CostSvcs'!C155)</f>
        <v>0</v>
      </c>
      <c r="D241" s="226">
        <f>SUM('GM CostSvcs'!D151,'GM CostSvcs'!D155)</f>
        <v>0</v>
      </c>
      <c r="E241" s="227">
        <f t="shared" si="137"/>
        <v>0</v>
      </c>
      <c r="F241" s="226">
        <f>SUM('GM CostSvcs'!F151,'GM CostSvcs'!F155)</f>
        <v>0</v>
      </c>
      <c r="G241" s="226">
        <f>SUM('GM CostSvcs'!G151,'GM CostSvcs'!G155)</f>
        <v>0</v>
      </c>
      <c r="H241" s="226">
        <f>SUM('GM CostSvcs'!H151,'GM CostSvcs'!H155)</f>
        <v>0</v>
      </c>
      <c r="I241" s="227">
        <f t="shared" si="138"/>
        <v>0</v>
      </c>
      <c r="J241" s="226">
        <f>SUM('GM CostSvcs'!J151,'GM CostSvcs'!J155)</f>
        <v>0</v>
      </c>
      <c r="K241" s="226">
        <f>SUM('GM CostSvcs'!K151,'GM CostSvcs'!K155)</f>
        <v>0</v>
      </c>
      <c r="L241" s="226">
        <f>SUM('GM CostSvcs'!L151,'GM CostSvcs'!L155)</f>
        <v>0</v>
      </c>
      <c r="M241" s="227">
        <f t="shared" si="139"/>
        <v>0</v>
      </c>
      <c r="N241" s="226">
        <f>SUM('GM CostSvcs'!N151,'GM CostSvcs'!N155)</f>
        <v>0</v>
      </c>
      <c r="O241" s="226">
        <f>SUM('GM CostSvcs'!O151,'GM CostSvcs'!O155)</f>
        <v>0</v>
      </c>
      <c r="P241" s="226">
        <f>SUM('GM CostSvcs'!P151,'GM CostSvcs'!P155)</f>
        <v>0</v>
      </c>
      <c r="Q241" s="227">
        <f t="shared" si="140"/>
        <v>0</v>
      </c>
      <c r="R241" s="226">
        <f>SUM('GM CostSvcs'!R151,'GM CostSvcs'!R155)</f>
        <v>0</v>
      </c>
      <c r="S241" s="226">
        <f>SUM('GM CostSvcs'!S151,'GM CostSvcs'!S155)</f>
        <v>0</v>
      </c>
      <c r="T241" s="226">
        <f>SUM('GM CostSvcs'!T151,'GM CostSvcs'!T155)</f>
        <v>0</v>
      </c>
      <c r="U241" s="227">
        <f t="shared" si="141"/>
        <v>0</v>
      </c>
      <c r="V241" s="226">
        <f>SUM('GM CostSvcs'!V151,'GM CostSvcs'!V155)</f>
        <v>0</v>
      </c>
      <c r="W241" s="226">
        <f>SUM('GM CostSvcs'!W151,'GM CostSvcs'!W155)</f>
        <v>0</v>
      </c>
      <c r="X241" s="226">
        <f>SUM('GM CostSvcs'!X151,'GM CostSvcs'!X155)</f>
        <v>0</v>
      </c>
      <c r="Y241" s="227">
        <f t="shared" si="142"/>
        <v>0</v>
      </c>
    </row>
    <row r="242" spans="1:25" ht="12.75" hidden="1" customHeight="1" outlineLevel="1" x14ac:dyDescent="0.2">
      <c r="A242" s="188" t="str">
        <f>"      "&amp;Labels!C384</f>
        <v xml:space="preserve">      Total</v>
      </c>
      <c r="B242" s="196">
        <f>SUM(B237,B241)</f>
        <v>0</v>
      </c>
      <c r="C242" s="196">
        <f>SUM(C237,C241)</f>
        <v>0</v>
      </c>
      <c r="D242" s="196">
        <f>SUM(D237,D241)</f>
        <v>0</v>
      </c>
      <c r="E242" s="197">
        <f t="shared" si="137"/>
        <v>0</v>
      </c>
      <c r="F242" s="196">
        <f>SUM(F237,F241)</f>
        <v>0</v>
      </c>
      <c r="G242" s="196">
        <f>SUM(G237,G241)</f>
        <v>0</v>
      </c>
      <c r="H242" s="196">
        <f>SUM(H237,H241)</f>
        <v>0</v>
      </c>
      <c r="I242" s="197">
        <f t="shared" si="138"/>
        <v>0</v>
      </c>
      <c r="J242" s="196">
        <f>SUM(J237,J241)</f>
        <v>0</v>
      </c>
      <c r="K242" s="196">
        <f>SUM(K237,K241)</f>
        <v>0</v>
      </c>
      <c r="L242" s="196">
        <f>SUM(L237,L241)</f>
        <v>0</v>
      </c>
      <c r="M242" s="197">
        <f t="shared" si="139"/>
        <v>0</v>
      </c>
      <c r="N242" s="196">
        <f>SUM(N237,N241)</f>
        <v>0</v>
      </c>
      <c r="O242" s="196">
        <f>SUM(O237,O241)</f>
        <v>0</v>
      </c>
      <c r="P242" s="196">
        <f>SUM(P237,P241)</f>
        <v>0</v>
      </c>
      <c r="Q242" s="197">
        <f t="shared" si="140"/>
        <v>0</v>
      </c>
      <c r="R242" s="196">
        <f>SUM(R237,R241)</f>
        <v>0</v>
      </c>
      <c r="S242" s="196">
        <f>SUM(S237,S241)</f>
        <v>0</v>
      </c>
      <c r="T242" s="196">
        <f>SUM(T237,T241)</f>
        <v>0</v>
      </c>
      <c r="U242" s="197">
        <f t="shared" si="141"/>
        <v>0</v>
      </c>
      <c r="V242" s="196">
        <f>SUM(V237,V241)</f>
        <v>0</v>
      </c>
      <c r="W242" s="196">
        <f>SUM(W237,W241)</f>
        <v>0</v>
      </c>
      <c r="X242" s="196">
        <f>SUM(X237,X241)</f>
        <v>0</v>
      </c>
      <c r="Y242" s="197">
        <f t="shared" si="142"/>
        <v>0</v>
      </c>
    </row>
    <row r="243" spans="1:25" ht="12.75" hidden="1" customHeight="1" outlineLevel="1" x14ac:dyDescent="0.2">
      <c r="A243" s="198" t="str">
        <f>"         "&amp;Labels!B397</f>
        <v xml:space="preserve">         Supply Type 1</v>
      </c>
      <c r="B243" s="189">
        <f t="shared" ref="B243:D245" si="143">SUM(B235,B239)</f>
        <v>0</v>
      </c>
      <c r="C243" s="189">
        <f t="shared" si="143"/>
        <v>0</v>
      </c>
      <c r="D243" s="189">
        <f t="shared" si="143"/>
        <v>0</v>
      </c>
      <c r="E243" s="190">
        <f t="shared" si="137"/>
        <v>0</v>
      </c>
      <c r="F243" s="189">
        <f t="shared" ref="F243:H245" si="144">SUM(F235,F239)</f>
        <v>0</v>
      </c>
      <c r="G243" s="189">
        <f t="shared" si="144"/>
        <v>0</v>
      </c>
      <c r="H243" s="189">
        <f t="shared" si="144"/>
        <v>0</v>
      </c>
      <c r="I243" s="190">
        <f t="shared" si="138"/>
        <v>0</v>
      </c>
      <c r="J243" s="189">
        <f t="shared" ref="J243:L245" si="145">SUM(J235,J239)</f>
        <v>0</v>
      </c>
      <c r="K243" s="189">
        <f t="shared" si="145"/>
        <v>0</v>
      </c>
      <c r="L243" s="189">
        <f t="shared" si="145"/>
        <v>0</v>
      </c>
      <c r="M243" s="190">
        <f t="shared" si="139"/>
        <v>0</v>
      </c>
      <c r="N243" s="189">
        <f t="shared" ref="N243:P245" si="146">SUM(N235,N239)</f>
        <v>0</v>
      </c>
      <c r="O243" s="189">
        <f t="shared" si="146"/>
        <v>0</v>
      </c>
      <c r="P243" s="189">
        <f t="shared" si="146"/>
        <v>0</v>
      </c>
      <c r="Q243" s="190">
        <f t="shared" si="140"/>
        <v>0</v>
      </c>
      <c r="R243" s="189">
        <f t="shared" ref="R243:T245" si="147">SUM(R235,R239)</f>
        <v>0</v>
      </c>
      <c r="S243" s="189">
        <f t="shared" si="147"/>
        <v>0</v>
      </c>
      <c r="T243" s="189">
        <f t="shared" si="147"/>
        <v>0</v>
      </c>
      <c r="U243" s="190">
        <f t="shared" si="141"/>
        <v>0</v>
      </c>
      <c r="V243" s="189">
        <f t="shared" ref="V243:X245" si="148">SUM(V235,V239)</f>
        <v>0</v>
      </c>
      <c r="W243" s="189">
        <f t="shared" si="148"/>
        <v>0</v>
      </c>
      <c r="X243" s="189">
        <f t="shared" si="148"/>
        <v>0</v>
      </c>
      <c r="Y243" s="190">
        <f t="shared" si="142"/>
        <v>0</v>
      </c>
    </row>
    <row r="244" spans="1:25" ht="12.75" hidden="1" customHeight="1" outlineLevel="1" x14ac:dyDescent="0.2">
      <c r="A244" s="198" t="str">
        <f>"         "&amp;Labels!B398</f>
        <v xml:space="preserve">         Supply Type 2</v>
      </c>
      <c r="B244" s="189">
        <f t="shared" si="143"/>
        <v>0</v>
      </c>
      <c r="C244" s="189">
        <f t="shared" si="143"/>
        <v>0</v>
      </c>
      <c r="D244" s="189">
        <f t="shared" si="143"/>
        <v>0</v>
      </c>
      <c r="E244" s="190">
        <f t="shared" si="137"/>
        <v>0</v>
      </c>
      <c r="F244" s="189">
        <f t="shared" si="144"/>
        <v>0</v>
      </c>
      <c r="G244" s="189">
        <f t="shared" si="144"/>
        <v>0</v>
      </c>
      <c r="H244" s="189">
        <f t="shared" si="144"/>
        <v>0</v>
      </c>
      <c r="I244" s="190">
        <f t="shared" si="138"/>
        <v>0</v>
      </c>
      <c r="J244" s="189">
        <f t="shared" si="145"/>
        <v>0</v>
      </c>
      <c r="K244" s="189">
        <f t="shared" si="145"/>
        <v>0</v>
      </c>
      <c r="L244" s="189">
        <f t="shared" si="145"/>
        <v>0</v>
      </c>
      <c r="M244" s="190">
        <f t="shared" si="139"/>
        <v>0</v>
      </c>
      <c r="N244" s="189">
        <f t="shared" si="146"/>
        <v>0</v>
      </c>
      <c r="O244" s="189">
        <f t="shared" si="146"/>
        <v>0</v>
      </c>
      <c r="P244" s="189">
        <f t="shared" si="146"/>
        <v>0</v>
      </c>
      <c r="Q244" s="190">
        <f t="shared" si="140"/>
        <v>0</v>
      </c>
      <c r="R244" s="189">
        <f t="shared" si="147"/>
        <v>0</v>
      </c>
      <c r="S244" s="189">
        <f t="shared" si="147"/>
        <v>0</v>
      </c>
      <c r="T244" s="189">
        <f t="shared" si="147"/>
        <v>0</v>
      </c>
      <c r="U244" s="190">
        <f t="shared" si="141"/>
        <v>0</v>
      </c>
      <c r="V244" s="189">
        <f t="shared" si="148"/>
        <v>0</v>
      </c>
      <c r="W244" s="189">
        <f t="shared" si="148"/>
        <v>0</v>
      </c>
      <c r="X244" s="189">
        <f t="shared" si="148"/>
        <v>0</v>
      </c>
      <c r="Y244" s="190">
        <f t="shared" si="142"/>
        <v>0</v>
      </c>
    </row>
    <row r="245" spans="1:25" ht="12.75" hidden="1" customHeight="1" outlineLevel="1" x14ac:dyDescent="0.2">
      <c r="A245" s="198" t="str">
        <f>"         "&amp;Labels!C396</f>
        <v xml:space="preserve">         Total</v>
      </c>
      <c r="B245" s="226">
        <f t="shared" si="143"/>
        <v>0</v>
      </c>
      <c r="C245" s="226">
        <f t="shared" si="143"/>
        <v>0</v>
      </c>
      <c r="D245" s="226">
        <f t="shared" si="143"/>
        <v>0</v>
      </c>
      <c r="E245" s="227">
        <f>SUM(B242:D242)</f>
        <v>0</v>
      </c>
      <c r="F245" s="226">
        <f t="shared" si="144"/>
        <v>0</v>
      </c>
      <c r="G245" s="226">
        <f t="shared" si="144"/>
        <v>0</v>
      </c>
      <c r="H245" s="226">
        <f t="shared" si="144"/>
        <v>0</v>
      </c>
      <c r="I245" s="227">
        <f>SUM(F242:H242)</f>
        <v>0</v>
      </c>
      <c r="J245" s="226">
        <f t="shared" si="145"/>
        <v>0</v>
      </c>
      <c r="K245" s="226">
        <f t="shared" si="145"/>
        <v>0</v>
      </c>
      <c r="L245" s="226">
        <f t="shared" si="145"/>
        <v>0</v>
      </c>
      <c r="M245" s="227">
        <f>SUM(J242:L242)</f>
        <v>0</v>
      </c>
      <c r="N245" s="226">
        <f t="shared" si="146"/>
        <v>0</v>
      </c>
      <c r="O245" s="226">
        <f t="shared" si="146"/>
        <v>0</v>
      </c>
      <c r="P245" s="226">
        <f t="shared" si="146"/>
        <v>0</v>
      </c>
      <c r="Q245" s="227">
        <f>SUM(N242:P242)</f>
        <v>0</v>
      </c>
      <c r="R245" s="226">
        <f t="shared" si="147"/>
        <v>0</v>
      </c>
      <c r="S245" s="226">
        <f t="shared" si="147"/>
        <v>0</v>
      </c>
      <c r="T245" s="226">
        <f t="shared" si="147"/>
        <v>0</v>
      </c>
      <c r="U245" s="227">
        <f>SUM(R242:T242)</f>
        <v>0</v>
      </c>
      <c r="V245" s="226">
        <f t="shared" si="148"/>
        <v>0</v>
      </c>
      <c r="W245" s="226">
        <f t="shared" si="148"/>
        <v>0</v>
      </c>
      <c r="X245" s="226">
        <f t="shared" si="148"/>
        <v>0</v>
      </c>
      <c r="Y245" s="227">
        <f>SUM(V242:X242)</f>
        <v>0</v>
      </c>
    </row>
    <row r="246" spans="1:25" ht="12.75" hidden="1" customHeight="1" outlineLevel="1" x14ac:dyDescent="0.2">
      <c r="A246" s="191" t="str">
        <f>"   "&amp;Labels!C380</f>
        <v xml:space="preserve">   Total</v>
      </c>
      <c r="B246" s="192">
        <f>SUM(B229,B242)</f>
        <v>0</v>
      </c>
      <c r="C246" s="192">
        <f>SUM(C229,C242)</f>
        <v>0</v>
      </c>
      <c r="D246" s="192">
        <f>SUM(D229,D242)</f>
        <v>0</v>
      </c>
      <c r="E246" s="190">
        <f>SUM(B246:D246)</f>
        <v>0</v>
      </c>
      <c r="F246" s="192">
        <f>SUM(F229,F242)</f>
        <v>0</v>
      </c>
      <c r="G246" s="192">
        <f>SUM(G229,G242)</f>
        <v>0</v>
      </c>
      <c r="H246" s="192">
        <f>SUM(H229,H242)</f>
        <v>0</v>
      </c>
      <c r="I246" s="190">
        <f>SUM(F246:H246)</f>
        <v>0</v>
      </c>
      <c r="J246" s="192">
        <f>SUM(J229,J242)</f>
        <v>0</v>
      </c>
      <c r="K246" s="192">
        <f>SUM(K229,K242)</f>
        <v>0</v>
      </c>
      <c r="L246" s="192">
        <f>SUM(L229,L242)</f>
        <v>0</v>
      </c>
      <c r="M246" s="190">
        <f>SUM(J246:L246)</f>
        <v>0</v>
      </c>
      <c r="N246" s="192">
        <f>SUM(N229,N242)</f>
        <v>0</v>
      </c>
      <c r="O246" s="192">
        <f>SUM(O229,O242)</f>
        <v>0</v>
      </c>
      <c r="P246" s="192">
        <f>SUM(P229,P242)</f>
        <v>0</v>
      </c>
      <c r="Q246" s="190">
        <f>SUM(N246:P246)</f>
        <v>0</v>
      </c>
      <c r="R246" s="192">
        <f>SUM(R229,R242)</f>
        <v>0</v>
      </c>
      <c r="S246" s="192">
        <f>SUM(S229,S242)</f>
        <v>0</v>
      </c>
      <c r="T246" s="192">
        <f>SUM(T229,T242)</f>
        <v>0</v>
      </c>
      <c r="U246" s="190">
        <f>SUM(R246:T246)</f>
        <v>0</v>
      </c>
      <c r="V246" s="192">
        <f>SUM(V229,V242)</f>
        <v>0</v>
      </c>
      <c r="W246" s="192">
        <f>SUM(W229,W242)</f>
        <v>0</v>
      </c>
      <c r="X246" s="192">
        <f>SUM(X229,X242)</f>
        <v>0</v>
      </c>
      <c r="Y246" s="190">
        <f>SUM(V246:X246)</f>
        <v>0</v>
      </c>
    </row>
    <row r="247" spans="1:25" ht="12.75" hidden="1" customHeight="1" outlineLevel="1" x14ac:dyDescent="0.2">
      <c r="A247" s="198" t="str">
        <f>"      "&amp;Labels!B385</f>
        <v xml:space="preserve">      Prof Level 1</v>
      </c>
      <c r="B247" s="226"/>
      <c r="C247" s="226"/>
      <c r="D247" s="226"/>
      <c r="E247" s="227"/>
      <c r="F247" s="226"/>
      <c r="G247" s="226"/>
      <c r="H247" s="226"/>
      <c r="I247" s="227"/>
      <c r="J247" s="226"/>
      <c r="K247" s="226"/>
      <c r="L247" s="226"/>
      <c r="M247" s="227"/>
      <c r="N247" s="226"/>
      <c r="O247" s="226"/>
      <c r="P247" s="226"/>
      <c r="Q247" s="227"/>
      <c r="R247" s="226"/>
      <c r="S247" s="226"/>
      <c r="T247" s="226"/>
      <c r="U247" s="227"/>
      <c r="V247" s="226"/>
      <c r="W247" s="226"/>
      <c r="X247" s="226"/>
      <c r="Y247" s="227"/>
    </row>
    <row r="248" spans="1:25" ht="12.75" hidden="1" customHeight="1" outlineLevel="1" x14ac:dyDescent="0.2">
      <c r="A248" s="198" t="str">
        <f>"         "&amp;Labels!B397</f>
        <v xml:space="preserve">         Supply Type 1</v>
      </c>
      <c r="B248" s="189">
        <f t="shared" ref="B248:D250" si="149">SUM(B222,B235)</f>
        <v>0</v>
      </c>
      <c r="C248" s="189">
        <f t="shared" si="149"/>
        <v>0</v>
      </c>
      <c r="D248" s="189">
        <f t="shared" si="149"/>
        <v>0</v>
      </c>
      <c r="E248" s="190">
        <f>SUM(B248:D248)</f>
        <v>0</v>
      </c>
      <c r="F248" s="189">
        <f t="shared" ref="F248:H250" si="150">SUM(F222,F235)</f>
        <v>0</v>
      </c>
      <c r="G248" s="189">
        <f t="shared" si="150"/>
        <v>0</v>
      </c>
      <c r="H248" s="189">
        <f t="shared" si="150"/>
        <v>0</v>
      </c>
      <c r="I248" s="190">
        <f>SUM(F248:H248)</f>
        <v>0</v>
      </c>
      <c r="J248" s="189">
        <f t="shared" ref="J248:L250" si="151">SUM(J222,J235)</f>
        <v>0</v>
      </c>
      <c r="K248" s="189">
        <f t="shared" si="151"/>
        <v>0</v>
      </c>
      <c r="L248" s="189">
        <f t="shared" si="151"/>
        <v>0</v>
      </c>
      <c r="M248" s="190">
        <f>SUM(J248:L248)</f>
        <v>0</v>
      </c>
      <c r="N248" s="189">
        <f t="shared" ref="N248:P250" si="152">SUM(N222,N235)</f>
        <v>0</v>
      </c>
      <c r="O248" s="189">
        <f t="shared" si="152"/>
        <v>0</v>
      </c>
      <c r="P248" s="189">
        <f t="shared" si="152"/>
        <v>0</v>
      </c>
      <c r="Q248" s="190">
        <f>SUM(N248:P248)</f>
        <v>0</v>
      </c>
      <c r="R248" s="189">
        <f t="shared" ref="R248:T250" si="153">SUM(R222,R235)</f>
        <v>0</v>
      </c>
      <c r="S248" s="189">
        <f t="shared" si="153"/>
        <v>0</v>
      </c>
      <c r="T248" s="189">
        <f t="shared" si="153"/>
        <v>0</v>
      </c>
      <c r="U248" s="190">
        <f>SUM(R248:T248)</f>
        <v>0</v>
      </c>
      <c r="V248" s="189">
        <f t="shared" ref="V248:X250" si="154">SUM(V222,V235)</f>
        <v>0</v>
      </c>
      <c r="W248" s="189">
        <f t="shared" si="154"/>
        <v>0</v>
      </c>
      <c r="X248" s="189">
        <f t="shared" si="154"/>
        <v>0</v>
      </c>
      <c r="Y248" s="190">
        <f>SUM(V248:X248)</f>
        <v>0</v>
      </c>
    </row>
    <row r="249" spans="1:25" ht="12.75" hidden="1" customHeight="1" outlineLevel="1" x14ac:dyDescent="0.2">
      <c r="A249" s="198" t="str">
        <f>"         "&amp;Labels!B398</f>
        <v xml:space="preserve">         Supply Type 2</v>
      </c>
      <c r="B249" s="189">
        <f t="shared" si="149"/>
        <v>0</v>
      </c>
      <c r="C249" s="189">
        <f t="shared" si="149"/>
        <v>0</v>
      </c>
      <c r="D249" s="189">
        <f t="shared" si="149"/>
        <v>0</v>
      </c>
      <c r="E249" s="190">
        <f>SUM(B249:D249)</f>
        <v>0</v>
      </c>
      <c r="F249" s="189">
        <f t="shared" si="150"/>
        <v>0</v>
      </c>
      <c r="G249" s="189">
        <f t="shared" si="150"/>
        <v>0</v>
      </c>
      <c r="H249" s="189">
        <f t="shared" si="150"/>
        <v>0</v>
      </c>
      <c r="I249" s="190">
        <f>SUM(F249:H249)</f>
        <v>0</v>
      </c>
      <c r="J249" s="189">
        <f t="shared" si="151"/>
        <v>0</v>
      </c>
      <c r="K249" s="189">
        <f t="shared" si="151"/>
        <v>0</v>
      </c>
      <c r="L249" s="189">
        <f t="shared" si="151"/>
        <v>0</v>
      </c>
      <c r="M249" s="190">
        <f>SUM(J249:L249)</f>
        <v>0</v>
      </c>
      <c r="N249" s="189">
        <f t="shared" si="152"/>
        <v>0</v>
      </c>
      <c r="O249" s="189">
        <f t="shared" si="152"/>
        <v>0</v>
      </c>
      <c r="P249" s="189">
        <f t="shared" si="152"/>
        <v>0</v>
      </c>
      <c r="Q249" s="190">
        <f>SUM(N249:P249)</f>
        <v>0</v>
      </c>
      <c r="R249" s="189">
        <f t="shared" si="153"/>
        <v>0</v>
      </c>
      <c r="S249" s="189">
        <f t="shared" si="153"/>
        <v>0</v>
      </c>
      <c r="T249" s="189">
        <f t="shared" si="153"/>
        <v>0</v>
      </c>
      <c r="U249" s="190">
        <f>SUM(R249:T249)</f>
        <v>0</v>
      </c>
      <c r="V249" s="189">
        <f t="shared" si="154"/>
        <v>0</v>
      </c>
      <c r="W249" s="189">
        <f t="shared" si="154"/>
        <v>0</v>
      </c>
      <c r="X249" s="189">
        <f t="shared" si="154"/>
        <v>0</v>
      </c>
      <c r="Y249" s="190">
        <f>SUM(V249:X249)</f>
        <v>0</v>
      </c>
    </row>
    <row r="250" spans="1:25" ht="12.75" hidden="1" customHeight="1" outlineLevel="1" x14ac:dyDescent="0.2">
      <c r="A250" s="198" t="str">
        <f>"         "&amp;Labels!C396</f>
        <v xml:space="preserve">         Total</v>
      </c>
      <c r="B250" s="226">
        <f t="shared" si="149"/>
        <v>0</v>
      </c>
      <c r="C250" s="226">
        <f t="shared" si="149"/>
        <v>0</v>
      </c>
      <c r="D250" s="226">
        <f t="shared" si="149"/>
        <v>0</v>
      </c>
      <c r="E250" s="227">
        <f>SUM(B250:D250)</f>
        <v>0</v>
      </c>
      <c r="F250" s="226">
        <f t="shared" si="150"/>
        <v>0</v>
      </c>
      <c r="G250" s="226">
        <f t="shared" si="150"/>
        <v>0</v>
      </c>
      <c r="H250" s="226">
        <f t="shared" si="150"/>
        <v>0</v>
      </c>
      <c r="I250" s="227">
        <f>SUM(F250:H250)</f>
        <v>0</v>
      </c>
      <c r="J250" s="226">
        <f t="shared" si="151"/>
        <v>0</v>
      </c>
      <c r="K250" s="226">
        <f t="shared" si="151"/>
        <v>0</v>
      </c>
      <c r="L250" s="226">
        <f t="shared" si="151"/>
        <v>0</v>
      </c>
      <c r="M250" s="227">
        <f>SUM(J250:L250)</f>
        <v>0</v>
      </c>
      <c r="N250" s="226">
        <f t="shared" si="152"/>
        <v>0</v>
      </c>
      <c r="O250" s="226">
        <f t="shared" si="152"/>
        <v>0</v>
      </c>
      <c r="P250" s="226">
        <f t="shared" si="152"/>
        <v>0</v>
      </c>
      <c r="Q250" s="227">
        <f>SUM(N250:P250)</f>
        <v>0</v>
      </c>
      <c r="R250" s="226">
        <f t="shared" si="153"/>
        <v>0</v>
      </c>
      <c r="S250" s="226">
        <f t="shared" si="153"/>
        <v>0</v>
      </c>
      <c r="T250" s="226">
        <f t="shared" si="153"/>
        <v>0</v>
      </c>
      <c r="U250" s="227">
        <f>SUM(R250:T250)</f>
        <v>0</v>
      </c>
      <c r="V250" s="226">
        <f t="shared" si="154"/>
        <v>0</v>
      </c>
      <c r="W250" s="226">
        <f t="shared" si="154"/>
        <v>0</v>
      </c>
      <c r="X250" s="226">
        <f t="shared" si="154"/>
        <v>0</v>
      </c>
      <c r="Y250" s="227">
        <f>SUM(V250:X250)</f>
        <v>0</v>
      </c>
    </row>
    <row r="251" spans="1:25" ht="12.75" hidden="1" customHeight="1" outlineLevel="1" x14ac:dyDescent="0.2">
      <c r="A251" s="198" t="str">
        <f>"      "&amp;Labels!B386</f>
        <v xml:space="preserve">      Prof Level 2</v>
      </c>
      <c r="B251" s="226"/>
      <c r="C251" s="226"/>
      <c r="D251" s="226"/>
      <c r="E251" s="227"/>
      <c r="F251" s="226"/>
      <c r="G251" s="226"/>
      <c r="H251" s="226"/>
      <c r="I251" s="227"/>
      <c r="J251" s="226"/>
      <c r="K251" s="226"/>
      <c r="L251" s="226"/>
      <c r="M251" s="227"/>
      <c r="N251" s="226"/>
      <c r="O251" s="226"/>
      <c r="P251" s="226"/>
      <c r="Q251" s="227"/>
      <c r="R251" s="226"/>
      <c r="S251" s="226"/>
      <c r="T251" s="226"/>
      <c r="U251" s="227"/>
      <c r="V251" s="226"/>
      <c r="W251" s="226"/>
      <c r="X251" s="226"/>
      <c r="Y251" s="227"/>
    </row>
    <row r="252" spans="1:25" ht="12.75" hidden="1" customHeight="1" outlineLevel="1" x14ac:dyDescent="0.2">
      <c r="A252" s="198" t="str">
        <f>"         "&amp;Labels!B397</f>
        <v xml:space="preserve">         Supply Type 1</v>
      </c>
      <c r="B252" s="189">
        <f t="shared" ref="B252:D257" si="155">SUM(B226,B239)</f>
        <v>0</v>
      </c>
      <c r="C252" s="189">
        <f t="shared" si="155"/>
        <v>0</v>
      </c>
      <c r="D252" s="189">
        <f t="shared" si="155"/>
        <v>0</v>
      </c>
      <c r="E252" s="190">
        <f>SUM(B252:D252)</f>
        <v>0</v>
      </c>
      <c r="F252" s="189">
        <f t="shared" ref="F252:H257" si="156">SUM(F226,F239)</f>
        <v>0</v>
      </c>
      <c r="G252" s="189">
        <f t="shared" si="156"/>
        <v>0</v>
      </c>
      <c r="H252" s="189">
        <f t="shared" si="156"/>
        <v>0</v>
      </c>
      <c r="I252" s="190">
        <f>SUM(F252:H252)</f>
        <v>0</v>
      </c>
      <c r="J252" s="189">
        <f t="shared" ref="J252:L257" si="157">SUM(J226,J239)</f>
        <v>0</v>
      </c>
      <c r="K252" s="189">
        <f t="shared" si="157"/>
        <v>0</v>
      </c>
      <c r="L252" s="189">
        <f t="shared" si="157"/>
        <v>0</v>
      </c>
      <c r="M252" s="190">
        <f>SUM(J252:L252)</f>
        <v>0</v>
      </c>
      <c r="N252" s="189">
        <f t="shared" ref="N252:P257" si="158">SUM(N226,N239)</f>
        <v>0</v>
      </c>
      <c r="O252" s="189">
        <f t="shared" si="158"/>
        <v>0</v>
      </c>
      <c r="P252" s="189">
        <f t="shared" si="158"/>
        <v>0</v>
      </c>
      <c r="Q252" s="190">
        <f>SUM(N252:P252)</f>
        <v>0</v>
      </c>
      <c r="R252" s="189">
        <f t="shared" ref="R252:T257" si="159">SUM(R226,R239)</f>
        <v>0</v>
      </c>
      <c r="S252" s="189">
        <f t="shared" si="159"/>
        <v>0</v>
      </c>
      <c r="T252" s="189">
        <f t="shared" si="159"/>
        <v>0</v>
      </c>
      <c r="U252" s="190">
        <f>SUM(R252:T252)</f>
        <v>0</v>
      </c>
      <c r="V252" s="189">
        <f t="shared" ref="V252:X257" si="160">SUM(V226,V239)</f>
        <v>0</v>
      </c>
      <c r="W252" s="189">
        <f t="shared" si="160"/>
        <v>0</v>
      </c>
      <c r="X252" s="189">
        <f t="shared" si="160"/>
        <v>0</v>
      </c>
      <c r="Y252" s="190">
        <f>SUM(V252:X252)</f>
        <v>0</v>
      </c>
    </row>
    <row r="253" spans="1:25" ht="12.75" hidden="1" customHeight="1" outlineLevel="1" x14ac:dyDescent="0.2">
      <c r="A253" s="198" t="str">
        <f>"         "&amp;Labels!B398</f>
        <v xml:space="preserve">         Supply Type 2</v>
      </c>
      <c r="B253" s="189">
        <f t="shared" si="155"/>
        <v>0</v>
      </c>
      <c r="C253" s="189">
        <f t="shared" si="155"/>
        <v>0</v>
      </c>
      <c r="D253" s="189">
        <f t="shared" si="155"/>
        <v>0</v>
      </c>
      <c r="E253" s="190">
        <f>SUM(B253:D253)</f>
        <v>0</v>
      </c>
      <c r="F253" s="189">
        <f t="shared" si="156"/>
        <v>0</v>
      </c>
      <c r="G253" s="189">
        <f t="shared" si="156"/>
        <v>0</v>
      </c>
      <c r="H253" s="189">
        <f t="shared" si="156"/>
        <v>0</v>
      </c>
      <c r="I253" s="190">
        <f>SUM(F253:H253)</f>
        <v>0</v>
      </c>
      <c r="J253" s="189">
        <f t="shared" si="157"/>
        <v>0</v>
      </c>
      <c r="K253" s="189">
        <f t="shared" si="157"/>
        <v>0</v>
      </c>
      <c r="L253" s="189">
        <f t="shared" si="157"/>
        <v>0</v>
      </c>
      <c r="M253" s="190">
        <f>SUM(J253:L253)</f>
        <v>0</v>
      </c>
      <c r="N253" s="189">
        <f t="shared" si="158"/>
        <v>0</v>
      </c>
      <c r="O253" s="189">
        <f t="shared" si="158"/>
        <v>0</v>
      </c>
      <c r="P253" s="189">
        <f t="shared" si="158"/>
        <v>0</v>
      </c>
      <c r="Q253" s="190">
        <f>SUM(N253:P253)</f>
        <v>0</v>
      </c>
      <c r="R253" s="189">
        <f t="shared" si="159"/>
        <v>0</v>
      </c>
      <c r="S253" s="189">
        <f t="shared" si="159"/>
        <v>0</v>
      </c>
      <c r="T253" s="189">
        <f t="shared" si="159"/>
        <v>0</v>
      </c>
      <c r="U253" s="190">
        <f>SUM(R253:T253)</f>
        <v>0</v>
      </c>
      <c r="V253" s="189">
        <f t="shared" si="160"/>
        <v>0</v>
      </c>
      <c r="W253" s="189">
        <f t="shared" si="160"/>
        <v>0</v>
      </c>
      <c r="X253" s="189">
        <f t="shared" si="160"/>
        <v>0</v>
      </c>
      <c r="Y253" s="190">
        <f>SUM(V253:X253)</f>
        <v>0</v>
      </c>
    </row>
    <row r="254" spans="1:25" ht="12.75" hidden="1" customHeight="1" outlineLevel="1" x14ac:dyDescent="0.2">
      <c r="A254" s="198" t="str">
        <f>"         "&amp;Labels!C396</f>
        <v xml:space="preserve">         Total</v>
      </c>
      <c r="B254" s="226">
        <f t="shared" si="155"/>
        <v>0</v>
      </c>
      <c r="C254" s="226">
        <f t="shared" si="155"/>
        <v>0</v>
      </c>
      <c r="D254" s="226">
        <f t="shared" si="155"/>
        <v>0</v>
      </c>
      <c r="E254" s="227">
        <f>SUM(B254:D254)</f>
        <v>0</v>
      </c>
      <c r="F254" s="226">
        <f t="shared" si="156"/>
        <v>0</v>
      </c>
      <c r="G254" s="226">
        <f t="shared" si="156"/>
        <v>0</v>
      </c>
      <c r="H254" s="226">
        <f t="shared" si="156"/>
        <v>0</v>
      </c>
      <c r="I254" s="227">
        <f>SUM(F254:H254)</f>
        <v>0</v>
      </c>
      <c r="J254" s="226">
        <f t="shared" si="157"/>
        <v>0</v>
      </c>
      <c r="K254" s="226">
        <f t="shared" si="157"/>
        <v>0</v>
      </c>
      <c r="L254" s="226">
        <f t="shared" si="157"/>
        <v>0</v>
      </c>
      <c r="M254" s="227">
        <f>SUM(J254:L254)</f>
        <v>0</v>
      </c>
      <c r="N254" s="226">
        <f t="shared" si="158"/>
        <v>0</v>
      </c>
      <c r="O254" s="226">
        <f t="shared" si="158"/>
        <v>0</v>
      </c>
      <c r="P254" s="226">
        <f t="shared" si="158"/>
        <v>0</v>
      </c>
      <c r="Q254" s="227">
        <f>SUM(N254:P254)</f>
        <v>0</v>
      </c>
      <c r="R254" s="226">
        <f t="shared" si="159"/>
        <v>0</v>
      </c>
      <c r="S254" s="226">
        <f t="shared" si="159"/>
        <v>0</v>
      </c>
      <c r="T254" s="226">
        <f t="shared" si="159"/>
        <v>0</v>
      </c>
      <c r="U254" s="227">
        <f>SUM(R254:T254)</f>
        <v>0</v>
      </c>
      <c r="V254" s="226">
        <f t="shared" si="160"/>
        <v>0</v>
      </c>
      <c r="W254" s="226">
        <f t="shared" si="160"/>
        <v>0</v>
      </c>
      <c r="X254" s="226">
        <f t="shared" si="160"/>
        <v>0</v>
      </c>
      <c r="Y254" s="227">
        <f>SUM(V254:X254)</f>
        <v>0</v>
      </c>
    </row>
    <row r="255" spans="1:25" ht="12.75" hidden="1" customHeight="1" outlineLevel="1" x14ac:dyDescent="0.2">
      <c r="A255" s="188" t="str">
        <f>"      "&amp;Labels!C384</f>
        <v xml:space="preserve">      Total</v>
      </c>
      <c r="B255" s="196">
        <f t="shared" si="155"/>
        <v>0</v>
      </c>
      <c r="C255" s="196">
        <f t="shared" si="155"/>
        <v>0</v>
      </c>
      <c r="D255" s="196">
        <f t="shared" si="155"/>
        <v>0</v>
      </c>
      <c r="E255" s="197">
        <f>SUM(B246:D246)</f>
        <v>0</v>
      </c>
      <c r="F255" s="196">
        <f t="shared" si="156"/>
        <v>0</v>
      </c>
      <c r="G255" s="196">
        <f t="shared" si="156"/>
        <v>0</v>
      </c>
      <c r="H255" s="196">
        <f t="shared" si="156"/>
        <v>0</v>
      </c>
      <c r="I255" s="197">
        <f>SUM(F246:H246)</f>
        <v>0</v>
      </c>
      <c r="J255" s="196">
        <f t="shared" si="157"/>
        <v>0</v>
      </c>
      <c r="K255" s="196">
        <f t="shared" si="157"/>
        <v>0</v>
      </c>
      <c r="L255" s="196">
        <f t="shared" si="157"/>
        <v>0</v>
      </c>
      <c r="M255" s="197">
        <f>SUM(J246:L246)</f>
        <v>0</v>
      </c>
      <c r="N255" s="196">
        <f t="shared" si="158"/>
        <v>0</v>
      </c>
      <c r="O255" s="196">
        <f t="shared" si="158"/>
        <v>0</v>
      </c>
      <c r="P255" s="196">
        <f t="shared" si="158"/>
        <v>0</v>
      </c>
      <c r="Q255" s="197">
        <f>SUM(N246:P246)</f>
        <v>0</v>
      </c>
      <c r="R255" s="196">
        <f t="shared" si="159"/>
        <v>0</v>
      </c>
      <c r="S255" s="196">
        <f t="shared" si="159"/>
        <v>0</v>
      </c>
      <c r="T255" s="196">
        <f t="shared" si="159"/>
        <v>0</v>
      </c>
      <c r="U255" s="197">
        <f>SUM(R246:T246)</f>
        <v>0</v>
      </c>
      <c r="V255" s="196">
        <f t="shared" si="160"/>
        <v>0</v>
      </c>
      <c r="W255" s="196">
        <f t="shared" si="160"/>
        <v>0</v>
      </c>
      <c r="X255" s="196">
        <f t="shared" si="160"/>
        <v>0</v>
      </c>
      <c r="Y255" s="197">
        <f>SUM(V246:X246)</f>
        <v>0</v>
      </c>
    </row>
    <row r="256" spans="1:25" ht="12.75" hidden="1" customHeight="1" outlineLevel="1" x14ac:dyDescent="0.2">
      <c r="A256" s="198" t="str">
        <f>"         "&amp;Labels!B397</f>
        <v xml:space="preserve">         Supply Type 1</v>
      </c>
      <c r="B256" s="189">
        <f t="shared" si="155"/>
        <v>0</v>
      </c>
      <c r="C256" s="189">
        <f t="shared" si="155"/>
        <v>0</v>
      </c>
      <c r="D256" s="189">
        <f t="shared" si="155"/>
        <v>0</v>
      </c>
      <c r="E256" s="190">
        <f>SUM(B256:D256)</f>
        <v>0</v>
      </c>
      <c r="F256" s="189">
        <f t="shared" si="156"/>
        <v>0</v>
      </c>
      <c r="G256" s="189">
        <f t="shared" si="156"/>
        <v>0</v>
      </c>
      <c r="H256" s="189">
        <f t="shared" si="156"/>
        <v>0</v>
      </c>
      <c r="I256" s="190">
        <f>SUM(F256:H256)</f>
        <v>0</v>
      </c>
      <c r="J256" s="189">
        <f t="shared" si="157"/>
        <v>0</v>
      </c>
      <c r="K256" s="189">
        <f t="shared" si="157"/>
        <v>0</v>
      </c>
      <c r="L256" s="189">
        <f t="shared" si="157"/>
        <v>0</v>
      </c>
      <c r="M256" s="190">
        <f>SUM(J256:L256)</f>
        <v>0</v>
      </c>
      <c r="N256" s="189">
        <f t="shared" si="158"/>
        <v>0</v>
      </c>
      <c r="O256" s="189">
        <f t="shared" si="158"/>
        <v>0</v>
      </c>
      <c r="P256" s="189">
        <f t="shared" si="158"/>
        <v>0</v>
      </c>
      <c r="Q256" s="190">
        <f>SUM(N256:P256)</f>
        <v>0</v>
      </c>
      <c r="R256" s="189">
        <f t="shared" si="159"/>
        <v>0</v>
      </c>
      <c r="S256" s="189">
        <f t="shared" si="159"/>
        <v>0</v>
      </c>
      <c r="T256" s="189">
        <f t="shared" si="159"/>
        <v>0</v>
      </c>
      <c r="U256" s="190">
        <f>SUM(R256:T256)</f>
        <v>0</v>
      </c>
      <c r="V256" s="189">
        <f t="shared" si="160"/>
        <v>0</v>
      </c>
      <c r="W256" s="189">
        <f t="shared" si="160"/>
        <v>0</v>
      </c>
      <c r="X256" s="189">
        <f t="shared" si="160"/>
        <v>0</v>
      </c>
      <c r="Y256" s="190">
        <f>SUM(V256:X256)</f>
        <v>0</v>
      </c>
    </row>
    <row r="257" spans="1:25" ht="12.75" hidden="1" customHeight="1" outlineLevel="1" x14ac:dyDescent="0.2">
      <c r="A257" s="198" t="str">
        <f>"         "&amp;Labels!B398</f>
        <v xml:space="preserve">         Supply Type 2</v>
      </c>
      <c r="B257" s="189">
        <f t="shared" si="155"/>
        <v>0</v>
      </c>
      <c r="C257" s="189">
        <f t="shared" si="155"/>
        <v>0</v>
      </c>
      <c r="D257" s="189">
        <f t="shared" si="155"/>
        <v>0</v>
      </c>
      <c r="E257" s="190">
        <f>SUM(B257:D257)</f>
        <v>0</v>
      </c>
      <c r="F257" s="189">
        <f t="shared" si="156"/>
        <v>0</v>
      </c>
      <c r="G257" s="189">
        <f t="shared" si="156"/>
        <v>0</v>
      </c>
      <c r="H257" s="189">
        <f t="shared" si="156"/>
        <v>0</v>
      </c>
      <c r="I257" s="190">
        <f>SUM(F257:H257)</f>
        <v>0</v>
      </c>
      <c r="J257" s="189">
        <f t="shared" si="157"/>
        <v>0</v>
      </c>
      <c r="K257" s="189">
        <f t="shared" si="157"/>
        <v>0</v>
      </c>
      <c r="L257" s="189">
        <f t="shared" si="157"/>
        <v>0</v>
      </c>
      <c r="M257" s="190">
        <f>SUM(J257:L257)</f>
        <v>0</v>
      </c>
      <c r="N257" s="189">
        <f t="shared" si="158"/>
        <v>0</v>
      </c>
      <c r="O257" s="189">
        <f t="shared" si="158"/>
        <v>0</v>
      </c>
      <c r="P257" s="189">
        <f t="shared" si="158"/>
        <v>0</v>
      </c>
      <c r="Q257" s="190">
        <f>SUM(N257:P257)</f>
        <v>0</v>
      </c>
      <c r="R257" s="189">
        <f t="shared" si="159"/>
        <v>0</v>
      </c>
      <c r="S257" s="189">
        <f t="shared" si="159"/>
        <v>0</v>
      </c>
      <c r="T257" s="189">
        <f t="shared" si="159"/>
        <v>0</v>
      </c>
      <c r="U257" s="190">
        <f>SUM(R257:T257)</f>
        <v>0</v>
      </c>
      <c r="V257" s="189">
        <f t="shared" si="160"/>
        <v>0</v>
      </c>
      <c r="W257" s="189">
        <f t="shared" si="160"/>
        <v>0</v>
      </c>
      <c r="X257" s="189">
        <f t="shared" si="160"/>
        <v>0</v>
      </c>
      <c r="Y257" s="190">
        <f>SUM(V257:X257)</f>
        <v>0</v>
      </c>
    </row>
    <row r="258" spans="1:25" ht="12.75" hidden="1" customHeight="1" outlineLevel="1" x14ac:dyDescent="0.2">
      <c r="A258" s="230" t="str">
        <f>"         "&amp;Labels!C396</f>
        <v xml:space="preserve">         Total</v>
      </c>
      <c r="B258" s="231">
        <f>SUM(B229,B242)</f>
        <v>0</v>
      </c>
      <c r="C258" s="231">
        <f>SUM(C229,C242)</f>
        <v>0</v>
      </c>
      <c r="D258" s="231">
        <f>SUM(D229,D242)</f>
        <v>0</v>
      </c>
      <c r="E258" s="232">
        <f>SUM(B246:D246)</f>
        <v>0</v>
      </c>
      <c r="F258" s="231">
        <f>SUM(F229,F242)</f>
        <v>0</v>
      </c>
      <c r="G258" s="231">
        <f>SUM(G229,G242)</f>
        <v>0</v>
      </c>
      <c r="H258" s="231">
        <f>SUM(H229,H242)</f>
        <v>0</v>
      </c>
      <c r="I258" s="232">
        <f>SUM(F246:H246)</f>
        <v>0</v>
      </c>
      <c r="J258" s="231">
        <f>SUM(J229,J242)</f>
        <v>0</v>
      </c>
      <c r="K258" s="231">
        <f>SUM(K229,K242)</f>
        <v>0</v>
      </c>
      <c r="L258" s="231">
        <f>SUM(L229,L242)</f>
        <v>0</v>
      </c>
      <c r="M258" s="232">
        <f>SUM(J246:L246)</f>
        <v>0</v>
      </c>
      <c r="N258" s="231">
        <f>SUM(N229,N242)</f>
        <v>0</v>
      </c>
      <c r="O258" s="231">
        <f>SUM(O229,O242)</f>
        <v>0</v>
      </c>
      <c r="P258" s="231">
        <f>SUM(P229,P242)</f>
        <v>0</v>
      </c>
      <c r="Q258" s="232">
        <f>SUM(N246:P246)</f>
        <v>0</v>
      </c>
      <c r="R258" s="231">
        <f>SUM(R229,R242)</f>
        <v>0</v>
      </c>
      <c r="S258" s="231">
        <f>SUM(S229,S242)</f>
        <v>0</v>
      </c>
      <c r="T258" s="231">
        <f>SUM(T229,T242)</f>
        <v>0</v>
      </c>
      <c r="U258" s="232">
        <f>SUM(R246:T246)</f>
        <v>0</v>
      </c>
      <c r="V258" s="231">
        <f>SUM(V229,V242)</f>
        <v>0</v>
      </c>
      <c r="W258" s="231">
        <f>SUM(W229,W242)</f>
        <v>0</v>
      </c>
      <c r="X258" s="231">
        <f>SUM(X229,X242)</f>
        <v>0</v>
      </c>
      <c r="Y258" s="232">
        <f>SUM(V246:X246)</f>
        <v>0</v>
      </c>
    </row>
    <row r="259" spans="1:25" ht="12.75" hidden="1" customHeight="1" outlineLevel="1" x14ac:dyDescent="0.2"/>
    <row r="260" spans="1:25" ht="12.75" hidden="1" customHeight="1" outlineLevel="1" x14ac:dyDescent="0.2">
      <c r="A260" s="182" t="str">
        <f>Labels!B381</f>
        <v>Practice 1</v>
      </c>
      <c r="B260" s="13"/>
      <c r="C260" s="13"/>
      <c r="D260" s="13"/>
      <c r="E260" s="182"/>
      <c r="F260" s="13"/>
      <c r="G260" s="13"/>
      <c r="H260" s="13"/>
      <c r="I260" s="182"/>
      <c r="J260" s="13"/>
      <c r="K260" s="13"/>
      <c r="L260" s="13"/>
      <c r="M260" s="182"/>
      <c r="N260" s="13"/>
      <c r="O260" s="13"/>
      <c r="P260" s="13"/>
      <c r="Q260" s="182"/>
      <c r="R260" s="13"/>
      <c r="S260" s="13"/>
      <c r="T260" s="13"/>
      <c r="U260" s="182"/>
      <c r="V260" s="13"/>
      <c r="W260" s="13"/>
      <c r="X260" s="13"/>
      <c r="Y260" s="182"/>
    </row>
    <row r="261" spans="1:25" ht="12.75" hidden="1" customHeight="1" outlineLevel="1" x14ac:dyDescent="0.2">
      <c r="A261" s="188" t="str">
        <f>"   "&amp;Labels!B385</f>
        <v xml:space="preserve">   Prof Level 1</v>
      </c>
      <c r="B261" s="31"/>
      <c r="C261" s="31"/>
      <c r="D261" s="31"/>
      <c r="E261" s="188"/>
      <c r="F261" s="31"/>
      <c r="G261" s="31"/>
      <c r="H261" s="31"/>
      <c r="I261" s="188"/>
      <c r="J261" s="31"/>
      <c r="K261" s="31"/>
      <c r="L261" s="31"/>
      <c r="M261" s="188"/>
      <c r="N261" s="31"/>
      <c r="O261" s="31"/>
      <c r="P261" s="31"/>
      <c r="Q261" s="188"/>
      <c r="R261" s="31"/>
      <c r="S261" s="31"/>
      <c r="T261" s="31"/>
      <c r="U261" s="188"/>
      <c r="V261" s="31"/>
      <c r="W261" s="31"/>
      <c r="X261" s="31"/>
      <c r="Y261" s="188"/>
    </row>
    <row r="262" spans="1:25" ht="12.75" hidden="1" customHeight="1" outlineLevel="1" x14ac:dyDescent="0.2">
      <c r="A262" s="198" t="str">
        <f>"      "&amp;Labels!B98</f>
        <v xml:space="preserve">      Gross Margin</v>
      </c>
      <c r="B262" s="226">
        <f>SUM('GM CostSvcs'!B219,'GM CostSvcs'!B222)</f>
        <v>0</v>
      </c>
      <c r="C262" s="226">
        <f>SUM('GM CostSvcs'!C219,'GM CostSvcs'!C222)</f>
        <v>0</v>
      </c>
      <c r="D262" s="226">
        <f>SUM('GM CostSvcs'!D219,'GM CostSvcs'!D222)</f>
        <v>55000</v>
      </c>
      <c r="E262" s="227">
        <f>SUM(B262:D262)</f>
        <v>55000</v>
      </c>
      <c r="F262" s="226">
        <f>SUM('GM CostSvcs'!F219,'GM CostSvcs'!F222)</f>
        <v>55000</v>
      </c>
      <c r="G262" s="226">
        <f>SUM('GM CostSvcs'!G219,'GM CostSvcs'!G222)</f>
        <v>0</v>
      </c>
      <c r="H262" s="226">
        <f>SUM('GM CostSvcs'!H219,'GM CostSvcs'!H222)</f>
        <v>40000</v>
      </c>
      <c r="I262" s="227">
        <f>SUM(F262:H262)</f>
        <v>95000</v>
      </c>
      <c r="J262" s="226">
        <f>SUM('GM CostSvcs'!J219,'GM CostSvcs'!J222)</f>
        <v>25869.553514469997</v>
      </c>
      <c r="K262" s="226">
        <f>SUM('GM CostSvcs'!K219,'GM CostSvcs'!K222)</f>
        <v>18752.056032150373</v>
      </c>
      <c r="L262" s="226">
        <f>SUM('GM CostSvcs'!L219,'GM CostSvcs'!L222)</f>
        <v>0</v>
      </c>
      <c r="M262" s="227">
        <f>SUM(J262:L262)</f>
        <v>44621.60954662037</v>
      </c>
      <c r="N262" s="226">
        <f>SUM('GM CostSvcs'!N219,'GM CostSvcs'!N222)</f>
        <v>0</v>
      </c>
      <c r="O262" s="226">
        <f>SUM('GM CostSvcs'!O219,'GM CostSvcs'!O222)</f>
        <v>0</v>
      </c>
      <c r="P262" s="226">
        <f>SUM('GM CostSvcs'!P219,'GM CostSvcs'!P222)</f>
        <v>0</v>
      </c>
      <c r="Q262" s="227">
        <f>SUM(N262:P262)</f>
        <v>0</v>
      </c>
      <c r="R262" s="226">
        <f>SUM('GM CostSvcs'!R219,'GM CostSvcs'!R222)</f>
        <v>0</v>
      </c>
      <c r="S262" s="226">
        <f>SUM('GM CostSvcs'!S219,'GM CostSvcs'!S222)</f>
        <v>0</v>
      </c>
      <c r="T262" s="226">
        <f>SUM('GM CostSvcs'!T219,'GM CostSvcs'!T222)</f>
        <v>0</v>
      </c>
      <c r="U262" s="227">
        <f>SUM(R262:T262)</f>
        <v>0</v>
      </c>
      <c r="V262" s="226">
        <f>SUM('GM CostSvcs'!V219,'GM CostSvcs'!V222)</f>
        <v>0</v>
      </c>
      <c r="W262" s="226">
        <f>SUM('GM CostSvcs'!W219,'GM CostSvcs'!W222)</f>
        <v>0</v>
      </c>
      <c r="X262" s="226">
        <f>SUM('GM CostSvcs'!X219,'GM CostSvcs'!X222)</f>
        <v>0</v>
      </c>
      <c r="Y262" s="227">
        <f>SUM(V262:X262)</f>
        <v>0</v>
      </c>
    </row>
    <row r="263" spans="1:25" ht="12.75" hidden="1" customHeight="1" outlineLevel="1" x14ac:dyDescent="0.2">
      <c r="A263" s="198" t="str">
        <f>"      "&amp;Labels!B100</f>
        <v xml:space="preserve">      Gross Margin %</v>
      </c>
      <c r="B263" s="233">
        <f>IF(B179=0,0,B262/B179)</f>
        <v>0</v>
      </c>
      <c r="C263" s="233">
        <f>IF(C179=0,0,C262/C179)</f>
        <v>0</v>
      </c>
      <c r="D263" s="233">
        <f>IF(D179=0,0,D262/D179)</f>
        <v>0.97560975609756095</v>
      </c>
      <c r="E263" s="234">
        <f>IF(SUM(B179:D179)=0,0,SUM(B262:D262)/SUM(B179:D179))</f>
        <v>0.97560975609756095</v>
      </c>
      <c r="F263" s="233">
        <f>IF(F179=0,0,F262/F179)</f>
        <v>0.97560975609756095</v>
      </c>
      <c r="G263" s="233">
        <f>IF(G179=0,0,G262/G179)</f>
        <v>0</v>
      </c>
      <c r="H263" s="233">
        <f>IF(H179=0,0,H262/H179)</f>
        <v>0.97560975609756095</v>
      </c>
      <c r="I263" s="234">
        <f>IF(SUM(F179:H179)=0,0,SUM(F262:H262)/SUM(F179:H179))</f>
        <v>0.97560975609756095</v>
      </c>
      <c r="J263" s="233">
        <f>IF(J179=0,0,J262/J179)</f>
        <v>0.63096471986512193</v>
      </c>
      <c r="K263" s="233">
        <f>IF(K179=0,0,K262/K179)</f>
        <v>0.45736722029635057</v>
      </c>
      <c r="L263" s="233">
        <f>IF(L179=0,0,L262/L179)</f>
        <v>0</v>
      </c>
      <c r="M263" s="234">
        <f>IF(SUM(J179:L179)=0,0,SUM(J262:L262)/SUM(J179:L179))</f>
        <v>0.54416597008073619</v>
      </c>
      <c r="N263" s="233">
        <f>IF(N179=0,0,N262/N179)</f>
        <v>0</v>
      </c>
      <c r="O263" s="233">
        <f>IF(O179=0,0,O262/O179)</f>
        <v>0</v>
      </c>
      <c r="P263" s="233">
        <f>IF(P179=0,0,P262/P179)</f>
        <v>0</v>
      </c>
      <c r="Q263" s="234">
        <f>IF(SUM(N179:P179)=0,0,SUM(N262:P262)/SUM(N179:P179))</f>
        <v>0</v>
      </c>
      <c r="R263" s="233">
        <f>IF(R179=0,0,R262/R179)</f>
        <v>0</v>
      </c>
      <c r="S263" s="233">
        <f>IF(S179=0,0,S262/S179)</f>
        <v>0</v>
      </c>
      <c r="T263" s="233">
        <f>IF(T179=0,0,T262/T179)</f>
        <v>0</v>
      </c>
      <c r="U263" s="234">
        <f>IF(SUM(R179:T179)=0,0,SUM(R262:T262)/SUM(R179:T179))</f>
        <v>0</v>
      </c>
      <c r="V263" s="233">
        <f>IF(V179=0,0,V262/V179)</f>
        <v>0</v>
      </c>
      <c r="W263" s="233">
        <f>IF(W179=0,0,W262/W179)</f>
        <v>0</v>
      </c>
      <c r="X263" s="233">
        <f>IF(X179=0,0,X262/X179)</f>
        <v>0</v>
      </c>
      <c r="Y263" s="234">
        <f>IF(SUM(V179:X179)=0,0,SUM(V262:X262)/SUM(V179:X179))</f>
        <v>0</v>
      </c>
    </row>
    <row r="264" spans="1:25" ht="12.75" hidden="1" customHeight="1" outlineLevel="1" x14ac:dyDescent="0.2">
      <c r="A264" s="188" t="str">
        <f>"   "&amp;Labels!B386</f>
        <v xml:space="preserve">   Prof Level 2</v>
      </c>
      <c r="B264" s="31"/>
      <c r="C264" s="31"/>
      <c r="D264" s="31"/>
      <c r="E264" s="188"/>
      <c r="F264" s="31"/>
      <c r="G264" s="31"/>
      <c r="H264" s="31"/>
      <c r="I264" s="188"/>
      <c r="J264" s="31"/>
      <c r="K264" s="31"/>
      <c r="L264" s="31"/>
      <c r="M264" s="188"/>
      <c r="N264" s="31"/>
      <c r="O264" s="31"/>
      <c r="P264" s="31"/>
      <c r="Q264" s="188"/>
      <c r="R264" s="31"/>
      <c r="S264" s="31"/>
      <c r="T264" s="31"/>
      <c r="U264" s="188"/>
      <c r="V264" s="31"/>
      <c r="W264" s="31"/>
      <c r="X264" s="31"/>
      <c r="Y264" s="188"/>
    </row>
    <row r="265" spans="1:25" ht="12.75" hidden="1" customHeight="1" outlineLevel="1" x14ac:dyDescent="0.2">
      <c r="A265" s="198" t="str">
        <f>"      "&amp;Labels!B98</f>
        <v xml:space="preserve">      Gross Margin</v>
      </c>
      <c r="B265" s="226">
        <f>SUM('GM CostSvcs'!B229,'GM CostSvcs'!B232)</f>
        <v>0</v>
      </c>
      <c r="C265" s="226">
        <f>SUM('GM CostSvcs'!C229,'GM CostSvcs'!C232)</f>
        <v>0</v>
      </c>
      <c r="D265" s="226">
        <f>SUM('GM CostSvcs'!D229,'GM CostSvcs'!D232)</f>
        <v>55000</v>
      </c>
      <c r="E265" s="227">
        <f>SUM(B265:D265)</f>
        <v>55000</v>
      </c>
      <c r="F265" s="226">
        <f>SUM('GM CostSvcs'!F229,'GM CostSvcs'!F232)</f>
        <v>55000</v>
      </c>
      <c r="G265" s="226">
        <f>SUM('GM CostSvcs'!G229,'GM CostSvcs'!G232)</f>
        <v>0</v>
      </c>
      <c r="H265" s="226">
        <f>SUM('GM CostSvcs'!H229,'GM CostSvcs'!H232)</f>
        <v>40000</v>
      </c>
      <c r="I265" s="227">
        <f>SUM(F265:H265)</f>
        <v>95000</v>
      </c>
      <c r="J265" s="226">
        <f>SUM('GM CostSvcs'!J229,'GM CostSvcs'!J232)</f>
        <v>25869.553514469997</v>
      </c>
      <c r="K265" s="226">
        <f>SUM('GM CostSvcs'!K229,'GM CostSvcs'!K232)</f>
        <v>18752.056032150373</v>
      </c>
      <c r="L265" s="226">
        <f>SUM('GM CostSvcs'!L229,'GM CostSvcs'!L232)</f>
        <v>0</v>
      </c>
      <c r="M265" s="227">
        <f>SUM(J265:L265)</f>
        <v>44621.60954662037</v>
      </c>
      <c r="N265" s="226">
        <f>SUM('GM CostSvcs'!N229,'GM CostSvcs'!N232)</f>
        <v>0</v>
      </c>
      <c r="O265" s="226">
        <f>SUM('GM CostSvcs'!O229,'GM CostSvcs'!O232)</f>
        <v>0</v>
      </c>
      <c r="P265" s="226">
        <f>SUM('GM CostSvcs'!P229,'GM CostSvcs'!P232)</f>
        <v>0</v>
      </c>
      <c r="Q265" s="227">
        <f>SUM(N265:P265)</f>
        <v>0</v>
      </c>
      <c r="R265" s="226">
        <f>SUM('GM CostSvcs'!R229,'GM CostSvcs'!R232)</f>
        <v>0</v>
      </c>
      <c r="S265" s="226">
        <f>SUM('GM CostSvcs'!S229,'GM CostSvcs'!S232)</f>
        <v>0</v>
      </c>
      <c r="T265" s="226">
        <f>SUM('GM CostSvcs'!T229,'GM CostSvcs'!T232)</f>
        <v>0</v>
      </c>
      <c r="U265" s="227">
        <f>SUM(R265:T265)</f>
        <v>0</v>
      </c>
      <c r="V265" s="226">
        <f>SUM('GM CostSvcs'!V229,'GM CostSvcs'!V232)</f>
        <v>0</v>
      </c>
      <c r="W265" s="226">
        <f>SUM('GM CostSvcs'!W229,'GM CostSvcs'!W232)</f>
        <v>0</v>
      </c>
      <c r="X265" s="226">
        <f>SUM('GM CostSvcs'!X229,'GM CostSvcs'!X232)</f>
        <v>0</v>
      </c>
      <c r="Y265" s="227">
        <f>SUM(V265:X265)</f>
        <v>0</v>
      </c>
    </row>
    <row r="266" spans="1:25" ht="12.75" hidden="1" customHeight="1" outlineLevel="1" x14ac:dyDescent="0.2">
      <c r="A266" s="198" t="str">
        <f>"      "&amp;Labels!B100</f>
        <v xml:space="preserve">      Gross Margin %</v>
      </c>
      <c r="B266" s="233">
        <f>IF(B180=0,0,B265/B180)</f>
        <v>0</v>
      </c>
      <c r="C266" s="233">
        <f>IF(C180=0,0,C265/C180)</f>
        <v>0</v>
      </c>
      <c r="D266" s="233">
        <f>IF(D180=0,0,D265/D180)</f>
        <v>0.97560975609756095</v>
      </c>
      <c r="E266" s="234">
        <f>IF(SUM(B180:D180)=0,0,SUM(B265:D265)/SUM(B180:D180))</f>
        <v>0.97560975609756095</v>
      </c>
      <c r="F266" s="233">
        <f>IF(F180=0,0,F265/F180)</f>
        <v>0.97560975609756095</v>
      </c>
      <c r="G266" s="233">
        <f>IF(G180=0,0,G265/G180)</f>
        <v>0</v>
      </c>
      <c r="H266" s="233">
        <f>IF(H180=0,0,H265/H180)</f>
        <v>0.97560975609756095</v>
      </c>
      <c r="I266" s="234">
        <f>IF(SUM(F180:H180)=0,0,SUM(F265:H265)/SUM(F180:H180))</f>
        <v>0.97560975609756095</v>
      </c>
      <c r="J266" s="233">
        <f>IF(J180=0,0,J265/J180)</f>
        <v>0.63096471986512193</v>
      </c>
      <c r="K266" s="233">
        <f>IF(K180=0,0,K265/K180)</f>
        <v>0.45736722029635057</v>
      </c>
      <c r="L266" s="233">
        <f>IF(L180=0,0,L265/L180)</f>
        <v>0</v>
      </c>
      <c r="M266" s="234">
        <f>IF(SUM(J180:L180)=0,0,SUM(J265:L265)/SUM(J180:L180))</f>
        <v>0.54416597008073619</v>
      </c>
      <c r="N266" s="233">
        <f>IF(N180=0,0,N265/N180)</f>
        <v>0</v>
      </c>
      <c r="O266" s="233">
        <f>IF(O180=0,0,O265/O180)</f>
        <v>0</v>
      </c>
      <c r="P266" s="233">
        <f>IF(P180=0,0,P265/P180)</f>
        <v>0</v>
      </c>
      <c r="Q266" s="234">
        <f>IF(SUM(N180:P180)=0,0,SUM(N265:P265)/SUM(N180:P180))</f>
        <v>0</v>
      </c>
      <c r="R266" s="233">
        <f>IF(R180=0,0,R265/R180)</f>
        <v>0</v>
      </c>
      <c r="S266" s="233">
        <f>IF(S180=0,0,S265/S180)</f>
        <v>0</v>
      </c>
      <c r="T266" s="233">
        <f>IF(T180=0,0,T265/T180)</f>
        <v>0</v>
      </c>
      <c r="U266" s="234">
        <f>IF(SUM(R180:T180)=0,0,SUM(R265:T265)/SUM(R180:T180))</f>
        <v>0</v>
      </c>
      <c r="V266" s="233">
        <f>IF(V180=0,0,V265/V180)</f>
        <v>0</v>
      </c>
      <c r="W266" s="233">
        <f>IF(W180=0,0,W265/W180)</f>
        <v>0</v>
      </c>
      <c r="X266" s="233">
        <f>IF(X180=0,0,X265/X180)</f>
        <v>0</v>
      </c>
      <c r="Y266" s="234">
        <f>IF(SUM(V180:X180)=0,0,SUM(V265:X265)/SUM(V180:X180))</f>
        <v>0</v>
      </c>
    </row>
    <row r="267" spans="1:25" ht="12.75" hidden="1" customHeight="1" outlineLevel="1" x14ac:dyDescent="0.2">
      <c r="A267" s="191" t="str">
        <f>"   "&amp;Labels!C384</f>
        <v xml:space="preserve">   Total</v>
      </c>
      <c r="B267" s="3"/>
      <c r="C267" s="3"/>
      <c r="D267" s="3"/>
      <c r="E267" s="191"/>
      <c r="F267" s="3"/>
      <c r="G267" s="3"/>
      <c r="H267" s="3"/>
      <c r="I267" s="191"/>
      <c r="J267" s="3"/>
      <c r="K267" s="3"/>
      <c r="L267" s="3"/>
      <c r="M267" s="191"/>
      <c r="N267" s="3"/>
      <c r="O267" s="3"/>
      <c r="P267" s="3"/>
      <c r="Q267" s="191"/>
      <c r="R267" s="3"/>
      <c r="S267" s="3"/>
      <c r="T267" s="3"/>
      <c r="U267" s="191"/>
      <c r="V267" s="3"/>
      <c r="W267" s="3"/>
      <c r="X267" s="3"/>
      <c r="Y267" s="191"/>
    </row>
    <row r="268" spans="1:25" ht="12.75" hidden="1" customHeight="1" outlineLevel="1" x14ac:dyDescent="0.2">
      <c r="A268" s="198" t="str">
        <f>"      "&amp;Labels!B98</f>
        <v xml:space="preserve">      Gross Margin</v>
      </c>
      <c r="B268" s="226">
        <f>SUM(B112,B115)</f>
        <v>0</v>
      </c>
      <c r="C268" s="226">
        <f>SUM(C112,C115)</f>
        <v>0</v>
      </c>
      <c r="D268" s="226">
        <f>SUM(D112,D115)</f>
        <v>110000</v>
      </c>
      <c r="E268" s="227">
        <f>SUM(B268:D268)</f>
        <v>110000</v>
      </c>
      <c r="F268" s="226">
        <f>SUM(F112,F115)</f>
        <v>110000</v>
      </c>
      <c r="G268" s="226">
        <f>SUM(G112,G115)</f>
        <v>0</v>
      </c>
      <c r="H268" s="226">
        <f>SUM(H112,H115)</f>
        <v>80000</v>
      </c>
      <c r="I268" s="227">
        <f>SUM(F268:H268)</f>
        <v>190000</v>
      </c>
      <c r="J268" s="226">
        <f>SUM(J112,J115)</f>
        <v>51739.107028939994</v>
      </c>
      <c r="K268" s="226">
        <f>SUM(K112,K115)</f>
        <v>37504.112064300745</v>
      </c>
      <c r="L268" s="226">
        <f>SUM(L112,L115)</f>
        <v>0</v>
      </c>
      <c r="M268" s="227">
        <f>SUM(J268:L268)</f>
        <v>89243.219093240739</v>
      </c>
      <c r="N268" s="226">
        <f>SUM(N112,N115)</f>
        <v>0</v>
      </c>
      <c r="O268" s="226">
        <f>SUM(O112,O115)</f>
        <v>0</v>
      </c>
      <c r="P268" s="226">
        <f>SUM(P112,P115)</f>
        <v>0</v>
      </c>
      <c r="Q268" s="227">
        <f>SUM(N268:P268)</f>
        <v>0</v>
      </c>
      <c r="R268" s="226">
        <f>SUM(R112,R115)</f>
        <v>0</v>
      </c>
      <c r="S268" s="226">
        <f>SUM(S112,S115)</f>
        <v>0</v>
      </c>
      <c r="T268" s="226">
        <f>SUM(T112,T115)</f>
        <v>0</v>
      </c>
      <c r="U268" s="227">
        <f>SUM(R268:T268)</f>
        <v>0</v>
      </c>
      <c r="V268" s="226">
        <f>SUM(V112,V115)</f>
        <v>0</v>
      </c>
      <c r="W268" s="226">
        <f>SUM(W112,W115)</f>
        <v>0</v>
      </c>
      <c r="X268" s="226">
        <f>SUM(X112,X115)</f>
        <v>0</v>
      </c>
      <c r="Y268" s="227">
        <f>SUM(V268:X268)</f>
        <v>0</v>
      </c>
    </row>
    <row r="269" spans="1:25" ht="12.75" hidden="1" customHeight="1" outlineLevel="1" x14ac:dyDescent="0.2">
      <c r="A269" s="198" t="str">
        <f>"      "&amp;Labels!B100</f>
        <v xml:space="preserve">      Gross Margin %</v>
      </c>
      <c r="B269" s="233">
        <f>IF(B9=0,0,B268/B9)</f>
        <v>0</v>
      </c>
      <c r="C269" s="233">
        <f>IF(C9=0,0,C268/C9)</f>
        <v>0</v>
      </c>
      <c r="D269" s="233">
        <f>IF(D9=0,0,D268/D9)</f>
        <v>0.97560975609756095</v>
      </c>
      <c r="E269" s="234">
        <f>IF(SUM(B9:D9)=0,0,SUM(B268:D268)/SUM(B9:D9))</f>
        <v>0.97560975609756095</v>
      </c>
      <c r="F269" s="233">
        <f>IF(F9=0,0,F268/F9)</f>
        <v>0.97560975609756095</v>
      </c>
      <c r="G269" s="233">
        <f>IF(G9=0,0,G268/G9)</f>
        <v>0</v>
      </c>
      <c r="H269" s="233">
        <f>IF(H9=0,0,H268/H9)</f>
        <v>0.97560975609756095</v>
      </c>
      <c r="I269" s="234">
        <f>IF(SUM(F9:H9)=0,0,SUM(F268:H268)/SUM(F9:H9))</f>
        <v>0.97560975609756095</v>
      </c>
      <c r="J269" s="233">
        <f>IF(J9=0,0,J268/J9)</f>
        <v>0.63096471986512193</v>
      </c>
      <c r="K269" s="233">
        <f>IF(K9=0,0,K268/K9)</f>
        <v>0.45736722029635057</v>
      </c>
      <c r="L269" s="233">
        <f>IF(L9=0,0,L268/L9)</f>
        <v>0</v>
      </c>
      <c r="M269" s="234">
        <f>IF(SUM(J9:L9)=0,0,SUM(J268:L268)/SUM(J9:L9))</f>
        <v>0.54416597008073619</v>
      </c>
      <c r="N269" s="233">
        <f>IF(N9=0,0,N268/N9)</f>
        <v>0</v>
      </c>
      <c r="O269" s="233">
        <f>IF(O9=0,0,O268/O9)</f>
        <v>0</v>
      </c>
      <c r="P269" s="233">
        <f>IF(P9=0,0,P268/P9)</f>
        <v>0</v>
      </c>
      <c r="Q269" s="234">
        <f>IF(SUM(N9:P9)=0,0,SUM(N268:P268)/SUM(N9:P9))</f>
        <v>0</v>
      </c>
      <c r="R269" s="233">
        <f>IF(R9=0,0,R268/R9)</f>
        <v>0</v>
      </c>
      <c r="S269" s="233">
        <f>IF(S9=0,0,S268/S9)</f>
        <v>0</v>
      </c>
      <c r="T269" s="233">
        <f>IF(T9=0,0,T268/T9)</f>
        <v>0</v>
      </c>
      <c r="U269" s="234">
        <f>IF(SUM(R9:T9)=0,0,SUM(R268:T268)/SUM(R9:T9))</f>
        <v>0</v>
      </c>
      <c r="V269" s="233">
        <f>IF(V9=0,0,V268/V9)</f>
        <v>0</v>
      </c>
      <c r="W269" s="233">
        <f>IF(W9=0,0,W268/W9)</f>
        <v>0</v>
      </c>
      <c r="X269" s="233">
        <f>IF(X9=0,0,X268/X9)</f>
        <v>0</v>
      </c>
      <c r="Y269" s="234">
        <f>IF(SUM(V9:X9)=0,0,SUM(V268:X268)/SUM(V9:X9))</f>
        <v>0</v>
      </c>
    </row>
    <row r="270" spans="1:25" ht="12.75" hidden="1" customHeight="1" outlineLevel="1" x14ac:dyDescent="0.2">
      <c r="A270" s="191" t="str">
        <f>Labels!B382</f>
        <v>Practice 2</v>
      </c>
      <c r="B270" s="3"/>
      <c r="C270" s="3"/>
      <c r="D270" s="3"/>
      <c r="E270" s="191"/>
      <c r="F270" s="3"/>
      <c r="G270" s="3"/>
      <c r="H270" s="3"/>
      <c r="I270" s="191"/>
      <c r="J270" s="3"/>
      <c r="K270" s="3"/>
      <c r="L270" s="3"/>
      <c r="M270" s="191"/>
      <c r="N270" s="3"/>
      <c r="O270" s="3"/>
      <c r="P270" s="3"/>
      <c r="Q270" s="191"/>
      <c r="R270" s="3"/>
      <c r="S270" s="3"/>
      <c r="T270" s="3"/>
      <c r="U270" s="191"/>
      <c r="V270" s="3"/>
      <c r="W270" s="3"/>
      <c r="X270" s="3"/>
      <c r="Y270" s="191"/>
    </row>
    <row r="271" spans="1:25" ht="12.75" hidden="1" customHeight="1" outlineLevel="1" x14ac:dyDescent="0.2">
      <c r="A271" s="188" t="str">
        <f>"   "&amp;Labels!B385</f>
        <v xml:space="preserve">   Prof Level 1</v>
      </c>
      <c r="B271" s="31"/>
      <c r="C271" s="31"/>
      <c r="D271" s="31"/>
      <c r="E271" s="188"/>
      <c r="F271" s="31"/>
      <c r="G271" s="31"/>
      <c r="H271" s="31"/>
      <c r="I271" s="188"/>
      <c r="J271" s="31"/>
      <c r="K271" s="31"/>
      <c r="L271" s="31"/>
      <c r="M271" s="188"/>
      <c r="N271" s="31"/>
      <c r="O271" s="31"/>
      <c r="P271" s="31"/>
      <c r="Q271" s="188"/>
      <c r="R271" s="31"/>
      <c r="S271" s="31"/>
      <c r="T271" s="31"/>
      <c r="U271" s="188"/>
      <c r="V271" s="31"/>
      <c r="W271" s="31"/>
      <c r="X271" s="31"/>
      <c r="Y271" s="188"/>
    </row>
    <row r="272" spans="1:25" ht="12.75" hidden="1" customHeight="1" outlineLevel="1" x14ac:dyDescent="0.2">
      <c r="A272" s="198" t="str">
        <f>"      "&amp;Labels!B98</f>
        <v xml:space="preserve">      Gross Margin</v>
      </c>
      <c r="B272" s="226">
        <f>SUM('GM CostSvcs'!B250,'GM CostSvcs'!B253)</f>
        <v>0</v>
      </c>
      <c r="C272" s="226">
        <f>SUM('GM CostSvcs'!C250,'GM CostSvcs'!C253)</f>
        <v>0</v>
      </c>
      <c r="D272" s="226">
        <f>SUM('GM CostSvcs'!D250,'GM CostSvcs'!D253)</f>
        <v>0</v>
      </c>
      <c r="E272" s="227">
        <f>SUM(B272:D272)</f>
        <v>0</v>
      </c>
      <c r="F272" s="226">
        <f>SUM('GM CostSvcs'!F250,'GM CostSvcs'!F253)</f>
        <v>0</v>
      </c>
      <c r="G272" s="226">
        <f>SUM('GM CostSvcs'!G250,'GM CostSvcs'!G253)</f>
        <v>0</v>
      </c>
      <c r="H272" s="226">
        <f>SUM('GM CostSvcs'!H250,'GM CostSvcs'!H253)</f>
        <v>0</v>
      </c>
      <c r="I272" s="227">
        <f>SUM(F272:H272)</f>
        <v>0</v>
      </c>
      <c r="J272" s="226">
        <f>SUM('GM CostSvcs'!J250,'GM CostSvcs'!J253)</f>
        <v>0</v>
      </c>
      <c r="K272" s="226">
        <f>SUM('GM CostSvcs'!K250,'GM CostSvcs'!K253)</f>
        <v>0</v>
      </c>
      <c r="L272" s="226">
        <f>SUM('GM CostSvcs'!L250,'GM CostSvcs'!L253)</f>
        <v>0</v>
      </c>
      <c r="M272" s="227">
        <f>SUM(J272:L272)</f>
        <v>0</v>
      </c>
      <c r="N272" s="226">
        <f>SUM('GM CostSvcs'!N250,'GM CostSvcs'!N253)</f>
        <v>0</v>
      </c>
      <c r="O272" s="226">
        <f>SUM('GM CostSvcs'!O250,'GM CostSvcs'!O253)</f>
        <v>0</v>
      </c>
      <c r="P272" s="226">
        <f>SUM('GM CostSvcs'!P250,'GM CostSvcs'!P253)</f>
        <v>0</v>
      </c>
      <c r="Q272" s="227">
        <f>SUM(N272:P272)</f>
        <v>0</v>
      </c>
      <c r="R272" s="226">
        <f>SUM('GM CostSvcs'!R250,'GM CostSvcs'!R253)</f>
        <v>0</v>
      </c>
      <c r="S272" s="226">
        <f>SUM('GM CostSvcs'!S250,'GM CostSvcs'!S253)</f>
        <v>0</v>
      </c>
      <c r="T272" s="226">
        <f>SUM('GM CostSvcs'!T250,'GM CostSvcs'!T253)</f>
        <v>0</v>
      </c>
      <c r="U272" s="227">
        <f>SUM(R272:T272)</f>
        <v>0</v>
      </c>
      <c r="V272" s="226">
        <f>SUM('GM CostSvcs'!V250,'GM CostSvcs'!V253)</f>
        <v>0</v>
      </c>
      <c r="W272" s="226">
        <f>SUM('GM CostSvcs'!W250,'GM CostSvcs'!W253)</f>
        <v>0</v>
      </c>
      <c r="X272" s="226">
        <f>SUM('GM CostSvcs'!X250,'GM CostSvcs'!X253)</f>
        <v>0</v>
      </c>
      <c r="Y272" s="227">
        <f>SUM(V272:X272)</f>
        <v>0</v>
      </c>
    </row>
    <row r="273" spans="1:25" ht="12.75" hidden="1" customHeight="1" outlineLevel="1" x14ac:dyDescent="0.2">
      <c r="A273" s="198" t="str">
        <f>"      "&amp;Labels!B100</f>
        <v xml:space="preserve">      Gross Margin %</v>
      </c>
      <c r="B273" s="233">
        <f>IF(B183=0,0,B272/B183)</f>
        <v>0</v>
      </c>
      <c r="C273" s="233">
        <f>IF(C183=0,0,C272/C183)</f>
        <v>0</v>
      </c>
      <c r="D273" s="233">
        <f>IF(D183=0,0,D272/D183)</f>
        <v>0</v>
      </c>
      <c r="E273" s="234">
        <f>IF(SUM(B183:D183)=0,0,SUM(B272:D272)/SUM(B183:D183))</f>
        <v>0</v>
      </c>
      <c r="F273" s="233">
        <f>IF(F183=0,0,F272/F183)</f>
        <v>0</v>
      </c>
      <c r="G273" s="233">
        <f>IF(G183=0,0,G272/G183)</f>
        <v>0</v>
      </c>
      <c r="H273" s="233">
        <f>IF(H183=0,0,H272/H183)</f>
        <v>0</v>
      </c>
      <c r="I273" s="234">
        <f>IF(SUM(F183:H183)=0,0,SUM(F272:H272)/SUM(F183:H183))</f>
        <v>0</v>
      </c>
      <c r="J273" s="233">
        <f>IF(J183=0,0,J272/J183)</f>
        <v>0</v>
      </c>
      <c r="K273" s="233">
        <f>IF(K183=0,0,K272/K183)</f>
        <v>0</v>
      </c>
      <c r="L273" s="233">
        <f>IF(L183=0,0,L272/L183)</f>
        <v>0</v>
      </c>
      <c r="M273" s="234">
        <f>IF(SUM(J183:L183)=0,0,SUM(J272:L272)/SUM(J183:L183))</f>
        <v>0</v>
      </c>
      <c r="N273" s="233">
        <f>IF(N183=0,0,N272/N183)</f>
        <v>0</v>
      </c>
      <c r="O273" s="233">
        <f>IF(O183=0,0,O272/O183)</f>
        <v>0</v>
      </c>
      <c r="P273" s="233">
        <f>IF(P183=0,0,P272/P183)</f>
        <v>0</v>
      </c>
      <c r="Q273" s="234">
        <f>IF(SUM(N183:P183)=0,0,SUM(N272:P272)/SUM(N183:P183))</f>
        <v>0</v>
      </c>
      <c r="R273" s="233">
        <f>IF(R183=0,0,R272/R183)</f>
        <v>0</v>
      </c>
      <c r="S273" s="233">
        <f>IF(S183=0,0,S272/S183)</f>
        <v>0</v>
      </c>
      <c r="T273" s="233">
        <f>IF(T183=0,0,T272/T183)</f>
        <v>0</v>
      </c>
      <c r="U273" s="234">
        <f>IF(SUM(R183:T183)=0,0,SUM(R272:T272)/SUM(R183:T183))</f>
        <v>0</v>
      </c>
      <c r="V273" s="233">
        <f>IF(V183=0,0,V272/V183)</f>
        <v>0</v>
      </c>
      <c r="W273" s="233">
        <f>IF(W183=0,0,W272/W183)</f>
        <v>0</v>
      </c>
      <c r="X273" s="233">
        <f>IF(X183=0,0,X272/X183)</f>
        <v>0</v>
      </c>
      <c r="Y273" s="234">
        <f>IF(SUM(V183:X183)=0,0,SUM(V272:X272)/SUM(V183:X183))</f>
        <v>0</v>
      </c>
    </row>
    <row r="274" spans="1:25" ht="12.75" hidden="1" customHeight="1" outlineLevel="1" x14ac:dyDescent="0.2">
      <c r="A274" s="188" t="str">
        <f>"   "&amp;Labels!B386</f>
        <v xml:space="preserve">   Prof Level 2</v>
      </c>
      <c r="B274" s="31"/>
      <c r="C274" s="31"/>
      <c r="D274" s="31"/>
      <c r="E274" s="188"/>
      <c r="F274" s="31"/>
      <c r="G274" s="31"/>
      <c r="H274" s="31"/>
      <c r="I274" s="188"/>
      <c r="J274" s="31"/>
      <c r="K274" s="31"/>
      <c r="L274" s="31"/>
      <c r="M274" s="188"/>
      <c r="N274" s="31"/>
      <c r="O274" s="31"/>
      <c r="P274" s="31"/>
      <c r="Q274" s="188"/>
      <c r="R274" s="31"/>
      <c r="S274" s="31"/>
      <c r="T274" s="31"/>
      <c r="U274" s="188"/>
      <c r="V274" s="31"/>
      <c r="W274" s="31"/>
      <c r="X274" s="31"/>
      <c r="Y274" s="188"/>
    </row>
    <row r="275" spans="1:25" ht="12.75" hidden="1" customHeight="1" outlineLevel="1" x14ac:dyDescent="0.2">
      <c r="A275" s="198" t="str">
        <f>"      "&amp;Labels!B98</f>
        <v xml:space="preserve">      Gross Margin</v>
      </c>
      <c r="B275" s="226">
        <f>SUM('GM CostSvcs'!B260,'GM CostSvcs'!B263)</f>
        <v>0</v>
      </c>
      <c r="C275" s="226">
        <f>SUM('GM CostSvcs'!C260,'GM CostSvcs'!C263)</f>
        <v>0</v>
      </c>
      <c r="D275" s="226">
        <f>SUM('GM CostSvcs'!D260,'GM CostSvcs'!D263)</f>
        <v>0</v>
      </c>
      <c r="E275" s="227">
        <f>SUM(B275:D275)</f>
        <v>0</v>
      </c>
      <c r="F275" s="226">
        <f>SUM('GM CostSvcs'!F260,'GM CostSvcs'!F263)</f>
        <v>0</v>
      </c>
      <c r="G275" s="226">
        <f>SUM('GM CostSvcs'!G260,'GM CostSvcs'!G263)</f>
        <v>0</v>
      </c>
      <c r="H275" s="226">
        <f>SUM('GM CostSvcs'!H260,'GM CostSvcs'!H263)</f>
        <v>0</v>
      </c>
      <c r="I275" s="227">
        <f>SUM(F275:H275)</f>
        <v>0</v>
      </c>
      <c r="J275" s="226">
        <f>SUM('GM CostSvcs'!J260,'GM CostSvcs'!J263)</f>
        <v>0</v>
      </c>
      <c r="K275" s="226">
        <f>SUM('GM CostSvcs'!K260,'GM CostSvcs'!K263)</f>
        <v>0</v>
      </c>
      <c r="L275" s="226">
        <f>SUM('GM CostSvcs'!L260,'GM CostSvcs'!L263)</f>
        <v>0</v>
      </c>
      <c r="M275" s="227">
        <f>SUM(J275:L275)</f>
        <v>0</v>
      </c>
      <c r="N275" s="226">
        <f>SUM('GM CostSvcs'!N260,'GM CostSvcs'!N263)</f>
        <v>0</v>
      </c>
      <c r="O275" s="226">
        <f>SUM('GM CostSvcs'!O260,'GM CostSvcs'!O263)</f>
        <v>0</v>
      </c>
      <c r="P275" s="226">
        <f>SUM('GM CostSvcs'!P260,'GM CostSvcs'!P263)</f>
        <v>0</v>
      </c>
      <c r="Q275" s="227">
        <f>SUM(N275:P275)</f>
        <v>0</v>
      </c>
      <c r="R275" s="226">
        <f>SUM('GM CostSvcs'!R260,'GM CostSvcs'!R263)</f>
        <v>0</v>
      </c>
      <c r="S275" s="226">
        <f>SUM('GM CostSvcs'!S260,'GM CostSvcs'!S263)</f>
        <v>0</v>
      </c>
      <c r="T275" s="226">
        <f>SUM('GM CostSvcs'!T260,'GM CostSvcs'!T263)</f>
        <v>0</v>
      </c>
      <c r="U275" s="227">
        <f>SUM(R275:T275)</f>
        <v>0</v>
      </c>
      <c r="V275" s="226">
        <f>SUM('GM CostSvcs'!V260,'GM CostSvcs'!V263)</f>
        <v>0</v>
      </c>
      <c r="W275" s="226">
        <f>SUM('GM CostSvcs'!W260,'GM CostSvcs'!W263)</f>
        <v>0</v>
      </c>
      <c r="X275" s="226">
        <f>SUM('GM CostSvcs'!X260,'GM CostSvcs'!X263)</f>
        <v>0</v>
      </c>
      <c r="Y275" s="227">
        <f>SUM(V275:X275)</f>
        <v>0</v>
      </c>
    </row>
    <row r="276" spans="1:25" ht="12.75" hidden="1" customHeight="1" outlineLevel="1" x14ac:dyDescent="0.2">
      <c r="A276" s="198" t="str">
        <f>"      "&amp;Labels!B100</f>
        <v xml:space="preserve">      Gross Margin %</v>
      </c>
      <c r="B276" s="233">
        <f>IF(B184=0,0,B275/B184)</f>
        <v>0</v>
      </c>
      <c r="C276" s="233">
        <f>IF(C184=0,0,C275/C184)</f>
        <v>0</v>
      </c>
      <c r="D276" s="233">
        <f>IF(D184=0,0,D275/D184)</f>
        <v>0</v>
      </c>
      <c r="E276" s="234">
        <f>IF(SUM(B184:D184)=0,0,SUM(B275:D275)/SUM(B184:D184))</f>
        <v>0</v>
      </c>
      <c r="F276" s="233">
        <f>IF(F184=0,0,F275/F184)</f>
        <v>0</v>
      </c>
      <c r="G276" s="233">
        <f>IF(G184=0,0,G275/G184)</f>
        <v>0</v>
      </c>
      <c r="H276" s="233">
        <f>IF(H184=0,0,H275/H184)</f>
        <v>0</v>
      </c>
      <c r="I276" s="234">
        <f>IF(SUM(F184:H184)=0,0,SUM(F275:H275)/SUM(F184:H184))</f>
        <v>0</v>
      </c>
      <c r="J276" s="233">
        <f>IF(J184=0,0,J275/J184)</f>
        <v>0</v>
      </c>
      <c r="K276" s="233">
        <f>IF(K184=0,0,K275/K184)</f>
        <v>0</v>
      </c>
      <c r="L276" s="233">
        <f>IF(L184=0,0,L275/L184)</f>
        <v>0</v>
      </c>
      <c r="M276" s="234">
        <f>IF(SUM(J184:L184)=0,0,SUM(J275:L275)/SUM(J184:L184))</f>
        <v>0</v>
      </c>
      <c r="N276" s="233">
        <f>IF(N184=0,0,N275/N184)</f>
        <v>0</v>
      </c>
      <c r="O276" s="233">
        <f>IF(O184=0,0,O275/O184)</f>
        <v>0</v>
      </c>
      <c r="P276" s="233">
        <f>IF(P184=0,0,P275/P184)</f>
        <v>0</v>
      </c>
      <c r="Q276" s="234">
        <f>IF(SUM(N184:P184)=0,0,SUM(N275:P275)/SUM(N184:P184))</f>
        <v>0</v>
      </c>
      <c r="R276" s="233">
        <f>IF(R184=0,0,R275/R184)</f>
        <v>0</v>
      </c>
      <c r="S276" s="233">
        <f>IF(S184=0,0,S275/S184)</f>
        <v>0</v>
      </c>
      <c r="T276" s="233">
        <f>IF(T184=0,0,T275/T184)</f>
        <v>0</v>
      </c>
      <c r="U276" s="234">
        <f>IF(SUM(R184:T184)=0,0,SUM(R275:T275)/SUM(R184:T184))</f>
        <v>0</v>
      </c>
      <c r="V276" s="233">
        <f>IF(V184=0,0,V275/V184)</f>
        <v>0</v>
      </c>
      <c r="W276" s="233">
        <f>IF(W184=0,0,W275/W184)</f>
        <v>0</v>
      </c>
      <c r="X276" s="233">
        <f>IF(X184=0,0,X275/X184)</f>
        <v>0</v>
      </c>
      <c r="Y276" s="234">
        <f>IF(SUM(V184:X184)=0,0,SUM(V275:X275)/SUM(V184:X184))</f>
        <v>0</v>
      </c>
    </row>
    <row r="277" spans="1:25" ht="12.75" hidden="1" customHeight="1" outlineLevel="1" x14ac:dyDescent="0.2">
      <c r="A277" s="191" t="str">
        <f>"   "&amp;Labels!C384</f>
        <v xml:space="preserve">   Total</v>
      </c>
      <c r="B277" s="3"/>
      <c r="C277" s="3"/>
      <c r="D277" s="3"/>
      <c r="E277" s="191"/>
      <c r="F277" s="3"/>
      <c r="G277" s="3"/>
      <c r="H277" s="3"/>
      <c r="I277" s="191"/>
      <c r="J277" s="3"/>
      <c r="K277" s="3"/>
      <c r="L277" s="3"/>
      <c r="M277" s="191"/>
      <c r="N277" s="3"/>
      <c r="O277" s="3"/>
      <c r="P277" s="3"/>
      <c r="Q277" s="191"/>
      <c r="R277" s="3"/>
      <c r="S277" s="3"/>
      <c r="T277" s="3"/>
      <c r="U277" s="191"/>
      <c r="V277" s="3"/>
      <c r="W277" s="3"/>
      <c r="X277" s="3"/>
      <c r="Y277" s="191"/>
    </row>
    <row r="278" spans="1:25" ht="12.75" hidden="1" customHeight="1" outlineLevel="1" x14ac:dyDescent="0.2">
      <c r="A278" s="198" t="str">
        <f>"      "&amp;Labels!B98</f>
        <v xml:space="preserve">      Gross Margin</v>
      </c>
      <c r="B278" s="226">
        <f>SUM(B122,B125)</f>
        <v>0</v>
      </c>
      <c r="C278" s="226">
        <f>SUM(C122,C125)</f>
        <v>0</v>
      </c>
      <c r="D278" s="226">
        <f>SUM(D122,D125)</f>
        <v>0</v>
      </c>
      <c r="E278" s="227">
        <f>SUM(B278:D278)</f>
        <v>0</v>
      </c>
      <c r="F278" s="226">
        <f>SUM(F122,F125)</f>
        <v>0</v>
      </c>
      <c r="G278" s="226">
        <f>SUM(G122,G125)</f>
        <v>0</v>
      </c>
      <c r="H278" s="226">
        <f>SUM(H122,H125)</f>
        <v>0</v>
      </c>
      <c r="I278" s="227">
        <f>SUM(F278:H278)</f>
        <v>0</v>
      </c>
      <c r="J278" s="226">
        <f>SUM(J122,J125)</f>
        <v>0</v>
      </c>
      <c r="K278" s="226">
        <f>SUM(K122,K125)</f>
        <v>0</v>
      </c>
      <c r="L278" s="226">
        <f>SUM(L122,L125)</f>
        <v>0</v>
      </c>
      <c r="M278" s="227">
        <f>SUM(J278:L278)</f>
        <v>0</v>
      </c>
      <c r="N278" s="226">
        <f>SUM(N122,N125)</f>
        <v>0</v>
      </c>
      <c r="O278" s="226">
        <f>SUM(O122,O125)</f>
        <v>0</v>
      </c>
      <c r="P278" s="226">
        <f>SUM(P122,P125)</f>
        <v>0</v>
      </c>
      <c r="Q278" s="227">
        <f>SUM(N278:P278)</f>
        <v>0</v>
      </c>
      <c r="R278" s="226">
        <f>SUM(R122,R125)</f>
        <v>0</v>
      </c>
      <c r="S278" s="226">
        <f>SUM(S122,S125)</f>
        <v>0</v>
      </c>
      <c r="T278" s="226">
        <f>SUM(T122,T125)</f>
        <v>0</v>
      </c>
      <c r="U278" s="227">
        <f>SUM(R278:T278)</f>
        <v>0</v>
      </c>
      <c r="V278" s="226">
        <f>SUM(V122,V125)</f>
        <v>0</v>
      </c>
      <c r="W278" s="226">
        <f>SUM(W122,W125)</f>
        <v>0</v>
      </c>
      <c r="X278" s="226">
        <f>SUM(X122,X125)</f>
        <v>0</v>
      </c>
      <c r="Y278" s="227">
        <f>SUM(V278:X278)</f>
        <v>0</v>
      </c>
    </row>
    <row r="279" spans="1:25" ht="12.75" hidden="1" customHeight="1" outlineLevel="1" x14ac:dyDescent="0.2">
      <c r="A279" s="198" t="str">
        <f>"      "&amp;Labels!B100</f>
        <v xml:space="preserve">      Gross Margin %</v>
      </c>
      <c r="B279" s="233">
        <f>IF(B10=0,0,B278/B10)</f>
        <v>0</v>
      </c>
      <c r="C279" s="233">
        <f>IF(C10=0,0,C278/C10)</f>
        <v>0</v>
      </c>
      <c r="D279" s="233">
        <f>IF(D10=0,0,D278/D10)</f>
        <v>0</v>
      </c>
      <c r="E279" s="234">
        <f>IF(SUM(B10:D10)=0,0,SUM(B278:D278)/SUM(B10:D10))</f>
        <v>0</v>
      </c>
      <c r="F279" s="233">
        <f>IF(F10=0,0,F278/F10)</f>
        <v>0</v>
      </c>
      <c r="G279" s="233">
        <f>IF(G10=0,0,G278/G10)</f>
        <v>0</v>
      </c>
      <c r="H279" s="233">
        <f>IF(H10=0,0,H278/H10)</f>
        <v>0</v>
      </c>
      <c r="I279" s="234">
        <f>IF(SUM(F10:H10)=0,0,SUM(F278:H278)/SUM(F10:H10))</f>
        <v>0</v>
      </c>
      <c r="J279" s="233">
        <f>IF(J10=0,0,J278/J10)</f>
        <v>0</v>
      </c>
      <c r="K279" s="233">
        <f>IF(K10=0,0,K278/K10)</f>
        <v>0</v>
      </c>
      <c r="L279" s="233">
        <f>IF(L10=0,0,L278/L10)</f>
        <v>0</v>
      </c>
      <c r="M279" s="234">
        <f>IF(SUM(J10:L10)=0,0,SUM(J278:L278)/SUM(J10:L10))</f>
        <v>0</v>
      </c>
      <c r="N279" s="233">
        <f>IF(N10=0,0,N278/N10)</f>
        <v>0</v>
      </c>
      <c r="O279" s="233">
        <f>IF(O10=0,0,O278/O10)</f>
        <v>0</v>
      </c>
      <c r="P279" s="233">
        <f>IF(P10=0,0,P278/P10)</f>
        <v>0</v>
      </c>
      <c r="Q279" s="234">
        <f>IF(SUM(N10:P10)=0,0,SUM(N278:P278)/SUM(N10:P10))</f>
        <v>0</v>
      </c>
      <c r="R279" s="233">
        <f>IF(R10=0,0,R278/R10)</f>
        <v>0</v>
      </c>
      <c r="S279" s="233">
        <f>IF(S10=0,0,S278/S10)</f>
        <v>0</v>
      </c>
      <c r="T279" s="233">
        <f>IF(T10=0,0,T278/T10)</f>
        <v>0</v>
      </c>
      <c r="U279" s="234">
        <f>IF(SUM(R10:T10)=0,0,SUM(R278:T278)/SUM(R10:T10))</f>
        <v>0</v>
      </c>
      <c r="V279" s="233">
        <f>IF(V10=0,0,V278/V10)</f>
        <v>0</v>
      </c>
      <c r="W279" s="233">
        <f>IF(W10=0,0,W278/W10)</f>
        <v>0</v>
      </c>
      <c r="X279" s="233">
        <f>IF(X10=0,0,X278/X10)</f>
        <v>0</v>
      </c>
      <c r="Y279" s="234">
        <f>IF(SUM(V10:X10)=0,0,SUM(V278:X278)/SUM(V10:X10))</f>
        <v>0</v>
      </c>
    </row>
    <row r="280" spans="1:25" ht="12.75" hidden="1" customHeight="1" outlineLevel="1" x14ac:dyDescent="0.2">
      <c r="A280" s="97" t="str">
        <f>Labels!C380</f>
        <v>Total</v>
      </c>
      <c r="B280" s="6"/>
      <c r="C280" s="6"/>
      <c r="D280" s="6"/>
      <c r="E280" s="97"/>
      <c r="F280" s="6"/>
      <c r="G280" s="6"/>
      <c r="H280" s="6"/>
      <c r="I280" s="97"/>
      <c r="J280" s="6"/>
      <c r="K280" s="6"/>
      <c r="L280" s="6"/>
      <c r="M280" s="97"/>
      <c r="N280" s="6"/>
      <c r="O280" s="6"/>
      <c r="P280" s="6"/>
      <c r="Q280" s="97"/>
      <c r="R280" s="6"/>
      <c r="S280" s="6"/>
      <c r="T280" s="6"/>
      <c r="U280" s="97"/>
      <c r="V280" s="6"/>
      <c r="W280" s="6"/>
      <c r="X280" s="6"/>
      <c r="Y280" s="97"/>
    </row>
    <row r="281" spans="1:25" ht="12.75" hidden="1" customHeight="1" outlineLevel="1" x14ac:dyDescent="0.2">
      <c r="A281" s="188" t="str">
        <f>"   "&amp;Labels!B385</f>
        <v xml:space="preserve">   Prof Level 1</v>
      </c>
      <c r="B281" s="31"/>
      <c r="C281" s="31"/>
      <c r="D281" s="31"/>
      <c r="E281" s="188"/>
      <c r="F281" s="31"/>
      <c r="G281" s="31"/>
      <c r="H281" s="31"/>
      <c r="I281" s="188"/>
      <c r="J281" s="31"/>
      <c r="K281" s="31"/>
      <c r="L281" s="31"/>
      <c r="M281" s="188"/>
      <c r="N281" s="31"/>
      <c r="O281" s="31"/>
      <c r="P281" s="31"/>
      <c r="Q281" s="188"/>
      <c r="R281" s="31"/>
      <c r="S281" s="31"/>
      <c r="T281" s="31"/>
      <c r="U281" s="188"/>
      <c r="V281" s="31"/>
      <c r="W281" s="31"/>
      <c r="X281" s="31"/>
      <c r="Y281" s="188"/>
    </row>
    <row r="282" spans="1:25" ht="12.75" hidden="1" customHeight="1" outlineLevel="1" x14ac:dyDescent="0.2">
      <c r="A282" s="198" t="str">
        <f>"      "&amp;Labels!B98</f>
        <v xml:space="preserve">      Gross Margin</v>
      </c>
      <c r="B282" s="226">
        <f>SUM(B262,B272)</f>
        <v>0</v>
      </c>
      <c r="C282" s="226">
        <f>SUM(C262,C272)</f>
        <v>0</v>
      </c>
      <c r="D282" s="226">
        <f>SUM(D262,D272)</f>
        <v>55000</v>
      </c>
      <c r="E282" s="227">
        <f>SUM(B282:D282)</f>
        <v>55000</v>
      </c>
      <c r="F282" s="226">
        <f>SUM(F262,F272)</f>
        <v>55000</v>
      </c>
      <c r="G282" s="226">
        <f>SUM(G262,G272)</f>
        <v>0</v>
      </c>
      <c r="H282" s="226">
        <f>SUM(H262,H272)</f>
        <v>40000</v>
      </c>
      <c r="I282" s="227">
        <f>SUM(F282:H282)</f>
        <v>95000</v>
      </c>
      <c r="J282" s="226">
        <f>SUM(J262,J272)</f>
        <v>25869.553514469997</v>
      </c>
      <c r="K282" s="226">
        <f>SUM(K262,K272)</f>
        <v>18752.056032150373</v>
      </c>
      <c r="L282" s="226">
        <f>SUM(L262,L272)</f>
        <v>0</v>
      </c>
      <c r="M282" s="227">
        <f>SUM(J282:L282)</f>
        <v>44621.60954662037</v>
      </c>
      <c r="N282" s="226">
        <f>SUM(N262,N272)</f>
        <v>0</v>
      </c>
      <c r="O282" s="226">
        <f>SUM(O262,O272)</f>
        <v>0</v>
      </c>
      <c r="P282" s="226">
        <f>SUM(P262,P272)</f>
        <v>0</v>
      </c>
      <c r="Q282" s="227">
        <f>SUM(N282:P282)</f>
        <v>0</v>
      </c>
      <c r="R282" s="226">
        <f>SUM(R262,R272)</f>
        <v>0</v>
      </c>
      <c r="S282" s="226">
        <f>SUM(S262,S272)</f>
        <v>0</v>
      </c>
      <c r="T282" s="226">
        <f>SUM(T262,T272)</f>
        <v>0</v>
      </c>
      <c r="U282" s="227">
        <f>SUM(R282:T282)</f>
        <v>0</v>
      </c>
      <c r="V282" s="226">
        <f>SUM(V262,V272)</f>
        <v>0</v>
      </c>
      <c r="W282" s="226">
        <f>SUM(W262,W272)</f>
        <v>0</v>
      </c>
      <c r="X282" s="226">
        <f>SUM(X262,X272)</f>
        <v>0</v>
      </c>
      <c r="Y282" s="227">
        <f>SUM(V282:X282)</f>
        <v>0</v>
      </c>
    </row>
    <row r="283" spans="1:25" ht="12.75" hidden="1" customHeight="1" outlineLevel="1" x14ac:dyDescent="0.2">
      <c r="A283" s="198" t="str">
        <f>"      "&amp;Labels!B100</f>
        <v xml:space="preserve">      Gross Margin %</v>
      </c>
      <c r="B283" s="233">
        <f>IF(B187=0,0,B282/B187)</f>
        <v>0</v>
      </c>
      <c r="C283" s="233">
        <f>IF(C187=0,0,C282/C187)</f>
        <v>0</v>
      </c>
      <c r="D283" s="233">
        <f>IF(D187=0,0,D282/D187)</f>
        <v>0.97560975609756095</v>
      </c>
      <c r="E283" s="234">
        <f>IF(SUM(B187:D187)=0,0,SUM(B282:D282)/SUM(B187:D187))</f>
        <v>0.97560975609756095</v>
      </c>
      <c r="F283" s="233">
        <f>IF(F187=0,0,F282/F187)</f>
        <v>0.97560975609756095</v>
      </c>
      <c r="G283" s="233">
        <f>IF(G187=0,0,G282/G187)</f>
        <v>0</v>
      </c>
      <c r="H283" s="233">
        <f>IF(H187=0,0,H282/H187)</f>
        <v>0.97560975609756095</v>
      </c>
      <c r="I283" s="234">
        <f>IF(SUM(F187:H187)=0,0,SUM(F282:H282)/SUM(F187:H187))</f>
        <v>0.97560975609756095</v>
      </c>
      <c r="J283" s="233">
        <f>IF(J187=0,0,J282/J187)</f>
        <v>0.63096471986512193</v>
      </c>
      <c r="K283" s="233">
        <f>IF(K187=0,0,K282/K187)</f>
        <v>0.45736722029635057</v>
      </c>
      <c r="L283" s="233">
        <f>IF(L187=0,0,L282/L187)</f>
        <v>0</v>
      </c>
      <c r="M283" s="234">
        <f>IF(SUM(J187:L187)=0,0,SUM(J282:L282)/SUM(J187:L187))</f>
        <v>0.54416597008073619</v>
      </c>
      <c r="N283" s="233">
        <f>IF(N187=0,0,N282/N187)</f>
        <v>0</v>
      </c>
      <c r="O283" s="233">
        <f>IF(O187=0,0,O282/O187)</f>
        <v>0</v>
      </c>
      <c r="P283" s="233">
        <f>IF(P187=0,0,P282/P187)</f>
        <v>0</v>
      </c>
      <c r="Q283" s="234">
        <f>IF(SUM(N187:P187)=0,0,SUM(N282:P282)/SUM(N187:P187))</f>
        <v>0</v>
      </c>
      <c r="R283" s="233">
        <f>IF(R187=0,0,R282/R187)</f>
        <v>0</v>
      </c>
      <c r="S283" s="233">
        <f>IF(S187=0,0,S282/S187)</f>
        <v>0</v>
      </c>
      <c r="T283" s="233">
        <f>IF(T187=0,0,T282/T187)</f>
        <v>0</v>
      </c>
      <c r="U283" s="234">
        <f>IF(SUM(R187:T187)=0,0,SUM(R282:T282)/SUM(R187:T187))</f>
        <v>0</v>
      </c>
      <c r="V283" s="233">
        <f>IF(V187=0,0,V282/V187)</f>
        <v>0</v>
      </c>
      <c r="W283" s="233">
        <f>IF(W187=0,0,W282/W187)</f>
        <v>0</v>
      </c>
      <c r="X283" s="233">
        <f>IF(X187=0,0,X282/X187)</f>
        <v>0</v>
      </c>
      <c r="Y283" s="234">
        <f>IF(SUM(V187:X187)=0,0,SUM(V282:X282)/SUM(V187:X187))</f>
        <v>0</v>
      </c>
    </row>
    <row r="284" spans="1:25" ht="12.75" hidden="1" customHeight="1" outlineLevel="1" x14ac:dyDescent="0.2">
      <c r="A284" s="188" t="str">
        <f>"   "&amp;Labels!B386</f>
        <v xml:space="preserve">   Prof Level 2</v>
      </c>
      <c r="B284" s="31"/>
      <c r="C284" s="31"/>
      <c r="D284" s="31"/>
      <c r="E284" s="188"/>
      <c r="F284" s="31"/>
      <c r="G284" s="31"/>
      <c r="H284" s="31"/>
      <c r="I284" s="188"/>
      <c r="J284" s="31"/>
      <c r="K284" s="31"/>
      <c r="L284" s="31"/>
      <c r="M284" s="188"/>
      <c r="N284" s="31"/>
      <c r="O284" s="31"/>
      <c r="P284" s="31"/>
      <c r="Q284" s="188"/>
      <c r="R284" s="31"/>
      <c r="S284" s="31"/>
      <c r="T284" s="31"/>
      <c r="U284" s="188"/>
      <c r="V284" s="31"/>
      <c r="W284" s="31"/>
      <c r="X284" s="31"/>
      <c r="Y284" s="188"/>
    </row>
    <row r="285" spans="1:25" ht="12.75" hidden="1" customHeight="1" outlineLevel="1" x14ac:dyDescent="0.2">
      <c r="A285" s="198" t="str">
        <f>"      "&amp;Labels!B98</f>
        <v xml:space="preserve">      Gross Margin</v>
      </c>
      <c r="B285" s="226">
        <f>SUM(B265,B275)</f>
        <v>0</v>
      </c>
      <c r="C285" s="226">
        <f>SUM(C265,C275)</f>
        <v>0</v>
      </c>
      <c r="D285" s="226">
        <f>SUM(D265,D275)</f>
        <v>55000</v>
      </c>
      <c r="E285" s="227">
        <f>SUM(B285:D285)</f>
        <v>55000</v>
      </c>
      <c r="F285" s="226">
        <f>SUM(F265,F275)</f>
        <v>55000</v>
      </c>
      <c r="G285" s="226">
        <f>SUM(G265,G275)</f>
        <v>0</v>
      </c>
      <c r="H285" s="226">
        <f>SUM(H265,H275)</f>
        <v>40000</v>
      </c>
      <c r="I285" s="227">
        <f>SUM(F285:H285)</f>
        <v>95000</v>
      </c>
      <c r="J285" s="226">
        <f>SUM(J265,J275)</f>
        <v>25869.553514469997</v>
      </c>
      <c r="K285" s="226">
        <f>SUM(K265,K275)</f>
        <v>18752.056032150373</v>
      </c>
      <c r="L285" s="226">
        <f>SUM(L265,L275)</f>
        <v>0</v>
      </c>
      <c r="M285" s="227">
        <f>SUM(J285:L285)</f>
        <v>44621.60954662037</v>
      </c>
      <c r="N285" s="226">
        <f>SUM(N265,N275)</f>
        <v>0</v>
      </c>
      <c r="O285" s="226">
        <f>SUM(O265,O275)</f>
        <v>0</v>
      </c>
      <c r="P285" s="226">
        <f>SUM(P265,P275)</f>
        <v>0</v>
      </c>
      <c r="Q285" s="227">
        <f>SUM(N285:P285)</f>
        <v>0</v>
      </c>
      <c r="R285" s="226">
        <f>SUM(R265,R275)</f>
        <v>0</v>
      </c>
      <c r="S285" s="226">
        <f>SUM(S265,S275)</f>
        <v>0</v>
      </c>
      <c r="T285" s="226">
        <f>SUM(T265,T275)</f>
        <v>0</v>
      </c>
      <c r="U285" s="227">
        <f>SUM(R285:T285)</f>
        <v>0</v>
      </c>
      <c r="V285" s="226">
        <f>SUM(V265,V275)</f>
        <v>0</v>
      </c>
      <c r="W285" s="226">
        <f>SUM(W265,W275)</f>
        <v>0</v>
      </c>
      <c r="X285" s="226">
        <f>SUM(X265,X275)</f>
        <v>0</v>
      </c>
      <c r="Y285" s="227">
        <f>SUM(V285:X285)</f>
        <v>0</v>
      </c>
    </row>
    <row r="286" spans="1:25" ht="12.75" hidden="1" customHeight="1" outlineLevel="1" x14ac:dyDescent="0.2">
      <c r="A286" s="198" t="str">
        <f>"      "&amp;Labels!B100</f>
        <v xml:space="preserve">      Gross Margin %</v>
      </c>
      <c r="B286" s="233">
        <f>IF(B188=0,0,B285/B188)</f>
        <v>0</v>
      </c>
      <c r="C286" s="233">
        <f>IF(C188=0,0,C285/C188)</f>
        <v>0</v>
      </c>
      <c r="D286" s="233">
        <f>IF(D188=0,0,D285/D188)</f>
        <v>0.97560975609756095</v>
      </c>
      <c r="E286" s="234">
        <f>IF(SUM(B188:D188)=0,0,SUM(B285:D285)/SUM(B188:D188))</f>
        <v>0.97560975609756095</v>
      </c>
      <c r="F286" s="233">
        <f>IF(F188=0,0,F285/F188)</f>
        <v>0.97560975609756095</v>
      </c>
      <c r="G286" s="233">
        <f>IF(G188=0,0,G285/G188)</f>
        <v>0</v>
      </c>
      <c r="H286" s="233">
        <f>IF(H188=0,0,H285/H188)</f>
        <v>0.97560975609756095</v>
      </c>
      <c r="I286" s="234">
        <f>IF(SUM(F188:H188)=0,0,SUM(F285:H285)/SUM(F188:H188))</f>
        <v>0.97560975609756095</v>
      </c>
      <c r="J286" s="233">
        <f>IF(J188=0,0,J285/J188)</f>
        <v>0.63096471986512193</v>
      </c>
      <c r="K286" s="233">
        <f>IF(K188=0,0,K285/K188)</f>
        <v>0.45736722029635057</v>
      </c>
      <c r="L286" s="233">
        <f>IF(L188=0,0,L285/L188)</f>
        <v>0</v>
      </c>
      <c r="M286" s="234">
        <f>IF(SUM(J188:L188)=0,0,SUM(J285:L285)/SUM(J188:L188))</f>
        <v>0.54416597008073619</v>
      </c>
      <c r="N286" s="233">
        <f>IF(N188=0,0,N285/N188)</f>
        <v>0</v>
      </c>
      <c r="O286" s="233">
        <f>IF(O188=0,0,O285/O188)</f>
        <v>0</v>
      </c>
      <c r="P286" s="233">
        <f>IF(P188=0,0,P285/P188)</f>
        <v>0</v>
      </c>
      <c r="Q286" s="234">
        <f>IF(SUM(N188:P188)=0,0,SUM(N285:P285)/SUM(N188:P188))</f>
        <v>0</v>
      </c>
      <c r="R286" s="233">
        <f>IF(R188=0,0,R285/R188)</f>
        <v>0</v>
      </c>
      <c r="S286" s="233">
        <f>IF(S188=0,0,S285/S188)</f>
        <v>0</v>
      </c>
      <c r="T286" s="233">
        <f>IF(T188=0,0,T285/T188)</f>
        <v>0</v>
      </c>
      <c r="U286" s="234">
        <f>IF(SUM(R188:T188)=0,0,SUM(R285:T285)/SUM(R188:T188))</f>
        <v>0</v>
      </c>
      <c r="V286" s="233">
        <f>IF(V188=0,0,V285/V188)</f>
        <v>0</v>
      </c>
      <c r="W286" s="233">
        <f>IF(W188=0,0,W285/W188)</f>
        <v>0</v>
      </c>
      <c r="X286" s="233">
        <f>IF(X188=0,0,X285/X188)</f>
        <v>0</v>
      </c>
      <c r="Y286" s="234">
        <f>IF(SUM(V188:X188)=0,0,SUM(V285:X285)/SUM(V188:X188))</f>
        <v>0</v>
      </c>
    </row>
    <row r="287" spans="1:25" ht="12.75" hidden="1" customHeight="1" outlineLevel="1" x14ac:dyDescent="0.2">
      <c r="A287" s="191" t="str">
        <f>"   "&amp;Labels!C384</f>
        <v xml:space="preserve">   Total</v>
      </c>
      <c r="B287" s="3"/>
      <c r="C287" s="3"/>
      <c r="D287" s="3"/>
      <c r="E287" s="191"/>
      <c r="F287" s="3"/>
      <c r="G287" s="3"/>
      <c r="H287" s="3"/>
      <c r="I287" s="191"/>
      <c r="J287" s="3"/>
      <c r="K287" s="3"/>
      <c r="L287" s="3"/>
      <c r="M287" s="191"/>
      <c r="N287" s="3"/>
      <c r="O287" s="3"/>
      <c r="P287" s="3"/>
      <c r="Q287" s="191"/>
      <c r="R287" s="3"/>
      <c r="S287" s="3"/>
      <c r="T287" s="3"/>
      <c r="U287" s="191"/>
      <c r="V287" s="3"/>
      <c r="W287" s="3"/>
      <c r="X287" s="3"/>
      <c r="Y287" s="191"/>
    </row>
    <row r="288" spans="1:25" ht="12.75" hidden="1" customHeight="1" outlineLevel="1" x14ac:dyDescent="0.2">
      <c r="A288" s="198" t="str">
        <f>"      "&amp;Labels!B98</f>
        <v xml:space="preserve">      Gross Margin</v>
      </c>
      <c r="B288" s="226">
        <f>SUM(B268,B278)</f>
        <v>0</v>
      </c>
      <c r="C288" s="226">
        <f>SUM(C268,C278)</f>
        <v>0</v>
      </c>
      <c r="D288" s="226">
        <f>SUM(D268,D278)</f>
        <v>110000</v>
      </c>
      <c r="E288" s="227">
        <f>SUM(B288:D288)</f>
        <v>110000</v>
      </c>
      <c r="F288" s="226">
        <f>SUM(F268,F278)</f>
        <v>110000</v>
      </c>
      <c r="G288" s="226">
        <f>SUM(G268,G278)</f>
        <v>0</v>
      </c>
      <c r="H288" s="226">
        <f>SUM(H268,H278)</f>
        <v>80000</v>
      </c>
      <c r="I288" s="227">
        <f>SUM(F288:H288)</f>
        <v>190000</v>
      </c>
      <c r="J288" s="226">
        <f>SUM(J268,J278)</f>
        <v>51739.107028939994</v>
      </c>
      <c r="K288" s="226">
        <f>SUM(K268,K278)</f>
        <v>37504.112064300745</v>
      </c>
      <c r="L288" s="226">
        <f>SUM(L268,L278)</f>
        <v>0</v>
      </c>
      <c r="M288" s="227">
        <f>SUM(J288:L288)</f>
        <v>89243.219093240739</v>
      </c>
      <c r="N288" s="226">
        <f>SUM(N268,N278)</f>
        <v>0</v>
      </c>
      <c r="O288" s="226">
        <f>SUM(O268,O278)</f>
        <v>0</v>
      </c>
      <c r="P288" s="226">
        <f>SUM(P268,P278)</f>
        <v>0</v>
      </c>
      <c r="Q288" s="227">
        <f>SUM(N288:P288)</f>
        <v>0</v>
      </c>
      <c r="R288" s="226">
        <f>SUM(R268,R278)</f>
        <v>0</v>
      </c>
      <c r="S288" s="226">
        <f>SUM(S268,S278)</f>
        <v>0</v>
      </c>
      <c r="T288" s="226">
        <f>SUM(T268,T278)</f>
        <v>0</v>
      </c>
      <c r="U288" s="227">
        <f>SUM(R288:T288)</f>
        <v>0</v>
      </c>
      <c r="V288" s="226">
        <f>SUM(V268,V278)</f>
        <v>0</v>
      </c>
      <c r="W288" s="226">
        <f>SUM(W268,W278)</f>
        <v>0</v>
      </c>
      <c r="X288" s="226">
        <f>SUM(X268,X278)</f>
        <v>0</v>
      </c>
      <c r="Y288" s="227">
        <f>SUM(V288:X288)</f>
        <v>0</v>
      </c>
    </row>
    <row r="289" spans="1:25" ht="12.75" hidden="1" customHeight="1" outlineLevel="1" x14ac:dyDescent="0.2">
      <c r="A289" s="230" t="str">
        <f>"      "&amp;Labels!B100</f>
        <v xml:space="preserve">      Gross Margin %</v>
      </c>
      <c r="B289" s="235">
        <f>IF(B11=0,0,B288/B11)</f>
        <v>0</v>
      </c>
      <c r="C289" s="235">
        <f>IF(C11=0,0,C288/C11)</f>
        <v>0</v>
      </c>
      <c r="D289" s="235">
        <f>IF(D11=0,0,D288/D11)</f>
        <v>0.97560975609756095</v>
      </c>
      <c r="E289" s="236">
        <f>IF(SUM(B11:D11)=0,0,SUM(B288:D288)/SUM(B11:D11))</f>
        <v>0.97560975609756095</v>
      </c>
      <c r="F289" s="235">
        <f>IF(F11=0,0,F288/F11)</f>
        <v>0.97560975609756095</v>
      </c>
      <c r="G289" s="235">
        <f>IF(G11=0,0,G288/G11)</f>
        <v>0</v>
      </c>
      <c r="H289" s="235">
        <f>IF(H11=0,0,H288/H11)</f>
        <v>0.97560975609756095</v>
      </c>
      <c r="I289" s="236">
        <f>IF(SUM(F11:H11)=0,0,SUM(F288:H288)/SUM(F11:H11))</f>
        <v>0.97560975609756095</v>
      </c>
      <c r="J289" s="235">
        <f>IF(J11=0,0,J288/J11)</f>
        <v>0.63096471986512193</v>
      </c>
      <c r="K289" s="235">
        <f>IF(K11=0,0,K288/K11)</f>
        <v>0.45736722029635057</v>
      </c>
      <c r="L289" s="235">
        <f>IF(L11=0,0,L288/L11)</f>
        <v>0</v>
      </c>
      <c r="M289" s="236">
        <f>IF(SUM(J11:L11)=0,0,SUM(J288:L288)/SUM(J11:L11))</f>
        <v>0.54416597008073619</v>
      </c>
      <c r="N289" s="235">
        <f>IF(N11=0,0,N288/N11)</f>
        <v>0</v>
      </c>
      <c r="O289" s="235">
        <f>IF(O11=0,0,O288/O11)</f>
        <v>0</v>
      </c>
      <c r="P289" s="235">
        <f>IF(P11=0,0,P288/P11)</f>
        <v>0</v>
      </c>
      <c r="Q289" s="236">
        <f>IF(SUM(N11:P11)=0,0,SUM(N288:P288)/SUM(N11:P11))</f>
        <v>0</v>
      </c>
      <c r="R289" s="235">
        <f>IF(R11=0,0,R288/R11)</f>
        <v>0</v>
      </c>
      <c r="S289" s="235">
        <f>IF(S11=0,0,S288/S11)</f>
        <v>0</v>
      </c>
      <c r="T289" s="235">
        <f>IF(T11=0,0,T288/T11)</f>
        <v>0</v>
      </c>
      <c r="U289" s="236">
        <f>IF(SUM(R11:T11)=0,0,SUM(R288:T288)/SUM(R11:T11))</f>
        <v>0</v>
      </c>
      <c r="V289" s="235">
        <f>IF(V11=0,0,V288/V11)</f>
        <v>0</v>
      </c>
      <c r="W289" s="235">
        <f>IF(W11=0,0,W288/W11)</f>
        <v>0</v>
      </c>
      <c r="X289" s="235">
        <f>IF(X11=0,0,X288/X11)</f>
        <v>0</v>
      </c>
      <c r="Y289" s="236">
        <f>IF(SUM(V11:X11)=0,0,SUM(V288:X288)/SUM(V11:X11))</f>
        <v>0</v>
      </c>
    </row>
    <row r="290" spans="1:25" ht="12.75" hidden="1" customHeight="1" outlineLevel="1" x14ac:dyDescent="0.2"/>
    <row r="291" spans="1:25" ht="12.75" hidden="1" customHeight="1" outlineLevel="1" x14ac:dyDescent="0.2">
      <c r="A291" s="3" t="str">
        <f>"Billed Hours"</f>
        <v>Billed Hours</v>
      </c>
    </row>
    <row r="292" spans="1:25" ht="12.75" hidden="1" customHeight="1" outlineLevel="2" x14ac:dyDescent="0.2">
      <c r="A292" s="3" t="str">
        <f>" "</f>
        <v xml:space="preserve"> </v>
      </c>
    </row>
    <row r="293" spans="1:25" ht="12.75" hidden="1" customHeight="1" outlineLevel="2" x14ac:dyDescent="0.2">
      <c r="B293" s="9" t="str">
        <f>'(FnCalls 1)'!F41</f>
        <v>MMM 2010</v>
      </c>
      <c r="C293" s="10" t="str">
        <f>'(FnCalls 1)'!F42</f>
        <v>MMM 2010</v>
      </c>
      <c r="D293" s="10" t="str">
        <f>'(FnCalls 1)'!F43</f>
        <v>MMM 2010</v>
      </c>
      <c r="E293" s="181" t="str">
        <f>'(FnCalls 1)'!G41</f>
        <v>Q1 2010</v>
      </c>
      <c r="F293" s="10" t="str">
        <f>'(FnCalls 1)'!F44</f>
        <v>MMM 2010</v>
      </c>
      <c r="G293" s="10" t="str">
        <f>'(FnCalls 1)'!F45</f>
        <v>MMM 2010</v>
      </c>
      <c r="H293" s="10" t="str">
        <f>'(FnCalls 1)'!F46</f>
        <v>MMM 2010</v>
      </c>
      <c r="I293" s="181" t="str">
        <f>'(FnCalls 1)'!G44</f>
        <v>Q2 2010</v>
      </c>
      <c r="J293" s="10" t="str">
        <f>'(FnCalls 1)'!F47</f>
        <v>MMM 2010</v>
      </c>
      <c r="K293" s="10" t="str">
        <f>'(FnCalls 1)'!F48</f>
        <v>MMM 2010</v>
      </c>
      <c r="L293" s="10" t="str">
        <f>'(FnCalls 1)'!F49</f>
        <v>MMM 2010</v>
      </c>
      <c r="M293" s="181" t="str">
        <f>'(FnCalls 1)'!G47</f>
        <v>Q3 2010</v>
      </c>
      <c r="N293" s="10" t="str">
        <f>'(FnCalls 1)'!F50</f>
        <v>MMM 2010</v>
      </c>
      <c r="O293" s="10" t="str">
        <f>'(FnCalls 1)'!F51</f>
        <v>MMM 2010</v>
      </c>
      <c r="P293" s="10" t="str">
        <f>'(FnCalls 1)'!F52</f>
        <v>MMM 2010</v>
      </c>
      <c r="Q293" s="181" t="str">
        <f>'(FnCalls 1)'!G50</f>
        <v>Q4 2010</v>
      </c>
      <c r="R293" s="10" t="str">
        <f>'(FnCalls 1)'!F53</f>
        <v>MMM 2011</v>
      </c>
      <c r="S293" s="10" t="str">
        <f>'(FnCalls 1)'!F54</f>
        <v>MMM 2011</v>
      </c>
      <c r="T293" s="10" t="str">
        <f>'(FnCalls 1)'!F55</f>
        <v>MMM 2011</v>
      </c>
      <c r="U293" s="181" t="str">
        <f>'(FnCalls 1)'!G53</f>
        <v>Q1 2011</v>
      </c>
      <c r="V293" s="10" t="str">
        <f>'(FnCalls 1)'!F56</f>
        <v>MMM 2011</v>
      </c>
      <c r="W293" s="10" t="str">
        <f>'(FnCalls 1)'!F57</f>
        <v>MMM 2011</v>
      </c>
      <c r="X293" s="10" t="str">
        <f>'(FnCalls 1)'!F58</f>
        <v>MMM 2011</v>
      </c>
      <c r="Y293" s="181" t="str">
        <f>'(FnCalls 1)'!G56</f>
        <v>Q2 2011</v>
      </c>
    </row>
    <row r="294" spans="1:25" ht="12.75" hidden="1" customHeight="1" outlineLevel="2" x14ac:dyDescent="0.2">
      <c r="A294" s="182" t="str">
        <f>Labels!B182</f>
        <v>Prof Staff Hours Billed</v>
      </c>
      <c r="B294" s="223"/>
      <c r="C294" s="223"/>
      <c r="D294" s="223"/>
      <c r="E294" s="224"/>
      <c r="F294" s="223"/>
      <c r="G294" s="223"/>
      <c r="H294" s="223"/>
      <c r="I294" s="224"/>
      <c r="J294" s="223"/>
      <c r="K294" s="223"/>
      <c r="L294" s="223"/>
      <c r="M294" s="224"/>
      <c r="N294" s="223"/>
      <c r="O294" s="223"/>
      <c r="P294" s="223"/>
      <c r="Q294" s="224"/>
      <c r="R294" s="223"/>
      <c r="S294" s="223"/>
      <c r="T294" s="223"/>
      <c r="U294" s="224"/>
      <c r="V294" s="223"/>
      <c r="W294" s="223"/>
      <c r="X294" s="223"/>
      <c r="Y294" s="224"/>
    </row>
    <row r="295" spans="1:25" ht="12.75" hidden="1" customHeight="1" outlineLevel="2" x14ac:dyDescent="0.2">
      <c r="A295" s="188" t="str">
        <f>"   "&amp;Labels!B381</f>
        <v xml:space="preserve">   Practice 1</v>
      </c>
      <c r="B295" s="166"/>
      <c r="C295" s="166"/>
      <c r="D295" s="166"/>
      <c r="E295" s="225"/>
      <c r="F295" s="166"/>
      <c r="G295" s="166"/>
      <c r="H295" s="166"/>
      <c r="I295" s="225"/>
      <c r="J295" s="166"/>
      <c r="K295" s="166"/>
      <c r="L295" s="166"/>
      <c r="M295" s="225"/>
      <c r="N295" s="166"/>
      <c r="O295" s="166"/>
      <c r="P295" s="166"/>
      <c r="Q295" s="225"/>
      <c r="R295" s="166"/>
      <c r="S295" s="166"/>
      <c r="T295" s="166"/>
      <c r="U295" s="225"/>
      <c r="V295" s="166"/>
      <c r="W295" s="166"/>
      <c r="X295" s="166"/>
      <c r="Y295" s="225"/>
    </row>
    <row r="296" spans="1:25" ht="12.75" hidden="1" customHeight="1" outlineLevel="2" x14ac:dyDescent="0.2">
      <c r="A296" s="198" t="str">
        <f>"      "&amp;Labels!B385</f>
        <v xml:space="preserve">      Prof Level 1</v>
      </c>
      <c r="B296" s="237">
        <f>SUM(Sales!B184:B185)</f>
        <v>0</v>
      </c>
      <c r="C296" s="237">
        <f>SUM(Sales!C184:C185)</f>
        <v>0</v>
      </c>
      <c r="D296" s="237">
        <f>SUM(Sales!D184:D185)</f>
        <v>275</v>
      </c>
      <c r="E296" s="238">
        <f>SUM(B296:D296)</f>
        <v>275</v>
      </c>
      <c r="F296" s="237">
        <f>SUM(Sales!F184:F185)</f>
        <v>275</v>
      </c>
      <c r="G296" s="237">
        <f>SUM(Sales!G184:G185)</f>
        <v>0</v>
      </c>
      <c r="H296" s="237">
        <f>SUM(Sales!H184:H185)</f>
        <v>200</v>
      </c>
      <c r="I296" s="238">
        <f>SUM(F296:H296)</f>
        <v>475</v>
      </c>
      <c r="J296" s="237">
        <f>SUM(Sales!J184:J185)</f>
        <v>200</v>
      </c>
      <c r="K296" s="237">
        <f>SUM(Sales!K184:K185)</f>
        <v>200</v>
      </c>
      <c r="L296" s="237">
        <f>SUM(Sales!L184:L185)</f>
        <v>0</v>
      </c>
      <c r="M296" s="238">
        <f>SUM(J296:L296)</f>
        <v>400</v>
      </c>
      <c r="N296" s="237">
        <f>SUM(Sales!N184:N185)</f>
        <v>0</v>
      </c>
      <c r="O296" s="237">
        <f>SUM(Sales!O184:O185)</f>
        <v>0</v>
      </c>
      <c r="P296" s="237">
        <f>SUM(Sales!P184:P185)</f>
        <v>0</v>
      </c>
      <c r="Q296" s="238">
        <f>SUM(N296:P296)</f>
        <v>0</v>
      </c>
      <c r="R296" s="237">
        <f>SUM(Sales!R184:R185)</f>
        <v>0</v>
      </c>
      <c r="S296" s="237">
        <f>SUM(Sales!S184:S185)</f>
        <v>0</v>
      </c>
      <c r="T296" s="237">
        <f>SUM(Sales!T184:T185)</f>
        <v>0</v>
      </c>
      <c r="U296" s="238">
        <f>SUM(R296:T296)</f>
        <v>0</v>
      </c>
      <c r="V296" s="237">
        <f>SUM(Sales!V184:V185)</f>
        <v>0</v>
      </c>
      <c r="W296" s="237">
        <f>SUM(Sales!W184:W185)</f>
        <v>0</v>
      </c>
      <c r="X296" s="237">
        <f>SUM(Sales!X184:X185)</f>
        <v>0</v>
      </c>
      <c r="Y296" s="238">
        <f>SUM(V296:X296)</f>
        <v>0</v>
      </c>
    </row>
    <row r="297" spans="1:25" ht="12.75" hidden="1" customHeight="1" outlineLevel="2" x14ac:dyDescent="0.2">
      <c r="A297" s="198" t="str">
        <f>"      "&amp;Labels!B386</f>
        <v xml:space="preserve">      Prof Level 2</v>
      </c>
      <c r="B297" s="237">
        <f>SUM(Sales!B188:B189)</f>
        <v>0</v>
      </c>
      <c r="C297" s="237">
        <f>SUM(Sales!C188:C189)</f>
        <v>0</v>
      </c>
      <c r="D297" s="237">
        <f>SUM(Sales!D188:D189)</f>
        <v>275</v>
      </c>
      <c r="E297" s="238">
        <f>SUM(B297:D297)</f>
        <v>275</v>
      </c>
      <c r="F297" s="237">
        <f>SUM(Sales!F188:F189)</f>
        <v>275</v>
      </c>
      <c r="G297" s="237">
        <f>SUM(Sales!G188:G189)</f>
        <v>0</v>
      </c>
      <c r="H297" s="237">
        <f>SUM(Sales!H188:H189)</f>
        <v>200</v>
      </c>
      <c r="I297" s="238">
        <f>SUM(F297:H297)</f>
        <v>475</v>
      </c>
      <c r="J297" s="237">
        <f>SUM(Sales!J188:J189)</f>
        <v>200</v>
      </c>
      <c r="K297" s="237">
        <f>SUM(Sales!K188:K189)</f>
        <v>200</v>
      </c>
      <c r="L297" s="237">
        <f>SUM(Sales!L188:L189)</f>
        <v>0</v>
      </c>
      <c r="M297" s="238">
        <f>SUM(J297:L297)</f>
        <v>400</v>
      </c>
      <c r="N297" s="237">
        <f>SUM(Sales!N188:N189)</f>
        <v>0</v>
      </c>
      <c r="O297" s="237">
        <f>SUM(Sales!O188:O189)</f>
        <v>0</v>
      </c>
      <c r="P297" s="237">
        <f>SUM(Sales!P188:P189)</f>
        <v>0</v>
      </c>
      <c r="Q297" s="238">
        <f>SUM(N297:P297)</f>
        <v>0</v>
      </c>
      <c r="R297" s="237">
        <f>SUM(Sales!R188:R189)</f>
        <v>0</v>
      </c>
      <c r="S297" s="237">
        <f>SUM(Sales!S188:S189)</f>
        <v>0</v>
      </c>
      <c r="T297" s="237">
        <f>SUM(Sales!T188:T189)</f>
        <v>0</v>
      </c>
      <c r="U297" s="238">
        <f>SUM(R297:T297)</f>
        <v>0</v>
      </c>
      <c r="V297" s="237">
        <f>SUM(Sales!V188:V189)</f>
        <v>0</v>
      </c>
      <c r="W297" s="237">
        <f>SUM(Sales!W188:W189)</f>
        <v>0</v>
      </c>
      <c r="X297" s="237">
        <f>SUM(Sales!X188:X189)</f>
        <v>0</v>
      </c>
      <c r="Y297" s="238">
        <f>SUM(V297:X297)</f>
        <v>0</v>
      </c>
    </row>
    <row r="298" spans="1:25" ht="12.75" hidden="1" customHeight="1" outlineLevel="2" x14ac:dyDescent="0.2">
      <c r="A298" s="188" t="str">
        <f>"      "&amp;Labels!C384</f>
        <v xml:space="preserve">      Total</v>
      </c>
      <c r="B298" s="166">
        <f>SUM(B146:B147)</f>
        <v>0</v>
      </c>
      <c r="C298" s="166">
        <f>SUM(C146:C147)</f>
        <v>0</v>
      </c>
      <c r="D298" s="166">
        <f>SUM(D146:D147)</f>
        <v>550</v>
      </c>
      <c r="E298" s="225">
        <f>SUM(B298:D298)</f>
        <v>550</v>
      </c>
      <c r="F298" s="166">
        <f>SUM(F146:F147)</f>
        <v>550</v>
      </c>
      <c r="G298" s="166">
        <f>SUM(G146:G147)</f>
        <v>0</v>
      </c>
      <c r="H298" s="166">
        <f>SUM(H146:H147)</f>
        <v>400</v>
      </c>
      <c r="I298" s="225">
        <f>SUM(F298:H298)</f>
        <v>950</v>
      </c>
      <c r="J298" s="166">
        <f>SUM(J146:J147)</f>
        <v>400</v>
      </c>
      <c r="K298" s="166">
        <f>SUM(K146:K147)</f>
        <v>400</v>
      </c>
      <c r="L298" s="166">
        <f>SUM(L146:L147)</f>
        <v>0</v>
      </c>
      <c r="M298" s="225">
        <f>SUM(J298:L298)</f>
        <v>800</v>
      </c>
      <c r="N298" s="166">
        <f>SUM(N146:N147)</f>
        <v>0</v>
      </c>
      <c r="O298" s="166">
        <f>SUM(O146:O147)</f>
        <v>0</v>
      </c>
      <c r="P298" s="166">
        <f>SUM(P146:P147)</f>
        <v>0</v>
      </c>
      <c r="Q298" s="225">
        <f>SUM(N298:P298)</f>
        <v>0</v>
      </c>
      <c r="R298" s="166">
        <f>SUM(R146:R147)</f>
        <v>0</v>
      </c>
      <c r="S298" s="166">
        <f>SUM(S146:S147)</f>
        <v>0</v>
      </c>
      <c r="T298" s="166">
        <f>SUM(T146:T147)</f>
        <v>0</v>
      </c>
      <c r="U298" s="225">
        <f>SUM(R298:T298)</f>
        <v>0</v>
      </c>
      <c r="V298" s="166">
        <f>SUM(V146:V147)</f>
        <v>0</v>
      </c>
      <c r="W298" s="166">
        <f>SUM(W146:W147)</f>
        <v>0</v>
      </c>
      <c r="X298" s="166">
        <f>SUM(X146:X147)</f>
        <v>0</v>
      </c>
      <c r="Y298" s="225">
        <f>SUM(V298:X298)</f>
        <v>0</v>
      </c>
    </row>
    <row r="299" spans="1:25" ht="12.75" hidden="1" customHeight="1" outlineLevel="2" x14ac:dyDescent="0.2">
      <c r="A299" s="188" t="str">
        <f>"   "&amp;Labels!B382</f>
        <v xml:space="preserve">   Practice 2</v>
      </c>
      <c r="B299" s="166"/>
      <c r="C299" s="166"/>
      <c r="D299" s="166"/>
      <c r="E299" s="225"/>
      <c r="F299" s="166"/>
      <c r="G299" s="166"/>
      <c r="H299" s="166"/>
      <c r="I299" s="225"/>
      <c r="J299" s="166"/>
      <c r="K299" s="166"/>
      <c r="L299" s="166"/>
      <c r="M299" s="225"/>
      <c r="N299" s="166"/>
      <c r="O299" s="166"/>
      <c r="P299" s="166"/>
      <c r="Q299" s="225"/>
      <c r="R299" s="166"/>
      <c r="S299" s="166"/>
      <c r="T299" s="166"/>
      <c r="U299" s="225"/>
      <c r="V299" s="166"/>
      <c r="W299" s="166"/>
      <c r="X299" s="166"/>
      <c r="Y299" s="225"/>
    </row>
    <row r="300" spans="1:25" ht="12.75" hidden="1" customHeight="1" outlineLevel="2" x14ac:dyDescent="0.2">
      <c r="A300" s="198" t="str">
        <f>"      "&amp;Labels!B385</f>
        <v xml:space="preserve">      Prof Level 1</v>
      </c>
      <c r="B300" s="237">
        <f>SUM(Sales!B197:B198)</f>
        <v>0</v>
      </c>
      <c r="C300" s="237">
        <f>SUM(Sales!C197:C198)</f>
        <v>0</v>
      </c>
      <c r="D300" s="237">
        <f>SUM(Sales!D197:D198)</f>
        <v>0</v>
      </c>
      <c r="E300" s="238">
        <f t="shared" ref="E300:E305" si="161">SUM(B300:D300)</f>
        <v>0</v>
      </c>
      <c r="F300" s="237">
        <f>SUM(Sales!F197:F198)</f>
        <v>0</v>
      </c>
      <c r="G300" s="237">
        <f>SUM(Sales!G197:G198)</f>
        <v>0</v>
      </c>
      <c r="H300" s="237">
        <f>SUM(Sales!H197:H198)</f>
        <v>0</v>
      </c>
      <c r="I300" s="238">
        <f t="shared" ref="I300:I305" si="162">SUM(F300:H300)</f>
        <v>0</v>
      </c>
      <c r="J300" s="237">
        <f>SUM(Sales!J197:J198)</f>
        <v>0</v>
      </c>
      <c r="K300" s="237">
        <f>SUM(Sales!K197:K198)</f>
        <v>0</v>
      </c>
      <c r="L300" s="237">
        <f>SUM(Sales!L197:L198)</f>
        <v>0</v>
      </c>
      <c r="M300" s="238">
        <f t="shared" ref="M300:M305" si="163">SUM(J300:L300)</f>
        <v>0</v>
      </c>
      <c r="N300" s="237">
        <f>SUM(Sales!N197:N198)</f>
        <v>0</v>
      </c>
      <c r="O300" s="237">
        <f>SUM(Sales!O197:O198)</f>
        <v>0</v>
      </c>
      <c r="P300" s="237">
        <f>SUM(Sales!P197:P198)</f>
        <v>0</v>
      </c>
      <c r="Q300" s="238">
        <f t="shared" ref="Q300:Q305" si="164">SUM(N300:P300)</f>
        <v>0</v>
      </c>
      <c r="R300" s="237">
        <f>SUM(Sales!R197:R198)</f>
        <v>0</v>
      </c>
      <c r="S300" s="237">
        <f>SUM(Sales!S197:S198)</f>
        <v>0</v>
      </c>
      <c r="T300" s="237">
        <f>SUM(Sales!T197:T198)</f>
        <v>0</v>
      </c>
      <c r="U300" s="238">
        <f t="shared" ref="U300:U305" si="165">SUM(R300:T300)</f>
        <v>0</v>
      </c>
      <c r="V300" s="237">
        <f>SUM(Sales!V197:V198)</f>
        <v>0</v>
      </c>
      <c r="W300" s="237">
        <f>SUM(Sales!W197:W198)</f>
        <v>0</v>
      </c>
      <c r="X300" s="237">
        <f>SUM(Sales!X197:X198)</f>
        <v>0</v>
      </c>
      <c r="Y300" s="238">
        <f t="shared" ref="Y300:Y305" si="166">SUM(V300:X300)</f>
        <v>0</v>
      </c>
    </row>
    <row r="301" spans="1:25" ht="12.75" hidden="1" customHeight="1" outlineLevel="2" x14ac:dyDescent="0.2">
      <c r="A301" s="198" t="str">
        <f>"      "&amp;Labels!B386</f>
        <v xml:space="preserve">      Prof Level 2</v>
      </c>
      <c r="B301" s="237">
        <f>SUM(Sales!B201:B202)</f>
        <v>0</v>
      </c>
      <c r="C301" s="237">
        <f>SUM(Sales!C201:C202)</f>
        <v>0</v>
      </c>
      <c r="D301" s="237">
        <f>SUM(Sales!D201:D202)</f>
        <v>0</v>
      </c>
      <c r="E301" s="238">
        <f t="shared" si="161"/>
        <v>0</v>
      </c>
      <c r="F301" s="237">
        <f>SUM(Sales!F201:F202)</f>
        <v>0</v>
      </c>
      <c r="G301" s="237">
        <f>SUM(Sales!G201:G202)</f>
        <v>0</v>
      </c>
      <c r="H301" s="237">
        <f>SUM(Sales!H201:H202)</f>
        <v>0</v>
      </c>
      <c r="I301" s="238">
        <f t="shared" si="162"/>
        <v>0</v>
      </c>
      <c r="J301" s="237">
        <f>SUM(Sales!J201:J202)</f>
        <v>0</v>
      </c>
      <c r="K301" s="237">
        <f>SUM(Sales!K201:K202)</f>
        <v>0</v>
      </c>
      <c r="L301" s="237">
        <f>SUM(Sales!L201:L202)</f>
        <v>0</v>
      </c>
      <c r="M301" s="238">
        <f t="shared" si="163"/>
        <v>0</v>
      </c>
      <c r="N301" s="237">
        <f>SUM(Sales!N201:N202)</f>
        <v>0</v>
      </c>
      <c r="O301" s="237">
        <f>SUM(Sales!O201:O202)</f>
        <v>0</v>
      </c>
      <c r="P301" s="237">
        <f>SUM(Sales!P201:P202)</f>
        <v>0</v>
      </c>
      <c r="Q301" s="238">
        <f t="shared" si="164"/>
        <v>0</v>
      </c>
      <c r="R301" s="237">
        <f>SUM(Sales!R201:R202)</f>
        <v>0</v>
      </c>
      <c r="S301" s="237">
        <f>SUM(Sales!S201:S202)</f>
        <v>0</v>
      </c>
      <c r="T301" s="237">
        <f>SUM(Sales!T201:T202)</f>
        <v>0</v>
      </c>
      <c r="U301" s="238">
        <f t="shared" si="165"/>
        <v>0</v>
      </c>
      <c r="V301" s="237">
        <f>SUM(Sales!V201:V202)</f>
        <v>0</v>
      </c>
      <c r="W301" s="237">
        <f>SUM(Sales!W201:W202)</f>
        <v>0</v>
      </c>
      <c r="X301" s="237">
        <f>SUM(Sales!X201:X202)</f>
        <v>0</v>
      </c>
      <c r="Y301" s="238">
        <f t="shared" si="166"/>
        <v>0</v>
      </c>
    </row>
    <row r="302" spans="1:25" ht="12.75" hidden="1" customHeight="1" outlineLevel="2" x14ac:dyDescent="0.2">
      <c r="A302" s="188" t="str">
        <f>"      "&amp;Labels!C384</f>
        <v xml:space="preserve">      Total</v>
      </c>
      <c r="B302" s="166">
        <f>SUM(B150:B151)</f>
        <v>0</v>
      </c>
      <c r="C302" s="166">
        <f>SUM(C150:C151)</f>
        <v>0</v>
      </c>
      <c r="D302" s="166">
        <f>SUM(D150:D151)</f>
        <v>0</v>
      </c>
      <c r="E302" s="225">
        <f t="shared" si="161"/>
        <v>0</v>
      </c>
      <c r="F302" s="166">
        <f>SUM(F150:F151)</f>
        <v>0</v>
      </c>
      <c r="G302" s="166">
        <f>SUM(G150:G151)</f>
        <v>0</v>
      </c>
      <c r="H302" s="166">
        <f>SUM(H150:H151)</f>
        <v>0</v>
      </c>
      <c r="I302" s="225">
        <f t="shared" si="162"/>
        <v>0</v>
      </c>
      <c r="J302" s="166">
        <f>SUM(J150:J151)</f>
        <v>0</v>
      </c>
      <c r="K302" s="166">
        <f>SUM(K150:K151)</f>
        <v>0</v>
      </c>
      <c r="L302" s="166">
        <f>SUM(L150:L151)</f>
        <v>0</v>
      </c>
      <c r="M302" s="225">
        <f t="shared" si="163"/>
        <v>0</v>
      </c>
      <c r="N302" s="166">
        <f>SUM(N150:N151)</f>
        <v>0</v>
      </c>
      <c r="O302" s="166">
        <f>SUM(O150:O151)</f>
        <v>0</v>
      </c>
      <c r="P302" s="166">
        <f>SUM(P150:P151)</f>
        <v>0</v>
      </c>
      <c r="Q302" s="225">
        <f t="shared" si="164"/>
        <v>0</v>
      </c>
      <c r="R302" s="166">
        <f>SUM(R150:R151)</f>
        <v>0</v>
      </c>
      <c r="S302" s="166">
        <f>SUM(S150:S151)</f>
        <v>0</v>
      </c>
      <c r="T302" s="166">
        <f>SUM(T150:T151)</f>
        <v>0</v>
      </c>
      <c r="U302" s="225">
        <f t="shared" si="165"/>
        <v>0</v>
      </c>
      <c r="V302" s="166">
        <f>SUM(V150:V151)</f>
        <v>0</v>
      </c>
      <c r="W302" s="166">
        <f>SUM(W150:W151)</f>
        <v>0</v>
      </c>
      <c r="X302" s="166">
        <f>SUM(X150:X151)</f>
        <v>0</v>
      </c>
      <c r="Y302" s="225">
        <f t="shared" si="166"/>
        <v>0</v>
      </c>
    </row>
    <row r="303" spans="1:25" ht="12.75" hidden="1" customHeight="1" outlineLevel="2" x14ac:dyDescent="0.2">
      <c r="A303" s="191" t="str">
        <f>"   "&amp;Labels!C380</f>
        <v xml:space="preserve">   Total</v>
      </c>
      <c r="B303" s="216">
        <f>SUM(B298,B302)</f>
        <v>0</v>
      </c>
      <c r="C303" s="216">
        <f>SUM(C298,C302)</f>
        <v>0</v>
      </c>
      <c r="D303" s="216">
        <f>SUM(D298,D302)</f>
        <v>550</v>
      </c>
      <c r="E303" s="217">
        <f t="shared" si="161"/>
        <v>550</v>
      </c>
      <c r="F303" s="216">
        <f>SUM(F298,F302)</f>
        <v>550</v>
      </c>
      <c r="G303" s="216">
        <f>SUM(G298,G302)</f>
        <v>0</v>
      </c>
      <c r="H303" s="216">
        <f>SUM(H298,H302)</f>
        <v>400</v>
      </c>
      <c r="I303" s="217">
        <f t="shared" si="162"/>
        <v>950</v>
      </c>
      <c r="J303" s="216">
        <f>SUM(J298,J302)</f>
        <v>400</v>
      </c>
      <c r="K303" s="216">
        <f>SUM(K298,K302)</f>
        <v>400</v>
      </c>
      <c r="L303" s="216">
        <f>SUM(L298,L302)</f>
        <v>0</v>
      </c>
      <c r="M303" s="217">
        <f t="shared" si="163"/>
        <v>800</v>
      </c>
      <c r="N303" s="216">
        <f>SUM(N298,N302)</f>
        <v>0</v>
      </c>
      <c r="O303" s="216">
        <f>SUM(O298,O302)</f>
        <v>0</v>
      </c>
      <c r="P303" s="216">
        <f>SUM(P298,P302)</f>
        <v>0</v>
      </c>
      <c r="Q303" s="217">
        <f t="shared" si="164"/>
        <v>0</v>
      </c>
      <c r="R303" s="216">
        <f>SUM(R298,R302)</f>
        <v>0</v>
      </c>
      <c r="S303" s="216">
        <f>SUM(S298,S302)</f>
        <v>0</v>
      </c>
      <c r="T303" s="216">
        <f>SUM(T298,T302)</f>
        <v>0</v>
      </c>
      <c r="U303" s="217">
        <f t="shared" si="165"/>
        <v>0</v>
      </c>
      <c r="V303" s="216">
        <f>SUM(V298,V302)</f>
        <v>0</v>
      </c>
      <c r="W303" s="216">
        <f>SUM(W298,W302)</f>
        <v>0</v>
      </c>
      <c r="X303" s="216">
        <f>SUM(X298,X302)</f>
        <v>0</v>
      </c>
      <c r="Y303" s="217">
        <f t="shared" si="166"/>
        <v>0</v>
      </c>
    </row>
    <row r="304" spans="1:25" ht="12.75" hidden="1" customHeight="1" outlineLevel="2" x14ac:dyDescent="0.2">
      <c r="A304" s="198" t="str">
        <f>"      "&amp;Labels!B385</f>
        <v xml:space="preserve">      Prof Level 1</v>
      </c>
      <c r="B304" s="237">
        <f t="shared" ref="B304:D306" si="167">SUM(B296,B300)</f>
        <v>0</v>
      </c>
      <c r="C304" s="237">
        <f t="shared" si="167"/>
        <v>0</v>
      </c>
      <c r="D304" s="237">
        <f t="shared" si="167"/>
        <v>275</v>
      </c>
      <c r="E304" s="238">
        <f t="shared" si="161"/>
        <v>275</v>
      </c>
      <c r="F304" s="237">
        <f t="shared" ref="F304:H306" si="168">SUM(F296,F300)</f>
        <v>275</v>
      </c>
      <c r="G304" s="237">
        <f t="shared" si="168"/>
        <v>0</v>
      </c>
      <c r="H304" s="237">
        <f t="shared" si="168"/>
        <v>200</v>
      </c>
      <c r="I304" s="238">
        <f t="shared" si="162"/>
        <v>475</v>
      </c>
      <c r="J304" s="237">
        <f t="shared" ref="J304:L306" si="169">SUM(J296,J300)</f>
        <v>200</v>
      </c>
      <c r="K304" s="237">
        <f t="shared" si="169"/>
        <v>200</v>
      </c>
      <c r="L304" s="237">
        <f t="shared" si="169"/>
        <v>0</v>
      </c>
      <c r="M304" s="238">
        <f t="shared" si="163"/>
        <v>400</v>
      </c>
      <c r="N304" s="237">
        <f t="shared" ref="N304:P306" si="170">SUM(N296,N300)</f>
        <v>0</v>
      </c>
      <c r="O304" s="237">
        <f t="shared" si="170"/>
        <v>0</v>
      </c>
      <c r="P304" s="237">
        <f t="shared" si="170"/>
        <v>0</v>
      </c>
      <c r="Q304" s="238">
        <f t="shared" si="164"/>
        <v>0</v>
      </c>
      <c r="R304" s="237">
        <f t="shared" ref="R304:T306" si="171">SUM(R296,R300)</f>
        <v>0</v>
      </c>
      <c r="S304" s="237">
        <f t="shared" si="171"/>
        <v>0</v>
      </c>
      <c r="T304" s="237">
        <f t="shared" si="171"/>
        <v>0</v>
      </c>
      <c r="U304" s="238">
        <f t="shared" si="165"/>
        <v>0</v>
      </c>
      <c r="V304" s="237">
        <f t="shared" ref="V304:X306" si="172">SUM(V296,V300)</f>
        <v>0</v>
      </c>
      <c r="W304" s="237">
        <f t="shared" si="172"/>
        <v>0</v>
      </c>
      <c r="X304" s="237">
        <f t="shared" si="172"/>
        <v>0</v>
      </c>
      <c r="Y304" s="238">
        <f t="shared" si="166"/>
        <v>0</v>
      </c>
    </row>
    <row r="305" spans="1:25" ht="12.75" hidden="1" customHeight="1" outlineLevel="2" x14ac:dyDescent="0.2">
      <c r="A305" s="198" t="str">
        <f>"      "&amp;Labels!B386</f>
        <v xml:space="preserve">      Prof Level 2</v>
      </c>
      <c r="B305" s="237">
        <f t="shared" si="167"/>
        <v>0</v>
      </c>
      <c r="C305" s="237">
        <f t="shared" si="167"/>
        <v>0</v>
      </c>
      <c r="D305" s="237">
        <f t="shared" si="167"/>
        <v>275</v>
      </c>
      <c r="E305" s="238">
        <f t="shared" si="161"/>
        <v>275</v>
      </c>
      <c r="F305" s="237">
        <f t="shared" si="168"/>
        <v>275</v>
      </c>
      <c r="G305" s="237">
        <f t="shared" si="168"/>
        <v>0</v>
      </c>
      <c r="H305" s="237">
        <f t="shared" si="168"/>
        <v>200</v>
      </c>
      <c r="I305" s="238">
        <f t="shared" si="162"/>
        <v>475</v>
      </c>
      <c r="J305" s="237">
        <f t="shared" si="169"/>
        <v>200</v>
      </c>
      <c r="K305" s="237">
        <f t="shared" si="169"/>
        <v>200</v>
      </c>
      <c r="L305" s="237">
        <f t="shared" si="169"/>
        <v>0</v>
      </c>
      <c r="M305" s="238">
        <f t="shared" si="163"/>
        <v>400</v>
      </c>
      <c r="N305" s="237">
        <f t="shared" si="170"/>
        <v>0</v>
      </c>
      <c r="O305" s="237">
        <f t="shared" si="170"/>
        <v>0</v>
      </c>
      <c r="P305" s="237">
        <f t="shared" si="170"/>
        <v>0</v>
      </c>
      <c r="Q305" s="238">
        <f t="shared" si="164"/>
        <v>0</v>
      </c>
      <c r="R305" s="237">
        <f t="shared" si="171"/>
        <v>0</v>
      </c>
      <c r="S305" s="237">
        <f t="shared" si="171"/>
        <v>0</v>
      </c>
      <c r="T305" s="237">
        <f t="shared" si="171"/>
        <v>0</v>
      </c>
      <c r="U305" s="238">
        <f t="shared" si="165"/>
        <v>0</v>
      </c>
      <c r="V305" s="237">
        <f t="shared" si="172"/>
        <v>0</v>
      </c>
      <c r="W305" s="237">
        <f t="shared" si="172"/>
        <v>0</v>
      </c>
      <c r="X305" s="237">
        <f t="shared" si="172"/>
        <v>0</v>
      </c>
      <c r="Y305" s="238">
        <f t="shared" si="166"/>
        <v>0</v>
      </c>
    </row>
    <row r="306" spans="1:25" ht="12.75" hidden="1" customHeight="1" outlineLevel="2" x14ac:dyDescent="0.2">
      <c r="A306" s="188" t="str">
        <f>"      "&amp;Labels!C384</f>
        <v xml:space="preserve">      Total</v>
      </c>
      <c r="B306" s="166">
        <f t="shared" si="167"/>
        <v>0</v>
      </c>
      <c r="C306" s="166">
        <f t="shared" si="167"/>
        <v>0</v>
      </c>
      <c r="D306" s="166">
        <f t="shared" si="167"/>
        <v>550</v>
      </c>
      <c r="E306" s="225">
        <f>SUM(B303:D303)</f>
        <v>550</v>
      </c>
      <c r="F306" s="166">
        <f t="shared" si="168"/>
        <v>550</v>
      </c>
      <c r="G306" s="166">
        <f t="shared" si="168"/>
        <v>0</v>
      </c>
      <c r="H306" s="166">
        <f t="shared" si="168"/>
        <v>400</v>
      </c>
      <c r="I306" s="225">
        <f>SUM(F303:H303)</f>
        <v>950</v>
      </c>
      <c r="J306" s="166">
        <f t="shared" si="169"/>
        <v>400</v>
      </c>
      <c r="K306" s="166">
        <f t="shared" si="169"/>
        <v>400</v>
      </c>
      <c r="L306" s="166">
        <f t="shared" si="169"/>
        <v>0</v>
      </c>
      <c r="M306" s="225">
        <f>SUM(J303:L303)</f>
        <v>800</v>
      </c>
      <c r="N306" s="166">
        <f t="shared" si="170"/>
        <v>0</v>
      </c>
      <c r="O306" s="166">
        <f t="shared" si="170"/>
        <v>0</v>
      </c>
      <c r="P306" s="166">
        <f t="shared" si="170"/>
        <v>0</v>
      </c>
      <c r="Q306" s="225">
        <f>SUM(N303:P303)</f>
        <v>0</v>
      </c>
      <c r="R306" s="166">
        <f t="shared" si="171"/>
        <v>0</v>
      </c>
      <c r="S306" s="166">
        <f t="shared" si="171"/>
        <v>0</v>
      </c>
      <c r="T306" s="166">
        <f t="shared" si="171"/>
        <v>0</v>
      </c>
      <c r="U306" s="225">
        <f>SUM(R303:T303)</f>
        <v>0</v>
      </c>
      <c r="V306" s="166">
        <f t="shared" si="172"/>
        <v>0</v>
      </c>
      <c r="W306" s="166">
        <f t="shared" si="172"/>
        <v>0</v>
      </c>
      <c r="X306" s="166">
        <f t="shared" si="172"/>
        <v>0</v>
      </c>
      <c r="Y306" s="225">
        <f>SUM(V303:X303)</f>
        <v>0</v>
      </c>
    </row>
    <row r="307" spans="1:25" ht="12.75" hidden="1" customHeight="1" outlineLevel="2" x14ac:dyDescent="0.2">
      <c r="A307" s="97"/>
      <c r="B307" s="6"/>
      <c r="C307" s="6"/>
      <c r="D307" s="6"/>
      <c r="E307" s="97"/>
      <c r="F307" s="6"/>
      <c r="G307" s="6"/>
      <c r="H307" s="6"/>
      <c r="I307" s="97"/>
      <c r="J307" s="6"/>
      <c r="K307" s="6"/>
      <c r="L307" s="6"/>
      <c r="M307" s="97"/>
      <c r="N307" s="6"/>
      <c r="O307" s="6"/>
      <c r="P307" s="6"/>
      <c r="Q307" s="97"/>
      <c r="R307" s="6"/>
      <c r="S307" s="6"/>
      <c r="T307" s="6"/>
      <c r="U307" s="97"/>
      <c r="V307" s="6"/>
      <c r="W307" s="6"/>
      <c r="X307" s="6"/>
      <c r="Y307" s="97"/>
    </row>
    <row r="308" spans="1:25" ht="12.75" hidden="1" customHeight="1" outlineLevel="2" x14ac:dyDescent="0.2">
      <c r="A308" s="191" t="str">
        <f>Labels!B187</f>
        <v>Billed Hours Growth</v>
      </c>
      <c r="B308" s="211"/>
      <c r="C308" s="211"/>
      <c r="D308" s="211"/>
      <c r="E308" s="210"/>
      <c r="F308" s="211"/>
      <c r="G308" s="211"/>
      <c r="H308" s="211"/>
      <c r="I308" s="210"/>
      <c r="J308" s="211"/>
      <c r="K308" s="211"/>
      <c r="L308" s="211"/>
      <c r="M308" s="210"/>
      <c r="N308" s="211"/>
      <c r="O308" s="211"/>
      <c r="P308" s="211"/>
      <c r="Q308" s="210"/>
      <c r="R308" s="211"/>
      <c r="S308" s="211"/>
      <c r="T308" s="211"/>
      <c r="U308" s="210"/>
      <c r="V308" s="211"/>
      <c r="W308" s="211"/>
      <c r="X308" s="211"/>
      <c r="Y308" s="210"/>
    </row>
    <row r="309" spans="1:25" ht="12.75" hidden="1" customHeight="1" outlineLevel="2" x14ac:dyDescent="0.2">
      <c r="A309" s="188" t="str">
        <f>"   "&amp;Labels!B381</f>
        <v xml:space="preserve">   Practice 1</v>
      </c>
      <c r="B309" s="218"/>
      <c r="C309" s="218"/>
      <c r="D309" s="218"/>
      <c r="E309" s="219"/>
      <c r="F309" s="218"/>
      <c r="G309" s="218"/>
      <c r="H309" s="218"/>
      <c r="I309" s="219"/>
      <c r="J309" s="218"/>
      <c r="K309" s="218"/>
      <c r="L309" s="218"/>
      <c r="M309" s="219"/>
      <c r="N309" s="218"/>
      <c r="O309" s="218"/>
      <c r="P309" s="218"/>
      <c r="Q309" s="219"/>
      <c r="R309" s="218"/>
      <c r="S309" s="218"/>
      <c r="T309" s="218"/>
      <c r="U309" s="219"/>
      <c r="V309" s="218"/>
      <c r="W309" s="218"/>
      <c r="X309" s="218"/>
      <c r="Y309" s="219"/>
    </row>
    <row r="310" spans="1:25" ht="12.75" hidden="1" customHeight="1" outlineLevel="2" x14ac:dyDescent="0.2">
      <c r="A310" s="198" t="str">
        <f>"      "&amp;Labels!B385</f>
        <v xml:space="preserve">      Prof Level 1</v>
      </c>
      <c r="B310" s="233"/>
      <c r="C310" s="233">
        <f t="shared" ref="C310:D312" si="173">IF(B296=0,0,C296/B296-1)</f>
        <v>0</v>
      </c>
      <c r="D310" s="233">
        <f t="shared" si="173"/>
        <v>0</v>
      </c>
      <c r="E310" s="234">
        <f>IF(0=0,0,SUM(B296:D296)/0-1)</f>
        <v>0</v>
      </c>
      <c r="F310" s="233">
        <f>IF(D296=0,0,F296/D296-1)</f>
        <v>0</v>
      </c>
      <c r="G310" s="233">
        <f t="shared" ref="G310:H312" si="174">IF(F296=0,0,G296/F296-1)</f>
        <v>-1</v>
      </c>
      <c r="H310" s="233">
        <f t="shared" si="174"/>
        <v>0</v>
      </c>
      <c r="I310" s="234">
        <f>IF(SUM(B296:D296)=0,0,SUM(F296:H296)/SUM(B296:D296)-1)</f>
        <v>0.72727272727272729</v>
      </c>
      <c r="J310" s="233">
        <f>IF(H296=0,0,J296/H296-1)</f>
        <v>0</v>
      </c>
      <c r="K310" s="233">
        <f t="shared" ref="K310:L312" si="175">IF(J296=0,0,K296/J296-1)</f>
        <v>0</v>
      </c>
      <c r="L310" s="233">
        <f t="shared" si="175"/>
        <v>-1</v>
      </c>
      <c r="M310" s="234">
        <f>IF(SUM(F296:H296)=0,0,SUM(J296:L296)/SUM(F296:H296)-1)</f>
        <v>-0.15789473684210531</v>
      </c>
      <c r="N310" s="233">
        <f>IF(L296=0,0,N296/L296-1)</f>
        <v>0</v>
      </c>
      <c r="O310" s="233">
        <f t="shared" ref="O310:P312" si="176">IF(N296=0,0,O296/N296-1)</f>
        <v>0</v>
      </c>
      <c r="P310" s="233">
        <f t="shared" si="176"/>
        <v>0</v>
      </c>
      <c r="Q310" s="234">
        <f>IF(SUM(J296:L296)=0,0,SUM(N296:P296)/SUM(J296:L296)-1)</f>
        <v>-1</v>
      </c>
      <c r="R310" s="233">
        <f>IF(P296=0,0,R296/P296-1)</f>
        <v>0</v>
      </c>
      <c r="S310" s="233">
        <f t="shared" ref="S310:T312" si="177">IF(R296=0,0,S296/R296-1)</f>
        <v>0</v>
      </c>
      <c r="T310" s="233">
        <f t="shared" si="177"/>
        <v>0</v>
      </c>
      <c r="U310" s="234">
        <f>IF(SUM(N296:P296)=0,0,SUM(R296:T296)/SUM(N296:P296)-1)</f>
        <v>0</v>
      </c>
      <c r="V310" s="233">
        <f>IF(T296=0,0,V296/T296-1)</f>
        <v>0</v>
      </c>
      <c r="W310" s="233">
        <f t="shared" ref="W310:X312" si="178">IF(V296=0,0,W296/V296-1)</f>
        <v>0</v>
      </c>
      <c r="X310" s="233">
        <f t="shared" si="178"/>
        <v>0</v>
      </c>
      <c r="Y310" s="234">
        <f>IF(SUM(R296:T296)=0,0,SUM(V296:X296)/SUM(R296:T296)-1)</f>
        <v>0</v>
      </c>
    </row>
    <row r="311" spans="1:25" ht="12.75" hidden="1" customHeight="1" outlineLevel="2" x14ac:dyDescent="0.2">
      <c r="A311" s="198" t="str">
        <f>"      "&amp;Labels!B386</f>
        <v xml:space="preserve">      Prof Level 2</v>
      </c>
      <c r="B311" s="233"/>
      <c r="C311" s="233">
        <f t="shared" si="173"/>
        <v>0</v>
      </c>
      <c r="D311" s="233">
        <f t="shared" si="173"/>
        <v>0</v>
      </c>
      <c r="E311" s="234">
        <f>IF(0=0,0,SUM(B297:D297)/0-1)</f>
        <v>0</v>
      </c>
      <c r="F311" s="233">
        <f>IF(D297=0,0,F297/D297-1)</f>
        <v>0</v>
      </c>
      <c r="G311" s="233">
        <f t="shared" si="174"/>
        <v>-1</v>
      </c>
      <c r="H311" s="233">
        <f t="shared" si="174"/>
        <v>0</v>
      </c>
      <c r="I311" s="234">
        <f>IF(SUM(B297:D297)=0,0,SUM(F297:H297)/SUM(B297:D297)-1)</f>
        <v>0.72727272727272729</v>
      </c>
      <c r="J311" s="233">
        <f>IF(H297=0,0,J297/H297-1)</f>
        <v>0</v>
      </c>
      <c r="K311" s="233">
        <f t="shared" si="175"/>
        <v>0</v>
      </c>
      <c r="L311" s="233">
        <f t="shared" si="175"/>
        <v>-1</v>
      </c>
      <c r="M311" s="234">
        <f>IF(SUM(F297:H297)=0,0,SUM(J297:L297)/SUM(F297:H297)-1)</f>
        <v>-0.15789473684210531</v>
      </c>
      <c r="N311" s="233">
        <f>IF(L297=0,0,N297/L297-1)</f>
        <v>0</v>
      </c>
      <c r="O311" s="233">
        <f t="shared" si="176"/>
        <v>0</v>
      </c>
      <c r="P311" s="233">
        <f t="shared" si="176"/>
        <v>0</v>
      </c>
      <c r="Q311" s="234">
        <f>IF(SUM(J297:L297)=0,0,SUM(N297:P297)/SUM(J297:L297)-1)</f>
        <v>-1</v>
      </c>
      <c r="R311" s="233">
        <f>IF(P297=0,0,R297/P297-1)</f>
        <v>0</v>
      </c>
      <c r="S311" s="233">
        <f t="shared" si="177"/>
        <v>0</v>
      </c>
      <c r="T311" s="233">
        <f t="shared" si="177"/>
        <v>0</v>
      </c>
      <c r="U311" s="234">
        <f>IF(SUM(N297:P297)=0,0,SUM(R297:T297)/SUM(N297:P297)-1)</f>
        <v>0</v>
      </c>
      <c r="V311" s="233">
        <f>IF(T297=0,0,V297/T297-1)</f>
        <v>0</v>
      </c>
      <c r="W311" s="233">
        <f t="shared" si="178"/>
        <v>0</v>
      </c>
      <c r="X311" s="233">
        <f t="shared" si="178"/>
        <v>0</v>
      </c>
      <c r="Y311" s="234">
        <f>IF(SUM(R297:T297)=0,0,SUM(V297:X297)/SUM(R297:T297)-1)</f>
        <v>0</v>
      </c>
    </row>
    <row r="312" spans="1:25" ht="12.75" hidden="1" customHeight="1" outlineLevel="2" x14ac:dyDescent="0.2">
      <c r="A312" s="188" t="str">
        <f>"      "&amp;Labels!C384</f>
        <v xml:space="preserve">      Total</v>
      </c>
      <c r="B312" s="218"/>
      <c r="C312" s="218">
        <f t="shared" si="173"/>
        <v>0</v>
      </c>
      <c r="D312" s="218">
        <f t="shared" si="173"/>
        <v>0</v>
      </c>
      <c r="E312" s="219">
        <f>IF(0=0,0,SUM(B298:D298)/0-1)</f>
        <v>0</v>
      </c>
      <c r="F312" s="218">
        <f>IF(D298=0,0,F298/D298-1)</f>
        <v>0</v>
      </c>
      <c r="G312" s="218">
        <f t="shared" si="174"/>
        <v>-1</v>
      </c>
      <c r="H312" s="218">
        <f t="shared" si="174"/>
        <v>0</v>
      </c>
      <c r="I312" s="219">
        <f>IF(SUM(B298:D298)=0,0,SUM(F298:H298)/SUM(B298:D298)-1)</f>
        <v>0.72727272727272729</v>
      </c>
      <c r="J312" s="218">
        <f>IF(H298=0,0,J298/H298-1)</f>
        <v>0</v>
      </c>
      <c r="K312" s="218">
        <f t="shared" si="175"/>
        <v>0</v>
      </c>
      <c r="L312" s="218">
        <f t="shared" si="175"/>
        <v>-1</v>
      </c>
      <c r="M312" s="219">
        <f>IF(SUM(F298:H298)=0,0,SUM(J298:L298)/SUM(F298:H298)-1)</f>
        <v>-0.15789473684210531</v>
      </c>
      <c r="N312" s="218">
        <f>IF(L298=0,0,N298/L298-1)</f>
        <v>0</v>
      </c>
      <c r="O312" s="218">
        <f t="shared" si="176"/>
        <v>0</v>
      </c>
      <c r="P312" s="218">
        <f t="shared" si="176"/>
        <v>0</v>
      </c>
      <c r="Q312" s="219">
        <f>IF(SUM(J298:L298)=0,0,SUM(N298:P298)/SUM(J298:L298)-1)</f>
        <v>-1</v>
      </c>
      <c r="R312" s="218">
        <f>IF(P298=0,0,R298/P298-1)</f>
        <v>0</v>
      </c>
      <c r="S312" s="218">
        <f t="shared" si="177"/>
        <v>0</v>
      </c>
      <c r="T312" s="218">
        <f t="shared" si="177"/>
        <v>0</v>
      </c>
      <c r="U312" s="219">
        <f>IF(SUM(N298:P298)=0,0,SUM(R298:T298)/SUM(N298:P298)-1)</f>
        <v>0</v>
      </c>
      <c r="V312" s="218">
        <f>IF(T298=0,0,V298/T298-1)</f>
        <v>0</v>
      </c>
      <c r="W312" s="218">
        <f t="shared" si="178"/>
        <v>0</v>
      </c>
      <c r="X312" s="218">
        <f t="shared" si="178"/>
        <v>0</v>
      </c>
      <c r="Y312" s="219">
        <f>IF(SUM(R298:T298)=0,0,SUM(V298:X298)/SUM(R298:T298)-1)</f>
        <v>0</v>
      </c>
    </row>
    <row r="313" spans="1:25" ht="12.75" hidden="1" customHeight="1" outlineLevel="2" x14ac:dyDescent="0.2">
      <c r="A313" s="188" t="str">
        <f>"   "&amp;Labels!B382</f>
        <v xml:space="preserve">   Practice 2</v>
      </c>
      <c r="B313" s="218"/>
      <c r="C313" s="218"/>
      <c r="D313" s="218"/>
      <c r="E313" s="219"/>
      <c r="F313" s="218"/>
      <c r="G313" s="218"/>
      <c r="H313" s="218"/>
      <c r="I313" s="219"/>
      <c r="J313" s="218"/>
      <c r="K313" s="218"/>
      <c r="L313" s="218"/>
      <c r="M313" s="219"/>
      <c r="N313" s="218"/>
      <c r="O313" s="218"/>
      <c r="P313" s="218"/>
      <c r="Q313" s="219"/>
      <c r="R313" s="218"/>
      <c r="S313" s="218"/>
      <c r="T313" s="218"/>
      <c r="U313" s="219"/>
      <c r="V313" s="218"/>
      <c r="W313" s="218"/>
      <c r="X313" s="218"/>
      <c r="Y313" s="219"/>
    </row>
    <row r="314" spans="1:25" ht="12.75" hidden="1" customHeight="1" outlineLevel="2" x14ac:dyDescent="0.2">
      <c r="A314" s="198" t="str">
        <f>"      "&amp;Labels!B385</f>
        <v xml:space="preserve">      Prof Level 1</v>
      </c>
      <c r="B314" s="233"/>
      <c r="C314" s="233">
        <f t="shared" ref="C314:D319" si="179">IF(B300=0,0,C300/B300-1)</f>
        <v>0</v>
      </c>
      <c r="D314" s="233">
        <f t="shared" si="179"/>
        <v>0</v>
      </c>
      <c r="E314" s="234">
        <f t="shared" ref="E314:E319" si="180">IF(0=0,0,SUM(B300:D300)/0-1)</f>
        <v>0</v>
      </c>
      <c r="F314" s="233">
        <f t="shared" ref="F314:F319" si="181">IF(D300=0,0,F300/D300-1)</f>
        <v>0</v>
      </c>
      <c r="G314" s="233">
        <f t="shared" ref="G314:H319" si="182">IF(F300=0,0,G300/F300-1)</f>
        <v>0</v>
      </c>
      <c r="H314" s="233">
        <f t="shared" si="182"/>
        <v>0</v>
      </c>
      <c r="I314" s="234">
        <f t="shared" ref="I314:I319" si="183">IF(SUM(B300:D300)=0,0,SUM(F300:H300)/SUM(B300:D300)-1)</f>
        <v>0</v>
      </c>
      <c r="J314" s="233">
        <f t="shared" ref="J314:J319" si="184">IF(H300=0,0,J300/H300-1)</f>
        <v>0</v>
      </c>
      <c r="K314" s="233">
        <f t="shared" ref="K314:L319" si="185">IF(J300=0,0,K300/J300-1)</f>
        <v>0</v>
      </c>
      <c r="L314" s="233">
        <f t="shared" si="185"/>
        <v>0</v>
      </c>
      <c r="M314" s="234">
        <f t="shared" ref="M314:M319" si="186">IF(SUM(F300:H300)=0,0,SUM(J300:L300)/SUM(F300:H300)-1)</f>
        <v>0</v>
      </c>
      <c r="N314" s="233">
        <f t="shared" ref="N314:N319" si="187">IF(L300=0,0,N300/L300-1)</f>
        <v>0</v>
      </c>
      <c r="O314" s="233">
        <f t="shared" ref="O314:P319" si="188">IF(N300=0,0,O300/N300-1)</f>
        <v>0</v>
      </c>
      <c r="P314" s="233">
        <f t="shared" si="188"/>
        <v>0</v>
      </c>
      <c r="Q314" s="234">
        <f t="shared" ref="Q314:Q319" si="189">IF(SUM(J300:L300)=0,0,SUM(N300:P300)/SUM(J300:L300)-1)</f>
        <v>0</v>
      </c>
      <c r="R314" s="233">
        <f t="shared" ref="R314:R319" si="190">IF(P300=0,0,R300/P300-1)</f>
        <v>0</v>
      </c>
      <c r="S314" s="233">
        <f t="shared" ref="S314:T319" si="191">IF(R300=0,0,S300/R300-1)</f>
        <v>0</v>
      </c>
      <c r="T314" s="233">
        <f t="shared" si="191"/>
        <v>0</v>
      </c>
      <c r="U314" s="234">
        <f t="shared" ref="U314:U319" si="192">IF(SUM(N300:P300)=0,0,SUM(R300:T300)/SUM(N300:P300)-1)</f>
        <v>0</v>
      </c>
      <c r="V314" s="233">
        <f t="shared" ref="V314:V319" si="193">IF(T300=0,0,V300/T300-1)</f>
        <v>0</v>
      </c>
      <c r="W314" s="233">
        <f t="shared" ref="W314:X319" si="194">IF(V300=0,0,W300/V300-1)</f>
        <v>0</v>
      </c>
      <c r="X314" s="233">
        <f t="shared" si="194"/>
        <v>0</v>
      </c>
      <c r="Y314" s="234">
        <f t="shared" ref="Y314:Y319" si="195">IF(SUM(R300:T300)=0,0,SUM(V300:X300)/SUM(R300:T300)-1)</f>
        <v>0</v>
      </c>
    </row>
    <row r="315" spans="1:25" ht="12.75" hidden="1" customHeight="1" outlineLevel="2" x14ac:dyDescent="0.2">
      <c r="A315" s="198" t="str">
        <f>"      "&amp;Labels!B386</f>
        <v xml:space="preserve">      Prof Level 2</v>
      </c>
      <c r="B315" s="233"/>
      <c r="C315" s="233">
        <f t="shared" si="179"/>
        <v>0</v>
      </c>
      <c r="D315" s="233">
        <f t="shared" si="179"/>
        <v>0</v>
      </c>
      <c r="E315" s="234">
        <f t="shared" si="180"/>
        <v>0</v>
      </c>
      <c r="F315" s="233">
        <f t="shared" si="181"/>
        <v>0</v>
      </c>
      <c r="G315" s="233">
        <f t="shared" si="182"/>
        <v>0</v>
      </c>
      <c r="H315" s="233">
        <f t="shared" si="182"/>
        <v>0</v>
      </c>
      <c r="I315" s="234">
        <f t="shared" si="183"/>
        <v>0</v>
      </c>
      <c r="J315" s="233">
        <f t="shared" si="184"/>
        <v>0</v>
      </c>
      <c r="K315" s="233">
        <f t="shared" si="185"/>
        <v>0</v>
      </c>
      <c r="L315" s="233">
        <f t="shared" si="185"/>
        <v>0</v>
      </c>
      <c r="M315" s="234">
        <f t="shared" si="186"/>
        <v>0</v>
      </c>
      <c r="N315" s="233">
        <f t="shared" si="187"/>
        <v>0</v>
      </c>
      <c r="O315" s="233">
        <f t="shared" si="188"/>
        <v>0</v>
      </c>
      <c r="P315" s="233">
        <f t="shared" si="188"/>
        <v>0</v>
      </c>
      <c r="Q315" s="234">
        <f t="shared" si="189"/>
        <v>0</v>
      </c>
      <c r="R315" s="233">
        <f t="shared" si="190"/>
        <v>0</v>
      </c>
      <c r="S315" s="233">
        <f t="shared" si="191"/>
        <v>0</v>
      </c>
      <c r="T315" s="233">
        <f t="shared" si="191"/>
        <v>0</v>
      </c>
      <c r="U315" s="234">
        <f t="shared" si="192"/>
        <v>0</v>
      </c>
      <c r="V315" s="233">
        <f t="shared" si="193"/>
        <v>0</v>
      </c>
      <c r="W315" s="233">
        <f t="shared" si="194"/>
        <v>0</v>
      </c>
      <c r="X315" s="233">
        <f t="shared" si="194"/>
        <v>0</v>
      </c>
      <c r="Y315" s="234">
        <f t="shared" si="195"/>
        <v>0</v>
      </c>
    </row>
    <row r="316" spans="1:25" ht="12.75" hidden="1" customHeight="1" outlineLevel="2" x14ac:dyDescent="0.2">
      <c r="A316" s="188" t="str">
        <f>"      "&amp;Labels!C384</f>
        <v xml:space="preserve">      Total</v>
      </c>
      <c r="B316" s="218"/>
      <c r="C316" s="218">
        <f t="shared" si="179"/>
        <v>0</v>
      </c>
      <c r="D316" s="218">
        <f t="shared" si="179"/>
        <v>0</v>
      </c>
      <c r="E316" s="219">
        <f t="shared" si="180"/>
        <v>0</v>
      </c>
      <c r="F316" s="218">
        <f t="shared" si="181"/>
        <v>0</v>
      </c>
      <c r="G316" s="218">
        <f t="shared" si="182"/>
        <v>0</v>
      </c>
      <c r="H316" s="218">
        <f t="shared" si="182"/>
        <v>0</v>
      </c>
      <c r="I316" s="219">
        <f t="shared" si="183"/>
        <v>0</v>
      </c>
      <c r="J316" s="218">
        <f t="shared" si="184"/>
        <v>0</v>
      </c>
      <c r="K316" s="218">
        <f t="shared" si="185"/>
        <v>0</v>
      </c>
      <c r="L316" s="218">
        <f t="shared" si="185"/>
        <v>0</v>
      </c>
      <c r="M316" s="219">
        <f t="shared" si="186"/>
        <v>0</v>
      </c>
      <c r="N316" s="218">
        <f t="shared" si="187"/>
        <v>0</v>
      </c>
      <c r="O316" s="218">
        <f t="shared" si="188"/>
        <v>0</v>
      </c>
      <c r="P316" s="218">
        <f t="shared" si="188"/>
        <v>0</v>
      </c>
      <c r="Q316" s="219">
        <f t="shared" si="189"/>
        <v>0</v>
      </c>
      <c r="R316" s="218">
        <f t="shared" si="190"/>
        <v>0</v>
      </c>
      <c r="S316" s="218">
        <f t="shared" si="191"/>
        <v>0</v>
      </c>
      <c r="T316" s="218">
        <f t="shared" si="191"/>
        <v>0</v>
      </c>
      <c r="U316" s="219">
        <f t="shared" si="192"/>
        <v>0</v>
      </c>
      <c r="V316" s="218">
        <f t="shared" si="193"/>
        <v>0</v>
      </c>
      <c r="W316" s="218">
        <f t="shared" si="194"/>
        <v>0</v>
      </c>
      <c r="X316" s="218">
        <f t="shared" si="194"/>
        <v>0</v>
      </c>
      <c r="Y316" s="219">
        <f t="shared" si="195"/>
        <v>0</v>
      </c>
    </row>
    <row r="317" spans="1:25" ht="12.75" hidden="1" customHeight="1" outlineLevel="2" x14ac:dyDescent="0.2">
      <c r="A317" s="191" t="str">
        <f>"   "&amp;Labels!C380</f>
        <v xml:space="preserve">   Total</v>
      </c>
      <c r="B317" s="211"/>
      <c r="C317" s="211">
        <f t="shared" si="179"/>
        <v>0</v>
      </c>
      <c r="D317" s="211">
        <f t="shared" si="179"/>
        <v>0</v>
      </c>
      <c r="E317" s="210">
        <f t="shared" si="180"/>
        <v>0</v>
      </c>
      <c r="F317" s="211">
        <f t="shared" si="181"/>
        <v>0</v>
      </c>
      <c r="G317" s="211">
        <f t="shared" si="182"/>
        <v>-1</v>
      </c>
      <c r="H317" s="211">
        <f t="shared" si="182"/>
        <v>0</v>
      </c>
      <c r="I317" s="210">
        <f t="shared" si="183"/>
        <v>0.72727272727272729</v>
      </c>
      <c r="J317" s="211">
        <f t="shared" si="184"/>
        <v>0</v>
      </c>
      <c r="K317" s="211">
        <f t="shared" si="185"/>
        <v>0</v>
      </c>
      <c r="L317" s="211">
        <f t="shared" si="185"/>
        <v>-1</v>
      </c>
      <c r="M317" s="210">
        <f t="shared" si="186"/>
        <v>-0.15789473684210531</v>
      </c>
      <c r="N317" s="211">
        <f t="shared" si="187"/>
        <v>0</v>
      </c>
      <c r="O317" s="211">
        <f t="shared" si="188"/>
        <v>0</v>
      </c>
      <c r="P317" s="211">
        <f t="shared" si="188"/>
        <v>0</v>
      </c>
      <c r="Q317" s="210">
        <f t="shared" si="189"/>
        <v>-1</v>
      </c>
      <c r="R317" s="211">
        <f t="shared" si="190"/>
        <v>0</v>
      </c>
      <c r="S317" s="211">
        <f t="shared" si="191"/>
        <v>0</v>
      </c>
      <c r="T317" s="211">
        <f t="shared" si="191"/>
        <v>0</v>
      </c>
      <c r="U317" s="210">
        <f t="shared" si="192"/>
        <v>0</v>
      </c>
      <c r="V317" s="211">
        <f t="shared" si="193"/>
        <v>0</v>
      </c>
      <c r="W317" s="211">
        <f t="shared" si="194"/>
        <v>0</v>
      </c>
      <c r="X317" s="211">
        <f t="shared" si="194"/>
        <v>0</v>
      </c>
      <c r="Y317" s="210">
        <f t="shared" si="195"/>
        <v>0</v>
      </c>
    </row>
    <row r="318" spans="1:25" ht="12.75" hidden="1" customHeight="1" outlineLevel="2" x14ac:dyDescent="0.2">
      <c r="A318" s="198" t="str">
        <f>"      "&amp;Labels!B385</f>
        <v xml:space="preserve">      Prof Level 1</v>
      </c>
      <c r="B318" s="233"/>
      <c r="C318" s="233">
        <f t="shared" si="179"/>
        <v>0</v>
      </c>
      <c r="D318" s="233">
        <f t="shared" si="179"/>
        <v>0</v>
      </c>
      <c r="E318" s="234">
        <f t="shared" si="180"/>
        <v>0</v>
      </c>
      <c r="F318" s="233">
        <f t="shared" si="181"/>
        <v>0</v>
      </c>
      <c r="G318" s="233">
        <f t="shared" si="182"/>
        <v>-1</v>
      </c>
      <c r="H318" s="233">
        <f t="shared" si="182"/>
        <v>0</v>
      </c>
      <c r="I318" s="234">
        <f t="shared" si="183"/>
        <v>0.72727272727272729</v>
      </c>
      <c r="J318" s="233">
        <f t="shared" si="184"/>
        <v>0</v>
      </c>
      <c r="K318" s="233">
        <f t="shared" si="185"/>
        <v>0</v>
      </c>
      <c r="L318" s="233">
        <f t="shared" si="185"/>
        <v>-1</v>
      </c>
      <c r="M318" s="234">
        <f t="shared" si="186"/>
        <v>-0.15789473684210531</v>
      </c>
      <c r="N318" s="233">
        <f t="shared" si="187"/>
        <v>0</v>
      </c>
      <c r="O318" s="233">
        <f t="shared" si="188"/>
        <v>0</v>
      </c>
      <c r="P318" s="233">
        <f t="shared" si="188"/>
        <v>0</v>
      </c>
      <c r="Q318" s="234">
        <f t="shared" si="189"/>
        <v>-1</v>
      </c>
      <c r="R318" s="233">
        <f t="shared" si="190"/>
        <v>0</v>
      </c>
      <c r="S318" s="233">
        <f t="shared" si="191"/>
        <v>0</v>
      </c>
      <c r="T318" s="233">
        <f t="shared" si="191"/>
        <v>0</v>
      </c>
      <c r="U318" s="234">
        <f t="shared" si="192"/>
        <v>0</v>
      </c>
      <c r="V318" s="233">
        <f t="shared" si="193"/>
        <v>0</v>
      </c>
      <c r="W318" s="233">
        <f t="shared" si="194"/>
        <v>0</v>
      </c>
      <c r="X318" s="233">
        <f t="shared" si="194"/>
        <v>0</v>
      </c>
      <c r="Y318" s="234">
        <f t="shared" si="195"/>
        <v>0</v>
      </c>
    </row>
    <row r="319" spans="1:25" ht="12.75" hidden="1" customHeight="1" outlineLevel="2" x14ac:dyDescent="0.2">
      <c r="A319" s="198" t="str">
        <f>"      "&amp;Labels!B386</f>
        <v xml:space="preserve">      Prof Level 2</v>
      </c>
      <c r="B319" s="233"/>
      <c r="C319" s="233">
        <f t="shared" si="179"/>
        <v>0</v>
      </c>
      <c r="D319" s="233">
        <f t="shared" si="179"/>
        <v>0</v>
      </c>
      <c r="E319" s="234">
        <f t="shared" si="180"/>
        <v>0</v>
      </c>
      <c r="F319" s="233">
        <f t="shared" si="181"/>
        <v>0</v>
      </c>
      <c r="G319" s="233">
        <f t="shared" si="182"/>
        <v>-1</v>
      </c>
      <c r="H319" s="233">
        <f t="shared" si="182"/>
        <v>0</v>
      </c>
      <c r="I319" s="234">
        <f t="shared" si="183"/>
        <v>0.72727272727272729</v>
      </c>
      <c r="J319" s="233">
        <f t="shared" si="184"/>
        <v>0</v>
      </c>
      <c r="K319" s="233">
        <f t="shared" si="185"/>
        <v>0</v>
      </c>
      <c r="L319" s="233">
        <f t="shared" si="185"/>
        <v>-1</v>
      </c>
      <c r="M319" s="234">
        <f t="shared" si="186"/>
        <v>-0.15789473684210531</v>
      </c>
      <c r="N319" s="233">
        <f t="shared" si="187"/>
        <v>0</v>
      </c>
      <c r="O319" s="233">
        <f t="shared" si="188"/>
        <v>0</v>
      </c>
      <c r="P319" s="233">
        <f t="shared" si="188"/>
        <v>0</v>
      </c>
      <c r="Q319" s="234">
        <f t="shared" si="189"/>
        <v>-1</v>
      </c>
      <c r="R319" s="233">
        <f t="shared" si="190"/>
        <v>0</v>
      </c>
      <c r="S319" s="233">
        <f t="shared" si="191"/>
        <v>0</v>
      </c>
      <c r="T319" s="233">
        <f t="shared" si="191"/>
        <v>0</v>
      </c>
      <c r="U319" s="234">
        <f t="shared" si="192"/>
        <v>0</v>
      </c>
      <c r="V319" s="233">
        <f t="shared" si="193"/>
        <v>0</v>
      </c>
      <c r="W319" s="233">
        <f t="shared" si="194"/>
        <v>0</v>
      </c>
      <c r="X319" s="233">
        <f t="shared" si="194"/>
        <v>0</v>
      </c>
      <c r="Y319" s="234">
        <f t="shared" si="195"/>
        <v>0</v>
      </c>
    </row>
    <row r="320" spans="1:25" ht="12.75" hidden="1" customHeight="1" outlineLevel="2" x14ac:dyDescent="0.2">
      <c r="A320" s="220" t="str">
        <f>"      "&amp;Labels!C384</f>
        <v xml:space="preserve">      Total</v>
      </c>
      <c r="B320" s="221"/>
      <c r="C320" s="221">
        <f>IF(B303=0,0,C303/B303-1)</f>
        <v>0</v>
      </c>
      <c r="D320" s="221">
        <f>IF(C303=0,0,D303/C303-1)</f>
        <v>0</v>
      </c>
      <c r="E320" s="222">
        <f>IF(0=0,0,SUM(B303:D303)/0-1)</f>
        <v>0</v>
      </c>
      <c r="F320" s="221">
        <f>IF(D303=0,0,F303/D303-1)</f>
        <v>0</v>
      </c>
      <c r="G320" s="221">
        <f>IF(F303=0,0,G303/F303-1)</f>
        <v>-1</v>
      </c>
      <c r="H320" s="221">
        <f>IF(G303=0,0,H303/G303-1)</f>
        <v>0</v>
      </c>
      <c r="I320" s="222">
        <f>IF(SUM(B303:D303)=0,0,SUM(F303:H303)/SUM(B303:D303)-1)</f>
        <v>0.72727272727272729</v>
      </c>
      <c r="J320" s="221">
        <f>IF(H303=0,0,J303/H303-1)</f>
        <v>0</v>
      </c>
      <c r="K320" s="221">
        <f>IF(J303=0,0,K303/J303-1)</f>
        <v>0</v>
      </c>
      <c r="L320" s="221">
        <f>IF(K303=0,0,L303/K303-1)</f>
        <v>-1</v>
      </c>
      <c r="M320" s="222">
        <f>IF(SUM(F303:H303)=0,0,SUM(J303:L303)/SUM(F303:H303)-1)</f>
        <v>-0.15789473684210531</v>
      </c>
      <c r="N320" s="221">
        <f>IF(L303=0,0,N303/L303-1)</f>
        <v>0</v>
      </c>
      <c r="O320" s="221">
        <f>IF(N303=0,0,O303/N303-1)</f>
        <v>0</v>
      </c>
      <c r="P320" s="221">
        <f>IF(O303=0,0,P303/O303-1)</f>
        <v>0</v>
      </c>
      <c r="Q320" s="222">
        <f>IF(SUM(J303:L303)=0,0,SUM(N303:P303)/SUM(J303:L303)-1)</f>
        <v>-1</v>
      </c>
      <c r="R320" s="221">
        <f>IF(P303=0,0,R303/P303-1)</f>
        <v>0</v>
      </c>
      <c r="S320" s="221">
        <f>IF(R303=0,0,S303/R303-1)</f>
        <v>0</v>
      </c>
      <c r="T320" s="221">
        <f>IF(S303=0,0,T303/S303-1)</f>
        <v>0</v>
      </c>
      <c r="U320" s="222">
        <f>IF(SUM(N303:P303)=0,0,SUM(R303:T303)/SUM(N303:P303)-1)</f>
        <v>0</v>
      </c>
      <c r="V320" s="221">
        <f>IF(T303=0,0,V303/T303-1)</f>
        <v>0</v>
      </c>
      <c r="W320" s="221">
        <f>IF(V303=0,0,W303/V303-1)</f>
        <v>0</v>
      </c>
      <c r="X320" s="221">
        <f>IF(W303=0,0,X303/W303-1)</f>
        <v>0</v>
      </c>
      <c r="Y320" s="222">
        <f>IF(SUM(R303:T303)=0,0,SUM(V303:X303)/SUM(R303:T303)-1)</f>
        <v>0</v>
      </c>
    </row>
    <row r="321" spans="1:25" ht="12.75" hidden="1" customHeight="1" outlineLevel="2" collapsed="1" x14ac:dyDescent="0.2"/>
    <row r="322" spans="1:25" ht="12.75" hidden="1" customHeight="1" outlineLevel="1" collapsed="1" x14ac:dyDescent="0.2">
      <c r="A322" s="3" t="str">
        <f>"Practice Development"</f>
        <v>Practice Development</v>
      </c>
    </row>
    <row r="323" spans="1:25" ht="12.75" hidden="1" customHeight="1" outlineLevel="2" x14ac:dyDescent="0.2">
      <c r="A323" s="3" t="str">
        <f>" "</f>
        <v xml:space="preserve"> </v>
      </c>
    </row>
    <row r="324" spans="1:25" ht="12.75" hidden="1" customHeight="1" outlineLevel="2" x14ac:dyDescent="0.2">
      <c r="A324" s="1" t="str">
        <f>" "</f>
        <v xml:space="preserve"> </v>
      </c>
    </row>
    <row r="325" spans="1:25" ht="12.75" hidden="1" customHeight="1" outlineLevel="2" x14ac:dyDescent="0.2">
      <c r="A325" s="1" t="str">
        <f>"Spending"</f>
        <v>Spending</v>
      </c>
    </row>
    <row r="326" spans="1:25" ht="12.75" hidden="1" customHeight="1" outlineLevel="2" x14ac:dyDescent="0.2">
      <c r="A326" s="1" t="str">
        <f>" "</f>
        <v xml:space="preserve"> </v>
      </c>
    </row>
    <row r="327" spans="1:25" ht="12.75" hidden="1" customHeight="1" outlineLevel="2" x14ac:dyDescent="0.2">
      <c r="B327" s="9" t="str">
        <f>'(FnCalls 1)'!F41</f>
        <v>MMM 2010</v>
      </c>
      <c r="C327" s="10" t="str">
        <f>'(FnCalls 1)'!F42</f>
        <v>MMM 2010</v>
      </c>
      <c r="D327" s="10" t="str">
        <f>'(FnCalls 1)'!F43</f>
        <v>MMM 2010</v>
      </c>
      <c r="E327" s="181" t="str">
        <f>'(FnCalls 1)'!G41</f>
        <v>Q1 2010</v>
      </c>
      <c r="F327" s="10" t="str">
        <f>'(FnCalls 1)'!F44</f>
        <v>MMM 2010</v>
      </c>
      <c r="G327" s="10" t="str">
        <f>'(FnCalls 1)'!F45</f>
        <v>MMM 2010</v>
      </c>
      <c r="H327" s="10" t="str">
        <f>'(FnCalls 1)'!F46</f>
        <v>MMM 2010</v>
      </c>
      <c r="I327" s="181" t="str">
        <f>'(FnCalls 1)'!G44</f>
        <v>Q2 2010</v>
      </c>
      <c r="J327" s="10" t="str">
        <f>'(FnCalls 1)'!F47</f>
        <v>MMM 2010</v>
      </c>
      <c r="K327" s="10" t="str">
        <f>'(FnCalls 1)'!F48</f>
        <v>MMM 2010</v>
      </c>
      <c r="L327" s="10" t="str">
        <f>'(FnCalls 1)'!F49</f>
        <v>MMM 2010</v>
      </c>
      <c r="M327" s="181" t="str">
        <f>'(FnCalls 1)'!G47</f>
        <v>Q3 2010</v>
      </c>
      <c r="N327" s="10" t="str">
        <f>'(FnCalls 1)'!F50</f>
        <v>MMM 2010</v>
      </c>
      <c r="O327" s="10" t="str">
        <f>'(FnCalls 1)'!F51</f>
        <v>MMM 2010</v>
      </c>
      <c r="P327" s="10" t="str">
        <f>'(FnCalls 1)'!F52</f>
        <v>MMM 2010</v>
      </c>
      <c r="Q327" s="181" t="str">
        <f>'(FnCalls 1)'!G50</f>
        <v>Q4 2010</v>
      </c>
      <c r="R327" s="10" t="str">
        <f>'(FnCalls 1)'!F53</f>
        <v>MMM 2011</v>
      </c>
      <c r="S327" s="10" t="str">
        <f>'(FnCalls 1)'!F54</f>
        <v>MMM 2011</v>
      </c>
      <c r="T327" s="10" t="str">
        <f>'(FnCalls 1)'!F55</f>
        <v>MMM 2011</v>
      </c>
      <c r="U327" s="181" t="str">
        <f>'(FnCalls 1)'!G53</f>
        <v>Q1 2011</v>
      </c>
      <c r="V327" s="10" t="str">
        <f>'(FnCalls 1)'!F56</f>
        <v>MMM 2011</v>
      </c>
      <c r="W327" s="10" t="str">
        <f>'(FnCalls 1)'!F57</f>
        <v>MMM 2011</v>
      </c>
      <c r="X327" s="10" t="str">
        <f>'(FnCalls 1)'!F58</f>
        <v>MMM 2011</v>
      </c>
      <c r="Y327" s="181" t="str">
        <f>'(FnCalls 1)'!G56</f>
        <v>Q2 2011</v>
      </c>
    </row>
    <row r="328" spans="1:25" ht="12.75" hidden="1" customHeight="1" outlineLevel="2" x14ac:dyDescent="0.2">
      <c r="A328" s="182" t="str">
        <f>Labels!B155</f>
        <v>Practice Development</v>
      </c>
      <c r="B328" s="183"/>
      <c r="C328" s="183"/>
      <c r="D328" s="183"/>
      <c r="E328" s="184"/>
      <c r="F328" s="183"/>
      <c r="G328" s="183"/>
      <c r="H328" s="183"/>
      <c r="I328" s="184"/>
      <c r="J328" s="183"/>
      <c r="K328" s="183"/>
      <c r="L328" s="183"/>
      <c r="M328" s="184"/>
      <c r="N328" s="183"/>
      <c r="O328" s="183"/>
      <c r="P328" s="183"/>
      <c r="Q328" s="184"/>
      <c r="R328" s="183"/>
      <c r="S328" s="183"/>
      <c r="T328" s="183"/>
      <c r="U328" s="184"/>
      <c r="V328" s="183"/>
      <c r="W328" s="183"/>
      <c r="X328" s="183"/>
      <c r="Y328" s="184"/>
    </row>
    <row r="329" spans="1:25" ht="12.75" hidden="1" customHeight="1" outlineLevel="2" x14ac:dyDescent="0.2">
      <c r="A329" s="188" t="str">
        <f>"   "&amp;Labels!B381</f>
        <v xml:space="preserve">   Practice 1</v>
      </c>
      <c r="B329" s="196">
        <f>B342+B362</f>
        <v>0</v>
      </c>
      <c r="C329" s="196">
        <f>C342+C362</f>
        <v>0</v>
      </c>
      <c r="D329" s="196">
        <f>D342+D362</f>
        <v>0</v>
      </c>
      <c r="E329" s="197">
        <f>SUM(B329:D329)</f>
        <v>0</v>
      </c>
      <c r="F329" s="196">
        <f>F342+F362</f>
        <v>0</v>
      </c>
      <c r="G329" s="196">
        <f>G342+G362</f>
        <v>0</v>
      </c>
      <c r="H329" s="196">
        <f>H342+H362</f>
        <v>0</v>
      </c>
      <c r="I329" s="197">
        <f>SUM(F329:H329)</f>
        <v>0</v>
      </c>
      <c r="J329" s="196">
        <f>J342+J362</f>
        <v>0</v>
      </c>
      <c r="K329" s="196">
        <f>K342+K362</f>
        <v>0</v>
      </c>
      <c r="L329" s="196">
        <f>L342+L362</f>
        <v>0</v>
      </c>
      <c r="M329" s="197">
        <f>SUM(J329:L329)</f>
        <v>0</v>
      </c>
      <c r="N329" s="196">
        <f>N342+N362</f>
        <v>0</v>
      </c>
      <c r="O329" s="196">
        <f>O342+O362</f>
        <v>0</v>
      </c>
      <c r="P329" s="196">
        <f>P342+P362</f>
        <v>0</v>
      </c>
      <c r="Q329" s="197">
        <f>SUM(N329:P329)</f>
        <v>0</v>
      </c>
      <c r="R329" s="196">
        <f>R342+R362</f>
        <v>0</v>
      </c>
      <c r="S329" s="196">
        <f>S342+S362</f>
        <v>0</v>
      </c>
      <c r="T329" s="196">
        <f>T342+T362</f>
        <v>0</v>
      </c>
      <c r="U329" s="197">
        <f>SUM(R329:T329)</f>
        <v>0</v>
      </c>
      <c r="V329" s="196">
        <f>V342+V362</f>
        <v>0</v>
      </c>
      <c r="W329" s="196">
        <f>W342+W362</f>
        <v>0</v>
      </c>
      <c r="X329" s="196">
        <f>X342+X362</f>
        <v>0</v>
      </c>
      <c r="Y329" s="197">
        <f>SUM(V329:X329)</f>
        <v>0</v>
      </c>
    </row>
    <row r="330" spans="1:25" ht="12.75" hidden="1" customHeight="1" outlineLevel="2" x14ac:dyDescent="0.2">
      <c r="A330" s="188" t="str">
        <f>"   "&amp;Labels!B382</f>
        <v xml:space="preserve">   Practice 2</v>
      </c>
      <c r="B330" s="196">
        <f>B346+B375</f>
        <v>0</v>
      </c>
      <c r="C330" s="196">
        <f>C346+C375</f>
        <v>0</v>
      </c>
      <c r="D330" s="196">
        <f>D346+D375</f>
        <v>0</v>
      </c>
      <c r="E330" s="197">
        <f>SUM(B330:D330)</f>
        <v>0</v>
      </c>
      <c r="F330" s="196">
        <f>F346+F375</f>
        <v>0</v>
      </c>
      <c r="G330" s="196">
        <f>G346+G375</f>
        <v>0</v>
      </c>
      <c r="H330" s="196">
        <f>H346+H375</f>
        <v>0</v>
      </c>
      <c r="I330" s="197">
        <f>SUM(F330:H330)</f>
        <v>0</v>
      </c>
      <c r="J330" s="196">
        <f>J346+J375</f>
        <v>0</v>
      </c>
      <c r="K330" s="196">
        <f>K346+K375</f>
        <v>0</v>
      </c>
      <c r="L330" s="196">
        <f>L346+L375</f>
        <v>0</v>
      </c>
      <c r="M330" s="197">
        <f>SUM(J330:L330)</f>
        <v>0</v>
      </c>
      <c r="N330" s="196">
        <f>N346+N375</f>
        <v>0</v>
      </c>
      <c r="O330" s="196">
        <f>O346+O375</f>
        <v>0</v>
      </c>
      <c r="P330" s="196">
        <f>P346+P375</f>
        <v>0</v>
      </c>
      <c r="Q330" s="197">
        <f>SUM(N330:P330)</f>
        <v>0</v>
      </c>
      <c r="R330" s="196">
        <f>R346+R375</f>
        <v>0</v>
      </c>
      <c r="S330" s="196">
        <f>S346+S375</f>
        <v>0</v>
      </c>
      <c r="T330" s="196">
        <f>T346+T375</f>
        <v>0</v>
      </c>
      <c r="U330" s="197">
        <f>SUM(R330:T330)</f>
        <v>0</v>
      </c>
      <c r="V330" s="196">
        <f>V346+V375</f>
        <v>0</v>
      </c>
      <c r="W330" s="196">
        <f>W346+W375</f>
        <v>0</v>
      </c>
      <c r="X330" s="196">
        <f>X346+X375</f>
        <v>0</v>
      </c>
      <c r="Y330" s="197">
        <f>SUM(V330:X330)</f>
        <v>0</v>
      </c>
    </row>
    <row r="331" spans="1:25" ht="12.75" hidden="1" customHeight="1" outlineLevel="2" x14ac:dyDescent="0.2">
      <c r="A331" s="191" t="str">
        <f>"   "&amp;Labels!C380</f>
        <v xml:space="preserve">   Total</v>
      </c>
      <c r="B331" s="192">
        <f>SUM(B329:B330)</f>
        <v>0</v>
      </c>
      <c r="C331" s="192">
        <f>SUM(C329:C330)</f>
        <v>0</v>
      </c>
      <c r="D331" s="192">
        <f>SUM(D329:D330)</f>
        <v>0</v>
      </c>
      <c r="E331" s="190">
        <f>SUM(B331:D331)</f>
        <v>0</v>
      </c>
      <c r="F331" s="192">
        <f>SUM(F329:F330)</f>
        <v>0</v>
      </c>
      <c r="G331" s="192">
        <f>SUM(G329:G330)</f>
        <v>0</v>
      </c>
      <c r="H331" s="192">
        <f>SUM(H329:H330)</f>
        <v>0</v>
      </c>
      <c r="I331" s="190">
        <f>SUM(F331:H331)</f>
        <v>0</v>
      </c>
      <c r="J331" s="192">
        <f>SUM(J329:J330)</f>
        <v>0</v>
      </c>
      <c r="K331" s="192">
        <f>SUM(K329:K330)</f>
        <v>0</v>
      </c>
      <c r="L331" s="192">
        <f>SUM(L329:L330)</f>
        <v>0</v>
      </c>
      <c r="M331" s="190">
        <f>SUM(J331:L331)</f>
        <v>0</v>
      </c>
      <c r="N331" s="192">
        <f>SUM(N329:N330)</f>
        <v>0</v>
      </c>
      <c r="O331" s="192">
        <f>SUM(O329:O330)</f>
        <v>0</v>
      </c>
      <c r="P331" s="192">
        <f>SUM(P329:P330)</f>
        <v>0</v>
      </c>
      <c r="Q331" s="190">
        <f>SUM(N331:P331)</f>
        <v>0</v>
      </c>
      <c r="R331" s="192">
        <f>SUM(R329:R330)</f>
        <v>0</v>
      </c>
      <c r="S331" s="192">
        <f>SUM(S329:S330)</f>
        <v>0</v>
      </c>
      <c r="T331" s="192">
        <f>SUM(T329:T330)</f>
        <v>0</v>
      </c>
      <c r="U331" s="190">
        <f>SUM(R331:T331)</f>
        <v>0</v>
      </c>
      <c r="V331" s="192">
        <f>SUM(V329:V330)</f>
        <v>0</v>
      </c>
      <c r="W331" s="192">
        <f>SUM(W329:W330)</f>
        <v>0</v>
      </c>
      <c r="X331" s="192">
        <f>SUM(X329:X330)</f>
        <v>0</v>
      </c>
      <c r="Y331" s="190">
        <f>SUM(V331:X331)</f>
        <v>0</v>
      </c>
    </row>
    <row r="332" spans="1:25" ht="12.75" hidden="1" customHeight="1" outlineLevel="2" x14ac:dyDescent="0.2">
      <c r="A332" s="97"/>
      <c r="B332" s="6"/>
      <c r="C332" s="6"/>
      <c r="D332" s="6"/>
      <c r="E332" s="97"/>
      <c r="F332" s="6"/>
      <c r="G332" s="6"/>
      <c r="H332" s="6"/>
      <c r="I332" s="97"/>
      <c r="J332" s="6"/>
      <c r="K332" s="6"/>
      <c r="L332" s="6"/>
      <c r="M332" s="97"/>
      <c r="N332" s="6"/>
      <c r="O332" s="6"/>
      <c r="P332" s="6"/>
      <c r="Q332" s="97"/>
      <c r="R332" s="6"/>
      <c r="S332" s="6"/>
      <c r="T332" s="6"/>
      <c r="U332" s="97"/>
      <c r="V332" s="6"/>
      <c r="W332" s="6"/>
      <c r="X332" s="6"/>
      <c r="Y332" s="97"/>
    </row>
    <row r="333" spans="1:25" ht="12.75" hidden="1" customHeight="1" outlineLevel="2" x14ac:dyDescent="0.2">
      <c r="A333" s="191" t="str">
        <f>Labels!B151</f>
        <v>Practice Dev % Rev</v>
      </c>
      <c r="B333" s="211"/>
      <c r="C333" s="211"/>
      <c r="D333" s="211"/>
      <c r="E333" s="210"/>
      <c r="F333" s="211"/>
      <c r="G333" s="211"/>
      <c r="H333" s="211"/>
      <c r="I333" s="210"/>
      <c r="J333" s="211"/>
      <c r="K333" s="211"/>
      <c r="L333" s="211"/>
      <c r="M333" s="210"/>
      <c r="N333" s="211"/>
      <c r="O333" s="211"/>
      <c r="P333" s="211"/>
      <c r="Q333" s="210"/>
      <c r="R333" s="211"/>
      <c r="S333" s="211"/>
      <c r="T333" s="211"/>
      <c r="U333" s="210"/>
      <c r="V333" s="211"/>
      <c r="W333" s="211"/>
      <c r="X333" s="211"/>
      <c r="Y333" s="210"/>
    </row>
    <row r="334" spans="1:25" ht="12.75" hidden="1" customHeight="1" outlineLevel="2" x14ac:dyDescent="0.2">
      <c r="A334" s="188" t="str">
        <f>"   "&amp;Labels!B381</f>
        <v xml:space="preserve">   Practice 1</v>
      </c>
      <c r="B334" s="218">
        <f>RatioRpt!B17</f>
        <v>0</v>
      </c>
      <c r="C334" s="218">
        <f>RatioRpt!C17</f>
        <v>0</v>
      </c>
      <c r="D334" s="218">
        <f>RatioRpt!D17</f>
        <v>0</v>
      </c>
      <c r="E334" s="219">
        <f>AVERAGE(B334:D334)</f>
        <v>0</v>
      </c>
      <c r="F334" s="218">
        <f>RatioRpt!F17</f>
        <v>0</v>
      </c>
      <c r="G334" s="218">
        <f>RatioRpt!G17</f>
        <v>0</v>
      </c>
      <c r="H334" s="218">
        <f>RatioRpt!H17</f>
        <v>0</v>
      </c>
      <c r="I334" s="219">
        <f>AVERAGE(F334:H334)</f>
        <v>0</v>
      </c>
      <c r="J334" s="218">
        <f>RatioRpt!J17</f>
        <v>0</v>
      </c>
      <c r="K334" s="218">
        <f>RatioRpt!K17</f>
        <v>0</v>
      </c>
      <c r="L334" s="218">
        <f>RatioRpt!L17</f>
        <v>0</v>
      </c>
      <c r="M334" s="219">
        <f>AVERAGE(J334:L334)</f>
        <v>0</v>
      </c>
      <c r="N334" s="218">
        <f>RatioRpt!N17</f>
        <v>0</v>
      </c>
      <c r="O334" s="218">
        <f>RatioRpt!O17</f>
        <v>0</v>
      </c>
      <c r="P334" s="218">
        <f>RatioRpt!P17</f>
        <v>0</v>
      </c>
      <c r="Q334" s="219">
        <f>AVERAGE(N334:P334)</f>
        <v>0</v>
      </c>
      <c r="R334" s="218">
        <f>RatioRpt!R17</f>
        <v>0</v>
      </c>
      <c r="S334" s="218">
        <f>RatioRpt!S17</f>
        <v>0</v>
      </c>
      <c r="T334" s="218">
        <f>RatioRpt!T17</f>
        <v>0</v>
      </c>
      <c r="U334" s="219">
        <f>AVERAGE(R334:T334)</f>
        <v>0</v>
      </c>
      <c r="V334" s="218">
        <f>RatioRpt!V17</f>
        <v>0</v>
      </c>
      <c r="W334" s="218">
        <f>RatioRpt!W17</f>
        <v>0</v>
      </c>
      <c r="X334" s="218">
        <f>RatioRpt!X17</f>
        <v>0</v>
      </c>
      <c r="Y334" s="219">
        <f>AVERAGE(V334:X334)</f>
        <v>0</v>
      </c>
    </row>
    <row r="335" spans="1:25" ht="12.75" hidden="1" customHeight="1" outlineLevel="2" x14ac:dyDescent="0.2">
      <c r="A335" s="188" t="str">
        <f>"   "&amp;Labels!B382</f>
        <v xml:space="preserve">   Practice 2</v>
      </c>
      <c r="B335" s="218">
        <f>RatioRpt!B18</f>
        <v>0</v>
      </c>
      <c r="C335" s="218">
        <f>RatioRpt!C18</f>
        <v>0</v>
      </c>
      <c r="D335" s="218">
        <f>RatioRpt!D18</f>
        <v>0</v>
      </c>
      <c r="E335" s="219">
        <f>AVERAGE(B335:D335)</f>
        <v>0</v>
      </c>
      <c r="F335" s="218">
        <f>RatioRpt!F18</f>
        <v>0</v>
      </c>
      <c r="G335" s="218">
        <f>RatioRpt!G18</f>
        <v>0</v>
      </c>
      <c r="H335" s="218">
        <f>RatioRpt!H18</f>
        <v>0</v>
      </c>
      <c r="I335" s="219">
        <f>AVERAGE(F335:H335)</f>
        <v>0</v>
      </c>
      <c r="J335" s="218">
        <f>RatioRpt!J18</f>
        <v>0</v>
      </c>
      <c r="K335" s="218">
        <f>RatioRpt!K18</f>
        <v>0</v>
      </c>
      <c r="L335" s="218">
        <f>RatioRpt!L18</f>
        <v>0</v>
      </c>
      <c r="M335" s="219">
        <f>AVERAGE(J335:L335)</f>
        <v>0</v>
      </c>
      <c r="N335" s="218">
        <f>RatioRpt!N18</f>
        <v>0</v>
      </c>
      <c r="O335" s="218">
        <f>RatioRpt!O18</f>
        <v>0</v>
      </c>
      <c r="P335" s="218">
        <f>RatioRpt!P18</f>
        <v>0</v>
      </c>
      <c r="Q335" s="219">
        <f>AVERAGE(N335:P335)</f>
        <v>0</v>
      </c>
      <c r="R335" s="218">
        <f>RatioRpt!R18</f>
        <v>0</v>
      </c>
      <c r="S335" s="218">
        <f>RatioRpt!S18</f>
        <v>0</v>
      </c>
      <c r="T335" s="218">
        <f>RatioRpt!T18</f>
        <v>0</v>
      </c>
      <c r="U335" s="219">
        <f>AVERAGE(R335:T335)</f>
        <v>0</v>
      </c>
      <c r="V335" s="218">
        <f>RatioRpt!V18</f>
        <v>0</v>
      </c>
      <c r="W335" s="218">
        <f>RatioRpt!W18</f>
        <v>0</v>
      </c>
      <c r="X335" s="218">
        <f>RatioRpt!X18</f>
        <v>0</v>
      </c>
      <c r="Y335" s="219">
        <f>AVERAGE(V335:X335)</f>
        <v>0</v>
      </c>
    </row>
    <row r="336" spans="1:25" ht="12.75" hidden="1" customHeight="1" outlineLevel="2" x14ac:dyDescent="0.2">
      <c r="A336" s="191" t="str">
        <f>"   "&amp;Labels!C380</f>
        <v xml:space="preserve">   Total</v>
      </c>
      <c r="B336" s="211">
        <f>AVERAGE(B334:B335)</f>
        <v>0</v>
      </c>
      <c r="C336" s="211">
        <f>AVERAGE(C334:C335)</f>
        <v>0</v>
      </c>
      <c r="D336" s="211">
        <f>AVERAGE(D334:D335)</f>
        <v>0</v>
      </c>
      <c r="E336" s="210">
        <f>AVERAGE(B336:D336)</f>
        <v>0</v>
      </c>
      <c r="F336" s="211">
        <f>AVERAGE(F334:F335)</f>
        <v>0</v>
      </c>
      <c r="G336" s="211">
        <f>AVERAGE(G334:G335)</f>
        <v>0</v>
      </c>
      <c r="H336" s="211">
        <f>AVERAGE(H334:H335)</f>
        <v>0</v>
      </c>
      <c r="I336" s="210">
        <f>AVERAGE(F336:H336)</f>
        <v>0</v>
      </c>
      <c r="J336" s="211">
        <f>AVERAGE(J334:J335)</f>
        <v>0</v>
      </c>
      <c r="K336" s="211">
        <f>AVERAGE(K334:K335)</f>
        <v>0</v>
      </c>
      <c r="L336" s="211">
        <f>AVERAGE(L334:L335)</f>
        <v>0</v>
      </c>
      <c r="M336" s="210">
        <f>AVERAGE(J336:L336)</f>
        <v>0</v>
      </c>
      <c r="N336" s="211">
        <f>AVERAGE(N334:N335)</f>
        <v>0</v>
      </c>
      <c r="O336" s="211">
        <f>AVERAGE(O334:O335)</f>
        <v>0</v>
      </c>
      <c r="P336" s="211">
        <f>AVERAGE(P334:P335)</f>
        <v>0</v>
      </c>
      <c r="Q336" s="210">
        <f>AVERAGE(N336:P336)</f>
        <v>0</v>
      </c>
      <c r="R336" s="211">
        <f>AVERAGE(R334:R335)</f>
        <v>0</v>
      </c>
      <c r="S336" s="211">
        <f>AVERAGE(S334:S335)</f>
        <v>0</v>
      </c>
      <c r="T336" s="211">
        <f>AVERAGE(T334:T335)</f>
        <v>0</v>
      </c>
      <c r="U336" s="210">
        <f>AVERAGE(R336:T336)</f>
        <v>0</v>
      </c>
      <c r="V336" s="211">
        <f>AVERAGE(V334:V335)</f>
        <v>0</v>
      </c>
      <c r="W336" s="211">
        <f>AVERAGE(W334:W335)</f>
        <v>0</v>
      </c>
      <c r="X336" s="211">
        <f>AVERAGE(X334:X335)</f>
        <v>0</v>
      </c>
      <c r="Y336" s="210">
        <f>AVERAGE(V336:X336)</f>
        <v>0</v>
      </c>
    </row>
    <row r="337" spans="1:25" ht="12.75" hidden="1" customHeight="1" outlineLevel="2" x14ac:dyDescent="0.2">
      <c r="A337" s="97"/>
      <c r="B337" s="6"/>
      <c r="C337" s="6"/>
      <c r="D337" s="6"/>
      <c r="E337" s="97"/>
      <c r="F337" s="6"/>
      <c r="G337" s="6"/>
      <c r="H337" s="6"/>
      <c r="I337" s="97"/>
      <c r="J337" s="6"/>
      <c r="K337" s="6"/>
      <c r="L337" s="6"/>
      <c r="M337" s="97"/>
      <c r="N337" s="6"/>
      <c r="O337" s="6"/>
      <c r="P337" s="6"/>
      <c r="Q337" s="97"/>
      <c r="R337" s="6"/>
      <c r="S337" s="6"/>
      <c r="T337" s="6"/>
      <c r="U337" s="97"/>
      <c r="V337" s="6"/>
      <c r="W337" s="6"/>
      <c r="X337" s="6"/>
      <c r="Y337" s="97"/>
    </row>
    <row r="338" spans="1:25" ht="12.75" hidden="1" customHeight="1" outlineLevel="2" x14ac:dyDescent="0.2">
      <c r="A338" s="191" t="str">
        <f>Labels!B152</f>
        <v>Practice Dev Prof Spending</v>
      </c>
      <c r="B338" s="192"/>
      <c r="C338" s="192"/>
      <c r="D338" s="192"/>
      <c r="E338" s="190"/>
      <c r="F338" s="192"/>
      <c r="G338" s="192"/>
      <c r="H338" s="192"/>
      <c r="I338" s="190"/>
      <c r="J338" s="192"/>
      <c r="K338" s="192"/>
      <c r="L338" s="192"/>
      <c r="M338" s="190"/>
      <c r="N338" s="192"/>
      <c r="O338" s="192"/>
      <c r="P338" s="192"/>
      <c r="Q338" s="190"/>
      <c r="R338" s="192"/>
      <c r="S338" s="192"/>
      <c r="T338" s="192"/>
      <c r="U338" s="190"/>
      <c r="V338" s="192"/>
      <c r="W338" s="192"/>
      <c r="X338" s="192"/>
      <c r="Y338" s="190"/>
    </row>
    <row r="339" spans="1:25" ht="12.75" hidden="1" customHeight="1" outlineLevel="2" x14ac:dyDescent="0.2">
      <c r="A339" s="188" t="str">
        <f>"   "&amp;Labels!B381</f>
        <v xml:space="preserve">   Practice 1</v>
      </c>
      <c r="B339" s="196"/>
      <c r="C339" s="196"/>
      <c r="D339" s="196"/>
      <c r="E339" s="197"/>
      <c r="F339" s="196"/>
      <c r="G339" s="196"/>
      <c r="H339" s="196"/>
      <c r="I339" s="197"/>
      <c r="J339" s="196"/>
      <c r="K339" s="196"/>
      <c r="L339" s="196"/>
      <c r="M339" s="197"/>
      <c r="N339" s="196"/>
      <c r="O339" s="196"/>
      <c r="P339" s="196"/>
      <c r="Q339" s="197"/>
      <c r="R339" s="196"/>
      <c r="S339" s="196"/>
      <c r="T339" s="196"/>
      <c r="U339" s="197"/>
      <c r="V339" s="196"/>
      <c r="W339" s="196"/>
      <c r="X339" s="196"/>
      <c r="Y339" s="197"/>
    </row>
    <row r="340" spans="1:25" ht="12.75" hidden="1" customHeight="1" outlineLevel="2" x14ac:dyDescent="0.2">
      <c r="A340" s="198" t="str">
        <f>"      "&amp;Labels!B385</f>
        <v xml:space="preserve">      Prof Level 1</v>
      </c>
      <c r="B340" s="226">
        <f>B411*'GM CostSvcs'!B462</f>
        <v>0</v>
      </c>
      <c r="C340" s="226">
        <f>C411*'GM CostSvcs'!C462</f>
        <v>0</v>
      </c>
      <c r="D340" s="226">
        <f>D411*'GM CostSvcs'!D462</f>
        <v>0</v>
      </c>
      <c r="E340" s="227">
        <f>SUM(B340:D340)</f>
        <v>0</v>
      </c>
      <c r="F340" s="226">
        <f>F411*'GM CostSvcs'!F462</f>
        <v>0</v>
      </c>
      <c r="G340" s="226">
        <f>G411*'GM CostSvcs'!G462</f>
        <v>0</v>
      </c>
      <c r="H340" s="226">
        <f>H411*'GM CostSvcs'!H462</f>
        <v>0</v>
      </c>
      <c r="I340" s="227">
        <f>SUM(F340:H340)</f>
        <v>0</v>
      </c>
      <c r="J340" s="226">
        <f>J411*'GM CostSvcs'!J462</f>
        <v>0</v>
      </c>
      <c r="K340" s="226">
        <f>K411*'GM CostSvcs'!K462</f>
        <v>0</v>
      </c>
      <c r="L340" s="226">
        <f>L411*'GM CostSvcs'!L462</f>
        <v>0</v>
      </c>
      <c r="M340" s="227">
        <f>SUM(J340:L340)</f>
        <v>0</v>
      </c>
      <c r="N340" s="226">
        <f>N411*'GM CostSvcs'!N462</f>
        <v>0</v>
      </c>
      <c r="O340" s="226">
        <f>O411*'GM CostSvcs'!O462</f>
        <v>0</v>
      </c>
      <c r="P340" s="226">
        <f>P411*'GM CostSvcs'!P462</f>
        <v>0</v>
      </c>
      <c r="Q340" s="227">
        <f>SUM(N340:P340)</f>
        <v>0</v>
      </c>
      <c r="R340" s="226">
        <f>R411*'GM CostSvcs'!R462</f>
        <v>0</v>
      </c>
      <c r="S340" s="226">
        <f>S411*'GM CostSvcs'!S462</f>
        <v>0</v>
      </c>
      <c r="T340" s="226">
        <f>T411*'GM CostSvcs'!T462</f>
        <v>0</v>
      </c>
      <c r="U340" s="227">
        <f>SUM(R340:T340)</f>
        <v>0</v>
      </c>
      <c r="V340" s="226">
        <f>V411*'GM CostSvcs'!V462</f>
        <v>0</v>
      </c>
      <c r="W340" s="226">
        <f>W411*'GM CostSvcs'!W462</f>
        <v>0</v>
      </c>
      <c r="X340" s="226">
        <f>X411*'GM CostSvcs'!X462</f>
        <v>0</v>
      </c>
      <c r="Y340" s="227">
        <f>SUM(V340:X340)</f>
        <v>0</v>
      </c>
    </row>
    <row r="341" spans="1:25" ht="12.75" hidden="1" customHeight="1" outlineLevel="2" x14ac:dyDescent="0.2">
      <c r="A341" s="198" t="str">
        <f>"      "&amp;Labels!B386</f>
        <v xml:space="preserve">      Prof Level 2</v>
      </c>
      <c r="B341" s="226">
        <f>B412*'GM CostSvcs'!B463</f>
        <v>0</v>
      </c>
      <c r="C341" s="226">
        <f>C412*'GM CostSvcs'!C463</f>
        <v>0</v>
      </c>
      <c r="D341" s="226">
        <f>D412*'GM CostSvcs'!D463</f>
        <v>0</v>
      </c>
      <c r="E341" s="227">
        <f>SUM(B341:D341)</f>
        <v>0</v>
      </c>
      <c r="F341" s="226">
        <f>F412*'GM CostSvcs'!F463</f>
        <v>0</v>
      </c>
      <c r="G341" s="226">
        <f>G412*'GM CostSvcs'!G463</f>
        <v>0</v>
      </c>
      <c r="H341" s="226">
        <f>H412*'GM CostSvcs'!H463</f>
        <v>0</v>
      </c>
      <c r="I341" s="227">
        <f>SUM(F341:H341)</f>
        <v>0</v>
      </c>
      <c r="J341" s="226">
        <f>J412*'GM CostSvcs'!J463</f>
        <v>0</v>
      </c>
      <c r="K341" s="226">
        <f>K412*'GM CostSvcs'!K463</f>
        <v>0</v>
      </c>
      <c r="L341" s="226">
        <f>L412*'GM CostSvcs'!L463</f>
        <v>0</v>
      </c>
      <c r="M341" s="227">
        <f>SUM(J341:L341)</f>
        <v>0</v>
      </c>
      <c r="N341" s="226">
        <f>N412*'GM CostSvcs'!N463</f>
        <v>0</v>
      </c>
      <c r="O341" s="226">
        <f>O412*'GM CostSvcs'!O463</f>
        <v>0</v>
      </c>
      <c r="P341" s="226">
        <f>P412*'GM CostSvcs'!P463</f>
        <v>0</v>
      </c>
      <c r="Q341" s="227">
        <f>SUM(N341:P341)</f>
        <v>0</v>
      </c>
      <c r="R341" s="226">
        <f>R412*'GM CostSvcs'!R463</f>
        <v>0</v>
      </c>
      <c r="S341" s="226">
        <f>S412*'GM CostSvcs'!S463</f>
        <v>0</v>
      </c>
      <c r="T341" s="226">
        <f>T412*'GM CostSvcs'!T463</f>
        <v>0</v>
      </c>
      <c r="U341" s="227">
        <f>SUM(R341:T341)</f>
        <v>0</v>
      </c>
      <c r="V341" s="226">
        <f>V412*'GM CostSvcs'!V463</f>
        <v>0</v>
      </c>
      <c r="W341" s="226">
        <f>W412*'GM CostSvcs'!W463</f>
        <v>0</v>
      </c>
      <c r="X341" s="226">
        <f>X412*'GM CostSvcs'!X463</f>
        <v>0</v>
      </c>
      <c r="Y341" s="227">
        <f>SUM(V341:X341)</f>
        <v>0</v>
      </c>
    </row>
    <row r="342" spans="1:25" ht="12.75" hidden="1" customHeight="1" outlineLevel="2" x14ac:dyDescent="0.2">
      <c r="A342" s="188" t="str">
        <f>"      "&amp;Labels!C384</f>
        <v xml:space="preserve">      Total</v>
      </c>
      <c r="B342" s="196">
        <f>SUM(B340:B341)</f>
        <v>0</v>
      </c>
      <c r="C342" s="196">
        <f>SUM(C340:C341)</f>
        <v>0</v>
      </c>
      <c r="D342" s="196">
        <f>SUM(D340:D341)</f>
        <v>0</v>
      </c>
      <c r="E342" s="197">
        <f>SUM(B342:D342)</f>
        <v>0</v>
      </c>
      <c r="F342" s="196">
        <f>SUM(F340:F341)</f>
        <v>0</v>
      </c>
      <c r="G342" s="196">
        <f>SUM(G340:G341)</f>
        <v>0</v>
      </c>
      <c r="H342" s="196">
        <f>SUM(H340:H341)</f>
        <v>0</v>
      </c>
      <c r="I342" s="197">
        <f>SUM(F342:H342)</f>
        <v>0</v>
      </c>
      <c r="J342" s="196">
        <f>SUM(J340:J341)</f>
        <v>0</v>
      </c>
      <c r="K342" s="196">
        <f>SUM(K340:K341)</f>
        <v>0</v>
      </c>
      <c r="L342" s="196">
        <f>SUM(L340:L341)</f>
        <v>0</v>
      </c>
      <c r="M342" s="197">
        <f>SUM(J342:L342)</f>
        <v>0</v>
      </c>
      <c r="N342" s="196">
        <f>SUM(N340:N341)</f>
        <v>0</v>
      </c>
      <c r="O342" s="196">
        <f>SUM(O340:O341)</f>
        <v>0</v>
      </c>
      <c r="P342" s="196">
        <f>SUM(P340:P341)</f>
        <v>0</v>
      </c>
      <c r="Q342" s="197">
        <f>SUM(N342:P342)</f>
        <v>0</v>
      </c>
      <c r="R342" s="196">
        <f>SUM(R340:R341)</f>
        <v>0</v>
      </c>
      <c r="S342" s="196">
        <f>SUM(S340:S341)</f>
        <v>0</v>
      </c>
      <c r="T342" s="196">
        <f>SUM(T340:T341)</f>
        <v>0</v>
      </c>
      <c r="U342" s="197">
        <f>SUM(R342:T342)</f>
        <v>0</v>
      </c>
      <c r="V342" s="196">
        <f>SUM(V340:V341)</f>
        <v>0</v>
      </c>
      <c r="W342" s="196">
        <f>SUM(W340:W341)</f>
        <v>0</v>
      </c>
      <c r="X342" s="196">
        <f>SUM(X340:X341)</f>
        <v>0</v>
      </c>
      <c r="Y342" s="197">
        <f>SUM(V342:X342)</f>
        <v>0</v>
      </c>
    </row>
    <row r="343" spans="1:25" ht="12.75" hidden="1" customHeight="1" outlineLevel="2" x14ac:dyDescent="0.2">
      <c r="A343" s="188" t="str">
        <f>"   "&amp;Labels!B382</f>
        <v xml:space="preserve">   Practice 2</v>
      </c>
      <c r="B343" s="196"/>
      <c r="C343" s="196"/>
      <c r="D343" s="196"/>
      <c r="E343" s="197"/>
      <c r="F343" s="196"/>
      <c r="G343" s="196"/>
      <c r="H343" s="196"/>
      <c r="I343" s="197"/>
      <c r="J343" s="196"/>
      <c r="K343" s="196"/>
      <c r="L343" s="196"/>
      <c r="M343" s="197"/>
      <c r="N343" s="196"/>
      <c r="O343" s="196"/>
      <c r="P343" s="196"/>
      <c r="Q343" s="197"/>
      <c r="R343" s="196"/>
      <c r="S343" s="196"/>
      <c r="T343" s="196"/>
      <c r="U343" s="197"/>
      <c r="V343" s="196"/>
      <c r="W343" s="196"/>
      <c r="X343" s="196"/>
      <c r="Y343" s="197"/>
    </row>
    <row r="344" spans="1:25" ht="12.75" hidden="1" customHeight="1" outlineLevel="2" x14ac:dyDescent="0.2">
      <c r="A344" s="198" t="str">
        <f>"      "&amp;Labels!B385</f>
        <v xml:space="preserve">      Prof Level 1</v>
      </c>
      <c r="B344" s="226">
        <f>B415*'GM CostSvcs'!B466</f>
        <v>0</v>
      </c>
      <c r="C344" s="226">
        <f>C415*'GM CostSvcs'!C466</f>
        <v>0</v>
      </c>
      <c r="D344" s="226">
        <f>D415*'GM CostSvcs'!D466</f>
        <v>0</v>
      </c>
      <c r="E344" s="227">
        <f t="shared" ref="E344:E349" si="196">SUM(B344:D344)</f>
        <v>0</v>
      </c>
      <c r="F344" s="226">
        <f>F415*'GM CostSvcs'!F466</f>
        <v>0</v>
      </c>
      <c r="G344" s="226">
        <f>G415*'GM CostSvcs'!G466</f>
        <v>0</v>
      </c>
      <c r="H344" s="226">
        <f>H415*'GM CostSvcs'!H466</f>
        <v>0</v>
      </c>
      <c r="I344" s="227">
        <f t="shared" ref="I344:I349" si="197">SUM(F344:H344)</f>
        <v>0</v>
      </c>
      <c r="J344" s="226">
        <f>J415*'GM CostSvcs'!J466</f>
        <v>0</v>
      </c>
      <c r="K344" s="226">
        <f>K415*'GM CostSvcs'!K466</f>
        <v>0</v>
      </c>
      <c r="L344" s="226">
        <f>L415*'GM CostSvcs'!L466</f>
        <v>0</v>
      </c>
      <c r="M344" s="227">
        <f t="shared" ref="M344:M349" si="198">SUM(J344:L344)</f>
        <v>0</v>
      </c>
      <c r="N344" s="226">
        <f>N415*'GM CostSvcs'!N466</f>
        <v>0</v>
      </c>
      <c r="O344" s="226">
        <f>O415*'GM CostSvcs'!O466</f>
        <v>0</v>
      </c>
      <c r="P344" s="226">
        <f>P415*'GM CostSvcs'!P466</f>
        <v>0</v>
      </c>
      <c r="Q344" s="227">
        <f t="shared" ref="Q344:Q349" si="199">SUM(N344:P344)</f>
        <v>0</v>
      </c>
      <c r="R344" s="226">
        <f>R415*'GM CostSvcs'!R466</f>
        <v>0</v>
      </c>
      <c r="S344" s="226">
        <f>S415*'GM CostSvcs'!S466</f>
        <v>0</v>
      </c>
      <c r="T344" s="226">
        <f>T415*'GM CostSvcs'!T466</f>
        <v>0</v>
      </c>
      <c r="U344" s="227">
        <f t="shared" ref="U344:U349" si="200">SUM(R344:T344)</f>
        <v>0</v>
      </c>
      <c r="V344" s="226">
        <f>V415*'GM CostSvcs'!V466</f>
        <v>0</v>
      </c>
      <c r="W344" s="226">
        <f>W415*'GM CostSvcs'!W466</f>
        <v>0</v>
      </c>
      <c r="X344" s="226">
        <f>X415*'GM CostSvcs'!X466</f>
        <v>0</v>
      </c>
      <c r="Y344" s="227">
        <f t="shared" ref="Y344:Y349" si="201">SUM(V344:X344)</f>
        <v>0</v>
      </c>
    </row>
    <row r="345" spans="1:25" ht="12.75" hidden="1" customHeight="1" outlineLevel="2" x14ac:dyDescent="0.2">
      <c r="A345" s="198" t="str">
        <f>"      "&amp;Labels!B386</f>
        <v xml:space="preserve">      Prof Level 2</v>
      </c>
      <c r="B345" s="226">
        <f>B416*'GM CostSvcs'!B467</f>
        <v>0</v>
      </c>
      <c r="C345" s="226">
        <f>C416*'GM CostSvcs'!C467</f>
        <v>0</v>
      </c>
      <c r="D345" s="226">
        <f>D416*'GM CostSvcs'!D467</f>
        <v>0</v>
      </c>
      <c r="E345" s="227">
        <f t="shared" si="196"/>
        <v>0</v>
      </c>
      <c r="F345" s="226">
        <f>F416*'GM CostSvcs'!F467</f>
        <v>0</v>
      </c>
      <c r="G345" s="226">
        <f>G416*'GM CostSvcs'!G467</f>
        <v>0</v>
      </c>
      <c r="H345" s="226">
        <f>H416*'GM CostSvcs'!H467</f>
        <v>0</v>
      </c>
      <c r="I345" s="227">
        <f t="shared" si="197"/>
        <v>0</v>
      </c>
      <c r="J345" s="226">
        <f>J416*'GM CostSvcs'!J467</f>
        <v>0</v>
      </c>
      <c r="K345" s="226">
        <f>K416*'GM CostSvcs'!K467</f>
        <v>0</v>
      </c>
      <c r="L345" s="226">
        <f>L416*'GM CostSvcs'!L467</f>
        <v>0</v>
      </c>
      <c r="M345" s="227">
        <f t="shared" si="198"/>
        <v>0</v>
      </c>
      <c r="N345" s="226">
        <f>N416*'GM CostSvcs'!N467</f>
        <v>0</v>
      </c>
      <c r="O345" s="226">
        <f>O416*'GM CostSvcs'!O467</f>
        <v>0</v>
      </c>
      <c r="P345" s="226">
        <f>P416*'GM CostSvcs'!P467</f>
        <v>0</v>
      </c>
      <c r="Q345" s="227">
        <f t="shared" si="199"/>
        <v>0</v>
      </c>
      <c r="R345" s="226">
        <f>R416*'GM CostSvcs'!R467</f>
        <v>0</v>
      </c>
      <c r="S345" s="226">
        <f>S416*'GM CostSvcs'!S467</f>
        <v>0</v>
      </c>
      <c r="T345" s="226">
        <f>T416*'GM CostSvcs'!T467</f>
        <v>0</v>
      </c>
      <c r="U345" s="227">
        <f t="shared" si="200"/>
        <v>0</v>
      </c>
      <c r="V345" s="226">
        <f>V416*'GM CostSvcs'!V467</f>
        <v>0</v>
      </c>
      <c r="W345" s="226">
        <f>W416*'GM CostSvcs'!W467</f>
        <v>0</v>
      </c>
      <c r="X345" s="226">
        <f>X416*'GM CostSvcs'!X467</f>
        <v>0</v>
      </c>
      <c r="Y345" s="227">
        <f t="shared" si="201"/>
        <v>0</v>
      </c>
    </row>
    <row r="346" spans="1:25" ht="12.75" hidden="1" customHeight="1" outlineLevel="2" x14ac:dyDescent="0.2">
      <c r="A346" s="188" t="str">
        <f>"      "&amp;Labels!C384</f>
        <v xml:space="preserve">      Total</v>
      </c>
      <c r="B346" s="196">
        <f>SUM(B344:B345)</f>
        <v>0</v>
      </c>
      <c r="C346" s="196">
        <f>SUM(C344:C345)</f>
        <v>0</v>
      </c>
      <c r="D346" s="196">
        <f>SUM(D344:D345)</f>
        <v>0</v>
      </c>
      <c r="E346" s="197">
        <f t="shared" si="196"/>
        <v>0</v>
      </c>
      <c r="F346" s="196">
        <f>SUM(F344:F345)</f>
        <v>0</v>
      </c>
      <c r="G346" s="196">
        <f>SUM(G344:G345)</f>
        <v>0</v>
      </c>
      <c r="H346" s="196">
        <f>SUM(H344:H345)</f>
        <v>0</v>
      </c>
      <c r="I346" s="197">
        <f t="shared" si="197"/>
        <v>0</v>
      </c>
      <c r="J346" s="196">
        <f>SUM(J344:J345)</f>
        <v>0</v>
      </c>
      <c r="K346" s="196">
        <f>SUM(K344:K345)</f>
        <v>0</v>
      </c>
      <c r="L346" s="196">
        <f>SUM(L344:L345)</f>
        <v>0</v>
      </c>
      <c r="M346" s="197">
        <f t="shared" si="198"/>
        <v>0</v>
      </c>
      <c r="N346" s="196">
        <f>SUM(N344:N345)</f>
        <v>0</v>
      </c>
      <c r="O346" s="196">
        <f>SUM(O344:O345)</f>
        <v>0</v>
      </c>
      <c r="P346" s="196">
        <f>SUM(P344:P345)</f>
        <v>0</v>
      </c>
      <c r="Q346" s="197">
        <f t="shared" si="199"/>
        <v>0</v>
      </c>
      <c r="R346" s="196">
        <f>SUM(R344:R345)</f>
        <v>0</v>
      </c>
      <c r="S346" s="196">
        <f>SUM(S344:S345)</f>
        <v>0</v>
      </c>
      <c r="T346" s="196">
        <f>SUM(T344:T345)</f>
        <v>0</v>
      </c>
      <c r="U346" s="197">
        <f t="shared" si="200"/>
        <v>0</v>
      </c>
      <c r="V346" s="196">
        <f>SUM(V344:V345)</f>
        <v>0</v>
      </c>
      <c r="W346" s="196">
        <f>SUM(W344:W345)</f>
        <v>0</v>
      </c>
      <c r="X346" s="196">
        <f>SUM(X344:X345)</f>
        <v>0</v>
      </c>
      <c r="Y346" s="197">
        <f t="shared" si="201"/>
        <v>0</v>
      </c>
    </row>
    <row r="347" spans="1:25" ht="12.75" hidden="1" customHeight="1" outlineLevel="2" x14ac:dyDescent="0.2">
      <c r="A347" s="191" t="str">
        <f>"   "&amp;Labels!C380</f>
        <v xml:space="preserve">   Total</v>
      </c>
      <c r="B347" s="192">
        <f>SUM(B342,B346)</f>
        <v>0</v>
      </c>
      <c r="C347" s="192">
        <f>SUM(C342,C346)</f>
        <v>0</v>
      </c>
      <c r="D347" s="192">
        <f>SUM(D342,D346)</f>
        <v>0</v>
      </c>
      <c r="E347" s="190">
        <f t="shared" si="196"/>
        <v>0</v>
      </c>
      <c r="F347" s="192">
        <f>SUM(F342,F346)</f>
        <v>0</v>
      </c>
      <c r="G347" s="192">
        <f>SUM(G342,G346)</f>
        <v>0</v>
      </c>
      <c r="H347" s="192">
        <f>SUM(H342,H346)</f>
        <v>0</v>
      </c>
      <c r="I347" s="190">
        <f t="shared" si="197"/>
        <v>0</v>
      </c>
      <c r="J347" s="192">
        <f>SUM(J342,J346)</f>
        <v>0</v>
      </c>
      <c r="K347" s="192">
        <f>SUM(K342,K346)</f>
        <v>0</v>
      </c>
      <c r="L347" s="192">
        <f>SUM(L342,L346)</f>
        <v>0</v>
      </c>
      <c r="M347" s="190">
        <f t="shared" si="198"/>
        <v>0</v>
      </c>
      <c r="N347" s="192">
        <f>SUM(N342,N346)</f>
        <v>0</v>
      </c>
      <c r="O347" s="192">
        <f>SUM(O342,O346)</f>
        <v>0</v>
      </c>
      <c r="P347" s="192">
        <f>SUM(P342,P346)</f>
        <v>0</v>
      </c>
      <c r="Q347" s="190">
        <f t="shared" si="199"/>
        <v>0</v>
      </c>
      <c r="R347" s="192">
        <f>SUM(R342,R346)</f>
        <v>0</v>
      </c>
      <c r="S347" s="192">
        <f>SUM(S342,S346)</f>
        <v>0</v>
      </c>
      <c r="T347" s="192">
        <f>SUM(T342,T346)</f>
        <v>0</v>
      </c>
      <c r="U347" s="190">
        <f t="shared" si="200"/>
        <v>0</v>
      </c>
      <c r="V347" s="192">
        <f>SUM(V342,V346)</f>
        <v>0</v>
      </c>
      <c r="W347" s="192">
        <f>SUM(W342,W346)</f>
        <v>0</v>
      </c>
      <c r="X347" s="192">
        <f>SUM(X342,X346)</f>
        <v>0</v>
      </c>
      <c r="Y347" s="190">
        <f t="shared" si="201"/>
        <v>0</v>
      </c>
    </row>
    <row r="348" spans="1:25" ht="12.75" hidden="1" customHeight="1" outlineLevel="2" x14ac:dyDescent="0.2">
      <c r="A348" s="198" t="str">
        <f>"      "&amp;Labels!B385</f>
        <v xml:space="preserve">      Prof Level 1</v>
      </c>
      <c r="B348" s="226">
        <f t="shared" ref="B348:D350" si="202">SUM(B340,B344)</f>
        <v>0</v>
      </c>
      <c r="C348" s="226">
        <f t="shared" si="202"/>
        <v>0</v>
      </c>
      <c r="D348" s="226">
        <f t="shared" si="202"/>
        <v>0</v>
      </c>
      <c r="E348" s="227">
        <f t="shared" si="196"/>
        <v>0</v>
      </c>
      <c r="F348" s="226">
        <f t="shared" ref="F348:H350" si="203">SUM(F340,F344)</f>
        <v>0</v>
      </c>
      <c r="G348" s="226">
        <f t="shared" si="203"/>
        <v>0</v>
      </c>
      <c r="H348" s="226">
        <f t="shared" si="203"/>
        <v>0</v>
      </c>
      <c r="I348" s="227">
        <f t="shared" si="197"/>
        <v>0</v>
      </c>
      <c r="J348" s="226">
        <f t="shared" ref="J348:L350" si="204">SUM(J340,J344)</f>
        <v>0</v>
      </c>
      <c r="K348" s="226">
        <f t="shared" si="204"/>
        <v>0</v>
      </c>
      <c r="L348" s="226">
        <f t="shared" si="204"/>
        <v>0</v>
      </c>
      <c r="M348" s="227">
        <f t="shared" si="198"/>
        <v>0</v>
      </c>
      <c r="N348" s="226">
        <f t="shared" ref="N348:P350" si="205">SUM(N340,N344)</f>
        <v>0</v>
      </c>
      <c r="O348" s="226">
        <f t="shared" si="205"/>
        <v>0</v>
      </c>
      <c r="P348" s="226">
        <f t="shared" si="205"/>
        <v>0</v>
      </c>
      <c r="Q348" s="227">
        <f t="shared" si="199"/>
        <v>0</v>
      </c>
      <c r="R348" s="226">
        <f t="shared" ref="R348:T350" si="206">SUM(R340,R344)</f>
        <v>0</v>
      </c>
      <c r="S348" s="226">
        <f t="shared" si="206"/>
        <v>0</v>
      </c>
      <c r="T348" s="226">
        <f t="shared" si="206"/>
        <v>0</v>
      </c>
      <c r="U348" s="227">
        <f t="shared" si="200"/>
        <v>0</v>
      </c>
      <c r="V348" s="226">
        <f t="shared" ref="V348:X350" si="207">SUM(V340,V344)</f>
        <v>0</v>
      </c>
      <c r="W348" s="226">
        <f t="shared" si="207"/>
        <v>0</v>
      </c>
      <c r="X348" s="226">
        <f t="shared" si="207"/>
        <v>0</v>
      </c>
      <c r="Y348" s="227">
        <f t="shared" si="201"/>
        <v>0</v>
      </c>
    </row>
    <row r="349" spans="1:25" ht="12.75" hidden="1" customHeight="1" outlineLevel="2" x14ac:dyDescent="0.2">
      <c r="A349" s="198" t="str">
        <f>"      "&amp;Labels!B386</f>
        <v xml:space="preserve">      Prof Level 2</v>
      </c>
      <c r="B349" s="226">
        <f t="shared" si="202"/>
        <v>0</v>
      </c>
      <c r="C349" s="226">
        <f t="shared" si="202"/>
        <v>0</v>
      </c>
      <c r="D349" s="226">
        <f t="shared" si="202"/>
        <v>0</v>
      </c>
      <c r="E349" s="227">
        <f t="shared" si="196"/>
        <v>0</v>
      </c>
      <c r="F349" s="226">
        <f t="shared" si="203"/>
        <v>0</v>
      </c>
      <c r="G349" s="226">
        <f t="shared" si="203"/>
        <v>0</v>
      </c>
      <c r="H349" s="226">
        <f t="shared" si="203"/>
        <v>0</v>
      </c>
      <c r="I349" s="227">
        <f t="shared" si="197"/>
        <v>0</v>
      </c>
      <c r="J349" s="226">
        <f t="shared" si="204"/>
        <v>0</v>
      </c>
      <c r="K349" s="226">
        <f t="shared" si="204"/>
        <v>0</v>
      </c>
      <c r="L349" s="226">
        <f t="shared" si="204"/>
        <v>0</v>
      </c>
      <c r="M349" s="227">
        <f t="shared" si="198"/>
        <v>0</v>
      </c>
      <c r="N349" s="226">
        <f t="shared" si="205"/>
        <v>0</v>
      </c>
      <c r="O349" s="226">
        <f t="shared" si="205"/>
        <v>0</v>
      </c>
      <c r="P349" s="226">
        <f t="shared" si="205"/>
        <v>0</v>
      </c>
      <c r="Q349" s="227">
        <f t="shared" si="199"/>
        <v>0</v>
      </c>
      <c r="R349" s="226">
        <f t="shared" si="206"/>
        <v>0</v>
      </c>
      <c r="S349" s="226">
        <f t="shared" si="206"/>
        <v>0</v>
      </c>
      <c r="T349" s="226">
        <f t="shared" si="206"/>
        <v>0</v>
      </c>
      <c r="U349" s="227">
        <f t="shared" si="200"/>
        <v>0</v>
      </c>
      <c r="V349" s="226">
        <f t="shared" si="207"/>
        <v>0</v>
      </c>
      <c r="W349" s="226">
        <f t="shared" si="207"/>
        <v>0</v>
      </c>
      <c r="X349" s="226">
        <f t="shared" si="207"/>
        <v>0</v>
      </c>
      <c r="Y349" s="227">
        <f t="shared" si="201"/>
        <v>0</v>
      </c>
    </row>
    <row r="350" spans="1:25" ht="12.75" hidden="1" customHeight="1" outlineLevel="2" x14ac:dyDescent="0.2">
      <c r="A350" s="188" t="str">
        <f>"      "&amp;Labels!C384</f>
        <v xml:space="preserve">      Total</v>
      </c>
      <c r="B350" s="196">
        <f t="shared" si="202"/>
        <v>0</v>
      </c>
      <c r="C350" s="196">
        <f t="shared" si="202"/>
        <v>0</v>
      </c>
      <c r="D350" s="196">
        <f t="shared" si="202"/>
        <v>0</v>
      </c>
      <c r="E350" s="197">
        <f>SUM(B347:D347)</f>
        <v>0</v>
      </c>
      <c r="F350" s="196">
        <f t="shared" si="203"/>
        <v>0</v>
      </c>
      <c r="G350" s="196">
        <f t="shared" si="203"/>
        <v>0</v>
      </c>
      <c r="H350" s="196">
        <f t="shared" si="203"/>
        <v>0</v>
      </c>
      <c r="I350" s="197">
        <f>SUM(F347:H347)</f>
        <v>0</v>
      </c>
      <c r="J350" s="196">
        <f t="shared" si="204"/>
        <v>0</v>
      </c>
      <c r="K350" s="196">
        <f t="shared" si="204"/>
        <v>0</v>
      </c>
      <c r="L350" s="196">
        <f t="shared" si="204"/>
        <v>0</v>
      </c>
      <c r="M350" s="197">
        <f>SUM(J347:L347)</f>
        <v>0</v>
      </c>
      <c r="N350" s="196">
        <f t="shared" si="205"/>
        <v>0</v>
      </c>
      <c r="O350" s="196">
        <f t="shared" si="205"/>
        <v>0</v>
      </c>
      <c r="P350" s="196">
        <f t="shared" si="205"/>
        <v>0</v>
      </c>
      <c r="Q350" s="197">
        <f>SUM(N347:P347)</f>
        <v>0</v>
      </c>
      <c r="R350" s="196">
        <f t="shared" si="206"/>
        <v>0</v>
      </c>
      <c r="S350" s="196">
        <f t="shared" si="206"/>
        <v>0</v>
      </c>
      <c r="T350" s="196">
        <f t="shared" si="206"/>
        <v>0</v>
      </c>
      <c r="U350" s="197">
        <f>SUM(R347:T347)</f>
        <v>0</v>
      </c>
      <c r="V350" s="196">
        <f t="shared" si="207"/>
        <v>0</v>
      </c>
      <c r="W350" s="196">
        <f t="shared" si="207"/>
        <v>0</v>
      </c>
      <c r="X350" s="196">
        <f t="shared" si="207"/>
        <v>0</v>
      </c>
      <c r="Y350" s="197">
        <f>SUM(V347:X347)</f>
        <v>0</v>
      </c>
    </row>
    <row r="351" spans="1:25" ht="12.75" hidden="1" customHeight="1" outlineLevel="2" x14ac:dyDescent="0.2">
      <c r="A351" s="97"/>
      <c r="B351" s="6"/>
      <c r="C351" s="6"/>
      <c r="D351" s="6"/>
      <c r="E351" s="97"/>
      <c r="F351" s="6"/>
      <c r="G351" s="6"/>
      <c r="H351" s="6"/>
      <c r="I351" s="97"/>
      <c r="J351" s="6"/>
      <c r="K351" s="6"/>
      <c r="L351" s="6"/>
      <c r="M351" s="97"/>
      <c r="N351" s="6"/>
      <c r="O351" s="6"/>
      <c r="P351" s="6"/>
      <c r="Q351" s="97"/>
      <c r="R351" s="6"/>
      <c r="S351" s="6"/>
      <c r="T351" s="6"/>
      <c r="U351" s="97"/>
      <c r="V351" s="6"/>
      <c r="W351" s="6"/>
      <c r="X351" s="6"/>
      <c r="Y351" s="97"/>
    </row>
    <row r="352" spans="1:25" ht="12.75" hidden="1" customHeight="1" outlineLevel="2" x14ac:dyDescent="0.2">
      <c r="A352" s="191" t="str">
        <f>Labels!B156</f>
        <v>Practice Dev Sup Staff Spend</v>
      </c>
      <c r="B352" s="247"/>
      <c r="C352" s="247"/>
      <c r="D352" s="247"/>
      <c r="E352" s="205"/>
      <c r="F352" s="247"/>
      <c r="G352" s="247"/>
      <c r="H352" s="247"/>
      <c r="I352" s="205"/>
      <c r="J352" s="247"/>
      <c r="K352" s="247"/>
      <c r="L352" s="247"/>
      <c r="M352" s="205"/>
      <c r="N352" s="247"/>
      <c r="O352" s="247"/>
      <c r="P352" s="247"/>
      <c r="Q352" s="205"/>
      <c r="R352" s="247"/>
      <c r="S352" s="247"/>
      <c r="T352" s="247"/>
      <c r="U352" s="205"/>
      <c r="V352" s="247"/>
      <c r="W352" s="247"/>
      <c r="X352" s="247"/>
      <c r="Y352" s="205"/>
    </row>
    <row r="353" spans="1:25" ht="12.75" hidden="1" customHeight="1" outlineLevel="2" x14ac:dyDescent="0.2">
      <c r="A353" s="188" t="str">
        <f>"   "&amp;Labels!B381</f>
        <v xml:space="preserve">   Practice 1</v>
      </c>
      <c r="B353" s="248"/>
      <c r="C353" s="248"/>
      <c r="D353" s="248"/>
      <c r="E353" s="249"/>
      <c r="F353" s="248"/>
      <c r="G353" s="248"/>
      <c r="H353" s="248"/>
      <c r="I353" s="249"/>
      <c r="J353" s="248"/>
      <c r="K353" s="248"/>
      <c r="L353" s="248"/>
      <c r="M353" s="249"/>
      <c r="N353" s="248"/>
      <c r="O353" s="248"/>
      <c r="P353" s="248"/>
      <c r="Q353" s="249"/>
      <c r="R353" s="248"/>
      <c r="S353" s="248"/>
      <c r="T353" s="248"/>
      <c r="U353" s="249"/>
      <c r="V353" s="248"/>
      <c r="W353" s="248"/>
      <c r="X353" s="248"/>
      <c r="Y353" s="249"/>
    </row>
    <row r="354" spans="1:25" ht="12.75" hidden="1" customHeight="1" outlineLevel="2" x14ac:dyDescent="0.2">
      <c r="A354" s="198" t="str">
        <f>"      "&amp;Labels!B321</f>
        <v xml:space="preserve">      Marketing</v>
      </c>
      <c r="B354" s="250"/>
      <c r="C354" s="250"/>
      <c r="D354" s="250"/>
      <c r="E354" s="251"/>
      <c r="F354" s="250"/>
      <c r="G354" s="250"/>
      <c r="H354" s="250"/>
      <c r="I354" s="251"/>
      <c r="J354" s="250"/>
      <c r="K354" s="250"/>
      <c r="L354" s="250"/>
      <c r="M354" s="251"/>
      <c r="N354" s="250"/>
      <c r="O354" s="250"/>
      <c r="P354" s="250"/>
      <c r="Q354" s="251"/>
      <c r="R354" s="250"/>
      <c r="S354" s="250"/>
      <c r="T354" s="250"/>
      <c r="U354" s="251"/>
      <c r="V354" s="250"/>
      <c r="W354" s="250"/>
      <c r="X354" s="250"/>
      <c r="Y354" s="251"/>
    </row>
    <row r="355" spans="1:25" ht="12.75" hidden="1" customHeight="1" outlineLevel="2" x14ac:dyDescent="0.2">
      <c r="A355" s="198" t="str">
        <f>"         "&amp;Labels!B393</f>
        <v xml:space="preserve">         Manager</v>
      </c>
      <c r="B355" s="204">
        <f>IF('Sup Staff'!B23=0,0,'Sup Staff'!B67*B426/'Sup Staff'!B23)</f>
        <v>0</v>
      </c>
      <c r="C355" s="204">
        <f>IF('Sup Staff'!C23=0,0,'Sup Staff'!C67*C426/'Sup Staff'!C23)</f>
        <v>0</v>
      </c>
      <c r="D355" s="204">
        <f>IF('Sup Staff'!D23=0,0,'Sup Staff'!D67*D426/'Sup Staff'!D23)</f>
        <v>0</v>
      </c>
      <c r="E355" s="205">
        <f>SUM(B355:D355)</f>
        <v>0</v>
      </c>
      <c r="F355" s="204">
        <f>IF('Sup Staff'!F23=0,0,'Sup Staff'!F67*F426/'Sup Staff'!F23)</f>
        <v>0</v>
      </c>
      <c r="G355" s="204">
        <f>IF('Sup Staff'!G23=0,0,'Sup Staff'!G67*G426/'Sup Staff'!G23)</f>
        <v>0</v>
      </c>
      <c r="H355" s="204">
        <f>IF('Sup Staff'!H23=0,0,'Sup Staff'!H67*H426/'Sup Staff'!H23)</f>
        <v>0</v>
      </c>
      <c r="I355" s="205">
        <f>SUM(F355:H355)</f>
        <v>0</v>
      </c>
      <c r="J355" s="204">
        <f>IF('Sup Staff'!J23=0,0,'Sup Staff'!J67*J426/'Sup Staff'!J23)</f>
        <v>0</v>
      </c>
      <c r="K355" s="204">
        <f>IF('Sup Staff'!K23=0,0,'Sup Staff'!K67*K426/'Sup Staff'!K23)</f>
        <v>0</v>
      </c>
      <c r="L355" s="204">
        <f>IF('Sup Staff'!L23=0,0,'Sup Staff'!L67*L426/'Sup Staff'!L23)</f>
        <v>0</v>
      </c>
      <c r="M355" s="205">
        <f>SUM(J355:L355)</f>
        <v>0</v>
      </c>
      <c r="N355" s="204">
        <f>IF('Sup Staff'!N23=0,0,'Sup Staff'!N67*N426/'Sup Staff'!N23)</f>
        <v>0</v>
      </c>
      <c r="O355" s="204">
        <f>IF('Sup Staff'!O23=0,0,'Sup Staff'!O67*O426/'Sup Staff'!O23)</f>
        <v>0</v>
      </c>
      <c r="P355" s="204">
        <f>IF('Sup Staff'!P23=0,0,'Sup Staff'!P67*P426/'Sup Staff'!P23)</f>
        <v>0</v>
      </c>
      <c r="Q355" s="205">
        <f>SUM(N355:P355)</f>
        <v>0</v>
      </c>
      <c r="R355" s="204">
        <f>IF('Sup Staff'!R23=0,0,'Sup Staff'!R67*R426/'Sup Staff'!R23)</f>
        <v>0</v>
      </c>
      <c r="S355" s="204">
        <f>IF('Sup Staff'!S23=0,0,'Sup Staff'!S67*S426/'Sup Staff'!S23)</f>
        <v>0</v>
      </c>
      <c r="T355" s="204">
        <f>IF('Sup Staff'!T23=0,0,'Sup Staff'!T67*T426/'Sup Staff'!T23)</f>
        <v>0</v>
      </c>
      <c r="U355" s="205">
        <f>SUM(R355:T355)</f>
        <v>0</v>
      </c>
      <c r="V355" s="204">
        <f>IF('Sup Staff'!V23=0,0,'Sup Staff'!V67*V426/'Sup Staff'!V23)</f>
        <v>0</v>
      </c>
      <c r="W355" s="204">
        <f>IF('Sup Staff'!W23=0,0,'Sup Staff'!W67*W426/'Sup Staff'!W23)</f>
        <v>0</v>
      </c>
      <c r="X355" s="204">
        <f>IF('Sup Staff'!X23=0,0,'Sup Staff'!X67*X426/'Sup Staff'!X23)</f>
        <v>0</v>
      </c>
      <c r="Y355" s="205">
        <f>SUM(V355:X355)</f>
        <v>0</v>
      </c>
    </row>
    <row r="356" spans="1:25" ht="12.75" hidden="1" customHeight="1" outlineLevel="2" x14ac:dyDescent="0.2">
      <c r="A356" s="198" t="str">
        <f>"         "&amp;Labels!B394</f>
        <v xml:space="preserve">         Contributor</v>
      </c>
      <c r="B356" s="204">
        <f>IF('Sup Staff'!B24=0,0,'Sup Staff'!B68*B427/'Sup Staff'!B24)</f>
        <v>0</v>
      </c>
      <c r="C356" s="204">
        <f>IF('Sup Staff'!C24=0,0,'Sup Staff'!C68*C427/'Sup Staff'!C24)</f>
        <v>0</v>
      </c>
      <c r="D356" s="204">
        <f>IF('Sup Staff'!D24=0,0,'Sup Staff'!D68*D427/'Sup Staff'!D24)</f>
        <v>0</v>
      </c>
      <c r="E356" s="205">
        <f>SUM(B356:D356)</f>
        <v>0</v>
      </c>
      <c r="F356" s="204">
        <f>IF('Sup Staff'!F24=0,0,'Sup Staff'!F68*F427/'Sup Staff'!F24)</f>
        <v>0</v>
      </c>
      <c r="G356" s="204">
        <f>IF('Sup Staff'!G24=0,0,'Sup Staff'!G68*G427/'Sup Staff'!G24)</f>
        <v>0</v>
      </c>
      <c r="H356" s="204">
        <f>IF('Sup Staff'!H24=0,0,'Sup Staff'!H68*H427/'Sup Staff'!H24)</f>
        <v>0</v>
      </c>
      <c r="I356" s="205">
        <f>SUM(F356:H356)</f>
        <v>0</v>
      </c>
      <c r="J356" s="204">
        <f>IF('Sup Staff'!J24=0,0,'Sup Staff'!J68*J427/'Sup Staff'!J24)</f>
        <v>0</v>
      </c>
      <c r="K356" s="204">
        <f>IF('Sup Staff'!K24=0,0,'Sup Staff'!K68*K427/'Sup Staff'!K24)</f>
        <v>0</v>
      </c>
      <c r="L356" s="204">
        <f>IF('Sup Staff'!L24=0,0,'Sup Staff'!L68*L427/'Sup Staff'!L24)</f>
        <v>0</v>
      </c>
      <c r="M356" s="205">
        <f>SUM(J356:L356)</f>
        <v>0</v>
      </c>
      <c r="N356" s="204">
        <f>IF('Sup Staff'!N24=0,0,'Sup Staff'!N68*N427/'Sup Staff'!N24)</f>
        <v>0</v>
      </c>
      <c r="O356" s="204">
        <f>IF('Sup Staff'!O24=0,0,'Sup Staff'!O68*O427/'Sup Staff'!O24)</f>
        <v>0</v>
      </c>
      <c r="P356" s="204">
        <f>IF('Sup Staff'!P24=0,0,'Sup Staff'!P68*P427/'Sup Staff'!P24)</f>
        <v>0</v>
      </c>
      <c r="Q356" s="205">
        <f>SUM(N356:P356)</f>
        <v>0</v>
      </c>
      <c r="R356" s="204">
        <f>IF('Sup Staff'!R24=0,0,'Sup Staff'!R68*R427/'Sup Staff'!R24)</f>
        <v>0</v>
      </c>
      <c r="S356" s="204">
        <f>IF('Sup Staff'!S24=0,0,'Sup Staff'!S68*S427/'Sup Staff'!S24)</f>
        <v>0</v>
      </c>
      <c r="T356" s="204">
        <f>IF('Sup Staff'!T24=0,0,'Sup Staff'!T68*T427/'Sup Staff'!T24)</f>
        <v>0</v>
      </c>
      <c r="U356" s="205">
        <f>SUM(R356:T356)</f>
        <v>0</v>
      </c>
      <c r="V356" s="204">
        <f>IF('Sup Staff'!V24=0,0,'Sup Staff'!V68*V427/'Sup Staff'!V24)</f>
        <v>0</v>
      </c>
      <c r="W356" s="204">
        <f>IF('Sup Staff'!W24=0,0,'Sup Staff'!W68*W427/'Sup Staff'!W24)</f>
        <v>0</v>
      </c>
      <c r="X356" s="204">
        <f>IF('Sup Staff'!X24=0,0,'Sup Staff'!X68*X427/'Sup Staff'!X24)</f>
        <v>0</v>
      </c>
      <c r="Y356" s="205">
        <f>SUM(V356:X356)</f>
        <v>0</v>
      </c>
    </row>
    <row r="357" spans="1:25" ht="12.75" hidden="1" customHeight="1" outlineLevel="2" x14ac:dyDescent="0.2">
      <c r="A357" s="198" t="str">
        <f>"         "&amp;Labels!C392</f>
        <v xml:space="preserve">         Total</v>
      </c>
      <c r="B357" s="250">
        <f>SUM(B355:B356)</f>
        <v>0</v>
      </c>
      <c r="C357" s="250">
        <f>SUM(C355:C356)</f>
        <v>0</v>
      </c>
      <c r="D357" s="250">
        <f>SUM(D355:D356)</f>
        <v>0</v>
      </c>
      <c r="E357" s="251">
        <f>SUM(B357:D357)</f>
        <v>0</v>
      </c>
      <c r="F357" s="250">
        <f>SUM(F355:F356)</f>
        <v>0</v>
      </c>
      <c r="G357" s="250">
        <f>SUM(G355:G356)</f>
        <v>0</v>
      </c>
      <c r="H357" s="250">
        <f>SUM(H355:H356)</f>
        <v>0</v>
      </c>
      <c r="I357" s="251">
        <f>SUM(F357:H357)</f>
        <v>0</v>
      </c>
      <c r="J357" s="250">
        <f>SUM(J355:J356)</f>
        <v>0</v>
      </c>
      <c r="K357" s="250">
        <f>SUM(K355:K356)</f>
        <v>0</v>
      </c>
      <c r="L357" s="250">
        <f>SUM(L355:L356)</f>
        <v>0</v>
      </c>
      <c r="M357" s="251">
        <f>SUM(J357:L357)</f>
        <v>0</v>
      </c>
      <c r="N357" s="250">
        <f>SUM(N355:N356)</f>
        <v>0</v>
      </c>
      <c r="O357" s="250">
        <f>SUM(O355:O356)</f>
        <v>0</v>
      </c>
      <c r="P357" s="250">
        <f>SUM(P355:P356)</f>
        <v>0</v>
      </c>
      <c r="Q357" s="251">
        <f>SUM(N357:P357)</f>
        <v>0</v>
      </c>
      <c r="R357" s="250">
        <f>SUM(R355:R356)</f>
        <v>0</v>
      </c>
      <c r="S357" s="250">
        <f>SUM(S355:S356)</f>
        <v>0</v>
      </c>
      <c r="T357" s="250">
        <f>SUM(T355:T356)</f>
        <v>0</v>
      </c>
      <c r="U357" s="251">
        <f>SUM(R357:T357)</f>
        <v>0</v>
      </c>
      <c r="V357" s="250">
        <f>SUM(V355:V356)</f>
        <v>0</v>
      </c>
      <c r="W357" s="250">
        <f>SUM(W355:W356)</f>
        <v>0</v>
      </c>
      <c r="X357" s="250">
        <f>SUM(X355:X356)</f>
        <v>0</v>
      </c>
      <c r="Y357" s="251">
        <f>SUM(V357:X357)</f>
        <v>0</v>
      </c>
    </row>
    <row r="358" spans="1:25" ht="12.75" hidden="1" customHeight="1" outlineLevel="2" x14ac:dyDescent="0.2">
      <c r="A358" s="198" t="str">
        <f>"      "&amp;Labels!B322</f>
        <v xml:space="preserve">      Sales</v>
      </c>
      <c r="B358" s="250"/>
      <c r="C358" s="250"/>
      <c r="D358" s="250"/>
      <c r="E358" s="251"/>
      <c r="F358" s="250"/>
      <c r="G358" s="250"/>
      <c r="H358" s="250"/>
      <c r="I358" s="251"/>
      <c r="J358" s="250"/>
      <c r="K358" s="250"/>
      <c r="L358" s="250"/>
      <c r="M358" s="251"/>
      <c r="N358" s="250"/>
      <c r="O358" s="250"/>
      <c r="P358" s="250"/>
      <c r="Q358" s="251"/>
      <c r="R358" s="250"/>
      <c r="S358" s="250"/>
      <c r="T358" s="250"/>
      <c r="U358" s="251"/>
      <c r="V358" s="250"/>
      <c r="W358" s="250"/>
      <c r="X358" s="250"/>
      <c r="Y358" s="251"/>
    </row>
    <row r="359" spans="1:25" ht="12.75" hidden="1" customHeight="1" outlineLevel="2" x14ac:dyDescent="0.2">
      <c r="A359" s="198" t="str">
        <f>"         "&amp;Labels!B393</f>
        <v xml:space="preserve">         Manager</v>
      </c>
      <c r="B359" s="204">
        <f>IF('Sup Staff'!B27=0,0,'Sup Staff'!B71*B430/'Sup Staff'!B27)</f>
        <v>0</v>
      </c>
      <c r="C359" s="204">
        <f>IF('Sup Staff'!C27=0,0,'Sup Staff'!C71*C430/'Sup Staff'!C27)</f>
        <v>0</v>
      </c>
      <c r="D359" s="204">
        <f>IF('Sup Staff'!D27=0,0,'Sup Staff'!D71*D430/'Sup Staff'!D27)</f>
        <v>0</v>
      </c>
      <c r="E359" s="205">
        <f t="shared" ref="E359:E364" si="208">SUM(B359:D359)</f>
        <v>0</v>
      </c>
      <c r="F359" s="204">
        <f>IF('Sup Staff'!F27=0,0,'Sup Staff'!F71*F430/'Sup Staff'!F27)</f>
        <v>0</v>
      </c>
      <c r="G359" s="204">
        <f>IF('Sup Staff'!G27=0,0,'Sup Staff'!G71*G430/'Sup Staff'!G27)</f>
        <v>0</v>
      </c>
      <c r="H359" s="204">
        <f>IF('Sup Staff'!H27=0,0,'Sup Staff'!H71*H430/'Sup Staff'!H27)</f>
        <v>0</v>
      </c>
      <c r="I359" s="205">
        <f t="shared" ref="I359:I364" si="209">SUM(F359:H359)</f>
        <v>0</v>
      </c>
      <c r="J359" s="204">
        <f>IF('Sup Staff'!J27=0,0,'Sup Staff'!J71*J430/'Sup Staff'!J27)</f>
        <v>0</v>
      </c>
      <c r="K359" s="204">
        <f>IF('Sup Staff'!K27=0,0,'Sup Staff'!K71*K430/'Sup Staff'!K27)</f>
        <v>0</v>
      </c>
      <c r="L359" s="204">
        <f>IF('Sup Staff'!L27=0,0,'Sup Staff'!L71*L430/'Sup Staff'!L27)</f>
        <v>0</v>
      </c>
      <c r="M359" s="205">
        <f t="shared" ref="M359:M364" si="210">SUM(J359:L359)</f>
        <v>0</v>
      </c>
      <c r="N359" s="204">
        <f>IF('Sup Staff'!N27=0,0,'Sup Staff'!N71*N430/'Sup Staff'!N27)</f>
        <v>0</v>
      </c>
      <c r="O359" s="204">
        <f>IF('Sup Staff'!O27=0,0,'Sup Staff'!O71*O430/'Sup Staff'!O27)</f>
        <v>0</v>
      </c>
      <c r="P359" s="204">
        <f>IF('Sup Staff'!P27=0,0,'Sup Staff'!P71*P430/'Sup Staff'!P27)</f>
        <v>0</v>
      </c>
      <c r="Q359" s="205">
        <f t="shared" ref="Q359:Q364" si="211">SUM(N359:P359)</f>
        <v>0</v>
      </c>
      <c r="R359" s="204">
        <f>IF('Sup Staff'!R27=0,0,'Sup Staff'!R71*R430/'Sup Staff'!R27)</f>
        <v>0</v>
      </c>
      <c r="S359" s="204">
        <f>IF('Sup Staff'!S27=0,0,'Sup Staff'!S71*S430/'Sup Staff'!S27)</f>
        <v>0</v>
      </c>
      <c r="T359" s="204">
        <f>IF('Sup Staff'!T27=0,0,'Sup Staff'!T71*T430/'Sup Staff'!T27)</f>
        <v>0</v>
      </c>
      <c r="U359" s="205">
        <f t="shared" ref="U359:U364" si="212">SUM(R359:T359)</f>
        <v>0</v>
      </c>
      <c r="V359" s="204">
        <f>IF('Sup Staff'!V27=0,0,'Sup Staff'!V71*V430/'Sup Staff'!V27)</f>
        <v>0</v>
      </c>
      <c r="W359" s="204">
        <f>IF('Sup Staff'!W27=0,0,'Sup Staff'!W71*W430/'Sup Staff'!W27)</f>
        <v>0</v>
      </c>
      <c r="X359" s="204">
        <f>IF('Sup Staff'!X27=0,0,'Sup Staff'!X71*X430/'Sup Staff'!X27)</f>
        <v>0</v>
      </c>
      <c r="Y359" s="205">
        <f t="shared" ref="Y359:Y364" si="213">SUM(V359:X359)</f>
        <v>0</v>
      </c>
    </row>
    <row r="360" spans="1:25" ht="12.75" hidden="1" customHeight="1" outlineLevel="2" x14ac:dyDescent="0.2">
      <c r="A360" s="198" t="str">
        <f>"         "&amp;Labels!B394</f>
        <v xml:space="preserve">         Contributor</v>
      </c>
      <c r="B360" s="204">
        <f>IF('Sup Staff'!B28=0,0,'Sup Staff'!B72*B431/'Sup Staff'!B28)</f>
        <v>0</v>
      </c>
      <c r="C360" s="204">
        <f>IF('Sup Staff'!C28=0,0,'Sup Staff'!C72*C431/'Sup Staff'!C28)</f>
        <v>0</v>
      </c>
      <c r="D360" s="204">
        <f>IF('Sup Staff'!D28=0,0,'Sup Staff'!D72*D431/'Sup Staff'!D28)</f>
        <v>0</v>
      </c>
      <c r="E360" s="205">
        <f t="shared" si="208"/>
        <v>0</v>
      </c>
      <c r="F360" s="204">
        <f>IF('Sup Staff'!F28=0,0,'Sup Staff'!F72*F431/'Sup Staff'!F28)</f>
        <v>0</v>
      </c>
      <c r="G360" s="204">
        <f>IF('Sup Staff'!G28=0,0,'Sup Staff'!G72*G431/'Sup Staff'!G28)</f>
        <v>0</v>
      </c>
      <c r="H360" s="204">
        <f>IF('Sup Staff'!H28=0,0,'Sup Staff'!H72*H431/'Sup Staff'!H28)</f>
        <v>0</v>
      </c>
      <c r="I360" s="205">
        <f t="shared" si="209"/>
        <v>0</v>
      </c>
      <c r="J360" s="204">
        <f>IF('Sup Staff'!J28=0,0,'Sup Staff'!J72*J431/'Sup Staff'!J28)</f>
        <v>0</v>
      </c>
      <c r="K360" s="204">
        <f>IF('Sup Staff'!K28=0,0,'Sup Staff'!K72*K431/'Sup Staff'!K28)</f>
        <v>0</v>
      </c>
      <c r="L360" s="204">
        <f>IF('Sup Staff'!L28=0,0,'Sup Staff'!L72*L431/'Sup Staff'!L28)</f>
        <v>0</v>
      </c>
      <c r="M360" s="205">
        <f t="shared" si="210"/>
        <v>0</v>
      </c>
      <c r="N360" s="204">
        <f>IF('Sup Staff'!N28=0,0,'Sup Staff'!N72*N431/'Sup Staff'!N28)</f>
        <v>0</v>
      </c>
      <c r="O360" s="204">
        <f>IF('Sup Staff'!O28=0,0,'Sup Staff'!O72*O431/'Sup Staff'!O28)</f>
        <v>0</v>
      </c>
      <c r="P360" s="204">
        <f>IF('Sup Staff'!P28=0,0,'Sup Staff'!P72*P431/'Sup Staff'!P28)</f>
        <v>0</v>
      </c>
      <c r="Q360" s="205">
        <f t="shared" si="211"/>
        <v>0</v>
      </c>
      <c r="R360" s="204">
        <f>IF('Sup Staff'!R28=0,0,'Sup Staff'!R72*R431/'Sup Staff'!R28)</f>
        <v>0</v>
      </c>
      <c r="S360" s="204">
        <f>IF('Sup Staff'!S28=0,0,'Sup Staff'!S72*S431/'Sup Staff'!S28)</f>
        <v>0</v>
      </c>
      <c r="T360" s="204">
        <f>IF('Sup Staff'!T28=0,0,'Sup Staff'!T72*T431/'Sup Staff'!T28)</f>
        <v>0</v>
      </c>
      <c r="U360" s="205">
        <f t="shared" si="212"/>
        <v>0</v>
      </c>
      <c r="V360" s="204">
        <f>IF('Sup Staff'!V28=0,0,'Sup Staff'!V72*V431/'Sup Staff'!V28)</f>
        <v>0</v>
      </c>
      <c r="W360" s="204">
        <f>IF('Sup Staff'!W28=0,0,'Sup Staff'!W72*W431/'Sup Staff'!W28)</f>
        <v>0</v>
      </c>
      <c r="X360" s="204">
        <f>IF('Sup Staff'!X28=0,0,'Sup Staff'!X72*X431/'Sup Staff'!X28)</f>
        <v>0</v>
      </c>
      <c r="Y360" s="205">
        <f t="shared" si="213"/>
        <v>0</v>
      </c>
    </row>
    <row r="361" spans="1:25" ht="12.75" hidden="1" customHeight="1" outlineLevel="2" x14ac:dyDescent="0.2">
      <c r="A361" s="198" t="str">
        <f>"         "&amp;Labels!C392</f>
        <v xml:space="preserve">         Total</v>
      </c>
      <c r="B361" s="250">
        <f>SUM(B359:B360)</f>
        <v>0</v>
      </c>
      <c r="C361" s="250">
        <f>SUM(C359:C360)</f>
        <v>0</v>
      </c>
      <c r="D361" s="250">
        <f>SUM(D359:D360)</f>
        <v>0</v>
      </c>
      <c r="E361" s="251">
        <f t="shared" si="208"/>
        <v>0</v>
      </c>
      <c r="F361" s="250">
        <f>SUM(F359:F360)</f>
        <v>0</v>
      </c>
      <c r="G361" s="250">
        <f>SUM(G359:G360)</f>
        <v>0</v>
      </c>
      <c r="H361" s="250">
        <f>SUM(H359:H360)</f>
        <v>0</v>
      </c>
      <c r="I361" s="251">
        <f t="shared" si="209"/>
        <v>0</v>
      </c>
      <c r="J361" s="250">
        <f>SUM(J359:J360)</f>
        <v>0</v>
      </c>
      <c r="K361" s="250">
        <f>SUM(K359:K360)</f>
        <v>0</v>
      </c>
      <c r="L361" s="250">
        <f>SUM(L359:L360)</f>
        <v>0</v>
      </c>
      <c r="M361" s="251">
        <f t="shared" si="210"/>
        <v>0</v>
      </c>
      <c r="N361" s="250">
        <f>SUM(N359:N360)</f>
        <v>0</v>
      </c>
      <c r="O361" s="250">
        <f>SUM(O359:O360)</f>
        <v>0</v>
      </c>
      <c r="P361" s="250">
        <f>SUM(P359:P360)</f>
        <v>0</v>
      </c>
      <c r="Q361" s="251">
        <f t="shared" si="211"/>
        <v>0</v>
      </c>
      <c r="R361" s="250">
        <f>SUM(R359:R360)</f>
        <v>0</v>
      </c>
      <c r="S361" s="250">
        <f>SUM(S359:S360)</f>
        <v>0</v>
      </c>
      <c r="T361" s="250">
        <f>SUM(T359:T360)</f>
        <v>0</v>
      </c>
      <c r="U361" s="251">
        <f t="shared" si="212"/>
        <v>0</v>
      </c>
      <c r="V361" s="250">
        <f>SUM(V359:V360)</f>
        <v>0</v>
      </c>
      <c r="W361" s="250">
        <f>SUM(W359:W360)</f>
        <v>0</v>
      </c>
      <c r="X361" s="250">
        <f>SUM(X359:X360)</f>
        <v>0</v>
      </c>
      <c r="Y361" s="251">
        <f t="shared" si="213"/>
        <v>0</v>
      </c>
    </row>
    <row r="362" spans="1:25" ht="12.75" hidden="1" customHeight="1" outlineLevel="2" x14ac:dyDescent="0.2">
      <c r="A362" s="188" t="str">
        <f>"      "&amp;Labels!C320</f>
        <v xml:space="preserve">      Total</v>
      </c>
      <c r="B362" s="248">
        <f>SUM(B357,B361)</f>
        <v>0</v>
      </c>
      <c r="C362" s="248">
        <f>SUM(C357,C361)</f>
        <v>0</v>
      </c>
      <c r="D362" s="248">
        <f>SUM(D357,D361)</f>
        <v>0</v>
      </c>
      <c r="E362" s="249">
        <f t="shared" si="208"/>
        <v>0</v>
      </c>
      <c r="F362" s="248">
        <f>SUM(F357,F361)</f>
        <v>0</v>
      </c>
      <c r="G362" s="248">
        <f>SUM(G357,G361)</f>
        <v>0</v>
      </c>
      <c r="H362" s="248">
        <f>SUM(H357,H361)</f>
        <v>0</v>
      </c>
      <c r="I362" s="249">
        <f t="shared" si="209"/>
        <v>0</v>
      </c>
      <c r="J362" s="248">
        <f>SUM(J357,J361)</f>
        <v>0</v>
      </c>
      <c r="K362" s="248">
        <f>SUM(K357,K361)</f>
        <v>0</v>
      </c>
      <c r="L362" s="248">
        <f>SUM(L357,L361)</f>
        <v>0</v>
      </c>
      <c r="M362" s="249">
        <f t="shared" si="210"/>
        <v>0</v>
      </c>
      <c r="N362" s="248">
        <f>SUM(N357,N361)</f>
        <v>0</v>
      </c>
      <c r="O362" s="248">
        <f>SUM(O357,O361)</f>
        <v>0</v>
      </c>
      <c r="P362" s="248">
        <f>SUM(P357,P361)</f>
        <v>0</v>
      </c>
      <c r="Q362" s="249">
        <f t="shared" si="211"/>
        <v>0</v>
      </c>
      <c r="R362" s="248">
        <f>SUM(R357,R361)</f>
        <v>0</v>
      </c>
      <c r="S362" s="248">
        <f>SUM(S357,S361)</f>
        <v>0</v>
      </c>
      <c r="T362" s="248">
        <f>SUM(T357,T361)</f>
        <v>0</v>
      </c>
      <c r="U362" s="249">
        <f t="shared" si="212"/>
        <v>0</v>
      </c>
      <c r="V362" s="248">
        <f>SUM(V357,V361)</f>
        <v>0</v>
      </c>
      <c r="W362" s="248">
        <f>SUM(W357,W361)</f>
        <v>0</v>
      </c>
      <c r="X362" s="248">
        <f>SUM(X357,X361)</f>
        <v>0</v>
      </c>
      <c r="Y362" s="249">
        <f t="shared" si="213"/>
        <v>0</v>
      </c>
    </row>
    <row r="363" spans="1:25" ht="12.75" hidden="1" customHeight="1" outlineLevel="2" x14ac:dyDescent="0.2">
      <c r="A363" s="198" t="str">
        <f>"         "&amp;Labels!B393</f>
        <v xml:space="preserve">         Manager</v>
      </c>
      <c r="B363" s="204">
        <f t="shared" ref="B363:D365" si="214">SUM(B355,B359)</f>
        <v>0</v>
      </c>
      <c r="C363" s="204">
        <f t="shared" si="214"/>
        <v>0</v>
      </c>
      <c r="D363" s="204">
        <f t="shared" si="214"/>
        <v>0</v>
      </c>
      <c r="E363" s="205">
        <f t="shared" si="208"/>
        <v>0</v>
      </c>
      <c r="F363" s="204">
        <f t="shared" ref="F363:H365" si="215">SUM(F355,F359)</f>
        <v>0</v>
      </c>
      <c r="G363" s="204">
        <f t="shared" si="215"/>
        <v>0</v>
      </c>
      <c r="H363" s="204">
        <f t="shared" si="215"/>
        <v>0</v>
      </c>
      <c r="I363" s="205">
        <f t="shared" si="209"/>
        <v>0</v>
      </c>
      <c r="J363" s="204">
        <f t="shared" ref="J363:L365" si="216">SUM(J355,J359)</f>
        <v>0</v>
      </c>
      <c r="K363" s="204">
        <f t="shared" si="216"/>
        <v>0</v>
      </c>
      <c r="L363" s="204">
        <f t="shared" si="216"/>
        <v>0</v>
      </c>
      <c r="M363" s="205">
        <f t="shared" si="210"/>
        <v>0</v>
      </c>
      <c r="N363" s="204">
        <f t="shared" ref="N363:P365" si="217">SUM(N355,N359)</f>
        <v>0</v>
      </c>
      <c r="O363" s="204">
        <f t="shared" si="217"/>
        <v>0</v>
      </c>
      <c r="P363" s="204">
        <f t="shared" si="217"/>
        <v>0</v>
      </c>
      <c r="Q363" s="205">
        <f t="shared" si="211"/>
        <v>0</v>
      </c>
      <c r="R363" s="204">
        <f t="shared" ref="R363:T365" si="218">SUM(R355,R359)</f>
        <v>0</v>
      </c>
      <c r="S363" s="204">
        <f t="shared" si="218"/>
        <v>0</v>
      </c>
      <c r="T363" s="204">
        <f t="shared" si="218"/>
        <v>0</v>
      </c>
      <c r="U363" s="205">
        <f t="shared" si="212"/>
        <v>0</v>
      </c>
      <c r="V363" s="204">
        <f t="shared" ref="V363:X365" si="219">SUM(V355,V359)</f>
        <v>0</v>
      </c>
      <c r="W363" s="204">
        <f t="shared" si="219"/>
        <v>0</v>
      </c>
      <c r="X363" s="204">
        <f t="shared" si="219"/>
        <v>0</v>
      </c>
      <c r="Y363" s="205">
        <f t="shared" si="213"/>
        <v>0</v>
      </c>
    </row>
    <row r="364" spans="1:25" ht="12.75" hidden="1" customHeight="1" outlineLevel="2" x14ac:dyDescent="0.2">
      <c r="A364" s="198" t="str">
        <f>"         "&amp;Labels!B394</f>
        <v xml:space="preserve">         Contributor</v>
      </c>
      <c r="B364" s="204">
        <f t="shared" si="214"/>
        <v>0</v>
      </c>
      <c r="C364" s="204">
        <f t="shared" si="214"/>
        <v>0</v>
      </c>
      <c r="D364" s="204">
        <f t="shared" si="214"/>
        <v>0</v>
      </c>
      <c r="E364" s="205">
        <f t="shared" si="208"/>
        <v>0</v>
      </c>
      <c r="F364" s="204">
        <f t="shared" si="215"/>
        <v>0</v>
      </c>
      <c r="G364" s="204">
        <f t="shared" si="215"/>
        <v>0</v>
      </c>
      <c r="H364" s="204">
        <f t="shared" si="215"/>
        <v>0</v>
      </c>
      <c r="I364" s="205">
        <f t="shared" si="209"/>
        <v>0</v>
      </c>
      <c r="J364" s="204">
        <f t="shared" si="216"/>
        <v>0</v>
      </c>
      <c r="K364" s="204">
        <f t="shared" si="216"/>
        <v>0</v>
      </c>
      <c r="L364" s="204">
        <f t="shared" si="216"/>
        <v>0</v>
      </c>
      <c r="M364" s="205">
        <f t="shared" si="210"/>
        <v>0</v>
      </c>
      <c r="N364" s="204">
        <f t="shared" si="217"/>
        <v>0</v>
      </c>
      <c r="O364" s="204">
        <f t="shared" si="217"/>
        <v>0</v>
      </c>
      <c r="P364" s="204">
        <f t="shared" si="217"/>
        <v>0</v>
      </c>
      <c r="Q364" s="205">
        <f t="shared" si="211"/>
        <v>0</v>
      </c>
      <c r="R364" s="204">
        <f t="shared" si="218"/>
        <v>0</v>
      </c>
      <c r="S364" s="204">
        <f t="shared" si="218"/>
        <v>0</v>
      </c>
      <c r="T364" s="204">
        <f t="shared" si="218"/>
        <v>0</v>
      </c>
      <c r="U364" s="205">
        <f t="shared" si="212"/>
        <v>0</v>
      </c>
      <c r="V364" s="204">
        <f t="shared" si="219"/>
        <v>0</v>
      </c>
      <c r="W364" s="204">
        <f t="shared" si="219"/>
        <v>0</v>
      </c>
      <c r="X364" s="204">
        <f t="shared" si="219"/>
        <v>0</v>
      </c>
      <c r="Y364" s="205">
        <f t="shared" si="213"/>
        <v>0</v>
      </c>
    </row>
    <row r="365" spans="1:25" ht="12.75" hidden="1" customHeight="1" outlineLevel="2" x14ac:dyDescent="0.2">
      <c r="A365" s="198" t="str">
        <f>"         "&amp;Labels!C392</f>
        <v xml:space="preserve">         Total</v>
      </c>
      <c r="B365" s="250">
        <f t="shared" si="214"/>
        <v>0</v>
      </c>
      <c r="C365" s="250">
        <f t="shared" si="214"/>
        <v>0</v>
      </c>
      <c r="D365" s="250">
        <f t="shared" si="214"/>
        <v>0</v>
      </c>
      <c r="E365" s="251">
        <f>SUM(B362:D362)</f>
        <v>0</v>
      </c>
      <c r="F365" s="250">
        <f t="shared" si="215"/>
        <v>0</v>
      </c>
      <c r="G365" s="250">
        <f t="shared" si="215"/>
        <v>0</v>
      </c>
      <c r="H365" s="250">
        <f t="shared" si="215"/>
        <v>0</v>
      </c>
      <c r="I365" s="251">
        <f>SUM(F362:H362)</f>
        <v>0</v>
      </c>
      <c r="J365" s="250">
        <f t="shared" si="216"/>
        <v>0</v>
      </c>
      <c r="K365" s="250">
        <f t="shared" si="216"/>
        <v>0</v>
      </c>
      <c r="L365" s="250">
        <f t="shared" si="216"/>
        <v>0</v>
      </c>
      <c r="M365" s="251">
        <f>SUM(J362:L362)</f>
        <v>0</v>
      </c>
      <c r="N365" s="250">
        <f t="shared" si="217"/>
        <v>0</v>
      </c>
      <c r="O365" s="250">
        <f t="shared" si="217"/>
        <v>0</v>
      </c>
      <c r="P365" s="250">
        <f t="shared" si="217"/>
        <v>0</v>
      </c>
      <c r="Q365" s="251">
        <f>SUM(N362:P362)</f>
        <v>0</v>
      </c>
      <c r="R365" s="250">
        <f t="shared" si="218"/>
        <v>0</v>
      </c>
      <c r="S365" s="250">
        <f t="shared" si="218"/>
        <v>0</v>
      </c>
      <c r="T365" s="250">
        <f t="shared" si="218"/>
        <v>0</v>
      </c>
      <c r="U365" s="251">
        <f>SUM(R362:T362)</f>
        <v>0</v>
      </c>
      <c r="V365" s="250">
        <f t="shared" si="219"/>
        <v>0</v>
      </c>
      <c r="W365" s="250">
        <f t="shared" si="219"/>
        <v>0</v>
      </c>
      <c r="X365" s="250">
        <f t="shared" si="219"/>
        <v>0</v>
      </c>
      <c r="Y365" s="251">
        <f>SUM(V362:X362)</f>
        <v>0</v>
      </c>
    </row>
    <row r="366" spans="1:25" ht="12.75" hidden="1" customHeight="1" outlineLevel="2" x14ac:dyDescent="0.2">
      <c r="A366" s="188" t="str">
        <f>"   "&amp;Labels!B382</f>
        <v xml:space="preserve">   Practice 2</v>
      </c>
      <c r="B366" s="248"/>
      <c r="C366" s="248"/>
      <c r="D366" s="248"/>
      <c r="E366" s="249"/>
      <c r="F366" s="248"/>
      <c r="G366" s="248"/>
      <c r="H366" s="248"/>
      <c r="I366" s="249"/>
      <c r="J366" s="248"/>
      <c r="K366" s="248"/>
      <c r="L366" s="248"/>
      <c r="M366" s="249"/>
      <c r="N366" s="248"/>
      <c r="O366" s="248"/>
      <c r="P366" s="248"/>
      <c r="Q366" s="249"/>
      <c r="R366" s="248"/>
      <c r="S366" s="248"/>
      <c r="T366" s="248"/>
      <c r="U366" s="249"/>
      <c r="V366" s="248"/>
      <c r="W366" s="248"/>
      <c r="X366" s="248"/>
      <c r="Y366" s="249"/>
    </row>
    <row r="367" spans="1:25" ht="12.75" hidden="1" customHeight="1" outlineLevel="2" x14ac:dyDescent="0.2">
      <c r="A367" s="198" t="str">
        <f>"      "&amp;Labels!B321</f>
        <v xml:space="preserve">      Marketing</v>
      </c>
      <c r="B367" s="250"/>
      <c r="C367" s="250"/>
      <c r="D367" s="250"/>
      <c r="E367" s="251"/>
      <c r="F367" s="250"/>
      <c r="G367" s="250"/>
      <c r="H367" s="250"/>
      <c r="I367" s="251"/>
      <c r="J367" s="250"/>
      <c r="K367" s="250"/>
      <c r="L367" s="250"/>
      <c r="M367" s="251"/>
      <c r="N367" s="250"/>
      <c r="O367" s="250"/>
      <c r="P367" s="250"/>
      <c r="Q367" s="251"/>
      <c r="R367" s="250"/>
      <c r="S367" s="250"/>
      <c r="T367" s="250"/>
      <c r="U367" s="251"/>
      <c r="V367" s="250"/>
      <c r="W367" s="250"/>
      <c r="X367" s="250"/>
      <c r="Y367" s="251"/>
    </row>
    <row r="368" spans="1:25" ht="12.75" hidden="1" customHeight="1" outlineLevel="2" x14ac:dyDescent="0.2">
      <c r="A368" s="198" t="str">
        <f>"         "&amp;Labels!B393</f>
        <v xml:space="preserve">         Manager</v>
      </c>
      <c r="B368" s="204">
        <f>IF('Sup Staff'!B23=0,0,'Sup Staff'!B67*B439/'Sup Staff'!B23)</f>
        <v>0</v>
      </c>
      <c r="C368" s="204">
        <f>IF('Sup Staff'!C23=0,0,'Sup Staff'!C67*C439/'Sup Staff'!C23)</f>
        <v>0</v>
      </c>
      <c r="D368" s="204">
        <f>IF('Sup Staff'!D23=0,0,'Sup Staff'!D67*D439/'Sup Staff'!D23)</f>
        <v>0</v>
      </c>
      <c r="E368" s="205">
        <f>SUM(B368:D368)</f>
        <v>0</v>
      </c>
      <c r="F368" s="204">
        <f>IF('Sup Staff'!F23=0,0,'Sup Staff'!F67*F439/'Sup Staff'!F23)</f>
        <v>0</v>
      </c>
      <c r="G368" s="204">
        <f>IF('Sup Staff'!G23=0,0,'Sup Staff'!G67*G439/'Sup Staff'!G23)</f>
        <v>0</v>
      </c>
      <c r="H368" s="204">
        <f>IF('Sup Staff'!H23=0,0,'Sup Staff'!H67*H439/'Sup Staff'!H23)</f>
        <v>0</v>
      </c>
      <c r="I368" s="205">
        <f>SUM(F368:H368)</f>
        <v>0</v>
      </c>
      <c r="J368" s="204">
        <f>IF('Sup Staff'!J23=0,0,'Sup Staff'!J67*J439/'Sup Staff'!J23)</f>
        <v>0</v>
      </c>
      <c r="K368" s="204">
        <f>IF('Sup Staff'!K23=0,0,'Sup Staff'!K67*K439/'Sup Staff'!K23)</f>
        <v>0</v>
      </c>
      <c r="L368" s="204">
        <f>IF('Sup Staff'!L23=0,0,'Sup Staff'!L67*L439/'Sup Staff'!L23)</f>
        <v>0</v>
      </c>
      <c r="M368" s="205">
        <f>SUM(J368:L368)</f>
        <v>0</v>
      </c>
      <c r="N368" s="204">
        <f>IF('Sup Staff'!N23=0,0,'Sup Staff'!N67*N439/'Sup Staff'!N23)</f>
        <v>0</v>
      </c>
      <c r="O368" s="204">
        <f>IF('Sup Staff'!O23=0,0,'Sup Staff'!O67*O439/'Sup Staff'!O23)</f>
        <v>0</v>
      </c>
      <c r="P368" s="204">
        <f>IF('Sup Staff'!P23=0,0,'Sup Staff'!P67*P439/'Sup Staff'!P23)</f>
        <v>0</v>
      </c>
      <c r="Q368" s="205">
        <f>SUM(N368:P368)</f>
        <v>0</v>
      </c>
      <c r="R368" s="204">
        <f>IF('Sup Staff'!R23=0,0,'Sup Staff'!R67*R439/'Sup Staff'!R23)</f>
        <v>0</v>
      </c>
      <c r="S368" s="204">
        <f>IF('Sup Staff'!S23=0,0,'Sup Staff'!S67*S439/'Sup Staff'!S23)</f>
        <v>0</v>
      </c>
      <c r="T368" s="204">
        <f>IF('Sup Staff'!T23=0,0,'Sup Staff'!T67*T439/'Sup Staff'!T23)</f>
        <v>0</v>
      </c>
      <c r="U368" s="205">
        <f>SUM(R368:T368)</f>
        <v>0</v>
      </c>
      <c r="V368" s="204">
        <f>IF('Sup Staff'!V23=0,0,'Sup Staff'!V67*V439/'Sup Staff'!V23)</f>
        <v>0</v>
      </c>
      <c r="W368" s="204">
        <f>IF('Sup Staff'!W23=0,0,'Sup Staff'!W67*W439/'Sup Staff'!W23)</f>
        <v>0</v>
      </c>
      <c r="X368" s="204">
        <f>IF('Sup Staff'!X23=0,0,'Sup Staff'!X67*X439/'Sup Staff'!X23)</f>
        <v>0</v>
      </c>
      <c r="Y368" s="205">
        <f>SUM(V368:X368)</f>
        <v>0</v>
      </c>
    </row>
    <row r="369" spans="1:25" ht="12.75" hidden="1" customHeight="1" outlineLevel="2" x14ac:dyDescent="0.2">
      <c r="A369" s="198" t="str">
        <f>"         "&amp;Labels!B394</f>
        <v xml:space="preserve">         Contributor</v>
      </c>
      <c r="B369" s="204">
        <f>IF('Sup Staff'!B24=0,0,'Sup Staff'!B68*B440/'Sup Staff'!B24)</f>
        <v>0</v>
      </c>
      <c r="C369" s="204">
        <f>IF('Sup Staff'!C24=0,0,'Sup Staff'!C68*C440/'Sup Staff'!C24)</f>
        <v>0</v>
      </c>
      <c r="D369" s="204">
        <f>IF('Sup Staff'!D24=0,0,'Sup Staff'!D68*D440/'Sup Staff'!D24)</f>
        <v>0</v>
      </c>
      <c r="E369" s="205">
        <f>SUM(B369:D369)</f>
        <v>0</v>
      </c>
      <c r="F369" s="204">
        <f>IF('Sup Staff'!F24=0,0,'Sup Staff'!F68*F440/'Sup Staff'!F24)</f>
        <v>0</v>
      </c>
      <c r="G369" s="204">
        <f>IF('Sup Staff'!G24=0,0,'Sup Staff'!G68*G440/'Sup Staff'!G24)</f>
        <v>0</v>
      </c>
      <c r="H369" s="204">
        <f>IF('Sup Staff'!H24=0,0,'Sup Staff'!H68*H440/'Sup Staff'!H24)</f>
        <v>0</v>
      </c>
      <c r="I369" s="205">
        <f>SUM(F369:H369)</f>
        <v>0</v>
      </c>
      <c r="J369" s="204">
        <f>IF('Sup Staff'!J24=0,0,'Sup Staff'!J68*J440/'Sup Staff'!J24)</f>
        <v>0</v>
      </c>
      <c r="K369" s="204">
        <f>IF('Sup Staff'!K24=0,0,'Sup Staff'!K68*K440/'Sup Staff'!K24)</f>
        <v>0</v>
      </c>
      <c r="L369" s="204">
        <f>IF('Sup Staff'!L24=0,0,'Sup Staff'!L68*L440/'Sup Staff'!L24)</f>
        <v>0</v>
      </c>
      <c r="M369" s="205">
        <f>SUM(J369:L369)</f>
        <v>0</v>
      </c>
      <c r="N369" s="204">
        <f>IF('Sup Staff'!N24=0,0,'Sup Staff'!N68*N440/'Sup Staff'!N24)</f>
        <v>0</v>
      </c>
      <c r="O369" s="204">
        <f>IF('Sup Staff'!O24=0,0,'Sup Staff'!O68*O440/'Sup Staff'!O24)</f>
        <v>0</v>
      </c>
      <c r="P369" s="204">
        <f>IF('Sup Staff'!P24=0,0,'Sup Staff'!P68*P440/'Sup Staff'!P24)</f>
        <v>0</v>
      </c>
      <c r="Q369" s="205">
        <f>SUM(N369:P369)</f>
        <v>0</v>
      </c>
      <c r="R369" s="204">
        <f>IF('Sup Staff'!R24=0,0,'Sup Staff'!R68*R440/'Sup Staff'!R24)</f>
        <v>0</v>
      </c>
      <c r="S369" s="204">
        <f>IF('Sup Staff'!S24=0,0,'Sup Staff'!S68*S440/'Sup Staff'!S24)</f>
        <v>0</v>
      </c>
      <c r="T369" s="204">
        <f>IF('Sup Staff'!T24=0,0,'Sup Staff'!T68*T440/'Sup Staff'!T24)</f>
        <v>0</v>
      </c>
      <c r="U369" s="205">
        <f>SUM(R369:T369)</f>
        <v>0</v>
      </c>
      <c r="V369" s="204">
        <f>IF('Sup Staff'!V24=0,0,'Sup Staff'!V68*V440/'Sup Staff'!V24)</f>
        <v>0</v>
      </c>
      <c r="W369" s="204">
        <f>IF('Sup Staff'!W24=0,0,'Sup Staff'!W68*W440/'Sup Staff'!W24)</f>
        <v>0</v>
      </c>
      <c r="X369" s="204">
        <f>IF('Sup Staff'!X24=0,0,'Sup Staff'!X68*X440/'Sup Staff'!X24)</f>
        <v>0</v>
      </c>
      <c r="Y369" s="205">
        <f>SUM(V369:X369)</f>
        <v>0</v>
      </c>
    </row>
    <row r="370" spans="1:25" ht="12.75" hidden="1" customHeight="1" outlineLevel="2" x14ac:dyDescent="0.2">
      <c r="A370" s="198" t="str">
        <f>"         "&amp;Labels!C392</f>
        <v xml:space="preserve">         Total</v>
      </c>
      <c r="B370" s="250">
        <f>SUM(B368:B369)</f>
        <v>0</v>
      </c>
      <c r="C370" s="250">
        <f>SUM(C368:C369)</f>
        <v>0</v>
      </c>
      <c r="D370" s="250">
        <f>SUM(D368:D369)</f>
        <v>0</v>
      </c>
      <c r="E370" s="251">
        <f>SUM(B370:D370)</f>
        <v>0</v>
      </c>
      <c r="F370" s="250">
        <f>SUM(F368:F369)</f>
        <v>0</v>
      </c>
      <c r="G370" s="250">
        <f>SUM(G368:G369)</f>
        <v>0</v>
      </c>
      <c r="H370" s="250">
        <f>SUM(H368:H369)</f>
        <v>0</v>
      </c>
      <c r="I370" s="251">
        <f>SUM(F370:H370)</f>
        <v>0</v>
      </c>
      <c r="J370" s="250">
        <f>SUM(J368:J369)</f>
        <v>0</v>
      </c>
      <c r="K370" s="250">
        <f>SUM(K368:K369)</f>
        <v>0</v>
      </c>
      <c r="L370" s="250">
        <f>SUM(L368:L369)</f>
        <v>0</v>
      </c>
      <c r="M370" s="251">
        <f>SUM(J370:L370)</f>
        <v>0</v>
      </c>
      <c r="N370" s="250">
        <f>SUM(N368:N369)</f>
        <v>0</v>
      </c>
      <c r="O370" s="250">
        <f>SUM(O368:O369)</f>
        <v>0</v>
      </c>
      <c r="P370" s="250">
        <f>SUM(P368:P369)</f>
        <v>0</v>
      </c>
      <c r="Q370" s="251">
        <f>SUM(N370:P370)</f>
        <v>0</v>
      </c>
      <c r="R370" s="250">
        <f>SUM(R368:R369)</f>
        <v>0</v>
      </c>
      <c r="S370" s="250">
        <f>SUM(S368:S369)</f>
        <v>0</v>
      </c>
      <c r="T370" s="250">
        <f>SUM(T368:T369)</f>
        <v>0</v>
      </c>
      <c r="U370" s="251">
        <f>SUM(R370:T370)</f>
        <v>0</v>
      </c>
      <c r="V370" s="250">
        <f>SUM(V368:V369)</f>
        <v>0</v>
      </c>
      <c r="W370" s="250">
        <f>SUM(W368:W369)</f>
        <v>0</v>
      </c>
      <c r="X370" s="250">
        <f>SUM(X368:X369)</f>
        <v>0</v>
      </c>
      <c r="Y370" s="251">
        <f>SUM(V370:X370)</f>
        <v>0</v>
      </c>
    </row>
    <row r="371" spans="1:25" ht="12.75" hidden="1" customHeight="1" outlineLevel="2" x14ac:dyDescent="0.2">
      <c r="A371" s="198" t="str">
        <f>"      "&amp;Labels!B322</f>
        <v xml:space="preserve">      Sales</v>
      </c>
      <c r="B371" s="250"/>
      <c r="C371" s="250"/>
      <c r="D371" s="250"/>
      <c r="E371" s="251"/>
      <c r="F371" s="250"/>
      <c r="G371" s="250"/>
      <c r="H371" s="250"/>
      <c r="I371" s="251"/>
      <c r="J371" s="250"/>
      <c r="K371" s="250"/>
      <c r="L371" s="250"/>
      <c r="M371" s="251"/>
      <c r="N371" s="250"/>
      <c r="O371" s="250"/>
      <c r="P371" s="250"/>
      <c r="Q371" s="251"/>
      <c r="R371" s="250"/>
      <c r="S371" s="250"/>
      <c r="T371" s="250"/>
      <c r="U371" s="251"/>
      <c r="V371" s="250"/>
      <c r="W371" s="250"/>
      <c r="X371" s="250"/>
      <c r="Y371" s="251"/>
    </row>
    <row r="372" spans="1:25" ht="12.75" hidden="1" customHeight="1" outlineLevel="2" x14ac:dyDescent="0.2">
      <c r="A372" s="198" t="str">
        <f>"         "&amp;Labels!B393</f>
        <v xml:space="preserve">         Manager</v>
      </c>
      <c r="B372" s="204">
        <f>IF('Sup Staff'!B27=0,0,'Sup Staff'!B71*B443/'Sup Staff'!B27)</f>
        <v>0</v>
      </c>
      <c r="C372" s="204">
        <f>IF('Sup Staff'!C27=0,0,'Sup Staff'!C71*C443/'Sup Staff'!C27)</f>
        <v>0</v>
      </c>
      <c r="D372" s="204">
        <f>IF('Sup Staff'!D27=0,0,'Sup Staff'!D71*D443/'Sup Staff'!D27)</f>
        <v>0</v>
      </c>
      <c r="E372" s="205">
        <f t="shared" ref="E372:E377" si="220">SUM(B372:D372)</f>
        <v>0</v>
      </c>
      <c r="F372" s="204">
        <f>IF('Sup Staff'!F27=0,0,'Sup Staff'!F71*F443/'Sup Staff'!F27)</f>
        <v>0</v>
      </c>
      <c r="G372" s="204">
        <f>IF('Sup Staff'!G27=0,0,'Sup Staff'!G71*G443/'Sup Staff'!G27)</f>
        <v>0</v>
      </c>
      <c r="H372" s="204">
        <f>IF('Sup Staff'!H27=0,0,'Sup Staff'!H71*H443/'Sup Staff'!H27)</f>
        <v>0</v>
      </c>
      <c r="I372" s="205">
        <f t="shared" ref="I372:I377" si="221">SUM(F372:H372)</f>
        <v>0</v>
      </c>
      <c r="J372" s="204">
        <f>IF('Sup Staff'!J27=0,0,'Sup Staff'!J71*J443/'Sup Staff'!J27)</f>
        <v>0</v>
      </c>
      <c r="K372" s="204">
        <f>IF('Sup Staff'!K27=0,0,'Sup Staff'!K71*K443/'Sup Staff'!K27)</f>
        <v>0</v>
      </c>
      <c r="L372" s="204">
        <f>IF('Sup Staff'!L27=0,0,'Sup Staff'!L71*L443/'Sup Staff'!L27)</f>
        <v>0</v>
      </c>
      <c r="M372" s="205">
        <f t="shared" ref="M372:M377" si="222">SUM(J372:L372)</f>
        <v>0</v>
      </c>
      <c r="N372" s="204">
        <f>IF('Sup Staff'!N27=0,0,'Sup Staff'!N71*N443/'Sup Staff'!N27)</f>
        <v>0</v>
      </c>
      <c r="O372" s="204">
        <f>IF('Sup Staff'!O27=0,0,'Sup Staff'!O71*O443/'Sup Staff'!O27)</f>
        <v>0</v>
      </c>
      <c r="P372" s="204">
        <f>IF('Sup Staff'!P27=0,0,'Sup Staff'!P71*P443/'Sup Staff'!P27)</f>
        <v>0</v>
      </c>
      <c r="Q372" s="205">
        <f t="shared" ref="Q372:Q377" si="223">SUM(N372:P372)</f>
        <v>0</v>
      </c>
      <c r="R372" s="204">
        <f>IF('Sup Staff'!R27=0,0,'Sup Staff'!R71*R443/'Sup Staff'!R27)</f>
        <v>0</v>
      </c>
      <c r="S372" s="204">
        <f>IF('Sup Staff'!S27=0,0,'Sup Staff'!S71*S443/'Sup Staff'!S27)</f>
        <v>0</v>
      </c>
      <c r="T372" s="204">
        <f>IF('Sup Staff'!T27=0,0,'Sup Staff'!T71*T443/'Sup Staff'!T27)</f>
        <v>0</v>
      </c>
      <c r="U372" s="205">
        <f t="shared" ref="U372:U377" si="224">SUM(R372:T372)</f>
        <v>0</v>
      </c>
      <c r="V372" s="204">
        <f>IF('Sup Staff'!V27=0,0,'Sup Staff'!V71*V443/'Sup Staff'!V27)</f>
        <v>0</v>
      </c>
      <c r="W372" s="204">
        <f>IF('Sup Staff'!W27=0,0,'Sup Staff'!W71*W443/'Sup Staff'!W27)</f>
        <v>0</v>
      </c>
      <c r="X372" s="204">
        <f>IF('Sup Staff'!X27=0,0,'Sup Staff'!X71*X443/'Sup Staff'!X27)</f>
        <v>0</v>
      </c>
      <c r="Y372" s="205">
        <f t="shared" ref="Y372:Y377" si="225">SUM(V372:X372)</f>
        <v>0</v>
      </c>
    </row>
    <row r="373" spans="1:25" ht="12.75" hidden="1" customHeight="1" outlineLevel="2" x14ac:dyDescent="0.2">
      <c r="A373" s="198" t="str">
        <f>"         "&amp;Labels!B394</f>
        <v xml:space="preserve">         Contributor</v>
      </c>
      <c r="B373" s="204">
        <f>IF('Sup Staff'!B28=0,0,'Sup Staff'!B72*B444/'Sup Staff'!B28)</f>
        <v>0</v>
      </c>
      <c r="C373" s="204">
        <f>IF('Sup Staff'!C28=0,0,'Sup Staff'!C72*C444/'Sup Staff'!C28)</f>
        <v>0</v>
      </c>
      <c r="D373" s="204">
        <f>IF('Sup Staff'!D28=0,0,'Sup Staff'!D72*D444/'Sup Staff'!D28)</f>
        <v>0</v>
      </c>
      <c r="E373" s="205">
        <f t="shared" si="220"/>
        <v>0</v>
      </c>
      <c r="F373" s="204">
        <f>IF('Sup Staff'!F28=0,0,'Sup Staff'!F72*F444/'Sup Staff'!F28)</f>
        <v>0</v>
      </c>
      <c r="G373" s="204">
        <f>IF('Sup Staff'!G28=0,0,'Sup Staff'!G72*G444/'Sup Staff'!G28)</f>
        <v>0</v>
      </c>
      <c r="H373" s="204">
        <f>IF('Sup Staff'!H28=0,0,'Sup Staff'!H72*H444/'Sup Staff'!H28)</f>
        <v>0</v>
      </c>
      <c r="I373" s="205">
        <f t="shared" si="221"/>
        <v>0</v>
      </c>
      <c r="J373" s="204">
        <f>IF('Sup Staff'!J28=0,0,'Sup Staff'!J72*J444/'Sup Staff'!J28)</f>
        <v>0</v>
      </c>
      <c r="K373" s="204">
        <f>IF('Sup Staff'!K28=0,0,'Sup Staff'!K72*K444/'Sup Staff'!K28)</f>
        <v>0</v>
      </c>
      <c r="L373" s="204">
        <f>IF('Sup Staff'!L28=0,0,'Sup Staff'!L72*L444/'Sup Staff'!L28)</f>
        <v>0</v>
      </c>
      <c r="M373" s="205">
        <f t="shared" si="222"/>
        <v>0</v>
      </c>
      <c r="N373" s="204">
        <f>IF('Sup Staff'!N28=0,0,'Sup Staff'!N72*N444/'Sup Staff'!N28)</f>
        <v>0</v>
      </c>
      <c r="O373" s="204">
        <f>IF('Sup Staff'!O28=0,0,'Sup Staff'!O72*O444/'Sup Staff'!O28)</f>
        <v>0</v>
      </c>
      <c r="P373" s="204">
        <f>IF('Sup Staff'!P28=0,0,'Sup Staff'!P72*P444/'Sup Staff'!P28)</f>
        <v>0</v>
      </c>
      <c r="Q373" s="205">
        <f t="shared" si="223"/>
        <v>0</v>
      </c>
      <c r="R373" s="204">
        <f>IF('Sup Staff'!R28=0,0,'Sup Staff'!R72*R444/'Sup Staff'!R28)</f>
        <v>0</v>
      </c>
      <c r="S373" s="204">
        <f>IF('Sup Staff'!S28=0,0,'Sup Staff'!S72*S444/'Sup Staff'!S28)</f>
        <v>0</v>
      </c>
      <c r="T373" s="204">
        <f>IF('Sup Staff'!T28=0,0,'Sup Staff'!T72*T444/'Sup Staff'!T28)</f>
        <v>0</v>
      </c>
      <c r="U373" s="205">
        <f t="shared" si="224"/>
        <v>0</v>
      </c>
      <c r="V373" s="204">
        <f>IF('Sup Staff'!V28=0,0,'Sup Staff'!V72*V444/'Sup Staff'!V28)</f>
        <v>0</v>
      </c>
      <c r="W373" s="204">
        <f>IF('Sup Staff'!W28=0,0,'Sup Staff'!W72*W444/'Sup Staff'!W28)</f>
        <v>0</v>
      </c>
      <c r="X373" s="204">
        <f>IF('Sup Staff'!X28=0,0,'Sup Staff'!X72*X444/'Sup Staff'!X28)</f>
        <v>0</v>
      </c>
      <c r="Y373" s="205">
        <f t="shared" si="225"/>
        <v>0</v>
      </c>
    </row>
    <row r="374" spans="1:25" ht="12.75" hidden="1" customHeight="1" outlineLevel="2" x14ac:dyDescent="0.2">
      <c r="A374" s="198" t="str">
        <f>"         "&amp;Labels!C392</f>
        <v xml:space="preserve">         Total</v>
      </c>
      <c r="B374" s="250">
        <f>SUM(B372:B373)</f>
        <v>0</v>
      </c>
      <c r="C374" s="250">
        <f>SUM(C372:C373)</f>
        <v>0</v>
      </c>
      <c r="D374" s="250">
        <f>SUM(D372:D373)</f>
        <v>0</v>
      </c>
      <c r="E374" s="251">
        <f t="shared" si="220"/>
        <v>0</v>
      </c>
      <c r="F374" s="250">
        <f>SUM(F372:F373)</f>
        <v>0</v>
      </c>
      <c r="G374" s="250">
        <f>SUM(G372:G373)</f>
        <v>0</v>
      </c>
      <c r="H374" s="250">
        <f>SUM(H372:H373)</f>
        <v>0</v>
      </c>
      <c r="I374" s="251">
        <f t="shared" si="221"/>
        <v>0</v>
      </c>
      <c r="J374" s="250">
        <f>SUM(J372:J373)</f>
        <v>0</v>
      </c>
      <c r="K374" s="250">
        <f>SUM(K372:K373)</f>
        <v>0</v>
      </c>
      <c r="L374" s="250">
        <f>SUM(L372:L373)</f>
        <v>0</v>
      </c>
      <c r="M374" s="251">
        <f t="shared" si="222"/>
        <v>0</v>
      </c>
      <c r="N374" s="250">
        <f>SUM(N372:N373)</f>
        <v>0</v>
      </c>
      <c r="O374" s="250">
        <f>SUM(O372:O373)</f>
        <v>0</v>
      </c>
      <c r="P374" s="250">
        <f>SUM(P372:P373)</f>
        <v>0</v>
      </c>
      <c r="Q374" s="251">
        <f t="shared" si="223"/>
        <v>0</v>
      </c>
      <c r="R374" s="250">
        <f>SUM(R372:R373)</f>
        <v>0</v>
      </c>
      <c r="S374" s="250">
        <f>SUM(S372:S373)</f>
        <v>0</v>
      </c>
      <c r="T374" s="250">
        <f>SUM(T372:T373)</f>
        <v>0</v>
      </c>
      <c r="U374" s="251">
        <f t="shared" si="224"/>
        <v>0</v>
      </c>
      <c r="V374" s="250">
        <f>SUM(V372:V373)</f>
        <v>0</v>
      </c>
      <c r="W374" s="250">
        <f>SUM(W372:W373)</f>
        <v>0</v>
      </c>
      <c r="X374" s="250">
        <f>SUM(X372:X373)</f>
        <v>0</v>
      </c>
      <c r="Y374" s="251">
        <f t="shared" si="225"/>
        <v>0</v>
      </c>
    </row>
    <row r="375" spans="1:25" ht="12.75" hidden="1" customHeight="1" outlineLevel="2" x14ac:dyDescent="0.2">
      <c r="A375" s="188" t="str">
        <f>"      "&amp;Labels!C320</f>
        <v xml:space="preserve">      Total</v>
      </c>
      <c r="B375" s="248">
        <f>SUM(B370,B374)</f>
        <v>0</v>
      </c>
      <c r="C375" s="248">
        <f>SUM(C370,C374)</f>
        <v>0</v>
      </c>
      <c r="D375" s="248">
        <f>SUM(D370,D374)</f>
        <v>0</v>
      </c>
      <c r="E375" s="249">
        <f t="shared" si="220"/>
        <v>0</v>
      </c>
      <c r="F375" s="248">
        <f>SUM(F370,F374)</f>
        <v>0</v>
      </c>
      <c r="G375" s="248">
        <f>SUM(G370,G374)</f>
        <v>0</v>
      </c>
      <c r="H375" s="248">
        <f>SUM(H370,H374)</f>
        <v>0</v>
      </c>
      <c r="I375" s="249">
        <f t="shared" si="221"/>
        <v>0</v>
      </c>
      <c r="J375" s="248">
        <f>SUM(J370,J374)</f>
        <v>0</v>
      </c>
      <c r="K375" s="248">
        <f>SUM(K370,K374)</f>
        <v>0</v>
      </c>
      <c r="L375" s="248">
        <f>SUM(L370,L374)</f>
        <v>0</v>
      </c>
      <c r="M375" s="249">
        <f t="shared" si="222"/>
        <v>0</v>
      </c>
      <c r="N375" s="248">
        <f>SUM(N370,N374)</f>
        <v>0</v>
      </c>
      <c r="O375" s="248">
        <f>SUM(O370,O374)</f>
        <v>0</v>
      </c>
      <c r="P375" s="248">
        <f>SUM(P370,P374)</f>
        <v>0</v>
      </c>
      <c r="Q375" s="249">
        <f t="shared" si="223"/>
        <v>0</v>
      </c>
      <c r="R375" s="248">
        <f>SUM(R370,R374)</f>
        <v>0</v>
      </c>
      <c r="S375" s="248">
        <f>SUM(S370,S374)</f>
        <v>0</v>
      </c>
      <c r="T375" s="248">
        <f>SUM(T370,T374)</f>
        <v>0</v>
      </c>
      <c r="U375" s="249">
        <f t="shared" si="224"/>
        <v>0</v>
      </c>
      <c r="V375" s="248">
        <f>SUM(V370,V374)</f>
        <v>0</v>
      </c>
      <c r="W375" s="248">
        <f>SUM(W370,W374)</f>
        <v>0</v>
      </c>
      <c r="X375" s="248">
        <f>SUM(X370,X374)</f>
        <v>0</v>
      </c>
      <c r="Y375" s="249">
        <f t="shared" si="225"/>
        <v>0</v>
      </c>
    </row>
    <row r="376" spans="1:25" ht="12.75" hidden="1" customHeight="1" outlineLevel="2" x14ac:dyDescent="0.2">
      <c r="A376" s="198" t="str">
        <f>"         "&amp;Labels!B393</f>
        <v xml:space="preserve">         Manager</v>
      </c>
      <c r="B376" s="204">
        <f t="shared" ref="B376:D378" si="226">SUM(B368,B372)</f>
        <v>0</v>
      </c>
      <c r="C376" s="204">
        <f t="shared" si="226"/>
        <v>0</v>
      </c>
      <c r="D376" s="204">
        <f t="shared" si="226"/>
        <v>0</v>
      </c>
      <c r="E376" s="205">
        <f t="shared" si="220"/>
        <v>0</v>
      </c>
      <c r="F376" s="204">
        <f t="shared" ref="F376:H378" si="227">SUM(F368,F372)</f>
        <v>0</v>
      </c>
      <c r="G376" s="204">
        <f t="shared" si="227"/>
        <v>0</v>
      </c>
      <c r="H376" s="204">
        <f t="shared" si="227"/>
        <v>0</v>
      </c>
      <c r="I376" s="205">
        <f t="shared" si="221"/>
        <v>0</v>
      </c>
      <c r="J376" s="204">
        <f t="shared" ref="J376:L378" si="228">SUM(J368,J372)</f>
        <v>0</v>
      </c>
      <c r="K376" s="204">
        <f t="shared" si="228"/>
        <v>0</v>
      </c>
      <c r="L376" s="204">
        <f t="shared" si="228"/>
        <v>0</v>
      </c>
      <c r="M376" s="205">
        <f t="shared" si="222"/>
        <v>0</v>
      </c>
      <c r="N376" s="204">
        <f t="shared" ref="N376:P378" si="229">SUM(N368,N372)</f>
        <v>0</v>
      </c>
      <c r="O376" s="204">
        <f t="shared" si="229"/>
        <v>0</v>
      </c>
      <c r="P376" s="204">
        <f t="shared" si="229"/>
        <v>0</v>
      </c>
      <c r="Q376" s="205">
        <f t="shared" si="223"/>
        <v>0</v>
      </c>
      <c r="R376" s="204">
        <f t="shared" ref="R376:T378" si="230">SUM(R368,R372)</f>
        <v>0</v>
      </c>
      <c r="S376" s="204">
        <f t="shared" si="230"/>
        <v>0</v>
      </c>
      <c r="T376" s="204">
        <f t="shared" si="230"/>
        <v>0</v>
      </c>
      <c r="U376" s="205">
        <f t="shared" si="224"/>
        <v>0</v>
      </c>
      <c r="V376" s="204">
        <f t="shared" ref="V376:X378" si="231">SUM(V368,V372)</f>
        <v>0</v>
      </c>
      <c r="W376" s="204">
        <f t="shared" si="231"/>
        <v>0</v>
      </c>
      <c r="X376" s="204">
        <f t="shared" si="231"/>
        <v>0</v>
      </c>
      <c r="Y376" s="205">
        <f t="shared" si="225"/>
        <v>0</v>
      </c>
    </row>
    <row r="377" spans="1:25" ht="12.75" hidden="1" customHeight="1" outlineLevel="2" x14ac:dyDescent="0.2">
      <c r="A377" s="198" t="str">
        <f>"         "&amp;Labels!B394</f>
        <v xml:space="preserve">         Contributor</v>
      </c>
      <c r="B377" s="204">
        <f t="shared" si="226"/>
        <v>0</v>
      </c>
      <c r="C377" s="204">
        <f t="shared" si="226"/>
        <v>0</v>
      </c>
      <c r="D377" s="204">
        <f t="shared" si="226"/>
        <v>0</v>
      </c>
      <c r="E377" s="205">
        <f t="shared" si="220"/>
        <v>0</v>
      </c>
      <c r="F377" s="204">
        <f t="shared" si="227"/>
        <v>0</v>
      </c>
      <c r="G377" s="204">
        <f t="shared" si="227"/>
        <v>0</v>
      </c>
      <c r="H377" s="204">
        <f t="shared" si="227"/>
        <v>0</v>
      </c>
      <c r="I377" s="205">
        <f t="shared" si="221"/>
        <v>0</v>
      </c>
      <c r="J377" s="204">
        <f t="shared" si="228"/>
        <v>0</v>
      </c>
      <c r="K377" s="204">
        <f t="shared" si="228"/>
        <v>0</v>
      </c>
      <c r="L377" s="204">
        <f t="shared" si="228"/>
        <v>0</v>
      </c>
      <c r="M377" s="205">
        <f t="shared" si="222"/>
        <v>0</v>
      </c>
      <c r="N377" s="204">
        <f t="shared" si="229"/>
        <v>0</v>
      </c>
      <c r="O377" s="204">
        <f t="shared" si="229"/>
        <v>0</v>
      </c>
      <c r="P377" s="204">
        <f t="shared" si="229"/>
        <v>0</v>
      </c>
      <c r="Q377" s="205">
        <f t="shared" si="223"/>
        <v>0</v>
      </c>
      <c r="R377" s="204">
        <f t="shared" si="230"/>
        <v>0</v>
      </c>
      <c r="S377" s="204">
        <f t="shared" si="230"/>
        <v>0</v>
      </c>
      <c r="T377" s="204">
        <f t="shared" si="230"/>
        <v>0</v>
      </c>
      <c r="U377" s="205">
        <f t="shared" si="224"/>
        <v>0</v>
      </c>
      <c r="V377" s="204">
        <f t="shared" si="231"/>
        <v>0</v>
      </c>
      <c r="W377" s="204">
        <f t="shared" si="231"/>
        <v>0</v>
      </c>
      <c r="X377" s="204">
        <f t="shared" si="231"/>
        <v>0</v>
      </c>
      <c r="Y377" s="205">
        <f t="shared" si="225"/>
        <v>0</v>
      </c>
    </row>
    <row r="378" spans="1:25" ht="12.75" hidden="1" customHeight="1" outlineLevel="2" x14ac:dyDescent="0.2">
      <c r="A378" s="198" t="str">
        <f>"         "&amp;Labels!C392</f>
        <v xml:space="preserve">         Total</v>
      </c>
      <c r="B378" s="250">
        <f t="shared" si="226"/>
        <v>0</v>
      </c>
      <c r="C378" s="250">
        <f t="shared" si="226"/>
        <v>0</v>
      </c>
      <c r="D378" s="250">
        <f t="shared" si="226"/>
        <v>0</v>
      </c>
      <c r="E378" s="251">
        <f>SUM(B375:D375)</f>
        <v>0</v>
      </c>
      <c r="F378" s="250">
        <f t="shared" si="227"/>
        <v>0</v>
      </c>
      <c r="G378" s="250">
        <f t="shared" si="227"/>
        <v>0</v>
      </c>
      <c r="H378" s="250">
        <f t="shared" si="227"/>
        <v>0</v>
      </c>
      <c r="I378" s="251">
        <f>SUM(F375:H375)</f>
        <v>0</v>
      </c>
      <c r="J378" s="250">
        <f t="shared" si="228"/>
        <v>0</v>
      </c>
      <c r="K378" s="250">
        <f t="shared" si="228"/>
        <v>0</v>
      </c>
      <c r="L378" s="250">
        <f t="shared" si="228"/>
        <v>0</v>
      </c>
      <c r="M378" s="251">
        <f>SUM(J375:L375)</f>
        <v>0</v>
      </c>
      <c r="N378" s="250">
        <f t="shared" si="229"/>
        <v>0</v>
      </c>
      <c r="O378" s="250">
        <f t="shared" si="229"/>
        <v>0</v>
      </c>
      <c r="P378" s="250">
        <f t="shared" si="229"/>
        <v>0</v>
      </c>
      <c r="Q378" s="251">
        <f>SUM(N375:P375)</f>
        <v>0</v>
      </c>
      <c r="R378" s="250">
        <f t="shared" si="230"/>
        <v>0</v>
      </c>
      <c r="S378" s="250">
        <f t="shared" si="230"/>
        <v>0</v>
      </c>
      <c r="T378" s="250">
        <f t="shared" si="230"/>
        <v>0</v>
      </c>
      <c r="U378" s="251">
        <f>SUM(R375:T375)</f>
        <v>0</v>
      </c>
      <c r="V378" s="250">
        <f t="shared" si="231"/>
        <v>0</v>
      </c>
      <c r="W378" s="250">
        <f t="shared" si="231"/>
        <v>0</v>
      </c>
      <c r="X378" s="250">
        <f t="shared" si="231"/>
        <v>0</v>
      </c>
      <c r="Y378" s="251">
        <f>SUM(V375:X375)</f>
        <v>0</v>
      </c>
    </row>
    <row r="379" spans="1:25" ht="12.75" hidden="1" customHeight="1" outlineLevel="2" x14ac:dyDescent="0.2">
      <c r="A379" s="191" t="str">
        <f>"   "&amp;Labels!C380</f>
        <v xml:space="preserve">   Total</v>
      </c>
      <c r="B379" s="247">
        <f>SUM(B362,B375)</f>
        <v>0</v>
      </c>
      <c r="C379" s="247">
        <f>SUM(C362,C375)</f>
        <v>0</v>
      </c>
      <c r="D379" s="247">
        <f>SUM(D362,D375)</f>
        <v>0</v>
      </c>
      <c r="E379" s="205">
        <f>SUM(B379:D379)</f>
        <v>0</v>
      </c>
      <c r="F379" s="247">
        <f>SUM(F362,F375)</f>
        <v>0</v>
      </c>
      <c r="G379" s="247">
        <f>SUM(G362,G375)</f>
        <v>0</v>
      </c>
      <c r="H379" s="247">
        <f>SUM(H362,H375)</f>
        <v>0</v>
      </c>
      <c r="I379" s="205">
        <f>SUM(F379:H379)</f>
        <v>0</v>
      </c>
      <c r="J379" s="247">
        <f>SUM(J362,J375)</f>
        <v>0</v>
      </c>
      <c r="K379" s="247">
        <f>SUM(K362,K375)</f>
        <v>0</v>
      </c>
      <c r="L379" s="247">
        <f>SUM(L362,L375)</f>
        <v>0</v>
      </c>
      <c r="M379" s="205">
        <f>SUM(J379:L379)</f>
        <v>0</v>
      </c>
      <c r="N379" s="247">
        <f>SUM(N362,N375)</f>
        <v>0</v>
      </c>
      <c r="O379" s="247">
        <f>SUM(O362,O375)</f>
        <v>0</v>
      </c>
      <c r="P379" s="247">
        <f>SUM(P362,P375)</f>
        <v>0</v>
      </c>
      <c r="Q379" s="205">
        <f>SUM(N379:P379)</f>
        <v>0</v>
      </c>
      <c r="R379" s="247">
        <f>SUM(R362,R375)</f>
        <v>0</v>
      </c>
      <c r="S379" s="247">
        <f>SUM(S362,S375)</f>
        <v>0</v>
      </c>
      <c r="T379" s="247">
        <f>SUM(T362,T375)</f>
        <v>0</v>
      </c>
      <c r="U379" s="205">
        <f>SUM(R379:T379)</f>
        <v>0</v>
      </c>
      <c r="V379" s="247">
        <f>SUM(V362,V375)</f>
        <v>0</v>
      </c>
      <c r="W379" s="247">
        <f>SUM(W362,W375)</f>
        <v>0</v>
      </c>
      <c r="X379" s="247">
        <f>SUM(X362,X375)</f>
        <v>0</v>
      </c>
      <c r="Y379" s="205">
        <f>SUM(V379:X379)</f>
        <v>0</v>
      </c>
    </row>
    <row r="380" spans="1:25" ht="12.75" hidden="1" customHeight="1" outlineLevel="2" x14ac:dyDescent="0.2">
      <c r="A380" s="198" t="str">
        <f>"      "&amp;Labels!B321</f>
        <v xml:space="preserve">      Marketing</v>
      </c>
      <c r="B380" s="250"/>
      <c r="C380" s="250"/>
      <c r="D380" s="250"/>
      <c r="E380" s="251"/>
      <c r="F380" s="250"/>
      <c r="G380" s="250"/>
      <c r="H380" s="250"/>
      <c r="I380" s="251"/>
      <c r="J380" s="250"/>
      <c r="K380" s="250"/>
      <c r="L380" s="250"/>
      <c r="M380" s="251"/>
      <c r="N380" s="250"/>
      <c r="O380" s="250"/>
      <c r="P380" s="250"/>
      <c r="Q380" s="251"/>
      <c r="R380" s="250"/>
      <c r="S380" s="250"/>
      <c r="T380" s="250"/>
      <c r="U380" s="251"/>
      <c r="V380" s="250"/>
      <c r="W380" s="250"/>
      <c r="X380" s="250"/>
      <c r="Y380" s="251"/>
    </row>
    <row r="381" spans="1:25" ht="12.75" hidden="1" customHeight="1" outlineLevel="2" x14ac:dyDescent="0.2">
      <c r="A381" s="198" t="str">
        <f>"         "&amp;Labels!B393</f>
        <v xml:space="preserve">         Manager</v>
      </c>
      <c r="B381" s="204">
        <f t="shared" ref="B381:D383" si="232">SUM(B355,B368)</f>
        <v>0</v>
      </c>
      <c r="C381" s="204">
        <f t="shared" si="232"/>
        <v>0</v>
      </c>
      <c r="D381" s="204">
        <f t="shared" si="232"/>
        <v>0</v>
      </c>
      <c r="E381" s="205">
        <f>SUM(B381:D381)</f>
        <v>0</v>
      </c>
      <c r="F381" s="204">
        <f t="shared" ref="F381:H383" si="233">SUM(F355,F368)</f>
        <v>0</v>
      </c>
      <c r="G381" s="204">
        <f t="shared" si="233"/>
        <v>0</v>
      </c>
      <c r="H381" s="204">
        <f t="shared" si="233"/>
        <v>0</v>
      </c>
      <c r="I381" s="205">
        <f>SUM(F381:H381)</f>
        <v>0</v>
      </c>
      <c r="J381" s="204">
        <f t="shared" ref="J381:L383" si="234">SUM(J355,J368)</f>
        <v>0</v>
      </c>
      <c r="K381" s="204">
        <f t="shared" si="234"/>
        <v>0</v>
      </c>
      <c r="L381" s="204">
        <f t="shared" si="234"/>
        <v>0</v>
      </c>
      <c r="M381" s="205">
        <f>SUM(J381:L381)</f>
        <v>0</v>
      </c>
      <c r="N381" s="204">
        <f t="shared" ref="N381:P383" si="235">SUM(N355,N368)</f>
        <v>0</v>
      </c>
      <c r="O381" s="204">
        <f t="shared" si="235"/>
        <v>0</v>
      </c>
      <c r="P381" s="204">
        <f t="shared" si="235"/>
        <v>0</v>
      </c>
      <c r="Q381" s="205">
        <f>SUM(N381:P381)</f>
        <v>0</v>
      </c>
      <c r="R381" s="204">
        <f t="shared" ref="R381:T383" si="236">SUM(R355,R368)</f>
        <v>0</v>
      </c>
      <c r="S381" s="204">
        <f t="shared" si="236"/>
        <v>0</v>
      </c>
      <c r="T381" s="204">
        <f t="shared" si="236"/>
        <v>0</v>
      </c>
      <c r="U381" s="205">
        <f>SUM(R381:T381)</f>
        <v>0</v>
      </c>
      <c r="V381" s="204">
        <f t="shared" ref="V381:X383" si="237">SUM(V355,V368)</f>
        <v>0</v>
      </c>
      <c r="W381" s="204">
        <f t="shared" si="237"/>
        <v>0</v>
      </c>
      <c r="X381" s="204">
        <f t="shared" si="237"/>
        <v>0</v>
      </c>
      <c r="Y381" s="205">
        <f>SUM(V381:X381)</f>
        <v>0</v>
      </c>
    </row>
    <row r="382" spans="1:25" ht="12.75" hidden="1" customHeight="1" outlineLevel="2" x14ac:dyDescent="0.2">
      <c r="A382" s="198" t="str">
        <f>"         "&amp;Labels!B394</f>
        <v xml:space="preserve">         Contributor</v>
      </c>
      <c r="B382" s="204">
        <f t="shared" si="232"/>
        <v>0</v>
      </c>
      <c r="C382" s="204">
        <f t="shared" si="232"/>
        <v>0</v>
      </c>
      <c r="D382" s="204">
        <f t="shared" si="232"/>
        <v>0</v>
      </c>
      <c r="E382" s="205">
        <f>SUM(B382:D382)</f>
        <v>0</v>
      </c>
      <c r="F382" s="204">
        <f t="shared" si="233"/>
        <v>0</v>
      </c>
      <c r="G382" s="204">
        <f t="shared" si="233"/>
        <v>0</v>
      </c>
      <c r="H382" s="204">
        <f t="shared" si="233"/>
        <v>0</v>
      </c>
      <c r="I382" s="205">
        <f>SUM(F382:H382)</f>
        <v>0</v>
      </c>
      <c r="J382" s="204">
        <f t="shared" si="234"/>
        <v>0</v>
      </c>
      <c r="K382" s="204">
        <f t="shared" si="234"/>
        <v>0</v>
      </c>
      <c r="L382" s="204">
        <f t="shared" si="234"/>
        <v>0</v>
      </c>
      <c r="M382" s="205">
        <f>SUM(J382:L382)</f>
        <v>0</v>
      </c>
      <c r="N382" s="204">
        <f t="shared" si="235"/>
        <v>0</v>
      </c>
      <c r="O382" s="204">
        <f t="shared" si="235"/>
        <v>0</v>
      </c>
      <c r="P382" s="204">
        <f t="shared" si="235"/>
        <v>0</v>
      </c>
      <c r="Q382" s="205">
        <f>SUM(N382:P382)</f>
        <v>0</v>
      </c>
      <c r="R382" s="204">
        <f t="shared" si="236"/>
        <v>0</v>
      </c>
      <c r="S382" s="204">
        <f t="shared" si="236"/>
        <v>0</v>
      </c>
      <c r="T382" s="204">
        <f t="shared" si="236"/>
        <v>0</v>
      </c>
      <c r="U382" s="205">
        <f>SUM(R382:T382)</f>
        <v>0</v>
      </c>
      <c r="V382" s="204">
        <f t="shared" si="237"/>
        <v>0</v>
      </c>
      <c r="W382" s="204">
        <f t="shared" si="237"/>
        <v>0</v>
      </c>
      <c r="X382" s="204">
        <f t="shared" si="237"/>
        <v>0</v>
      </c>
      <c r="Y382" s="205">
        <f>SUM(V382:X382)</f>
        <v>0</v>
      </c>
    </row>
    <row r="383" spans="1:25" ht="12.75" hidden="1" customHeight="1" outlineLevel="2" x14ac:dyDescent="0.2">
      <c r="A383" s="198" t="str">
        <f>"         "&amp;Labels!C392</f>
        <v xml:space="preserve">         Total</v>
      </c>
      <c r="B383" s="250">
        <f t="shared" si="232"/>
        <v>0</v>
      </c>
      <c r="C383" s="250">
        <f t="shared" si="232"/>
        <v>0</v>
      </c>
      <c r="D383" s="250">
        <f t="shared" si="232"/>
        <v>0</v>
      </c>
      <c r="E383" s="251">
        <f>SUM(B383:D383)</f>
        <v>0</v>
      </c>
      <c r="F383" s="250">
        <f t="shared" si="233"/>
        <v>0</v>
      </c>
      <c r="G383" s="250">
        <f t="shared" si="233"/>
        <v>0</v>
      </c>
      <c r="H383" s="250">
        <f t="shared" si="233"/>
        <v>0</v>
      </c>
      <c r="I383" s="251">
        <f>SUM(F383:H383)</f>
        <v>0</v>
      </c>
      <c r="J383" s="250">
        <f t="shared" si="234"/>
        <v>0</v>
      </c>
      <c r="K383" s="250">
        <f t="shared" si="234"/>
        <v>0</v>
      </c>
      <c r="L383" s="250">
        <f t="shared" si="234"/>
        <v>0</v>
      </c>
      <c r="M383" s="251">
        <f>SUM(J383:L383)</f>
        <v>0</v>
      </c>
      <c r="N383" s="250">
        <f t="shared" si="235"/>
        <v>0</v>
      </c>
      <c r="O383" s="250">
        <f t="shared" si="235"/>
        <v>0</v>
      </c>
      <c r="P383" s="250">
        <f t="shared" si="235"/>
        <v>0</v>
      </c>
      <c r="Q383" s="251">
        <f>SUM(N383:P383)</f>
        <v>0</v>
      </c>
      <c r="R383" s="250">
        <f t="shared" si="236"/>
        <v>0</v>
      </c>
      <c r="S383" s="250">
        <f t="shared" si="236"/>
        <v>0</v>
      </c>
      <c r="T383" s="250">
        <f t="shared" si="236"/>
        <v>0</v>
      </c>
      <c r="U383" s="251">
        <f>SUM(R383:T383)</f>
        <v>0</v>
      </c>
      <c r="V383" s="250">
        <f t="shared" si="237"/>
        <v>0</v>
      </c>
      <c r="W383" s="250">
        <f t="shared" si="237"/>
        <v>0</v>
      </c>
      <c r="X383" s="250">
        <f t="shared" si="237"/>
        <v>0</v>
      </c>
      <c r="Y383" s="251">
        <f>SUM(V383:X383)</f>
        <v>0</v>
      </c>
    </row>
    <row r="384" spans="1:25" ht="12.75" hidden="1" customHeight="1" outlineLevel="2" x14ac:dyDescent="0.2">
      <c r="A384" s="198" t="str">
        <f>"      "&amp;Labels!B322</f>
        <v xml:space="preserve">      Sales</v>
      </c>
      <c r="B384" s="250"/>
      <c r="C384" s="250"/>
      <c r="D384" s="250"/>
      <c r="E384" s="251"/>
      <c r="F384" s="250"/>
      <c r="G384" s="250"/>
      <c r="H384" s="250"/>
      <c r="I384" s="251"/>
      <c r="J384" s="250"/>
      <c r="K384" s="250"/>
      <c r="L384" s="250"/>
      <c r="M384" s="251"/>
      <c r="N384" s="250"/>
      <c r="O384" s="250"/>
      <c r="P384" s="250"/>
      <c r="Q384" s="251"/>
      <c r="R384" s="250"/>
      <c r="S384" s="250"/>
      <c r="T384" s="250"/>
      <c r="U384" s="251"/>
      <c r="V384" s="250"/>
      <c r="W384" s="250"/>
      <c r="X384" s="250"/>
      <c r="Y384" s="251"/>
    </row>
    <row r="385" spans="1:25" ht="12.75" hidden="1" customHeight="1" outlineLevel="2" x14ac:dyDescent="0.2">
      <c r="A385" s="198" t="str">
        <f>"         "&amp;Labels!B393</f>
        <v xml:space="preserve">         Manager</v>
      </c>
      <c r="B385" s="204">
        <f t="shared" ref="B385:D390" si="238">SUM(B359,B372)</f>
        <v>0</v>
      </c>
      <c r="C385" s="204">
        <f t="shared" si="238"/>
        <v>0</v>
      </c>
      <c r="D385" s="204">
        <f t="shared" si="238"/>
        <v>0</v>
      </c>
      <c r="E385" s="205">
        <f>SUM(B385:D385)</f>
        <v>0</v>
      </c>
      <c r="F385" s="204">
        <f t="shared" ref="F385:H390" si="239">SUM(F359,F372)</f>
        <v>0</v>
      </c>
      <c r="G385" s="204">
        <f t="shared" si="239"/>
        <v>0</v>
      </c>
      <c r="H385" s="204">
        <f t="shared" si="239"/>
        <v>0</v>
      </c>
      <c r="I385" s="205">
        <f>SUM(F385:H385)</f>
        <v>0</v>
      </c>
      <c r="J385" s="204">
        <f t="shared" ref="J385:L390" si="240">SUM(J359,J372)</f>
        <v>0</v>
      </c>
      <c r="K385" s="204">
        <f t="shared" si="240"/>
        <v>0</v>
      </c>
      <c r="L385" s="204">
        <f t="shared" si="240"/>
        <v>0</v>
      </c>
      <c r="M385" s="205">
        <f>SUM(J385:L385)</f>
        <v>0</v>
      </c>
      <c r="N385" s="204">
        <f t="shared" ref="N385:P390" si="241">SUM(N359,N372)</f>
        <v>0</v>
      </c>
      <c r="O385" s="204">
        <f t="shared" si="241"/>
        <v>0</v>
      </c>
      <c r="P385" s="204">
        <f t="shared" si="241"/>
        <v>0</v>
      </c>
      <c r="Q385" s="205">
        <f>SUM(N385:P385)</f>
        <v>0</v>
      </c>
      <c r="R385" s="204">
        <f t="shared" ref="R385:T390" si="242">SUM(R359,R372)</f>
        <v>0</v>
      </c>
      <c r="S385" s="204">
        <f t="shared" si="242"/>
        <v>0</v>
      </c>
      <c r="T385" s="204">
        <f t="shared" si="242"/>
        <v>0</v>
      </c>
      <c r="U385" s="205">
        <f>SUM(R385:T385)</f>
        <v>0</v>
      </c>
      <c r="V385" s="204">
        <f t="shared" ref="V385:X390" si="243">SUM(V359,V372)</f>
        <v>0</v>
      </c>
      <c r="W385" s="204">
        <f t="shared" si="243"/>
        <v>0</v>
      </c>
      <c r="X385" s="204">
        <f t="shared" si="243"/>
        <v>0</v>
      </c>
      <c r="Y385" s="205">
        <f>SUM(V385:X385)</f>
        <v>0</v>
      </c>
    </row>
    <row r="386" spans="1:25" ht="12.75" hidden="1" customHeight="1" outlineLevel="2" x14ac:dyDescent="0.2">
      <c r="A386" s="198" t="str">
        <f>"         "&amp;Labels!B394</f>
        <v xml:space="preserve">         Contributor</v>
      </c>
      <c r="B386" s="204">
        <f t="shared" si="238"/>
        <v>0</v>
      </c>
      <c r="C386" s="204">
        <f t="shared" si="238"/>
        <v>0</v>
      </c>
      <c r="D386" s="204">
        <f t="shared" si="238"/>
        <v>0</v>
      </c>
      <c r="E386" s="205">
        <f>SUM(B386:D386)</f>
        <v>0</v>
      </c>
      <c r="F386" s="204">
        <f t="shared" si="239"/>
        <v>0</v>
      </c>
      <c r="G386" s="204">
        <f t="shared" si="239"/>
        <v>0</v>
      </c>
      <c r="H386" s="204">
        <f t="shared" si="239"/>
        <v>0</v>
      </c>
      <c r="I386" s="205">
        <f>SUM(F386:H386)</f>
        <v>0</v>
      </c>
      <c r="J386" s="204">
        <f t="shared" si="240"/>
        <v>0</v>
      </c>
      <c r="K386" s="204">
        <f t="shared" si="240"/>
        <v>0</v>
      </c>
      <c r="L386" s="204">
        <f t="shared" si="240"/>
        <v>0</v>
      </c>
      <c r="M386" s="205">
        <f>SUM(J386:L386)</f>
        <v>0</v>
      </c>
      <c r="N386" s="204">
        <f t="shared" si="241"/>
        <v>0</v>
      </c>
      <c r="O386" s="204">
        <f t="shared" si="241"/>
        <v>0</v>
      </c>
      <c r="P386" s="204">
        <f t="shared" si="241"/>
        <v>0</v>
      </c>
      <c r="Q386" s="205">
        <f>SUM(N386:P386)</f>
        <v>0</v>
      </c>
      <c r="R386" s="204">
        <f t="shared" si="242"/>
        <v>0</v>
      </c>
      <c r="S386" s="204">
        <f t="shared" si="242"/>
        <v>0</v>
      </c>
      <c r="T386" s="204">
        <f t="shared" si="242"/>
        <v>0</v>
      </c>
      <c r="U386" s="205">
        <f>SUM(R386:T386)</f>
        <v>0</v>
      </c>
      <c r="V386" s="204">
        <f t="shared" si="243"/>
        <v>0</v>
      </c>
      <c r="W386" s="204">
        <f t="shared" si="243"/>
        <v>0</v>
      </c>
      <c r="X386" s="204">
        <f t="shared" si="243"/>
        <v>0</v>
      </c>
      <c r="Y386" s="205">
        <f>SUM(V386:X386)</f>
        <v>0</v>
      </c>
    </row>
    <row r="387" spans="1:25" ht="12.75" hidden="1" customHeight="1" outlineLevel="2" x14ac:dyDescent="0.2">
      <c r="A387" s="198" t="str">
        <f>"         "&amp;Labels!C392</f>
        <v xml:space="preserve">         Total</v>
      </c>
      <c r="B387" s="250">
        <f t="shared" si="238"/>
        <v>0</v>
      </c>
      <c r="C387" s="250">
        <f t="shared" si="238"/>
        <v>0</v>
      </c>
      <c r="D387" s="250">
        <f t="shared" si="238"/>
        <v>0</v>
      </c>
      <c r="E387" s="251">
        <f>SUM(B387:D387)</f>
        <v>0</v>
      </c>
      <c r="F387" s="250">
        <f t="shared" si="239"/>
        <v>0</v>
      </c>
      <c r="G387" s="250">
        <f t="shared" si="239"/>
        <v>0</v>
      </c>
      <c r="H387" s="250">
        <f t="shared" si="239"/>
        <v>0</v>
      </c>
      <c r="I387" s="251">
        <f>SUM(F387:H387)</f>
        <v>0</v>
      </c>
      <c r="J387" s="250">
        <f t="shared" si="240"/>
        <v>0</v>
      </c>
      <c r="K387" s="250">
        <f t="shared" si="240"/>
        <v>0</v>
      </c>
      <c r="L387" s="250">
        <f t="shared" si="240"/>
        <v>0</v>
      </c>
      <c r="M387" s="251">
        <f>SUM(J387:L387)</f>
        <v>0</v>
      </c>
      <c r="N387" s="250">
        <f t="shared" si="241"/>
        <v>0</v>
      </c>
      <c r="O387" s="250">
        <f t="shared" si="241"/>
        <v>0</v>
      </c>
      <c r="P387" s="250">
        <f t="shared" si="241"/>
        <v>0</v>
      </c>
      <c r="Q387" s="251">
        <f>SUM(N387:P387)</f>
        <v>0</v>
      </c>
      <c r="R387" s="250">
        <f t="shared" si="242"/>
        <v>0</v>
      </c>
      <c r="S387" s="250">
        <f t="shared" si="242"/>
        <v>0</v>
      </c>
      <c r="T387" s="250">
        <f t="shared" si="242"/>
        <v>0</v>
      </c>
      <c r="U387" s="251">
        <f>SUM(R387:T387)</f>
        <v>0</v>
      </c>
      <c r="V387" s="250">
        <f t="shared" si="243"/>
        <v>0</v>
      </c>
      <c r="W387" s="250">
        <f t="shared" si="243"/>
        <v>0</v>
      </c>
      <c r="X387" s="250">
        <f t="shared" si="243"/>
        <v>0</v>
      </c>
      <c r="Y387" s="251">
        <f>SUM(V387:X387)</f>
        <v>0</v>
      </c>
    </row>
    <row r="388" spans="1:25" ht="12.75" hidden="1" customHeight="1" outlineLevel="2" x14ac:dyDescent="0.2">
      <c r="A388" s="188" t="str">
        <f>"      "&amp;Labels!C320</f>
        <v xml:space="preserve">      Total</v>
      </c>
      <c r="B388" s="248">
        <f t="shared" si="238"/>
        <v>0</v>
      </c>
      <c r="C388" s="248">
        <f t="shared" si="238"/>
        <v>0</v>
      </c>
      <c r="D388" s="248">
        <f t="shared" si="238"/>
        <v>0</v>
      </c>
      <c r="E388" s="249">
        <f>SUM(B379:D379)</f>
        <v>0</v>
      </c>
      <c r="F388" s="248">
        <f t="shared" si="239"/>
        <v>0</v>
      </c>
      <c r="G388" s="248">
        <f t="shared" si="239"/>
        <v>0</v>
      </c>
      <c r="H388" s="248">
        <f t="shared" si="239"/>
        <v>0</v>
      </c>
      <c r="I388" s="249">
        <f>SUM(F379:H379)</f>
        <v>0</v>
      </c>
      <c r="J388" s="248">
        <f t="shared" si="240"/>
        <v>0</v>
      </c>
      <c r="K388" s="248">
        <f t="shared" si="240"/>
        <v>0</v>
      </c>
      <c r="L388" s="248">
        <f t="shared" si="240"/>
        <v>0</v>
      </c>
      <c r="M388" s="249">
        <f>SUM(J379:L379)</f>
        <v>0</v>
      </c>
      <c r="N388" s="248">
        <f t="shared" si="241"/>
        <v>0</v>
      </c>
      <c r="O388" s="248">
        <f t="shared" si="241"/>
        <v>0</v>
      </c>
      <c r="P388" s="248">
        <f t="shared" si="241"/>
        <v>0</v>
      </c>
      <c r="Q388" s="249">
        <f>SUM(N379:P379)</f>
        <v>0</v>
      </c>
      <c r="R388" s="248">
        <f t="shared" si="242"/>
        <v>0</v>
      </c>
      <c r="S388" s="248">
        <f t="shared" si="242"/>
        <v>0</v>
      </c>
      <c r="T388" s="248">
        <f t="shared" si="242"/>
        <v>0</v>
      </c>
      <c r="U388" s="249">
        <f>SUM(R379:T379)</f>
        <v>0</v>
      </c>
      <c r="V388" s="248">
        <f t="shared" si="243"/>
        <v>0</v>
      </c>
      <c r="W388" s="248">
        <f t="shared" si="243"/>
        <v>0</v>
      </c>
      <c r="X388" s="248">
        <f t="shared" si="243"/>
        <v>0</v>
      </c>
      <c r="Y388" s="249">
        <f>SUM(V379:X379)</f>
        <v>0</v>
      </c>
    </row>
    <row r="389" spans="1:25" ht="12.75" hidden="1" customHeight="1" outlineLevel="2" x14ac:dyDescent="0.2">
      <c r="A389" s="198" t="str">
        <f>"         "&amp;Labels!B393</f>
        <v xml:space="preserve">         Manager</v>
      </c>
      <c r="B389" s="204">
        <f t="shared" si="238"/>
        <v>0</v>
      </c>
      <c r="C389" s="204">
        <f t="shared" si="238"/>
        <v>0</v>
      </c>
      <c r="D389" s="204">
        <f t="shared" si="238"/>
        <v>0</v>
      </c>
      <c r="E389" s="205">
        <f>SUM(B389:D389)</f>
        <v>0</v>
      </c>
      <c r="F389" s="204">
        <f t="shared" si="239"/>
        <v>0</v>
      </c>
      <c r="G389" s="204">
        <f t="shared" si="239"/>
        <v>0</v>
      </c>
      <c r="H389" s="204">
        <f t="shared" si="239"/>
        <v>0</v>
      </c>
      <c r="I389" s="205">
        <f>SUM(F389:H389)</f>
        <v>0</v>
      </c>
      <c r="J389" s="204">
        <f t="shared" si="240"/>
        <v>0</v>
      </c>
      <c r="K389" s="204">
        <f t="shared" si="240"/>
        <v>0</v>
      </c>
      <c r="L389" s="204">
        <f t="shared" si="240"/>
        <v>0</v>
      </c>
      <c r="M389" s="205">
        <f>SUM(J389:L389)</f>
        <v>0</v>
      </c>
      <c r="N389" s="204">
        <f t="shared" si="241"/>
        <v>0</v>
      </c>
      <c r="O389" s="204">
        <f t="shared" si="241"/>
        <v>0</v>
      </c>
      <c r="P389" s="204">
        <f t="shared" si="241"/>
        <v>0</v>
      </c>
      <c r="Q389" s="205">
        <f>SUM(N389:P389)</f>
        <v>0</v>
      </c>
      <c r="R389" s="204">
        <f t="shared" si="242"/>
        <v>0</v>
      </c>
      <c r="S389" s="204">
        <f t="shared" si="242"/>
        <v>0</v>
      </c>
      <c r="T389" s="204">
        <f t="shared" si="242"/>
        <v>0</v>
      </c>
      <c r="U389" s="205">
        <f>SUM(R389:T389)</f>
        <v>0</v>
      </c>
      <c r="V389" s="204">
        <f t="shared" si="243"/>
        <v>0</v>
      </c>
      <c r="W389" s="204">
        <f t="shared" si="243"/>
        <v>0</v>
      </c>
      <c r="X389" s="204">
        <f t="shared" si="243"/>
        <v>0</v>
      </c>
      <c r="Y389" s="205">
        <f>SUM(V389:X389)</f>
        <v>0</v>
      </c>
    </row>
    <row r="390" spans="1:25" ht="12.75" hidden="1" customHeight="1" outlineLevel="2" x14ac:dyDescent="0.2">
      <c r="A390" s="198" t="str">
        <f>"         "&amp;Labels!B394</f>
        <v xml:space="preserve">         Contributor</v>
      </c>
      <c r="B390" s="204">
        <f t="shared" si="238"/>
        <v>0</v>
      </c>
      <c r="C390" s="204">
        <f t="shared" si="238"/>
        <v>0</v>
      </c>
      <c r="D390" s="204">
        <f t="shared" si="238"/>
        <v>0</v>
      </c>
      <c r="E390" s="205">
        <f>SUM(B390:D390)</f>
        <v>0</v>
      </c>
      <c r="F390" s="204">
        <f t="shared" si="239"/>
        <v>0</v>
      </c>
      <c r="G390" s="204">
        <f t="shared" si="239"/>
        <v>0</v>
      </c>
      <c r="H390" s="204">
        <f t="shared" si="239"/>
        <v>0</v>
      </c>
      <c r="I390" s="205">
        <f>SUM(F390:H390)</f>
        <v>0</v>
      </c>
      <c r="J390" s="204">
        <f t="shared" si="240"/>
        <v>0</v>
      </c>
      <c r="K390" s="204">
        <f t="shared" si="240"/>
        <v>0</v>
      </c>
      <c r="L390" s="204">
        <f t="shared" si="240"/>
        <v>0</v>
      </c>
      <c r="M390" s="205">
        <f>SUM(J390:L390)</f>
        <v>0</v>
      </c>
      <c r="N390" s="204">
        <f t="shared" si="241"/>
        <v>0</v>
      </c>
      <c r="O390" s="204">
        <f t="shared" si="241"/>
        <v>0</v>
      </c>
      <c r="P390" s="204">
        <f t="shared" si="241"/>
        <v>0</v>
      </c>
      <c r="Q390" s="205">
        <f>SUM(N390:P390)</f>
        <v>0</v>
      </c>
      <c r="R390" s="204">
        <f t="shared" si="242"/>
        <v>0</v>
      </c>
      <c r="S390" s="204">
        <f t="shared" si="242"/>
        <v>0</v>
      </c>
      <c r="T390" s="204">
        <f t="shared" si="242"/>
        <v>0</v>
      </c>
      <c r="U390" s="205">
        <f>SUM(R390:T390)</f>
        <v>0</v>
      </c>
      <c r="V390" s="204">
        <f t="shared" si="243"/>
        <v>0</v>
      </c>
      <c r="W390" s="204">
        <f t="shared" si="243"/>
        <v>0</v>
      </c>
      <c r="X390" s="204">
        <f t="shared" si="243"/>
        <v>0</v>
      </c>
      <c r="Y390" s="205">
        <f>SUM(V390:X390)</f>
        <v>0</v>
      </c>
    </row>
    <row r="391" spans="1:25" ht="12.75" hidden="1" customHeight="1" outlineLevel="2" x14ac:dyDescent="0.2">
      <c r="A391" s="230" t="str">
        <f>"         "&amp;Labels!C392</f>
        <v xml:space="preserve">         Total</v>
      </c>
      <c r="B391" s="252">
        <f>SUM(B362,B375)</f>
        <v>0</v>
      </c>
      <c r="C391" s="252">
        <f>SUM(C362,C375)</f>
        <v>0</v>
      </c>
      <c r="D391" s="252">
        <f>SUM(D362,D375)</f>
        <v>0</v>
      </c>
      <c r="E391" s="253">
        <f>SUM(B379:D379)</f>
        <v>0</v>
      </c>
      <c r="F391" s="252">
        <f>SUM(F362,F375)</f>
        <v>0</v>
      </c>
      <c r="G391" s="252">
        <f>SUM(G362,G375)</f>
        <v>0</v>
      </c>
      <c r="H391" s="252">
        <f>SUM(H362,H375)</f>
        <v>0</v>
      </c>
      <c r="I391" s="253">
        <f>SUM(F379:H379)</f>
        <v>0</v>
      </c>
      <c r="J391" s="252">
        <f>SUM(J362,J375)</f>
        <v>0</v>
      </c>
      <c r="K391" s="252">
        <f>SUM(K362,K375)</f>
        <v>0</v>
      </c>
      <c r="L391" s="252">
        <f>SUM(L362,L375)</f>
        <v>0</v>
      </c>
      <c r="M391" s="253">
        <f>SUM(J379:L379)</f>
        <v>0</v>
      </c>
      <c r="N391" s="252">
        <f>SUM(N362,N375)</f>
        <v>0</v>
      </c>
      <c r="O391" s="252">
        <f>SUM(O362,O375)</f>
        <v>0</v>
      </c>
      <c r="P391" s="252">
        <f>SUM(P362,P375)</f>
        <v>0</v>
      </c>
      <c r="Q391" s="253">
        <f>SUM(N379:P379)</f>
        <v>0</v>
      </c>
      <c r="R391" s="252">
        <f>SUM(R362,R375)</f>
        <v>0</v>
      </c>
      <c r="S391" s="252">
        <f>SUM(S362,S375)</f>
        <v>0</v>
      </c>
      <c r="T391" s="252">
        <f>SUM(T362,T375)</f>
        <v>0</v>
      </c>
      <c r="U391" s="253">
        <f>SUM(R379:T379)</f>
        <v>0</v>
      </c>
      <c r="V391" s="252">
        <f>SUM(V362,V375)</f>
        <v>0</v>
      </c>
      <c r="W391" s="252">
        <f>SUM(W362,W375)</f>
        <v>0</v>
      </c>
      <c r="X391" s="252">
        <f>SUM(X362,X375)</f>
        <v>0</v>
      </c>
      <c r="Y391" s="253">
        <f>SUM(V379:X379)</f>
        <v>0</v>
      </c>
    </row>
    <row r="392" spans="1:25" ht="12.75" hidden="1" customHeight="1" outlineLevel="2" x14ac:dyDescent="0.2"/>
    <row r="393" spans="1:25" ht="12.75" hidden="1" customHeight="1" outlineLevel="2" x14ac:dyDescent="0.2">
      <c r="A393" s="1" t="str">
        <f>"Staff Hours"</f>
        <v>Staff Hours</v>
      </c>
    </row>
    <row r="394" spans="1:25" ht="12.75" hidden="1" customHeight="1" outlineLevel="2" x14ac:dyDescent="0.2">
      <c r="A394" s="1" t="str">
        <f>" "</f>
        <v xml:space="preserve"> </v>
      </c>
    </row>
    <row r="395" spans="1:25" ht="12.75" hidden="1" customHeight="1" outlineLevel="2" x14ac:dyDescent="0.2">
      <c r="A395" s="182" t="str">
        <f>Labels!B154</f>
        <v>Practice Dev Prof Staff Hrs</v>
      </c>
      <c r="B395" s="254"/>
      <c r="C395" s="254"/>
      <c r="D395" s="254"/>
      <c r="E395" s="255"/>
      <c r="F395" s="254"/>
      <c r="G395" s="254"/>
      <c r="H395" s="254"/>
      <c r="I395" s="255"/>
      <c r="J395" s="254"/>
      <c r="K395" s="254"/>
      <c r="L395" s="254"/>
      <c r="M395" s="255"/>
      <c r="N395" s="254"/>
      <c r="O395" s="254"/>
      <c r="P395" s="254"/>
      <c r="Q395" s="255"/>
      <c r="R395" s="254"/>
      <c r="S395" s="254"/>
      <c r="T395" s="254"/>
      <c r="U395" s="255"/>
      <c r="V395" s="254"/>
      <c r="W395" s="254"/>
      <c r="X395" s="254"/>
      <c r="Y395" s="255"/>
    </row>
    <row r="396" spans="1:25" ht="12.75" hidden="1" customHeight="1" outlineLevel="2" x14ac:dyDescent="0.2">
      <c r="A396" s="188" t="str">
        <f>"   "&amp;Labels!B381</f>
        <v xml:space="preserve">   Practice 1</v>
      </c>
      <c r="B396" s="256"/>
      <c r="C396" s="256"/>
      <c r="D396" s="256"/>
      <c r="E396" s="257"/>
      <c r="F396" s="256"/>
      <c r="G396" s="256"/>
      <c r="H396" s="256"/>
      <c r="I396" s="257"/>
      <c r="J396" s="256"/>
      <c r="K396" s="256"/>
      <c r="L396" s="256"/>
      <c r="M396" s="257"/>
      <c r="N396" s="256"/>
      <c r="O396" s="256"/>
      <c r="P396" s="256"/>
      <c r="Q396" s="257"/>
      <c r="R396" s="256"/>
      <c r="S396" s="256"/>
      <c r="T396" s="256"/>
      <c r="U396" s="257"/>
      <c r="V396" s="256"/>
      <c r="W396" s="256"/>
      <c r="X396" s="256"/>
      <c r="Y396" s="257"/>
    </row>
    <row r="397" spans="1:25" ht="12.75" hidden="1" customHeight="1" outlineLevel="2" x14ac:dyDescent="0.2">
      <c r="A397" s="198" t="str">
        <f>"      "&amp;Labels!B385</f>
        <v xml:space="preserve">      Prof Level 1</v>
      </c>
      <c r="B397" s="258">
        <f>B411*'(Tables)'!B1126/12</f>
        <v>0</v>
      </c>
      <c r="C397" s="258">
        <f>C411*'(Tables)'!B1126/12</f>
        <v>0</v>
      </c>
      <c r="D397" s="258">
        <f>D411*'(Tables)'!B1126/12</f>
        <v>0</v>
      </c>
      <c r="E397" s="259">
        <f>AVERAGE(B397:D397)</f>
        <v>0</v>
      </c>
      <c r="F397" s="258">
        <f>F411*'(Tables)'!B1126/12</f>
        <v>0</v>
      </c>
      <c r="G397" s="258">
        <f>G411*'(Tables)'!B1126/12</f>
        <v>0</v>
      </c>
      <c r="H397" s="258">
        <f>H411*'(Tables)'!B1126/12</f>
        <v>0</v>
      </c>
      <c r="I397" s="259">
        <f>AVERAGE(F397:H397)</f>
        <v>0</v>
      </c>
      <c r="J397" s="258">
        <f>J411*'(Tables)'!B1126/12</f>
        <v>0</v>
      </c>
      <c r="K397" s="258">
        <f>K411*'(Tables)'!B1126/12</f>
        <v>0</v>
      </c>
      <c r="L397" s="258">
        <f>L411*'(Tables)'!B1126/12</f>
        <v>0</v>
      </c>
      <c r="M397" s="259">
        <f>AVERAGE(J397:L397)</f>
        <v>0</v>
      </c>
      <c r="N397" s="258">
        <f>N411*'(Tables)'!B1126/12</f>
        <v>0</v>
      </c>
      <c r="O397" s="258">
        <f>O411*'(Tables)'!B1126/12</f>
        <v>0</v>
      </c>
      <c r="P397" s="258">
        <f>P411*'(Tables)'!B1126/12</f>
        <v>0</v>
      </c>
      <c r="Q397" s="259">
        <f>AVERAGE(N397:P397)</f>
        <v>0</v>
      </c>
      <c r="R397" s="258">
        <f>R411*'(Tables)'!B1126/12</f>
        <v>0</v>
      </c>
      <c r="S397" s="258">
        <f>S411*'(Tables)'!B1126/12</f>
        <v>0</v>
      </c>
      <c r="T397" s="258">
        <f>T411*'(Tables)'!B1126/12</f>
        <v>0</v>
      </c>
      <c r="U397" s="259">
        <f>AVERAGE(R397:T397)</f>
        <v>0</v>
      </c>
      <c r="V397" s="258">
        <f>V411*'(Tables)'!B1126/12</f>
        <v>0</v>
      </c>
      <c r="W397" s="258">
        <f>W411*'(Tables)'!B1126/12</f>
        <v>0</v>
      </c>
      <c r="X397" s="258">
        <f>X411*'(Tables)'!B1126/12</f>
        <v>0</v>
      </c>
      <c r="Y397" s="259">
        <f>AVERAGE(V397:X397)</f>
        <v>0</v>
      </c>
    </row>
    <row r="398" spans="1:25" ht="12.75" hidden="1" customHeight="1" outlineLevel="2" x14ac:dyDescent="0.2">
      <c r="A398" s="198" t="str">
        <f>"      "&amp;Labels!B386</f>
        <v xml:space="preserve">      Prof Level 2</v>
      </c>
      <c r="B398" s="258">
        <f>B412*'(Tables)'!B1127/12</f>
        <v>0</v>
      </c>
      <c r="C398" s="258">
        <f>C412*'(Tables)'!B1127/12</f>
        <v>0</v>
      </c>
      <c r="D398" s="258">
        <f>D412*'(Tables)'!B1127/12</f>
        <v>0</v>
      </c>
      <c r="E398" s="259">
        <f>AVERAGE(B398:D398)</f>
        <v>0</v>
      </c>
      <c r="F398" s="258">
        <f>F412*'(Tables)'!B1127/12</f>
        <v>0</v>
      </c>
      <c r="G398" s="258">
        <f>G412*'(Tables)'!B1127/12</f>
        <v>0</v>
      </c>
      <c r="H398" s="258">
        <f>H412*'(Tables)'!B1127/12</f>
        <v>0</v>
      </c>
      <c r="I398" s="259">
        <f>AVERAGE(F398:H398)</f>
        <v>0</v>
      </c>
      <c r="J398" s="258">
        <f>J412*'(Tables)'!B1127/12</f>
        <v>0</v>
      </c>
      <c r="K398" s="258">
        <f>K412*'(Tables)'!B1127/12</f>
        <v>0</v>
      </c>
      <c r="L398" s="258">
        <f>L412*'(Tables)'!B1127/12</f>
        <v>0</v>
      </c>
      <c r="M398" s="259">
        <f>AVERAGE(J398:L398)</f>
        <v>0</v>
      </c>
      <c r="N398" s="258">
        <f>N412*'(Tables)'!B1127/12</f>
        <v>0</v>
      </c>
      <c r="O398" s="258">
        <f>O412*'(Tables)'!B1127/12</f>
        <v>0</v>
      </c>
      <c r="P398" s="258">
        <f>P412*'(Tables)'!B1127/12</f>
        <v>0</v>
      </c>
      <c r="Q398" s="259">
        <f>AVERAGE(N398:P398)</f>
        <v>0</v>
      </c>
      <c r="R398" s="258">
        <f>R412*'(Tables)'!B1127/12</f>
        <v>0</v>
      </c>
      <c r="S398" s="258">
        <f>S412*'(Tables)'!B1127/12</f>
        <v>0</v>
      </c>
      <c r="T398" s="258">
        <f>T412*'(Tables)'!B1127/12</f>
        <v>0</v>
      </c>
      <c r="U398" s="259">
        <f>AVERAGE(R398:T398)</f>
        <v>0</v>
      </c>
      <c r="V398" s="258">
        <f>V412*'(Tables)'!B1127/12</f>
        <v>0</v>
      </c>
      <c r="W398" s="258">
        <f>W412*'(Tables)'!B1127/12</f>
        <v>0</v>
      </c>
      <c r="X398" s="258">
        <f>X412*'(Tables)'!B1127/12</f>
        <v>0</v>
      </c>
      <c r="Y398" s="259">
        <f>AVERAGE(V398:X398)</f>
        <v>0</v>
      </c>
    </row>
    <row r="399" spans="1:25" ht="12.75" hidden="1" customHeight="1" outlineLevel="2" x14ac:dyDescent="0.2">
      <c r="A399" s="188" t="str">
        <f>"      "&amp;Labels!C384</f>
        <v xml:space="preserve">      Total</v>
      </c>
      <c r="B399" s="256">
        <f>SUM(B397:B398)</f>
        <v>0</v>
      </c>
      <c r="C399" s="256">
        <f>SUM(C397:C398)</f>
        <v>0</v>
      </c>
      <c r="D399" s="256">
        <f>SUM(D397:D398)</f>
        <v>0</v>
      </c>
      <c r="E399" s="257">
        <f>AVERAGE(B399:D399)</f>
        <v>0</v>
      </c>
      <c r="F399" s="256">
        <f>SUM(F397:F398)</f>
        <v>0</v>
      </c>
      <c r="G399" s="256">
        <f>SUM(G397:G398)</f>
        <v>0</v>
      </c>
      <c r="H399" s="256">
        <f>SUM(H397:H398)</f>
        <v>0</v>
      </c>
      <c r="I399" s="257">
        <f>AVERAGE(F399:H399)</f>
        <v>0</v>
      </c>
      <c r="J399" s="256">
        <f>SUM(J397:J398)</f>
        <v>0</v>
      </c>
      <c r="K399" s="256">
        <f>SUM(K397:K398)</f>
        <v>0</v>
      </c>
      <c r="L399" s="256">
        <f>SUM(L397:L398)</f>
        <v>0</v>
      </c>
      <c r="M399" s="257">
        <f>AVERAGE(J399:L399)</f>
        <v>0</v>
      </c>
      <c r="N399" s="256">
        <f>SUM(N397:N398)</f>
        <v>0</v>
      </c>
      <c r="O399" s="256">
        <f>SUM(O397:O398)</f>
        <v>0</v>
      </c>
      <c r="P399" s="256">
        <f>SUM(P397:P398)</f>
        <v>0</v>
      </c>
      <c r="Q399" s="257">
        <f>AVERAGE(N399:P399)</f>
        <v>0</v>
      </c>
      <c r="R399" s="256">
        <f>SUM(R397:R398)</f>
        <v>0</v>
      </c>
      <c r="S399" s="256">
        <f>SUM(S397:S398)</f>
        <v>0</v>
      </c>
      <c r="T399" s="256">
        <f>SUM(T397:T398)</f>
        <v>0</v>
      </c>
      <c r="U399" s="257">
        <f>AVERAGE(R399:T399)</f>
        <v>0</v>
      </c>
      <c r="V399" s="256">
        <f>SUM(V397:V398)</f>
        <v>0</v>
      </c>
      <c r="W399" s="256">
        <f>SUM(W397:W398)</f>
        <v>0</v>
      </c>
      <c r="X399" s="256">
        <f>SUM(X397:X398)</f>
        <v>0</v>
      </c>
      <c r="Y399" s="257">
        <f>AVERAGE(V399:X399)</f>
        <v>0</v>
      </c>
    </row>
    <row r="400" spans="1:25" ht="12.75" hidden="1" customHeight="1" outlineLevel="2" x14ac:dyDescent="0.2">
      <c r="A400" s="188" t="str">
        <f>"   "&amp;Labels!B382</f>
        <v xml:space="preserve">   Practice 2</v>
      </c>
      <c r="B400" s="256"/>
      <c r="C400" s="256"/>
      <c r="D400" s="256"/>
      <c r="E400" s="257"/>
      <c r="F400" s="256"/>
      <c r="G400" s="256"/>
      <c r="H400" s="256"/>
      <c r="I400" s="257"/>
      <c r="J400" s="256"/>
      <c r="K400" s="256"/>
      <c r="L400" s="256"/>
      <c r="M400" s="257"/>
      <c r="N400" s="256"/>
      <c r="O400" s="256"/>
      <c r="P400" s="256"/>
      <c r="Q400" s="257"/>
      <c r="R400" s="256"/>
      <c r="S400" s="256"/>
      <c r="T400" s="256"/>
      <c r="U400" s="257"/>
      <c r="V400" s="256"/>
      <c r="W400" s="256"/>
      <c r="X400" s="256"/>
      <c r="Y400" s="257"/>
    </row>
    <row r="401" spans="1:25" ht="12.75" hidden="1" customHeight="1" outlineLevel="2" x14ac:dyDescent="0.2">
      <c r="A401" s="198" t="str">
        <f>"      "&amp;Labels!B385</f>
        <v xml:space="preserve">      Prof Level 1</v>
      </c>
      <c r="B401" s="258">
        <f>B415*'(Tables)'!C1126/12</f>
        <v>0</v>
      </c>
      <c r="C401" s="258">
        <f>C415*'(Tables)'!C1126/12</f>
        <v>0</v>
      </c>
      <c r="D401" s="258">
        <f>D415*'(Tables)'!C1126/12</f>
        <v>0</v>
      </c>
      <c r="E401" s="259">
        <f t="shared" ref="E401:E406" si="244">AVERAGE(B401:D401)</f>
        <v>0</v>
      </c>
      <c r="F401" s="258">
        <f>F415*'(Tables)'!C1126/12</f>
        <v>0</v>
      </c>
      <c r="G401" s="258">
        <f>G415*'(Tables)'!C1126/12</f>
        <v>0</v>
      </c>
      <c r="H401" s="258">
        <f>H415*'(Tables)'!C1126/12</f>
        <v>0</v>
      </c>
      <c r="I401" s="259">
        <f t="shared" ref="I401:I406" si="245">AVERAGE(F401:H401)</f>
        <v>0</v>
      </c>
      <c r="J401" s="258">
        <f>J415*'(Tables)'!C1126/12</f>
        <v>0</v>
      </c>
      <c r="K401" s="258">
        <f>K415*'(Tables)'!C1126/12</f>
        <v>0</v>
      </c>
      <c r="L401" s="258">
        <f>L415*'(Tables)'!C1126/12</f>
        <v>0</v>
      </c>
      <c r="M401" s="259">
        <f t="shared" ref="M401:M406" si="246">AVERAGE(J401:L401)</f>
        <v>0</v>
      </c>
      <c r="N401" s="258">
        <f>N415*'(Tables)'!C1126/12</f>
        <v>0</v>
      </c>
      <c r="O401" s="258">
        <f>O415*'(Tables)'!C1126/12</f>
        <v>0</v>
      </c>
      <c r="P401" s="258">
        <f>P415*'(Tables)'!C1126/12</f>
        <v>0</v>
      </c>
      <c r="Q401" s="259">
        <f t="shared" ref="Q401:Q406" si="247">AVERAGE(N401:P401)</f>
        <v>0</v>
      </c>
      <c r="R401" s="258">
        <f>R415*'(Tables)'!C1126/12</f>
        <v>0</v>
      </c>
      <c r="S401" s="258">
        <f>S415*'(Tables)'!C1126/12</f>
        <v>0</v>
      </c>
      <c r="T401" s="258">
        <f>T415*'(Tables)'!C1126/12</f>
        <v>0</v>
      </c>
      <c r="U401" s="259">
        <f t="shared" ref="U401:U406" si="248">AVERAGE(R401:T401)</f>
        <v>0</v>
      </c>
      <c r="V401" s="258">
        <f>V415*'(Tables)'!C1126/12</f>
        <v>0</v>
      </c>
      <c r="W401" s="258">
        <f>W415*'(Tables)'!C1126/12</f>
        <v>0</v>
      </c>
      <c r="X401" s="258">
        <f>X415*'(Tables)'!C1126/12</f>
        <v>0</v>
      </c>
      <c r="Y401" s="259">
        <f t="shared" ref="Y401:Y406" si="249">AVERAGE(V401:X401)</f>
        <v>0</v>
      </c>
    </row>
    <row r="402" spans="1:25" ht="12.75" hidden="1" customHeight="1" outlineLevel="2" x14ac:dyDescent="0.2">
      <c r="A402" s="198" t="str">
        <f>"      "&amp;Labels!B386</f>
        <v xml:space="preserve">      Prof Level 2</v>
      </c>
      <c r="B402" s="258">
        <f>B416*'(Tables)'!C1127/12</f>
        <v>0</v>
      </c>
      <c r="C402" s="258">
        <f>C416*'(Tables)'!C1127/12</f>
        <v>0</v>
      </c>
      <c r="D402" s="258">
        <f>D416*'(Tables)'!C1127/12</f>
        <v>0</v>
      </c>
      <c r="E402" s="259">
        <f t="shared" si="244"/>
        <v>0</v>
      </c>
      <c r="F402" s="258">
        <f>F416*'(Tables)'!C1127/12</f>
        <v>0</v>
      </c>
      <c r="G402" s="258">
        <f>G416*'(Tables)'!C1127/12</f>
        <v>0</v>
      </c>
      <c r="H402" s="258">
        <f>H416*'(Tables)'!C1127/12</f>
        <v>0</v>
      </c>
      <c r="I402" s="259">
        <f t="shared" si="245"/>
        <v>0</v>
      </c>
      <c r="J402" s="258">
        <f>J416*'(Tables)'!C1127/12</f>
        <v>0</v>
      </c>
      <c r="K402" s="258">
        <f>K416*'(Tables)'!C1127/12</f>
        <v>0</v>
      </c>
      <c r="L402" s="258">
        <f>L416*'(Tables)'!C1127/12</f>
        <v>0</v>
      </c>
      <c r="M402" s="259">
        <f t="shared" si="246"/>
        <v>0</v>
      </c>
      <c r="N402" s="258">
        <f>N416*'(Tables)'!C1127/12</f>
        <v>0</v>
      </c>
      <c r="O402" s="258">
        <f>O416*'(Tables)'!C1127/12</f>
        <v>0</v>
      </c>
      <c r="P402" s="258">
        <f>P416*'(Tables)'!C1127/12</f>
        <v>0</v>
      </c>
      <c r="Q402" s="259">
        <f t="shared" si="247"/>
        <v>0</v>
      </c>
      <c r="R402" s="258">
        <f>R416*'(Tables)'!C1127/12</f>
        <v>0</v>
      </c>
      <c r="S402" s="258">
        <f>S416*'(Tables)'!C1127/12</f>
        <v>0</v>
      </c>
      <c r="T402" s="258">
        <f>T416*'(Tables)'!C1127/12</f>
        <v>0</v>
      </c>
      <c r="U402" s="259">
        <f t="shared" si="248"/>
        <v>0</v>
      </c>
      <c r="V402" s="258">
        <f>V416*'(Tables)'!C1127/12</f>
        <v>0</v>
      </c>
      <c r="W402" s="258">
        <f>W416*'(Tables)'!C1127/12</f>
        <v>0</v>
      </c>
      <c r="X402" s="258">
        <f>X416*'(Tables)'!C1127/12</f>
        <v>0</v>
      </c>
      <c r="Y402" s="259">
        <f t="shared" si="249"/>
        <v>0</v>
      </c>
    </row>
    <row r="403" spans="1:25" ht="12.75" hidden="1" customHeight="1" outlineLevel="2" x14ac:dyDescent="0.2">
      <c r="A403" s="188" t="str">
        <f>"      "&amp;Labels!C384</f>
        <v xml:space="preserve">      Total</v>
      </c>
      <c r="B403" s="256">
        <f>SUM(B401:B402)</f>
        <v>0</v>
      </c>
      <c r="C403" s="256">
        <f>SUM(C401:C402)</f>
        <v>0</v>
      </c>
      <c r="D403" s="256">
        <f>SUM(D401:D402)</f>
        <v>0</v>
      </c>
      <c r="E403" s="257">
        <f t="shared" si="244"/>
        <v>0</v>
      </c>
      <c r="F403" s="256">
        <f>SUM(F401:F402)</f>
        <v>0</v>
      </c>
      <c r="G403" s="256">
        <f>SUM(G401:G402)</f>
        <v>0</v>
      </c>
      <c r="H403" s="256">
        <f>SUM(H401:H402)</f>
        <v>0</v>
      </c>
      <c r="I403" s="257">
        <f t="shared" si="245"/>
        <v>0</v>
      </c>
      <c r="J403" s="256">
        <f>SUM(J401:J402)</f>
        <v>0</v>
      </c>
      <c r="K403" s="256">
        <f>SUM(K401:K402)</f>
        <v>0</v>
      </c>
      <c r="L403" s="256">
        <f>SUM(L401:L402)</f>
        <v>0</v>
      </c>
      <c r="M403" s="257">
        <f t="shared" si="246"/>
        <v>0</v>
      </c>
      <c r="N403" s="256">
        <f>SUM(N401:N402)</f>
        <v>0</v>
      </c>
      <c r="O403" s="256">
        <f>SUM(O401:O402)</f>
        <v>0</v>
      </c>
      <c r="P403" s="256">
        <f>SUM(P401:P402)</f>
        <v>0</v>
      </c>
      <c r="Q403" s="257">
        <f t="shared" si="247"/>
        <v>0</v>
      </c>
      <c r="R403" s="256">
        <f>SUM(R401:R402)</f>
        <v>0</v>
      </c>
      <c r="S403" s="256">
        <f>SUM(S401:S402)</f>
        <v>0</v>
      </c>
      <c r="T403" s="256">
        <f>SUM(T401:T402)</f>
        <v>0</v>
      </c>
      <c r="U403" s="257">
        <f t="shared" si="248"/>
        <v>0</v>
      </c>
      <c r="V403" s="256">
        <f>SUM(V401:V402)</f>
        <v>0</v>
      </c>
      <c r="W403" s="256">
        <f>SUM(W401:W402)</f>
        <v>0</v>
      </c>
      <c r="X403" s="256">
        <f>SUM(X401:X402)</f>
        <v>0</v>
      </c>
      <c r="Y403" s="257">
        <f t="shared" si="249"/>
        <v>0</v>
      </c>
    </row>
    <row r="404" spans="1:25" ht="12.75" hidden="1" customHeight="1" outlineLevel="2" x14ac:dyDescent="0.2">
      <c r="A404" s="191" t="str">
        <f>"   "&amp;Labels!C380</f>
        <v xml:space="preserve">   Total</v>
      </c>
      <c r="B404" s="260">
        <f>SUM(B399,B403)</f>
        <v>0</v>
      </c>
      <c r="C404" s="260">
        <f>SUM(C399,C403)</f>
        <v>0</v>
      </c>
      <c r="D404" s="260">
        <f>SUM(D399,D403)</f>
        <v>0</v>
      </c>
      <c r="E404" s="261">
        <f t="shared" si="244"/>
        <v>0</v>
      </c>
      <c r="F404" s="260">
        <f>SUM(F399,F403)</f>
        <v>0</v>
      </c>
      <c r="G404" s="260">
        <f>SUM(G399,G403)</f>
        <v>0</v>
      </c>
      <c r="H404" s="260">
        <f>SUM(H399,H403)</f>
        <v>0</v>
      </c>
      <c r="I404" s="261">
        <f t="shared" si="245"/>
        <v>0</v>
      </c>
      <c r="J404" s="260">
        <f>SUM(J399,J403)</f>
        <v>0</v>
      </c>
      <c r="K404" s="260">
        <f>SUM(K399,K403)</f>
        <v>0</v>
      </c>
      <c r="L404" s="260">
        <f>SUM(L399,L403)</f>
        <v>0</v>
      </c>
      <c r="M404" s="261">
        <f t="shared" si="246"/>
        <v>0</v>
      </c>
      <c r="N404" s="260">
        <f>SUM(N399,N403)</f>
        <v>0</v>
      </c>
      <c r="O404" s="260">
        <f>SUM(O399,O403)</f>
        <v>0</v>
      </c>
      <c r="P404" s="260">
        <f>SUM(P399,P403)</f>
        <v>0</v>
      </c>
      <c r="Q404" s="261">
        <f t="shared" si="247"/>
        <v>0</v>
      </c>
      <c r="R404" s="260">
        <f>SUM(R399,R403)</f>
        <v>0</v>
      </c>
      <c r="S404" s="260">
        <f>SUM(S399,S403)</f>
        <v>0</v>
      </c>
      <c r="T404" s="260">
        <f>SUM(T399,T403)</f>
        <v>0</v>
      </c>
      <c r="U404" s="261">
        <f t="shared" si="248"/>
        <v>0</v>
      </c>
      <c r="V404" s="260">
        <f>SUM(V399,V403)</f>
        <v>0</v>
      </c>
      <c r="W404" s="260">
        <f>SUM(W399,W403)</f>
        <v>0</v>
      </c>
      <c r="X404" s="260">
        <f>SUM(X399,X403)</f>
        <v>0</v>
      </c>
      <c r="Y404" s="261">
        <f t="shared" si="249"/>
        <v>0</v>
      </c>
    </row>
    <row r="405" spans="1:25" ht="12.75" hidden="1" customHeight="1" outlineLevel="2" x14ac:dyDescent="0.2">
      <c r="A405" s="198" t="str">
        <f>"      "&amp;Labels!B385</f>
        <v xml:space="preserve">      Prof Level 1</v>
      </c>
      <c r="B405" s="258">
        <f t="shared" ref="B405:D407" si="250">SUM(B397,B401)</f>
        <v>0</v>
      </c>
      <c r="C405" s="258">
        <f t="shared" si="250"/>
        <v>0</v>
      </c>
      <c r="D405" s="258">
        <f t="shared" si="250"/>
        <v>0</v>
      </c>
      <c r="E405" s="259">
        <f t="shared" si="244"/>
        <v>0</v>
      </c>
      <c r="F405" s="258">
        <f t="shared" ref="F405:H407" si="251">SUM(F397,F401)</f>
        <v>0</v>
      </c>
      <c r="G405" s="258">
        <f t="shared" si="251"/>
        <v>0</v>
      </c>
      <c r="H405" s="258">
        <f t="shared" si="251"/>
        <v>0</v>
      </c>
      <c r="I405" s="259">
        <f t="shared" si="245"/>
        <v>0</v>
      </c>
      <c r="J405" s="258">
        <f t="shared" ref="J405:L407" si="252">SUM(J397,J401)</f>
        <v>0</v>
      </c>
      <c r="K405" s="258">
        <f t="shared" si="252"/>
        <v>0</v>
      </c>
      <c r="L405" s="258">
        <f t="shared" si="252"/>
        <v>0</v>
      </c>
      <c r="M405" s="259">
        <f t="shared" si="246"/>
        <v>0</v>
      </c>
      <c r="N405" s="258">
        <f t="shared" ref="N405:P407" si="253">SUM(N397,N401)</f>
        <v>0</v>
      </c>
      <c r="O405" s="258">
        <f t="shared" si="253"/>
        <v>0</v>
      </c>
      <c r="P405" s="258">
        <f t="shared" si="253"/>
        <v>0</v>
      </c>
      <c r="Q405" s="259">
        <f t="shared" si="247"/>
        <v>0</v>
      </c>
      <c r="R405" s="258">
        <f t="shared" ref="R405:T407" si="254">SUM(R397,R401)</f>
        <v>0</v>
      </c>
      <c r="S405" s="258">
        <f t="shared" si="254"/>
        <v>0</v>
      </c>
      <c r="T405" s="258">
        <f t="shared" si="254"/>
        <v>0</v>
      </c>
      <c r="U405" s="259">
        <f t="shared" si="248"/>
        <v>0</v>
      </c>
      <c r="V405" s="258">
        <f t="shared" ref="V405:X407" si="255">SUM(V397,V401)</f>
        <v>0</v>
      </c>
      <c r="W405" s="258">
        <f t="shared" si="255"/>
        <v>0</v>
      </c>
      <c r="X405" s="258">
        <f t="shared" si="255"/>
        <v>0</v>
      </c>
      <c r="Y405" s="259">
        <f t="shared" si="249"/>
        <v>0</v>
      </c>
    </row>
    <row r="406" spans="1:25" ht="12.75" hidden="1" customHeight="1" outlineLevel="2" x14ac:dyDescent="0.2">
      <c r="A406" s="198" t="str">
        <f>"      "&amp;Labels!B386</f>
        <v xml:space="preserve">      Prof Level 2</v>
      </c>
      <c r="B406" s="258">
        <f t="shared" si="250"/>
        <v>0</v>
      </c>
      <c r="C406" s="258">
        <f t="shared" si="250"/>
        <v>0</v>
      </c>
      <c r="D406" s="258">
        <f t="shared" si="250"/>
        <v>0</v>
      </c>
      <c r="E406" s="259">
        <f t="shared" si="244"/>
        <v>0</v>
      </c>
      <c r="F406" s="258">
        <f t="shared" si="251"/>
        <v>0</v>
      </c>
      <c r="G406" s="258">
        <f t="shared" si="251"/>
        <v>0</v>
      </c>
      <c r="H406" s="258">
        <f t="shared" si="251"/>
        <v>0</v>
      </c>
      <c r="I406" s="259">
        <f t="shared" si="245"/>
        <v>0</v>
      </c>
      <c r="J406" s="258">
        <f t="shared" si="252"/>
        <v>0</v>
      </c>
      <c r="K406" s="258">
        <f t="shared" si="252"/>
        <v>0</v>
      </c>
      <c r="L406" s="258">
        <f t="shared" si="252"/>
        <v>0</v>
      </c>
      <c r="M406" s="259">
        <f t="shared" si="246"/>
        <v>0</v>
      </c>
      <c r="N406" s="258">
        <f t="shared" si="253"/>
        <v>0</v>
      </c>
      <c r="O406" s="258">
        <f t="shared" si="253"/>
        <v>0</v>
      </c>
      <c r="P406" s="258">
        <f t="shared" si="253"/>
        <v>0</v>
      </c>
      <c r="Q406" s="259">
        <f t="shared" si="247"/>
        <v>0</v>
      </c>
      <c r="R406" s="258">
        <f t="shared" si="254"/>
        <v>0</v>
      </c>
      <c r="S406" s="258">
        <f t="shared" si="254"/>
        <v>0</v>
      </c>
      <c r="T406" s="258">
        <f t="shared" si="254"/>
        <v>0</v>
      </c>
      <c r="U406" s="259">
        <f t="shared" si="248"/>
        <v>0</v>
      </c>
      <c r="V406" s="258">
        <f t="shared" si="255"/>
        <v>0</v>
      </c>
      <c r="W406" s="258">
        <f t="shared" si="255"/>
        <v>0</v>
      </c>
      <c r="X406" s="258">
        <f t="shared" si="255"/>
        <v>0</v>
      </c>
      <c r="Y406" s="259">
        <f t="shared" si="249"/>
        <v>0</v>
      </c>
    </row>
    <row r="407" spans="1:25" ht="12.75" hidden="1" customHeight="1" outlineLevel="2" x14ac:dyDescent="0.2">
      <c r="A407" s="188" t="str">
        <f>"      "&amp;Labels!C384</f>
        <v xml:space="preserve">      Total</v>
      </c>
      <c r="B407" s="256">
        <f t="shared" si="250"/>
        <v>0</v>
      </c>
      <c r="C407" s="256">
        <f t="shared" si="250"/>
        <v>0</v>
      </c>
      <c r="D407" s="256">
        <f t="shared" si="250"/>
        <v>0</v>
      </c>
      <c r="E407" s="257">
        <f>AVERAGE(B404:D404)</f>
        <v>0</v>
      </c>
      <c r="F407" s="256">
        <f t="shared" si="251"/>
        <v>0</v>
      </c>
      <c r="G407" s="256">
        <f t="shared" si="251"/>
        <v>0</v>
      </c>
      <c r="H407" s="256">
        <f t="shared" si="251"/>
        <v>0</v>
      </c>
      <c r="I407" s="257">
        <f>AVERAGE(F404:H404)</f>
        <v>0</v>
      </c>
      <c r="J407" s="256">
        <f t="shared" si="252"/>
        <v>0</v>
      </c>
      <c r="K407" s="256">
        <f t="shared" si="252"/>
        <v>0</v>
      </c>
      <c r="L407" s="256">
        <f t="shared" si="252"/>
        <v>0</v>
      </c>
      <c r="M407" s="257">
        <f>AVERAGE(J404:L404)</f>
        <v>0</v>
      </c>
      <c r="N407" s="256">
        <f t="shared" si="253"/>
        <v>0</v>
      </c>
      <c r="O407" s="256">
        <f t="shared" si="253"/>
        <v>0</v>
      </c>
      <c r="P407" s="256">
        <f t="shared" si="253"/>
        <v>0</v>
      </c>
      <c r="Q407" s="257">
        <f>AVERAGE(N404:P404)</f>
        <v>0</v>
      </c>
      <c r="R407" s="256">
        <f t="shared" si="254"/>
        <v>0</v>
      </c>
      <c r="S407" s="256">
        <f t="shared" si="254"/>
        <v>0</v>
      </c>
      <c r="T407" s="256">
        <f t="shared" si="254"/>
        <v>0</v>
      </c>
      <c r="U407" s="257">
        <f>AVERAGE(R404:T404)</f>
        <v>0</v>
      </c>
      <c r="V407" s="256">
        <f t="shared" si="255"/>
        <v>0</v>
      </c>
      <c r="W407" s="256">
        <f t="shared" si="255"/>
        <v>0</v>
      </c>
      <c r="X407" s="256">
        <f t="shared" si="255"/>
        <v>0</v>
      </c>
      <c r="Y407" s="257">
        <f>AVERAGE(V404:X404)</f>
        <v>0</v>
      </c>
    </row>
    <row r="408" spans="1:25" ht="12.75" hidden="1" customHeight="1" outlineLevel="2" x14ac:dyDescent="0.2">
      <c r="A408" s="97"/>
      <c r="B408" s="6"/>
      <c r="C408" s="6"/>
      <c r="D408" s="6"/>
      <c r="E408" s="97"/>
      <c r="F408" s="6"/>
      <c r="G408" s="6"/>
      <c r="H408" s="6"/>
      <c r="I408" s="97"/>
      <c r="J408" s="6"/>
      <c r="K408" s="6"/>
      <c r="L408" s="6"/>
      <c r="M408" s="97"/>
      <c r="N408" s="6"/>
      <c r="O408" s="6"/>
      <c r="P408" s="6"/>
      <c r="Q408" s="97"/>
      <c r="R408" s="6"/>
      <c r="S408" s="6"/>
      <c r="T408" s="6"/>
      <c r="U408" s="97"/>
      <c r="V408" s="6"/>
      <c r="W408" s="6"/>
      <c r="X408" s="6"/>
      <c r="Y408" s="97"/>
    </row>
    <row r="409" spans="1:25" ht="12.75" hidden="1" customHeight="1" outlineLevel="2" x14ac:dyDescent="0.2">
      <c r="A409" s="191" t="str">
        <f>Labels!B153</f>
        <v>Practice Dev Prof Staff Count</v>
      </c>
      <c r="B409" s="216"/>
      <c r="C409" s="216"/>
      <c r="D409" s="216"/>
      <c r="E409" s="217"/>
      <c r="F409" s="216"/>
      <c r="G409" s="216"/>
      <c r="H409" s="216"/>
      <c r="I409" s="217"/>
      <c r="J409" s="216"/>
      <c r="K409" s="216"/>
      <c r="L409" s="216"/>
      <c r="M409" s="217"/>
      <c r="N409" s="216"/>
      <c r="O409" s="216"/>
      <c r="P409" s="216"/>
      <c r="Q409" s="217"/>
      <c r="R409" s="216"/>
      <c r="S409" s="216"/>
      <c r="T409" s="216"/>
      <c r="U409" s="217"/>
      <c r="V409" s="216"/>
      <c r="W409" s="216"/>
      <c r="X409" s="216"/>
      <c r="Y409" s="217"/>
    </row>
    <row r="410" spans="1:25" ht="12.75" hidden="1" customHeight="1" outlineLevel="2" x14ac:dyDescent="0.2">
      <c r="A410" s="188" t="str">
        <f>"   "&amp;Labels!B381</f>
        <v xml:space="preserve">   Practice 1</v>
      </c>
      <c r="B410" s="166"/>
      <c r="C410" s="166"/>
      <c r="D410" s="166"/>
      <c r="E410" s="225"/>
      <c r="F410" s="166"/>
      <c r="G410" s="166"/>
      <c r="H410" s="166"/>
      <c r="I410" s="225"/>
      <c r="J410" s="166"/>
      <c r="K410" s="166"/>
      <c r="L410" s="166"/>
      <c r="M410" s="225"/>
      <c r="N410" s="166"/>
      <c r="O410" s="166"/>
      <c r="P410" s="166"/>
      <c r="Q410" s="225"/>
      <c r="R410" s="166"/>
      <c r="S410" s="166"/>
      <c r="T410" s="166"/>
      <c r="U410" s="225"/>
      <c r="V410" s="166"/>
      <c r="W410" s="166"/>
      <c r="X410" s="166"/>
      <c r="Y410" s="225"/>
    </row>
    <row r="411" spans="1:25" ht="12.75" hidden="1" customHeight="1" outlineLevel="2" x14ac:dyDescent="0.2">
      <c r="A411" s="198" t="str">
        <f>"      "&amp;Labels!B385</f>
        <v xml:space="preserve">      Prof Level 1</v>
      </c>
      <c r="B411" s="237">
        <f>Inputs!F286</f>
        <v>0</v>
      </c>
      <c r="C411" s="237">
        <f>Inputs!G286</f>
        <v>0</v>
      </c>
      <c r="D411" s="237">
        <f>Inputs!H286</f>
        <v>0</v>
      </c>
      <c r="E411" s="238">
        <f>AVERAGE(B411:D411)</f>
        <v>0</v>
      </c>
      <c r="F411" s="237">
        <f>Inputs!I286</f>
        <v>0</v>
      </c>
      <c r="G411" s="237">
        <f>Inputs!J286</f>
        <v>0</v>
      </c>
      <c r="H411" s="237">
        <f>Inputs!K286</f>
        <v>0</v>
      </c>
      <c r="I411" s="238">
        <f>AVERAGE(F411:H411)</f>
        <v>0</v>
      </c>
      <c r="J411" s="237">
        <f>Inputs!L286</f>
        <v>0</v>
      </c>
      <c r="K411" s="237">
        <f>Inputs!M286</f>
        <v>0</v>
      </c>
      <c r="L411" s="237">
        <f>Inputs!N286</f>
        <v>0</v>
      </c>
      <c r="M411" s="238">
        <f>AVERAGE(J411:L411)</f>
        <v>0</v>
      </c>
      <c r="N411" s="237">
        <f>Inputs!O286</f>
        <v>0</v>
      </c>
      <c r="O411" s="237">
        <f>Inputs!P286</f>
        <v>0</v>
      </c>
      <c r="P411" s="237">
        <f>Inputs!Q286</f>
        <v>0</v>
      </c>
      <c r="Q411" s="238">
        <f>AVERAGE(N411:P411)</f>
        <v>0</v>
      </c>
      <c r="R411" s="237">
        <f>Inputs!R286</f>
        <v>0</v>
      </c>
      <c r="S411" s="237">
        <f>Inputs!S286</f>
        <v>0</v>
      </c>
      <c r="T411" s="237">
        <f>Inputs!T286</f>
        <v>0</v>
      </c>
      <c r="U411" s="238">
        <f>AVERAGE(R411:T411)</f>
        <v>0</v>
      </c>
      <c r="V411" s="237">
        <f>Inputs!U286</f>
        <v>0</v>
      </c>
      <c r="W411" s="237">
        <f>Inputs!V286</f>
        <v>0</v>
      </c>
      <c r="X411" s="237">
        <f>Inputs!W286</f>
        <v>0</v>
      </c>
      <c r="Y411" s="238">
        <f>AVERAGE(V411:X411)</f>
        <v>0</v>
      </c>
    </row>
    <row r="412" spans="1:25" ht="12.75" hidden="1" customHeight="1" outlineLevel="2" x14ac:dyDescent="0.2">
      <c r="A412" s="198" t="str">
        <f>"      "&amp;Labels!B386</f>
        <v xml:space="preserve">      Prof Level 2</v>
      </c>
      <c r="B412" s="237">
        <f>Inputs!F287</f>
        <v>0</v>
      </c>
      <c r="C412" s="237">
        <f>Inputs!G287</f>
        <v>0</v>
      </c>
      <c r="D412" s="237">
        <f>Inputs!H287</f>
        <v>0</v>
      </c>
      <c r="E412" s="238">
        <f>AVERAGE(B412:D412)</f>
        <v>0</v>
      </c>
      <c r="F412" s="237">
        <f>Inputs!I287</f>
        <v>0</v>
      </c>
      <c r="G412" s="237">
        <f>Inputs!J287</f>
        <v>0</v>
      </c>
      <c r="H412" s="237">
        <f>Inputs!K287</f>
        <v>0</v>
      </c>
      <c r="I412" s="238">
        <f>AVERAGE(F412:H412)</f>
        <v>0</v>
      </c>
      <c r="J412" s="237">
        <f>Inputs!L287</f>
        <v>0</v>
      </c>
      <c r="K412" s="237">
        <f>Inputs!M287</f>
        <v>0</v>
      </c>
      <c r="L412" s="237">
        <f>Inputs!N287</f>
        <v>0</v>
      </c>
      <c r="M412" s="238">
        <f>AVERAGE(J412:L412)</f>
        <v>0</v>
      </c>
      <c r="N412" s="237">
        <f>Inputs!O287</f>
        <v>0</v>
      </c>
      <c r="O412" s="237">
        <f>Inputs!P287</f>
        <v>0</v>
      </c>
      <c r="P412" s="237">
        <f>Inputs!Q287</f>
        <v>0</v>
      </c>
      <c r="Q412" s="238">
        <f>AVERAGE(N412:P412)</f>
        <v>0</v>
      </c>
      <c r="R412" s="237">
        <f>Inputs!R287</f>
        <v>0</v>
      </c>
      <c r="S412" s="237">
        <f>Inputs!S287</f>
        <v>0</v>
      </c>
      <c r="T412" s="237">
        <f>Inputs!T287</f>
        <v>0</v>
      </c>
      <c r="U412" s="238">
        <f>AVERAGE(R412:T412)</f>
        <v>0</v>
      </c>
      <c r="V412" s="237">
        <f>Inputs!U287</f>
        <v>0</v>
      </c>
      <c r="W412" s="237">
        <f>Inputs!V287</f>
        <v>0</v>
      </c>
      <c r="X412" s="237">
        <f>Inputs!W287</f>
        <v>0</v>
      </c>
      <c r="Y412" s="238">
        <f>AVERAGE(V412:X412)</f>
        <v>0</v>
      </c>
    </row>
    <row r="413" spans="1:25" ht="12.75" hidden="1" customHeight="1" outlineLevel="2" x14ac:dyDescent="0.2">
      <c r="A413" s="188" t="str">
        <f>"      "&amp;Labels!C384</f>
        <v xml:space="preserve">      Total</v>
      </c>
      <c r="B413" s="166">
        <f>SUM(B411:B412)</f>
        <v>0</v>
      </c>
      <c r="C413" s="166">
        <f>SUM(C411:C412)</f>
        <v>0</v>
      </c>
      <c r="D413" s="166">
        <f>SUM(D411:D412)</f>
        <v>0</v>
      </c>
      <c r="E413" s="225">
        <f>AVERAGE(B413:D413)</f>
        <v>0</v>
      </c>
      <c r="F413" s="166">
        <f>SUM(F411:F412)</f>
        <v>0</v>
      </c>
      <c r="G413" s="166">
        <f>SUM(G411:G412)</f>
        <v>0</v>
      </c>
      <c r="H413" s="166">
        <f>SUM(H411:H412)</f>
        <v>0</v>
      </c>
      <c r="I413" s="225">
        <f>AVERAGE(F413:H413)</f>
        <v>0</v>
      </c>
      <c r="J413" s="166">
        <f>SUM(J411:J412)</f>
        <v>0</v>
      </c>
      <c r="K413" s="166">
        <f>SUM(K411:K412)</f>
        <v>0</v>
      </c>
      <c r="L413" s="166">
        <f>SUM(L411:L412)</f>
        <v>0</v>
      </c>
      <c r="M413" s="225">
        <f>AVERAGE(J413:L413)</f>
        <v>0</v>
      </c>
      <c r="N413" s="166">
        <f>SUM(N411:N412)</f>
        <v>0</v>
      </c>
      <c r="O413" s="166">
        <f>SUM(O411:O412)</f>
        <v>0</v>
      </c>
      <c r="P413" s="166">
        <f>SUM(P411:P412)</f>
        <v>0</v>
      </c>
      <c r="Q413" s="225">
        <f>AVERAGE(N413:P413)</f>
        <v>0</v>
      </c>
      <c r="R413" s="166">
        <f>SUM(R411:R412)</f>
        <v>0</v>
      </c>
      <c r="S413" s="166">
        <f>SUM(S411:S412)</f>
        <v>0</v>
      </c>
      <c r="T413" s="166">
        <f>SUM(T411:T412)</f>
        <v>0</v>
      </c>
      <c r="U413" s="225">
        <f>AVERAGE(R413:T413)</f>
        <v>0</v>
      </c>
      <c r="V413" s="166">
        <f>SUM(V411:V412)</f>
        <v>0</v>
      </c>
      <c r="W413" s="166">
        <f>SUM(W411:W412)</f>
        <v>0</v>
      </c>
      <c r="X413" s="166">
        <f>SUM(X411:X412)</f>
        <v>0</v>
      </c>
      <c r="Y413" s="225">
        <f>AVERAGE(V413:X413)</f>
        <v>0</v>
      </c>
    </row>
    <row r="414" spans="1:25" ht="12.75" hidden="1" customHeight="1" outlineLevel="2" x14ac:dyDescent="0.2">
      <c r="A414" s="188" t="str">
        <f>"   "&amp;Labels!B382</f>
        <v xml:space="preserve">   Practice 2</v>
      </c>
      <c r="B414" s="166"/>
      <c r="C414" s="166"/>
      <c r="D414" s="166"/>
      <c r="E414" s="225"/>
      <c r="F414" s="166"/>
      <c r="G414" s="166"/>
      <c r="H414" s="166"/>
      <c r="I414" s="225"/>
      <c r="J414" s="166"/>
      <c r="K414" s="166"/>
      <c r="L414" s="166"/>
      <c r="M414" s="225"/>
      <c r="N414" s="166"/>
      <c r="O414" s="166"/>
      <c r="P414" s="166"/>
      <c r="Q414" s="225"/>
      <c r="R414" s="166"/>
      <c r="S414" s="166"/>
      <c r="T414" s="166"/>
      <c r="U414" s="225"/>
      <c r="V414" s="166"/>
      <c r="W414" s="166"/>
      <c r="X414" s="166"/>
      <c r="Y414" s="225"/>
    </row>
    <row r="415" spans="1:25" ht="12.75" hidden="1" customHeight="1" outlineLevel="2" x14ac:dyDescent="0.2">
      <c r="A415" s="198" t="str">
        <f>"      "&amp;Labels!B385</f>
        <v xml:space="preserve">      Prof Level 1</v>
      </c>
      <c r="B415" s="237">
        <f>Inputs!F288</f>
        <v>0</v>
      </c>
      <c r="C415" s="237">
        <f>Inputs!G288</f>
        <v>0</v>
      </c>
      <c r="D415" s="237">
        <f>Inputs!H288</f>
        <v>0</v>
      </c>
      <c r="E415" s="238">
        <f t="shared" ref="E415:E420" si="256">AVERAGE(B415:D415)</f>
        <v>0</v>
      </c>
      <c r="F415" s="237">
        <f>Inputs!I288</f>
        <v>0</v>
      </c>
      <c r="G415" s="237">
        <f>Inputs!J288</f>
        <v>0</v>
      </c>
      <c r="H415" s="237">
        <f>Inputs!K288</f>
        <v>0</v>
      </c>
      <c r="I415" s="238">
        <f t="shared" ref="I415:I420" si="257">AVERAGE(F415:H415)</f>
        <v>0</v>
      </c>
      <c r="J415" s="237">
        <f>Inputs!L288</f>
        <v>0</v>
      </c>
      <c r="K415" s="237">
        <f>Inputs!M288</f>
        <v>0</v>
      </c>
      <c r="L415" s="237">
        <f>Inputs!N288</f>
        <v>0</v>
      </c>
      <c r="M415" s="238">
        <f t="shared" ref="M415:M420" si="258">AVERAGE(J415:L415)</f>
        <v>0</v>
      </c>
      <c r="N415" s="237">
        <f>Inputs!O288</f>
        <v>0</v>
      </c>
      <c r="O415" s="237">
        <f>Inputs!P288</f>
        <v>0</v>
      </c>
      <c r="P415" s="237">
        <f>Inputs!Q288</f>
        <v>0</v>
      </c>
      <c r="Q415" s="238">
        <f t="shared" ref="Q415:Q420" si="259">AVERAGE(N415:P415)</f>
        <v>0</v>
      </c>
      <c r="R415" s="237">
        <f>Inputs!R288</f>
        <v>0</v>
      </c>
      <c r="S415" s="237">
        <f>Inputs!S288</f>
        <v>0</v>
      </c>
      <c r="T415" s="237">
        <f>Inputs!T288</f>
        <v>0</v>
      </c>
      <c r="U415" s="238">
        <f t="shared" ref="U415:U420" si="260">AVERAGE(R415:T415)</f>
        <v>0</v>
      </c>
      <c r="V415" s="237">
        <f>Inputs!U288</f>
        <v>0</v>
      </c>
      <c r="W415" s="237">
        <f>Inputs!V288</f>
        <v>0</v>
      </c>
      <c r="X415" s="237">
        <f>Inputs!W288</f>
        <v>0</v>
      </c>
      <c r="Y415" s="238">
        <f t="shared" ref="Y415:Y420" si="261">AVERAGE(V415:X415)</f>
        <v>0</v>
      </c>
    </row>
    <row r="416" spans="1:25" ht="12.75" hidden="1" customHeight="1" outlineLevel="2" x14ac:dyDescent="0.2">
      <c r="A416" s="198" t="str">
        <f>"      "&amp;Labels!B386</f>
        <v xml:space="preserve">      Prof Level 2</v>
      </c>
      <c r="B416" s="237">
        <f>Inputs!F289</f>
        <v>0</v>
      </c>
      <c r="C416" s="237">
        <f>Inputs!G289</f>
        <v>0</v>
      </c>
      <c r="D416" s="237">
        <f>Inputs!H289</f>
        <v>0</v>
      </c>
      <c r="E416" s="238">
        <f t="shared" si="256"/>
        <v>0</v>
      </c>
      <c r="F416" s="237">
        <f>Inputs!I289</f>
        <v>0</v>
      </c>
      <c r="G416" s="237">
        <f>Inputs!J289</f>
        <v>0</v>
      </c>
      <c r="H416" s="237">
        <f>Inputs!K289</f>
        <v>0</v>
      </c>
      <c r="I416" s="238">
        <f t="shared" si="257"/>
        <v>0</v>
      </c>
      <c r="J416" s="237">
        <f>Inputs!L289</f>
        <v>0</v>
      </c>
      <c r="K416" s="237">
        <f>Inputs!M289</f>
        <v>0</v>
      </c>
      <c r="L416" s="237">
        <f>Inputs!N289</f>
        <v>0</v>
      </c>
      <c r="M416" s="238">
        <f t="shared" si="258"/>
        <v>0</v>
      </c>
      <c r="N416" s="237">
        <f>Inputs!O289</f>
        <v>0</v>
      </c>
      <c r="O416" s="237">
        <f>Inputs!P289</f>
        <v>0</v>
      </c>
      <c r="P416" s="237">
        <f>Inputs!Q289</f>
        <v>0</v>
      </c>
      <c r="Q416" s="238">
        <f t="shared" si="259"/>
        <v>0</v>
      </c>
      <c r="R416" s="237">
        <f>Inputs!R289</f>
        <v>0</v>
      </c>
      <c r="S416" s="237">
        <f>Inputs!S289</f>
        <v>0</v>
      </c>
      <c r="T416" s="237">
        <f>Inputs!T289</f>
        <v>0</v>
      </c>
      <c r="U416" s="238">
        <f t="shared" si="260"/>
        <v>0</v>
      </c>
      <c r="V416" s="237">
        <f>Inputs!U289</f>
        <v>0</v>
      </c>
      <c r="W416" s="237">
        <f>Inputs!V289</f>
        <v>0</v>
      </c>
      <c r="X416" s="237">
        <f>Inputs!W289</f>
        <v>0</v>
      </c>
      <c r="Y416" s="238">
        <f t="shared" si="261"/>
        <v>0</v>
      </c>
    </row>
    <row r="417" spans="1:25" ht="12.75" hidden="1" customHeight="1" outlineLevel="2" x14ac:dyDescent="0.2">
      <c r="A417" s="188" t="str">
        <f>"      "&amp;Labels!C384</f>
        <v xml:space="preserve">      Total</v>
      </c>
      <c r="B417" s="166">
        <f>SUM(B415:B416)</f>
        <v>0</v>
      </c>
      <c r="C417" s="166">
        <f>SUM(C415:C416)</f>
        <v>0</v>
      </c>
      <c r="D417" s="166">
        <f>SUM(D415:D416)</f>
        <v>0</v>
      </c>
      <c r="E417" s="225">
        <f t="shared" si="256"/>
        <v>0</v>
      </c>
      <c r="F417" s="166">
        <f>SUM(F415:F416)</f>
        <v>0</v>
      </c>
      <c r="G417" s="166">
        <f>SUM(G415:G416)</f>
        <v>0</v>
      </c>
      <c r="H417" s="166">
        <f>SUM(H415:H416)</f>
        <v>0</v>
      </c>
      <c r="I417" s="225">
        <f t="shared" si="257"/>
        <v>0</v>
      </c>
      <c r="J417" s="166">
        <f>SUM(J415:J416)</f>
        <v>0</v>
      </c>
      <c r="K417" s="166">
        <f>SUM(K415:K416)</f>
        <v>0</v>
      </c>
      <c r="L417" s="166">
        <f>SUM(L415:L416)</f>
        <v>0</v>
      </c>
      <c r="M417" s="225">
        <f t="shared" si="258"/>
        <v>0</v>
      </c>
      <c r="N417" s="166">
        <f>SUM(N415:N416)</f>
        <v>0</v>
      </c>
      <c r="O417" s="166">
        <f>SUM(O415:O416)</f>
        <v>0</v>
      </c>
      <c r="P417" s="166">
        <f>SUM(P415:P416)</f>
        <v>0</v>
      </c>
      <c r="Q417" s="225">
        <f t="shared" si="259"/>
        <v>0</v>
      </c>
      <c r="R417" s="166">
        <f>SUM(R415:R416)</f>
        <v>0</v>
      </c>
      <c r="S417" s="166">
        <f>SUM(S415:S416)</f>
        <v>0</v>
      </c>
      <c r="T417" s="166">
        <f>SUM(T415:T416)</f>
        <v>0</v>
      </c>
      <c r="U417" s="225">
        <f t="shared" si="260"/>
        <v>0</v>
      </c>
      <c r="V417" s="166">
        <f>SUM(V415:V416)</f>
        <v>0</v>
      </c>
      <c r="W417" s="166">
        <f>SUM(W415:W416)</f>
        <v>0</v>
      </c>
      <c r="X417" s="166">
        <f>SUM(X415:X416)</f>
        <v>0</v>
      </c>
      <c r="Y417" s="225">
        <f t="shared" si="261"/>
        <v>0</v>
      </c>
    </row>
    <row r="418" spans="1:25" ht="12.75" hidden="1" customHeight="1" outlineLevel="2" x14ac:dyDescent="0.2">
      <c r="A418" s="191" t="str">
        <f>"   "&amp;Labels!C380</f>
        <v xml:space="preserve">   Total</v>
      </c>
      <c r="B418" s="216">
        <f>SUM(B413,B417)</f>
        <v>0</v>
      </c>
      <c r="C418" s="216">
        <f>SUM(C413,C417)</f>
        <v>0</v>
      </c>
      <c r="D418" s="216">
        <f>SUM(D413,D417)</f>
        <v>0</v>
      </c>
      <c r="E418" s="217">
        <f t="shared" si="256"/>
        <v>0</v>
      </c>
      <c r="F418" s="216">
        <f>SUM(F413,F417)</f>
        <v>0</v>
      </c>
      <c r="G418" s="216">
        <f>SUM(G413,G417)</f>
        <v>0</v>
      </c>
      <c r="H418" s="216">
        <f>SUM(H413,H417)</f>
        <v>0</v>
      </c>
      <c r="I418" s="217">
        <f t="shared" si="257"/>
        <v>0</v>
      </c>
      <c r="J418" s="216">
        <f>SUM(J413,J417)</f>
        <v>0</v>
      </c>
      <c r="K418" s="216">
        <f>SUM(K413,K417)</f>
        <v>0</v>
      </c>
      <c r="L418" s="216">
        <f>SUM(L413,L417)</f>
        <v>0</v>
      </c>
      <c r="M418" s="217">
        <f t="shared" si="258"/>
        <v>0</v>
      </c>
      <c r="N418" s="216">
        <f>SUM(N413,N417)</f>
        <v>0</v>
      </c>
      <c r="O418" s="216">
        <f>SUM(O413,O417)</f>
        <v>0</v>
      </c>
      <c r="P418" s="216">
        <f>SUM(P413,P417)</f>
        <v>0</v>
      </c>
      <c r="Q418" s="217">
        <f t="shared" si="259"/>
        <v>0</v>
      </c>
      <c r="R418" s="216">
        <f>SUM(R413,R417)</f>
        <v>0</v>
      </c>
      <c r="S418" s="216">
        <f>SUM(S413,S417)</f>
        <v>0</v>
      </c>
      <c r="T418" s="216">
        <f>SUM(T413,T417)</f>
        <v>0</v>
      </c>
      <c r="U418" s="217">
        <f t="shared" si="260"/>
        <v>0</v>
      </c>
      <c r="V418" s="216">
        <f>SUM(V413,V417)</f>
        <v>0</v>
      </c>
      <c r="W418" s="216">
        <f>SUM(W413,W417)</f>
        <v>0</v>
      </c>
      <c r="X418" s="216">
        <f>SUM(X413,X417)</f>
        <v>0</v>
      </c>
      <c r="Y418" s="217">
        <f t="shared" si="261"/>
        <v>0</v>
      </c>
    </row>
    <row r="419" spans="1:25" ht="12.75" hidden="1" customHeight="1" outlineLevel="2" x14ac:dyDescent="0.2">
      <c r="A419" s="198" t="str">
        <f>"      "&amp;Labels!B385</f>
        <v xml:space="preserve">      Prof Level 1</v>
      </c>
      <c r="B419" s="237">
        <f t="shared" ref="B419:D421" si="262">SUM(B411,B415)</f>
        <v>0</v>
      </c>
      <c r="C419" s="237">
        <f t="shared" si="262"/>
        <v>0</v>
      </c>
      <c r="D419" s="237">
        <f t="shared" si="262"/>
        <v>0</v>
      </c>
      <c r="E419" s="238">
        <f t="shared" si="256"/>
        <v>0</v>
      </c>
      <c r="F419" s="237">
        <f t="shared" ref="F419:H421" si="263">SUM(F411,F415)</f>
        <v>0</v>
      </c>
      <c r="G419" s="237">
        <f t="shared" si="263"/>
        <v>0</v>
      </c>
      <c r="H419" s="237">
        <f t="shared" si="263"/>
        <v>0</v>
      </c>
      <c r="I419" s="238">
        <f t="shared" si="257"/>
        <v>0</v>
      </c>
      <c r="J419" s="237">
        <f t="shared" ref="J419:L421" si="264">SUM(J411,J415)</f>
        <v>0</v>
      </c>
      <c r="K419" s="237">
        <f t="shared" si="264"/>
        <v>0</v>
      </c>
      <c r="L419" s="237">
        <f t="shared" si="264"/>
        <v>0</v>
      </c>
      <c r="M419" s="238">
        <f t="shared" si="258"/>
        <v>0</v>
      </c>
      <c r="N419" s="237">
        <f t="shared" ref="N419:P421" si="265">SUM(N411,N415)</f>
        <v>0</v>
      </c>
      <c r="O419" s="237">
        <f t="shared" si="265"/>
        <v>0</v>
      </c>
      <c r="P419" s="237">
        <f t="shared" si="265"/>
        <v>0</v>
      </c>
      <c r="Q419" s="238">
        <f t="shared" si="259"/>
        <v>0</v>
      </c>
      <c r="R419" s="237">
        <f t="shared" ref="R419:T421" si="266">SUM(R411,R415)</f>
        <v>0</v>
      </c>
      <c r="S419" s="237">
        <f t="shared" si="266"/>
        <v>0</v>
      </c>
      <c r="T419" s="237">
        <f t="shared" si="266"/>
        <v>0</v>
      </c>
      <c r="U419" s="238">
        <f t="shared" si="260"/>
        <v>0</v>
      </c>
      <c r="V419" s="237">
        <f t="shared" ref="V419:X421" si="267">SUM(V411,V415)</f>
        <v>0</v>
      </c>
      <c r="W419" s="237">
        <f t="shared" si="267"/>
        <v>0</v>
      </c>
      <c r="X419" s="237">
        <f t="shared" si="267"/>
        <v>0</v>
      </c>
      <c r="Y419" s="238">
        <f t="shared" si="261"/>
        <v>0</v>
      </c>
    </row>
    <row r="420" spans="1:25" ht="12.75" hidden="1" customHeight="1" outlineLevel="2" x14ac:dyDescent="0.2">
      <c r="A420" s="198" t="str">
        <f>"      "&amp;Labels!B386</f>
        <v xml:space="preserve">      Prof Level 2</v>
      </c>
      <c r="B420" s="237">
        <f t="shared" si="262"/>
        <v>0</v>
      </c>
      <c r="C420" s="237">
        <f t="shared" si="262"/>
        <v>0</v>
      </c>
      <c r="D420" s="237">
        <f t="shared" si="262"/>
        <v>0</v>
      </c>
      <c r="E420" s="238">
        <f t="shared" si="256"/>
        <v>0</v>
      </c>
      <c r="F420" s="237">
        <f t="shared" si="263"/>
        <v>0</v>
      </c>
      <c r="G420" s="237">
        <f t="shared" si="263"/>
        <v>0</v>
      </c>
      <c r="H420" s="237">
        <f t="shared" si="263"/>
        <v>0</v>
      </c>
      <c r="I420" s="238">
        <f t="shared" si="257"/>
        <v>0</v>
      </c>
      <c r="J420" s="237">
        <f t="shared" si="264"/>
        <v>0</v>
      </c>
      <c r="K420" s="237">
        <f t="shared" si="264"/>
        <v>0</v>
      </c>
      <c r="L420" s="237">
        <f t="shared" si="264"/>
        <v>0</v>
      </c>
      <c r="M420" s="238">
        <f t="shared" si="258"/>
        <v>0</v>
      </c>
      <c r="N420" s="237">
        <f t="shared" si="265"/>
        <v>0</v>
      </c>
      <c r="O420" s="237">
        <f t="shared" si="265"/>
        <v>0</v>
      </c>
      <c r="P420" s="237">
        <f t="shared" si="265"/>
        <v>0</v>
      </c>
      <c r="Q420" s="238">
        <f t="shared" si="259"/>
        <v>0</v>
      </c>
      <c r="R420" s="237">
        <f t="shared" si="266"/>
        <v>0</v>
      </c>
      <c r="S420" s="237">
        <f t="shared" si="266"/>
        <v>0</v>
      </c>
      <c r="T420" s="237">
        <f t="shared" si="266"/>
        <v>0</v>
      </c>
      <c r="U420" s="238">
        <f t="shared" si="260"/>
        <v>0</v>
      </c>
      <c r="V420" s="237">
        <f t="shared" si="267"/>
        <v>0</v>
      </c>
      <c r="W420" s="237">
        <f t="shared" si="267"/>
        <v>0</v>
      </c>
      <c r="X420" s="237">
        <f t="shared" si="267"/>
        <v>0</v>
      </c>
      <c r="Y420" s="238">
        <f t="shared" si="261"/>
        <v>0</v>
      </c>
    </row>
    <row r="421" spans="1:25" ht="12.75" hidden="1" customHeight="1" outlineLevel="2" x14ac:dyDescent="0.2">
      <c r="A421" s="188" t="str">
        <f>"      "&amp;Labels!C384</f>
        <v xml:space="preserve">      Total</v>
      </c>
      <c r="B421" s="166">
        <f t="shared" si="262"/>
        <v>0</v>
      </c>
      <c r="C421" s="166">
        <f t="shared" si="262"/>
        <v>0</v>
      </c>
      <c r="D421" s="166">
        <f t="shared" si="262"/>
        <v>0</v>
      </c>
      <c r="E421" s="225">
        <f>AVERAGE(B418:D418)</f>
        <v>0</v>
      </c>
      <c r="F421" s="166">
        <f t="shared" si="263"/>
        <v>0</v>
      </c>
      <c r="G421" s="166">
        <f t="shared" si="263"/>
        <v>0</v>
      </c>
      <c r="H421" s="166">
        <f t="shared" si="263"/>
        <v>0</v>
      </c>
      <c r="I421" s="225">
        <f>AVERAGE(F418:H418)</f>
        <v>0</v>
      </c>
      <c r="J421" s="166">
        <f t="shared" si="264"/>
        <v>0</v>
      </c>
      <c r="K421" s="166">
        <f t="shared" si="264"/>
        <v>0</v>
      </c>
      <c r="L421" s="166">
        <f t="shared" si="264"/>
        <v>0</v>
      </c>
      <c r="M421" s="225">
        <f>AVERAGE(J418:L418)</f>
        <v>0</v>
      </c>
      <c r="N421" s="166">
        <f t="shared" si="265"/>
        <v>0</v>
      </c>
      <c r="O421" s="166">
        <f t="shared" si="265"/>
        <v>0</v>
      </c>
      <c r="P421" s="166">
        <f t="shared" si="265"/>
        <v>0</v>
      </c>
      <c r="Q421" s="225">
        <f>AVERAGE(N418:P418)</f>
        <v>0</v>
      </c>
      <c r="R421" s="166">
        <f t="shared" si="266"/>
        <v>0</v>
      </c>
      <c r="S421" s="166">
        <f t="shared" si="266"/>
        <v>0</v>
      </c>
      <c r="T421" s="166">
        <f t="shared" si="266"/>
        <v>0</v>
      </c>
      <c r="U421" s="225">
        <f>AVERAGE(R418:T418)</f>
        <v>0</v>
      </c>
      <c r="V421" s="166">
        <f t="shared" si="267"/>
        <v>0</v>
      </c>
      <c r="W421" s="166">
        <f t="shared" si="267"/>
        <v>0</v>
      </c>
      <c r="X421" s="166">
        <f t="shared" si="267"/>
        <v>0</v>
      </c>
      <c r="Y421" s="225">
        <f>AVERAGE(V418:X418)</f>
        <v>0</v>
      </c>
    </row>
    <row r="422" spans="1:25" ht="12.75" hidden="1" customHeight="1" outlineLevel="2" x14ac:dyDescent="0.2">
      <c r="A422" s="97"/>
      <c r="B422" s="6"/>
      <c r="C422" s="6"/>
      <c r="D422" s="6"/>
      <c r="E422" s="97"/>
      <c r="F422" s="6"/>
      <c r="G422" s="6"/>
      <c r="H422" s="6"/>
      <c r="I422" s="97"/>
      <c r="J422" s="6"/>
      <c r="K422" s="6"/>
      <c r="L422" s="6"/>
      <c r="M422" s="97"/>
      <c r="N422" s="6"/>
      <c r="O422" s="6"/>
      <c r="P422" s="6"/>
      <c r="Q422" s="97"/>
      <c r="R422" s="6"/>
      <c r="S422" s="6"/>
      <c r="T422" s="6"/>
      <c r="U422" s="97"/>
      <c r="V422" s="6"/>
      <c r="W422" s="6"/>
      <c r="X422" s="6"/>
      <c r="Y422" s="97"/>
    </row>
    <row r="423" spans="1:25" ht="12.75" hidden="1" customHeight="1" outlineLevel="2" x14ac:dyDescent="0.2">
      <c r="A423" s="191" t="str">
        <f>Labels!B157</f>
        <v>Practice Dev Sup Staff Count</v>
      </c>
      <c r="B423" s="216"/>
      <c r="C423" s="216"/>
      <c r="D423" s="216"/>
      <c r="E423" s="217"/>
      <c r="F423" s="216"/>
      <c r="G423" s="216"/>
      <c r="H423" s="216"/>
      <c r="I423" s="217"/>
      <c r="J423" s="216"/>
      <c r="K423" s="216"/>
      <c r="L423" s="216"/>
      <c r="M423" s="217"/>
      <c r="N423" s="216"/>
      <c r="O423" s="216"/>
      <c r="P423" s="216"/>
      <c r="Q423" s="217"/>
      <c r="R423" s="216"/>
      <c r="S423" s="216"/>
      <c r="T423" s="216"/>
      <c r="U423" s="217"/>
      <c r="V423" s="216"/>
      <c r="W423" s="216"/>
      <c r="X423" s="216"/>
      <c r="Y423" s="217"/>
    </row>
    <row r="424" spans="1:25" ht="12.75" hidden="1" customHeight="1" outlineLevel="2" x14ac:dyDescent="0.2">
      <c r="A424" s="188" t="str">
        <f>"   "&amp;Labels!B381</f>
        <v xml:space="preserve">   Practice 1</v>
      </c>
      <c r="B424" s="166"/>
      <c r="C424" s="166"/>
      <c r="D424" s="166"/>
      <c r="E424" s="225"/>
      <c r="F424" s="166"/>
      <c r="G424" s="166"/>
      <c r="H424" s="166"/>
      <c r="I424" s="225"/>
      <c r="J424" s="166"/>
      <c r="K424" s="166"/>
      <c r="L424" s="166"/>
      <c r="M424" s="225"/>
      <c r="N424" s="166"/>
      <c r="O424" s="166"/>
      <c r="P424" s="166"/>
      <c r="Q424" s="225"/>
      <c r="R424" s="166"/>
      <c r="S424" s="166"/>
      <c r="T424" s="166"/>
      <c r="U424" s="225"/>
      <c r="V424" s="166"/>
      <c r="W424" s="166"/>
      <c r="X424" s="166"/>
      <c r="Y424" s="225"/>
    </row>
    <row r="425" spans="1:25" ht="12.75" hidden="1" customHeight="1" outlineLevel="2" x14ac:dyDescent="0.2">
      <c r="A425" s="198" t="str">
        <f>"      "&amp;Labels!B321</f>
        <v xml:space="preserve">      Marketing</v>
      </c>
      <c r="B425" s="237"/>
      <c r="C425" s="237"/>
      <c r="D425" s="237"/>
      <c r="E425" s="238"/>
      <c r="F425" s="237"/>
      <c r="G425" s="237"/>
      <c r="H425" s="237"/>
      <c r="I425" s="238"/>
      <c r="J425" s="237"/>
      <c r="K425" s="237"/>
      <c r="L425" s="237"/>
      <c r="M425" s="238"/>
      <c r="N425" s="237"/>
      <c r="O425" s="237"/>
      <c r="P425" s="237"/>
      <c r="Q425" s="238"/>
      <c r="R425" s="237"/>
      <c r="S425" s="237"/>
      <c r="T425" s="237"/>
      <c r="U425" s="238"/>
      <c r="V425" s="237"/>
      <c r="W425" s="237"/>
      <c r="X425" s="237"/>
      <c r="Y425" s="238"/>
    </row>
    <row r="426" spans="1:25" ht="12.75" hidden="1" customHeight="1" outlineLevel="2" x14ac:dyDescent="0.2">
      <c r="A426" s="198" t="str">
        <f>"         "&amp;Labels!B393</f>
        <v xml:space="preserve">         Manager</v>
      </c>
      <c r="B426" s="262">
        <f>Inputs!F291</f>
        <v>0</v>
      </c>
      <c r="C426" s="262">
        <f>Inputs!G291</f>
        <v>0</v>
      </c>
      <c r="D426" s="262">
        <f>Inputs!H291</f>
        <v>0</v>
      </c>
      <c r="E426" s="217">
        <f>AVERAGE(B426:D426)</f>
        <v>0</v>
      </c>
      <c r="F426" s="262">
        <f>Inputs!I291</f>
        <v>0</v>
      </c>
      <c r="G426" s="262">
        <f>Inputs!J291</f>
        <v>0</v>
      </c>
      <c r="H426" s="262">
        <f>Inputs!K291</f>
        <v>0</v>
      </c>
      <c r="I426" s="217">
        <f>AVERAGE(F426:H426)</f>
        <v>0</v>
      </c>
      <c r="J426" s="262">
        <f>Inputs!L291</f>
        <v>0</v>
      </c>
      <c r="K426" s="262">
        <f>Inputs!M291</f>
        <v>0</v>
      </c>
      <c r="L426" s="262">
        <f>Inputs!N291</f>
        <v>0</v>
      </c>
      <c r="M426" s="217">
        <f>AVERAGE(J426:L426)</f>
        <v>0</v>
      </c>
      <c r="N426" s="262">
        <f>Inputs!O291</f>
        <v>0</v>
      </c>
      <c r="O426" s="262">
        <f>Inputs!P291</f>
        <v>0</v>
      </c>
      <c r="P426" s="262">
        <f>Inputs!Q291</f>
        <v>0</v>
      </c>
      <c r="Q426" s="217">
        <f>AVERAGE(N426:P426)</f>
        <v>0</v>
      </c>
      <c r="R426" s="262">
        <f>Inputs!R291</f>
        <v>0</v>
      </c>
      <c r="S426" s="262">
        <f>Inputs!S291</f>
        <v>0</v>
      </c>
      <c r="T426" s="262">
        <f>Inputs!T291</f>
        <v>0</v>
      </c>
      <c r="U426" s="217">
        <f>AVERAGE(R426:T426)</f>
        <v>0</v>
      </c>
      <c r="V426" s="262">
        <f>Inputs!U291</f>
        <v>0</v>
      </c>
      <c r="W426" s="262">
        <f>Inputs!V291</f>
        <v>0</v>
      </c>
      <c r="X426" s="262">
        <f>Inputs!W291</f>
        <v>0</v>
      </c>
      <c r="Y426" s="217">
        <f>AVERAGE(V426:X426)</f>
        <v>0</v>
      </c>
    </row>
    <row r="427" spans="1:25" ht="12.75" hidden="1" customHeight="1" outlineLevel="2" x14ac:dyDescent="0.2">
      <c r="A427" s="198" t="str">
        <f>"         "&amp;Labels!B394</f>
        <v xml:space="preserve">         Contributor</v>
      </c>
      <c r="B427" s="262">
        <f>Inputs!F292</f>
        <v>0</v>
      </c>
      <c r="C427" s="262">
        <f>Inputs!G292</f>
        <v>0</v>
      </c>
      <c r="D427" s="262">
        <f>Inputs!H292</f>
        <v>0</v>
      </c>
      <c r="E427" s="217">
        <f>AVERAGE(B427:D427)</f>
        <v>0</v>
      </c>
      <c r="F427" s="262">
        <f>Inputs!I292</f>
        <v>0</v>
      </c>
      <c r="G427" s="262">
        <f>Inputs!J292</f>
        <v>0</v>
      </c>
      <c r="H427" s="262">
        <f>Inputs!K292</f>
        <v>0</v>
      </c>
      <c r="I427" s="217">
        <f>AVERAGE(F427:H427)</f>
        <v>0</v>
      </c>
      <c r="J427" s="262">
        <f>Inputs!L292</f>
        <v>0</v>
      </c>
      <c r="K427" s="262">
        <f>Inputs!M292</f>
        <v>0</v>
      </c>
      <c r="L427" s="262">
        <f>Inputs!N292</f>
        <v>0</v>
      </c>
      <c r="M427" s="217">
        <f>AVERAGE(J427:L427)</f>
        <v>0</v>
      </c>
      <c r="N427" s="262">
        <f>Inputs!O292</f>
        <v>0</v>
      </c>
      <c r="O427" s="262">
        <f>Inputs!P292</f>
        <v>0</v>
      </c>
      <c r="P427" s="262">
        <f>Inputs!Q292</f>
        <v>0</v>
      </c>
      <c r="Q427" s="217">
        <f>AVERAGE(N427:P427)</f>
        <v>0</v>
      </c>
      <c r="R427" s="262">
        <f>Inputs!R292</f>
        <v>0</v>
      </c>
      <c r="S427" s="262">
        <f>Inputs!S292</f>
        <v>0</v>
      </c>
      <c r="T427" s="262">
        <f>Inputs!T292</f>
        <v>0</v>
      </c>
      <c r="U427" s="217">
        <f>AVERAGE(R427:T427)</f>
        <v>0</v>
      </c>
      <c r="V427" s="262">
        <f>Inputs!U292</f>
        <v>0</v>
      </c>
      <c r="W427" s="262">
        <f>Inputs!V292</f>
        <v>0</v>
      </c>
      <c r="X427" s="262">
        <f>Inputs!W292</f>
        <v>0</v>
      </c>
      <c r="Y427" s="217">
        <f>AVERAGE(V427:X427)</f>
        <v>0</v>
      </c>
    </row>
    <row r="428" spans="1:25" ht="12.75" hidden="1" customHeight="1" outlineLevel="2" x14ac:dyDescent="0.2">
      <c r="A428" s="198" t="str">
        <f>"         "&amp;Labels!C392</f>
        <v xml:space="preserve">         Total</v>
      </c>
      <c r="B428" s="237">
        <f>SUM(B426:B427)</f>
        <v>0</v>
      </c>
      <c r="C428" s="237">
        <f>SUM(C426:C427)</f>
        <v>0</v>
      </c>
      <c r="D428" s="237">
        <f>SUM(D426:D427)</f>
        <v>0</v>
      </c>
      <c r="E428" s="238">
        <f>AVERAGE(B428:D428)</f>
        <v>0</v>
      </c>
      <c r="F428" s="237">
        <f>SUM(F426:F427)</f>
        <v>0</v>
      </c>
      <c r="G428" s="237">
        <f>SUM(G426:G427)</f>
        <v>0</v>
      </c>
      <c r="H428" s="237">
        <f>SUM(H426:H427)</f>
        <v>0</v>
      </c>
      <c r="I428" s="238">
        <f>AVERAGE(F428:H428)</f>
        <v>0</v>
      </c>
      <c r="J428" s="237">
        <f>SUM(J426:J427)</f>
        <v>0</v>
      </c>
      <c r="K428" s="237">
        <f>SUM(K426:K427)</f>
        <v>0</v>
      </c>
      <c r="L428" s="237">
        <f>SUM(L426:L427)</f>
        <v>0</v>
      </c>
      <c r="M428" s="238">
        <f>AVERAGE(J428:L428)</f>
        <v>0</v>
      </c>
      <c r="N428" s="237">
        <f>SUM(N426:N427)</f>
        <v>0</v>
      </c>
      <c r="O428" s="237">
        <f>SUM(O426:O427)</f>
        <v>0</v>
      </c>
      <c r="P428" s="237">
        <f>SUM(P426:P427)</f>
        <v>0</v>
      </c>
      <c r="Q428" s="238">
        <f>AVERAGE(N428:P428)</f>
        <v>0</v>
      </c>
      <c r="R428" s="237">
        <f>SUM(R426:R427)</f>
        <v>0</v>
      </c>
      <c r="S428" s="237">
        <f>SUM(S426:S427)</f>
        <v>0</v>
      </c>
      <c r="T428" s="237">
        <f>SUM(T426:T427)</f>
        <v>0</v>
      </c>
      <c r="U428" s="238">
        <f>AVERAGE(R428:T428)</f>
        <v>0</v>
      </c>
      <c r="V428" s="237">
        <f>SUM(V426:V427)</f>
        <v>0</v>
      </c>
      <c r="W428" s="237">
        <f>SUM(W426:W427)</f>
        <v>0</v>
      </c>
      <c r="X428" s="237">
        <f>SUM(X426:X427)</f>
        <v>0</v>
      </c>
      <c r="Y428" s="238">
        <f>AVERAGE(V428:X428)</f>
        <v>0</v>
      </c>
    </row>
    <row r="429" spans="1:25" ht="12.75" hidden="1" customHeight="1" outlineLevel="2" x14ac:dyDescent="0.2">
      <c r="A429" s="198" t="str">
        <f>"      "&amp;Labels!B322</f>
        <v xml:space="preserve">      Sales</v>
      </c>
      <c r="B429" s="237"/>
      <c r="C429" s="237"/>
      <c r="D429" s="237"/>
      <c r="E429" s="238"/>
      <c r="F429" s="237"/>
      <c r="G429" s="237"/>
      <c r="H429" s="237"/>
      <c r="I429" s="238"/>
      <c r="J429" s="237"/>
      <c r="K429" s="237"/>
      <c r="L429" s="237"/>
      <c r="M429" s="238"/>
      <c r="N429" s="237"/>
      <c r="O429" s="237"/>
      <c r="P429" s="237"/>
      <c r="Q429" s="238"/>
      <c r="R429" s="237"/>
      <c r="S429" s="237"/>
      <c r="T429" s="237"/>
      <c r="U429" s="238"/>
      <c r="V429" s="237"/>
      <c r="W429" s="237"/>
      <c r="X429" s="237"/>
      <c r="Y429" s="238"/>
    </row>
    <row r="430" spans="1:25" ht="12.75" hidden="1" customHeight="1" outlineLevel="2" x14ac:dyDescent="0.2">
      <c r="A430" s="198" t="str">
        <f>"         "&amp;Labels!B393</f>
        <v xml:space="preserve">         Manager</v>
      </c>
      <c r="B430" s="262">
        <f>Inputs!F293</f>
        <v>0</v>
      </c>
      <c r="C430" s="262">
        <f>Inputs!G293</f>
        <v>0</v>
      </c>
      <c r="D430" s="262">
        <f>Inputs!H293</f>
        <v>0</v>
      </c>
      <c r="E430" s="217">
        <f t="shared" ref="E430:E435" si="268">AVERAGE(B430:D430)</f>
        <v>0</v>
      </c>
      <c r="F430" s="262">
        <f>Inputs!I293</f>
        <v>0</v>
      </c>
      <c r="G430" s="262">
        <f>Inputs!J293</f>
        <v>0</v>
      </c>
      <c r="H430" s="262">
        <f>Inputs!K293</f>
        <v>0</v>
      </c>
      <c r="I430" s="217">
        <f t="shared" ref="I430:I435" si="269">AVERAGE(F430:H430)</f>
        <v>0</v>
      </c>
      <c r="J430" s="262">
        <f>Inputs!L293</f>
        <v>0</v>
      </c>
      <c r="K430" s="262">
        <f>Inputs!M293</f>
        <v>0</v>
      </c>
      <c r="L430" s="262">
        <f>Inputs!N293</f>
        <v>0</v>
      </c>
      <c r="M430" s="217">
        <f t="shared" ref="M430:M435" si="270">AVERAGE(J430:L430)</f>
        <v>0</v>
      </c>
      <c r="N430" s="262">
        <f>Inputs!O293</f>
        <v>0</v>
      </c>
      <c r="O430" s="262">
        <f>Inputs!P293</f>
        <v>0</v>
      </c>
      <c r="P430" s="262">
        <f>Inputs!Q293</f>
        <v>0</v>
      </c>
      <c r="Q430" s="217">
        <f t="shared" ref="Q430:Q435" si="271">AVERAGE(N430:P430)</f>
        <v>0</v>
      </c>
      <c r="R430" s="262">
        <f>Inputs!R293</f>
        <v>0</v>
      </c>
      <c r="S430" s="262">
        <f>Inputs!S293</f>
        <v>0</v>
      </c>
      <c r="T430" s="262">
        <f>Inputs!T293</f>
        <v>0</v>
      </c>
      <c r="U430" s="217">
        <f t="shared" ref="U430:U435" si="272">AVERAGE(R430:T430)</f>
        <v>0</v>
      </c>
      <c r="V430" s="262">
        <f>Inputs!U293</f>
        <v>0</v>
      </c>
      <c r="W430" s="262">
        <f>Inputs!V293</f>
        <v>0</v>
      </c>
      <c r="X430" s="262">
        <f>Inputs!W293</f>
        <v>0</v>
      </c>
      <c r="Y430" s="217">
        <f t="shared" ref="Y430:Y435" si="273">AVERAGE(V430:X430)</f>
        <v>0</v>
      </c>
    </row>
    <row r="431" spans="1:25" ht="12.75" hidden="1" customHeight="1" outlineLevel="2" x14ac:dyDescent="0.2">
      <c r="A431" s="198" t="str">
        <f>"         "&amp;Labels!B394</f>
        <v xml:space="preserve">         Contributor</v>
      </c>
      <c r="B431" s="262">
        <f>Inputs!F294</f>
        <v>0</v>
      </c>
      <c r="C431" s="262">
        <f>Inputs!G294</f>
        <v>0</v>
      </c>
      <c r="D431" s="262">
        <f>Inputs!H294</f>
        <v>0</v>
      </c>
      <c r="E431" s="217">
        <f t="shared" si="268"/>
        <v>0</v>
      </c>
      <c r="F431" s="262">
        <f>Inputs!I294</f>
        <v>0</v>
      </c>
      <c r="G431" s="262">
        <f>Inputs!J294</f>
        <v>0</v>
      </c>
      <c r="H431" s="262">
        <f>Inputs!K294</f>
        <v>0</v>
      </c>
      <c r="I431" s="217">
        <f t="shared" si="269"/>
        <v>0</v>
      </c>
      <c r="J431" s="262">
        <f>Inputs!L294</f>
        <v>0</v>
      </c>
      <c r="K431" s="262">
        <f>Inputs!M294</f>
        <v>0</v>
      </c>
      <c r="L431" s="262">
        <f>Inputs!N294</f>
        <v>0</v>
      </c>
      <c r="M431" s="217">
        <f t="shared" si="270"/>
        <v>0</v>
      </c>
      <c r="N431" s="262">
        <f>Inputs!O294</f>
        <v>0</v>
      </c>
      <c r="O431" s="262">
        <f>Inputs!P294</f>
        <v>0</v>
      </c>
      <c r="P431" s="262">
        <f>Inputs!Q294</f>
        <v>0</v>
      </c>
      <c r="Q431" s="217">
        <f t="shared" si="271"/>
        <v>0</v>
      </c>
      <c r="R431" s="262">
        <f>Inputs!R294</f>
        <v>0</v>
      </c>
      <c r="S431" s="262">
        <f>Inputs!S294</f>
        <v>0</v>
      </c>
      <c r="T431" s="262">
        <f>Inputs!T294</f>
        <v>0</v>
      </c>
      <c r="U431" s="217">
        <f t="shared" si="272"/>
        <v>0</v>
      </c>
      <c r="V431" s="262">
        <f>Inputs!U294</f>
        <v>0</v>
      </c>
      <c r="W431" s="262">
        <f>Inputs!V294</f>
        <v>0</v>
      </c>
      <c r="X431" s="262">
        <f>Inputs!W294</f>
        <v>0</v>
      </c>
      <c r="Y431" s="217">
        <f t="shared" si="273"/>
        <v>0</v>
      </c>
    </row>
    <row r="432" spans="1:25" ht="12.75" hidden="1" customHeight="1" outlineLevel="2" x14ac:dyDescent="0.2">
      <c r="A432" s="198" t="str">
        <f>"         "&amp;Labels!C392</f>
        <v xml:space="preserve">         Total</v>
      </c>
      <c r="B432" s="237">
        <f>SUM(B430:B431)</f>
        <v>0</v>
      </c>
      <c r="C432" s="237">
        <f>SUM(C430:C431)</f>
        <v>0</v>
      </c>
      <c r="D432" s="237">
        <f>SUM(D430:D431)</f>
        <v>0</v>
      </c>
      <c r="E432" s="238">
        <f t="shared" si="268"/>
        <v>0</v>
      </c>
      <c r="F432" s="237">
        <f>SUM(F430:F431)</f>
        <v>0</v>
      </c>
      <c r="G432" s="237">
        <f>SUM(G430:G431)</f>
        <v>0</v>
      </c>
      <c r="H432" s="237">
        <f>SUM(H430:H431)</f>
        <v>0</v>
      </c>
      <c r="I432" s="238">
        <f t="shared" si="269"/>
        <v>0</v>
      </c>
      <c r="J432" s="237">
        <f>SUM(J430:J431)</f>
        <v>0</v>
      </c>
      <c r="K432" s="237">
        <f>SUM(K430:K431)</f>
        <v>0</v>
      </c>
      <c r="L432" s="237">
        <f>SUM(L430:L431)</f>
        <v>0</v>
      </c>
      <c r="M432" s="238">
        <f t="shared" si="270"/>
        <v>0</v>
      </c>
      <c r="N432" s="237">
        <f>SUM(N430:N431)</f>
        <v>0</v>
      </c>
      <c r="O432" s="237">
        <f>SUM(O430:O431)</f>
        <v>0</v>
      </c>
      <c r="P432" s="237">
        <f>SUM(P430:P431)</f>
        <v>0</v>
      </c>
      <c r="Q432" s="238">
        <f t="shared" si="271"/>
        <v>0</v>
      </c>
      <c r="R432" s="237">
        <f>SUM(R430:R431)</f>
        <v>0</v>
      </c>
      <c r="S432" s="237">
        <f>SUM(S430:S431)</f>
        <v>0</v>
      </c>
      <c r="T432" s="237">
        <f>SUM(T430:T431)</f>
        <v>0</v>
      </c>
      <c r="U432" s="238">
        <f t="shared" si="272"/>
        <v>0</v>
      </c>
      <c r="V432" s="237">
        <f>SUM(V430:V431)</f>
        <v>0</v>
      </c>
      <c r="W432" s="237">
        <f>SUM(W430:W431)</f>
        <v>0</v>
      </c>
      <c r="X432" s="237">
        <f>SUM(X430:X431)</f>
        <v>0</v>
      </c>
      <c r="Y432" s="238">
        <f t="shared" si="273"/>
        <v>0</v>
      </c>
    </row>
    <row r="433" spans="1:25" ht="12.75" hidden="1" customHeight="1" outlineLevel="2" x14ac:dyDescent="0.2">
      <c r="A433" s="188" t="str">
        <f>"      "&amp;Labels!C320</f>
        <v xml:space="preserve">      Total</v>
      </c>
      <c r="B433" s="166">
        <f>SUM(B428,B432)</f>
        <v>0</v>
      </c>
      <c r="C433" s="166">
        <f>SUM(C428,C432)</f>
        <v>0</v>
      </c>
      <c r="D433" s="166">
        <f>SUM(D428,D432)</f>
        <v>0</v>
      </c>
      <c r="E433" s="225">
        <f t="shared" si="268"/>
        <v>0</v>
      </c>
      <c r="F433" s="166">
        <f>SUM(F428,F432)</f>
        <v>0</v>
      </c>
      <c r="G433" s="166">
        <f>SUM(G428,G432)</f>
        <v>0</v>
      </c>
      <c r="H433" s="166">
        <f>SUM(H428,H432)</f>
        <v>0</v>
      </c>
      <c r="I433" s="225">
        <f t="shared" si="269"/>
        <v>0</v>
      </c>
      <c r="J433" s="166">
        <f>SUM(J428,J432)</f>
        <v>0</v>
      </c>
      <c r="K433" s="166">
        <f>SUM(K428,K432)</f>
        <v>0</v>
      </c>
      <c r="L433" s="166">
        <f>SUM(L428,L432)</f>
        <v>0</v>
      </c>
      <c r="M433" s="225">
        <f t="shared" si="270"/>
        <v>0</v>
      </c>
      <c r="N433" s="166">
        <f>SUM(N428,N432)</f>
        <v>0</v>
      </c>
      <c r="O433" s="166">
        <f>SUM(O428,O432)</f>
        <v>0</v>
      </c>
      <c r="P433" s="166">
        <f>SUM(P428,P432)</f>
        <v>0</v>
      </c>
      <c r="Q433" s="225">
        <f t="shared" si="271"/>
        <v>0</v>
      </c>
      <c r="R433" s="166">
        <f>SUM(R428,R432)</f>
        <v>0</v>
      </c>
      <c r="S433" s="166">
        <f>SUM(S428,S432)</f>
        <v>0</v>
      </c>
      <c r="T433" s="166">
        <f>SUM(T428,T432)</f>
        <v>0</v>
      </c>
      <c r="U433" s="225">
        <f t="shared" si="272"/>
        <v>0</v>
      </c>
      <c r="V433" s="166">
        <f>SUM(V428,V432)</f>
        <v>0</v>
      </c>
      <c r="W433" s="166">
        <f>SUM(W428,W432)</f>
        <v>0</v>
      </c>
      <c r="X433" s="166">
        <f>SUM(X428,X432)</f>
        <v>0</v>
      </c>
      <c r="Y433" s="225">
        <f t="shared" si="273"/>
        <v>0</v>
      </c>
    </row>
    <row r="434" spans="1:25" ht="12.75" hidden="1" customHeight="1" outlineLevel="2" x14ac:dyDescent="0.2">
      <c r="A434" s="198" t="str">
        <f>"         "&amp;Labels!B393</f>
        <v xml:space="preserve">         Manager</v>
      </c>
      <c r="B434" s="262">
        <f t="shared" ref="B434:D436" si="274">SUM(B426,B430)</f>
        <v>0</v>
      </c>
      <c r="C434" s="262">
        <f t="shared" si="274"/>
        <v>0</v>
      </c>
      <c r="D434" s="262">
        <f t="shared" si="274"/>
        <v>0</v>
      </c>
      <c r="E434" s="217">
        <f t="shared" si="268"/>
        <v>0</v>
      </c>
      <c r="F434" s="262">
        <f t="shared" ref="F434:H436" si="275">SUM(F426,F430)</f>
        <v>0</v>
      </c>
      <c r="G434" s="262">
        <f t="shared" si="275"/>
        <v>0</v>
      </c>
      <c r="H434" s="262">
        <f t="shared" si="275"/>
        <v>0</v>
      </c>
      <c r="I434" s="217">
        <f t="shared" si="269"/>
        <v>0</v>
      </c>
      <c r="J434" s="262">
        <f t="shared" ref="J434:L436" si="276">SUM(J426,J430)</f>
        <v>0</v>
      </c>
      <c r="K434" s="262">
        <f t="shared" si="276"/>
        <v>0</v>
      </c>
      <c r="L434" s="262">
        <f t="shared" si="276"/>
        <v>0</v>
      </c>
      <c r="M434" s="217">
        <f t="shared" si="270"/>
        <v>0</v>
      </c>
      <c r="N434" s="262">
        <f t="shared" ref="N434:P436" si="277">SUM(N426,N430)</f>
        <v>0</v>
      </c>
      <c r="O434" s="262">
        <f t="shared" si="277"/>
        <v>0</v>
      </c>
      <c r="P434" s="262">
        <f t="shared" si="277"/>
        <v>0</v>
      </c>
      <c r="Q434" s="217">
        <f t="shared" si="271"/>
        <v>0</v>
      </c>
      <c r="R434" s="262">
        <f t="shared" ref="R434:T436" si="278">SUM(R426,R430)</f>
        <v>0</v>
      </c>
      <c r="S434" s="262">
        <f t="shared" si="278"/>
        <v>0</v>
      </c>
      <c r="T434" s="262">
        <f t="shared" si="278"/>
        <v>0</v>
      </c>
      <c r="U434" s="217">
        <f t="shared" si="272"/>
        <v>0</v>
      </c>
      <c r="V434" s="262">
        <f t="shared" ref="V434:X436" si="279">SUM(V426,V430)</f>
        <v>0</v>
      </c>
      <c r="W434" s="262">
        <f t="shared" si="279"/>
        <v>0</v>
      </c>
      <c r="X434" s="262">
        <f t="shared" si="279"/>
        <v>0</v>
      </c>
      <c r="Y434" s="217">
        <f t="shared" si="273"/>
        <v>0</v>
      </c>
    </row>
    <row r="435" spans="1:25" ht="12.75" hidden="1" customHeight="1" outlineLevel="2" x14ac:dyDescent="0.2">
      <c r="A435" s="198" t="str">
        <f>"         "&amp;Labels!B394</f>
        <v xml:space="preserve">         Contributor</v>
      </c>
      <c r="B435" s="262">
        <f t="shared" si="274"/>
        <v>0</v>
      </c>
      <c r="C435" s="262">
        <f t="shared" si="274"/>
        <v>0</v>
      </c>
      <c r="D435" s="262">
        <f t="shared" si="274"/>
        <v>0</v>
      </c>
      <c r="E435" s="217">
        <f t="shared" si="268"/>
        <v>0</v>
      </c>
      <c r="F435" s="262">
        <f t="shared" si="275"/>
        <v>0</v>
      </c>
      <c r="G435" s="262">
        <f t="shared" si="275"/>
        <v>0</v>
      </c>
      <c r="H435" s="262">
        <f t="shared" si="275"/>
        <v>0</v>
      </c>
      <c r="I435" s="217">
        <f t="shared" si="269"/>
        <v>0</v>
      </c>
      <c r="J435" s="262">
        <f t="shared" si="276"/>
        <v>0</v>
      </c>
      <c r="K435" s="262">
        <f t="shared" si="276"/>
        <v>0</v>
      </c>
      <c r="L435" s="262">
        <f t="shared" si="276"/>
        <v>0</v>
      </c>
      <c r="M435" s="217">
        <f t="shared" si="270"/>
        <v>0</v>
      </c>
      <c r="N435" s="262">
        <f t="shared" si="277"/>
        <v>0</v>
      </c>
      <c r="O435" s="262">
        <f t="shared" si="277"/>
        <v>0</v>
      </c>
      <c r="P435" s="262">
        <f t="shared" si="277"/>
        <v>0</v>
      </c>
      <c r="Q435" s="217">
        <f t="shared" si="271"/>
        <v>0</v>
      </c>
      <c r="R435" s="262">
        <f t="shared" si="278"/>
        <v>0</v>
      </c>
      <c r="S435" s="262">
        <f t="shared" si="278"/>
        <v>0</v>
      </c>
      <c r="T435" s="262">
        <f t="shared" si="278"/>
        <v>0</v>
      </c>
      <c r="U435" s="217">
        <f t="shared" si="272"/>
        <v>0</v>
      </c>
      <c r="V435" s="262">
        <f t="shared" si="279"/>
        <v>0</v>
      </c>
      <c r="W435" s="262">
        <f t="shared" si="279"/>
        <v>0</v>
      </c>
      <c r="X435" s="262">
        <f t="shared" si="279"/>
        <v>0</v>
      </c>
      <c r="Y435" s="217">
        <f t="shared" si="273"/>
        <v>0</v>
      </c>
    </row>
    <row r="436" spans="1:25" ht="12.75" hidden="1" customHeight="1" outlineLevel="2" x14ac:dyDescent="0.2">
      <c r="A436" s="198" t="str">
        <f>"         "&amp;Labels!C392</f>
        <v xml:space="preserve">         Total</v>
      </c>
      <c r="B436" s="237">
        <f t="shared" si="274"/>
        <v>0</v>
      </c>
      <c r="C436" s="237">
        <f t="shared" si="274"/>
        <v>0</v>
      </c>
      <c r="D436" s="237">
        <f t="shared" si="274"/>
        <v>0</v>
      </c>
      <c r="E436" s="238">
        <f>AVERAGE(B433:D433)</f>
        <v>0</v>
      </c>
      <c r="F436" s="237">
        <f t="shared" si="275"/>
        <v>0</v>
      </c>
      <c r="G436" s="237">
        <f t="shared" si="275"/>
        <v>0</v>
      </c>
      <c r="H436" s="237">
        <f t="shared" si="275"/>
        <v>0</v>
      </c>
      <c r="I436" s="238">
        <f>AVERAGE(F433:H433)</f>
        <v>0</v>
      </c>
      <c r="J436" s="237">
        <f t="shared" si="276"/>
        <v>0</v>
      </c>
      <c r="K436" s="237">
        <f t="shared" si="276"/>
        <v>0</v>
      </c>
      <c r="L436" s="237">
        <f t="shared" si="276"/>
        <v>0</v>
      </c>
      <c r="M436" s="238">
        <f>AVERAGE(J433:L433)</f>
        <v>0</v>
      </c>
      <c r="N436" s="237">
        <f t="shared" si="277"/>
        <v>0</v>
      </c>
      <c r="O436" s="237">
        <f t="shared" si="277"/>
        <v>0</v>
      </c>
      <c r="P436" s="237">
        <f t="shared" si="277"/>
        <v>0</v>
      </c>
      <c r="Q436" s="238">
        <f>AVERAGE(N433:P433)</f>
        <v>0</v>
      </c>
      <c r="R436" s="237">
        <f t="shared" si="278"/>
        <v>0</v>
      </c>
      <c r="S436" s="237">
        <f t="shared" si="278"/>
        <v>0</v>
      </c>
      <c r="T436" s="237">
        <f t="shared" si="278"/>
        <v>0</v>
      </c>
      <c r="U436" s="238">
        <f>AVERAGE(R433:T433)</f>
        <v>0</v>
      </c>
      <c r="V436" s="237">
        <f t="shared" si="279"/>
        <v>0</v>
      </c>
      <c r="W436" s="237">
        <f t="shared" si="279"/>
        <v>0</v>
      </c>
      <c r="X436" s="237">
        <f t="shared" si="279"/>
        <v>0</v>
      </c>
      <c r="Y436" s="238">
        <f>AVERAGE(V433:X433)</f>
        <v>0</v>
      </c>
    </row>
    <row r="437" spans="1:25" ht="12.75" hidden="1" customHeight="1" outlineLevel="2" x14ac:dyDescent="0.2">
      <c r="A437" s="188" t="str">
        <f>"   "&amp;Labels!B382</f>
        <v xml:space="preserve">   Practice 2</v>
      </c>
      <c r="B437" s="166"/>
      <c r="C437" s="166"/>
      <c r="D437" s="166"/>
      <c r="E437" s="225"/>
      <c r="F437" s="166"/>
      <c r="G437" s="166"/>
      <c r="H437" s="166"/>
      <c r="I437" s="225"/>
      <c r="J437" s="166"/>
      <c r="K437" s="166"/>
      <c r="L437" s="166"/>
      <c r="M437" s="225"/>
      <c r="N437" s="166"/>
      <c r="O437" s="166"/>
      <c r="P437" s="166"/>
      <c r="Q437" s="225"/>
      <c r="R437" s="166"/>
      <c r="S437" s="166"/>
      <c r="T437" s="166"/>
      <c r="U437" s="225"/>
      <c r="V437" s="166"/>
      <c r="W437" s="166"/>
      <c r="X437" s="166"/>
      <c r="Y437" s="225"/>
    </row>
    <row r="438" spans="1:25" ht="12.75" hidden="1" customHeight="1" outlineLevel="2" x14ac:dyDescent="0.2">
      <c r="A438" s="198" t="str">
        <f>"      "&amp;Labels!B321</f>
        <v xml:space="preserve">      Marketing</v>
      </c>
      <c r="B438" s="237"/>
      <c r="C438" s="237"/>
      <c r="D438" s="237"/>
      <c r="E438" s="238"/>
      <c r="F438" s="237"/>
      <c r="G438" s="237"/>
      <c r="H438" s="237"/>
      <c r="I438" s="238"/>
      <c r="J438" s="237"/>
      <c r="K438" s="237"/>
      <c r="L438" s="237"/>
      <c r="M438" s="238"/>
      <c r="N438" s="237"/>
      <c r="O438" s="237"/>
      <c r="P438" s="237"/>
      <c r="Q438" s="238"/>
      <c r="R438" s="237"/>
      <c r="S438" s="237"/>
      <c r="T438" s="237"/>
      <c r="U438" s="238"/>
      <c r="V438" s="237"/>
      <c r="W438" s="237"/>
      <c r="X438" s="237"/>
      <c r="Y438" s="238"/>
    </row>
    <row r="439" spans="1:25" ht="12.75" hidden="1" customHeight="1" outlineLevel="2" x14ac:dyDescent="0.2">
      <c r="A439" s="198" t="str">
        <f>"         "&amp;Labels!B393</f>
        <v xml:space="preserve">         Manager</v>
      </c>
      <c r="B439" s="262">
        <f>Inputs!F295</f>
        <v>0</v>
      </c>
      <c r="C439" s="262">
        <f>Inputs!G295</f>
        <v>0</v>
      </c>
      <c r="D439" s="262">
        <f>Inputs!H295</f>
        <v>0</v>
      </c>
      <c r="E439" s="217">
        <f>AVERAGE(B439:D439)</f>
        <v>0</v>
      </c>
      <c r="F439" s="262">
        <f>Inputs!I295</f>
        <v>0</v>
      </c>
      <c r="G439" s="262">
        <f>Inputs!J295</f>
        <v>0</v>
      </c>
      <c r="H439" s="262">
        <f>Inputs!K295</f>
        <v>0</v>
      </c>
      <c r="I439" s="217">
        <f>AVERAGE(F439:H439)</f>
        <v>0</v>
      </c>
      <c r="J439" s="262">
        <f>Inputs!L295</f>
        <v>0</v>
      </c>
      <c r="K439" s="262">
        <f>Inputs!M295</f>
        <v>0</v>
      </c>
      <c r="L439" s="262">
        <f>Inputs!N295</f>
        <v>0</v>
      </c>
      <c r="M439" s="217">
        <f>AVERAGE(J439:L439)</f>
        <v>0</v>
      </c>
      <c r="N439" s="262">
        <f>Inputs!O295</f>
        <v>0</v>
      </c>
      <c r="O439" s="262">
        <f>Inputs!P295</f>
        <v>0</v>
      </c>
      <c r="P439" s="262">
        <f>Inputs!Q295</f>
        <v>0</v>
      </c>
      <c r="Q439" s="217">
        <f>AVERAGE(N439:P439)</f>
        <v>0</v>
      </c>
      <c r="R439" s="262">
        <f>Inputs!R295</f>
        <v>0</v>
      </c>
      <c r="S439" s="262">
        <f>Inputs!S295</f>
        <v>0</v>
      </c>
      <c r="T439" s="262">
        <f>Inputs!T295</f>
        <v>0</v>
      </c>
      <c r="U439" s="217">
        <f>AVERAGE(R439:T439)</f>
        <v>0</v>
      </c>
      <c r="V439" s="262">
        <f>Inputs!U295</f>
        <v>0</v>
      </c>
      <c r="W439" s="262">
        <f>Inputs!V295</f>
        <v>0</v>
      </c>
      <c r="X439" s="262">
        <f>Inputs!W295</f>
        <v>0</v>
      </c>
      <c r="Y439" s="217">
        <f>AVERAGE(V439:X439)</f>
        <v>0</v>
      </c>
    </row>
    <row r="440" spans="1:25" ht="12.75" hidden="1" customHeight="1" outlineLevel="2" x14ac:dyDescent="0.2">
      <c r="A440" s="198" t="str">
        <f>"         "&amp;Labels!B394</f>
        <v xml:space="preserve">         Contributor</v>
      </c>
      <c r="B440" s="262">
        <f>Inputs!F296</f>
        <v>0</v>
      </c>
      <c r="C440" s="262">
        <f>Inputs!G296</f>
        <v>0</v>
      </c>
      <c r="D440" s="262">
        <f>Inputs!H296</f>
        <v>0</v>
      </c>
      <c r="E440" s="217">
        <f>AVERAGE(B440:D440)</f>
        <v>0</v>
      </c>
      <c r="F440" s="262">
        <f>Inputs!I296</f>
        <v>0</v>
      </c>
      <c r="G440" s="262">
        <f>Inputs!J296</f>
        <v>0</v>
      </c>
      <c r="H440" s="262">
        <f>Inputs!K296</f>
        <v>0</v>
      </c>
      <c r="I440" s="217">
        <f>AVERAGE(F440:H440)</f>
        <v>0</v>
      </c>
      <c r="J440" s="262">
        <f>Inputs!L296</f>
        <v>0</v>
      </c>
      <c r="K440" s="262">
        <f>Inputs!M296</f>
        <v>0</v>
      </c>
      <c r="L440" s="262">
        <f>Inputs!N296</f>
        <v>0</v>
      </c>
      <c r="M440" s="217">
        <f>AVERAGE(J440:L440)</f>
        <v>0</v>
      </c>
      <c r="N440" s="262">
        <f>Inputs!O296</f>
        <v>0</v>
      </c>
      <c r="O440" s="262">
        <f>Inputs!P296</f>
        <v>0</v>
      </c>
      <c r="P440" s="262">
        <f>Inputs!Q296</f>
        <v>0</v>
      </c>
      <c r="Q440" s="217">
        <f>AVERAGE(N440:P440)</f>
        <v>0</v>
      </c>
      <c r="R440" s="262">
        <f>Inputs!R296</f>
        <v>0</v>
      </c>
      <c r="S440" s="262">
        <f>Inputs!S296</f>
        <v>0</v>
      </c>
      <c r="T440" s="262">
        <f>Inputs!T296</f>
        <v>0</v>
      </c>
      <c r="U440" s="217">
        <f>AVERAGE(R440:T440)</f>
        <v>0</v>
      </c>
      <c r="V440" s="262">
        <f>Inputs!U296</f>
        <v>0</v>
      </c>
      <c r="W440" s="262">
        <f>Inputs!V296</f>
        <v>0</v>
      </c>
      <c r="X440" s="262">
        <f>Inputs!W296</f>
        <v>0</v>
      </c>
      <c r="Y440" s="217">
        <f>AVERAGE(V440:X440)</f>
        <v>0</v>
      </c>
    </row>
    <row r="441" spans="1:25" ht="12.75" hidden="1" customHeight="1" outlineLevel="2" x14ac:dyDescent="0.2">
      <c r="A441" s="198" t="str">
        <f>"         "&amp;Labels!C392</f>
        <v xml:space="preserve">         Total</v>
      </c>
      <c r="B441" s="237">
        <f>SUM(B439:B440)</f>
        <v>0</v>
      </c>
      <c r="C441" s="237">
        <f>SUM(C439:C440)</f>
        <v>0</v>
      </c>
      <c r="D441" s="237">
        <f>SUM(D439:D440)</f>
        <v>0</v>
      </c>
      <c r="E441" s="238">
        <f>AVERAGE(B441:D441)</f>
        <v>0</v>
      </c>
      <c r="F441" s="237">
        <f>SUM(F439:F440)</f>
        <v>0</v>
      </c>
      <c r="G441" s="237">
        <f>SUM(G439:G440)</f>
        <v>0</v>
      </c>
      <c r="H441" s="237">
        <f>SUM(H439:H440)</f>
        <v>0</v>
      </c>
      <c r="I441" s="238">
        <f>AVERAGE(F441:H441)</f>
        <v>0</v>
      </c>
      <c r="J441" s="237">
        <f>SUM(J439:J440)</f>
        <v>0</v>
      </c>
      <c r="K441" s="237">
        <f>SUM(K439:K440)</f>
        <v>0</v>
      </c>
      <c r="L441" s="237">
        <f>SUM(L439:L440)</f>
        <v>0</v>
      </c>
      <c r="M441" s="238">
        <f>AVERAGE(J441:L441)</f>
        <v>0</v>
      </c>
      <c r="N441" s="237">
        <f>SUM(N439:N440)</f>
        <v>0</v>
      </c>
      <c r="O441" s="237">
        <f>SUM(O439:O440)</f>
        <v>0</v>
      </c>
      <c r="P441" s="237">
        <f>SUM(P439:P440)</f>
        <v>0</v>
      </c>
      <c r="Q441" s="238">
        <f>AVERAGE(N441:P441)</f>
        <v>0</v>
      </c>
      <c r="R441" s="237">
        <f>SUM(R439:R440)</f>
        <v>0</v>
      </c>
      <c r="S441" s="237">
        <f>SUM(S439:S440)</f>
        <v>0</v>
      </c>
      <c r="T441" s="237">
        <f>SUM(T439:T440)</f>
        <v>0</v>
      </c>
      <c r="U441" s="238">
        <f>AVERAGE(R441:T441)</f>
        <v>0</v>
      </c>
      <c r="V441" s="237">
        <f>SUM(V439:V440)</f>
        <v>0</v>
      </c>
      <c r="W441" s="237">
        <f>SUM(W439:W440)</f>
        <v>0</v>
      </c>
      <c r="X441" s="237">
        <f>SUM(X439:X440)</f>
        <v>0</v>
      </c>
      <c r="Y441" s="238">
        <f>AVERAGE(V441:X441)</f>
        <v>0</v>
      </c>
    </row>
    <row r="442" spans="1:25" ht="12.75" hidden="1" customHeight="1" outlineLevel="2" x14ac:dyDescent="0.2">
      <c r="A442" s="198" t="str">
        <f>"      "&amp;Labels!B322</f>
        <v xml:space="preserve">      Sales</v>
      </c>
      <c r="B442" s="237"/>
      <c r="C442" s="237"/>
      <c r="D442" s="237"/>
      <c r="E442" s="238"/>
      <c r="F442" s="237"/>
      <c r="G442" s="237"/>
      <c r="H442" s="237"/>
      <c r="I442" s="238"/>
      <c r="J442" s="237"/>
      <c r="K442" s="237"/>
      <c r="L442" s="237"/>
      <c r="M442" s="238"/>
      <c r="N442" s="237"/>
      <c r="O442" s="237"/>
      <c r="P442" s="237"/>
      <c r="Q442" s="238"/>
      <c r="R442" s="237"/>
      <c r="S442" s="237"/>
      <c r="T442" s="237"/>
      <c r="U442" s="238"/>
      <c r="V442" s="237"/>
      <c r="W442" s="237"/>
      <c r="X442" s="237"/>
      <c r="Y442" s="238"/>
    </row>
    <row r="443" spans="1:25" ht="12.75" hidden="1" customHeight="1" outlineLevel="2" x14ac:dyDescent="0.2">
      <c r="A443" s="198" t="str">
        <f>"         "&amp;Labels!B393</f>
        <v xml:space="preserve">         Manager</v>
      </c>
      <c r="B443" s="262">
        <f>Inputs!F297</f>
        <v>0</v>
      </c>
      <c r="C443" s="262">
        <f>Inputs!G297</f>
        <v>0</v>
      </c>
      <c r="D443" s="262">
        <f>Inputs!H297</f>
        <v>0</v>
      </c>
      <c r="E443" s="217">
        <f t="shared" ref="E443:E448" si="280">AVERAGE(B443:D443)</f>
        <v>0</v>
      </c>
      <c r="F443" s="262">
        <f>Inputs!I297</f>
        <v>0</v>
      </c>
      <c r="G443" s="262">
        <f>Inputs!J297</f>
        <v>0</v>
      </c>
      <c r="H443" s="262">
        <f>Inputs!K297</f>
        <v>0</v>
      </c>
      <c r="I443" s="217">
        <f t="shared" ref="I443:I448" si="281">AVERAGE(F443:H443)</f>
        <v>0</v>
      </c>
      <c r="J443" s="262">
        <f>Inputs!L297</f>
        <v>0</v>
      </c>
      <c r="K443" s="262">
        <f>Inputs!M297</f>
        <v>0</v>
      </c>
      <c r="L443" s="262">
        <f>Inputs!N297</f>
        <v>0</v>
      </c>
      <c r="M443" s="217">
        <f t="shared" ref="M443:M448" si="282">AVERAGE(J443:L443)</f>
        <v>0</v>
      </c>
      <c r="N443" s="262">
        <f>Inputs!O297</f>
        <v>0</v>
      </c>
      <c r="O443" s="262">
        <f>Inputs!P297</f>
        <v>0</v>
      </c>
      <c r="P443" s="262">
        <f>Inputs!Q297</f>
        <v>0</v>
      </c>
      <c r="Q443" s="217">
        <f t="shared" ref="Q443:Q448" si="283">AVERAGE(N443:P443)</f>
        <v>0</v>
      </c>
      <c r="R443" s="262">
        <f>Inputs!R297</f>
        <v>0</v>
      </c>
      <c r="S443" s="262">
        <f>Inputs!S297</f>
        <v>0</v>
      </c>
      <c r="T443" s="262">
        <f>Inputs!T297</f>
        <v>0</v>
      </c>
      <c r="U443" s="217">
        <f t="shared" ref="U443:U448" si="284">AVERAGE(R443:T443)</f>
        <v>0</v>
      </c>
      <c r="V443" s="262">
        <f>Inputs!U297</f>
        <v>0</v>
      </c>
      <c r="W443" s="262">
        <f>Inputs!V297</f>
        <v>0</v>
      </c>
      <c r="X443" s="262">
        <f>Inputs!W297</f>
        <v>0</v>
      </c>
      <c r="Y443" s="217">
        <f t="shared" ref="Y443:Y448" si="285">AVERAGE(V443:X443)</f>
        <v>0</v>
      </c>
    </row>
    <row r="444" spans="1:25" ht="12.75" hidden="1" customHeight="1" outlineLevel="2" x14ac:dyDescent="0.2">
      <c r="A444" s="198" t="str">
        <f>"         "&amp;Labels!B394</f>
        <v xml:space="preserve">         Contributor</v>
      </c>
      <c r="B444" s="262">
        <f>Inputs!F298</f>
        <v>0</v>
      </c>
      <c r="C444" s="262">
        <f>Inputs!G298</f>
        <v>0</v>
      </c>
      <c r="D444" s="262">
        <f>Inputs!H298</f>
        <v>0</v>
      </c>
      <c r="E444" s="217">
        <f t="shared" si="280"/>
        <v>0</v>
      </c>
      <c r="F444" s="262">
        <f>Inputs!I298</f>
        <v>0</v>
      </c>
      <c r="G444" s="262">
        <f>Inputs!J298</f>
        <v>0</v>
      </c>
      <c r="H444" s="262">
        <f>Inputs!K298</f>
        <v>0</v>
      </c>
      <c r="I444" s="217">
        <f t="shared" si="281"/>
        <v>0</v>
      </c>
      <c r="J444" s="262">
        <f>Inputs!L298</f>
        <v>0</v>
      </c>
      <c r="K444" s="262">
        <f>Inputs!M298</f>
        <v>0</v>
      </c>
      <c r="L444" s="262">
        <f>Inputs!N298</f>
        <v>0</v>
      </c>
      <c r="M444" s="217">
        <f t="shared" si="282"/>
        <v>0</v>
      </c>
      <c r="N444" s="262">
        <f>Inputs!O298</f>
        <v>0</v>
      </c>
      <c r="O444" s="262">
        <f>Inputs!P298</f>
        <v>0</v>
      </c>
      <c r="P444" s="262">
        <f>Inputs!Q298</f>
        <v>0</v>
      </c>
      <c r="Q444" s="217">
        <f t="shared" si="283"/>
        <v>0</v>
      </c>
      <c r="R444" s="262">
        <f>Inputs!R298</f>
        <v>0</v>
      </c>
      <c r="S444" s="262">
        <f>Inputs!S298</f>
        <v>0</v>
      </c>
      <c r="T444" s="262">
        <f>Inputs!T298</f>
        <v>0</v>
      </c>
      <c r="U444" s="217">
        <f t="shared" si="284"/>
        <v>0</v>
      </c>
      <c r="V444" s="262">
        <f>Inputs!U298</f>
        <v>0</v>
      </c>
      <c r="W444" s="262">
        <f>Inputs!V298</f>
        <v>0</v>
      </c>
      <c r="X444" s="262">
        <f>Inputs!W298</f>
        <v>0</v>
      </c>
      <c r="Y444" s="217">
        <f t="shared" si="285"/>
        <v>0</v>
      </c>
    </row>
    <row r="445" spans="1:25" ht="12.75" hidden="1" customHeight="1" outlineLevel="2" x14ac:dyDescent="0.2">
      <c r="A445" s="198" t="str">
        <f>"         "&amp;Labels!C392</f>
        <v xml:space="preserve">         Total</v>
      </c>
      <c r="B445" s="237">
        <f>SUM(B443:B444)</f>
        <v>0</v>
      </c>
      <c r="C445" s="237">
        <f>SUM(C443:C444)</f>
        <v>0</v>
      </c>
      <c r="D445" s="237">
        <f>SUM(D443:D444)</f>
        <v>0</v>
      </c>
      <c r="E445" s="238">
        <f t="shared" si="280"/>
        <v>0</v>
      </c>
      <c r="F445" s="237">
        <f>SUM(F443:F444)</f>
        <v>0</v>
      </c>
      <c r="G445" s="237">
        <f>SUM(G443:G444)</f>
        <v>0</v>
      </c>
      <c r="H445" s="237">
        <f>SUM(H443:H444)</f>
        <v>0</v>
      </c>
      <c r="I445" s="238">
        <f t="shared" si="281"/>
        <v>0</v>
      </c>
      <c r="J445" s="237">
        <f>SUM(J443:J444)</f>
        <v>0</v>
      </c>
      <c r="K445" s="237">
        <f>SUM(K443:K444)</f>
        <v>0</v>
      </c>
      <c r="L445" s="237">
        <f>SUM(L443:L444)</f>
        <v>0</v>
      </c>
      <c r="M445" s="238">
        <f t="shared" si="282"/>
        <v>0</v>
      </c>
      <c r="N445" s="237">
        <f>SUM(N443:N444)</f>
        <v>0</v>
      </c>
      <c r="O445" s="237">
        <f>SUM(O443:O444)</f>
        <v>0</v>
      </c>
      <c r="P445" s="237">
        <f>SUM(P443:P444)</f>
        <v>0</v>
      </c>
      <c r="Q445" s="238">
        <f t="shared" si="283"/>
        <v>0</v>
      </c>
      <c r="R445" s="237">
        <f>SUM(R443:R444)</f>
        <v>0</v>
      </c>
      <c r="S445" s="237">
        <f>SUM(S443:S444)</f>
        <v>0</v>
      </c>
      <c r="T445" s="237">
        <f>SUM(T443:T444)</f>
        <v>0</v>
      </c>
      <c r="U445" s="238">
        <f t="shared" si="284"/>
        <v>0</v>
      </c>
      <c r="V445" s="237">
        <f>SUM(V443:V444)</f>
        <v>0</v>
      </c>
      <c r="W445" s="237">
        <f>SUM(W443:W444)</f>
        <v>0</v>
      </c>
      <c r="X445" s="237">
        <f>SUM(X443:X444)</f>
        <v>0</v>
      </c>
      <c r="Y445" s="238">
        <f t="shared" si="285"/>
        <v>0</v>
      </c>
    </row>
    <row r="446" spans="1:25" ht="12.75" hidden="1" customHeight="1" outlineLevel="2" x14ac:dyDescent="0.2">
      <c r="A446" s="188" t="str">
        <f>"      "&amp;Labels!C320</f>
        <v xml:space="preserve">      Total</v>
      </c>
      <c r="B446" s="166">
        <f>SUM(B441,B445)</f>
        <v>0</v>
      </c>
      <c r="C446" s="166">
        <f>SUM(C441,C445)</f>
        <v>0</v>
      </c>
      <c r="D446" s="166">
        <f>SUM(D441,D445)</f>
        <v>0</v>
      </c>
      <c r="E446" s="225">
        <f t="shared" si="280"/>
        <v>0</v>
      </c>
      <c r="F446" s="166">
        <f>SUM(F441,F445)</f>
        <v>0</v>
      </c>
      <c r="G446" s="166">
        <f>SUM(G441,G445)</f>
        <v>0</v>
      </c>
      <c r="H446" s="166">
        <f>SUM(H441,H445)</f>
        <v>0</v>
      </c>
      <c r="I446" s="225">
        <f t="shared" si="281"/>
        <v>0</v>
      </c>
      <c r="J446" s="166">
        <f>SUM(J441,J445)</f>
        <v>0</v>
      </c>
      <c r="K446" s="166">
        <f>SUM(K441,K445)</f>
        <v>0</v>
      </c>
      <c r="L446" s="166">
        <f>SUM(L441,L445)</f>
        <v>0</v>
      </c>
      <c r="M446" s="225">
        <f t="shared" si="282"/>
        <v>0</v>
      </c>
      <c r="N446" s="166">
        <f>SUM(N441,N445)</f>
        <v>0</v>
      </c>
      <c r="O446" s="166">
        <f>SUM(O441,O445)</f>
        <v>0</v>
      </c>
      <c r="P446" s="166">
        <f>SUM(P441,P445)</f>
        <v>0</v>
      </c>
      <c r="Q446" s="225">
        <f t="shared" si="283"/>
        <v>0</v>
      </c>
      <c r="R446" s="166">
        <f>SUM(R441,R445)</f>
        <v>0</v>
      </c>
      <c r="S446" s="166">
        <f>SUM(S441,S445)</f>
        <v>0</v>
      </c>
      <c r="T446" s="166">
        <f>SUM(T441,T445)</f>
        <v>0</v>
      </c>
      <c r="U446" s="225">
        <f t="shared" si="284"/>
        <v>0</v>
      </c>
      <c r="V446" s="166">
        <f>SUM(V441,V445)</f>
        <v>0</v>
      </c>
      <c r="W446" s="166">
        <f>SUM(W441,W445)</f>
        <v>0</v>
      </c>
      <c r="X446" s="166">
        <f>SUM(X441,X445)</f>
        <v>0</v>
      </c>
      <c r="Y446" s="225">
        <f t="shared" si="285"/>
        <v>0</v>
      </c>
    </row>
    <row r="447" spans="1:25" ht="12.75" hidden="1" customHeight="1" outlineLevel="2" x14ac:dyDescent="0.2">
      <c r="A447" s="198" t="str">
        <f>"         "&amp;Labels!B393</f>
        <v xml:space="preserve">         Manager</v>
      </c>
      <c r="B447" s="262">
        <f t="shared" ref="B447:D449" si="286">SUM(B439,B443)</f>
        <v>0</v>
      </c>
      <c r="C447" s="262">
        <f t="shared" si="286"/>
        <v>0</v>
      </c>
      <c r="D447" s="262">
        <f t="shared" si="286"/>
        <v>0</v>
      </c>
      <c r="E447" s="217">
        <f t="shared" si="280"/>
        <v>0</v>
      </c>
      <c r="F447" s="262">
        <f t="shared" ref="F447:H449" si="287">SUM(F439,F443)</f>
        <v>0</v>
      </c>
      <c r="G447" s="262">
        <f t="shared" si="287"/>
        <v>0</v>
      </c>
      <c r="H447" s="262">
        <f t="shared" si="287"/>
        <v>0</v>
      </c>
      <c r="I447" s="217">
        <f t="shared" si="281"/>
        <v>0</v>
      </c>
      <c r="J447" s="262">
        <f t="shared" ref="J447:L449" si="288">SUM(J439,J443)</f>
        <v>0</v>
      </c>
      <c r="K447" s="262">
        <f t="shared" si="288"/>
        <v>0</v>
      </c>
      <c r="L447" s="262">
        <f t="shared" si="288"/>
        <v>0</v>
      </c>
      <c r="M447" s="217">
        <f t="shared" si="282"/>
        <v>0</v>
      </c>
      <c r="N447" s="262">
        <f t="shared" ref="N447:P449" si="289">SUM(N439,N443)</f>
        <v>0</v>
      </c>
      <c r="O447" s="262">
        <f t="shared" si="289"/>
        <v>0</v>
      </c>
      <c r="P447" s="262">
        <f t="shared" si="289"/>
        <v>0</v>
      </c>
      <c r="Q447" s="217">
        <f t="shared" si="283"/>
        <v>0</v>
      </c>
      <c r="R447" s="262">
        <f t="shared" ref="R447:T449" si="290">SUM(R439,R443)</f>
        <v>0</v>
      </c>
      <c r="S447" s="262">
        <f t="shared" si="290"/>
        <v>0</v>
      </c>
      <c r="T447" s="262">
        <f t="shared" si="290"/>
        <v>0</v>
      </c>
      <c r="U447" s="217">
        <f t="shared" si="284"/>
        <v>0</v>
      </c>
      <c r="V447" s="262">
        <f t="shared" ref="V447:X449" si="291">SUM(V439,V443)</f>
        <v>0</v>
      </c>
      <c r="W447" s="262">
        <f t="shared" si="291"/>
        <v>0</v>
      </c>
      <c r="X447" s="262">
        <f t="shared" si="291"/>
        <v>0</v>
      </c>
      <c r="Y447" s="217">
        <f t="shared" si="285"/>
        <v>0</v>
      </c>
    </row>
    <row r="448" spans="1:25" ht="12.75" hidden="1" customHeight="1" outlineLevel="2" x14ac:dyDescent="0.2">
      <c r="A448" s="198" t="str">
        <f>"         "&amp;Labels!B394</f>
        <v xml:space="preserve">         Contributor</v>
      </c>
      <c r="B448" s="262">
        <f t="shared" si="286"/>
        <v>0</v>
      </c>
      <c r="C448" s="262">
        <f t="shared" si="286"/>
        <v>0</v>
      </c>
      <c r="D448" s="262">
        <f t="shared" si="286"/>
        <v>0</v>
      </c>
      <c r="E448" s="217">
        <f t="shared" si="280"/>
        <v>0</v>
      </c>
      <c r="F448" s="262">
        <f t="shared" si="287"/>
        <v>0</v>
      </c>
      <c r="G448" s="262">
        <f t="shared" si="287"/>
        <v>0</v>
      </c>
      <c r="H448" s="262">
        <f t="shared" si="287"/>
        <v>0</v>
      </c>
      <c r="I448" s="217">
        <f t="shared" si="281"/>
        <v>0</v>
      </c>
      <c r="J448" s="262">
        <f t="shared" si="288"/>
        <v>0</v>
      </c>
      <c r="K448" s="262">
        <f t="shared" si="288"/>
        <v>0</v>
      </c>
      <c r="L448" s="262">
        <f t="shared" si="288"/>
        <v>0</v>
      </c>
      <c r="M448" s="217">
        <f t="shared" si="282"/>
        <v>0</v>
      </c>
      <c r="N448" s="262">
        <f t="shared" si="289"/>
        <v>0</v>
      </c>
      <c r="O448" s="262">
        <f t="shared" si="289"/>
        <v>0</v>
      </c>
      <c r="P448" s="262">
        <f t="shared" si="289"/>
        <v>0</v>
      </c>
      <c r="Q448" s="217">
        <f t="shared" si="283"/>
        <v>0</v>
      </c>
      <c r="R448" s="262">
        <f t="shared" si="290"/>
        <v>0</v>
      </c>
      <c r="S448" s="262">
        <f t="shared" si="290"/>
        <v>0</v>
      </c>
      <c r="T448" s="262">
        <f t="shared" si="290"/>
        <v>0</v>
      </c>
      <c r="U448" s="217">
        <f t="shared" si="284"/>
        <v>0</v>
      </c>
      <c r="V448" s="262">
        <f t="shared" si="291"/>
        <v>0</v>
      </c>
      <c r="W448" s="262">
        <f t="shared" si="291"/>
        <v>0</v>
      </c>
      <c r="X448" s="262">
        <f t="shared" si="291"/>
        <v>0</v>
      </c>
      <c r="Y448" s="217">
        <f t="shared" si="285"/>
        <v>0</v>
      </c>
    </row>
    <row r="449" spans="1:25" ht="12.75" hidden="1" customHeight="1" outlineLevel="2" x14ac:dyDescent="0.2">
      <c r="A449" s="198" t="str">
        <f>"         "&amp;Labels!C392</f>
        <v xml:space="preserve">         Total</v>
      </c>
      <c r="B449" s="237">
        <f t="shared" si="286"/>
        <v>0</v>
      </c>
      <c r="C449" s="237">
        <f t="shared" si="286"/>
        <v>0</v>
      </c>
      <c r="D449" s="237">
        <f t="shared" si="286"/>
        <v>0</v>
      </c>
      <c r="E449" s="238">
        <f>AVERAGE(B446:D446)</f>
        <v>0</v>
      </c>
      <c r="F449" s="237">
        <f t="shared" si="287"/>
        <v>0</v>
      </c>
      <c r="G449" s="237">
        <f t="shared" si="287"/>
        <v>0</v>
      </c>
      <c r="H449" s="237">
        <f t="shared" si="287"/>
        <v>0</v>
      </c>
      <c r="I449" s="238">
        <f>AVERAGE(F446:H446)</f>
        <v>0</v>
      </c>
      <c r="J449" s="237">
        <f t="shared" si="288"/>
        <v>0</v>
      </c>
      <c r="K449" s="237">
        <f t="shared" si="288"/>
        <v>0</v>
      </c>
      <c r="L449" s="237">
        <f t="shared" si="288"/>
        <v>0</v>
      </c>
      <c r="M449" s="238">
        <f>AVERAGE(J446:L446)</f>
        <v>0</v>
      </c>
      <c r="N449" s="237">
        <f t="shared" si="289"/>
        <v>0</v>
      </c>
      <c r="O449" s="237">
        <f t="shared" si="289"/>
        <v>0</v>
      </c>
      <c r="P449" s="237">
        <f t="shared" si="289"/>
        <v>0</v>
      </c>
      <c r="Q449" s="238">
        <f>AVERAGE(N446:P446)</f>
        <v>0</v>
      </c>
      <c r="R449" s="237">
        <f t="shared" si="290"/>
        <v>0</v>
      </c>
      <c r="S449" s="237">
        <f t="shared" si="290"/>
        <v>0</v>
      </c>
      <c r="T449" s="237">
        <f t="shared" si="290"/>
        <v>0</v>
      </c>
      <c r="U449" s="238">
        <f>AVERAGE(R446:T446)</f>
        <v>0</v>
      </c>
      <c r="V449" s="237">
        <f t="shared" si="291"/>
        <v>0</v>
      </c>
      <c r="W449" s="237">
        <f t="shared" si="291"/>
        <v>0</v>
      </c>
      <c r="X449" s="237">
        <f t="shared" si="291"/>
        <v>0</v>
      </c>
      <c r="Y449" s="238">
        <f>AVERAGE(V446:X446)</f>
        <v>0</v>
      </c>
    </row>
    <row r="450" spans="1:25" ht="12.75" hidden="1" customHeight="1" outlineLevel="2" x14ac:dyDescent="0.2">
      <c r="A450" s="191" t="str">
        <f>"   "&amp;Labels!C380</f>
        <v xml:space="preserve">   Total</v>
      </c>
      <c r="B450" s="216">
        <f>SUM(B433,B446)</f>
        <v>0</v>
      </c>
      <c r="C450" s="216">
        <f>SUM(C433,C446)</f>
        <v>0</v>
      </c>
      <c r="D450" s="216">
        <f>SUM(D433,D446)</f>
        <v>0</v>
      </c>
      <c r="E450" s="217">
        <f>AVERAGE(B450:D450)</f>
        <v>0</v>
      </c>
      <c r="F450" s="216">
        <f>SUM(F433,F446)</f>
        <v>0</v>
      </c>
      <c r="G450" s="216">
        <f>SUM(G433,G446)</f>
        <v>0</v>
      </c>
      <c r="H450" s="216">
        <f>SUM(H433,H446)</f>
        <v>0</v>
      </c>
      <c r="I450" s="217">
        <f>AVERAGE(F450:H450)</f>
        <v>0</v>
      </c>
      <c r="J450" s="216">
        <f>SUM(J433,J446)</f>
        <v>0</v>
      </c>
      <c r="K450" s="216">
        <f>SUM(K433,K446)</f>
        <v>0</v>
      </c>
      <c r="L450" s="216">
        <f>SUM(L433,L446)</f>
        <v>0</v>
      </c>
      <c r="M450" s="217">
        <f>AVERAGE(J450:L450)</f>
        <v>0</v>
      </c>
      <c r="N450" s="216">
        <f>SUM(N433,N446)</f>
        <v>0</v>
      </c>
      <c r="O450" s="216">
        <f>SUM(O433,O446)</f>
        <v>0</v>
      </c>
      <c r="P450" s="216">
        <f>SUM(P433,P446)</f>
        <v>0</v>
      </c>
      <c r="Q450" s="217">
        <f>AVERAGE(N450:P450)</f>
        <v>0</v>
      </c>
      <c r="R450" s="216">
        <f>SUM(R433,R446)</f>
        <v>0</v>
      </c>
      <c r="S450" s="216">
        <f>SUM(S433,S446)</f>
        <v>0</v>
      </c>
      <c r="T450" s="216">
        <f>SUM(T433,T446)</f>
        <v>0</v>
      </c>
      <c r="U450" s="217">
        <f>AVERAGE(R450:T450)</f>
        <v>0</v>
      </c>
      <c r="V450" s="216">
        <f>SUM(V433,V446)</f>
        <v>0</v>
      </c>
      <c r="W450" s="216">
        <f>SUM(W433,W446)</f>
        <v>0</v>
      </c>
      <c r="X450" s="216">
        <f>SUM(X433,X446)</f>
        <v>0</v>
      </c>
      <c r="Y450" s="217">
        <f>AVERAGE(V450:X450)</f>
        <v>0</v>
      </c>
    </row>
    <row r="451" spans="1:25" ht="12.75" hidden="1" customHeight="1" outlineLevel="2" x14ac:dyDescent="0.2">
      <c r="A451" s="198" t="str">
        <f>"      "&amp;Labels!B321</f>
        <v xml:space="preserve">      Marketing</v>
      </c>
      <c r="B451" s="237"/>
      <c r="C451" s="237"/>
      <c r="D451" s="237"/>
      <c r="E451" s="238"/>
      <c r="F451" s="237"/>
      <c r="G451" s="237"/>
      <c r="H451" s="237"/>
      <c r="I451" s="238"/>
      <c r="J451" s="237"/>
      <c r="K451" s="237"/>
      <c r="L451" s="237"/>
      <c r="M451" s="238"/>
      <c r="N451" s="237"/>
      <c r="O451" s="237"/>
      <c r="P451" s="237"/>
      <c r="Q451" s="238"/>
      <c r="R451" s="237"/>
      <c r="S451" s="237"/>
      <c r="T451" s="237"/>
      <c r="U451" s="238"/>
      <c r="V451" s="237"/>
      <c r="W451" s="237"/>
      <c r="X451" s="237"/>
      <c r="Y451" s="238"/>
    </row>
    <row r="452" spans="1:25" ht="12.75" hidden="1" customHeight="1" outlineLevel="2" x14ac:dyDescent="0.2">
      <c r="A452" s="198" t="str">
        <f>"         "&amp;Labels!B393</f>
        <v xml:space="preserve">         Manager</v>
      </c>
      <c r="B452" s="262">
        <f t="shared" ref="B452:D454" si="292">SUM(B426,B439)</f>
        <v>0</v>
      </c>
      <c r="C452" s="262">
        <f t="shared" si="292"/>
        <v>0</v>
      </c>
      <c r="D452" s="262">
        <f t="shared" si="292"/>
        <v>0</v>
      </c>
      <c r="E452" s="217">
        <f>AVERAGE(B452:D452)</f>
        <v>0</v>
      </c>
      <c r="F452" s="262">
        <f t="shared" ref="F452:H454" si="293">SUM(F426,F439)</f>
        <v>0</v>
      </c>
      <c r="G452" s="262">
        <f t="shared" si="293"/>
        <v>0</v>
      </c>
      <c r="H452" s="262">
        <f t="shared" si="293"/>
        <v>0</v>
      </c>
      <c r="I452" s="217">
        <f>AVERAGE(F452:H452)</f>
        <v>0</v>
      </c>
      <c r="J452" s="262">
        <f t="shared" ref="J452:L454" si="294">SUM(J426,J439)</f>
        <v>0</v>
      </c>
      <c r="K452" s="262">
        <f t="shared" si="294"/>
        <v>0</v>
      </c>
      <c r="L452" s="262">
        <f t="shared" si="294"/>
        <v>0</v>
      </c>
      <c r="M452" s="217">
        <f>AVERAGE(J452:L452)</f>
        <v>0</v>
      </c>
      <c r="N452" s="262">
        <f t="shared" ref="N452:P454" si="295">SUM(N426,N439)</f>
        <v>0</v>
      </c>
      <c r="O452" s="262">
        <f t="shared" si="295"/>
        <v>0</v>
      </c>
      <c r="P452" s="262">
        <f t="shared" si="295"/>
        <v>0</v>
      </c>
      <c r="Q452" s="217">
        <f>AVERAGE(N452:P452)</f>
        <v>0</v>
      </c>
      <c r="R452" s="262">
        <f t="shared" ref="R452:T454" si="296">SUM(R426,R439)</f>
        <v>0</v>
      </c>
      <c r="S452" s="262">
        <f t="shared" si="296"/>
        <v>0</v>
      </c>
      <c r="T452" s="262">
        <f t="shared" si="296"/>
        <v>0</v>
      </c>
      <c r="U452" s="217">
        <f>AVERAGE(R452:T452)</f>
        <v>0</v>
      </c>
      <c r="V452" s="262">
        <f t="shared" ref="V452:X454" si="297">SUM(V426,V439)</f>
        <v>0</v>
      </c>
      <c r="W452" s="262">
        <f t="shared" si="297"/>
        <v>0</v>
      </c>
      <c r="X452" s="262">
        <f t="shared" si="297"/>
        <v>0</v>
      </c>
      <c r="Y452" s="217">
        <f>AVERAGE(V452:X452)</f>
        <v>0</v>
      </c>
    </row>
    <row r="453" spans="1:25" ht="12.75" hidden="1" customHeight="1" outlineLevel="2" x14ac:dyDescent="0.2">
      <c r="A453" s="198" t="str">
        <f>"         "&amp;Labels!B394</f>
        <v xml:space="preserve">         Contributor</v>
      </c>
      <c r="B453" s="262">
        <f t="shared" si="292"/>
        <v>0</v>
      </c>
      <c r="C453" s="262">
        <f t="shared" si="292"/>
        <v>0</v>
      </c>
      <c r="D453" s="262">
        <f t="shared" si="292"/>
        <v>0</v>
      </c>
      <c r="E453" s="217">
        <f>AVERAGE(B453:D453)</f>
        <v>0</v>
      </c>
      <c r="F453" s="262">
        <f t="shared" si="293"/>
        <v>0</v>
      </c>
      <c r="G453" s="262">
        <f t="shared" si="293"/>
        <v>0</v>
      </c>
      <c r="H453" s="262">
        <f t="shared" si="293"/>
        <v>0</v>
      </c>
      <c r="I453" s="217">
        <f>AVERAGE(F453:H453)</f>
        <v>0</v>
      </c>
      <c r="J453" s="262">
        <f t="shared" si="294"/>
        <v>0</v>
      </c>
      <c r="K453" s="262">
        <f t="shared" si="294"/>
        <v>0</v>
      </c>
      <c r="L453" s="262">
        <f t="shared" si="294"/>
        <v>0</v>
      </c>
      <c r="M453" s="217">
        <f>AVERAGE(J453:L453)</f>
        <v>0</v>
      </c>
      <c r="N453" s="262">
        <f t="shared" si="295"/>
        <v>0</v>
      </c>
      <c r="O453" s="262">
        <f t="shared" si="295"/>
        <v>0</v>
      </c>
      <c r="P453" s="262">
        <f t="shared" si="295"/>
        <v>0</v>
      </c>
      <c r="Q453" s="217">
        <f>AVERAGE(N453:P453)</f>
        <v>0</v>
      </c>
      <c r="R453" s="262">
        <f t="shared" si="296"/>
        <v>0</v>
      </c>
      <c r="S453" s="262">
        <f t="shared" si="296"/>
        <v>0</v>
      </c>
      <c r="T453" s="262">
        <f t="shared" si="296"/>
        <v>0</v>
      </c>
      <c r="U453" s="217">
        <f>AVERAGE(R453:T453)</f>
        <v>0</v>
      </c>
      <c r="V453" s="262">
        <f t="shared" si="297"/>
        <v>0</v>
      </c>
      <c r="W453" s="262">
        <f t="shared" si="297"/>
        <v>0</v>
      </c>
      <c r="X453" s="262">
        <f t="shared" si="297"/>
        <v>0</v>
      </c>
      <c r="Y453" s="217">
        <f>AVERAGE(V453:X453)</f>
        <v>0</v>
      </c>
    </row>
    <row r="454" spans="1:25" ht="12.75" hidden="1" customHeight="1" outlineLevel="2" x14ac:dyDescent="0.2">
      <c r="A454" s="198" t="str">
        <f>"         "&amp;Labels!C392</f>
        <v xml:space="preserve">         Total</v>
      </c>
      <c r="B454" s="237">
        <f t="shared" si="292"/>
        <v>0</v>
      </c>
      <c r="C454" s="237">
        <f t="shared" si="292"/>
        <v>0</v>
      </c>
      <c r="D454" s="237">
        <f t="shared" si="292"/>
        <v>0</v>
      </c>
      <c r="E454" s="238">
        <f>AVERAGE(B454:D454)</f>
        <v>0</v>
      </c>
      <c r="F454" s="237">
        <f t="shared" si="293"/>
        <v>0</v>
      </c>
      <c r="G454" s="237">
        <f t="shared" si="293"/>
        <v>0</v>
      </c>
      <c r="H454" s="237">
        <f t="shared" si="293"/>
        <v>0</v>
      </c>
      <c r="I454" s="238">
        <f>AVERAGE(F454:H454)</f>
        <v>0</v>
      </c>
      <c r="J454" s="237">
        <f t="shared" si="294"/>
        <v>0</v>
      </c>
      <c r="K454" s="237">
        <f t="shared" si="294"/>
        <v>0</v>
      </c>
      <c r="L454" s="237">
        <f t="shared" si="294"/>
        <v>0</v>
      </c>
      <c r="M454" s="238">
        <f>AVERAGE(J454:L454)</f>
        <v>0</v>
      </c>
      <c r="N454" s="237">
        <f t="shared" si="295"/>
        <v>0</v>
      </c>
      <c r="O454" s="237">
        <f t="shared" si="295"/>
        <v>0</v>
      </c>
      <c r="P454" s="237">
        <f t="shared" si="295"/>
        <v>0</v>
      </c>
      <c r="Q454" s="238">
        <f>AVERAGE(N454:P454)</f>
        <v>0</v>
      </c>
      <c r="R454" s="237">
        <f t="shared" si="296"/>
        <v>0</v>
      </c>
      <c r="S454" s="237">
        <f t="shared" si="296"/>
        <v>0</v>
      </c>
      <c r="T454" s="237">
        <f t="shared" si="296"/>
        <v>0</v>
      </c>
      <c r="U454" s="238">
        <f>AVERAGE(R454:T454)</f>
        <v>0</v>
      </c>
      <c r="V454" s="237">
        <f t="shared" si="297"/>
        <v>0</v>
      </c>
      <c r="W454" s="237">
        <f t="shared" si="297"/>
        <v>0</v>
      </c>
      <c r="X454" s="237">
        <f t="shared" si="297"/>
        <v>0</v>
      </c>
      <c r="Y454" s="238">
        <f>AVERAGE(V454:X454)</f>
        <v>0</v>
      </c>
    </row>
    <row r="455" spans="1:25" ht="12.75" hidden="1" customHeight="1" outlineLevel="2" x14ac:dyDescent="0.2">
      <c r="A455" s="198" t="str">
        <f>"      "&amp;Labels!B322</f>
        <v xml:space="preserve">      Sales</v>
      </c>
      <c r="B455" s="237"/>
      <c r="C455" s="237"/>
      <c r="D455" s="237"/>
      <c r="E455" s="238"/>
      <c r="F455" s="237"/>
      <c r="G455" s="237"/>
      <c r="H455" s="237"/>
      <c r="I455" s="238"/>
      <c r="J455" s="237"/>
      <c r="K455" s="237"/>
      <c r="L455" s="237"/>
      <c r="M455" s="238"/>
      <c r="N455" s="237"/>
      <c r="O455" s="237"/>
      <c r="P455" s="237"/>
      <c r="Q455" s="238"/>
      <c r="R455" s="237"/>
      <c r="S455" s="237"/>
      <c r="T455" s="237"/>
      <c r="U455" s="238"/>
      <c r="V455" s="237"/>
      <c r="W455" s="237"/>
      <c r="X455" s="237"/>
      <c r="Y455" s="238"/>
    </row>
    <row r="456" spans="1:25" ht="12.75" hidden="1" customHeight="1" outlineLevel="2" x14ac:dyDescent="0.2">
      <c r="A456" s="198" t="str">
        <f>"         "&amp;Labels!B393</f>
        <v xml:space="preserve">         Manager</v>
      </c>
      <c r="B456" s="262">
        <f t="shared" ref="B456:D461" si="298">SUM(B430,B443)</f>
        <v>0</v>
      </c>
      <c r="C456" s="262">
        <f t="shared" si="298"/>
        <v>0</v>
      </c>
      <c r="D456" s="262">
        <f t="shared" si="298"/>
        <v>0</v>
      </c>
      <c r="E456" s="217">
        <f>AVERAGE(B456:D456)</f>
        <v>0</v>
      </c>
      <c r="F456" s="262">
        <f t="shared" ref="F456:H461" si="299">SUM(F430,F443)</f>
        <v>0</v>
      </c>
      <c r="G456" s="262">
        <f t="shared" si="299"/>
        <v>0</v>
      </c>
      <c r="H456" s="262">
        <f t="shared" si="299"/>
        <v>0</v>
      </c>
      <c r="I456" s="217">
        <f>AVERAGE(F456:H456)</f>
        <v>0</v>
      </c>
      <c r="J456" s="262">
        <f t="shared" ref="J456:L461" si="300">SUM(J430,J443)</f>
        <v>0</v>
      </c>
      <c r="K456" s="262">
        <f t="shared" si="300"/>
        <v>0</v>
      </c>
      <c r="L456" s="262">
        <f t="shared" si="300"/>
        <v>0</v>
      </c>
      <c r="M456" s="217">
        <f>AVERAGE(J456:L456)</f>
        <v>0</v>
      </c>
      <c r="N456" s="262">
        <f t="shared" ref="N456:P461" si="301">SUM(N430,N443)</f>
        <v>0</v>
      </c>
      <c r="O456" s="262">
        <f t="shared" si="301"/>
        <v>0</v>
      </c>
      <c r="P456" s="262">
        <f t="shared" si="301"/>
        <v>0</v>
      </c>
      <c r="Q456" s="217">
        <f>AVERAGE(N456:P456)</f>
        <v>0</v>
      </c>
      <c r="R456" s="262">
        <f t="shared" ref="R456:T461" si="302">SUM(R430,R443)</f>
        <v>0</v>
      </c>
      <c r="S456" s="262">
        <f t="shared" si="302"/>
        <v>0</v>
      </c>
      <c r="T456" s="262">
        <f t="shared" si="302"/>
        <v>0</v>
      </c>
      <c r="U456" s="217">
        <f>AVERAGE(R456:T456)</f>
        <v>0</v>
      </c>
      <c r="V456" s="262">
        <f t="shared" ref="V456:X461" si="303">SUM(V430,V443)</f>
        <v>0</v>
      </c>
      <c r="W456" s="262">
        <f t="shared" si="303"/>
        <v>0</v>
      </c>
      <c r="X456" s="262">
        <f t="shared" si="303"/>
        <v>0</v>
      </c>
      <c r="Y456" s="217">
        <f>AVERAGE(V456:X456)</f>
        <v>0</v>
      </c>
    </row>
    <row r="457" spans="1:25" ht="12.75" hidden="1" customHeight="1" outlineLevel="2" x14ac:dyDescent="0.2">
      <c r="A457" s="198" t="str">
        <f>"         "&amp;Labels!B394</f>
        <v xml:space="preserve">         Contributor</v>
      </c>
      <c r="B457" s="262">
        <f t="shared" si="298"/>
        <v>0</v>
      </c>
      <c r="C457" s="262">
        <f t="shared" si="298"/>
        <v>0</v>
      </c>
      <c r="D457" s="262">
        <f t="shared" si="298"/>
        <v>0</v>
      </c>
      <c r="E457" s="217">
        <f>AVERAGE(B457:D457)</f>
        <v>0</v>
      </c>
      <c r="F457" s="262">
        <f t="shared" si="299"/>
        <v>0</v>
      </c>
      <c r="G457" s="262">
        <f t="shared" si="299"/>
        <v>0</v>
      </c>
      <c r="H457" s="262">
        <f t="shared" si="299"/>
        <v>0</v>
      </c>
      <c r="I457" s="217">
        <f>AVERAGE(F457:H457)</f>
        <v>0</v>
      </c>
      <c r="J457" s="262">
        <f t="shared" si="300"/>
        <v>0</v>
      </c>
      <c r="K457" s="262">
        <f t="shared" si="300"/>
        <v>0</v>
      </c>
      <c r="L457" s="262">
        <f t="shared" si="300"/>
        <v>0</v>
      </c>
      <c r="M457" s="217">
        <f>AVERAGE(J457:L457)</f>
        <v>0</v>
      </c>
      <c r="N457" s="262">
        <f t="shared" si="301"/>
        <v>0</v>
      </c>
      <c r="O457" s="262">
        <f t="shared" si="301"/>
        <v>0</v>
      </c>
      <c r="P457" s="262">
        <f t="shared" si="301"/>
        <v>0</v>
      </c>
      <c r="Q457" s="217">
        <f>AVERAGE(N457:P457)</f>
        <v>0</v>
      </c>
      <c r="R457" s="262">
        <f t="shared" si="302"/>
        <v>0</v>
      </c>
      <c r="S457" s="262">
        <f t="shared" si="302"/>
        <v>0</v>
      </c>
      <c r="T457" s="262">
        <f t="shared" si="302"/>
        <v>0</v>
      </c>
      <c r="U457" s="217">
        <f>AVERAGE(R457:T457)</f>
        <v>0</v>
      </c>
      <c r="V457" s="262">
        <f t="shared" si="303"/>
        <v>0</v>
      </c>
      <c r="W457" s="262">
        <f t="shared" si="303"/>
        <v>0</v>
      </c>
      <c r="X457" s="262">
        <f t="shared" si="303"/>
        <v>0</v>
      </c>
      <c r="Y457" s="217">
        <f>AVERAGE(V457:X457)</f>
        <v>0</v>
      </c>
    </row>
    <row r="458" spans="1:25" ht="12.75" hidden="1" customHeight="1" outlineLevel="2" x14ac:dyDescent="0.2">
      <c r="A458" s="198" t="str">
        <f>"         "&amp;Labels!C392</f>
        <v xml:space="preserve">         Total</v>
      </c>
      <c r="B458" s="237">
        <f t="shared" si="298"/>
        <v>0</v>
      </c>
      <c r="C458" s="237">
        <f t="shared" si="298"/>
        <v>0</v>
      </c>
      <c r="D458" s="237">
        <f t="shared" si="298"/>
        <v>0</v>
      </c>
      <c r="E458" s="238">
        <f>AVERAGE(B458:D458)</f>
        <v>0</v>
      </c>
      <c r="F458" s="237">
        <f t="shared" si="299"/>
        <v>0</v>
      </c>
      <c r="G458" s="237">
        <f t="shared" si="299"/>
        <v>0</v>
      </c>
      <c r="H458" s="237">
        <f t="shared" si="299"/>
        <v>0</v>
      </c>
      <c r="I458" s="238">
        <f>AVERAGE(F458:H458)</f>
        <v>0</v>
      </c>
      <c r="J458" s="237">
        <f t="shared" si="300"/>
        <v>0</v>
      </c>
      <c r="K458" s="237">
        <f t="shared" si="300"/>
        <v>0</v>
      </c>
      <c r="L458" s="237">
        <f t="shared" si="300"/>
        <v>0</v>
      </c>
      <c r="M458" s="238">
        <f>AVERAGE(J458:L458)</f>
        <v>0</v>
      </c>
      <c r="N458" s="237">
        <f t="shared" si="301"/>
        <v>0</v>
      </c>
      <c r="O458" s="237">
        <f t="shared" si="301"/>
        <v>0</v>
      </c>
      <c r="P458" s="237">
        <f t="shared" si="301"/>
        <v>0</v>
      </c>
      <c r="Q458" s="238">
        <f>AVERAGE(N458:P458)</f>
        <v>0</v>
      </c>
      <c r="R458" s="237">
        <f t="shared" si="302"/>
        <v>0</v>
      </c>
      <c r="S458" s="237">
        <f t="shared" si="302"/>
        <v>0</v>
      </c>
      <c r="T458" s="237">
        <f t="shared" si="302"/>
        <v>0</v>
      </c>
      <c r="U458" s="238">
        <f>AVERAGE(R458:T458)</f>
        <v>0</v>
      </c>
      <c r="V458" s="237">
        <f t="shared" si="303"/>
        <v>0</v>
      </c>
      <c r="W458" s="237">
        <f t="shared" si="303"/>
        <v>0</v>
      </c>
      <c r="X458" s="237">
        <f t="shared" si="303"/>
        <v>0</v>
      </c>
      <c r="Y458" s="238">
        <f>AVERAGE(V458:X458)</f>
        <v>0</v>
      </c>
    </row>
    <row r="459" spans="1:25" ht="12.75" hidden="1" customHeight="1" outlineLevel="2" x14ac:dyDescent="0.2">
      <c r="A459" s="188" t="str">
        <f>"      "&amp;Labels!C320</f>
        <v xml:space="preserve">      Total</v>
      </c>
      <c r="B459" s="166">
        <f t="shared" si="298"/>
        <v>0</v>
      </c>
      <c r="C459" s="166">
        <f t="shared" si="298"/>
        <v>0</v>
      </c>
      <c r="D459" s="166">
        <f t="shared" si="298"/>
        <v>0</v>
      </c>
      <c r="E459" s="225">
        <f>AVERAGE(B450:D450)</f>
        <v>0</v>
      </c>
      <c r="F459" s="166">
        <f t="shared" si="299"/>
        <v>0</v>
      </c>
      <c r="G459" s="166">
        <f t="shared" si="299"/>
        <v>0</v>
      </c>
      <c r="H459" s="166">
        <f t="shared" si="299"/>
        <v>0</v>
      </c>
      <c r="I459" s="225">
        <f>AVERAGE(F450:H450)</f>
        <v>0</v>
      </c>
      <c r="J459" s="166">
        <f t="shared" si="300"/>
        <v>0</v>
      </c>
      <c r="K459" s="166">
        <f t="shared" si="300"/>
        <v>0</v>
      </c>
      <c r="L459" s="166">
        <f t="shared" si="300"/>
        <v>0</v>
      </c>
      <c r="M459" s="225">
        <f>AVERAGE(J450:L450)</f>
        <v>0</v>
      </c>
      <c r="N459" s="166">
        <f t="shared" si="301"/>
        <v>0</v>
      </c>
      <c r="O459" s="166">
        <f t="shared" si="301"/>
        <v>0</v>
      </c>
      <c r="P459" s="166">
        <f t="shared" si="301"/>
        <v>0</v>
      </c>
      <c r="Q459" s="225">
        <f>AVERAGE(N450:P450)</f>
        <v>0</v>
      </c>
      <c r="R459" s="166">
        <f t="shared" si="302"/>
        <v>0</v>
      </c>
      <c r="S459" s="166">
        <f t="shared" si="302"/>
        <v>0</v>
      </c>
      <c r="T459" s="166">
        <f t="shared" si="302"/>
        <v>0</v>
      </c>
      <c r="U459" s="225">
        <f>AVERAGE(R450:T450)</f>
        <v>0</v>
      </c>
      <c r="V459" s="166">
        <f t="shared" si="303"/>
        <v>0</v>
      </c>
      <c r="W459" s="166">
        <f t="shared" si="303"/>
        <v>0</v>
      </c>
      <c r="X459" s="166">
        <f t="shared" si="303"/>
        <v>0</v>
      </c>
      <c r="Y459" s="225">
        <f>AVERAGE(V450:X450)</f>
        <v>0</v>
      </c>
    </row>
    <row r="460" spans="1:25" ht="12.75" hidden="1" customHeight="1" outlineLevel="2" x14ac:dyDescent="0.2">
      <c r="A460" s="198" t="str">
        <f>"         "&amp;Labels!B393</f>
        <v xml:space="preserve">         Manager</v>
      </c>
      <c r="B460" s="262">
        <f t="shared" si="298"/>
        <v>0</v>
      </c>
      <c r="C460" s="262">
        <f t="shared" si="298"/>
        <v>0</v>
      </c>
      <c r="D460" s="262">
        <f t="shared" si="298"/>
        <v>0</v>
      </c>
      <c r="E460" s="217">
        <f>AVERAGE(B460:D460)</f>
        <v>0</v>
      </c>
      <c r="F460" s="262">
        <f t="shared" si="299"/>
        <v>0</v>
      </c>
      <c r="G460" s="262">
        <f t="shared" si="299"/>
        <v>0</v>
      </c>
      <c r="H460" s="262">
        <f t="shared" si="299"/>
        <v>0</v>
      </c>
      <c r="I460" s="217">
        <f>AVERAGE(F460:H460)</f>
        <v>0</v>
      </c>
      <c r="J460" s="262">
        <f t="shared" si="300"/>
        <v>0</v>
      </c>
      <c r="K460" s="262">
        <f t="shared" si="300"/>
        <v>0</v>
      </c>
      <c r="L460" s="262">
        <f t="shared" si="300"/>
        <v>0</v>
      </c>
      <c r="M460" s="217">
        <f>AVERAGE(J460:L460)</f>
        <v>0</v>
      </c>
      <c r="N460" s="262">
        <f t="shared" si="301"/>
        <v>0</v>
      </c>
      <c r="O460" s="262">
        <f t="shared" si="301"/>
        <v>0</v>
      </c>
      <c r="P460" s="262">
        <f t="shared" si="301"/>
        <v>0</v>
      </c>
      <c r="Q460" s="217">
        <f>AVERAGE(N460:P460)</f>
        <v>0</v>
      </c>
      <c r="R460" s="262">
        <f t="shared" si="302"/>
        <v>0</v>
      </c>
      <c r="S460" s="262">
        <f t="shared" si="302"/>
        <v>0</v>
      </c>
      <c r="T460" s="262">
        <f t="shared" si="302"/>
        <v>0</v>
      </c>
      <c r="U460" s="217">
        <f>AVERAGE(R460:T460)</f>
        <v>0</v>
      </c>
      <c r="V460" s="262">
        <f t="shared" si="303"/>
        <v>0</v>
      </c>
      <c r="W460" s="262">
        <f t="shared" si="303"/>
        <v>0</v>
      </c>
      <c r="X460" s="262">
        <f t="shared" si="303"/>
        <v>0</v>
      </c>
      <c r="Y460" s="217">
        <f>AVERAGE(V460:X460)</f>
        <v>0</v>
      </c>
    </row>
    <row r="461" spans="1:25" ht="12.75" hidden="1" customHeight="1" outlineLevel="2" x14ac:dyDescent="0.2">
      <c r="A461" s="198" t="str">
        <f>"         "&amp;Labels!B394</f>
        <v xml:space="preserve">         Contributor</v>
      </c>
      <c r="B461" s="262">
        <f t="shared" si="298"/>
        <v>0</v>
      </c>
      <c r="C461" s="262">
        <f t="shared" si="298"/>
        <v>0</v>
      </c>
      <c r="D461" s="262">
        <f t="shared" si="298"/>
        <v>0</v>
      </c>
      <c r="E461" s="217">
        <f>AVERAGE(B461:D461)</f>
        <v>0</v>
      </c>
      <c r="F461" s="262">
        <f t="shared" si="299"/>
        <v>0</v>
      </c>
      <c r="G461" s="262">
        <f t="shared" si="299"/>
        <v>0</v>
      </c>
      <c r="H461" s="262">
        <f t="shared" si="299"/>
        <v>0</v>
      </c>
      <c r="I461" s="217">
        <f>AVERAGE(F461:H461)</f>
        <v>0</v>
      </c>
      <c r="J461" s="262">
        <f t="shared" si="300"/>
        <v>0</v>
      </c>
      <c r="K461" s="262">
        <f t="shared" si="300"/>
        <v>0</v>
      </c>
      <c r="L461" s="262">
        <f t="shared" si="300"/>
        <v>0</v>
      </c>
      <c r="M461" s="217">
        <f>AVERAGE(J461:L461)</f>
        <v>0</v>
      </c>
      <c r="N461" s="262">
        <f t="shared" si="301"/>
        <v>0</v>
      </c>
      <c r="O461" s="262">
        <f t="shared" si="301"/>
        <v>0</v>
      </c>
      <c r="P461" s="262">
        <f t="shared" si="301"/>
        <v>0</v>
      </c>
      <c r="Q461" s="217">
        <f>AVERAGE(N461:P461)</f>
        <v>0</v>
      </c>
      <c r="R461" s="262">
        <f t="shared" si="302"/>
        <v>0</v>
      </c>
      <c r="S461" s="262">
        <f t="shared" si="302"/>
        <v>0</v>
      </c>
      <c r="T461" s="262">
        <f t="shared" si="302"/>
        <v>0</v>
      </c>
      <c r="U461" s="217">
        <f>AVERAGE(R461:T461)</f>
        <v>0</v>
      </c>
      <c r="V461" s="262">
        <f t="shared" si="303"/>
        <v>0</v>
      </c>
      <c r="W461" s="262">
        <f t="shared" si="303"/>
        <v>0</v>
      </c>
      <c r="X461" s="262">
        <f t="shared" si="303"/>
        <v>0</v>
      </c>
      <c r="Y461" s="217">
        <f>AVERAGE(V461:X461)</f>
        <v>0</v>
      </c>
    </row>
    <row r="462" spans="1:25" ht="12.75" hidden="1" customHeight="1" outlineLevel="2" x14ac:dyDescent="0.2">
      <c r="A462" s="230" t="str">
        <f>"         "&amp;Labels!C392</f>
        <v xml:space="preserve">         Total</v>
      </c>
      <c r="B462" s="263">
        <f>SUM(B433,B446)</f>
        <v>0</v>
      </c>
      <c r="C462" s="263">
        <f>SUM(C433,C446)</f>
        <v>0</v>
      </c>
      <c r="D462" s="263">
        <f>SUM(D433,D446)</f>
        <v>0</v>
      </c>
      <c r="E462" s="264">
        <f>AVERAGE(B450:D450)</f>
        <v>0</v>
      </c>
      <c r="F462" s="263">
        <f>SUM(F433,F446)</f>
        <v>0</v>
      </c>
      <c r="G462" s="263">
        <f>SUM(G433,G446)</f>
        <v>0</v>
      </c>
      <c r="H462" s="263">
        <f>SUM(H433,H446)</f>
        <v>0</v>
      </c>
      <c r="I462" s="264">
        <f>AVERAGE(F450:H450)</f>
        <v>0</v>
      </c>
      <c r="J462" s="263">
        <f>SUM(J433,J446)</f>
        <v>0</v>
      </c>
      <c r="K462" s="263">
        <f>SUM(K433,K446)</f>
        <v>0</v>
      </c>
      <c r="L462" s="263">
        <f>SUM(L433,L446)</f>
        <v>0</v>
      </c>
      <c r="M462" s="264">
        <f>AVERAGE(J450:L450)</f>
        <v>0</v>
      </c>
      <c r="N462" s="263">
        <f>SUM(N433,N446)</f>
        <v>0</v>
      </c>
      <c r="O462" s="263">
        <f>SUM(O433,O446)</f>
        <v>0</v>
      </c>
      <c r="P462" s="263">
        <f>SUM(P433,P446)</f>
        <v>0</v>
      </c>
      <c r="Q462" s="264">
        <f>AVERAGE(N450:P450)</f>
        <v>0</v>
      </c>
      <c r="R462" s="263">
        <f>SUM(R433,R446)</f>
        <v>0</v>
      </c>
      <c r="S462" s="263">
        <f>SUM(S433,S446)</f>
        <v>0</v>
      </c>
      <c r="T462" s="263">
        <f>SUM(T433,T446)</f>
        <v>0</v>
      </c>
      <c r="U462" s="264">
        <f>AVERAGE(R450:T450)</f>
        <v>0</v>
      </c>
      <c r="V462" s="263">
        <f>SUM(V433,V446)</f>
        <v>0</v>
      </c>
      <c r="W462" s="263">
        <f>SUM(W433,W446)</f>
        <v>0</v>
      </c>
      <c r="X462" s="263">
        <f>SUM(X433,X446)</f>
        <v>0</v>
      </c>
      <c r="Y462" s="264">
        <f>AVERAGE(V450:X450)</f>
        <v>0</v>
      </c>
    </row>
    <row r="463" spans="1:25" ht="12.75" hidden="1" customHeight="1" outlineLevel="2" x14ac:dyDescent="0.2"/>
    <row r="464" spans="1:25" ht="12.75" hidden="1" customHeight="1" outlineLevel="2" collapsed="1" x14ac:dyDescent="0.2">
      <c r="A464" t="s">
        <v>3402</v>
      </c>
      <c r="B464" t="s">
        <v>3402</v>
      </c>
      <c r="C464" t="s">
        <v>3402</v>
      </c>
      <c r="D464" t="s">
        <v>3402</v>
      </c>
      <c r="E464" t="s">
        <v>3402</v>
      </c>
      <c r="F464" t="s">
        <v>3402</v>
      </c>
      <c r="G464" t="s">
        <v>3402</v>
      </c>
      <c r="H464" t="s">
        <v>3402</v>
      </c>
      <c r="I464" t="s">
        <v>3402</v>
      </c>
      <c r="J464" t="s">
        <v>3402</v>
      </c>
      <c r="K464" t="s">
        <v>3402</v>
      </c>
      <c r="L464" t="s">
        <v>3402</v>
      </c>
      <c r="M464" t="s">
        <v>3402</v>
      </c>
      <c r="N464" t="s">
        <v>3402</v>
      </c>
      <c r="O464" t="s">
        <v>3402</v>
      </c>
      <c r="P464" t="s">
        <v>3402</v>
      </c>
      <c r="Q464" t="s">
        <v>3402</v>
      </c>
      <c r="R464" t="s">
        <v>3402</v>
      </c>
      <c r="S464" t="s">
        <v>3402</v>
      </c>
      <c r="T464" t="s">
        <v>3402</v>
      </c>
      <c r="U464" t="s">
        <v>3402</v>
      </c>
      <c r="V464" t="s">
        <v>3402</v>
      </c>
      <c r="W464" t="s">
        <v>3402</v>
      </c>
      <c r="X464" t="s">
        <v>3402</v>
      </c>
      <c r="Y464" t="s">
        <v>3402</v>
      </c>
    </row>
    <row r="465" ht="12.75" hidden="1" customHeight="1" outlineLevel="1" collapsed="1" x14ac:dyDescent="0.2"/>
    <row r="466" ht="12.75" customHeight="1" collapsed="1" x14ac:dyDescent="0.2"/>
  </sheetData>
  <mergeCells count="6">
    <mergeCell ref="A174:C174"/>
    <mergeCell ref="A1:C1"/>
    <mergeCell ref="A2:C2"/>
    <mergeCell ref="A3:C3"/>
    <mergeCell ref="A4:C4"/>
    <mergeCell ref="A43:B43"/>
  </mergeCells>
  <pageMargins left="0.25" right="0.25" top="0.5" bottom="0.5" header="0.5" footer="0.5"/>
  <pageSetup paperSize="9" fitToHeight="32767" orientation="landscape" horizontalDpi="300" verticalDpi="300"/>
  <headerFooter alignWithMargins="0"/>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pageSetUpPr fitToPage="1"/>
  </sheetPr>
  <dimension ref="A1:Y615"/>
  <sheetViews>
    <sheetView zoomScaleNormal="100" workbookViewId="0">
      <selection sqref="A1:C1"/>
    </sheetView>
  </sheetViews>
  <sheetFormatPr defaultRowHeight="12.75" customHeight="1" outlineLevelRow="2" x14ac:dyDescent="0.2"/>
  <cols>
    <col min="1" max="1" width="22.42578125" customWidth="1"/>
    <col min="2" max="25" width="12.42578125" customWidth="1"/>
  </cols>
  <sheetData>
    <row r="1" spans="1:25" ht="12.75" customHeight="1" x14ac:dyDescent="0.2">
      <c r="A1" s="463" t="str">
        <f>Inputs!F7</f>
        <v xml:space="preserve"> </v>
      </c>
      <c r="B1" s="463"/>
      <c r="C1" s="463"/>
    </row>
    <row r="2" spans="1:25" ht="12.75" customHeight="1" x14ac:dyDescent="0.2">
      <c r="A2" s="463" t="e">
        <f>TEXT('(FnCalls 1)'!A41,"m/d/yyyy")&amp;" to "&amp;TEXT('(FnCalls 1)'!A59-1,"m/d/yyyy")</f>
        <v>#VALUE!</v>
      </c>
      <c r="B2" s="463"/>
      <c r="C2" s="463"/>
    </row>
    <row r="3" spans="1:25" ht="12.75" customHeight="1" x14ac:dyDescent="0.2">
      <c r="A3" s="463" t="str">
        <f>"Channels"</f>
        <v>Channels</v>
      </c>
      <c r="B3" s="463"/>
      <c r="C3" s="463"/>
    </row>
    <row r="4" spans="1:25" ht="12.75" customHeight="1" x14ac:dyDescent="0.2">
      <c r="A4" s="463" t="str">
        <f>" "</f>
        <v xml:space="preserve"> </v>
      </c>
      <c r="B4" s="463"/>
      <c r="C4" s="463"/>
    </row>
    <row r="5" spans="1:25" ht="12.75" customHeight="1" collapsed="1" x14ac:dyDescent="0.2">
      <c r="A5" s="2" t="str">
        <f>"Summary"</f>
        <v>Summary</v>
      </c>
    </row>
    <row r="6" spans="1:25" ht="12.75" hidden="1" customHeight="1" outlineLevel="1" x14ac:dyDescent="0.2">
      <c r="A6" s="1" t="str">
        <f>" "</f>
        <v xml:space="preserve"> </v>
      </c>
    </row>
    <row r="7" spans="1:25" ht="12.75" hidden="1" customHeight="1" outlineLevel="1" x14ac:dyDescent="0.2">
      <c r="B7" s="9" t="str">
        <f>'(FnCalls 1)'!F41</f>
        <v>MMM 2010</v>
      </c>
      <c r="C7" s="10" t="str">
        <f>'(FnCalls 1)'!F42</f>
        <v>MMM 2010</v>
      </c>
      <c r="D7" s="10" t="str">
        <f>'(FnCalls 1)'!F43</f>
        <v>MMM 2010</v>
      </c>
      <c r="E7" s="181" t="str">
        <f>'(FnCalls 1)'!G41</f>
        <v>Q1 2010</v>
      </c>
      <c r="F7" s="10" t="str">
        <f>'(FnCalls 1)'!F44</f>
        <v>MMM 2010</v>
      </c>
      <c r="G7" s="10" t="str">
        <f>'(FnCalls 1)'!F45</f>
        <v>MMM 2010</v>
      </c>
      <c r="H7" s="10" t="str">
        <f>'(FnCalls 1)'!F46</f>
        <v>MMM 2010</v>
      </c>
      <c r="I7" s="181" t="str">
        <f>'(FnCalls 1)'!G44</f>
        <v>Q2 2010</v>
      </c>
      <c r="J7" s="10" t="str">
        <f>'(FnCalls 1)'!F47</f>
        <v>MMM 2010</v>
      </c>
      <c r="K7" s="10" t="str">
        <f>'(FnCalls 1)'!F48</f>
        <v>MMM 2010</v>
      </c>
      <c r="L7" s="10" t="str">
        <f>'(FnCalls 1)'!F49</f>
        <v>MMM 2010</v>
      </c>
      <c r="M7" s="181" t="str">
        <f>'(FnCalls 1)'!G47</f>
        <v>Q3 2010</v>
      </c>
      <c r="N7" s="10" t="str">
        <f>'(FnCalls 1)'!F50</f>
        <v>MMM 2010</v>
      </c>
      <c r="O7" s="10" t="str">
        <f>'(FnCalls 1)'!F51</f>
        <v>MMM 2010</v>
      </c>
      <c r="P7" s="10" t="str">
        <f>'(FnCalls 1)'!F52</f>
        <v>MMM 2010</v>
      </c>
      <c r="Q7" s="181" t="str">
        <f>'(FnCalls 1)'!G50</f>
        <v>Q4 2010</v>
      </c>
      <c r="R7" s="10" t="str">
        <f>'(FnCalls 1)'!F53</f>
        <v>MMM 2011</v>
      </c>
      <c r="S7" s="10" t="str">
        <f>'(FnCalls 1)'!F54</f>
        <v>MMM 2011</v>
      </c>
      <c r="T7" s="10" t="str">
        <f>'(FnCalls 1)'!F55</f>
        <v>MMM 2011</v>
      </c>
      <c r="U7" s="181" t="str">
        <f>'(FnCalls 1)'!G53</f>
        <v>Q1 2011</v>
      </c>
      <c r="V7" s="10" t="str">
        <f>'(FnCalls 1)'!F56</f>
        <v>MMM 2011</v>
      </c>
      <c r="W7" s="10" t="str">
        <f>'(FnCalls 1)'!F57</f>
        <v>MMM 2011</v>
      </c>
      <c r="X7" s="10" t="str">
        <f>'(FnCalls 1)'!F58</f>
        <v>MMM 2011</v>
      </c>
      <c r="Y7" s="181" t="str">
        <f>'(FnCalls 1)'!G56</f>
        <v>Q2 2011</v>
      </c>
    </row>
    <row r="8" spans="1:25" ht="12.75" hidden="1" customHeight="1" outlineLevel="1" x14ac:dyDescent="0.2">
      <c r="A8" s="182" t="str">
        <f>Labels!B228</f>
        <v>Revenue</v>
      </c>
      <c r="B8" s="183"/>
      <c r="C8" s="183"/>
      <c r="D8" s="183"/>
      <c r="E8" s="184"/>
      <c r="F8" s="183"/>
      <c r="G8" s="183"/>
      <c r="H8" s="183"/>
      <c r="I8" s="184"/>
      <c r="J8" s="183"/>
      <c r="K8" s="183"/>
      <c r="L8" s="183"/>
      <c r="M8" s="184"/>
      <c r="N8" s="183"/>
      <c r="O8" s="183"/>
      <c r="P8" s="183"/>
      <c r="Q8" s="184"/>
      <c r="R8" s="183"/>
      <c r="S8" s="183"/>
      <c r="T8" s="183"/>
      <c r="U8" s="184"/>
      <c r="V8" s="183"/>
      <c r="W8" s="183"/>
      <c r="X8" s="183"/>
      <c r="Y8" s="184"/>
    </row>
    <row r="9" spans="1:25" ht="12.75" hidden="1" customHeight="1" outlineLevel="1" x14ac:dyDescent="0.2">
      <c r="A9" s="188" t="str">
        <f>"   "&amp;Labels!B317</f>
        <v xml:space="preserve">   Channels 1</v>
      </c>
      <c r="B9" s="196">
        <f>SUM(B48:B49)</f>
        <v>0</v>
      </c>
      <c r="C9" s="196">
        <f>SUM(C48:C49)</f>
        <v>0</v>
      </c>
      <c r="D9" s="196">
        <f>SUM(D48:D49)</f>
        <v>57750</v>
      </c>
      <c r="E9" s="197">
        <f>SUM(B9:D9)</f>
        <v>57750</v>
      </c>
      <c r="F9" s="196">
        <f>SUM(F48:F49)</f>
        <v>57750</v>
      </c>
      <c r="G9" s="196">
        <f>SUM(G48:G49)</f>
        <v>0</v>
      </c>
      <c r="H9" s="196">
        <f>SUM(H48:H49)</f>
        <v>42000</v>
      </c>
      <c r="I9" s="197">
        <f>SUM(F9:H9)</f>
        <v>99750</v>
      </c>
      <c r="J9" s="196">
        <f>SUM(J48:J49)</f>
        <v>42000</v>
      </c>
      <c r="K9" s="196">
        <f>SUM(K48:K49)</f>
        <v>42000</v>
      </c>
      <c r="L9" s="196">
        <f>SUM(L48:L49)</f>
        <v>0</v>
      </c>
      <c r="M9" s="197">
        <f>SUM(J9:L9)</f>
        <v>84000</v>
      </c>
      <c r="N9" s="196">
        <f>SUM(N48:N49)</f>
        <v>0</v>
      </c>
      <c r="O9" s="196">
        <f>SUM(O48:O49)</f>
        <v>0</v>
      </c>
      <c r="P9" s="196">
        <f>SUM(P48:P49)</f>
        <v>0</v>
      </c>
      <c r="Q9" s="197">
        <f>SUM(N9:P9)</f>
        <v>0</v>
      </c>
      <c r="R9" s="196">
        <f>SUM(R48:R49)</f>
        <v>0</v>
      </c>
      <c r="S9" s="196">
        <f>SUM(S48:S49)</f>
        <v>0</v>
      </c>
      <c r="T9" s="196">
        <f>SUM(T48:T49)</f>
        <v>0</v>
      </c>
      <c r="U9" s="197">
        <f>SUM(R9:T9)</f>
        <v>0</v>
      </c>
      <c r="V9" s="196">
        <f>SUM(V48:V49)</f>
        <v>0</v>
      </c>
      <c r="W9" s="196">
        <f>SUM(W48:W49)</f>
        <v>0</v>
      </c>
      <c r="X9" s="196">
        <f>SUM(X48:X49)</f>
        <v>0</v>
      </c>
      <c r="Y9" s="197">
        <f>SUM(V9:X9)</f>
        <v>0</v>
      </c>
    </row>
    <row r="10" spans="1:25" ht="12.75" hidden="1" customHeight="1" outlineLevel="1" x14ac:dyDescent="0.2">
      <c r="A10" s="188" t="str">
        <f>"   "&amp;Labels!B318</f>
        <v xml:space="preserve">   Channels 2</v>
      </c>
      <c r="B10" s="196">
        <f>SUM(B52:B53)</f>
        <v>0</v>
      </c>
      <c r="C10" s="196">
        <f>SUM(C52:C53)</f>
        <v>0</v>
      </c>
      <c r="D10" s="196">
        <f>SUM(D52:D53)</f>
        <v>55000</v>
      </c>
      <c r="E10" s="197">
        <f>SUM(B10:D10)</f>
        <v>55000</v>
      </c>
      <c r="F10" s="196">
        <f>SUM(F52:F53)</f>
        <v>55000</v>
      </c>
      <c r="G10" s="196">
        <f>SUM(G52:G53)</f>
        <v>0</v>
      </c>
      <c r="H10" s="196">
        <f>SUM(H52:H53)</f>
        <v>40000</v>
      </c>
      <c r="I10" s="197">
        <f>SUM(F10:H10)</f>
        <v>95000</v>
      </c>
      <c r="J10" s="196">
        <f>SUM(J52:J53)</f>
        <v>40000</v>
      </c>
      <c r="K10" s="196">
        <f>SUM(K52:K53)</f>
        <v>40000</v>
      </c>
      <c r="L10" s="196">
        <f>SUM(L52:L53)</f>
        <v>0</v>
      </c>
      <c r="M10" s="197">
        <f>SUM(J10:L10)</f>
        <v>80000</v>
      </c>
      <c r="N10" s="196">
        <f>SUM(N52:N53)</f>
        <v>0</v>
      </c>
      <c r="O10" s="196">
        <f>SUM(O52:O53)</f>
        <v>0</v>
      </c>
      <c r="P10" s="196">
        <f>SUM(P52:P53)</f>
        <v>0</v>
      </c>
      <c r="Q10" s="197">
        <f>SUM(N10:P10)</f>
        <v>0</v>
      </c>
      <c r="R10" s="196">
        <f>SUM(R52:R53)</f>
        <v>0</v>
      </c>
      <c r="S10" s="196">
        <f>SUM(S52:S53)</f>
        <v>0</v>
      </c>
      <c r="T10" s="196">
        <f>SUM(T52:T53)</f>
        <v>0</v>
      </c>
      <c r="U10" s="197">
        <f>SUM(R10:T10)</f>
        <v>0</v>
      </c>
      <c r="V10" s="196">
        <f>SUM(V52:V53)</f>
        <v>0</v>
      </c>
      <c r="W10" s="196">
        <f>SUM(W52:W53)</f>
        <v>0</v>
      </c>
      <c r="X10" s="196">
        <f>SUM(X52:X53)</f>
        <v>0</v>
      </c>
      <c r="Y10" s="197">
        <f>SUM(V10:X10)</f>
        <v>0</v>
      </c>
    </row>
    <row r="11" spans="1:25" ht="12.75" hidden="1" customHeight="1" outlineLevel="1" x14ac:dyDescent="0.2">
      <c r="A11" s="185" t="str">
        <f>"   "&amp;Labels!C316</f>
        <v xml:space="preserve">   Total</v>
      </c>
      <c r="B11" s="176">
        <f>SUM(B9:B10)</f>
        <v>0</v>
      </c>
      <c r="C11" s="176">
        <f>SUM(C9:C10)</f>
        <v>0</v>
      </c>
      <c r="D11" s="176">
        <f>SUM(D9:D10)</f>
        <v>112750</v>
      </c>
      <c r="E11" s="193">
        <f>SUM(B11:D11)</f>
        <v>112750</v>
      </c>
      <c r="F11" s="176">
        <f>SUM(F9:F10)</f>
        <v>112750</v>
      </c>
      <c r="G11" s="176">
        <f>SUM(G9:G10)</f>
        <v>0</v>
      </c>
      <c r="H11" s="176">
        <f>SUM(H9:H10)</f>
        <v>82000</v>
      </c>
      <c r="I11" s="193">
        <f>SUM(F11:H11)</f>
        <v>194750</v>
      </c>
      <c r="J11" s="176">
        <f>SUM(J9:J10)</f>
        <v>82000</v>
      </c>
      <c r="K11" s="176">
        <f>SUM(K9:K10)</f>
        <v>82000</v>
      </c>
      <c r="L11" s="176">
        <f>SUM(L9:L10)</f>
        <v>0</v>
      </c>
      <c r="M11" s="193">
        <f>SUM(J11:L11)</f>
        <v>164000</v>
      </c>
      <c r="N11" s="176">
        <f>SUM(N9:N10)</f>
        <v>0</v>
      </c>
      <c r="O11" s="176">
        <f>SUM(O9:O10)</f>
        <v>0</v>
      </c>
      <c r="P11" s="176">
        <f>SUM(P9:P10)</f>
        <v>0</v>
      </c>
      <c r="Q11" s="193">
        <f>SUM(N11:P11)</f>
        <v>0</v>
      </c>
      <c r="R11" s="176">
        <f>SUM(R9:R10)</f>
        <v>0</v>
      </c>
      <c r="S11" s="176">
        <f>SUM(S9:S10)</f>
        <v>0</v>
      </c>
      <c r="T11" s="176">
        <f>SUM(T9:T10)</f>
        <v>0</v>
      </c>
      <c r="U11" s="193">
        <f>SUM(R11:T11)</f>
        <v>0</v>
      </c>
      <c r="V11" s="176">
        <f>SUM(V9:V10)</f>
        <v>0</v>
      </c>
      <c r="W11" s="176">
        <f>SUM(W9:W10)</f>
        <v>0</v>
      </c>
      <c r="X11" s="176">
        <f>SUM(X9:X10)</f>
        <v>0</v>
      </c>
      <c r="Y11" s="193">
        <f>SUM(V11:X11)</f>
        <v>0</v>
      </c>
    </row>
    <row r="12" spans="1:25" ht="12.75" hidden="1" customHeight="1" outlineLevel="1" x14ac:dyDescent="0.2"/>
    <row r="13" spans="1:25" ht="12.75" hidden="1" customHeight="1" outlineLevel="1" x14ac:dyDescent="0.2">
      <c r="A13" s="182" t="str">
        <f>Labels!B43</f>
        <v>Cost of Services</v>
      </c>
      <c r="B13" s="183"/>
      <c r="C13" s="183"/>
      <c r="D13" s="183"/>
      <c r="E13" s="184"/>
      <c r="F13" s="183"/>
      <c r="G13" s="183"/>
      <c r="H13" s="183"/>
      <c r="I13" s="184"/>
      <c r="J13" s="183"/>
      <c r="K13" s="183"/>
      <c r="L13" s="183"/>
      <c r="M13" s="184"/>
      <c r="N13" s="183"/>
      <c r="O13" s="183"/>
      <c r="P13" s="183"/>
      <c r="Q13" s="184"/>
      <c r="R13" s="183"/>
      <c r="S13" s="183"/>
      <c r="T13" s="183"/>
      <c r="U13" s="184"/>
      <c r="V13" s="183"/>
      <c r="W13" s="183"/>
      <c r="X13" s="183"/>
      <c r="Y13" s="184"/>
    </row>
    <row r="14" spans="1:25" ht="12.75" hidden="1" customHeight="1" outlineLevel="1" x14ac:dyDescent="0.2">
      <c r="A14" s="188" t="str">
        <f>"   "&amp;Labels!B317</f>
        <v xml:space="preserve">   Channels 1</v>
      </c>
      <c r="B14" s="196">
        <f>SUM(B66,B71)</f>
        <v>0</v>
      </c>
      <c r="C14" s="196">
        <f>SUM(C66,C71)</f>
        <v>0</v>
      </c>
      <c r="D14" s="196">
        <f>SUM(D66,D71)</f>
        <v>2750</v>
      </c>
      <c r="E14" s="197">
        <f>SUM(B14:D14)</f>
        <v>2750</v>
      </c>
      <c r="F14" s="196">
        <f>SUM(F66,F71)</f>
        <v>2750</v>
      </c>
      <c r="G14" s="196">
        <f>SUM(G66,G71)</f>
        <v>0</v>
      </c>
      <c r="H14" s="196">
        <f>SUM(H66,H71)</f>
        <v>2000</v>
      </c>
      <c r="I14" s="197">
        <f>SUM(F14:H14)</f>
        <v>4750</v>
      </c>
      <c r="J14" s="196">
        <f>SUM(J66,J71)</f>
        <v>30260.89297106001</v>
      </c>
      <c r="K14" s="196">
        <f>SUM(K66,K71)</f>
        <v>30330.591957132838</v>
      </c>
      <c r="L14" s="196">
        <f>SUM(L66,L71)</f>
        <v>0</v>
      </c>
      <c r="M14" s="197">
        <f>SUM(J14:L14)</f>
        <v>60591.484928192847</v>
      </c>
      <c r="N14" s="196">
        <f>SUM(N66,N71)</f>
        <v>0</v>
      </c>
      <c r="O14" s="196">
        <f>SUM(O66,O71)</f>
        <v>0</v>
      </c>
      <c r="P14" s="196">
        <f>SUM(P66,P71)</f>
        <v>0</v>
      </c>
      <c r="Q14" s="197">
        <f>SUM(N14:P14)</f>
        <v>0</v>
      </c>
      <c r="R14" s="196">
        <f>SUM(R66,R71)</f>
        <v>0</v>
      </c>
      <c r="S14" s="196">
        <f>SUM(S66,S71)</f>
        <v>0</v>
      </c>
      <c r="T14" s="196">
        <f>SUM(T66,T71)</f>
        <v>0</v>
      </c>
      <c r="U14" s="197">
        <f>SUM(R14:T14)</f>
        <v>0</v>
      </c>
      <c r="V14" s="196">
        <f>SUM(V66,V71)</f>
        <v>0</v>
      </c>
      <c r="W14" s="196">
        <f>SUM(W66,W71)</f>
        <v>0</v>
      </c>
      <c r="X14" s="196">
        <f>SUM(X66,X71)</f>
        <v>0</v>
      </c>
      <c r="Y14" s="197">
        <f>SUM(V14:X14)</f>
        <v>0</v>
      </c>
    </row>
    <row r="15" spans="1:25" ht="12.75" hidden="1" customHeight="1" outlineLevel="1" x14ac:dyDescent="0.2">
      <c r="A15" s="188" t="str">
        <f>"   "&amp;Labels!B318</f>
        <v xml:space="preserve">   Channels 2</v>
      </c>
      <c r="B15" s="196">
        <f>SUM(B82,B87)</f>
        <v>0</v>
      </c>
      <c r="C15" s="196">
        <f>SUM(C82,C87)</f>
        <v>0</v>
      </c>
      <c r="D15" s="196">
        <f>SUM(D82,D87)</f>
        <v>0</v>
      </c>
      <c r="E15" s="197">
        <f>SUM(B15:D15)</f>
        <v>0</v>
      </c>
      <c r="F15" s="196">
        <f>SUM(F82,F87)</f>
        <v>0</v>
      </c>
      <c r="G15" s="196">
        <f>SUM(G82,G87)</f>
        <v>0</v>
      </c>
      <c r="H15" s="196">
        <f>SUM(H82,H87)</f>
        <v>0</v>
      </c>
      <c r="I15" s="197">
        <f>SUM(F15:H15)</f>
        <v>0</v>
      </c>
      <c r="J15" s="196">
        <f>SUM(J82,J87)</f>
        <v>0</v>
      </c>
      <c r="K15" s="196">
        <f>SUM(K82,K87)</f>
        <v>0</v>
      </c>
      <c r="L15" s="196">
        <f>SUM(L82,L87)</f>
        <v>0</v>
      </c>
      <c r="M15" s="197">
        <f>SUM(J15:L15)</f>
        <v>0</v>
      </c>
      <c r="N15" s="196">
        <f>SUM(N82,N87)</f>
        <v>0</v>
      </c>
      <c r="O15" s="196">
        <f>SUM(O82,O87)</f>
        <v>0</v>
      </c>
      <c r="P15" s="196">
        <f>SUM(P82,P87)</f>
        <v>0</v>
      </c>
      <c r="Q15" s="197">
        <f>SUM(N15:P15)</f>
        <v>0</v>
      </c>
      <c r="R15" s="196">
        <f>SUM(R82,R87)</f>
        <v>0</v>
      </c>
      <c r="S15" s="196">
        <f>SUM(S82,S87)</f>
        <v>0</v>
      </c>
      <c r="T15" s="196">
        <f>SUM(T82,T87)</f>
        <v>0</v>
      </c>
      <c r="U15" s="197">
        <f>SUM(R15:T15)</f>
        <v>0</v>
      </c>
      <c r="V15" s="196">
        <f>SUM(V82,V87)</f>
        <v>0</v>
      </c>
      <c r="W15" s="196">
        <f>SUM(W82,W87)</f>
        <v>0</v>
      </c>
      <c r="X15" s="196">
        <f>SUM(X82,X87)</f>
        <v>0</v>
      </c>
      <c r="Y15" s="197">
        <f>SUM(V15:X15)</f>
        <v>0</v>
      </c>
    </row>
    <row r="16" spans="1:25" ht="12.75" hidden="1" customHeight="1" outlineLevel="1" x14ac:dyDescent="0.2">
      <c r="A16" s="185" t="str">
        <f>"   "&amp;Labels!C316</f>
        <v xml:space="preserve">   Total</v>
      </c>
      <c r="B16" s="176">
        <f>SUM(B14:B15)</f>
        <v>0</v>
      </c>
      <c r="C16" s="176">
        <f>SUM(C14:C15)</f>
        <v>0</v>
      </c>
      <c r="D16" s="176">
        <f>SUM(D14:D15)</f>
        <v>2750</v>
      </c>
      <c r="E16" s="193">
        <f>SUM(B16:D16)</f>
        <v>2750</v>
      </c>
      <c r="F16" s="176">
        <f>SUM(F14:F15)</f>
        <v>2750</v>
      </c>
      <c r="G16" s="176">
        <f>SUM(G14:G15)</f>
        <v>0</v>
      </c>
      <c r="H16" s="176">
        <f>SUM(H14:H15)</f>
        <v>2000</v>
      </c>
      <c r="I16" s="193">
        <f>SUM(F16:H16)</f>
        <v>4750</v>
      </c>
      <c r="J16" s="176">
        <f>SUM(J14:J15)</f>
        <v>30260.89297106001</v>
      </c>
      <c r="K16" s="176">
        <f>SUM(K14:K15)</f>
        <v>30330.591957132838</v>
      </c>
      <c r="L16" s="176">
        <f>SUM(L14:L15)</f>
        <v>0</v>
      </c>
      <c r="M16" s="193">
        <f>SUM(J16:L16)</f>
        <v>60591.484928192847</v>
      </c>
      <c r="N16" s="176">
        <f>SUM(N14:N15)</f>
        <v>0</v>
      </c>
      <c r="O16" s="176">
        <f>SUM(O14:O15)</f>
        <v>0</v>
      </c>
      <c r="P16" s="176">
        <f>SUM(P14:P15)</f>
        <v>0</v>
      </c>
      <c r="Q16" s="193">
        <f>SUM(N16:P16)</f>
        <v>0</v>
      </c>
      <c r="R16" s="176">
        <f>SUM(R14:R15)</f>
        <v>0</v>
      </c>
      <c r="S16" s="176">
        <f>SUM(S14:S15)</f>
        <v>0</v>
      </c>
      <c r="T16" s="176">
        <f>SUM(T14:T15)</f>
        <v>0</v>
      </c>
      <c r="U16" s="193">
        <f>SUM(R16:T16)</f>
        <v>0</v>
      </c>
      <c r="V16" s="176">
        <f>SUM(V14:V15)</f>
        <v>0</v>
      </c>
      <c r="W16" s="176">
        <f>SUM(W14:W15)</f>
        <v>0</v>
      </c>
      <c r="X16" s="176">
        <f>SUM(X14:X15)</f>
        <v>0</v>
      </c>
      <c r="Y16" s="193">
        <f>SUM(V16:X16)</f>
        <v>0</v>
      </c>
    </row>
    <row r="17" spans="1:25" ht="12.75" hidden="1" customHeight="1" outlineLevel="1" x14ac:dyDescent="0.2"/>
    <row r="18" spans="1:25" ht="12.75" hidden="1" customHeight="1" outlineLevel="1" x14ac:dyDescent="0.2">
      <c r="A18" s="182" t="str">
        <f>Labels!B317</f>
        <v>Channels 1</v>
      </c>
      <c r="B18" s="13"/>
      <c r="C18" s="13"/>
      <c r="D18" s="13"/>
      <c r="E18" s="182"/>
      <c r="F18" s="13"/>
      <c r="G18" s="13"/>
      <c r="H18" s="13"/>
      <c r="I18" s="182"/>
      <c r="J18" s="13"/>
      <c r="K18" s="13"/>
      <c r="L18" s="13"/>
      <c r="M18" s="182"/>
      <c r="N18" s="13"/>
      <c r="O18" s="13"/>
      <c r="P18" s="13"/>
      <c r="Q18" s="182"/>
      <c r="R18" s="13"/>
      <c r="S18" s="13"/>
      <c r="T18" s="13"/>
      <c r="U18" s="182"/>
      <c r="V18" s="13"/>
      <c r="W18" s="13"/>
      <c r="X18" s="13"/>
      <c r="Y18" s="182"/>
    </row>
    <row r="19" spans="1:25" ht="12.75" hidden="1" customHeight="1" outlineLevel="1" x14ac:dyDescent="0.2">
      <c r="A19" s="188" t="str">
        <f>"   "&amp;Labels!B99</f>
        <v xml:space="preserve">   Gross Margin</v>
      </c>
      <c r="B19" s="196">
        <f>SUM(B112,B115)</f>
        <v>0</v>
      </c>
      <c r="C19" s="196">
        <f>SUM(C112,C115)</f>
        <v>0</v>
      </c>
      <c r="D19" s="196">
        <f>SUM(D112,D115)</f>
        <v>55000</v>
      </c>
      <c r="E19" s="197">
        <f>SUM(B19:D19)</f>
        <v>55000</v>
      </c>
      <c r="F19" s="196">
        <f>SUM(F112,F115)</f>
        <v>55000</v>
      </c>
      <c r="G19" s="196">
        <f>SUM(G112,G115)</f>
        <v>0</v>
      </c>
      <c r="H19" s="196">
        <f>SUM(H112,H115)</f>
        <v>40000</v>
      </c>
      <c r="I19" s="197">
        <f>SUM(F19:H19)</f>
        <v>95000</v>
      </c>
      <c r="J19" s="196">
        <f>SUM(J112,J115)</f>
        <v>11739.10702893999</v>
      </c>
      <c r="K19" s="196">
        <f>SUM(K112,K115)</f>
        <v>4586.7600535839529</v>
      </c>
      <c r="L19" s="196">
        <f>SUM(L112,L115)</f>
        <v>0</v>
      </c>
      <c r="M19" s="197">
        <f>SUM(J19:L19)</f>
        <v>16325.867082523942</v>
      </c>
      <c r="N19" s="196">
        <f>SUM(N112,N115)</f>
        <v>0</v>
      </c>
      <c r="O19" s="196">
        <f>SUM(O112,O115)</f>
        <v>0</v>
      </c>
      <c r="P19" s="196">
        <f>SUM(P112,P115)</f>
        <v>0</v>
      </c>
      <c r="Q19" s="197">
        <f>SUM(N19:P19)</f>
        <v>0</v>
      </c>
      <c r="R19" s="196">
        <f>SUM(R112,R115)</f>
        <v>0</v>
      </c>
      <c r="S19" s="196">
        <f>SUM(S112,S115)</f>
        <v>0</v>
      </c>
      <c r="T19" s="196">
        <f>SUM(T112,T115)</f>
        <v>0</v>
      </c>
      <c r="U19" s="197">
        <f>SUM(R19:T19)</f>
        <v>0</v>
      </c>
      <c r="V19" s="196">
        <f>SUM(V112,V115)</f>
        <v>0</v>
      </c>
      <c r="W19" s="196">
        <f>SUM(W112,W115)</f>
        <v>0</v>
      </c>
      <c r="X19" s="196">
        <f>SUM(X112,X115)</f>
        <v>0</v>
      </c>
      <c r="Y19" s="197">
        <f>SUM(V19:X19)</f>
        <v>0</v>
      </c>
    </row>
    <row r="20" spans="1:25" ht="12.75" hidden="1" customHeight="1" outlineLevel="1" x14ac:dyDescent="0.2">
      <c r="A20" s="188" t="str">
        <f>"   "&amp;Labels!B101</f>
        <v xml:space="preserve">   Gross Margin %</v>
      </c>
      <c r="B20" s="218">
        <f>IF(Practices!B56=0,0,Practices!B132/Practices!B56)</f>
        <v>0</v>
      </c>
      <c r="C20" s="218">
        <f>IF(Practices!C56=0,0,Practices!C132/Practices!C56)</f>
        <v>0</v>
      </c>
      <c r="D20" s="218">
        <f>IF(Practices!D56=0,0,Practices!D132/Practices!D56)</f>
        <v>0.95238095238095233</v>
      </c>
      <c r="E20" s="219">
        <f>IF(SUM(Practices!B56:D56)=0,0,SUM(Practices!B132:D132)/SUM(Practices!B56:D56))</f>
        <v>0.95238095238095233</v>
      </c>
      <c r="F20" s="218">
        <f>IF(Practices!F56=0,0,Practices!F132/Practices!F56)</f>
        <v>0.95238095238095233</v>
      </c>
      <c r="G20" s="218">
        <f>IF(Practices!G56=0,0,Practices!G132/Practices!G56)</f>
        <v>0</v>
      </c>
      <c r="H20" s="218">
        <f>IF(Practices!H56=0,0,Practices!H132/Practices!H56)</f>
        <v>0.95238095238095233</v>
      </c>
      <c r="I20" s="219">
        <f>IF(SUM(Practices!F56:H56)=0,0,SUM(Practices!F132:H132)/SUM(Practices!F56:H56))</f>
        <v>0.95238095238095233</v>
      </c>
      <c r="J20" s="218">
        <f>IF(Practices!J56=0,0,Practices!J132/Practices!J56)</f>
        <v>0.27950254830809501</v>
      </c>
      <c r="K20" s="218">
        <f>IF(Practices!K56=0,0,Practices!K132/Practices!K56)</f>
        <v>0.10920857270437984</v>
      </c>
      <c r="L20" s="218">
        <f>IF(Practices!L56=0,0,Practices!L132/Practices!L56)</f>
        <v>0</v>
      </c>
      <c r="M20" s="219">
        <f>IF(SUM(Practices!J56:L56)=0,0,SUM(Practices!J132:L132)/SUM(Practices!J56:L56))</f>
        <v>0.1943555605062374</v>
      </c>
      <c r="N20" s="218">
        <f>IF(Practices!N56=0,0,Practices!N132/Practices!N56)</f>
        <v>0</v>
      </c>
      <c r="O20" s="218">
        <f>IF(Practices!O56=0,0,Practices!O132/Practices!O56)</f>
        <v>0</v>
      </c>
      <c r="P20" s="218">
        <f>IF(Practices!P56=0,0,Practices!P132/Practices!P56)</f>
        <v>0</v>
      </c>
      <c r="Q20" s="219">
        <f>IF(SUM(Practices!N56:P56)=0,0,SUM(Practices!N132:P132)/SUM(Practices!N56:P56))</f>
        <v>0</v>
      </c>
      <c r="R20" s="218">
        <f>IF(Practices!R56=0,0,Practices!R132/Practices!R56)</f>
        <v>0</v>
      </c>
      <c r="S20" s="218">
        <f>IF(Practices!S56=0,0,Practices!S132/Practices!S56)</f>
        <v>0</v>
      </c>
      <c r="T20" s="218">
        <f>IF(Practices!T56=0,0,Practices!T132/Practices!T56)</f>
        <v>0</v>
      </c>
      <c r="U20" s="219">
        <f>IF(SUM(Practices!R56:T56)=0,0,SUM(Practices!R132:T132)/SUM(Practices!R56:T56))</f>
        <v>0</v>
      </c>
      <c r="V20" s="218">
        <f>IF(Practices!V56=0,0,Practices!V132/Practices!V56)</f>
        <v>0</v>
      </c>
      <c r="W20" s="218">
        <f>IF(Practices!W56=0,0,Practices!W132/Practices!W56)</f>
        <v>0</v>
      </c>
      <c r="X20" s="218">
        <f>IF(Practices!X56=0,0,Practices!X132/Practices!X56)</f>
        <v>0</v>
      </c>
      <c r="Y20" s="219">
        <f>IF(SUM(Practices!V56:X56)=0,0,SUM(Practices!V132:X132)/SUM(Practices!V56:X56))</f>
        <v>0</v>
      </c>
    </row>
    <row r="21" spans="1:25" ht="12.75" hidden="1" customHeight="1" outlineLevel="1" x14ac:dyDescent="0.2">
      <c r="A21" s="191" t="str">
        <f>Labels!B318</f>
        <v>Channels 2</v>
      </c>
      <c r="B21" s="3"/>
      <c r="C21" s="3"/>
      <c r="D21" s="3"/>
      <c r="E21" s="191"/>
      <c r="F21" s="3"/>
      <c r="G21" s="3"/>
      <c r="H21" s="3"/>
      <c r="I21" s="191"/>
      <c r="J21" s="3"/>
      <c r="K21" s="3"/>
      <c r="L21" s="3"/>
      <c r="M21" s="191"/>
      <c r="N21" s="3"/>
      <c r="O21" s="3"/>
      <c r="P21" s="3"/>
      <c r="Q21" s="191"/>
      <c r="R21" s="3"/>
      <c r="S21" s="3"/>
      <c r="T21" s="3"/>
      <c r="U21" s="191"/>
      <c r="V21" s="3"/>
      <c r="W21" s="3"/>
      <c r="X21" s="3"/>
      <c r="Y21" s="191"/>
    </row>
    <row r="22" spans="1:25" ht="12.75" hidden="1" customHeight="1" outlineLevel="1" x14ac:dyDescent="0.2">
      <c r="A22" s="188" t="str">
        <f>"   "&amp;Labels!B99</f>
        <v xml:space="preserve">   Gross Margin</v>
      </c>
      <c r="B22" s="196">
        <f>SUM(B122,B125)</f>
        <v>0</v>
      </c>
      <c r="C22" s="196">
        <f>SUM(C122,C125)</f>
        <v>0</v>
      </c>
      <c r="D22" s="196">
        <f>SUM(D122,D125)</f>
        <v>55000</v>
      </c>
      <c r="E22" s="197">
        <f>SUM(B22:D22)</f>
        <v>55000</v>
      </c>
      <c r="F22" s="196">
        <f>SUM(F122,F125)</f>
        <v>55000</v>
      </c>
      <c r="G22" s="196">
        <f>SUM(G122,G125)</f>
        <v>0</v>
      </c>
      <c r="H22" s="196">
        <f>SUM(H122,H125)</f>
        <v>40000</v>
      </c>
      <c r="I22" s="197">
        <f>SUM(F22:H22)</f>
        <v>95000</v>
      </c>
      <c r="J22" s="196">
        <f>SUM(J122,J125)</f>
        <v>40000</v>
      </c>
      <c r="K22" s="196">
        <f>SUM(K122,K125)</f>
        <v>32917.352010716793</v>
      </c>
      <c r="L22" s="196">
        <f>SUM(L122,L125)</f>
        <v>0</v>
      </c>
      <c r="M22" s="197">
        <f>SUM(J22:L22)</f>
        <v>72917.352010716801</v>
      </c>
      <c r="N22" s="196">
        <f>SUM(N122,N125)</f>
        <v>0</v>
      </c>
      <c r="O22" s="196">
        <f>SUM(O122,O125)</f>
        <v>0</v>
      </c>
      <c r="P22" s="196">
        <f>SUM(P122,P125)</f>
        <v>0</v>
      </c>
      <c r="Q22" s="197">
        <f>SUM(N22:P22)</f>
        <v>0</v>
      </c>
      <c r="R22" s="196">
        <f>SUM(R122,R125)</f>
        <v>0</v>
      </c>
      <c r="S22" s="196">
        <f>SUM(S122,S125)</f>
        <v>0</v>
      </c>
      <c r="T22" s="196">
        <f>SUM(T122,T125)</f>
        <v>0</v>
      </c>
      <c r="U22" s="197">
        <f>SUM(R22:T22)</f>
        <v>0</v>
      </c>
      <c r="V22" s="196">
        <f>SUM(V122,V125)</f>
        <v>0</v>
      </c>
      <c r="W22" s="196">
        <f>SUM(W122,W125)</f>
        <v>0</v>
      </c>
      <c r="X22" s="196">
        <f>SUM(X122,X125)</f>
        <v>0</v>
      </c>
      <c r="Y22" s="197">
        <f>SUM(V22:X22)</f>
        <v>0</v>
      </c>
    </row>
    <row r="23" spans="1:25" ht="12.75" hidden="1" customHeight="1" outlineLevel="1" x14ac:dyDescent="0.2">
      <c r="A23" s="188" t="str">
        <f>"   "&amp;Labels!B101</f>
        <v xml:space="preserve">   Gross Margin %</v>
      </c>
      <c r="B23" s="218">
        <f>IF(Practices!B57=0,0,Practices!B135/Practices!B57)</f>
        <v>0</v>
      </c>
      <c r="C23" s="218">
        <f>IF(Practices!C57=0,0,Practices!C135/Practices!C57)</f>
        <v>0</v>
      </c>
      <c r="D23" s="218">
        <f>IF(Practices!D57=0,0,Practices!D135/Practices!D57)</f>
        <v>1</v>
      </c>
      <c r="E23" s="219">
        <f>IF(SUM(Practices!B57:D57)=0,0,SUM(Practices!B135:D135)/SUM(Practices!B57:D57))</f>
        <v>1</v>
      </c>
      <c r="F23" s="218">
        <f>IF(Practices!F57=0,0,Practices!F135/Practices!F57)</f>
        <v>1</v>
      </c>
      <c r="G23" s="218">
        <f>IF(Practices!G57=0,0,Practices!G135/Practices!G57)</f>
        <v>0</v>
      </c>
      <c r="H23" s="218">
        <f>IF(Practices!H57=0,0,Practices!H135/Practices!H57)</f>
        <v>1</v>
      </c>
      <c r="I23" s="219">
        <f>IF(SUM(Practices!F57:H57)=0,0,SUM(Practices!F135:H135)/SUM(Practices!F57:H57))</f>
        <v>1</v>
      </c>
      <c r="J23" s="218">
        <f>IF(Practices!J57=0,0,Practices!J135/Practices!J57)</f>
        <v>1</v>
      </c>
      <c r="K23" s="218">
        <f>IF(Practices!K57=0,0,Practices!K135/Practices!K57)</f>
        <v>0.82293380026791985</v>
      </c>
      <c r="L23" s="218">
        <f>IF(Practices!L57=0,0,Practices!L135/Practices!L57)</f>
        <v>0</v>
      </c>
      <c r="M23" s="219">
        <f>IF(SUM(Practices!J57:L57)=0,0,SUM(Practices!J135:L135)/SUM(Practices!J57:L57))</f>
        <v>0.91146690013396003</v>
      </c>
      <c r="N23" s="218">
        <f>IF(Practices!N57=0,0,Practices!N135/Practices!N57)</f>
        <v>0</v>
      </c>
      <c r="O23" s="218">
        <f>IF(Practices!O57=0,0,Practices!O135/Practices!O57)</f>
        <v>0</v>
      </c>
      <c r="P23" s="218">
        <f>IF(Practices!P57=0,0,Practices!P135/Practices!P57)</f>
        <v>0</v>
      </c>
      <c r="Q23" s="219">
        <f>IF(SUM(Practices!N57:P57)=0,0,SUM(Practices!N135:P135)/SUM(Practices!N57:P57))</f>
        <v>0</v>
      </c>
      <c r="R23" s="218">
        <f>IF(Practices!R57=0,0,Practices!R135/Practices!R57)</f>
        <v>0</v>
      </c>
      <c r="S23" s="218">
        <f>IF(Practices!S57=0,0,Practices!S135/Practices!S57)</f>
        <v>0</v>
      </c>
      <c r="T23" s="218">
        <f>IF(Practices!T57=0,0,Practices!T135/Practices!T57)</f>
        <v>0</v>
      </c>
      <c r="U23" s="219">
        <f>IF(SUM(Practices!R57:T57)=0,0,SUM(Practices!R135:T135)/SUM(Practices!R57:T57))</f>
        <v>0</v>
      </c>
      <c r="V23" s="218">
        <f>IF(Practices!V57=0,0,Practices!V135/Practices!V57)</f>
        <v>0</v>
      </c>
      <c r="W23" s="218">
        <f>IF(Practices!W57=0,0,Practices!W135/Practices!W57)</f>
        <v>0</v>
      </c>
      <c r="X23" s="218">
        <f>IF(Practices!X57=0,0,Practices!X135/Practices!X57)</f>
        <v>0</v>
      </c>
      <c r="Y23" s="219">
        <f>IF(SUM(Practices!V57:X57)=0,0,SUM(Practices!V135:X135)/SUM(Practices!V57:X57))</f>
        <v>0</v>
      </c>
    </row>
    <row r="24" spans="1:25" ht="12.75" hidden="1" customHeight="1" outlineLevel="1" x14ac:dyDescent="0.2">
      <c r="A24" s="97" t="str">
        <f>Labels!C316</f>
        <v>Total</v>
      </c>
      <c r="B24" s="6"/>
      <c r="C24" s="6"/>
      <c r="D24" s="6"/>
      <c r="E24" s="97"/>
      <c r="F24" s="6"/>
      <c r="G24" s="6"/>
      <c r="H24" s="6"/>
      <c r="I24" s="97"/>
      <c r="J24" s="6"/>
      <c r="K24" s="6"/>
      <c r="L24" s="6"/>
      <c r="M24" s="97"/>
      <c r="N24" s="6"/>
      <c r="O24" s="6"/>
      <c r="P24" s="6"/>
      <c r="Q24" s="97"/>
      <c r="R24" s="6"/>
      <c r="S24" s="6"/>
      <c r="T24" s="6"/>
      <c r="U24" s="97"/>
      <c r="V24" s="6"/>
      <c r="W24" s="6"/>
      <c r="X24" s="6"/>
      <c r="Y24" s="97"/>
    </row>
    <row r="25" spans="1:25" ht="12.75" hidden="1" customHeight="1" outlineLevel="1" x14ac:dyDescent="0.2">
      <c r="A25" s="188" t="str">
        <f>"   "&amp;Labels!B99</f>
        <v xml:space="preserve">   Gross Margin</v>
      </c>
      <c r="B25" s="196">
        <f>SUM(B19,B22)</f>
        <v>0</v>
      </c>
      <c r="C25" s="196">
        <f>SUM(C19,C22)</f>
        <v>0</v>
      </c>
      <c r="D25" s="196">
        <f>SUM(D19,D22)</f>
        <v>110000</v>
      </c>
      <c r="E25" s="197">
        <f>SUM(B25:D25)</f>
        <v>110000</v>
      </c>
      <c r="F25" s="196">
        <f>SUM(F19,F22)</f>
        <v>110000</v>
      </c>
      <c r="G25" s="196">
        <f>SUM(G19,G22)</f>
        <v>0</v>
      </c>
      <c r="H25" s="196">
        <f>SUM(H19,H22)</f>
        <v>80000</v>
      </c>
      <c r="I25" s="197">
        <f>SUM(F25:H25)</f>
        <v>190000</v>
      </c>
      <c r="J25" s="196">
        <f>SUM(J19,J22)</f>
        <v>51739.107028939994</v>
      </c>
      <c r="K25" s="196">
        <f>SUM(K19,K22)</f>
        <v>37504.112064300745</v>
      </c>
      <c r="L25" s="196">
        <f>SUM(L19,L22)</f>
        <v>0</v>
      </c>
      <c r="M25" s="197">
        <f>SUM(J25:L25)</f>
        <v>89243.219093240739</v>
      </c>
      <c r="N25" s="196">
        <f>SUM(N19,N22)</f>
        <v>0</v>
      </c>
      <c r="O25" s="196">
        <f>SUM(O19,O22)</f>
        <v>0</v>
      </c>
      <c r="P25" s="196">
        <f>SUM(P19,P22)</f>
        <v>0</v>
      </c>
      <c r="Q25" s="197">
        <f>SUM(N25:P25)</f>
        <v>0</v>
      </c>
      <c r="R25" s="196">
        <f>SUM(R19,R22)</f>
        <v>0</v>
      </c>
      <c r="S25" s="196">
        <f>SUM(S19,S22)</f>
        <v>0</v>
      </c>
      <c r="T25" s="196">
        <f>SUM(T19,T22)</f>
        <v>0</v>
      </c>
      <c r="U25" s="197">
        <f>SUM(R25:T25)</f>
        <v>0</v>
      </c>
      <c r="V25" s="196">
        <f>SUM(V19,V22)</f>
        <v>0</v>
      </c>
      <c r="W25" s="196">
        <f>SUM(W19,W22)</f>
        <v>0</v>
      </c>
      <c r="X25" s="196">
        <f>SUM(X19,X22)</f>
        <v>0</v>
      </c>
      <c r="Y25" s="197">
        <f>SUM(V25:X25)</f>
        <v>0</v>
      </c>
    </row>
    <row r="26" spans="1:25" ht="12.75" hidden="1" customHeight="1" outlineLevel="1" x14ac:dyDescent="0.2">
      <c r="A26" s="220" t="str">
        <f>"   "&amp;Labels!B101</f>
        <v xml:space="preserve">   Gross Margin %</v>
      </c>
      <c r="B26" s="221">
        <f>IF(IncStmt!B6=0,0,IncStmt!B16/IncStmt!B6)</f>
        <v>0</v>
      </c>
      <c r="C26" s="221">
        <f>IF(IncStmt!C6=0,0,IncStmt!C16/IncStmt!C6)</f>
        <v>0</v>
      </c>
      <c r="D26" s="221">
        <f>IF(IncStmt!D6=0,0,IncStmt!D16/IncStmt!D6)</f>
        <v>0.97560975609756095</v>
      </c>
      <c r="E26" s="222">
        <f>IF(SUM(IncStmt!B6:D6)=0,0,SUM(IncStmt!B16:D16)/SUM(IncStmt!B6:D6))</f>
        <v>0.97560975609756095</v>
      </c>
      <c r="F26" s="221">
        <f>IF(IncStmt!F6=0,0,IncStmt!F16/IncStmt!F6)</f>
        <v>0.97560975609756095</v>
      </c>
      <c r="G26" s="221">
        <f>IF(IncStmt!G6=0,0,IncStmt!G16/IncStmt!G6)</f>
        <v>0</v>
      </c>
      <c r="H26" s="221">
        <f>IF(IncStmt!H6=0,0,IncStmt!H16/IncStmt!H6)</f>
        <v>0.97560975609756095</v>
      </c>
      <c r="I26" s="222">
        <f>IF(SUM(IncStmt!F6:H6)=0,0,SUM(IncStmt!F16:H16)/SUM(IncStmt!F6:H6))</f>
        <v>0.97560975609756095</v>
      </c>
      <c r="J26" s="221">
        <f>IF(IncStmt!J6=0,0,IncStmt!J16/IncStmt!J6)</f>
        <v>0.63096471986512193</v>
      </c>
      <c r="K26" s="221">
        <f>IF(IncStmt!K6=0,0,IncStmt!K16/IncStmt!K6)</f>
        <v>0.45736722029635057</v>
      </c>
      <c r="L26" s="221">
        <f>IF(IncStmt!L6=0,0,IncStmt!L16/IncStmt!L6)</f>
        <v>0</v>
      </c>
      <c r="M26" s="222">
        <f>IF(SUM(IncStmt!J6:L6)=0,0,SUM(IncStmt!J16:L16)/SUM(IncStmt!J6:L6))</f>
        <v>0.54416597008073619</v>
      </c>
      <c r="N26" s="221">
        <f>IF(IncStmt!N6=0,0,IncStmt!N16/IncStmt!N6)</f>
        <v>0</v>
      </c>
      <c r="O26" s="221">
        <f>IF(IncStmt!O6=0,0,IncStmt!O16/IncStmt!O6)</f>
        <v>0</v>
      </c>
      <c r="P26" s="221">
        <f>IF(IncStmt!P6=0,0,IncStmt!P16/IncStmt!P6)</f>
        <v>0</v>
      </c>
      <c r="Q26" s="222">
        <f>IF(SUM(IncStmt!N6:P6)=0,0,SUM(IncStmt!N16:P16)/SUM(IncStmt!N6:P6))</f>
        <v>0</v>
      </c>
      <c r="R26" s="221">
        <f>IF(IncStmt!R6=0,0,IncStmt!R16/IncStmt!R6)</f>
        <v>0</v>
      </c>
      <c r="S26" s="221">
        <f>IF(IncStmt!S6=0,0,IncStmt!S16/IncStmt!S6)</f>
        <v>0</v>
      </c>
      <c r="T26" s="221">
        <f>IF(IncStmt!T6=0,0,IncStmt!T16/IncStmt!T6)</f>
        <v>0</v>
      </c>
      <c r="U26" s="222">
        <f>IF(SUM(IncStmt!R6:T6)=0,0,SUM(IncStmt!R16:T16)/SUM(IncStmt!R6:T6))</f>
        <v>0</v>
      </c>
      <c r="V26" s="221">
        <f>IF(IncStmt!V6=0,0,IncStmt!V16/IncStmt!V6)</f>
        <v>0</v>
      </c>
      <c r="W26" s="221">
        <f>IF(IncStmt!W6=0,0,IncStmt!W16/IncStmt!W6)</f>
        <v>0</v>
      </c>
      <c r="X26" s="221">
        <f>IF(IncStmt!X6=0,0,IncStmt!X16/IncStmt!X6)</f>
        <v>0</v>
      </c>
      <c r="Y26" s="222">
        <f>IF(SUM(IncStmt!V6:X6)=0,0,SUM(IncStmt!V16:X16)/SUM(IncStmt!V6:X6))</f>
        <v>0</v>
      </c>
    </row>
    <row r="27" spans="1:25" ht="12.75" hidden="1" customHeight="1" outlineLevel="1" x14ac:dyDescent="0.2"/>
    <row r="28" spans="1:25" ht="12.75" hidden="1" customHeight="1" outlineLevel="1" x14ac:dyDescent="0.2">
      <c r="A28" s="3" t="str">
        <f>"Billed Hours"</f>
        <v>Billed Hours</v>
      </c>
    </row>
    <row r="29" spans="1:25" ht="12.75" hidden="1" customHeight="1" outlineLevel="2" x14ac:dyDescent="0.2">
      <c r="A29" s="3" t="str">
        <f>" "</f>
        <v xml:space="preserve"> </v>
      </c>
    </row>
    <row r="30" spans="1:25" ht="12.75" hidden="1" customHeight="1" outlineLevel="2" x14ac:dyDescent="0.2">
      <c r="B30" s="9" t="str">
        <f>'(FnCalls 1)'!F41</f>
        <v>MMM 2010</v>
      </c>
      <c r="C30" s="10" t="str">
        <f>'(FnCalls 1)'!F42</f>
        <v>MMM 2010</v>
      </c>
      <c r="D30" s="10" t="str">
        <f>'(FnCalls 1)'!F43</f>
        <v>MMM 2010</v>
      </c>
      <c r="E30" s="181" t="str">
        <f>'(FnCalls 1)'!G41</f>
        <v>Q1 2010</v>
      </c>
      <c r="F30" s="10" t="str">
        <f>'(FnCalls 1)'!F44</f>
        <v>MMM 2010</v>
      </c>
      <c r="G30" s="10" t="str">
        <f>'(FnCalls 1)'!F45</f>
        <v>MMM 2010</v>
      </c>
      <c r="H30" s="10" t="str">
        <f>'(FnCalls 1)'!F46</f>
        <v>MMM 2010</v>
      </c>
      <c r="I30" s="181" t="str">
        <f>'(FnCalls 1)'!G44</f>
        <v>Q2 2010</v>
      </c>
      <c r="J30" s="10" t="str">
        <f>'(FnCalls 1)'!F47</f>
        <v>MMM 2010</v>
      </c>
      <c r="K30" s="10" t="str">
        <f>'(FnCalls 1)'!F48</f>
        <v>MMM 2010</v>
      </c>
      <c r="L30" s="10" t="str">
        <f>'(FnCalls 1)'!F49</f>
        <v>MMM 2010</v>
      </c>
      <c r="M30" s="181" t="str">
        <f>'(FnCalls 1)'!G47</f>
        <v>Q3 2010</v>
      </c>
      <c r="N30" s="10" t="str">
        <f>'(FnCalls 1)'!F50</f>
        <v>MMM 2010</v>
      </c>
      <c r="O30" s="10" t="str">
        <f>'(FnCalls 1)'!F51</f>
        <v>MMM 2010</v>
      </c>
      <c r="P30" s="10" t="str">
        <f>'(FnCalls 1)'!F52</f>
        <v>MMM 2010</v>
      </c>
      <c r="Q30" s="181" t="str">
        <f>'(FnCalls 1)'!G50</f>
        <v>Q4 2010</v>
      </c>
      <c r="R30" s="10" t="str">
        <f>'(FnCalls 1)'!F53</f>
        <v>MMM 2011</v>
      </c>
      <c r="S30" s="10" t="str">
        <f>'(FnCalls 1)'!F54</f>
        <v>MMM 2011</v>
      </c>
      <c r="T30" s="10" t="str">
        <f>'(FnCalls 1)'!F55</f>
        <v>MMM 2011</v>
      </c>
      <c r="U30" s="181" t="str">
        <f>'(FnCalls 1)'!G53</f>
        <v>Q1 2011</v>
      </c>
      <c r="V30" s="10" t="str">
        <f>'(FnCalls 1)'!F56</f>
        <v>MMM 2011</v>
      </c>
      <c r="W30" s="10" t="str">
        <f>'(FnCalls 1)'!F57</f>
        <v>MMM 2011</v>
      </c>
      <c r="X30" s="10" t="str">
        <f>'(FnCalls 1)'!F58</f>
        <v>MMM 2011</v>
      </c>
      <c r="Y30" s="181" t="str">
        <f>'(FnCalls 1)'!G56</f>
        <v>Q2 2011</v>
      </c>
    </row>
    <row r="31" spans="1:25" ht="12.75" hidden="1" customHeight="1" outlineLevel="2" x14ac:dyDescent="0.2">
      <c r="A31" s="182" t="str">
        <f>Labels!B183</f>
        <v>Prof Staff Hours Billed</v>
      </c>
      <c r="B31" s="223"/>
      <c r="C31" s="223"/>
      <c r="D31" s="223"/>
      <c r="E31" s="224"/>
      <c r="F31" s="223"/>
      <c r="G31" s="223"/>
      <c r="H31" s="223"/>
      <c r="I31" s="224"/>
      <c r="J31" s="223"/>
      <c r="K31" s="223"/>
      <c r="L31" s="223"/>
      <c r="M31" s="224"/>
      <c r="N31" s="223"/>
      <c r="O31" s="223"/>
      <c r="P31" s="223"/>
      <c r="Q31" s="224"/>
      <c r="R31" s="223"/>
      <c r="S31" s="223"/>
      <c r="T31" s="223"/>
      <c r="U31" s="224"/>
      <c r="V31" s="223"/>
      <c r="W31" s="223"/>
      <c r="X31" s="223"/>
      <c r="Y31" s="224"/>
    </row>
    <row r="32" spans="1:25" ht="12.75" hidden="1" customHeight="1" outlineLevel="2" x14ac:dyDescent="0.2">
      <c r="A32" s="188" t="str">
        <f>"   "&amp;Labels!B317</f>
        <v xml:space="preserve">   Channels 1</v>
      </c>
      <c r="B32" s="166">
        <f t="shared" ref="B32:D33" si="0">SUM(B146,B150)</f>
        <v>0</v>
      </c>
      <c r="C32" s="166">
        <f t="shared" si="0"/>
        <v>0</v>
      </c>
      <c r="D32" s="166">
        <f t="shared" si="0"/>
        <v>275</v>
      </c>
      <c r="E32" s="225">
        <f>SUM(B32:D32)</f>
        <v>275</v>
      </c>
      <c r="F32" s="166">
        <f t="shared" ref="F32:H33" si="1">SUM(F146,F150)</f>
        <v>275</v>
      </c>
      <c r="G32" s="166">
        <f t="shared" si="1"/>
        <v>0</v>
      </c>
      <c r="H32" s="166">
        <f t="shared" si="1"/>
        <v>200</v>
      </c>
      <c r="I32" s="225">
        <f>SUM(F32:H32)</f>
        <v>475</v>
      </c>
      <c r="J32" s="166">
        <f t="shared" ref="J32:L33" si="2">SUM(J146,J150)</f>
        <v>200</v>
      </c>
      <c r="K32" s="166">
        <f t="shared" si="2"/>
        <v>200</v>
      </c>
      <c r="L32" s="166">
        <f t="shared" si="2"/>
        <v>0</v>
      </c>
      <c r="M32" s="225">
        <f>SUM(J32:L32)</f>
        <v>400</v>
      </c>
      <c r="N32" s="166">
        <f t="shared" ref="N32:P33" si="3">SUM(N146,N150)</f>
        <v>0</v>
      </c>
      <c r="O32" s="166">
        <f t="shared" si="3"/>
        <v>0</v>
      </c>
      <c r="P32" s="166">
        <f t="shared" si="3"/>
        <v>0</v>
      </c>
      <c r="Q32" s="225">
        <f>SUM(N32:P32)</f>
        <v>0</v>
      </c>
      <c r="R32" s="166">
        <f t="shared" ref="R32:T33" si="4">SUM(R146,R150)</f>
        <v>0</v>
      </c>
      <c r="S32" s="166">
        <f t="shared" si="4"/>
        <v>0</v>
      </c>
      <c r="T32" s="166">
        <f t="shared" si="4"/>
        <v>0</v>
      </c>
      <c r="U32" s="225">
        <f>SUM(R32:T32)</f>
        <v>0</v>
      </c>
      <c r="V32" s="166">
        <f t="shared" ref="V32:X33" si="5">SUM(V146,V150)</f>
        <v>0</v>
      </c>
      <c r="W32" s="166">
        <f t="shared" si="5"/>
        <v>0</v>
      </c>
      <c r="X32" s="166">
        <f t="shared" si="5"/>
        <v>0</v>
      </c>
      <c r="Y32" s="225">
        <f>SUM(V32:X32)</f>
        <v>0</v>
      </c>
    </row>
    <row r="33" spans="1:25" ht="12.75" hidden="1" customHeight="1" outlineLevel="2" x14ac:dyDescent="0.2">
      <c r="A33" s="188" t="str">
        <f>"   "&amp;Labels!B318</f>
        <v xml:space="preserve">   Channels 2</v>
      </c>
      <c r="B33" s="166">
        <f t="shared" si="0"/>
        <v>0</v>
      </c>
      <c r="C33" s="166">
        <f t="shared" si="0"/>
        <v>0</v>
      </c>
      <c r="D33" s="166">
        <f t="shared" si="0"/>
        <v>275</v>
      </c>
      <c r="E33" s="225">
        <f>SUM(B33:D33)</f>
        <v>275</v>
      </c>
      <c r="F33" s="166">
        <f t="shared" si="1"/>
        <v>275</v>
      </c>
      <c r="G33" s="166">
        <f t="shared" si="1"/>
        <v>0</v>
      </c>
      <c r="H33" s="166">
        <f t="shared" si="1"/>
        <v>200</v>
      </c>
      <c r="I33" s="225">
        <f>SUM(F33:H33)</f>
        <v>475</v>
      </c>
      <c r="J33" s="166">
        <f t="shared" si="2"/>
        <v>200</v>
      </c>
      <c r="K33" s="166">
        <f t="shared" si="2"/>
        <v>200</v>
      </c>
      <c r="L33" s="166">
        <f t="shared" si="2"/>
        <v>0</v>
      </c>
      <c r="M33" s="225">
        <f>SUM(J33:L33)</f>
        <v>400</v>
      </c>
      <c r="N33" s="166">
        <f t="shared" si="3"/>
        <v>0</v>
      </c>
      <c r="O33" s="166">
        <f t="shared" si="3"/>
        <v>0</v>
      </c>
      <c r="P33" s="166">
        <f t="shared" si="3"/>
        <v>0</v>
      </c>
      <c r="Q33" s="225">
        <f>SUM(N33:P33)</f>
        <v>0</v>
      </c>
      <c r="R33" s="166">
        <f t="shared" si="4"/>
        <v>0</v>
      </c>
      <c r="S33" s="166">
        <f t="shared" si="4"/>
        <v>0</v>
      </c>
      <c r="T33" s="166">
        <f t="shared" si="4"/>
        <v>0</v>
      </c>
      <c r="U33" s="225">
        <f>SUM(R33:T33)</f>
        <v>0</v>
      </c>
      <c r="V33" s="166">
        <f t="shared" si="5"/>
        <v>0</v>
      </c>
      <c r="W33" s="166">
        <f t="shared" si="5"/>
        <v>0</v>
      </c>
      <c r="X33" s="166">
        <f t="shared" si="5"/>
        <v>0</v>
      </c>
      <c r="Y33" s="225">
        <f>SUM(V33:X33)</f>
        <v>0</v>
      </c>
    </row>
    <row r="34" spans="1:25" ht="12.75" hidden="1" customHeight="1" outlineLevel="2" x14ac:dyDescent="0.2">
      <c r="A34" s="191" t="str">
        <f>"   "&amp;Labels!C316</f>
        <v xml:space="preserve">   Total</v>
      </c>
      <c r="B34" s="216">
        <f>SUM(B32:B33)</f>
        <v>0</v>
      </c>
      <c r="C34" s="216">
        <f>SUM(C32:C33)</f>
        <v>0</v>
      </c>
      <c r="D34" s="216">
        <f>SUM(D32:D33)</f>
        <v>550</v>
      </c>
      <c r="E34" s="217">
        <f>SUM(B34:D34)</f>
        <v>550</v>
      </c>
      <c r="F34" s="216">
        <f>SUM(F32:F33)</f>
        <v>550</v>
      </c>
      <c r="G34" s="216">
        <f>SUM(G32:G33)</f>
        <v>0</v>
      </c>
      <c r="H34" s="216">
        <f>SUM(H32:H33)</f>
        <v>400</v>
      </c>
      <c r="I34" s="217">
        <f>SUM(F34:H34)</f>
        <v>950</v>
      </c>
      <c r="J34" s="216">
        <f>SUM(J32:J33)</f>
        <v>400</v>
      </c>
      <c r="K34" s="216">
        <f>SUM(K32:K33)</f>
        <v>400</v>
      </c>
      <c r="L34" s="216">
        <f>SUM(L32:L33)</f>
        <v>0</v>
      </c>
      <c r="M34" s="217">
        <f>SUM(J34:L34)</f>
        <v>800</v>
      </c>
      <c r="N34" s="216">
        <f>SUM(N32:N33)</f>
        <v>0</v>
      </c>
      <c r="O34" s="216">
        <f>SUM(O32:O33)</f>
        <v>0</v>
      </c>
      <c r="P34" s="216">
        <f>SUM(P32:P33)</f>
        <v>0</v>
      </c>
      <c r="Q34" s="217">
        <f>SUM(N34:P34)</f>
        <v>0</v>
      </c>
      <c r="R34" s="216">
        <f>SUM(R32:R33)</f>
        <v>0</v>
      </c>
      <c r="S34" s="216">
        <f>SUM(S32:S33)</f>
        <v>0</v>
      </c>
      <c r="T34" s="216">
        <f>SUM(T32:T33)</f>
        <v>0</v>
      </c>
      <c r="U34" s="217">
        <f>SUM(R34:T34)</f>
        <v>0</v>
      </c>
      <c r="V34" s="216">
        <f>SUM(V32:V33)</f>
        <v>0</v>
      </c>
      <c r="W34" s="216">
        <f>SUM(W32:W33)</f>
        <v>0</v>
      </c>
      <c r="X34" s="216">
        <f>SUM(X32:X33)</f>
        <v>0</v>
      </c>
      <c r="Y34" s="217">
        <f>SUM(V34:X34)</f>
        <v>0</v>
      </c>
    </row>
    <row r="35" spans="1:25" ht="12.75" hidden="1" customHeight="1" outlineLevel="2" x14ac:dyDescent="0.2">
      <c r="A35" s="97"/>
      <c r="B35" s="6"/>
      <c r="C35" s="6"/>
      <c r="D35" s="6"/>
      <c r="E35" s="97"/>
      <c r="F35" s="6"/>
      <c r="G35" s="6"/>
      <c r="H35" s="6"/>
      <c r="I35" s="97"/>
      <c r="J35" s="6"/>
      <c r="K35" s="6"/>
      <c r="L35" s="6"/>
      <c r="M35" s="97"/>
      <c r="N35" s="6"/>
      <c r="O35" s="6"/>
      <c r="P35" s="6"/>
      <c r="Q35" s="97"/>
      <c r="R35" s="6"/>
      <c r="S35" s="6"/>
      <c r="T35" s="6"/>
      <c r="U35" s="97"/>
      <c r="V35" s="6"/>
      <c r="W35" s="6"/>
      <c r="X35" s="6"/>
      <c r="Y35" s="97"/>
    </row>
    <row r="36" spans="1:25" ht="12.75" hidden="1" customHeight="1" outlineLevel="2" x14ac:dyDescent="0.2">
      <c r="A36" s="191" t="str">
        <f>Labels!B186</f>
        <v>Billed Hours Growth</v>
      </c>
      <c r="B36" s="211"/>
      <c r="C36" s="211"/>
      <c r="D36" s="211"/>
      <c r="E36" s="210"/>
      <c r="F36" s="211"/>
      <c r="G36" s="211"/>
      <c r="H36" s="211"/>
      <c r="I36" s="210"/>
      <c r="J36" s="211"/>
      <c r="K36" s="211"/>
      <c r="L36" s="211"/>
      <c r="M36" s="210"/>
      <c r="N36" s="211"/>
      <c r="O36" s="211"/>
      <c r="P36" s="211"/>
      <c r="Q36" s="210"/>
      <c r="R36" s="211"/>
      <c r="S36" s="211"/>
      <c r="T36" s="211"/>
      <c r="U36" s="210"/>
      <c r="V36" s="211"/>
      <c r="W36" s="211"/>
      <c r="X36" s="211"/>
      <c r="Y36" s="210"/>
    </row>
    <row r="37" spans="1:25" ht="12.75" hidden="1" customHeight="1" outlineLevel="2" x14ac:dyDescent="0.2">
      <c r="A37" s="188" t="str">
        <f>"   "&amp;Labels!B317</f>
        <v xml:space="preserve">   Channels 1</v>
      </c>
      <c r="B37" s="218"/>
      <c r="C37" s="218" t="str">
        <f>IF(Practices!B154=0," ",Practices!C154/Practices!B154-1)</f>
        <v xml:space="preserve"> </v>
      </c>
      <c r="D37" s="218" t="str">
        <f>IF(Practices!C154=0," ",Practices!D154/Practices!C154-1)</f>
        <v xml:space="preserve"> </v>
      </c>
      <c r="E37" s="219" t="str">
        <f>IF(0=0," ",SUM(Practices!B154:D154)/0-1)</f>
        <v xml:space="preserve"> </v>
      </c>
      <c r="F37" s="218">
        <f>IF(Practices!D154=0," ",Practices!F154/Practices!D154-1)</f>
        <v>0</v>
      </c>
      <c r="G37" s="218">
        <f>IF(Practices!F154=0," ",Practices!G154/Practices!F154-1)</f>
        <v>-1</v>
      </c>
      <c r="H37" s="218" t="str">
        <f>IF(Practices!G154=0," ",Practices!H154/Practices!G154-1)</f>
        <v xml:space="preserve"> </v>
      </c>
      <c r="I37" s="219">
        <f>IF(SUM(Practices!B154:D154)=0," ",SUM(Practices!F154:H154)/SUM(Practices!B154:D154)-1)</f>
        <v>0.72727272727272729</v>
      </c>
      <c r="J37" s="218">
        <f>IF(Practices!H154=0," ",Practices!J154/Practices!H154-1)</f>
        <v>0</v>
      </c>
      <c r="K37" s="218">
        <f>IF(Practices!J154=0," ",Practices!K154/Practices!J154-1)</f>
        <v>0</v>
      </c>
      <c r="L37" s="218">
        <f>IF(Practices!K154=0," ",Practices!L154/Practices!K154-1)</f>
        <v>-1</v>
      </c>
      <c r="M37" s="219">
        <f>IF(SUM(Practices!F154:H154)=0," ",SUM(Practices!J154:L154)/SUM(Practices!F154:H154)-1)</f>
        <v>-0.15789473684210531</v>
      </c>
      <c r="N37" s="218" t="str">
        <f>IF(Practices!L154=0," ",Practices!N154/Practices!L154-1)</f>
        <v xml:space="preserve"> </v>
      </c>
      <c r="O37" s="218" t="str">
        <f>IF(Practices!N154=0," ",Practices!O154/Practices!N154-1)</f>
        <v xml:space="preserve"> </v>
      </c>
      <c r="P37" s="218" t="str">
        <f>IF(Practices!O154=0," ",Practices!P154/Practices!O154-1)</f>
        <v xml:space="preserve"> </v>
      </c>
      <c r="Q37" s="219">
        <f>IF(SUM(Practices!J154:L154)=0," ",SUM(Practices!N154:P154)/SUM(Practices!J154:L154)-1)</f>
        <v>-1</v>
      </c>
      <c r="R37" s="218" t="str">
        <f>IF(Practices!P154=0," ",Practices!R154/Practices!P154-1)</f>
        <v xml:space="preserve"> </v>
      </c>
      <c r="S37" s="218" t="str">
        <f>IF(Practices!R154=0," ",Practices!S154/Practices!R154-1)</f>
        <v xml:space="preserve"> </v>
      </c>
      <c r="T37" s="218" t="str">
        <f>IF(Practices!S154=0," ",Practices!T154/Practices!S154-1)</f>
        <v xml:space="preserve"> </v>
      </c>
      <c r="U37" s="219" t="str">
        <f>IF(SUM(Practices!N154:P154)=0," ",SUM(Practices!R154:T154)/SUM(Practices!N154:P154)-1)</f>
        <v xml:space="preserve"> </v>
      </c>
      <c r="V37" s="218" t="str">
        <f>IF(Practices!T154=0," ",Practices!V154/Practices!T154-1)</f>
        <v xml:space="preserve"> </v>
      </c>
      <c r="W37" s="218" t="str">
        <f>IF(Practices!V154=0," ",Practices!W154/Practices!V154-1)</f>
        <v xml:space="preserve"> </v>
      </c>
      <c r="X37" s="218" t="str">
        <f>IF(Practices!W154=0," ",Practices!X154/Practices!W154-1)</f>
        <v xml:space="preserve"> </v>
      </c>
      <c r="Y37" s="219" t="str">
        <f>IF(SUM(Practices!R154:T154)=0," ",SUM(Practices!V154:X154)/SUM(Practices!R154:T154)-1)</f>
        <v xml:space="preserve"> </v>
      </c>
    </row>
    <row r="38" spans="1:25" ht="12.75" hidden="1" customHeight="1" outlineLevel="2" x14ac:dyDescent="0.2">
      <c r="A38" s="188" t="str">
        <f>"   "&amp;Labels!B318</f>
        <v xml:space="preserve">   Channels 2</v>
      </c>
      <c r="B38" s="218"/>
      <c r="C38" s="218" t="str">
        <f>IF(Practices!B155=0," ",Practices!C155/Practices!B155-1)</f>
        <v xml:space="preserve"> </v>
      </c>
      <c r="D38" s="218" t="str">
        <f>IF(Practices!C155=0," ",Practices!D155/Practices!C155-1)</f>
        <v xml:space="preserve"> </v>
      </c>
      <c r="E38" s="219" t="str">
        <f>IF(0=0," ",SUM(Practices!B155:D155)/0-1)</f>
        <v xml:space="preserve"> </v>
      </c>
      <c r="F38" s="218">
        <f>IF(Practices!D155=0," ",Practices!F155/Practices!D155-1)</f>
        <v>0</v>
      </c>
      <c r="G38" s="218">
        <f>IF(Practices!F155=0," ",Practices!G155/Practices!F155-1)</f>
        <v>-1</v>
      </c>
      <c r="H38" s="218" t="str">
        <f>IF(Practices!G155=0," ",Practices!H155/Practices!G155-1)</f>
        <v xml:space="preserve"> </v>
      </c>
      <c r="I38" s="219">
        <f>IF(SUM(Practices!B155:D155)=0," ",SUM(Practices!F155:H155)/SUM(Practices!B155:D155)-1)</f>
        <v>0.72727272727272729</v>
      </c>
      <c r="J38" s="218">
        <f>IF(Practices!H155=0," ",Practices!J155/Practices!H155-1)</f>
        <v>0</v>
      </c>
      <c r="K38" s="218">
        <f>IF(Practices!J155=0," ",Practices!K155/Practices!J155-1)</f>
        <v>0</v>
      </c>
      <c r="L38" s="218">
        <f>IF(Practices!K155=0," ",Practices!L155/Practices!K155-1)</f>
        <v>-1</v>
      </c>
      <c r="M38" s="219">
        <f>IF(SUM(Practices!F155:H155)=0," ",SUM(Practices!J155:L155)/SUM(Practices!F155:H155)-1)</f>
        <v>-0.15789473684210531</v>
      </c>
      <c r="N38" s="218" t="str">
        <f>IF(Practices!L155=0," ",Practices!N155/Practices!L155-1)</f>
        <v xml:space="preserve"> </v>
      </c>
      <c r="O38" s="218" t="str">
        <f>IF(Practices!N155=0," ",Practices!O155/Practices!N155-1)</f>
        <v xml:space="preserve"> </v>
      </c>
      <c r="P38" s="218" t="str">
        <f>IF(Practices!O155=0," ",Practices!P155/Practices!O155-1)</f>
        <v xml:space="preserve"> </v>
      </c>
      <c r="Q38" s="219">
        <f>IF(SUM(Practices!J155:L155)=0," ",SUM(Practices!N155:P155)/SUM(Practices!J155:L155)-1)</f>
        <v>-1</v>
      </c>
      <c r="R38" s="218" t="str">
        <f>IF(Practices!P155=0," ",Practices!R155/Practices!P155-1)</f>
        <v xml:space="preserve"> </v>
      </c>
      <c r="S38" s="218" t="str">
        <f>IF(Practices!R155=0," ",Practices!S155/Practices!R155-1)</f>
        <v xml:space="preserve"> </v>
      </c>
      <c r="T38" s="218" t="str">
        <f>IF(Practices!S155=0," ",Practices!T155/Practices!S155-1)</f>
        <v xml:space="preserve"> </v>
      </c>
      <c r="U38" s="219" t="str">
        <f>IF(SUM(Practices!N155:P155)=0," ",SUM(Practices!R155:T155)/SUM(Practices!N155:P155)-1)</f>
        <v xml:space="preserve"> </v>
      </c>
      <c r="V38" s="218" t="str">
        <f>IF(Practices!T155=0," ",Practices!V155/Practices!T155-1)</f>
        <v xml:space="preserve"> </v>
      </c>
      <c r="W38" s="218" t="str">
        <f>IF(Practices!V155=0," ",Practices!W155/Practices!V155-1)</f>
        <v xml:space="preserve"> </v>
      </c>
      <c r="X38" s="218" t="str">
        <f>IF(Practices!W155=0," ",Practices!X155/Practices!W155-1)</f>
        <v xml:space="preserve"> </v>
      </c>
      <c r="Y38" s="219" t="str">
        <f>IF(SUM(Practices!R155:T155)=0," ",SUM(Practices!V155:X155)/SUM(Practices!R155:T155)-1)</f>
        <v xml:space="preserve"> </v>
      </c>
    </row>
    <row r="39" spans="1:25" ht="12.75" hidden="1" customHeight="1" outlineLevel="2" x14ac:dyDescent="0.2">
      <c r="A39" s="185" t="str">
        <f>"   "&amp;Labels!C316</f>
        <v xml:space="preserve">   Total</v>
      </c>
      <c r="B39" s="186"/>
      <c r="C39" s="186" t="str">
        <f>IF(Practices!B34=0," ",Practices!C34/Practices!B34-1)</f>
        <v xml:space="preserve"> </v>
      </c>
      <c r="D39" s="186" t="str">
        <f>IF(Practices!C34=0," ",Practices!D34/Practices!C34-1)</f>
        <v xml:space="preserve"> </v>
      </c>
      <c r="E39" s="187" t="str">
        <f>IF(0=0," ",SUM(Practices!B34:D34)/0-1)</f>
        <v xml:space="preserve"> </v>
      </c>
      <c r="F39" s="186">
        <f>IF(Practices!D34=0," ",Practices!F34/Practices!D34-1)</f>
        <v>0</v>
      </c>
      <c r="G39" s="186">
        <f>IF(Practices!F34=0," ",Practices!G34/Practices!F34-1)</f>
        <v>-1</v>
      </c>
      <c r="H39" s="186" t="str">
        <f>IF(Practices!G34=0," ",Practices!H34/Practices!G34-1)</f>
        <v xml:space="preserve"> </v>
      </c>
      <c r="I39" s="187">
        <f>IF(SUM(Practices!B34:D34)=0," ",SUM(Practices!F34:H34)/SUM(Practices!B34:D34)-1)</f>
        <v>0.72727272727272729</v>
      </c>
      <c r="J39" s="186">
        <f>IF(Practices!H34=0," ",Practices!J34/Practices!H34-1)</f>
        <v>0</v>
      </c>
      <c r="K39" s="186">
        <f>IF(Practices!J34=0," ",Practices!K34/Practices!J34-1)</f>
        <v>0</v>
      </c>
      <c r="L39" s="186">
        <f>IF(Practices!K34=0," ",Practices!L34/Practices!K34-1)</f>
        <v>-1</v>
      </c>
      <c r="M39" s="187">
        <f>IF(SUM(Practices!F34:H34)=0," ",SUM(Practices!J34:L34)/SUM(Practices!F34:H34)-1)</f>
        <v>-0.15789473684210531</v>
      </c>
      <c r="N39" s="186" t="str">
        <f>IF(Practices!L34=0," ",Practices!N34/Practices!L34-1)</f>
        <v xml:space="preserve"> </v>
      </c>
      <c r="O39" s="186" t="str">
        <f>IF(Practices!N34=0," ",Practices!O34/Practices!N34-1)</f>
        <v xml:space="preserve"> </v>
      </c>
      <c r="P39" s="186" t="str">
        <f>IF(Practices!O34=0," ",Practices!P34/Practices!O34-1)</f>
        <v xml:space="preserve"> </v>
      </c>
      <c r="Q39" s="187">
        <f>IF(SUM(Practices!J34:L34)=0," ",SUM(Practices!N34:P34)/SUM(Practices!J34:L34)-1)</f>
        <v>-1</v>
      </c>
      <c r="R39" s="186" t="str">
        <f>IF(Practices!P34=0," ",Practices!R34/Practices!P34-1)</f>
        <v xml:space="preserve"> </v>
      </c>
      <c r="S39" s="186" t="str">
        <f>IF(Practices!R34=0," ",Practices!S34/Practices!R34-1)</f>
        <v xml:space="preserve"> </v>
      </c>
      <c r="T39" s="186" t="str">
        <f>IF(Practices!S34=0," ",Practices!T34/Practices!S34-1)</f>
        <v xml:space="preserve"> </v>
      </c>
      <c r="U39" s="187" t="str">
        <f>IF(SUM(Practices!N34:P34)=0," ",SUM(Practices!R34:T34)/SUM(Practices!N34:P34)-1)</f>
        <v xml:space="preserve"> </v>
      </c>
      <c r="V39" s="186" t="str">
        <f>IF(Practices!T34=0," ",Practices!V34/Practices!T34-1)</f>
        <v xml:space="preserve"> </v>
      </c>
      <c r="W39" s="186" t="str">
        <f>IF(Practices!V34=0," ",Practices!W34/Practices!V34-1)</f>
        <v xml:space="preserve"> </v>
      </c>
      <c r="X39" s="186" t="str">
        <f>IF(Practices!W34=0," ",Practices!X34/Practices!W34-1)</f>
        <v xml:space="preserve"> </v>
      </c>
      <c r="Y39" s="187" t="str">
        <f>IF(SUM(Practices!R34:T34)=0," ",SUM(Practices!V34:X34)/SUM(Practices!R34:T34)-1)</f>
        <v xml:space="preserve"> </v>
      </c>
    </row>
    <row r="40" spans="1:25" ht="12.75" hidden="1" customHeight="1" outlineLevel="2" collapsed="1" x14ac:dyDescent="0.2"/>
    <row r="41" spans="1:25" ht="12.75" hidden="1" customHeight="1" outlineLevel="1" collapsed="1" x14ac:dyDescent="0.2"/>
    <row r="42" spans="1:25" ht="12.75" customHeight="1" collapsed="1" x14ac:dyDescent="0.2"/>
    <row r="43" spans="1:25" ht="12.75" customHeight="1" collapsed="1" x14ac:dyDescent="0.2">
      <c r="A43" s="464" t="str">
        <f>"Channels and Practice Areas"</f>
        <v>Channels and Practice Areas</v>
      </c>
      <c r="B43" s="464"/>
    </row>
    <row r="44" spans="1:25" ht="12.75" hidden="1" customHeight="1" outlineLevel="1" x14ac:dyDescent="0.2">
      <c r="A44" s="1" t="str">
        <f>" "</f>
        <v xml:space="preserve"> </v>
      </c>
    </row>
    <row r="45" spans="1:25" ht="12.75" hidden="1" customHeight="1" outlineLevel="1" x14ac:dyDescent="0.2">
      <c r="B45" s="9" t="str">
        <f>'(FnCalls 1)'!F41</f>
        <v>MMM 2010</v>
      </c>
      <c r="C45" s="10" t="str">
        <f>'(FnCalls 1)'!F42</f>
        <v>MMM 2010</v>
      </c>
      <c r="D45" s="10" t="str">
        <f>'(FnCalls 1)'!F43</f>
        <v>MMM 2010</v>
      </c>
      <c r="E45" s="181" t="str">
        <f>'(FnCalls 1)'!G41</f>
        <v>Q1 2010</v>
      </c>
      <c r="F45" s="10" t="str">
        <f>'(FnCalls 1)'!F44</f>
        <v>MMM 2010</v>
      </c>
      <c r="G45" s="10" t="str">
        <f>'(FnCalls 1)'!F45</f>
        <v>MMM 2010</v>
      </c>
      <c r="H45" s="10" t="str">
        <f>'(FnCalls 1)'!F46</f>
        <v>MMM 2010</v>
      </c>
      <c r="I45" s="181" t="str">
        <f>'(FnCalls 1)'!G44</f>
        <v>Q2 2010</v>
      </c>
      <c r="J45" s="10" t="str">
        <f>'(FnCalls 1)'!F47</f>
        <v>MMM 2010</v>
      </c>
      <c r="K45" s="10" t="str">
        <f>'(FnCalls 1)'!F48</f>
        <v>MMM 2010</v>
      </c>
      <c r="L45" s="10" t="str">
        <f>'(FnCalls 1)'!F49</f>
        <v>MMM 2010</v>
      </c>
      <c r="M45" s="181" t="str">
        <f>'(FnCalls 1)'!G47</f>
        <v>Q3 2010</v>
      </c>
      <c r="N45" s="10" t="str">
        <f>'(FnCalls 1)'!F50</f>
        <v>MMM 2010</v>
      </c>
      <c r="O45" s="10" t="str">
        <f>'(FnCalls 1)'!F51</f>
        <v>MMM 2010</v>
      </c>
      <c r="P45" s="10" t="str">
        <f>'(FnCalls 1)'!F52</f>
        <v>MMM 2010</v>
      </c>
      <c r="Q45" s="181" t="str">
        <f>'(FnCalls 1)'!G50</f>
        <v>Q4 2010</v>
      </c>
      <c r="R45" s="10" t="str">
        <f>'(FnCalls 1)'!F53</f>
        <v>MMM 2011</v>
      </c>
      <c r="S45" s="10" t="str">
        <f>'(FnCalls 1)'!F54</f>
        <v>MMM 2011</v>
      </c>
      <c r="T45" s="10" t="str">
        <f>'(FnCalls 1)'!F55</f>
        <v>MMM 2011</v>
      </c>
      <c r="U45" s="181" t="str">
        <f>'(FnCalls 1)'!G53</f>
        <v>Q1 2011</v>
      </c>
      <c r="V45" s="10" t="str">
        <f>'(FnCalls 1)'!F56</f>
        <v>MMM 2011</v>
      </c>
      <c r="W45" s="10" t="str">
        <f>'(FnCalls 1)'!F57</f>
        <v>MMM 2011</v>
      </c>
      <c r="X45" s="10" t="str">
        <f>'(FnCalls 1)'!F58</f>
        <v>MMM 2011</v>
      </c>
      <c r="Y45" s="181" t="str">
        <f>'(FnCalls 1)'!G56</f>
        <v>Q2 2011</v>
      </c>
    </row>
    <row r="46" spans="1:25" ht="12.75" hidden="1" customHeight="1" outlineLevel="1" x14ac:dyDescent="0.2">
      <c r="A46" s="182" t="str">
        <f>Labels!B228</f>
        <v>Revenue</v>
      </c>
      <c r="B46" s="183"/>
      <c r="C46" s="183"/>
      <c r="D46" s="183"/>
      <c r="E46" s="184"/>
      <c r="F46" s="183"/>
      <c r="G46" s="183"/>
      <c r="H46" s="183"/>
      <c r="I46" s="184"/>
      <c r="J46" s="183"/>
      <c r="K46" s="183"/>
      <c r="L46" s="183"/>
      <c r="M46" s="184"/>
      <c r="N46" s="183"/>
      <c r="O46" s="183"/>
      <c r="P46" s="183"/>
      <c r="Q46" s="184"/>
      <c r="R46" s="183"/>
      <c r="S46" s="183"/>
      <c r="T46" s="183"/>
      <c r="U46" s="184"/>
      <c r="V46" s="183"/>
      <c r="W46" s="183"/>
      <c r="X46" s="183"/>
      <c r="Y46" s="184"/>
    </row>
    <row r="47" spans="1:25" ht="12.75" hidden="1" customHeight="1" outlineLevel="1" x14ac:dyDescent="0.2">
      <c r="A47" s="188" t="str">
        <f>"   "&amp;Labels!B317</f>
        <v xml:space="preserve">   Channels 1</v>
      </c>
      <c r="B47" s="196"/>
      <c r="C47" s="196"/>
      <c r="D47" s="196"/>
      <c r="E47" s="197"/>
      <c r="F47" s="196"/>
      <c r="G47" s="196"/>
      <c r="H47" s="196"/>
      <c r="I47" s="197"/>
      <c r="J47" s="196"/>
      <c r="K47" s="196"/>
      <c r="L47" s="196"/>
      <c r="M47" s="197"/>
      <c r="N47" s="196"/>
      <c r="O47" s="196"/>
      <c r="P47" s="196"/>
      <c r="Q47" s="197"/>
      <c r="R47" s="196"/>
      <c r="S47" s="196"/>
      <c r="T47" s="196"/>
      <c r="U47" s="197"/>
      <c r="V47" s="196"/>
      <c r="W47" s="196"/>
      <c r="X47" s="196"/>
      <c r="Y47" s="197"/>
    </row>
    <row r="48" spans="1:25" ht="12.75" hidden="1" customHeight="1" outlineLevel="1" x14ac:dyDescent="0.2">
      <c r="A48" s="198" t="str">
        <f>"      "&amp;Labels!B381</f>
        <v xml:space="preserve">      Practice 1</v>
      </c>
      <c r="B48" s="226">
        <f>SUM(B180:B181)</f>
        <v>0</v>
      </c>
      <c r="C48" s="226">
        <f>SUM(C180:C181)</f>
        <v>0</v>
      </c>
      <c r="D48" s="226">
        <f>SUM(D180:D181)</f>
        <v>57750</v>
      </c>
      <c r="E48" s="227">
        <f>SUM(B48:D48)</f>
        <v>57750</v>
      </c>
      <c r="F48" s="226">
        <f>SUM(F180:F181)</f>
        <v>57750</v>
      </c>
      <c r="G48" s="226">
        <f>SUM(G180:G181)</f>
        <v>0</v>
      </c>
      <c r="H48" s="226">
        <f>SUM(H180:H181)</f>
        <v>42000</v>
      </c>
      <c r="I48" s="227">
        <f>SUM(F48:H48)</f>
        <v>99750</v>
      </c>
      <c r="J48" s="226">
        <f>SUM(J180:J181)</f>
        <v>42000</v>
      </c>
      <c r="K48" s="226">
        <f>SUM(K180:K181)</f>
        <v>42000</v>
      </c>
      <c r="L48" s="226">
        <f>SUM(L180:L181)</f>
        <v>0</v>
      </c>
      <c r="M48" s="227">
        <f>SUM(J48:L48)</f>
        <v>84000</v>
      </c>
      <c r="N48" s="226">
        <f>SUM(N180:N181)</f>
        <v>0</v>
      </c>
      <c r="O48" s="226">
        <f>SUM(O180:O181)</f>
        <v>0</v>
      </c>
      <c r="P48" s="226">
        <f>SUM(P180:P181)</f>
        <v>0</v>
      </c>
      <c r="Q48" s="227">
        <f>SUM(N48:P48)</f>
        <v>0</v>
      </c>
      <c r="R48" s="226">
        <f>SUM(R180:R181)</f>
        <v>0</v>
      </c>
      <c r="S48" s="226">
        <f>SUM(S180:S181)</f>
        <v>0</v>
      </c>
      <c r="T48" s="226">
        <f>SUM(T180:T181)</f>
        <v>0</v>
      </c>
      <c r="U48" s="227">
        <f>SUM(R48:T48)</f>
        <v>0</v>
      </c>
      <c r="V48" s="226">
        <f>SUM(V180:V181)</f>
        <v>0</v>
      </c>
      <c r="W48" s="226">
        <f>SUM(W180:W181)</f>
        <v>0</v>
      </c>
      <c r="X48" s="226">
        <f>SUM(X180:X181)</f>
        <v>0</v>
      </c>
      <c r="Y48" s="227">
        <f>SUM(V48:X48)</f>
        <v>0</v>
      </c>
    </row>
    <row r="49" spans="1:25" ht="12.75" hidden="1" customHeight="1" outlineLevel="1" x14ac:dyDescent="0.2">
      <c r="A49" s="198" t="str">
        <f>"      "&amp;Labels!B382</f>
        <v xml:space="preserve">      Practice 2</v>
      </c>
      <c r="B49" s="226">
        <f>SUM(B184:B185)</f>
        <v>0</v>
      </c>
      <c r="C49" s="226">
        <f>SUM(C184:C185)</f>
        <v>0</v>
      </c>
      <c r="D49" s="226">
        <f>SUM(D184:D185)</f>
        <v>0</v>
      </c>
      <c r="E49" s="227">
        <f>SUM(B49:D49)</f>
        <v>0</v>
      </c>
      <c r="F49" s="226">
        <f>SUM(F184:F185)</f>
        <v>0</v>
      </c>
      <c r="G49" s="226">
        <f>SUM(G184:G185)</f>
        <v>0</v>
      </c>
      <c r="H49" s="226">
        <f>SUM(H184:H185)</f>
        <v>0</v>
      </c>
      <c r="I49" s="227">
        <f>SUM(F49:H49)</f>
        <v>0</v>
      </c>
      <c r="J49" s="226">
        <f>SUM(J184:J185)</f>
        <v>0</v>
      </c>
      <c r="K49" s="226">
        <f>SUM(K184:K185)</f>
        <v>0</v>
      </c>
      <c r="L49" s="226">
        <f>SUM(L184:L185)</f>
        <v>0</v>
      </c>
      <c r="M49" s="227">
        <f>SUM(J49:L49)</f>
        <v>0</v>
      </c>
      <c r="N49" s="226">
        <f>SUM(N184:N185)</f>
        <v>0</v>
      </c>
      <c r="O49" s="226">
        <f>SUM(O184:O185)</f>
        <v>0</v>
      </c>
      <c r="P49" s="226">
        <f>SUM(P184:P185)</f>
        <v>0</v>
      </c>
      <c r="Q49" s="227">
        <f>SUM(N49:P49)</f>
        <v>0</v>
      </c>
      <c r="R49" s="226">
        <f>SUM(R184:R185)</f>
        <v>0</v>
      </c>
      <c r="S49" s="226">
        <f>SUM(S184:S185)</f>
        <v>0</v>
      </c>
      <c r="T49" s="226">
        <f>SUM(T184:T185)</f>
        <v>0</v>
      </c>
      <c r="U49" s="227">
        <f>SUM(R49:T49)</f>
        <v>0</v>
      </c>
      <c r="V49" s="226">
        <f>SUM(V184:V185)</f>
        <v>0</v>
      </c>
      <c r="W49" s="226">
        <f>SUM(W184:W185)</f>
        <v>0</v>
      </c>
      <c r="X49" s="226">
        <f>SUM(X184:X185)</f>
        <v>0</v>
      </c>
      <c r="Y49" s="227">
        <f>SUM(V49:X49)</f>
        <v>0</v>
      </c>
    </row>
    <row r="50" spans="1:25" ht="12.75" hidden="1" customHeight="1" outlineLevel="1" x14ac:dyDescent="0.2">
      <c r="A50" s="188" t="str">
        <f>"      "&amp;Labels!C380</f>
        <v xml:space="preserve">      Total</v>
      </c>
      <c r="B50" s="196">
        <f>SUM(B48:B49)</f>
        <v>0</v>
      </c>
      <c r="C50" s="196">
        <f>SUM(C48:C49)</f>
        <v>0</v>
      </c>
      <c r="D50" s="196">
        <f>SUM(D48:D49)</f>
        <v>57750</v>
      </c>
      <c r="E50" s="197">
        <f>SUM(B50:D50)</f>
        <v>57750</v>
      </c>
      <c r="F50" s="196">
        <f>SUM(F48:F49)</f>
        <v>57750</v>
      </c>
      <c r="G50" s="196">
        <f>SUM(G48:G49)</f>
        <v>0</v>
      </c>
      <c r="H50" s="196">
        <f>SUM(H48:H49)</f>
        <v>42000</v>
      </c>
      <c r="I50" s="197">
        <f>SUM(F50:H50)</f>
        <v>99750</v>
      </c>
      <c r="J50" s="196">
        <f>SUM(J48:J49)</f>
        <v>42000</v>
      </c>
      <c r="K50" s="196">
        <f>SUM(K48:K49)</f>
        <v>42000</v>
      </c>
      <c r="L50" s="196">
        <f>SUM(L48:L49)</f>
        <v>0</v>
      </c>
      <c r="M50" s="197">
        <f>SUM(J50:L50)</f>
        <v>84000</v>
      </c>
      <c r="N50" s="196">
        <f>SUM(N48:N49)</f>
        <v>0</v>
      </c>
      <c r="O50" s="196">
        <f>SUM(O48:O49)</f>
        <v>0</v>
      </c>
      <c r="P50" s="196">
        <f>SUM(P48:P49)</f>
        <v>0</v>
      </c>
      <c r="Q50" s="197">
        <f>SUM(N50:P50)</f>
        <v>0</v>
      </c>
      <c r="R50" s="196">
        <f>SUM(R48:R49)</f>
        <v>0</v>
      </c>
      <c r="S50" s="196">
        <f>SUM(S48:S49)</f>
        <v>0</v>
      </c>
      <c r="T50" s="196">
        <f>SUM(T48:T49)</f>
        <v>0</v>
      </c>
      <c r="U50" s="197">
        <f>SUM(R50:T50)</f>
        <v>0</v>
      </c>
      <c r="V50" s="196">
        <f>SUM(V48:V49)</f>
        <v>0</v>
      </c>
      <c r="W50" s="196">
        <f>SUM(W48:W49)</f>
        <v>0</v>
      </c>
      <c r="X50" s="196">
        <f>SUM(X48:X49)</f>
        <v>0</v>
      </c>
      <c r="Y50" s="197">
        <f>SUM(V50:X50)</f>
        <v>0</v>
      </c>
    </row>
    <row r="51" spans="1:25" ht="12.75" hidden="1" customHeight="1" outlineLevel="1" x14ac:dyDescent="0.2">
      <c r="A51" s="188" t="str">
        <f>"   "&amp;Labels!B318</f>
        <v xml:space="preserve">   Channels 2</v>
      </c>
      <c r="B51" s="196"/>
      <c r="C51" s="196"/>
      <c r="D51" s="196"/>
      <c r="E51" s="197"/>
      <c r="F51" s="196"/>
      <c r="G51" s="196"/>
      <c r="H51" s="196"/>
      <c r="I51" s="197"/>
      <c r="J51" s="196"/>
      <c r="K51" s="196"/>
      <c r="L51" s="196"/>
      <c r="M51" s="197"/>
      <c r="N51" s="196"/>
      <c r="O51" s="196"/>
      <c r="P51" s="196"/>
      <c r="Q51" s="197"/>
      <c r="R51" s="196"/>
      <c r="S51" s="196"/>
      <c r="T51" s="196"/>
      <c r="U51" s="197"/>
      <c r="V51" s="196"/>
      <c r="W51" s="196"/>
      <c r="X51" s="196"/>
      <c r="Y51" s="197"/>
    </row>
    <row r="52" spans="1:25" ht="12.75" hidden="1" customHeight="1" outlineLevel="1" x14ac:dyDescent="0.2">
      <c r="A52" s="198" t="str">
        <f>"      "&amp;Labels!B381</f>
        <v xml:space="preserve">      Practice 1</v>
      </c>
      <c r="B52" s="226">
        <f>SUM(B193:B194)</f>
        <v>0</v>
      </c>
      <c r="C52" s="226">
        <f>SUM(C193:C194)</f>
        <v>0</v>
      </c>
      <c r="D52" s="226">
        <f>SUM(D193:D194)</f>
        <v>55000</v>
      </c>
      <c r="E52" s="227">
        <f t="shared" ref="E52:E57" si="6">SUM(B52:D52)</f>
        <v>55000</v>
      </c>
      <c r="F52" s="226">
        <f>SUM(F193:F194)</f>
        <v>55000</v>
      </c>
      <c r="G52" s="226">
        <f>SUM(G193:G194)</f>
        <v>0</v>
      </c>
      <c r="H52" s="226">
        <f>SUM(H193:H194)</f>
        <v>40000</v>
      </c>
      <c r="I52" s="227">
        <f t="shared" ref="I52:I57" si="7">SUM(F52:H52)</f>
        <v>95000</v>
      </c>
      <c r="J52" s="226">
        <f>SUM(J193:J194)</f>
        <v>40000</v>
      </c>
      <c r="K52" s="226">
        <f>SUM(K193:K194)</f>
        <v>40000</v>
      </c>
      <c r="L52" s="226">
        <f>SUM(L193:L194)</f>
        <v>0</v>
      </c>
      <c r="M52" s="227">
        <f t="shared" ref="M52:M57" si="8">SUM(J52:L52)</f>
        <v>80000</v>
      </c>
      <c r="N52" s="226">
        <f>SUM(N193:N194)</f>
        <v>0</v>
      </c>
      <c r="O52" s="226">
        <f>SUM(O193:O194)</f>
        <v>0</v>
      </c>
      <c r="P52" s="226">
        <f>SUM(P193:P194)</f>
        <v>0</v>
      </c>
      <c r="Q52" s="227">
        <f t="shared" ref="Q52:Q57" si="9">SUM(N52:P52)</f>
        <v>0</v>
      </c>
      <c r="R52" s="226">
        <f>SUM(R193:R194)</f>
        <v>0</v>
      </c>
      <c r="S52" s="226">
        <f>SUM(S193:S194)</f>
        <v>0</v>
      </c>
      <c r="T52" s="226">
        <f>SUM(T193:T194)</f>
        <v>0</v>
      </c>
      <c r="U52" s="227">
        <f t="shared" ref="U52:U57" si="10">SUM(R52:T52)</f>
        <v>0</v>
      </c>
      <c r="V52" s="226">
        <f>SUM(V193:V194)</f>
        <v>0</v>
      </c>
      <c r="W52" s="226">
        <f>SUM(W193:W194)</f>
        <v>0</v>
      </c>
      <c r="X52" s="226">
        <f>SUM(X193:X194)</f>
        <v>0</v>
      </c>
      <c r="Y52" s="227">
        <f t="shared" ref="Y52:Y57" si="11">SUM(V52:X52)</f>
        <v>0</v>
      </c>
    </row>
    <row r="53" spans="1:25" ht="12.75" hidden="1" customHeight="1" outlineLevel="1" x14ac:dyDescent="0.2">
      <c r="A53" s="198" t="str">
        <f>"      "&amp;Labels!B382</f>
        <v xml:space="preserve">      Practice 2</v>
      </c>
      <c r="B53" s="226">
        <f>SUM(B197:B198)</f>
        <v>0</v>
      </c>
      <c r="C53" s="226">
        <f>SUM(C197:C198)</f>
        <v>0</v>
      </c>
      <c r="D53" s="226">
        <f>SUM(D197:D198)</f>
        <v>0</v>
      </c>
      <c r="E53" s="227">
        <f t="shared" si="6"/>
        <v>0</v>
      </c>
      <c r="F53" s="226">
        <f>SUM(F197:F198)</f>
        <v>0</v>
      </c>
      <c r="G53" s="226">
        <f>SUM(G197:G198)</f>
        <v>0</v>
      </c>
      <c r="H53" s="226">
        <f>SUM(H197:H198)</f>
        <v>0</v>
      </c>
      <c r="I53" s="227">
        <f t="shared" si="7"/>
        <v>0</v>
      </c>
      <c r="J53" s="226">
        <f>SUM(J197:J198)</f>
        <v>0</v>
      </c>
      <c r="K53" s="226">
        <f>SUM(K197:K198)</f>
        <v>0</v>
      </c>
      <c r="L53" s="226">
        <f>SUM(L197:L198)</f>
        <v>0</v>
      </c>
      <c r="M53" s="227">
        <f t="shared" si="8"/>
        <v>0</v>
      </c>
      <c r="N53" s="226">
        <f>SUM(N197:N198)</f>
        <v>0</v>
      </c>
      <c r="O53" s="226">
        <f>SUM(O197:O198)</f>
        <v>0</v>
      </c>
      <c r="P53" s="226">
        <f>SUM(P197:P198)</f>
        <v>0</v>
      </c>
      <c r="Q53" s="227">
        <f t="shared" si="9"/>
        <v>0</v>
      </c>
      <c r="R53" s="226">
        <f>SUM(R197:R198)</f>
        <v>0</v>
      </c>
      <c r="S53" s="226">
        <f>SUM(S197:S198)</f>
        <v>0</v>
      </c>
      <c r="T53" s="226">
        <f>SUM(T197:T198)</f>
        <v>0</v>
      </c>
      <c r="U53" s="227">
        <f t="shared" si="10"/>
        <v>0</v>
      </c>
      <c r="V53" s="226">
        <f>SUM(V197:V198)</f>
        <v>0</v>
      </c>
      <c r="W53" s="226">
        <f>SUM(W197:W198)</f>
        <v>0</v>
      </c>
      <c r="X53" s="226">
        <f>SUM(X197:X198)</f>
        <v>0</v>
      </c>
      <c r="Y53" s="227">
        <f t="shared" si="11"/>
        <v>0</v>
      </c>
    </row>
    <row r="54" spans="1:25" ht="12.75" hidden="1" customHeight="1" outlineLevel="1" x14ac:dyDescent="0.2">
      <c r="A54" s="188" t="str">
        <f>"      "&amp;Labels!C380</f>
        <v xml:space="preserve">      Total</v>
      </c>
      <c r="B54" s="196">
        <f>SUM(B52:B53)</f>
        <v>0</v>
      </c>
      <c r="C54" s="196">
        <f>SUM(C52:C53)</f>
        <v>0</v>
      </c>
      <c r="D54" s="196">
        <f>SUM(D52:D53)</f>
        <v>55000</v>
      </c>
      <c r="E54" s="197">
        <f t="shared" si="6"/>
        <v>55000</v>
      </c>
      <c r="F54" s="196">
        <f>SUM(F52:F53)</f>
        <v>55000</v>
      </c>
      <c r="G54" s="196">
        <f>SUM(G52:G53)</f>
        <v>0</v>
      </c>
      <c r="H54" s="196">
        <f>SUM(H52:H53)</f>
        <v>40000</v>
      </c>
      <c r="I54" s="197">
        <f t="shared" si="7"/>
        <v>95000</v>
      </c>
      <c r="J54" s="196">
        <f>SUM(J52:J53)</f>
        <v>40000</v>
      </c>
      <c r="K54" s="196">
        <f>SUM(K52:K53)</f>
        <v>40000</v>
      </c>
      <c r="L54" s="196">
        <f>SUM(L52:L53)</f>
        <v>0</v>
      </c>
      <c r="M54" s="197">
        <f t="shared" si="8"/>
        <v>80000</v>
      </c>
      <c r="N54" s="196">
        <f>SUM(N52:N53)</f>
        <v>0</v>
      </c>
      <c r="O54" s="196">
        <f>SUM(O52:O53)</f>
        <v>0</v>
      </c>
      <c r="P54" s="196">
        <f>SUM(P52:P53)</f>
        <v>0</v>
      </c>
      <c r="Q54" s="197">
        <f t="shared" si="9"/>
        <v>0</v>
      </c>
      <c r="R54" s="196">
        <f>SUM(R52:R53)</f>
        <v>0</v>
      </c>
      <c r="S54" s="196">
        <f>SUM(S52:S53)</f>
        <v>0</v>
      </c>
      <c r="T54" s="196">
        <f>SUM(T52:T53)</f>
        <v>0</v>
      </c>
      <c r="U54" s="197">
        <f t="shared" si="10"/>
        <v>0</v>
      </c>
      <c r="V54" s="196">
        <f>SUM(V52:V53)</f>
        <v>0</v>
      </c>
      <c r="W54" s="196">
        <f>SUM(W52:W53)</f>
        <v>0</v>
      </c>
      <c r="X54" s="196">
        <f>SUM(X52:X53)</f>
        <v>0</v>
      </c>
      <c r="Y54" s="197">
        <f t="shared" si="11"/>
        <v>0</v>
      </c>
    </row>
    <row r="55" spans="1:25" ht="12.75" hidden="1" customHeight="1" outlineLevel="1" x14ac:dyDescent="0.2">
      <c r="A55" s="191" t="str">
        <f>"   "&amp;Labels!C316</f>
        <v xml:space="preserve">   Total</v>
      </c>
      <c r="B55" s="192">
        <f>SUM(B50,B54)</f>
        <v>0</v>
      </c>
      <c r="C55" s="192">
        <f>SUM(C50,C54)</f>
        <v>0</v>
      </c>
      <c r="D55" s="192">
        <f>SUM(D50,D54)</f>
        <v>112750</v>
      </c>
      <c r="E55" s="190">
        <f t="shared" si="6"/>
        <v>112750</v>
      </c>
      <c r="F55" s="192">
        <f>SUM(F50,F54)</f>
        <v>112750</v>
      </c>
      <c r="G55" s="192">
        <f>SUM(G50,G54)</f>
        <v>0</v>
      </c>
      <c r="H55" s="192">
        <f>SUM(H50,H54)</f>
        <v>82000</v>
      </c>
      <c r="I55" s="190">
        <f t="shared" si="7"/>
        <v>194750</v>
      </c>
      <c r="J55" s="192">
        <f>SUM(J50,J54)</f>
        <v>82000</v>
      </c>
      <c r="K55" s="192">
        <f>SUM(K50,K54)</f>
        <v>82000</v>
      </c>
      <c r="L55" s="192">
        <f>SUM(L50,L54)</f>
        <v>0</v>
      </c>
      <c r="M55" s="190">
        <f t="shared" si="8"/>
        <v>164000</v>
      </c>
      <c r="N55" s="192">
        <f>SUM(N50,N54)</f>
        <v>0</v>
      </c>
      <c r="O55" s="192">
        <f>SUM(O50,O54)</f>
        <v>0</v>
      </c>
      <c r="P55" s="192">
        <f>SUM(P50,P54)</f>
        <v>0</v>
      </c>
      <c r="Q55" s="190">
        <f t="shared" si="9"/>
        <v>0</v>
      </c>
      <c r="R55" s="192">
        <f>SUM(R50,R54)</f>
        <v>0</v>
      </c>
      <c r="S55" s="192">
        <f>SUM(S50,S54)</f>
        <v>0</v>
      </c>
      <c r="T55" s="192">
        <f>SUM(T50,T54)</f>
        <v>0</v>
      </c>
      <c r="U55" s="190">
        <f t="shared" si="10"/>
        <v>0</v>
      </c>
      <c r="V55" s="192">
        <f>SUM(V50,V54)</f>
        <v>0</v>
      </c>
      <c r="W55" s="192">
        <f>SUM(W50,W54)</f>
        <v>0</v>
      </c>
      <c r="X55" s="192">
        <f>SUM(X50,X54)</f>
        <v>0</v>
      </c>
      <c r="Y55" s="190">
        <f t="shared" si="11"/>
        <v>0</v>
      </c>
    </row>
    <row r="56" spans="1:25" ht="12.75" hidden="1" customHeight="1" outlineLevel="1" x14ac:dyDescent="0.2">
      <c r="A56" s="198" t="str">
        <f>"      "&amp;Labels!B381</f>
        <v xml:space="preserve">      Practice 1</v>
      </c>
      <c r="B56" s="226">
        <f t="shared" ref="B56:D58" si="12">SUM(B48,B52)</f>
        <v>0</v>
      </c>
      <c r="C56" s="226">
        <f t="shared" si="12"/>
        <v>0</v>
      </c>
      <c r="D56" s="226">
        <f t="shared" si="12"/>
        <v>112750</v>
      </c>
      <c r="E56" s="227">
        <f t="shared" si="6"/>
        <v>112750</v>
      </c>
      <c r="F56" s="226">
        <f t="shared" ref="F56:H58" si="13">SUM(F48,F52)</f>
        <v>112750</v>
      </c>
      <c r="G56" s="226">
        <f t="shared" si="13"/>
        <v>0</v>
      </c>
      <c r="H56" s="226">
        <f t="shared" si="13"/>
        <v>82000</v>
      </c>
      <c r="I56" s="227">
        <f t="shared" si="7"/>
        <v>194750</v>
      </c>
      <c r="J56" s="226">
        <f t="shared" ref="J56:L58" si="14">SUM(J48,J52)</f>
        <v>82000</v>
      </c>
      <c r="K56" s="226">
        <f t="shared" si="14"/>
        <v>82000</v>
      </c>
      <c r="L56" s="226">
        <f t="shared" si="14"/>
        <v>0</v>
      </c>
      <c r="M56" s="227">
        <f t="shared" si="8"/>
        <v>164000</v>
      </c>
      <c r="N56" s="226">
        <f t="shared" ref="N56:P58" si="15">SUM(N48,N52)</f>
        <v>0</v>
      </c>
      <c r="O56" s="226">
        <f t="shared" si="15"/>
        <v>0</v>
      </c>
      <c r="P56" s="226">
        <f t="shared" si="15"/>
        <v>0</v>
      </c>
      <c r="Q56" s="227">
        <f t="shared" si="9"/>
        <v>0</v>
      </c>
      <c r="R56" s="226">
        <f t="shared" ref="R56:T58" si="16">SUM(R48,R52)</f>
        <v>0</v>
      </c>
      <c r="S56" s="226">
        <f t="shared" si="16"/>
        <v>0</v>
      </c>
      <c r="T56" s="226">
        <f t="shared" si="16"/>
        <v>0</v>
      </c>
      <c r="U56" s="227">
        <f t="shared" si="10"/>
        <v>0</v>
      </c>
      <c r="V56" s="226">
        <f t="shared" ref="V56:X58" si="17">SUM(V48,V52)</f>
        <v>0</v>
      </c>
      <c r="W56" s="226">
        <f t="shared" si="17"/>
        <v>0</v>
      </c>
      <c r="X56" s="226">
        <f t="shared" si="17"/>
        <v>0</v>
      </c>
      <c r="Y56" s="227">
        <f t="shared" si="11"/>
        <v>0</v>
      </c>
    </row>
    <row r="57" spans="1:25" ht="12.75" hidden="1" customHeight="1" outlineLevel="1" x14ac:dyDescent="0.2">
      <c r="A57" s="198" t="str">
        <f>"      "&amp;Labels!B382</f>
        <v xml:space="preserve">      Practice 2</v>
      </c>
      <c r="B57" s="226">
        <f t="shared" si="12"/>
        <v>0</v>
      </c>
      <c r="C57" s="226">
        <f t="shared" si="12"/>
        <v>0</v>
      </c>
      <c r="D57" s="226">
        <f t="shared" si="12"/>
        <v>0</v>
      </c>
      <c r="E57" s="227">
        <f t="shared" si="6"/>
        <v>0</v>
      </c>
      <c r="F57" s="226">
        <f t="shared" si="13"/>
        <v>0</v>
      </c>
      <c r="G57" s="226">
        <f t="shared" si="13"/>
        <v>0</v>
      </c>
      <c r="H57" s="226">
        <f t="shared" si="13"/>
        <v>0</v>
      </c>
      <c r="I57" s="227">
        <f t="shared" si="7"/>
        <v>0</v>
      </c>
      <c r="J57" s="226">
        <f t="shared" si="14"/>
        <v>0</v>
      </c>
      <c r="K57" s="226">
        <f t="shared" si="14"/>
        <v>0</v>
      </c>
      <c r="L57" s="226">
        <f t="shared" si="14"/>
        <v>0</v>
      </c>
      <c r="M57" s="227">
        <f t="shared" si="8"/>
        <v>0</v>
      </c>
      <c r="N57" s="226">
        <f t="shared" si="15"/>
        <v>0</v>
      </c>
      <c r="O57" s="226">
        <f t="shared" si="15"/>
        <v>0</v>
      </c>
      <c r="P57" s="226">
        <f t="shared" si="15"/>
        <v>0</v>
      </c>
      <c r="Q57" s="227">
        <f t="shared" si="9"/>
        <v>0</v>
      </c>
      <c r="R57" s="226">
        <f t="shared" si="16"/>
        <v>0</v>
      </c>
      <c r="S57" s="226">
        <f t="shared" si="16"/>
        <v>0</v>
      </c>
      <c r="T57" s="226">
        <f t="shared" si="16"/>
        <v>0</v>
      </c>
      <c r="U57" s="227">
        <f t="shared" si="10"/>
        <v>0</v>
      </c>
      <c r="V57" s="226">
        <f t="shared" si="17"/>
        <v>0</v>
      </c>
      <c r="W57" s="226">
        <f t="shared" si="17"/>
        <v>0</v>
      </c>
      <c r="X57" s="226">
        <f t="shared" si="17"/>
        <v>0</v>
      </c>
      <c r="Y57" s="227">
        <f t="shared" si="11"/>
        <v>0</v>
      </c>
    </row>
    <row r="58" spans="1:25" ht="12.75" hidden="1" customHeight="1" outlineLevel="1" x14ac:dyDescent="0.2">
      <c r="A58" s="220" t="str">
        <f>"      "&amp;Labels!C380</f>
        <v xml:space="preserve">      Total</v>
      </c>
      <c r="B58" s="228">
        <f t="shared" si="12"/>
        <v>0</v>
      </c>
      <c r="C58" s="228">
        <f t="shared" si="12"/>
        <v>0</v>
      </c>
      <c r="D58" s="228">
        <f t="shared" si="12"/>
        <v>112750</v>
      </c>
      <c r="E58" s="229">
        <f>SUM(B55:D55)</f>
        <v>112750</v>
      </c>
      <c r="F58" s="228">
        <f t="shared" si="13"/>
        <v>112750</v>
      </c>
      <c r="G58" s="228">
        <f t="shared" si="13"/>
        <v>0</v>
      </c>
      <c r="H58" s="228">
        <f t="shared" si="13"/>
        <v>82000</v>
      </c>
      <c r="I58" s="229">
        <f>SUM(F55:H55)</f>
        <v>194750</v>
      </c>
      <c r="J58" s="228">
        <f t="shared" si="14"/>
        <v>82000</v>
      </c>
      <c r="K58" s="228">
        <f t="shared" si="14"/>
        <v>82000</v>
      </c>
      <c r="L58" s="228">
        <f t="shared" si="14"/>
        <v>0</v>
      </c>
      <c r="M58" s="229">
        <f>SUM(J55:L55)</f>
        <v>164000</v>
      </c>
      <c r="N58" s="228">
        <f t="shared" si="15"/>
        <v>0</v>
      </c>
      <c r="O58" s="228">
        <f t="shared" si="15"/>
        <v>0</v>
      </c>
      <c r="P58" s="228">
        <f t="shared" si="15"/>
        <v>0</v>
      </c>
      <c r="Q58" s="229">
        <f>SUM(N55:P55)</f>
        <v>0</v>
      </c>
      <c r="R58" s="228">
        <f t="shared" si="16"/>
        <v>0</v>
      </c>
      <c r="S58" s="228">
        <f t="shared" si="16"/>
        <v>0</v>
      </c>
      <c r="T58" s="228">
        <f t="shared" si="16"/>
        <v>0</v>
      </c>
      <c r="U58" s="229">
        <f>SUM(R55:T55)</f>
        <v>0</v>
      </c>
      <c r="V58" s="228">
        <f t="shared" si="17"/>
        <v>0</v>
      </c>
      <c r="W58" s="228">
        <f t="shared" si="17"/>
        <v>0</v>
      </c>
      <c r="X58" s="228">
        <f t="shared" si="17"/>
        <v>0</v>
      </c>
      <c r="Y58" s="229">
        <f>SUM(V55:X55)</f>
        <v>0</v>
      </c>
    </row>
    <row r="59" spans="1:25" ht="12.75" hidden="1" customHeight="1" outlineLevel="1" x14ac:dyDescent="0.2"/>
    <row r="60" spans="1:25" ht="12.75" hidden="1" customHeight="1" outlineLevel="1" x14ac:dyDescent="0.2">
      <c r="A60" s="182" t="str">
        <f>Labels!B43</f>
        <v>Cost of Services</v>
      </c>
      <c r="B60" s="183"/>
      <c r="C60" s="183"/>
      <c r="D60" s="183"/>
      <c r="E60" s="184"/>
      <c r="F60" s="183"/>
      <c r="G60" s="183"/>
      <c r="H60" s="183"/>
      <c r="I60" s="184"/>
      <c r="J60" s="183"/>
      <c r="K60" s="183"/>
      <c r="L60" s="183"/>
      <c r="M60" s="184"/>
      <c r="N60" s="183"/>
      <c r="O60" s="183"/>
      <c r="P60" s="183"/>
      <c r="Q60" s="184"/>
      <c r="R60" s="183"/>
      <c r="S60" s="183"/>
      <c r="T60" s="183"/>
      <c r="U60" s="184"/>
      <c r="V60" s="183"/>
      <c r="W60" s="183"/>
      <c r="X60" s="183"/>
      <c r="Y60" s="184"/>
    </row>
    <row r="61" spans="1:25" ht="12.75" hidden="1" customHeight="1" outlineLevel="1" x14ac:dyDescent="0.2">
      <c r="A61" s="188" t="str">
        <f>"   "&amp;Labels!B317</f>
        <v xml:space="preserve">   Channels 1</v>
      </c>
      <c r="B61" s="196"/>
      <c r="C61" s="196"/>
      <c r="D61" s="196"/>
      <c r="E61" s="197"/>
      <c r="F61" s="196"/>
      <c r="G61" s="196"/>
      <c r="H61" s="196"/>
      <c r="I61" s="197"/>
      <c r="J61" s="196"/>
      <c r="K61" s="196"/>
      <c r="L61" s="196"/>
      <c r="M61" s="197"/>
      <c r="N61" s="196"/>
      <c r="O61" s="196"/>
      <c r="P61" s="196"/>
      <c r="Q61" s="197"/>
      <c r="R61" s="196"/>
      <c r="S61" s="196"/>
      <c r="T61" s="196"/>
      <c r="U61" s="197"/>
      <c r="V61" s="196"/>
      <c r="W61" s="196"/>
      <c r="X61" s="196"/>
      <c r="Y61" s="197"/>
    </row>
    <row r="62" spans="1:25" ht="12.75" hidden="1" customHeight="1" outlineLevel="1" x14ac:dyDescent="0.2">
      <c r="A62" s="198" t="str">
        <f>"      "&amp;Labels!B381</f>
        <v xml:space="preserve">      Practice 1</v>
      </c>
      <c r="B62" s="226"/>
      <c r="C62" s="226"/>
      <c r="D62" s="226"/>
      <c r="E62" s="227"/>
      <c r="F62" s="226"/>
      <c r="G62" s="226"/>
      <c r="H62" s="226"/>
      <c r="I62" s="227"/>
      <c r="J62" s="226"/>
      <c r="K62" s="226"/>
      <c r="L62" s="226"/>
      <c r="M62" s="227"/>
      <c r="N62" s="226"/>
      <c r="O62" s="226"/>
      <c r="P62" s="226"/>
      <c r="Q62" s="227"/>
      <c r="R62" s="226"/>
      <c r="S62" s="226"/>
      <c r="T62" s="226"/>
      <c r="U62" s="227"/>
      <c r="V62" s="226"/>
      <c r="W62" s="226"/>
      <c r="X62" s="226"/>
      <c r="Y62" s="227"/>
    </row>
    <row r="63" spans="1:25" ht="12.75" hidden="1" customHeight="1" outlineLevel="1" x14ac:dyDescent="0.2">
      <c r="A63" s="198" t="str">
        <f>"         "&amp;Labels!B325</f>
        <v xml:space="preserve">         Direct Labor</v>
      </c>
      <c r="B63" s="226">
        <f>'GM CostSvcs'!B21</f>
        <v>0</v>
      </c>
      <c r="C63" s="226">
        <f>'GM CostSvcs'!C21</f>
        <v>0</v>
      </c>
      <c r="D63" s="226">
        <f>'GM CostSvcs'!D21</f>
        <v>0</v>
      </c>
      <c r="E63" s="227">
        <f>SUM(B63:D63)</f>
        <v>0</v>
      </c>
      <c r="F63" s="226">
        <f>'GM CostSvcs'!F21</f>
        <v>0</v>
      </c>
      <c r="G63" s="226">
        <f>'GM CostSvcs'!G21</f>
        <v>0</v>
      </c>
      <c r="H63" s="226">
        <f>'GM CostSvcs'!H21</f>
        <v>0</v>
      </c>
      <c r="I63" s="227">
        <f>SUM(F63:H63)</f>
        <v>0</v>
      </c>
      <c r="J63" s="226">
        <f>'GM CostSvcs'!J21</f>
        <v>28260.89297106001</v>
      </c>
      <c r="K63" s="226">
        <f>'GM CostSvcs'!K21</f>
        <v>28330.591957132838</v>
      </c>
      <c r="L63" s="226">
        <f>'GM CostSvcs'!L21</f>
        <v>0</v>
      </c>
      <c r="M63" s="227">
        <f>SUM(J63:L63)</f>
        <v>56591.484928192847</v>
      </c>
      <c r="N63" s="226">
        <f>'GM CostSvcs'!N21</f>
        <v>0</v>
      </c>
      <c r="O63" s="226">
        <f>'GM CostSvcs'!O21</f>
        <v>0</v>
      </c>
      <c r="P63" s="226">
        <f>'GM CostSvcs'!P21</f>
        <v>0</v>
      </c>
      <c r="Q63" s="227">
        <f>SUM(N63:P63)</f>
        <v>0</v>
      </c>
      <c r="R63" s="226">
        <f>'GM CostSvcs'!R21</f>
        <v>0</v>
      </c>
      <c r="S63" s="226">
        <f>'GM CostSvcs'!S21</f>
        <v>0</v>
      </c>
      <c r="T63" s="226">
        <f>'GM CostSvcs'!T21</f>
        <v>0</v>
      </c>
      <c r="U63" s="227">
        <f>SUM(R63:T63)</f>
        <v>0</v>
      </c>
      <c r="V63" s="226">
        <f>'GM CostSvcs'!V21</f>
        <v>0</v>
      </c>
      <c r="W63" s="226">
        <f>'GM CostSvcs'!W21</f>
        <v>0</v>
      </c>
      <c r="X63" s="226">
        <f>'GM CostSvcs'!X21</f>
        <v>0</v>
      </c>
      <c r="Y63" s="227">
        <f>SUM(V63:X63)</f>
        <v>0</v>
      </c>
    </row>
    <row r="64" spans="1:25" ht="12.75" hidden="1" customHeight="1" outlineLevel="1" x14ac:dyDescent="0.2">
      <c r="A64" s="198" t="str">
        <f>"         "&amp;Labels!B326</f>
        <v xml:space="preserve">         Travel &amp; Entertain</v>
      </c>
      <c r="B64" s="226">
        <f>B264</f>
        <v>0</v>
      </c>
      <c r="C64" s="226">
        <f>C264</f>
        <v>0</v>
      </c>
      <c r="D64" s="226">
        <f>D264</f>
        <v>2750</v>
      </c>
      <c r="E64" s="227">
        <f>SUM(B64:D64)</f>
        <v>2750</v>
      </c>
      <c r="F64" s="226">
        <f>F264</f>
        <v>2750</v>
      </c>
      <c r="G64" s="226">
        <f>G264</f>
        <v>0</v>
      </c>
      <c r="H64" s="226">
        <f>H264</f>
        <v>2000</v>
      </c>
      <c r="I64" s="227">
        <f>SUM(F64:H64)</f>
        <v>4750</v>
      </c>
      <c r="J64" s="226">
        <f>J264</f>
        <v>2000</v>
      </c>
      <c r="K64" s="226">
        <f>K264</f>
        <v>2000</v>
      </c>
      <c r="L64" s="226">
        <f>L264</f>
        <v>0</v>
      </c>
      <c r="M64" s="227">
        <f>SUM(J64:L64)</f>
        <v>4000</v>
      </c>
      <c r="N64" s="226">
        <f>N264</f>
        <v>0</v>
      </c>
      <c r="O64" s="226">
        <f>O264</f>
        <v>0</v>
      </c>
      <c r="P64" s="226">
        <f>P264</f>
        <v>0</v>
      </c>
      <c r="Q64" s="227">
        <f>SUM(N64:P64)</f>
        <v>0</v>
      </c>
      <c r="R64" s="226">
        <f>R264</f>
        <v>0</v>
      </c>
      <c r="S64" s="226">
        <f>S264</f>
        <v>0</v>
      </c>
      <c r="T64" s="226">
        <f>T264</f>
        <v>0</v>
      </c>
      <c r="U64" s="227">
        <f>SUM(R64:T64)</f>
        <v>0</v>
      </c>
      <c r="V64" s="226">
        <f>V264</f>
        <v>0</v>
      </c>
      <c r="W64" s="226">
        <f>W264</f>
        <v>0</v>
      </c>
      <c r="X64" s="226">
        <f>X264</f>
        <v>0</v>
      </c>
      <c r="Y64" s="227">
        <f>SUM(V64:X64)</f>
        <v>0</v>
      </c>
    </row>
    <row r="65" spans="1:25" ht="12.75" hidden="1" customHeight="1" outlineLevel="1" x14ac:dyDescent="0.2">
      <c r="A65" s="198" t="str">
        <f>"         "&amp;Labels!B327</f>
        <v xml:space="preserve">         Direct Supplies</v>
      </c>
      <c r="B65" s="226">
        <f>'GM CostSvcs'!B124</f>
        <v>0</v>
      </c>
      <c r="C65" s="226">
        <f>'GM CostSvcs'!C124</f>
        <v>0</v>
      </c>
      <c r="D65" s="226">
        <f>'GM CostSvcs'!D124</f>
        <v>0</v>
      </c>
      <c r="E65" s="227">
        <f>SUM(B65:D65)</f>
        <v>0</v>
      </c>
      <c r="F65" s="226">
        <f>'GM CostSvcs'!F124</f>
        <v>0</v>
      </c>
      <c r="G65" s="226">
        <f>'GM CostSvcs'!G124</f>
        <v>0</v>
      </c>
      <c r="H65" s="226">
        <f>'GM CostSvcs'!H124</f>
        <v>0</v>
      </c>
      <c r="I65" s="227">
        <f>SUM(F65:H65)</f>
        <v>0</v>
      </c>
      <c r="J65" s="226">
        <f>'GM CostSvcs'!J124</f>
        <v>0</v>
      </c>
      <c r="K65" s="226">
        <f>'GM CostSvcs'!K124</f>
        <v>0</v>
      </c>
      <c r="L65" s="226">
        <f>'GM CostSvcs'!L124</f>
        <v>0</v>
      </c>
      <c r="M65" s="227">
        <f>SUM(J65:L65)</f>
        <v>0</v>
      </c>
      <c r="N65" s="226">
        <f>'GM CostSvcs'!N124</f>
        <v>0</v>
      </c>
      <c r="O65" s="226">
        <f>'GM CostSvcs'!O124</f>
        <v>0</v>
      </c>
      <c r="P65" s="226">
        <f>'GM CostSvcs'!P124</f>
        <v>0</v>
      </c>
      <c r="Q65" s="227">
        <f>SUM(N65:P65)</f>
        <v>0</v>
      </c>
      <c r="R65" s="226">
        <f>'GM CostSvcs'!R124</f>
        <v>0</v>
      </c>
      <c r="S65" s="226">
        <f>'GM CostSvcs'!S124</f>
        <v>0</v>
      </c>
      <c r="T65" s="226">
        <f>'GM CostSvcs'!T124</f>
        <v>0</v>
      </c>
      <c r="U65" s="227">
        <f>SUM(R65:T65)</f>
        <v>0</v>
      </c>
      <c r="V65" s="226">
        <f>'GM CostSvcs'!V124</f>
        <v>0</v>
      </c>
      <c r="W65" s="226">
        <f>'GM CostSvcs'!W124</f>
        <v>0</v>
      </c>
      <c r="X65" s="226">
        <f>'GM CostSvcs'!X124</f>
        <v>0</v>
      </c>
      <c r="Y65" s="227">
        <f>SUM(V65:X65)</f>
        <v>0</v>
      </c>
    </row>
    <row r="66" spans="1:25" ht="12.75" hidden="1" customHeight="1" outlineLevel="1" x14ac:dyDescent="0.2">
      <c r="A66" s="198" t="str">
        <f>"         "&amp;Labels!C324</f>
        <v xml:space="preserve">         Total</v>
      </c>
      <c r="B66" s="226">
        <f>SUM(B63:B65)</f>
        <v>0</v>
      </c>
      <c r="C66" s="226">
        <f>SUM(C63:C65)</f>
        <v>0</v>
      </c>
      <c r="D66" s="226">
        <f>SUM(D63:D65)</f>
        <v>2750</v>
      </c>
      <c r="E66" s="227">
        <f>SUM(B66:D66)</f>
        <v>2750</v>
      </c>
      <c r="F66" s="226">
        <f>SUM(F63:F65)</f>
        <v>2750</v>
      </c>
      <c r="G66" s="226">
        <f>SUM(G63:G65)</f>
        <v>0</v>
      </c>
      <c r="H66" s="226">
        <f>SUM(H63:H65)</f>
        <v>2000</v>
      </c>
      <c r="I66" s="227">
        <f>SUM(F66:H66)</f>
        <v>4750</v>
      </c>
      <c r="J66" s="226">
        <f>SUM(J63:J65)</f>
        <v>30260.89297106001</v>
      </c>
      <c r="K66" s="226">
        <f>SUM(K63:K65)</f>
        <v>30330.591957132838</v>
      </c>
      <c r="L66" s="226">
        <f>SUM(L63:L65)</f>
        <v>0</v>
      </c>
      <c r="M66" s="227">
        <f>SUM(J66:L66)</f>
        <v>60591.484928192847</v>
      </c>
      <c r="N66" s="226">
        <f>SUM(N63:N65)</f>
        <v>0</v>
      </c>
      <c r="O66" s="226">
        <f>SUM(O63:O65)</f>
        <v>0</v>
      </c>
      <c r="P66" s="226">
        <f>SUM(P63:P65)</f>
        <v>0</v>
      </c>
      <c r="Q66" s="227">
        <f>SUM(N66:P66)</f>
        <v>0</v>
      </c>
      <c r="R66" s="226">
        <f>SUM(R63:R65)</f>
        <v>0</v>
      </c>
      <c r="S66" s="226">
        <f>SUM(S63:S65)</f>
        <v>0</v>
      </c>
      <c r="T66" s="226">
        <f>SUM(T63:T65)</f>
        <v>0</v>
      </c>
      <c r="U66" s="227">
        <f>SUM(R66:T66)</f>
        <v>0</v>
      </c>
      <c r="V66" s="226">
        <f>SUM(V63:V65)</f>
        <v>0</v>
      </c>
      <c r="W66" s="226">
        <f>SUM(W63:W65)</f>
        <v>0</v>
      </c>
      <c r="X66" s="226">
        <f>SUM(X63:X65)</f>
        <v>0</v>
      </c>
      <c r="Y66" s="227">
        <f>SUM(V66:X66)</f>
        <v>0</v>
      </c>
    </row>
    <row r="67" spans="1:25" ht="12.75" hidden="1" customHeight="1" outlineLevel="1" x14ac:dyDescent="0.2">
      <c r="A67" s="198" t="str">
        <f>"      "&amp;Labels!B382</f>
        <v xml:space="preserve">      Practice 2</v>
      </c>
      <c r="B67" s="226"/>
      <c r="C67" s="226"/>
      <c r="D67" s="226"/>
      <c r="E67" s="227"/>
      <c r="F67" s="226"/>
      <c r="G67" s="226"/>
      <c r="H67" s="226"/>
      <c r="I67" s="227"/>
      <c r="J67" s="226"/>
      <c r="K67" s="226"/>
      <c r="L67" s="226"/>
      <c r="M67" s="227"/>
      <c r="N67" s="226"/>
      <c r="O67" s="226"/>
      <c r="P67" s="226"/>
      <c r="Q67" s="227"/>
      <c r="R67" s="226"/>
      <c r="S67" s="226"/>
      <c r="T67" s="226"/>
      <c r="U67" s="227"/>
      <c r="V67" s="226"/>
      <c r="W67" s="226"/>
      <c r="X67" s="226"/>
      <c r="Y67" s="227"/>
    </row>
    <row r="68" spans="1:25" ht="12.75" hidden="1" customHeight="1" outlineLevel="1" x14ac:dyDescent="0.2">
      <c r="A68" s="198" t="str">
        <f>"         "&amp;Labels!B325</f>
        <v xml:space="preserve">         Direct Labor</v>
      </c>
      <c r="B68" s="226">
        <f>'GM CostSvcs'!B34</f>
        <v>0</v>
      </c>
      <c r="C68" s="226">
        <f>'GM CostSvcs'!C34</f>
        <v>0</v>
      </c>
      <c r="D68" s="226">
        <f>'GM CostSvcs'!D34</f>
        <v>0</v>
      </c>
      <c r="E68" s="227">
        <f t="shared" ref="E68:E75" si="18">SUM(B68:D68)</f>
        <v>0</v>
      </c>
      <c r="F68" s="226">
        <f>'GM CostSvcs'!F34</f>
        <v>0</v>
      </c>
      <c r="G68" s="226">
        <f>'GM CostSvcs'!G34</f>
        <v>0</v>
      </c>
      <c r="H68" s="226">
        <f>'GM CostSvcs'!H34</f>
        <v>0</v>
      </c>
      <c r="I68" s="227">
        <f t="shared" ref="I68:I75" si="19">SUM(F68:H68)</f>
        <v>0</v>
      </c>
      <c r="J68" s="226">
        <f>'GM CostSvcs'!J34</f>
        <v>0</v>
      </c>
      <c r="K68" s="226">
        <f>'GM CostSvcs'!K34</f>
        <v>0</v>
      </c>
      <c r="L68" s="226">
        <f>'GM CostSvcs'!L34</f>
        <v>0</v>
      </c>
      <c r="M68" s="227">
        <f t="shared" ref="M68:M75" si="20">SUM(J68:L68)</f>
        <v>0</v>
      </c>
      <c r="N68" s="226">
        <f>'GM CostSvcs'!N34</f>
        <v>0</v>
      </c>
      <c r="O68" s="226">
        <f>'GM CostSvcs'!O34</f>
        <v>0</v>
      </c>
      <c r="P68" s="226">
        <f>'GM CostSvcs'!P34</f>
        <v>0</v>
      </c>
      <c r="Q68" s="227">
        <f t="shared" ref="Q68:Q75" si="21">SUM(N68:P68)</f>
        <v>0</v>
      </c>
      <c r="R68" s="226">
        <f>'GM CostSvcs'!R34</f>
        <v>0</v>
      </c>
      <c r="S68" s="226">
        <f>'GM CostSvcs'!S34</f>
        <v>0</v>
      </c>
      <c r="T68" s="226">
        <f>'GM CostSvcs'!T34</f>
        <v>0</v>
      </c>
      <c r="U68" s="227">
        <f t="shared" ref="U68:U75" si="22">SUM(R68:T68)</f>
        <v>0</v>
      </c>
      <c r="V68" s="226">
        <f>'GM CostSvcs'!V34</f>
        <v>0</v>
      </c>
      <c r="W68" s="226">
        <f>'GM CostSvcs'!W34</f>
        <v>0</v>
      </c>
      <c r="X68" s="226">
        <f>'GM CostSvcs'!X34</f>
        <v>0</v>
      </c>
      <c r="Y68" s="227">
        <f t="shared" ref="Y68:Y75" si="23">SUM(V68:X68)</f>
        <v>0</v>
      </c>
    </row>
    <row r="69" spans="1:25" ht="12.75" hidden="1" customHeight="1" outlineLevel="1" x14ac:dyDescent="0.2">
      <c r="A69" s="198" t="str">
        <f>"         "&amp;Labels!B326</f>
        <v xml:space="preserve">         Travel &amp; Entertain</v>
      </c>
      <c r="B69" s="226">
        <f>B268</f>
        <v>0</v>
      </c>
      <c r="C69" s="226">
        <f>C268</f>
        <v>0</v>
      </c>
      <c r="D69" s="226">
        <f>D268</f>
        <v>0</v>
      </c>
      <c r="E69" s="227">
        <f t="shared" si="18"/>
        <v>0</v>
      </c>
      <c r="F69" s="226">
        <f>F268</f>
        <v>0</v>
      </c>
      <c r="G69" s="226">
        <f>G268</f>
        <v>0</v>
      </c>
      <c r="H69" s="226">
        <f>H268</f>
        <v>0</v>
      </c>
      <c r="I69" s="227">
        <f t="shared" si="19"/>
        <v>0</v>
      </c>
      <c r="J69" s="226">
        <f>J268</f>
        <v>0</v>
      </c>
      <c r="K69" s="226">
        <f>K268</f>
        <v>0</v>
      </c>
      <c r="L69" s="226">
        <f>L268</f>
        <v>0</v>
      </c>
      <c r="M69" s="227">
        <f t="shared" si="20"/>
        <v>0</v>
      </c>
      <c r="N69" s="226">
        <f>N268</f>
        <v>0</v>
      </c>
      <c r="O69" s="226">
        <f>O268</f>
        <v>0</v>
      </c>
      <c r="P69" s="226">
        <f>P268</f>
        <v>0</v>
      </c>
      <c r="Q69" s="227">
        <f t="shared" si="21"/>
        <v>0</v>
      </c>
      <c r="R69" s="226">
        <f>R268</f>
        <v>0</v>
      </c>
      <c r="S69" s="226">
        <f>S268</f>
        <v>0</v>
      </c>
      <c r="T69" s="226">
        <f>T268</f>
        <v>0</v>
      </c>
      <c r="U69" s="227">
        <f t="shared" si="22"/>
        <v>0</v>
      </c>
      <c r="V69" s="226">
        <f>V268</f>
        <v>0</v>
      </c>
      <c r="W69" s="226">
        <f>W268</f>
        <v>0</v>
      </c>
      <c r="X69" s="226">
        <f>X268</f>
        <v>0</v>
      </c>
      <c r="Y69" s="227">
        <f t="shared" si="23"/>
        <v>0</v>
      </c>
    </row>
    <row r="70" spans="1:25" ht="12.75" hidden="1" customHeight="1" outlineLevel="1" x14ac:dyDescent="0.2">
      <c r="A70" s="198" t="str">
        <f>"         "&amp;Labels!B327</f>
        <v xml:space="preserve">         Direct Supplies</v>
      </c>
      <c r="B70" s="226">
        <f>'GM CostSvcs'!B164</f>
        <v>0</v>
      </c>
      <c r="C70" s="226">
        <f>'GM CostSvcs'!C164</f>
        <v>0</v>
      </c>
      <c r="D70" s="226">
        <f>'GM CostSvcs'!D164</f>
        <v>0</v>
      </c>
      <c r="E70" s="227">
        <f t="shared" si="18"/>
        <v>0</v>
      </c>
      <c r="F70" s="226">
        <f>'GM CostSvcs'!F164</f>
        <v>0</v>
      </c>
      <c r="G70" s="226">
        <f>'GM CostSvcs'!G164</f>
        <v>0</v>
      </c>
      <c r="H70" s="226">
        <f>'GM CostSvcs'!H164</f>
        <v>0</v>
      </c>
      <c r="I70" s="227">
        <f t="shared" si="19"/>
        <v>0</v>
      </c>
      <c r="J70" s="226">
        <f>'GM CostSvcs'!J164</f>
        <v>0</v>
      </c>
      <c r="K70" s="226">
        <f>'GM CostSvcs'!K164</f>
        <v>0</v>
      </c>
      <c r="L70" s="226">
        <f>'GM CostSvcs'!L164</f>
        <v>0</v>
      </c>
      <c r="M70" s="227">
        <f t="shared" si="20"/>
        <v>0</v>
      </c>
      <c r="N70" s="226">
        <f>'GM CostSvcs'!N164</f>
        <v>0</v>
      </c>
      <c r="O70" s="226">
        <f>'GM CostSvcs'!O164</f>
        <v>0</v>
      </c>
      <c r="P70" s="226">
        <f>'GM CostSvcs'!P164</f>
        <v>0</v>
      </c>
      <c r="Q70" s="227">
        <f t="shared" si="21"/>
        <v>0</v>
      </c>
      <c r="R70" s="226">
        <f>'GM CostSvcs'!R164</f>
        <v>0</v>
      </c>
      <c r="S70" s="226">
        <f>'GM CostSvcs'!S164</f>
        <v>0</v>
      </c>
      <c r="T70" s="226">
        <f>'GM CostSvcs'!T164</f>
        <v>0</v>
      </c>
      <c r="U70" s="227">
        <f t="shared" si="22"/>
        <v>0</v>
      </c>
      <c r="V70" s="226">
        <f>'GM CostSvcs'!V164</f>
        <v>0</v>
      </c>
      <c r="W70" s="226">
        <f>'GM CostSvcs'!W164</f>
        <v>0</v>
      </c>
      <c r="X70" s="226">
        <f>'GM CostSvcs'!X164</f>
        <v>0</v>
      </c>
      <c r="Y70" s="227">
        <f t="shared" si="23"/>
        <v>0</v>
      </c>
    </row>
    <row r="71" spans="1:25" ht="12.75" hidden="1" customHeight="1" outlineLevel="1" x14ac:dyDescent="0.2">
      <c r="A71" s="198" t="str">
        <f>"         "&amp;Labels!C324</f>
        <v xml:space="preserve">         Total</v>
      </c>
      <c r="B71" s="226">
        <f>SUM(B68:B70)</f>
        <v>0</v>
      </c>
      <c r="C71" s="226">
        <f>SUM(C68:C70)</f>
        <v>0</v>
      </c>
      <c r="D71" s="226">
        <f>SUM(D68:D70)</f>
        <v>0</v>
      </c>
      <c r="E71" s="227">
        <f t="shared" si="18"/>
        <v>0</v>
      </c>
      <c r="F71" s="226">
        <f>SUM(F68:F70)</f>
        <v>0</v>
      </c>
      <c r="G71" s="226">
        <f>SUM(G68:G70)</f>
        <v>0</v>
      </c>
      <c r="H71" s="226">
        <f>SUM(H68:H70)</f>
        <v>0</v>
      </c>
      <c r="I71" s="227">
        <f t="shared" si="19"/>
        <v>0</v>
      </c>
      <c r="J71" s="226">
        <f>SUM(J68:J70)</f>
        <v>0</v>
      </c>
      <c r="K71" s="226">
        <f>SUM(K68:K70)</f>
        <v>0</v>
      </c>
      <c r="L71" s="226">
        <f>SUM(L68:L70)</f>
        <v>0</v>
      </c>
      <c r="M71" s="227">
        <f t="shared" si="20"/>
        <v>0</v>
      </c>
      <c r="N71" s="226">
        <f>SUM(N68:N70)</f>
        <v>0</v>
      </c>
      <c r="O71" s="226">
        <f>SUM(O68:O70)</f>
        <v>0</v>
      </c>
      <c r="P71" s="226">
        <f>SUM(P68:P70)</f>
        <v>0</v>
      </c>
      <c r="Q71" s="227">
        <f t="shared" si="21"/>
        <v>0</v>
      </c>
      <c r="R71" s="226">
        <f>SUM(R68:R70)</f>
        <v>0</v>
      </c>
      <c r="S71" s="226">
        <f>SUM(S68:S70)</f>
        <v>0</v>
      </c>
      <c r="T71" s="226">
        <f>SUM(T68:T70)</f>
        <v>0</v>
      </c>
      <c r="U71" s="227">
        <f t="shared" si="22"/>
        <v>0</v>
      </c>
      <c r="V71" s="226">
        <f>SUM(V68:V70)</f>
        <v>0</v>
      </c>
      <c r="W71" s="226">
        <f>SUM(W68:W70)</f>
        <v>0</v>
      </c>
      <c r="X71" s="226">
        <f>SUM(X68:X70)</f>
        <v>0</v>
      </c>
      <c r="Y71" s="227">
        <f t="shared" si="23"/>
        <v>0</v>
      </c>
    </row>
    <row r="72" spans="1:25" ht="12.75" hidden="1" customHeight="1" outlineLevel="1" x14ac:dyDescent="0.2">
      <c r="A72" s="188" t="str">
        <f>"      "&amp;Labels!C380</f>
        <v xml:space="preserve">      Total</v>
      </c>
      <c r="B72" s="196">
        <f>SUM(B66,B71)</f>
        <v>0</v>
      </c>
      <c r="C72" s="196">
        <f>SUM(C66,C71)</f>
        <v>0</v>
      </c>
      <c r="D72" s="196">
        <f>SUM(D66,D71)</f>
        <v>2750</v>
      </c>
      <c r="E72" s="197">
        <f t="shared" si="18"/>
        <v>2750</v>
      </c>
      <c r="F72" s="196">
        <f>SUM(F66,F71)</f>
        <v>2750</v>
      </c>
      <c r="G72" s="196">
        <f>SUM(G66,G71)</f>
        <v>0</v>
      </c>
      <c r="H72" s="196">
        <f>SUM(H66,H71)</f>
        <v>2000</v>
      </c>
      <c r="I72" s="197">
        <f t="shared" si="19"/>
        <v>4750</v>
      </c>
      <c r="J72" s="196">
        <f>SUM(J66,J71)</f>
        <v>30260.89297106001</v>
      </c>
      <c r="K72" s="196">
        <f>SUM(K66,K71)</f>
        <v>30330.591957132838</v>
      </c>
      <c r="L72" s="196">
        <f>SUM(L66,L71)</f>
        <v>0</v>
      </c>
      <c r="M72" s="197">
        <f t="shared" si="20"/>
        <v>60591.484928192847</v>
      </c>
      <c r="N72" s="196">
        <f>SUM(N66,N71)</f>
        <v>0</v>
      </c>
      <c r="O72" s="196">
        <f>SUM(O66,O71)</f>
        <v>0</v>
      </c>
      <c r="P72" s="196">
        <f>SUM(P66,P71)</f>
        <v>0</v>
      </c>
      <c r="Q72" s="197">
        <f t="shared" si="21"/>
        <v>0</v>
      </c>
      <c r="R72" s="196">
        <f>SUM(R66,R71)</f>
        <v>0</v>
      </c>
      <c r="S72" s="196">
        <f>SUM(S66,S71)</f>
        <v>0</v>
      </c>
      <c r="T72" s="196">
        <f>SUM(T66,T71)</f>
        <v>0</v>
      </c>
      <c r="U72" s="197">
        <f t="shared" si="22"/>
        <v>0</v>
      </c>
      <c r="V72" s="196">
        <f>SUM(V66,V71)</f>
        <v>0</v>
      </c>
      <c r="W72" s="196">
        <f>SUM(W66,W71)</f>
        <v>0</v>
      </c>
      <c r="X72" s="196">
        <f>SUM(X66,X71)</f>
        <v>0</v>
      </c>
      <c r="Y72" s="197">
        <f t="shared" si="23"/>
        <v>0</v>
      </c>
    </row>
    <row r="73" spans="1:25" ht="12.75" hidden="1" customHeight="1" outlineLevel="1" x14ac:dyDescent="0.2">
      <c r="A73" s="198" t="str">
        <f>"         "&amp;Labels!B325</f>
        <v xml:space="preserve">         Direct Labor</v>
      </c>
      <c r="B73" s="226">
        <f t="shared" ref="B73:D76" si="24">SUM(B63,B68)</f>
        <v>0</v>
      </c>
      <c r="C73" s="226">
        <f t="shared" si="24"/>
        <v>0</v>
      </c>
      <c r="D73" s="226">
        <f t="shared" si="24"/>
        <v>0</v>
      </c>
      <c r="E73" s="227">
        <f t="shared" si="18"/>
        <v>0</v>
      </c>
      <c r="F73" s="226">
        <f t="shared" ref="F73:H76" si="25">SUM(F63,F68)</f>
        <v>0</v>
      </c>
      <c r="G73" s="226">
        <f t="shared" si="25"/>
        <v>0</v>
      </c>
      <c r="H73" s="226">
        <f t="shared" si="25"/>
        <v>0</v>
      </c>
      <c r="I73" s="227">
        <f t="shared" si="19"/>
        <v>0</v>
      </c>
      <c r="J73" s="226">
        <f t="shared" ref="J73:L76" si="26">SUM(J63,J68)</f>
        <v>28260.89297106001</v>
      </c>
      <c r="K73" s="226">
        <f t="shared" si="26"/>
        <v>28330.591957132838</v>
      </c>
      <c r="L73" s="226">
        <f t="shared" si="26"/>
        <v>0</v>
      </c>
      <c r="M73" s="227">
        <f t="shared" si="20"/>
        <v>56591.484928192847</v>
      </c>
      <c r="N73" s="226">
        <f t="shared" ref="N73:P76" si="27">SUM(N63,N68)</f>
        <v>0</v>
      </c>
      <c r="O73" s="226">
        <f t="shared" si="27"/>
        <v>0</v>
      </c>
      <c r="P73" s="226">
        <f t="shared" si="27"/>
        <v>0</v>
      </c>
      <c r="Q73" s="227">
        <f t="shared" si="21"/>
        <v>0</v>
      </c>
      <c r="R73" s="226">
        <f t="shared" ref="R73:T76" si="28">SUM(R63,R68)</f>
        <v>0</v>
      </c>
      <c r="S73" s="226">
        <f t="shared" si="28"/>
        <v>0</v>
      </c>
      <c r="T73" s="226">
        <f t="shared" si="28"/>
        <v>0</v>
      </c>
      <c r="U73" s="227">
        <f t="shared" si="22"/>
        <v>0</v>
      </c>
      <c r="V73" s="226">
        <f t="shared" ref="V73:X76" si="29">SUM(V63,V68)</f>
        <v>0</v>
      </c>
      <c r="W73" s="226">
        <f t="shared" si="29"/>
        <v>0</v>
      </c>
      <c r="X73" s="226">
        <f t="shared" si="29"/>
        <v>0</v>
      </c>
      <c r="Y73" s="227">
        <f t="shared" si="23"/>
        <v>0</v>
      </c>
    </row>
    <row r="74" spans="1:25" ht="12.75" hidden="1" customHeight="1" outlineLevel="1" x14ac:dyDescent="0.2">
      <c r="A74" s="198" t="str">
        <f>"         "&amp;Labels!B326</f>
        <v xml:space="preserve">         Travel &amp; Entertain</v>
      </c>
      <c r="B74" s="226">
        <f t="shared" si="24"/>
        <v>0</v>
      </c>
      <c r="C74" s="226">
        <f t="shared" si="24"/>
        <v>0</v>
      </c>
      <c r="D74" s="226">
        <f t="shared" si="24"/>
        <v>2750</v>
      </c>
      <c r="E74" s="227">
        <f t="shared" si="18"/>
        <v>2750</v>
      </c>
      <c r="F74" s="226">
        <f t="shared" si="25"/>
        <v>2750</v>
      </c>
      <c r="G74" s="226">
        <f t="shared" si="25"/>
        <v>0</v>
      </c>
      <c r="H74" s="226">
        <f t="shared" si="25"/>
        <v>2000</v>
      </c>
      <c r="I74" s="227">
        <f t="shared" si="19"/>
        <v>4750</v>
      </c>
      <c r="J74" s="226">
        <f t="shared" si="26"/>
        <v>2000</v>
      </c>
      <c r="K74" s="226">
        <f t="shared" si="26"/>
        <v>2000</v>
      </c>
      <c r="L74" s="226">
        <f t="shared" si="26"/>
        <v>0</v>
      </c>
      <c r="M74" s="227">
        <f t="shared" si="20"/>
        <v>4000</v>
      </c>
      <c r="N74" s="226">
        <f t="shared" si="27"/>
        <v>0</v>
      </c>
      <c r="O74" s="226">
        <f t="shared" si="27"/>
        <v>0</v>
      </c>
      <c r="P74" s="226">
        <f t="shared" si="27"/>
        <v>0</v>
      </c>
      <c r="Q74" s="227">
        <f t="shared" si="21"/>
        <v>0</v>
      </c>
      <c r="R74" s="226">
        <f t="shared" si="28"/>
        <v>0</v>
      </c>
      <c r="S74" s="226">
        <f t="shared" si="28"/>
        <v>0</v>
      </c>
      <c r="T74" s="226">
        <f t="shared" si="28"/>
        <v>0</v>
      </c>
      <c r="U74" s="227">
        <f t="shared" si="22"/>
        <v>0</v>
      </c>
      <c r="V74" s="226">
        <f t="shared" si="29"/>
        <v>0</v>
      </c>
      <c r="W74" s="226">
        <f t="shared" si="29"/>
        <v>0</v>
      </c>
      <c r="X74" s="226">
        <f t="shared" si="29"/>
        <v>0</v>
      </c>
      <c r="Y74" s="227">
        <f t="shared" si="23"/>
        <v>0</v>
      </c>
    </row>
    <row r="75" spans="1:25" ht="12.75" hidden="1" customHeight="1" outlineLevel="1" x14ac:dyDescent="0.2">
      <c r="A75" s="198" t="str">
        <f>"         "&amp;Labels!B327</f>
        <v xml:space="preserve">         Direct Supplies</v>
      </c>
      <c r="B75" s="226">
        <f t="shared" si="24"/>
        <v>0</v>
      </c>
      <c r="C75" s="226">
        <f t="shared" si="24"/>
        <v>0</v>
      </c>
      <c r="D75" s="226">
        <f t="shared" si="24"/>
        <v>0</v>
      </c>
      <c r="E75" s="227">
        <f t="shared" si="18"/>
        <v>0</v>
      </c>
      <c r="F75" s="226">
        <f t="shared" si="25"/>
        <v>0</v>
      </c>
      <c r="G75" s="226">
        <f t="shared" si="25"/>
        <v>0</v>
      </c>
      <c r="H75" s="226">
        <f t="shared" si="25"/>
        <v>0</v>
      </c>
      <c r="I75" s="227">
        <f t="shared" si="19"/>
        <v>0</v>
      </c>
      <c r="J75" s="226">
        <f t="shared" si="26"/>
        <v>0</v>
      </c>
      <c r="K75" s="226">
        <f t="shared" si="26"/>
        <v>0</v>
      </c>
      <c r="L75" s="226">
        <f t="shared" si="26"/>
        <v>0</v>
      </c>
      <c r="M75" s="227">
        <f t="shared" si="20"/>
        <v>0</v>
      </c>
      <c r="N75" s="226">
        <f t="shared" si="27"/>
        <v>0</v>
      </c>
      <c r="O75" s="226">
        <f t="shared" si="27"/>
        <v>0</v>
      </c>
      <c r="P75" s="226">
        <f t="shared" si="27"/>
        <v>0</v>
      </c>
      <c r="Q75" s="227">
        <f t="shared" si="21"/>
        <v>0</v>
      </c>
      <c r="R75" s="226">
        <f t="shared" si="28"/>
        <v>0</v>
      </c>
      <c r="S75" s="226">
        <f t="shared" si="28"/>
        <v>0</v>
      </c>
      <c r="T75" s="226">
        <f t="shared" si="28"/>
        <v>0</v>
      </c>
      <c r="U75" s="227">
        <f t="shared" si="22"/>
        <v>0</v>
      </c>
      <c r="V75" s="226">
        <f t="shared" si="29"/>
        <v>0</v>
      </c>
      <c r="W75" s="226">
        <f t="shared" si="29"/>
        <v>0</v>
      </c>
      <c r="X75" s="226">
        <f t="shared" si="29"/>
        <v>0</v>
      </c>
      <c r="Y75" s="227">
        <f t="shared" si="23"/>
        <v>0</v>
      </c>
    </row>
    <row r="76" spans="1:25" ht="12.75" hidden="1" customHeight="1" outlineLevel="1" x14ac:dyDescent="0.2">
      <c r="A76" s="198" t="str">
        <f>"         "&amp;Labels!C324</f>
        <v xml:space="preserve">         Total</v>
      </c>
      <c r="B76" s="226">
        <f t="shared" si="24"/>
        <v>0</v>
      </c>
      <c r="C76" s="226">
        <f t="shared" si="24"/>
        <v>0</v>
      </c>
      <c r="D76" s="226">
        <f t="shared" si="24"/>
        <v>2750</v>
      </c>
      <c r="E76" s="227">
        <f>SUM(B72:D72)</f>
        <v>2750</v>
      </c>
      <c r="F76" s="226">
        <f t="shared" si="25"/>
        <v>2750</v>
      </c>
      <c r="G76" s="226">
        <f t="shared" si="25"/>
        <v>0</v>
      </c>
      <c r="H76" s="226">
        <f t="shared" si="25"/>
        <v>2000</v>
      </c>
      <c r="I76" s="227">
        <f>SUM(F72:H72)</f>
        <v>4750</v>
      </c>
      <c r="J76" s="226">
        <f t="shared" si="26"/>
        <v>30260.89297106001</v>
      </c>
      <c r="K76" s="226">
        <f t="shared" si="26"/>
        <v>30330.591957132838</v>
      </c>
      <c r="L76" s="226">
        <f t="shared" si="26"/>
        <v>0</v>
      </c>
      <c r="M76" s="227">
        <f>SUM(J72:L72)</f>
        <v>60591.484928192847</v>
      </c>
      <c r="N76" s="226">
        <f t="shared" si="27"/>
        <v>0</v>
      </c>
      <c r="O76" s="226">
        <f t="shared" si="27"/>
        <v>0</v>
      </c>
      <c r="P76" s="226">
        <f t="shared" si="27"/>
        <v>0</v>
      </c>
      <c r="Q76" s="227">
        <f>SUM(N72:P72)</f>
        <v>0</v>
      </c>
      <c r="R76" s="226">
        <f t="shared" si="28"/>
        <v>0</v>
      </c>
      <c r="S76" s="226">
        <f t="shared" si="28"/>
        <v>0</v>
      </c>
      <c r="T76" s="226">
        <f t="shared" si="28"/>
        <v>0</v>
      </c>
      <c r="U76" s="227">
        <f>SUM(R72:T72)</f>
        <v>0</v>
      </c>
      <c r="V76" s="226">
        <f t="shared" si="29"/>
        <v>0</v>
      </c>
      <c r="W76" s="226">
        <f t="shared" si="29"/>
        <v>0</v>
      </c>
      <c r="X76" s="226">
        <f t="shared" si="29"/>
        <v>0</v>
      </c>
      <c r="Y76" s="227">
        <f>SUM(V72:X72)</f>
        <v>0</v>
      </c>
    </row>
    <row r="77" spans="1:25" ht="12.75" hidden="1" customHeight="1" outlineLevel="1" x14ac:dyDescent="0.2">
      <c r="A77" s="188" t="str">
        <f>"   "&amp;Labels!B318</f>
        <v xml:space="preserve">   Channels 2</v>
      </c>
      <c r="B77" s="196"/>
      <c r="C77" s="196"/>
      <c r="D77" s="196"/>
      <c r="E77" s="197"/>
      <c r="F77" s="196"/>
      <c r="G77" s="196"/>
      <c r="H77" s="196"/>
      <c r="I77" s="197"/>
      <c r="J77" s="196"/>
      <c r="K77" s="196"/>
      <c r="L77" s="196"/>
      <c r="M77" s="197"/>
      <c r="N77" s="196"/>
      <c r="O77" s="196"/>
      <c r="P77" s="196"/>
      <c r="Q77" s="197"/>
      <c r="R77" s="196"/>
      <c r="S77" s="196"/>
      <c r="T77" s="196"/>
      <c r="U77" s="197"/>
      <c r="V77" s="196"/>
      <c r="W77" s="196"/>
      <c r="X77" s="196"/>
      <c r="Y77" s="197"/>
    </row>
    <row r="78" spans="1:25" ht="12.75" hidden="1" customHeight="1" outlineLevel="1" x14ac:dyDescent="0.2">
      <c r="A78" s="198" t="str">
        <f>"      "&amp;Labels!B381</f>
        <v xml:space="preserve">      Practice 1</v>
      </c>
      <c r="B78" s="226"/>
      <c r="C78" s="226"/>
      <c r="D78" s="226"/>
      <c r="E78" s="227"/>
      <c r="F78" s="226"/>
      <c r="G78" s="226"/>
      <c r="H78" s="226"/>
      <c r="I78" s="227"/>
      <c r="J78" s="226"/>
      <c r="K78" s="226"/>
      <c r="L78" s="226"/>
      <c r="M78" s="227"/>
      <c r="N78" s="226"/>
      <c r="O78" s="226"/>
      <c r="P78" s="226"/>
      <c r="Q78" s="227"/>
      <c r="R78" s="226"/>
      <c r="S78" s="226"/>
      <c r="T78" s="226"/>
      <c r="U78" s="227"/>
      <c r="V78" s="226"/>
      <c r="W78" s="226"/>
      <c r="X78" s="226"/>
      <c r="Y78" s="227"/>
    </row>
    <row r="79" spans="1:25" ht="12.75" hidden="1" customHeight="1" outlineLevel="1" x14ac:dyDescent="0.2">
      <c r="A79" s="198" t="str">
        <f>"         "&amp;Labels!B325</f>
        <v xml:space="preserve">         Direct Labor</v>
      </c>
      <c r="B79" s="226">
        <f>'GM CostSvcs'!B22</f>
        <v>0</v>
      </c>
      <c r="C79" s="226">
        <f>'GM CostSvcs'!C22</f>
        <v>0</v>
      </c>
      <c r="D79" s="226">
        <f>'GM CostSvcs'!D22</f>
        <v>0</v>
      </c>
      <c r="E79" s="227">
        <f>SUM(B79:D79)</f>
        <v>0</v>
      </c>
      <c r="F79" s="226">
        <f>'GM CostSvcs'!F22</f>
        <v>0</v>
      </c>
      <c r="G79" s="226">
        <f>'GM CostSvcs'!G22</f>
        <v>0</v>
      </c>
      <c r="H79" s="226">
        <f>'GM CostSvcs'!H22</f>
        <v>0</v>
      </c>
      <c r="I79" s="227">
        <f>SUM(F79:H79)</f>
        <v>0</v>
      </c>
      <c r="J79" s="226">
        <f>'GM CostSvcs'!J22</f>
        <v>0</v>
      </c>
      <c r="K79" s="226">
        <f>'GM CostSvcs'!K22</f>
        <v>0</v>
      </c>
      <c r="L79" s="226">
        <f>'GM CostSvcs'!L22</f>
        <v>0</v>
      </c>
      <c r="M79" s="227">
        <f>SUM(J79:L79)</f>
        <v>0</v>
      </c>
      <c r="N79" s="226">
        <f>'GM CostSvcs'!N22</f>
        <v>0</v>
      </c>
      <c r="O79" s="226">
        <f>'GM CostSvcs'!O22</f>
        <v>0</v>
      </c>
      <c r="P79" s="226">
        <f>'GM CostSvcs'!P22</f>
        <v>0</v>
      </c>
      <c r="Q79" s="227">
        <f>SUM(N79:P79)</f>
        <v>0</v>
      </c>
      <c r="R79" s="226">
        <f>'GM CostSvcs'!R22</f>
        <v>0</v>
      </c>
      <c r="S79" s="226">
        <f>'GM CostSvcs'!S22</f>
        <v>0</v>
      </c>
      <c r="T79" s="226">
        <f>'GM CostSvcs'!T22</f>
        <v>0</v>
      </c>
      <c r="U79" s="227">
        <f>SUM(R79:T79)</f>
        <v>0</v>
      </c>
      <c r="V79" s="226">
        <f>'GM CostSvcs'!V22</f>
        <v>0</v>
      </c>
      <c r="W79" s="226">
        <f>'GM CostSvcs'!W22</f>
        <v>0</v>
      </c>
      <c r="X79" s="226">
        <f>'GM CostSvcs'!X22</f>
        <v>0</v>
      </c>
      <c r="Y79" s="227">
        <f>SUM(V79:X79)</f>
        <v>0</v>
      </c>
    </row>
    <row r="80" spans="1:25" ht="12.75" hidden="1" customHeight="1" outlineLevel="1" x14ac:dyDescent="0.2">
      <c r="A80" s="198" t="str">
        <f>"         "&amp;Labels!B326</f>
        <v xml:space="preserve">         Travel &amp; Entertain</v>
      </c>
      <c r="B80" s="226">
        <f>B277</f>
        <v>0</v>
      </c>
      <c r="C80" s="226">
        <f>C277</f>
        <v>0</v>
      </c>
      <c r="D80" s="226">
        <f>D277</f>
        <v>0</v>
      </c>
      <c r="E80" s="227">
        <f>SUM(B80:D80)</f>
        <v>0</v>
      </c>
      <c r="F80" s="226">
        <f>F277</f>
        <v>0</v>
      </c>
      <c r="G80" s="226">
        <f>G277</f>
        <v>0</v>
      </c>
      <c r="H80" s="226">
        <f>H277</f>
        <v>0</v>
      </c>
      <c r="I80" s="227">
        <f>SUM(F80:H80)</f>
        <v>0</v>
      </c>
      <c r="J80" s="226">
        <f>J277</f>
        <v>0</v>
      </c>
      <c r="K80" s="226">
        <f>K277</f>
        <v>0</v>
      </c>
      <c r="L80" s="226">
        <f>L277</f>
        <v>0</v>
      </c>
      <c r="M80" s="227">
        <f>SUM(J80:L80)</f>
        <v>0</v>
      </c>
      <c r="N80" s="226">
        <f>N277</f>
        <v>0</v>
      </c>
      <c r="O80" s="226">
        <f>O277</f>
        <v>0</v>
      </c>
      <c r="P80" s="226">
        <f>P277</f>
        <v>0</v>
      </c>
      <c r="Q80" s="227">
        <f>SUM(N80:P80)</f>
        <v>0</v>
      </c>
      <c r="R80" s="226">
        <f>R277</f>
        <v>0</v>
      </c>
      <c r="S80" s="226">
        <f>S277</f>
        <v>0</v>
      </c>
      <c r="T80" s="226">
        <f>T277</f>
        <v>0</v>
      </c>
      <c r="U80" s="227">
        <f>SUM(R80:T80)</f>
        <v>0</v>
      </c>
      <c r="V80" s="226">
        <f>V277</f>
        <v>0</v>
      </c>
      <c r="W80" s="226">
        <f>W277</f>
        <v>0</v>
      </c>
      <c r="X80" s="226">
        <f>X277</f>
        <v>0</v>
      </c>
      <c r="Y80" s="227">
        <f>SUM(V80:X80)</f>
        <v>0</v>
      </c>
    </row>
    <row r="81" spans="1:25" ht="12.75" hidden="1" customHeight="1" outlineLevel="1" x14ac:dyDescent="0.2">
      <c r="A81" s="198" t="str">
        <f>"         "&amp;Labels!B327</f>
        <v xml:space="preserve">         Direct Supplies</v>
      </c>
      <c r="B81" s="226">
        <f>'GM CostSvcs'!B128</f>
        <v>0</v>
      </c>
      <c r="C81" s="226">
        <f>'GM CostSvcs'!C128</f>
        <v>0</v>
      </c>
      <c r="D81" s="226">
        <f>'GM CostSvcs'!D128</f>
        <v>0</v>
      </c>
      <c r="E81" s="227">
        <f>SUM(B81:D81)</f>
        <v>0</v>
      </c>
      <c r="F81" s="226">
        <f>'GM CostSvcs'!F128</f>
        <v>0</v>
      </c>
      <c r="G81" s="226">
        <f>'GM CostSvcs'!G128</f>
        <v>0</v>
      </c>
      <c r="H81" s="226">
        <f>'GM CostSvcs'!H128</f>
        <v>0</v>
      </c>
      <c r="I81" s="227">
        <f>SUM(F81:H81)</f>
        <v>0</v>
      </c>
      <c r="J81" s="226">
        <f>'GM CostSvcs'!J128</f>
        <v>0</v>
      </c>
      <c r="K81" s="226">
        <f>'GM CostSvcs'!K128</f>
        <v>0</v>
      </c>
      <c r="L81" s="226">
        <f>'GM CostSvcs'!L128</f>
        <v>0</v>
      </c>
      <c r="M81" s="227">
        <f>SUM(J81:L81)</f>
        <v>0</v>
      </c>
      <c r="N81" s="226">
        <f>'GM CostSvcs'!N128</f>
        <v>0</v>
      </c>
      <c r="O81" s="226">
        <f>'GM CostSvcs'!O128</f>
        <v>0</v>
      </c>
      <c r="P81" s="226">
        <f>'GM CostSvcs'!P128</f>
        <v>0</v>
      </c>
      <c r="Q81" s="227">
        <f>SUM(N81:P81)</f>
        <v>0</v>
      </c>
      <c r="R81" s="226">
        <f>'GM CostSvcs'!R128</f>
        <v>0</v>
      </c>
      <c r="S81" s="226">
        <f>'GM CostSvcs'!S128</f>
        <v>0</v>
      </c>
      <c r="T81" s="226">
        <f>'GM CostSvcs'!T128</f>
        <v>0</v>
      </c>
      <c r="U81" s="227">
        <f>SUM(R81:T81)</f>
        <v>0</v>
      </c>
      <c r="V81" s="226">
        <f>'GM CostSvcs'!V128</f>
        <v>0</v>
      </c>
      <c r="W81" s="226">
        <f>'GM CostSvcs'!W128</f>
        <v>0</v>
      </c>
      <c r="X81" s="226">
        <f>'GM CostSvcs'!X128</f>
        <v>0</v>
      </c>
      <c r="Y81" s="227">
        <f>SUM(V81:X81)</f>
        <v>0</v>
      </c>
    </row>
    <row r="82" spans="1:25" ht="12.75" hidden="1" customHeight="1" outlineLevel="1" x14ac:dyDescent="0.2">
      <c r="A82" s="198" t="str">
        <f>"         "&amp;Labels!C324</f>
        <v xml:space="preserve">         Total</v>
      </c>
      <c r="B82" s="226">
        <f>SUM(B79:B81)</f>
        <v>0</v>
      </c>
      <c r="C82" s="226">
        <f>SUM(C79:C81)</f>
        <v>0</v>
      </c>
      <c r="D82" s="226">
        <f>SUM(D79:D81)</f>
        <v>0</v>
      </c>
      <c r="E82" s="227">
        <f>SUM(B82:D82)</f>
        <v>0</v>
      </c>
      <c r="F82" s="226">
        <f>SUM(F79:F81)</f>
        <v>0</v>
      </c>
      <c r="G82" s="226">
        <f>SUM(G79:G81)</f>
        <v>0</v>
      </c>
      <c r="H82" s="226">
        <f>SUM(H79:H81)</f>
        <v>0</v>
      </c>
      <c r="I82" s="227">
        <f>SUM(F82:H82)</f>
        <v>0</v>
      </c>
      <c r="J82" s="226">
        <f>SUM(J79:J81)</f>
        <v>0</v>
      </c>
      <c r="K82" s="226">
        <f>SUM(K79:K81)</f>
        <v>0</v>
      </c>
      <c r="L82" s="226">
        <f>SUM(L79:L81)</f>
        <v>0</v>
      </c>
      <c r="M82" s="227">
        <f>SUM(J82:L82)</f>
        <v>0</v>
      </c>
      <c r="N82" s="226">
        <f>SUM(N79:N81)</f>
        <v>0</v>
      </c>
      <c r="O82" s="226">
        <f>SUM(O79:O81)</f>
        <v>0</v>
      </c>
      <c r="P82" s="226">
        <f>SUM(P79:P81)</f>
        <v>0</v>
      </c>
      <c r="Q82" s="227">
        <f>SUM(N82:P82)</f>
        <v>0</v>
      </c>
      <c r="R82" s="226">
        <f>SUM(R79:R81)</f>
        <v>0</v>
      </c>
      <c r="S82" s="226">
        <f>SUM(S79:S81)</f>
        <v>0</v>
      </c>
      <c r="T82" s="226">
        <f>SUM(T79:T81)</f>
        <v>0</v>
      </c>
      <c r="U82" s="227">
        <f>SUM(R82:T82)</f>
        <v>0</v>
      </c>
      <c r="V82" s="226">
        <f>SUM(V79:V81)</f>
        <v>0</v>
      </c>
      <c r="W82" s="226">
        <f>SUM(W79:W81)</f>
        <v>0</v>
      </c>
      <c r="X82" s="226">
        <f>SUM(X79:X81)</f>
        <v>0</v>
      </c>
      <c r="Y82" s="227">
        <f>SUM(V82:X82)</f>
        <v>0</v>
      </c>
    </row>
    <row r="83" spans="1:25" ht="12.75" hidden="1" customHeight="1" outlineLevel="1" x14ac:dyDescent="0.2">
      <c r="A83" s="198" t="str">
        <f>"      "&amp;Labels!B382</f>
        <v xml:space="preserve">      Practice 2</v>
      </c>
      <c r="B83" s="226"/>
      <c r="C83" s="226"/>
      <c r="D83" s="226"/>
      <c r="E83" s="227"/>
      <c r="F83" s="226"/>
      <c r="G83" s="226"/>
      <c r="H83" s="226"/>
      <c r="I83" s="227"/>
      <c r="J83" s="226"/>
      <c r="K83" s="226"/>
      <c r="L83" s="226"/>
      <c r="M83" s="227"/>
      <c r="N83" s="226"/>
      <c r="O83" s="226"/>
      <c r="P83" s="226"/>
      <c r="Q83" s="227"/>
      <c r="R83" s="226"/>
      <c r="S83" s="226"/>
      <c r="T83" s="226"/>
      <c r="U83" s="227"/>
      <c r="V83" s="226"/>
      <c r="W83" s="226"/>
      <c r="X83" s="226"/>
      <c r="Y83" s="227"/>
    </row>
    <row r="84" spans="1:25" ht="12.75" hidden="1" customHeight="1" outlineLevel="1" x14ac:dyDescent="0.2">
      <c r="A84" s="198" t="str">
        <f>"         "&amp;Labels!B325</f>
        <v xml:space="preserve">         Direct Labor</v>
      </c>
      <c r="B84" s="226">
        <f>'GM CostSvcs'!B35</f>
        <v>0</v>
      </c>
      <c r="C84" s="226">
        <f>'GM CostSvcs'!C35</f>
        <v>0</v>
      </c>
      <c r="D84" s="226">
        <f>'GM CostSvcs'!D35</f>
        <v>0</v>
      </c>
      <c r="E84" s="227">
        <f t="shared" ref="E84:E91" si="30">SUM(B84:D84)</f>
        <v>0</v>
      </c>
      <c r="F84" s="226">
        <f>'GM CostSvcs'!F35</f>
        <v>0</v>
      </c>
      <c r="G84" s="226">
        <f>'GM CostSvcs'!G35</f>
        <v>0</v>
      </c>
      <c r="H84" s="226">
        <f>'GM CostSvcs'!H35</f>
        <v>0</v>
      </c>
      <c r="I84" s="227">
        <f t="shared" ref="I84:I91" si="31">SUM(F84:H84)</f>
        <v>0</v>
      </c>
      <c r="J84" s="226">
        <f>'GM CostSvcs'!J35</f>
        <v>0</v>
      </c>
      <c r="K84" s="226">
        <f>'GM CostSvcs'!K35</f>
        <v>0</v>
      </c>
      <c r="L84" s="226">
        <f>'GM CostSvcs'!L35</f>
        <v>0</v>
      </c>
      <c r="M84" s="227">
        <f t="shared" ref="M84:M91" si="32">SUM(J84:L84)</f>
        <v>0</v>
      </c>
      <c r="N84" s="226">
        <f>'GM CostSvcs'!N35</f>
        <v>0</v>
      </c>
      <c r="O84" s="226">
        <f>'GM CostSvcs'!O35</f>
        <v>0</v>
      </c>
      <c r="P84" s="226">
        <f>'GM CostSvcs'!P35</f>
        <v>0</v>
      </c>
      <c r="Q84" s="227">
        <f t="shared" ref="Q84:Q91" si="33">SUM(N84:P84)</f>
        <v>0</v>
      </c>
      <c r="R84" s="226">
        <f>'GM CostSvcs'!R35</f>
        <v>0</v>
      </c>
      <c r="S84" s="226">
        <f>'GM CostSvcs'!S35</f>
        <v>0</v>
      </c>
      <c r="T84" s="226">
        <f>'GM CostSvcs'!T35</f>
        <v>0</v>
      </c>
      <c r="U84" s="227">
        <f t="shared" ref="U84:U91" si="34">SUM(R84:T84)</f>
        <v>0</v>
      </c>
      <c r="V84" s="226">
        <f>'GM CostSvcs'!V35</f>
        <v>0</v>
      </c>
      <c r="W84" s="226">
        <f>'GM CostSvcs'!W35</f>
        <v>0</v>
      </c>
      <c r="X84" s="226">
        <f>'GM CostSvcs'!X35</f>
        <v>0</v>
      </c>
      <c r="Y84" s="227">
        <f t="shared" ref="Y84:Y91" si="35">SUM(V84:X84)</f>
        <v>0</v>
      </c>
    </row>
    <row r="85" spans="1:25" ht="12.75" hidden="1" customHeight="1" outlineLevel="1" x14ac:dyDescent="0.2">
      <c r="A85" s="198" t="str">
        <f>"         "&amp;Labels!B326</f>
        <v xml:space="preserve">         Travel &amp; Entertain</v>
      </c>
      <c r="B85" s="226">
        <f>B281</f>
        <v>0</v>
      </c>
      <c r="C85" s="226">
        <f>C281</f>
        <v>0</v>
      </c>
      <c r="D85" s="226">
        <f>D281</f>
        <v>0</v>
      </c>
      <c r="E85" s="227">
        <f t="shared" si="30"/>
        <v>0</v>
      </c>
      <c r="F85" s="226">
        <f>F281</f>
        <v>0</v>
      </c>
      <c r="G85" s="226">
        <f>G281</f>
        <v>0</v>
      </c>
      <c r="H85" s="226">
        <f>H281</f>
        <v>0</v>
      </c>
      <c r="I85" s="227">
        <f t="shared" si="31"/>
        <v>0</v>
      </c>
      <c r="J85" s="226">
        <f>J281</f>
        <v>0</v>
      </c>
      <c r="K85" s="226">
        <f>K281</f>
        <v>0</v>
      </c>
      <c r="L85" s="226">
        <f>L281</f>
        <v>0</v>
      </c>
      <c r="M85" s="227">
        <f t="shared" si="32"/>
        <v>0</v>
      </c>
      <c r="N85" s="226">
        <f>N281</f>
        <v>0</v>
      </c>
      <c r="O85" s="226">
        <f>O281</f>
        <v>0</v>
      </c>
      <c r="P85" s="226">
        <f>P281</f>
        <v>0</v>
      </c>
      <c r="Q85" s="227">
        <f t="shared" si="33"/>
        <v>0</v>
      </c>
      <c r="R85" s="226">
        <f>R281</f>
        <v>0</v>
      </c>
      <c r="S85" s="226">
        <f>S281</f>
        <v>0</v>
      </c>
      <c r="T85" s="226">
        <f>T281</f>
        <v>0</v>
      </c>
      <c r="U85" s="227">
        <f t="shared" si="34"/>
        <v>0</v>
      </c>
      <c r="V85" s="226">
        <f>V281</f>
        <v>0</v>
      </c>
      <c r="W85" s="226">
        <f>W281</f>
        <v>0</v>
      </c>
      <c r="X85" s="226">
        <f>X281</f>
        <v>0</v>
      </c>
      <c r="Y85" s="227">
        <f t="shared" si="35"/>
        <v>0</v>
      </c>
    </row>
    <row r="86" spans="1:25" ht="12.75" hidden="1" customHeight="1" outlineLevel="1" x14ac:dyDescent="0.2">
      <c r="A86" s="198" t="str">
        <f>"         "&amp;Labels!B327</f>
        <v xml:space="preserve">         Direct Supplies</v>
      </c>
      <c r="B86" s="226">
        <f>'GM CostSvcs'!B168</f>
        <v>0</v>
      </c>
      <c r="C86" s="226">
        <f>'GM CostSvcs'!C168</f>
        <v>0</v>
      </c>
      <c r="D86" s="226">
        <f>'GM CostSvcs'!D168</f>
        <v>0</v>
      </c>
      <c r="E86" s="227">
        <f t="shared" si="30"/>
        <v>0</v>
      </c>
      <c r="F86" s="226">
        <f>'GM CostSvcs'!F168</f>
        <v>0</v>
      </c>
      <c r="G86" s="226">
        <f>'GM CostSvcs'!G168</f>
        <v>0</v>
      </c>
      <c r="H86" s="226">
        <f>'GM CostSvcs'!H168</f>
        <v>0</v>
      </c>
      <c r="I86" s="227">
        <f t="shared" si="31"/>
        <v>0</v>
      </c>
      <c r="J86" s="226">
        <f>'GM CostSvcs'!J168</f>
        <v>0</v>
      </c>
      <c r="K86" s="226">
        <f>'GM CostSvcs'!K168</f>
        <v>0</v>
      </c>
      <c r="L86" s="226">
        <f>'GM CostSvcs'!L168</f>
        <v>0</v>
      </c>
      <c r="M86" s="227">
        <f t="shared" si="32"/>
        <v>0</v>
      </c>
      <c r="N86" s="226">
        <f>'GM CostSvcs'!N168</f>
        <v>0</v>
      </c>
      <c r="O86" s="226">
        <f>'GM CostSvcs'!O168</f>
        <v>0</v>
      </c>
      <c r="P86" s="226">
        <f>'GM CostSvcs'!P168</f>
        <v>0</v>
      </c>
      <c r="Q86" s="227">
        <f t="shared" si="33"/>
        <v>0</v>
      </c>
      <c r="R86" s="226">
        <f>'GM CostSvcs'!R168</f>
        <v>0</v>
      </c>
      <c r="S86" s="226">
        <f>'GM CostSvcs'!S168</f>
        <v>0</v>
      </c>
      <c r="T86" s="226">
        <f>'GM CostSvcs'!T168</f>
        <v>0</v>
      </c>
      <c r="U86" s="227">
        <f t="shared" si="34"/>
        <v>0</v>
      </c>
      <c r="V86" s="226">
        <f>'GM CostSvcs'!V168</f>
        <v>0</v>
      </c>
      <c r="W86" s="226">
        <f>'GM CostSvcs'!W168</f>
        <v>0</v>
      </c>
      <c r="X86" s="226">
        <f>'GM CostSvcs'!X168</f>
        <v>0</v>
      </c>
      <c r="Y86" s="227">
        <f t="shared" si="35"/>
        <v>0</v>
      </c>
    </row>
    <row r="87" spans="1:25" ht="12.75" hidden="1" customHeight="1" outlineLevel="1" x14ac:dyDescent="0.2">
      <c r="A87" s="198" t="str">
        <f>"         "&amp;Labels!C324</f>
        <v xml:space="preserve">         Total</v>
      </c>
      <c r="B87" s="226">
        <f>SUM(B84:B86)</f>
        <v>0</v>
      </c>
      <c r="C87" s="226">
        <f>SUM(C84:C86)</f>
        <v>0</v>
      </c>
      <c r="D87" s="226">
        <f>SUM(D84:D86)</f>
        <v>0</v>
      </c>
      <c r="E87" s="227">
        <f t="shared" si="30"/>
        <v>0</v>
      </c>
      <c r="F87" s="226">
        <f>SUM(F84:F86)</f>
        <v>0</v>
      </c>
      <c r="G87" s="226">
        <f>SUM(G84:G86)</f>
        <v>0</v>
      </c>
      <c r="H87" s="226">
        <f>SUM(H84:H86)</f>
        <v>0</v>
      </c>
      <c r="I87" s="227">
        <f t="shared" si="31"/>
        <v>0</v>
      </c>
      <c r="J87" s="226">
        <f>SUM(J84:J86)</f>
        <v>0</v>
      </c>
      <c r="K87" s="226">
        <f>SUM(K84:K86)</f>
        <v>0</v>
      </c>
      <c r="L87" s="226">
        <f>SUM(L84:L86)</f>
        <v>0</v>
      </c>
      <c r="M87" s="227">
        <f t="shared" si="32"/>
        <v>0</v>
      </c>
      <c r="N87" s="226">
        <f>SUM(N84:N86)</f>
        <v>0</v>
      </c>
      <c r="O87" s="226">
        <f>SUM(O84:O86)</f>
        <v>0</v>
      </c>
      <c r="P87" s="226">
        <f>SUM(P84:P86)</f>
        <v>0</v>
      </c>
      <c r="Q87" s="227">
        <f t="shared" si="33"/>
        <v>0</v>
      </c>
      <c r="R87" s="226">
        <f>SUM(R84:R86)</f>
        <v>0</v>
      </c>
      <c r="S87" s="226">
        <f>SUM(S84:S86)</f>
        <v>0</v>
      </c>
      <c r="T87" s="226">
        <f>SUM(T84:T86)</f>
        <v>0</v>
      </c>
      <c r="U87" s="227">
        <f t="shared" si="34"/>
        <v>0</v>
      </c>
      <c r="V87" s="226">
        <f>SUM(V84:V86)</f>
        <v>0</v>
      </c>
      <c r="W87" s="226">
        <f>SUM(W84:W86)</f>
        <v>0</v>
      </c>
      <c r="X87" s="226">
        <f>SUM(X84:X86)</f>
        <v>0</v>
      </c>
      <c r="Y87" s="227">
        <f t="shared" si="35"/>
        <v>0</v>
      </c>
    </row>
    <row r="88" spans="1:25" ht="12.75" hidden="1" customHeight="1" outlineLevel="1" x14ac:dyDescent="0.2">
      <c r="A88" s="188" t="str">
        <f>"      "&amp;Labels!C380</f>
        <v xml:space="preserve">      Total</v>
      </c>
      <c r="B88" s="196">
        <f>SUM(B82,B87)</f>
        <v>0</v>
      </c>
      <c r="C88" s="196">
        <f>SUM(C82,C87)</f>
        <v>0</v>
      </c>
      <c r="D88" s="196">
        <f>SUM(D82,D87)</f>
        <v>0</v>
      </c>
      <c r="E88" s="197">
        <f t="shared" si="30"/>
        <v>0</v>
      </c>
      <c r="F88" s="196">
        <f>SUM(F82,F87)</f>
        <v>0</v>
      </c>
      <c r="G88" s="196">
        <f>SUM(G82,G87)</f>
        <v>0</v>
      </c>
      <c r="H88" s="196">
        <f>SUM(H82,H87)</f>
        <v>0</v>
      </c>
      <c r="I88" s="197">
        <f t="shared" si="31"/>
        <v>0</v>
      </c>
      <c r="J88" s="196">
        <f>SUM(J82,J87)</f>
        <v>0</v>
      </c>
      <c r="K88" s="196">
        <f>SUM(K82,K87)</f>
        <v>0</v>
      </c>
      <c r="L88" s="196">
        <f>SUM(L82,L87)</f>
        <v>0</v>
      </c>
      <c r="M88" s="197">
        <f t="shared" si="32"/>
        <v>0</v>
      </c>
      <c r="N88" s="196">
        <f>SUM(N82,N87)</f>
        <v>0</v>
      </c>
      <c r="O88" s="196">
        <f>SUM(O82,O87)</f>
        <v>0</v>
      </c>
      <c r="P88" s="196">
        <f>SUM(P82,P87)</f>
        <v>0</v>
      </c>
      <c r="Q88" s="197">
        <f t="shared" si="33"/>
        <v>0</v>
      </c>
      <c r="R88" s="196">
        <f>SUM(R82,R87)</f>
        <v>0</v>
      </c>
      <c r="S88" s="196">
        <f>SUM(S82,S87)</f>
        <v>0</v>
      </c>
      <c r="T88" s="196">
        <f>SUM(T82,T87)</f>
        <v>0</v>
      </c>
      <c r="U88" s="197">
        <f t="shared" si="34"/>
        <v>0</v>
      </c>
      <c r="V88" s="196">
        <f>SUM(V82,V87)</f>
        <v>0</v>
      </c>
      <c r="W88" s="196">
        <f>SUM(W82,W87)</f>
        <v>0</v>
      </c>
      <c r="X88" s="196">
        <f>SUM(X82,X87)</f>
        <v>0</v>
      </c>
      <c r="Y88" s="197">
        <f t="shared" si="35"/>
        <v>0</v>
      </c>
    </row>
    <row r="89" spans="1:25" ht="12.75" hidden="1" customHeight="1" outlineLevel="1" x14ac:dyDescent="0.2">
      <c r="A89" s="198" t="str">
        <f>"         "&amp;Labels!B325</f>
        <v xml:space="preserve">         Direct Labor</v>
      </c>
      <c r="B89" s="226">
        <f t="shared" ref="B89:D92" si="36">SUM(B79,B84)</f>
        <v>0</v>
      </c>
      <c r="C89" s="226">
        <f t="shared" si="36"/>
        <v>0</v>
      </c>
      <c r="D89" s="226">
        <f t="shared" si="36"/>
        <v>0</v>
      </c>
      <c r="E89" s="227">
        <f t="shared" si="30"/>
        <v>0</v>
      </c>
      <c r="F89" s="226">
        <f t="shared" ref="F89:H92" si="37">SUM(F79,F84)</f>
        <v>0</v>
      </c>
      <c r="G89" s="226">
        <f t="shared" si="37"/>
        <v>0</v>
      </c>
      <c r="H89" s="226">
        <f t="shared" si="37"/>
        <v>0</v>
      </c>
      <c r="I89" s="227">
        <f t="shared" si="31"/>
        <v>0</v>
      </c>
      <c r="J89" s="226">
        <f t="shared" ref="J89:L92" si="38">SUM(J79,J84)</f>
        <v>0</v>
      </c>
      <c r="K89" s="226">
        <f t="shared" si="38"/>
        <v>0</v>
      </c>
      <c r="L89" s="226">
        <f t="shared" si="38"/>
        <v>0</v>
      </c>
      <c r="M89" s="227">
        <f t="shared" si="32"/>
        <v>0</v>
      </c>
      <c r="N89" s="226">
        <f t="shared" ref="N89:P92" si="39">SUM(N79,N84)</f>
        <v>0</v>
      </c>
      <c r="O89" s="226">
        <f t="shared" si="39"/>
        <v>0</v>
      </c>
      <c r="P89" s="226">
        <f t="shared" si="39"/>
        <v>0</v>
      </c>
      <c r="Q89" s="227">
        <f t="shared" si="33"/>
        <v>0</v>
      </c>
      <c r="R89" s="226">
        <f t="shared" ref="R89:T92" si="40">SUM(R79,R84)</f>
        <v>0</v>
      </c>
      <c r="S89" s="226">
        <f t="shared" si="40"/>
        <v>0</v>
      </c>
      <c r="T89" s="226">
        <f t="shared" si="40"/>
        <v>0</v>
      </c>
      <c r="U89" s="227">
        <f t="shared" si="34"/>
        <v>0</v>
      </c>
      <c r="V89" s="226">
        <f t="shared" ref="V89:X92" si="41">SUM(V79,V84)</f>
        <v>0</v>
      </c>
      <c r="W89" s="226">
        <f t="shared" si="41"/>
        <v>0</v>
      </c>
      <c r="X89" s="226">
        <f t="shared" si="41"/>
        <v>0</v>
      </c>
      <c r="Y89" s="227">
        <f t="shared" si="35"/>
        <v>0</v>
      </c>
    </row>
    <row r="90" spans="1:25" ht="12.75" hidden="1" customHeight="1" outlineLevel="1" x14ac:dyDescent="0.2">
      <c r="A90" s="198" t="str">
        <f>"         "&amp;Labels!B326</f>
        <v xml:space="preserve">         Travel &amp; Entertain</v>
      </c>
      <c r="B90" s="226">
        <f t="shared" si="36"/>
        <v>0</v>
      </c>
      <c r="C90" s="226">
        <f t="shared" si="36"/>
        <v>0</v>
      </c>
      <c r="D90" s="226">
        <f t="shared" si="36"/>
        <v>0</v>
      </c>
      <c r="E90" s="227">
        <f t="shared" si="30"/>
        <v>0</v>
      </c>
      <c r="F90" s="226">
        <f t="shared" si="37"/>
        <v>0</v>
      </c>
      <c r="G90" s="226">
        <f t="shared" si="37"/>
        <v>0</v>
      </c>
      <c r="H90" s="226">
        <f t="shared" si="37"/>
        <v>0</v>
      </c>
      <c r="I90" s="227">
        <f t="shared" si="31"/>
        <v>0</v>
      </c>
      <c r="J90" s="226">
        <f t="shared" si="38"/>
        <v>0</v>
      </c>
      <c r="K90" s="226">
        <f t="shared" si="38"/>
        <v>0</v>
      </c>
      <c r="L90" s="226">
        <f t="shared" si="38"/>
        <v>0</v>
      </c>
      <c r="M90" s="227">
        <f t="shared" si="32"/>
        <v>0</v>
      </c>
      <c r="N90" s="226">
        <f t="shared" si="39"/>
        <v>0</v>
      </c>
      <c r="O90" s="226">
        <f t="shared" si="39"/>
        <v>0</v>
      </c>
      <c r="P90" s="226">
        <f t="shared" si="39"/>
        <v>0</v>
      </c>
      <c r="Q90" s="227">
        <f t="shared" si="33"/>
        <v>0</v>
      </c>
      <c r="R90" s="226">
        <f t="shared" si="40"/>
        <v>0</v>
      </c>
      <c r="S90" s="226">
        <f t="shared" si="40"/>
        <v>0</v>
      </c>
      <c r="T90" s="226">
        <f t="shared" si="40"/>
        <v>0</v>
      </c>
      <c r="U90" s="227">
        <f t="shared" si="34"/>
        <v>0</v>
      </c>
      <c r="V90" s="226">
        <f t="shared" si="41"/>
        <v>0</v>
      </c>
      <c r="W90" s="226">
        <f t="shared" si="41"/>
        <v>0</v>
      </c>
      <c r="X90" s="226">
        <f t="shared" si="41"/>
        <v>0</v>
      </c>
      <c r="Y90" s="227">
        <f t="shared" si="35"/>
        <v>0</v>
      </c>
    </row>
    <row r="91" spans="1:25" ht="12.75" hidden="1" customHeight="1" outlineLevel="1" x14ac:dyDescent="0.2">
      <c r="A91" s="198" t="str">
        <f>"         "&amp;Labels!B327</f>
        <v xml:space="preserve">         Direct Supplies</v>
      </c>
      <c r="B91" s="226">
        <f t="shared" si="36"/>
        <v>0</v>
      </c>
      <c r="C91" s="226">
        <f t="shared" si="36"/>
        <v>0</v>
      </c>
      <c r="D91" s="226">
        <f t="shared" si="36"/>
        <v>0</v>
      </c>
      <c r="E91" s="227">
        <f t="shared" si="30"/>
        <v>0</v>
      </c>
      <c r="F91" s="226">
        <f t="shared" si="37"/>
        <v>0</v>
      </c>
      <c r="G91" s="226">
        <f t="shared" si="37"/>
        <v>0</v>
      </c>
      <c r="H91" s="226">
        <f t="shared" si="37"/>
        <v>0</v>
      </c>
      <c r="I91" s="227">
        <f t="shared" si="31"/>
        <v>0</v>
      </c>
      <c r="J91" s="226">
        <f t="shared" si="38"/>
        <v>0</v>
      </c>
      <c r="K91" s="226">
        <f t="shared" si="38"/>
        <v>0</v>
      </c>
      <c r="L91" s="226">
        <f t="shared" si="38"/>
        <v>0</v>
      </c>
      <c r="M91" s="227">
        <f t="shared" si="32"/>
        <v>0</v>
      </c>
      <c r="N91" s="226">
        <f t="shared" si="39"/>
        <v>0</v>
      </c>
      <c r="O91" s="226">
        <f t="shared" si="39"/>
        <v>0</v>
      </c>
      <c r="P91" s="226">
        <f t="shared" si="39"/>
        <v>0</v>
      </c>
      <c r="Q91" s="227">
        <f t="shared" si="33"/>
        <v>0</v>
      </c>
      <c r="R91" s="226">
        <f t="shared" si="40"/>
        <v>0</v>
      </c>
      <c r="S91" s="226">
        <f t="shared" si="40"/>
        <v>0</v>
      </c>
      <c r="T91" s="226">
        <f t="shared" si="40"/>
        <v>0</v>
      </c>
      <c r="U91" s="227">
        <f t="shared" si="34"/>
        <v>0</v>
      </c>
      <c r="V91" s="226">
        <f t="shared" si="41"/>
        <v>0</v>
      </c>
      <c r="W91" s="226">
        <f t="shared" si="41"/>
        <v>0</v>
      </c>
      <c r="X91" s="226">
        <f t="shared" si="41"/>
        <v>0</v>
      </c>
      <c r="Y91" s="227">
        <f t="shared" si="35"/>
        <v>0</v>
      </c>
    </row>
    <row r="92" spans="1:25" ht="12.75" hidden="1" customHeight="1" outlineLevel="1" x14ac:dyDescent="0.2">
      <c r="A92" s="198" t="str">
        <f>"         "&amp;Labels!C324</f>
        <v xml:space="preserve">         Total</v>
      </c>
      <c r="B92" s="226">
        <f t="shared" si="36"/>
        <v>0</v>
      </c>
      <c r="C92" s="226">
        <f t="shared" si="36"/>
        <v>0</v>
      </c>
      <c r="D92" s="226">
        <f t="shared" si="36"/>
        <v>0</v>
      </c>
      <c r="E92" s="227">
        <f>SUM(B88:D88)</f>
        <v>0</v>
      </c>
      <c r="F92" s="226">
        <f t="shared" si="37"/>
        <v>0</v>
      </c>
      <c r="G92" s="226">
        <f t="shared" si="37"/>
        <v>0</v>
      </c>
      <c r="H92" s="226">
        <f t="shared" si="37"/>
        <v>0</v>
      </c>
      <c r="I92" s="227">
        <f>SUM(F88:H88)</f>
        <v>0</v>
      </c>
      <c r="J92" s="226">
        <f t="shared" si="38"/>
        <v>0</v>
      </c>
      <c r="K92" s="226">
        <f t="shared" si="38"/>
        <v>0</v>
      </c>
      <c r="L92" s="226">
        <f t="shared" si="38"/>
        <v>0</v>
      </c>
      <c r="M92" s="227">
        <f>SUM(J88:L88)</f>
        <v>0</v>
      </c>
      <c r="N92" s="226">
        <f t="shared" si="39"/>
        <v>0</v>
      </c>
      <c r="O92" s="226">
        <f t="shared" si="39"/>
        <v>0</v>
      </c>
      <c r="P92" s="226">
        <f t="shared" si="39"/>
        <v>0</v>
      </c>
      <c r="Q92" s="227">
        <f>SUM(N88:P88)</f>
        <v>0</v>
      </c>
      <c r="R92" s="226">
        <f t="shared" si="40"/>
        <v>0</v>
      </c>
      <c r="S92" s="226">
        <f t="shared" si="40"/>
        <v>0</v>
      </c>
      <c r="T92" s="226">
        <f t="shared" si="40"/>
        <v>0</v>
      </c>
      <c r="U92" s="227">
        <f>SUM(R88:T88)</f>
        <v>0</v>
      </c>
      <c r="V92" s="226">
        <f t="shared" si="41"/>
        <v>0</v>
      </c>
      <c r="W92" s="226">
        <f t="shared" si="41"/>
        <v>0</v>
      </c>
      <c r="X92" s="226">
        <f t="shared" si="41"/>
        <v>0</v>
      </c>
      <c r="Y92" s="227">
        <f>SUM(V88:X88)</f>
        <v>0</v>
      </c>
    </row>
    <row r="93" spans="1:25" ht="12.75" hidden="1" customHeight="1" outlineLevel="1" x14ac:dyDescent="0.2">
      <c r="A93" s="191" t="str">
        <f>"   "&amp;Labels!C316</f>
        <v xml:space="preserve">   Total</v>
      </c>
      <c r="B93" s="192">
        <f>SUM(B72,B88)</f>
        <v>0</v>
      </c>
      <c r="C93" s="192">
        <f>SUM(C72,C88)</f>
        <v>0</v>
      </c>
      <c r="D93" s="192">
        <f>SUM(D72,D88)</f>
        <v>2750</v>
      </c>
      <c r="E93" s="190">
        <f>SUM(B93:D93)</f>
        <v>2750</v>
      </c>
      <c r="F93" s="192">
        <f>SUM(F72,F88)</f>
        <v>2750</v>
      </c>
      <c r="G93" s="192">
        <f>SUM(G72,G88)</f>
        <v>0</v>
      </c>
      <c r="H93" s="192">
        <f>SUM(H72,H88)</f>
        <v>2000</v>
      </c>
      <c r="I93" s="190">
        <f>SUM(F93:H93)</f>
        <v>4750</v>
      </c>
      <c r="J93" s="192">
        <f>SUM(J72,J88)</f>
        <v>30260.89297106001</v>
      </c>
      <c r="K93" s="192">
        <f>SUM(K72,K88)</f>
        <v>30330.591957132838</v>
      </c>
      <c r="L93" s="192">
        <f>SUM(L72,L88)</f>
        <v>0</v>
      </c>
      <c r="M93" s="190">
        <f>SUM(J93:L93)</f>
        <v>60591.484928192847</v>
      </c>
      <c r="N93" s="192">
        <f>SUM(N72,N88)</f>
        <v>0</v>
      </c>
      <c r="O93" s="192">
        <f>SUM(O72,O88)</f>
        <v>0</v>
      </c>
      <c r="P93" s="192">
        <f>SUM(P72,P88)</f>
        <v>0</v>
      </c>
      <c r="Q93" s="190">
        <f>SUM(N93:P93)</f>
        <v>0</v>
      </c>
      <c r="R93" s="192">
        <f>SUM(R72,R88)</f>
        <v>0</v>
      </c>
      <c r="S93" s="192">
        <f>SUM(S72,S88)</f>
        <v>0</v>
      </c>
      <c r="T93" s="192">
        <f>SUM(T72,T88)</f>
        <v>0</v>
      </c>
      <c r="U93" s="190">
        <f>SUM(R93:T93)</f>
        <v>0</v>
      </c>
      <c r="V93" s="192">
        <f>SUM(V72,V88)</f>
        <v>0</v>
      </c>
      <c r="W93" s="192">
        <f>SUM(W72,W88)</f>
        <v>0</v>
      </c>
      <c r="X93" s="192">
        <f>SUM(X72,X88)</f>
        <v>0</v>
      </c>
      <c r="Y93" s="190">
        <f>SUM(V93:X93)</f>
        <v>0</v>
      </c>
    </row>
    <row r="94" spans="1:25" ht="12.75" hidden="1" customHeight="1" outlineLevel="1" x14ac:dyDescent="0.2">
      <c r="A94" s="198" t="str">
        <f>"      "&amp;Labels!B381</f>
        <v xml:space="preserve">      Practice 1</v>
      </c>
      <c r="B94" s="226"/>
      <c r="C94" s="226"/>
      <c r="D94" s="226"/>
      <c r="E94" s="227"/>
      <c r="F94" s="226"/>
      <c r="G94" s="226"/>
      <c r="H94" s="226"/>
      <c r="I94" s="227"/>
      <c r="J94" s="226"/>
      <c r="K94" s="226"/>
      <c r="L94" s="226"/>
      <c r="M94" s="227"/>
      <c r="N94" s="226"/>
      <c r="O94" s="226"/>
      <c r="P94" s="226"/>
      <c r="Q94" s="227"/>
      <c r="R94" s="226"/>
      <c r="S94" s="226"/>
      <c r="T94" s="226"/>
      <c r="U94" s="227"/>
      <c r="V94" s="226"/>
      <c r="W94" s="226"/>
      <c r="X94" s="226"/>
      <c r="Y94" s="227"/>
    </row>
    <row r="95" spans="1:25" ht="12.75" hidden="1" customHeight="1" outlineLevel="1" x14ac:dyDescent="0.2">
      <c r="A95" s="198" t="str">
        <f>"         "&amp;Labels!B325</f>
        <v xml:space="preserve">         Direct Labor</v>
      </c>
      <c r="B95" s="226">
        <f t="shared" ref="B95:D98" si="42">SUM(B63,B79)</f>
        <v>0</v>
      </c>
      <c r="C95" s="226">
        <f t="shared" si="42"/>
        <v>0</v>
      </c>
      <c r="D95" s="226">
        <f t="shared" si="42"/>
        <v>0</v>
      </c>
      <c r="E95" s="227">
        <f>SUM(B95:D95)</f>
        <v>0</v>
      </c>
      <c r="F95" s="226">
        <f t="shared" ref="F95:H98" si="43">SUM(F63,F79)</f>
        <v>0</v>
      </c>
      <c r="G95" s="226">
        <f t="shared" si="43"/>
        <v>0</v>
      </c>
      <c r="H95" s="226">
        <f t="shared" si="43"/>
        <v>0</v>
      </c>
      <c r="I95" s="227">
        <f>SUM(F95:H95)</f>
        <v>0</v>
      </c>
      <c r="J95" s="226">
        <f t="shared" ref="J95:L98" si="44">SUM(J63,J79)</f>
        <v>28260.89297106001</v>
      </c>
      <c r="K95" s="226">
        <f t="shared" si="44"/>
        <v>28330.591957132838</v>
      </c>
      <c r="L95" s="226">
        <f t="shared" si="44"/>
        <v>0</v>
      </c>
      <c r="M95" s="227">
        <f>SUM(J95:L95)</f>
        <v>56591.484928192847</v>
      </c>
      <c r="N95" s="226">
        <f t="shared" ref="N95:P98" si="45">SUM(N63,N79)</f>
        <v>0</v>
      </c>
      <c r="O95" s="226">
        <f t="shared" si="45"/>
        <v>0</v>
      </c>
      <c r="P95" s="226">
        <f t="shared" si="45"/>
        <v>0</v>
      </c>
      <c r="Q95" s="227">
        <f>SUM(N95:P95)</f>
        <v>0</v>
      </c>
      <c r="R95" s="226">
        <f t="shared" ref="R95:T98" si="46">SUM(R63,R79)</f>
        <v>0</v>
      </c>
      <c r="S95" s="226">
        <f t="shared" si="46"/>
        <v>0</v>
      </c>
      <c r="T95" s="226">
        <f t="shared" si="46"/>
        <v>0</v>
      </c>
      <c r="U95" s="227">
        <f>SUM(R95:T95)</f>
        <v>0</v>
      </c>
      <c r="V95" s="226">
        <f t="shared" ref="V95:X98" si="47">SUM(V63,V79)</f>
        <v>0</v>
      </c>
      <c r="W95" s="226">
        <f t="shared" si="47"/>
        <v>0</v>
      </c>
      <c r="X95" s="226">
        <f t="shared" si="47"/>
        <v>0</v>
      </c>
      <c r="Y95" s="227">
        <f>SUM(V95:X95)</f>
        <v>0</v>
      </c>
    </row>
    <row r="96" spans="1:25" ht="12.75" hidden="1" customHeight="1" outlineLevel="1" x14ac:dyDescent="0.2">
      <c r="A96" s="198" t="str">
        <f>"         "&amp;Labels!B326</f>
        <v xml:space="preserve">         Travel &amp; Entertain</v>
      </c>
      <c r="B96" s="226">
        <f t="shared" si="42"/>
        <v>0</v>
      </c>
      <c r="C96" s="226">
        <f t="shared" si="42"/>
        <v>0</v>
      </c>
      <c r="D96" s="226">
        <f t="shared" si="42"/>
        <v>2750</v>
      </c>
      <c r="E96" s="227">
        <f>SUM(B96:D96)</f>
        <v>2750</v>
      </c>
      <c r="F96" s="226">
        <f t="shared" si="43"/>
        <v>2750</v>
      </c>
      <c r="G96" s="226">
        <f t="shared" si="43"/>
        <v>0</v>
      </c>
      <c r="H96" s="226">
        <f t="shared" si="43"/>
        <v>2000</v>
      </c>
      <c r="I96" s="227">
        <f>SUM(F96:H96)</f>
        <v>4750</v>
      </c>
      <c r="J96" s="226">
        <f t="shared" si="44"/>
        <v>2000</v>
      </c>
      <c r="K96" s="226">
        <f t="shared" si="44"/>
        <v>2000</v>
      </c>
      <c r="L96" s="226">
        <f t="shared" si="44"/>
        <v>0</v>
      </c>
      <c r="M96" s="227">
        <f>SUM(J96:L96)</f>
        <v>4000</v>
      </c>
      <c r="N96" s="226">
        <f t="shared" si="45"/>
        <v>0</v>
      </c>
      <c r="O96" s="226">
        <f t="shared" si="45"/>
        <v>0</v>
      </c>
      <c r="P96" s="226">
        <f t="shared" si="45"/>
        <v>0</v>
      </c>
      <c r="Q96" s="227">
        <f>SUM(N96:P96)</f>
        <v>0</v>
      </c>
      <c r="R96" s="226">
        <f t="shared" si="46"/>
        <v>0</v>
      </c>
      <c r="S96" s="226">
        <f t="shared" si="46"/>
        <v>0</v>
      </c>
      <c r="T96" s="226">
        <f t="shared" si="46"/>
        <v>0</v>
      </c>
      <c r="U96" s="227">
        <f>SUM(R96:T96)</f>
        <v>0</v>
      </c>
      <c r="V96" s="226">
        <f t="shared" si="47"/>
        <v>0</v>
      </c>
      <c r="W96" s="226">
        <f t="shared" si="47"/>
        <v>0</v>
      </c>
      <c r="X96" s="226">
        <f t="shared" si="47"/>
        <v>0</v>
      </c>
      <c r="Y96" s="227">
        <f>SUM(V96:X96)</f>
        <v>0</v>
      </c>
    </row>
    <row r="97" spans="1:25" ht="12.75" hidden="1" customHeight="1" outlineLevel="1" x14ac:dyDescent="0.2">
      <c r="A97" s="198" t="str">
        <f>"         "&amp;Labels!B327</f>
        <v xml:space="preserve">         Direct Supplies</v>
      </c>
      <c r="B97" s="226">
        <f t="shared" si="42"/>
        <v>0</v>
      </c>
      <c r="C97" s="226">
        <f t="shared" si="42"/>
        <v>0</v>
      </c>
      <c r="D97" s="226">
        <f t="shared" si="42"/>
        <v>0</v>
      </c>
      <c r="E97" s="227">
        <f>SUM(B97:D97)</f>
        <v>0</v>
      </c>
      <c r="F97" s="226">
        <f t="shared" si="43"/>
        <v>0</v>
      </c>
      <c r="G97" s="226">
        <f t="shared" si="43"/>
        <v>0</v>
      </c>
      <c r="H97" s="226">
        <f t="shared" si="43"/>
        <v>0</v>
      </c>
      <c r="I97" s="227">
        <f>SUM(F97:H97)</f>
        <v>0</v>
      </c>
      <c r="J97" s="226">
        <f t="shared" si="44"/>
        <v>0</v>
      </c>
      <c r="K97" s="226">
        <f t="shared" si="44"/>
        <v>0</v>
      </c>
      <c r="L97" s="226">
        <f t="shared" si="44"/>
        <v>0</v>
      </c>
      <c r="M97" s="227">
        <f>SUM(J97:L97)</f>
        <v>0</v>
      </c>
      <c r="N97" s="226">
        <f t="shared" si="45"/>
        <v>0</v>
      </c>
      <c r="O97" s="226">
        <f t="shared" si="45"/>
        <v>0</v>
      </c>
      <c r="P97" s="226">
        <f t="shared" si="45"/>
        <v>0</v>
      </c>
      <c r="Q97" s="227">
        <f>SUM(N97:P97)</f>
        <v>0</v>
      </c>
      <c r="R97" s="226">
        <f t="shared" si="46"/>
        <v>0</v>
      </c>
      <c r="S97" s="226">
        <f t="shared" si="46"/>
        <v>0</v>
      </c>
      <c r="T97" s="226">
        <f t="shared" si="46"/>
        <v>0</v>
      </c>
      <c r="U97" s="227">
        <f>SUM(R97:T97)</f>
        <v>0</v>
      </c>
      <c r="V97" s="226">
        <f t="shared" si="47"/>
        <v>0</v>
      </c>
      <c r="W97" s="226">
        <f t="shared" si="47"/>
        <v>0</v>
      </c>
      <c r="X97" s="226">
        <f t="shared" si="47"/>
        <v>0</v>
      </c>
      <c r="Y97" s="227">
        <f>SUM(V97:X97)</f>
        <v>0</v>
      </c>
    </row>
    <row r="98" spans="1:25" ht="12.75" hidden="1" customHeight="1" outlineLevel="1" x14ac:dyDescent="0.2">
      <c r="A98" s="198" t="str">
        <f>"         "&amp;Labels!C324</f>
        <v xml:space="preserve">         Total</v>
      </c>
      <c r="B98" s="226">
        <f t="shared" si="42"/>
        <v>0</v>
      </c>
      <c r="C98" s="226">
        <f t="shared" si="42"/>
        <v>0</v>
      </c>
      <c r="D98" s="226">
        <f t="shared" si="42"/>
        <v>2750</v>
      </c>
      <c r="E98" s="227">
        <f>SUM(B98:D98)</f>
        <v>2750</v>
      </c>
      <c r="F98" s="226">
        <f t="shared" si="43"/>
        <v>2750</v>
      </c>
      <c r="G98" s="226">
        <f t="shared" si="43"/>
        <v>0</v>
      </c>
      <c r="H98" s="226">
        <f t="shared" si="43"/>
        <v>2000</v>
      </c>
      <c r="I98" s="227">
        <f>SUM(F98:H98)</f>
        <v>4750</v>
      </c>
      <c r="J98" s="226">
        <f t="shared" si="44"/>
        <v>30260.89297106001</v>
      </c>
      <c r="K98" s="226">
        <f t="shared" si="44"/>
        <v>30330.591957132838</v>
      </c>
      <c r="L98" s="226">
        <f t="shared" si="44"/>
        <v>0</v>
      </c>
      <c r="M98" s="227">
        <f>SUM(J98:L98)</f>
        <v>60591.484928192847</v>
      </c>
      <c r="N98" s="226">
        <f t="shared" si="45"/>
        <v>0</v>
      </c>
      <c r="O98" s="226">
        <f t="shared" si="45"/>
        <v>0</v>
      </c>
      <c r="P98" s="226">
        <f t="shared" si="45"/>
        <v>0</v>
      </c>
      <c r="Q98" s="227">
        <f>SUM(N98:P98)</f>
        <v>0</v>
      </c>
      <c r="R98" s="226">
        <f t="shared" si="46"/>
        <v>0</v>
      </c>
      <c r="S98" s="226">
        <f t="shared" si="46"/>
        <v>0</v>
      </c>
      <c r="T98" s="226">
        <f t="shared" si="46"/>
        <v>0</v>
      </c>
      <c r="U98" s="227">
        <f>SUM(R98:T98)</f>
        <v>0</v>
      </c>
      <c r="V98" s="226">
        <f t="shared" si="47"/>
        <v>0</v>
      </c>
      <c r="W98" s="226">
        <f t="shared" si="47"/>
        <v>0</v>
      </c>
      <c r="X98" s="226">
        <f t="shared" si="47"/>
        <v>0</v>
      </c>
      <c r="Y98" s="227">
        <f>SUM(V98:X98)</f>
        <v>0</v>
      </c>
    </row>
    <row r="99" spans="1:25" ht="12.75" hidden="1" customHeight="1" outlineLevel="1" x14ac:dyDescent="0.2">
      <c r="A99" s="198" t="str">
        <f>"      "&amp;Labels!B382</f>
        <v xml:space="preserve">      Practice 2</v>
      </c>
      <c r="B99" s="226"/>
      <c r="C99" s="226"/>
      <c r="D99" s="226"/>
      <c r="E99" s="227"/>
      <c r="F99" s="226"/>
      <c r="G99" s="226"/>
      <c r="H99" s="226"/>
      <c r="I99" s="227"/>
      <c r="J99" s="226"/>
      <c r="K99" s="226"/>
      <c r="L99" s="226"/>
      <c r="M99" s="227"/>
      <c r="N99" s="226"/>
      <c r="O99" s="226"/>
      <c r="P99" s="226"/>
      <c r="Q99" s="227"/>
      <c r="R99" s="226"/>
      <c r="S99" s="226"/>
      <c r="T99" s="226"/>
      <c r="U99" s="227"/>
      <c r="V99" s="226"/>
      <c r="W99" s="226"/>
      <c r="X99" s="226"/>
      <c r="Y99" s="227"/>
    </row>
    <row r="100" spans="1:25" ht="12.75" hidden="1" customHeight="1" outlineLevel="1" x14ac:dyDescent="0.2">
      <c r="A100" s="198" t="str">
        <f>"         "&amp;Labels!B325</f>
        <v xml:space="preserve">         Direct Labor</v>
      </c>
      <c r="B100" s="226">
        <f t="shared" ref="B100:D107" si="48">SUM(B68,B84)</f>
        <v>0</v>
      </c>
      <c r="C100" s="226">
        <f t="shared" si="48"/>
        <v>0</v>
      </c>
      <c r="D100" s="226">
        <f t="shared" si="48"/>
        <v>0</v>
      </c>
      <c r="E100" s="227">
        <f>SUM(B100:D100)</f>
        <v>0</v>
      </c>
      <c r="F100" s="226">
        <f t="shared" ref="F100:H107" si="49">SUM(F68,F84)</f>
        <v>0</v>
      </c>
      <c r="G100" s="226">
        <f t="shared" si="49"/>
        <v>0</v>
      </c>
      <c r="H100" s="226">
        <f t="shared" si="49"/>
        <v>0</v>
      </c>
      <c r="I100" s="227">
        <f>SUM(F100:H100)</f>
        <v>0</v>
      </c>
      <c r="J100" s="226">
        <f t="shared" ref="J100:L107" si="50">SUM(J68,J84)</f>
        <v>0</v>
      </c>
      <c r="K100" s="226">
        <f t="shared" si="50"/>
        <v>0</v>
      </c>
      <c r="L100" s="226">
        <f t="shared" si="50"/>
        <v>0</v>
      </c>
      <c r="M100" s="227">
        <f>SUM(J100:L100)</f>
        <v>0</v>
      </c>
      <c r="N100" s="226">
        <f t="shared" ref="N100:P107" si="51">SUM(N68,N84)</f>
        <v>0</v>
      </c>
      <c r="O100" s="226">
        <f t="shared" si="51"/>
        <v>0</v>
      </c>
      <c r="P100" s="226">
        <f t="shared" si="51"/>
        <v>0</v>
      </c>
      <c r="Q100" s="227">
        <f>SUM(N100:P100)</f>
        <v>0</v>
      </c>
      <c r="R100" s="226">
        <f t="shared" ref="R100:T107" si="52">SUM(R68,R84)</f>
        <v>0</v>
      </c>
      <c r="S100" s="226">
        <f t="shared" si="52"/>
        <v>0</v>
      </c>
      <c r="T100" s="226">
        <f t="shared" si="52"/>
        <v>0</v>
      </c>
      <c r="U100" s="227">
        <f>SUM(R100:T100)</f>
        <v>0</v>
      </c>
      <c r="V100" s="226">
        <f t="shared" ref="V100:X107" si="53">SUM(V68,V84)</f>
        <v>0</v>
      </c>
      <c r="W100" s="226">
        <f t="shared" si="53"/>
        <v>0</v>
      </c>
      <c r="X100" s="226">
        <f t="shared" si="53"/>
        <v>0</v>
      </c>
      <c r="Y100" s="227">
        <f>SUM(V100:X100)</f>
        <v>0</v>
      </c>
    </row>
    <row r="101" spans="1:25" ht="12.75" hidden="1" customHeight="1" outlineLevel="1" x14ac:dyDescent="0.2">
      <c r="A101" s="198" t="str">
        <f>"         "&amp;Labels!B326</f>
        <v xml:space="preserve">         Travel &amp; Entertain</v>
      </c>
      <c r="B101" s="226">
        <f t="shared" si="48"/>
        <v>0</v>
      </c>
      <c r="C101" s="226">
        <f t="shared" si="48"/>
        <v>0</v>
      </c>
      <c r="D101" s="226">
        <f t="shared" si="48"/>
        <v>0</v>
      </c>
      <c r="E101" s="227">
        <f>SUM(B101:D101)</f>
        <v>0</v>
      </c>
      <c r="F101" s="226">
        <f t="shared" si="49"/>
        <v>0</v>
      </c>
      <c r="G101" s="226">
        <f t="shared" si="49"/>
        <v>0</v>
      </c>
      <c r="H101" s="226">
        <f t="shared" si="49"/>
        <v>0</v>
      </c>
      <c r="I101" s="227">
        <f>SUM(F101:H101)</f>
        <v>0</v>
      </c>
      <c r="J101" s="226">
        <f t="shared" si="50"/>
        <v>0</v>
      </c>
      <c r="K101" s="226">
        <f t="shared" si="50"/>
        <v>0</v>
      </c>
      <c r="L101" s="226">
        <f t="shared" si="50"/>
        <v>0</v>
      </c>
      <c r="M101" s="227">
        <f>SUM(J101:L101)</f>
        <v>0</v>
      </c>
      <c r="N101" s="226">
        <f t="shared" si="51"/>
        <v>0</v>
      </c>
      <c r="O101" s="226">
        <f t="shared" si="51"/>
        <v>0</v>
      </c>
      <c r="P101" s="226">
        <f t="shared" si="51"/>
        <v>0</v>
      </c>
      <c r="Q101" s="227">
        <f>SUM(N101:P101)</f>
        <v>0</v>
      </c>
      <c r="R101" s="226">
        <f t="shared" si="52"/>
        <v>0</v>
      </c>
      <c r="S101" s="226">
        <f t="shared" si="52"/>
        <v>0</v>
      </c>
      <c r="T101" s="226">
        <f t="shared" si="52"/>
        <v>0</v>
      </c>
      <c r="U101" s="227">
        <f>SUM(R101:T101)</f>
        <v>0</v>
      </c>
      <c r="V101" s="226">
        <f t="shared" si="53"/>
        <v>0</v>
      </c>
      <c r="W101" s="226">
        <f t="shared" si="53"/>
        <v>0</v>
      </c>
      <c r="X101" s="226">
        <f t="shared" si="53"/>
        <v>0</v>
      </c>
      <c r="Y101" s="227">
        <f>SUM(V101:X101)</f>
        <v>0</v>
      </c>
    </row>
    <row r="102" spans="1:25" ht="12.75" hidden="1" customHeight="1" outlineLevel="1" x14ac:dyDescent="0.2">
      <c r="A102" s="198" t="str">
        <f>"         "&amp;Labels!B327</f>
        <v xml:space="preserve">         Direct Supplies</v>
      </c>
      <c r="B102" s="226">
        <f t="shared" si="48"/>
        <v>0</v>
      </c>
      <c r="C102" s="226">
        <f t="shared" si="48"/>
        <v>0</v>
      </c>
      <c r="D102" s="226">
        <f t="shared" si="48"/>
        <v>0</v>
      </c>
      <c r="E102" s="227">
        <f>SUM(B102:D102)</f>
        <v>0</v>
      </c>
      <c r="F102" s="226">
        <f t="shared" si="49"/>
        <v>0</v>
      </c>
      <c r="G102" s="226">
        <f t="shared" si="49"/>
        <v>0</v>
      </c>
      <c r="H102" s="226">
        <f t="shared" si="49"/>
        <v>0</v>
      </c>
      <c r="I102" s="227">
        <f>SUM(F102:H102)</f>
        <v>0</v>
      </c>
      <c r="J102" s="226">
        <f t="shared" si="50"/>
        <v>0</v>
      </c>
      <c r="K102" s="226">
        <f t="shared" si="50"/>
        <v>0</v>
      </c>
      <c r="L102" s="226">
        <f t="shared" si="50"/>
        <v>0</v>
      </c>
      <c r="M102" s="227">
        <f>SUM(J102:L102)</f>
        <v>0</v>
      </c>
      <c r="N102" s="226">
        <f t="shared" si="51"/>
        <v>0</v>
      </c>
      <c r="O102" s="226">
        <f t="shared" si="51"/>
        <v>0</v>
      </c>
      <c r="P102" s="226">
        <f t="shared" si="51"/>
        <v>0</v>
      </c>
      <c r="Q102" s="227">
        <f>SUM(N102:P102)</f>
        <v>0</v>
      </c>
      <c r="R102" s="226">
        <f t="shared" si="52"/>
        <v>0</v>
      </c>
      <c r="S102" s="226">
        <f t="shared" si="52"/>
        <v>0</v>
      </c>
      <c r="T102" s="226">
        <f t="shared" si="52"/>
        <v>0</v>
      </c>
      <c r="U102" s="227">
        <f>SUM(R102:T102)</f>
        <v>0</v>
      </c>
      <c r="V102" s="226">
        <f t="shared" si="53"/>
        <v>0</v>
      </c>
      <c r="W102" s="226">
        <f t="shared" si="53"/>
        <v>0</v>
      </c>
      <c r="X102" s="226">
        <f t="shared" si="53"/>
        <v>0</v>
      </c>
      <c r="Y102" s="227">
        <f>SUM(V102:X102)</f>
        <v>0</v>
      </c>
    </row>
    <row r="103" spans="1:25" ht="12.75" hidden="1" customHeight="1" outlineLevel="1" x14ac:dyDescent="0.2">
      <c r="A103" s="198" t="str">
        <f>"         "&amp;Labels!C324</f>
        <v xml:space="preserve">         Total</v>
      </c>
      <c r="B103" s="226">
        <f t="shared" si="48"/>
        <v>0</v>
      </c>
      <c r="C103" s="226">
        <f t="shared" si="48"/>
        <v>0</v>
      </c>
      <c r="D103" s="226">
        <f t="shared" si="48"/>
        <v>0</v>
      </c>
      <c r="E103" s="227">
        <f>SUM(B103:D103)</f>
        <v>0</v>
      </c>
      <c r="F103" s="226">
        <f t="shared" si="49"/>
        <v>0</v>
      </c>
      <c r="G103" s="226">
        <f t="shared" si="49"/>
        <v>0</v>
      </c>
      <c r="H103" s="226">
        <f t="shared" si="49"/>
        <v>0</v>
      </c>
      <c r="I103" s="227">
        <f>SUM(F103:H103)</f>
        <v>0</v>
      </c>
      <c r="J103" s="226">
        <f t="shared" si="50"/>
        <v>0</v>
      </c>
      <c r="K103" s="226">
        <f t="shared" si="50"/>
        <v>0</v>
      </c>
      <c r="L103" s="226">
        <f t="shared" si="50"/>
        <v>0</v>
      </c>
      <c r="M103" s="227">
        <f>SUM(J103:L103)</f>
        <v>0</v>
      </c>
      <c r="N103" s="226">
        <f t="shared" si="51"/>
        <v>0</v>
      </c>
      <c r="O103" s="226">
        <f t="shared" si="51"/>
        <v>0</v>
      </c>
      <c r="P103" s="226">
        <f t="shared" si="51"/>
        <v>0</v>
      </c>
      <c r="Q103" s="227">
        <f>SUM(N103:P103)</f>
        <v>0</v>
      </c>
      <c r="R103" s="226">
        <f t="shared" si="52"/>
        <v>0</v>
      </c>
      <c r="S103" s="226">
        <f t="shared" si="52"/>
        <v>0</v>
      </c>
      <c r="T103" s="226">
        <f t="shared" si="52"/>
        <v>0</v>
      </c>
      <c r="U103" s="227">
        <f>SUM(R103:T103)</f>
        <v>0</v>
      </c>
      <c r="V103" s="226">
        <f t="shared" si="53"/>
        <v>0</v>
      </c>
      <c r="W103" s="226">
        <f t="shared" si="53"/>
        <v>0</v>
      </c>
      <c r="X103" s="226">
        <f t="shared" si="53"/>
        <v>0</v>
      </c>
      <c r="Y103" s="227">
        <f>SUM(V103:X103)</f>
        <v>0</v>
      </c>
    </row>
    <row r="104" spans="1:25" ht="12.75" hidden="1" customHeight="1" outlineLevel="1" x14ac:dyDescent="0.2">
      <c r="A104" s="188" t="str">
        <f>"      "&amp;Labels!C380</f>
        <v xml:space="preserve">      Total</v>
      </c>
      <c r="B104" s="196">
        <f t="shared" si="48"/>
        <v>0</v>
      </c>
      <c r="C104" s="196">
        <f t="shared" si="48"/>
        <v>0</v>
      </c>
      <c r="D104" s="196">
        <f t="shared" si="48"/>
        <v>2750</v>
      </c>
      <c r="E104" s="197">
        <f>SUM(B93:D93)</f>
        <v>2750</v>
      </c>
      <c r="F104" s="196">
        <f t="shared" si="49"/>
        <v>2750</v>
      </c>
      <c r="G104" s="196">
        <f t="shared" si="49"/>
        <v>0</v>
      </c>
      <c r="H104" s="196">
        <f t="shared" si="49"/>
        <v>2000</v>
      </c>
      <c r="I104" s="197">
        <f>SUM(F93:H93)</f>
        <v>4750</v>
      </c>
      <c r="J104" s="196">
        <f t="shared" si="50"/>
        <v>30260.89297106001</v>
      </c>
      <c r="K104" s="196">
        <f t="shared" si="50"/>
        <v>30330.591957132838</v>
      </c>
      <c r="L104" s="196">
        <f t="shared" si="50"/>
        <v>0</v>
      </c>
      <c r="M104" s="197">
        <f>SUM(J93:L93)</f>
        <v>60591.484928192847</v>
      </c>
      <c r="N104" s="196">
        <f t="shared" si="51"/>
        <v>0</v>
      </c>
      <c r="O104" s="196">
        <f t="shared" si="51"/>
        <v>0</v>
      </c>
      <c r="P104" s="196">
        <f t="shared" si="51"/>
        <v>0</v>
      </c>
      <c r="Q104" s="197">
        <f>SUM(N93:P93)</f>
        <v>0</v>
      </c>
      <c r="R104" s="196">
        <f t="shared" si="52"/>
        <v>0</v>
      </c>
      <c r="S104" s="196">
        <f t="shared" si="52"/>
        <v>0</v>
      </c>
      <c r="T104" s="196">
        <f t="shared" si="52"/>
        <v>0</v>
      </c>
      <c r="U104" s="197">
        <f>SUM(R93:T93)</f>
        <v>0</v>
      </c>
      <c r="V104" s="196">
        <f t="shared" si="53"/>
        <v>0</v>
      </c>
      <c r="W104" s="196">
        <f t="shared" si="53"/>
        <v>0</v>
      </c>
      <c r="X104" s="196">
        <f t="shared" si="53"/>
        <v>0</v>
      </c>
      <c r="Y104" s="197">
        <f>SUM(V93:X93)</f>
        <v>0</v>
      </c>
    </row>
    <row r="105" spans="1:25" ht="12.75" hidden="1" customHeight="1" outlineLevel="1" x14ac:dyDescent="0.2">
      <c r="A105" s="198" t="str">
        <f>"         "&amp;Labels!B325</f>
        <v xml:space="preserve">         Direct Labor</v>
      </c>
      <c r="B105" s="226">
        <f t="shared" si="48"/>
        <v>0</v>
      </c>
      <c r="C105" s="226">
        <f t="shared" si="48"/>
        <v>0</v>
      </c>
      <c r="D105" s="226">
        <f t="shared" si="48"/>
        <v>0</v>
      </c>
      <c r="E105" s="227">
        <f>SUM(B105:D105)</f>
        <v>0</v>
      </c>
      <c r="F105" s="226">
        <f t="shared" si="49"/>
        <v>0</v>
      </c>
      <c r="G105" s="226">
        <f t="shared" si="49"/>
        <v>0</v>
      </c>
      <c r="H105" s="226">
        <f t="shared" si="49"/>
        <v>0</v>
      </c>
      <c r="I105" s="227">
        <f>SUM(F105:H105)</f>
        <v>0</v>
      </c>
      <c r="J105" s="226">
        <f t="shared" si="50"/>
        <v>28260.89297106001</v>
      </c>
      <c r="K105" s="226">
        <f t="shared" si="50"/>
        <v>28330.591957132838</v>
      </c>
      <c r="L105" s="226">
        <f t="shared" si="50"/>
        <v>0</v>
      </c>
      <c r="M105" s="227">
        <f>SUM(J105:L105)</f>
        <v>56591.484928192847</v>
      </c>
      <c r="N105" s="226">
        <f t="shared" si="51"/>
        <v>0</v>
      </c>
      <c r="O105" s="226">
        <f t="shared" si="51"/>
        <v>0</v>
      </c>
      <c r="P105" s="226">
        <f t="shared" si="51"/>
        <v>0</v>
      </c>
      <c r="Q105" s="227">
        <f>SUM(N105:P105)</f>
        <v>0</v>
      </c>
      <c r="R105" s="226">
        <f t="shared" si="52"/>
        <v>0</v>
      </c>
      <c r="S105" s="226">
        <f t="shared" si="52"/>
        <v>0</v>
      </c>
      <c r="T105" s="226">
        <f t="shared" si="52"/>
        <v>0</v>
      </c>
      <c r="U105" s="227">
        <f>SUM(R105:T105)</f>
        <v>0</v>
      </c>
      <c r="V105" s="226">
        <f t="shared" si="53"/>
        <v>0</v>
      </c>
      <c r="W105" s="226">
        <f t="shared" si="53"/>
        <v>0</v>
      </c>
      <c r="X105" s="226">
        <f t="shared" si="53"/>
        <v>0</v>
      </c>
      <c r="Y105" s="227">
        <f>SUM(V105:X105)</f>
        <v>0</v>
      </c>
    </row>
    <row r="106" spans="1:25" ht="12.75" hidden="1" customHeight="1" outlineLevel="1" x14ac:dyDescent="0.2">
      <c r="A106" s="198" t="str">
        <f>"         "&amp;Labels!B326</f>
        <v xml:space="preserve">         Travel &amp; Entertain</v>
      </c>
      <c r="B106" s="226">
        <f t="shared" si="48"/>
        <v>0</v>
      </c>
      <c r="C106" s="226">
        <f t="shared" si="48"/>
        <v>0</v>
      </c>
      <c r="D106" s="226">
        <f t="shared" si="48"/>
        <v>2750</v>
      </c>
      <c r="E106" s="227">
        <f>SUM(B106:D106)</f>
        <v>2750</v>
      </c>
      <c r="F106" s="226">
        <f t="shared" si="49"/>
        <v>2750</v>
      </c>
      <c r="G106" s="226">
        <f t="shared" si="49"/>
        <v>0</v>
      </c>
      <c r="H106" s="226">
        <f t="shared" si="49"/>
        <v>2000</v>
      </c>
      <c r="I106" s="227">
        <f>SUM(F106:H106)</f>
        <v>4750</v>
      </c>
      <c r="J106" s="226">
        <f t="shared" si="50"/>
        <v>2000</v>
      </c>
      <c r="K106" s="226">
        <f t="shared" si="50"/>
        <v>2000</v>
      </c>
      <c r="L106" s="226">
        <f t="shared" si="50"/>
        <v>0</v>
      </c>
      <c r="M106" s="227">
        <f>SUM(J106:L106)</f>
        <v>4000</v>
      </c>
      <c r="N106" s="226">
        <f t="shared" si="51"/>
        <v>0</v>
      </c>
      <c r="O106" s="226">
        <f t="shared" si="51"/>
        <v>0</v>
      </c>
      <c r="P106" s="226">
        <f t="shared" si="51"/>
        <v>0</v>
      </c>
      <c r="Q106" s="227">
        <f>SUM(N106:P106)</f>
        <v>0</v>
      </c>
      <c r="R106" s="226">
        <f t="shared" si="52"/>
        <v>0</v>
      </c>
      <c r="S106" s="226">
        <f t="shared" si="52"/>
        <v>0</v>
      </c>
      <c r="T106" s="226">
        <f t="shared" si="52"/>
        <v>0</v>
      </c>
      <c r="U106" s="227">
        <f>SUM(R106:T106)</f>
        <v>0</v>
      </c>
      <c r="V106" s="226">
        <f t="shared" si="53"/>
        <v>0</v>
      </c>
      <c r="W106" s="226">
        <f t="shared" si="53"/>
        <v>0</v>
      </c>
      <c r="X106" s="226">
        <f t="shared" si="53"/>
        <v>0</v>
      </c>
      <c r="Y106" s="227">
        <f>SUM(V106:X106)</f>
        <v>0</v>
      </c>
    </row>
    <row r="107" spans="1:25" ht="12.75" hidden="1" customHeight="1" outlineLevel="1" x14ac:dyDescent="0.2">
      <c r="A107" s="198" t="str">
        <f>"         "&amp;Labels!B327</f>
        <v xml:space="preserve">         Direct Supplies</v>
      </c>
      <c r="B107" s="226">
        <f t="shared" si="48"/>
        <v>0</v>
      </c>
      <c r="C107" s="226">
        <f t="shared" si="48"/>
        <v>0</v>
      </c>
      <c r="D107" s="226">
        <f t="shared" si="48"/>
        <v>0</v>
      </c>
      <c r="E107" s="227">
        <f>SUM(B107:D107)</f>
        <v>0</v>
      </c>
      <c r="F107" s="226">
        <f t="shared" si="49"/>
        <v>0</v>
      </c>
      <c r="G107" s="226">
        <f t="shared" si="49"/>
        <v>0</v>
      </c>
      <c r="H107" s="226">
        <f t="shared" si="49"/>
        <v>0</v>
      </c>
      <c r="I107" s="227">
        <f>SUM(F107:H107)</f>
        <v>0</v>
      </c>
      <c r="J107" s="226">
        <f t="shared" si="50"/>
        <v>0</v>
      </c>
      <c r="K107" s="226">
        <f t="shared" si="50"/>
        <v>0</v>
      </c>
      <c r="L107" s="226">
        <f t="shared" si="50"/>
        <v>0</v>
      </c>
      <c r="M107" s="227">
        <f>SUM(J107:L107)</f>
        <v>0</v>
      </c>
      <c r="N107" s="226">
        <f t="shared" si="51"/>
        <v>0</v>
      </c>
      <c r="O107" s="226">
        <f t="shared" si="51"/>
        <v>0</v>
      </c>
      <c r="P107" s="226">
        <f t="shared" si="51"/>
        <v>0</v>
      </c>
      <c r="Q107" s="227">
        <f>SUM(N107:P107)</f>
        <v>0</v>
      </c>
      <c r="R107" s="226">
        <f t="shared" si="52"/>
        <v>0</v>
      </c>
      <c r="S107" s="226">
        <f t="shared" si="52"/>
        <v>0</v>
      </c>
      <c r="T107" s="226">
        <f t="shared" si="52"/>
        <v>0</v>
      </c>
      <c r="U107" s="227">
        <f>SUM(R107:T107)</f>
        <v>0</v>
      </c>
      <c r="V107" s="226">
        <f t="shared" si="53"/>
        <v>0</v>
      </c>
      <c r="W107" s="226">
        <f t="shared" si="53"/>
        <v>0</v>
      </c>
      <c r="X107" s="226">
        <f t="shared" si="53"/>
        <v>0</v>
      </c>
      <c r="Y107" s="227">
        <f>SUM(V107:X107)</f>
        <v>0</v>
      </c>
    </row>
    <row r="108" spans="1:25" ht="12.75" hidden="1" customHeight="1" outlineLevel="1" x14ac:dyDescent="0.2">
      <c r="A108" s="230" t="str">
        <f>"         "&amp;Labels!C324</f>
        <v xml:space="preserve">         Total</v>
      </c>
      <c r="B108" s="231">
        <f>SUM(B72,B88)</f>
        <v>0</v>
      </c>
      <c r="C108" s="231">
        <f>SUM(C72,C88)</f>
        <v>0</v>
      </c>
      <c r="D108" s="231">
        <f>SUM(D72,D88)</f>
        <v>2750</v>
      </c>
      <c r="E108" s="232">
        <f>SUM(B93:D93)</f>
        <v>2750</v>
      </c>
      <c r="F108" s="231">
        <f>SUM(F72,F88)</f>
        <v>2750</v>
      </c>
      <c r="G108" s="231">
        <f>SUM(G72,G88)</f>
        <v>0</v>
      </c>
      <c r="H108" s="231">
        <f>SUM(H72,H88)</f>
        <v>2000</v>
      </c>
      <c r="I108" s="232">
        <f>SUM(F93:H93)</f>
        <v>4750</v>
      </c>
      <c r="J108" s="231">
        <f>SUM(J72,J88)</f>
        <v>30260.89297106001</v>
      </c>
      <c r="K108" s="231">
        <f>SUM(K72,K88)</f>
        <v>30330.591957132838</v>
      </c>
      <c r="L108" s="231">
        <f>SUM(L72,L88)</f>
        <v>0</v>
      </c>
      <c r="M108" s="232">
        <f>SUM(J93:L93)</f>
        <v>60591.484928192847</v>
      </c>
      <c r="N108" s="231">
        <f>SUM(N72,N88)</f>
        <v>0</v>
      </c>
      <c r="O108" s="231">
        <f>SUM(O72,O88)</f>
        <v>0</v>
      </c>
      <c r="P108" s="231">
        <f>SUM(P72,P88)</f>
        <v>0</v>
      </c>
      <c r="Q108" s="232">
        <f>SUM(N93:P93)</f>
        <v>0</v>
      </c>
      <c r="R108" s="231">
        <f>SUM(R72,R88)</f>
        <v>0</v>
      </c>
      <c r="S108" s="231">
        <f>SUM(S72,S88)</f>
        <v>0</v>
      </c>
      <c r="T108" s="231">
        <f>SUM(T72,T88)</f>
        <v>0</v>
      </c>
      <c r="U108" s="232">
        <f>SUM(R93:T93)</f>
        <v>0</v>
      </c>
      <c r="V108" s="231">
        <f>SUM(V72,V88)</f>
        <v>0</v>
      </c>
      <c r="W108" s="231">
        <f>SUM(W72,W88)</f>
        <v>0</v>
      </c>
      <c r="X108" s="231">
        <f>SUM(X72,X88)</f>
        <v>0</v>
      </c>
      <c r="Y108" s="232">
        <f>SUM(V93:X93)</f>
        <v>0</v>
      </c>
    </row>
    <row r="109" spans="1:25" ht="12.75" hidden="1" customHeight="1" outlineLevel="1" x14ac:dyDescent="0.2"/>
    <row r="110" spans="1:25" ht="12.75" hidden="1" customHeight="1" outlineLevel="1" x14ac:dyDescent="0.2">
      <c r="A110" s="182" t="str">
        <f>Labels!B317</f>
        <v>Channels 1</v>
      </c>
      <c r="B110" s="13"/>
      <c r="C110" s="13"/>
      <c r="D110" s="13"/>
      <c r="E110" s="182"/>
      <c r="F110" s="13"/>
      <c r="G110" s="13"/>
      <c r="H110" s="13"/>
      <c r="I110" s="182"/>
      <c r="J110" s="13"/>
      <c r="K110" s="13"/>
      <c r="L110" s="13"/>
      <c r="M110" s="182"/>
      <c r="N110" s="13"/>
      <c r="O110" s="13"/>
      <c r="P110" s="13"/>
      <c r="Q110" s="182"/>
      <c r="R110" s="13"/>
      <c r="S110" s="13"/>
      <c r="T110" s="13"/>
      <c r="U110" s="182"/>
      <c r="V110" s="13"/>
      <c r="W110" s="13"/>
      <c r="X110" s="13"/>
      <c r="Y110" s="182"/>
    </row>
    <row r="111" spans="1:25" ht="12.75" hidden="1" customHeight="1" outlineLevel="1" x14ac:dyDescent="0.2">
      <c r="A111" s="188" t="str">
        <f>"   "&amp;Labels!B381</f>
        <v xml:space="preserve">   Practice 1</v>
      </c>
      <c r="B111" s="31"/>
      <c r="C111" s="31"/>
      <c r="D111" s="31"/>
      <c r="E111" s="188"/>
      <c r="F111" s="31"/>
      <c r="G111" s="31"/>
      <c r="H111" s="31"/>
      <c r="I111" s="188"/>
      <c r="J111" s="31"/>
      <c r="K111" s="31"/>
      <c r="L111" s="31"/>
      <c r="M111" s="188"/>
      <c r="N111" s="31"/>
      <c r="O111" s="31"/>
      <c r="P111" s="31"/>
      <c r="Q111" s="188"/>
      <c r="R111" s="31"/>
      <c r="S111" s="31"/>
      <c r="T111" s="31"/>
      <c r="U111" s="188"/>
      <c r="V111" s="31"/>
      <c r="W111" s="31"/>
      <c r="X111" s="31"/>
      <c r="Y111" s="188"/>
    </row>
    <row r="112" spans="1:25" ht="12.75" hidden="1" customHeight="1" outlineLevel="1" x14ac:dyDescent="0.2">
      <c r="A112" s="198" t="str">
        <f>"      "&amp;Labels!B99</f>
        <v xml:space="preserve">      Gross Margin</v>
      </c>
      <c r="B112" s="226">
        <f>SUM(B425,B428)</f>
        <v>0</v>
      </c>
      <c r="C112" s="226">
        <f>SUM(C425,C428)</f>
        <v>0</v>
      </c>
      <c r="D112" s="226">
        <f>SUM(D425,D428)</f>
        <v>55000</v>
      </c>
      <c r="E112" s="227">
        <f>SUM(B112:D112)</f>
        <v>55000</v>
      </c>
      <c r="F112" s="226">
        <f>SUM(F425,F428)</f>
        <v>55000</v>
      </c>
      <c r="G112" s="226">
        <f>SUM(G425,G428)</f>
        <v>0</v>
      </c>
      <c r="H112" s="226">
        <f>SUM(H425,H428)</f>
        <v>40000</v>
      </c>
      <c r="I112" s="227">
        <f>SUM(F112:H112)</f>
        <v>95000</v>
      </c>
      <c r="J112" s="226">
        <f>SUM(J425,J428)</f>
        <v>11739.10702893999</v>
      </c>
      <c r="K112" s="226">
        <f>SUM(K425,K428)</f>
        <v>4586.7600535839529</v>
      </c>
      <c r="L112" s="226">
        <f>SUM(L425,L428)</f>
        <v>0</v>
      </c>
      <c r="M112" s="227">
        <f>SUM(J112:L112)</f>
        <v>16325.867082523942</v>
      </c>
      <c r="N112" s="226">
        <f>SUM(N425,N428)</f>
        <v>0</v>
      </c>
      <c r="O112" s="226">
        <f>SUM(O425,O428)</f>
        <v>0</v>
      </c>
      <c r="P112" s="226">
        <f>SUM(P425,P428)</f>
        <v>0</v>
      </c>
      <c r="Q112" s="227">
        <f>SUM(N112:P112)</f>
        <v>0</v>
      </c>
      <c r="R112" s="226">
        <f>SUM(R425,R428)</f>
        <v>0</v>
      </c>
      <c r="S112" s="226">
        <f>SUM(S425,S428)</f>
        <v>0</v>
      </c>
      <c r="T112" s="226">
        <f>SUM(T425,T428)</f>
        <v>0</v>
      </c>
      <c r="U112" s="227">
        <f>SUM(R112:T112)</f>
        <v>0</v>
      </c>
      <c r="V112" s="226">
        <f>SUM(V425,V428)</f>
        <v>0</v>
      </c>
      <c r="W112" s="226">
        <f>SUM(W425,W428)</f>
        <v>0</v>
      </c>
      <c r="X112" s="226">
        <f>SUM(X425,X428)</f>
        <v>0</v>
      </c>
      <c r="Y112" s="227">
        <f>SUM(V112:X112)</f>
        <v>0</v>
      </c>
    </row>
    <row r="113" spans="1:25" ht="12.75" hidden="1" customHeight="1" outlineLevel="1" x14ac:dyDescent="0.2">
      <c r="A113" s="198" t="str">
        <f>"      "&amp;Labels!B101</f>
        <v xml:space="preserve">      Gross Margin %</v>
      </c>
      <c r="B113" s="233">
        <f>IF(Practices!B48=0,0,Practices!B112/Practices!B48)</f>
        <v>0</v>
      </c>
      <c r="C113" s="233">
        <f>IF(Practices!C48=0,0,Practices!C112/Practices!C48)</f>
        <v>0</v>
      </c>
      <c r="D113" s="233">
        <f>IF(Practices!D48=0,0,Practices!D112/Practices!D48)</f>
        <v>0.95238095238095233</v>
      </c>
      <c r="E113" s="234">
        <f>IF(SUM(Practices!B48:D48)=0,0,SUM(Practices!B112:D112)/SUM(Practices!B48:D48))</f>
        <v>0.95238095238095233</v>
      </c>
      <c r="F113" s="233">
        <f>IF(Practices!F48=0,0,Practices!F112/Practices!F48)</f>
        <v>0.95238095238095233</v>
      </c>
      <c r="G113" s="233">
        <f>IF(Practices!G48=0,0,Practices!G112/Practices!G48)</f>
        <v>0</v>
      </c>
      <c r="H113" s="233">
        <f>IF(Practices!H48=0,0,Practices!H112/Practices!H48)</f>
        <v>0.95238095238095233</v>
      </c>
      <c r="I113" s="234">
        <f>IF(SUM(Practices!F48:H48)=0,0,SUM(Practices!F112:H112)/SUM(Practices!F48:H48))</f>
        <v>0.95238095238095233</v>
      </c>
      <c r="J113" s="233">
        <f>IF(Practices!J48=0,0,Practices!J112/Practices!J48)</f>
        <v>0.27950254830809501</v>
      </c>
      <c r="K113" s="233">
        <f>IF(Practices!K48=0,0,Practices!K112/Practices!K48)</f>
        <v>0.10920857270437984</v>
      </c>
      <c r="L113" s="233">
        <f>IF(Practices!L48=0,0,Practices!L112/Practices!L48)</f>
        <v>0</v>
      </c>
      <c r="M113" s="234">
        <f>IF(SUM(Practices!J48:L48)=0,0,SUM(Practices!J112:L112)/SUM(Practices!J48:L48))</f>
        <v>0.1943555605062374</v>
      </c>
      <c r="N113" s="233">
        <f>IF(Practices!N48=0,0,Practices!N112/Practices!N48)</f>
        <v>0</v>
      </c>
      <c r="O113" s="233">
        <f>IF(Practices!O48=0,0,Practices!O112/Practices!O48)</f>
        <v>0</v>
      </c>
      <c r="P113" s="233">
        <f>IF(Practices!P48=0,0,Practices!P112/Practices!P48)</f>
        <v>0</v>
      </c>
      <c r="Q113" s="234">
        <f>IF(SUM(Practices!N48:P48)=0,0,SUM(Practices!N112:P112)/SUM(Practices!N48:P48))</f>
        <v>0</v>
      </c>
      <c r="R113" s="233">
        <f>IF(Practices!R48=0,0,Practices!R112/Practices!R48)</f>
        <v>0</v>
      </c>
      <c r="S113" s="233">
        <f>IF(Practices!S48=0,0,Practices!S112/Practices!S48)</f>
        <v>0</v>
      </c>
      <c r="T113" s="233">
        <f>IF(Practices!T48=0,0,Practices!T112/Practices!T48)</f>
        <v>0</v>
      </c>
      <c r="U113" s="234">
        <f>IF(SUM(Practices!R48:T48)=0,0,SUM(Practices!R112:T112)/SUM(Practices!R48:T48))</f>
        <v>0</v>
      </c>
      <c r="V113" s="233">
        <f>IF(Practices!V48=0,0,Practices!V112/Practices!V48)</f>
        <v>0</v>
      </c>
      <c r="W113" s="233">
        <f>IF(Practices!W48=0,0,Practices!W112/Practices!W48)</f>
        <v>0</v>
      </c>
      <c r="X113" s="233">
        <f>IF(Practices!X48=0,0,Practices!X112/Practices!X48)</f>
        <v>0</v>
      </c>
      <c r="Y113" s="234">
        <f>IF(SUM(Practices!V48:X48)=0,0,SUM(Practices!V112:X112)/SUM(Practices!V48:X48))</f>
        <v>0</v>
      </c>
    </row>
    <row r="114" spans="1:25" ht="12.75" hidden="1" customHeight="1" outlineLevel="1" x14ac:dyDescent="0.2">
      <c r="A114" s="188" t="str">
        <f>"   "&amp;Labels!B382</f>
        <v xml:space="preserve">   Practice 2</v>
      </c>
      <c r="B114" s="31"/>
      <c r="C114" s="31"/>
      <c r="D114" s="31"/>
      <c r="E114" s="188"/>
      <c r="F114" s="31"/>
      <c r="G114" s="31"/>
      <c r="H114" s="31"/>
      <c r="I114" s="188"/>
      <c r="J114" s="31"/>
      <c r="K114" s="31"/>
      <c r="L114" s="31"/>
      <c r="M114" s="188"/>
      <c r="N114" s="31"/>
      <c r="O114" s="31"/>
      <c r="P114" s="31"/>
      <c r="Q114" s="188"/>
      <c r="R114" s="31"/>
      <c r="S114" s="31"/>
      <c r="T114" s="31"/>
      <c r="U114" s="188"/>
      <c r="V114" s="31"/>
      <c r="W114" s="31"/>
      <c r="X114" s="31"/>
      <c r="Y114" s="188"/>
    </row>
    <row r="115" spans="1:25" ht="12.75" hidden="1" customHeight="1" outlineLevel="1" x14ac:dyDescent="0.2">
      <c r="A115" s="198" t="str">
        <f>"      "&amp;Labels!B99</f>
        <v xml:space="preserve">      Gross Margin</v>
      </c>
      <c r="B115" s="226">
        <f>SUM(B435,B438)</f>
        <v>0</v>
      </c>
      <c r="C115" s="226">
        <f>SUM(C435,C438)</f>
        <v>0</v>
      </c>
      <c r="D115" s="226">
        <f>SUM(D435,D438)</f>
        <v>0</v>
      </c>
      <c r="E115" s="227">
        <f>SUM(B115:D115)</f>
        <v>0</v>
      </c>
      <c r="F115" s="226">
        <f>SUM(F435,F438)</f>
        <v>0</v>
      </c>
      <c r="G115" s="226">
        <f>SUM(G435,G438)</f>
        <v>0</v>
      </c>
      <c r="H115" s="226">
        <f>SUM(H435,H438)</f>
        <v>0</v>
      </c>
      <c r="I115" s="227">
        <f>SUM(F115:H115)</f>
        <v>0</v>
      </c>
      <c r="J115" s="226">
        <f>SUM(J435,J438)</f>
        <v>0</v>
      </c>
      <c r="K115" s="226">
        <f>SUM(K435,K438)</f>
        <v>0</v>
      </c>
      <c r="L115" s="226">
        <f>SUM(L435,L438)</f>
        <v>0</v>
      </c>
      <c r="M115" s="227">
        <f>SUM(J115:L115)</f>
        <v>0</v>
      </c>
      <c r="N115" s="226">
        <f>SUM(N435,N438)</f>
        <v>0</v>
      </c>
      <c r="O115" s="226">
        <f>SUM(O435,O438)</f>
        <v>0</v>
      </c>
      <c r="P115" s="226">
        <f>SUM(P435,P438)</f>
        <v>0</v>
      </c>
      <c r="Q115" s="227">
        <f>SUM(N115:P115)</f>
        <v>0</v>
      </c>
      <c r="R115" s="226">
        <f>SUM(R435,R438)</f>
        <v>0</v>
      </c>
      <c r="S115" s="226">
        <f>SUM(S435,S438)</f>
        <v>0</v>
      </c>
      <c r="T115" s="226">
        <f>SUM(T435,T438)</f>
        <v>0</v>
      </c>
      <c r="U115" s="227">
        <f>SUM(R115:T115)</f>
        <v>0</v>
      </c>
      <c r="V115" s="226">
        <f>SUM(V435,V438)</f>
        <v>0</v>
      </c>
      <c r="W115" s="226">
        <f>SUM(W435,W438)</f>
        <v>0</v>
      </c>
      <c r="X115" s="226">
        <f>SUM(X435,X438)</f>
        <v>0</v>
      </c>
      <c r="Y115" s="227">
        <f>SUM(V115:X115)</f>
        <v>0</v>
      </c>
    </row>
    <row r="116" spans="1:25" ht="12.75" hidden="1" customHeight="1" outlineLevel="1" x14ac:dyDescent="0.2">
      <c r="A116" s="198" t="str">
        <f>"      "&amp;Labels!B101</f>
        <v xml:space="preserve">      Gross Margin %</v>
      </c>
      <c r="B116" s="233">
        <f>IF(Practices!B52=0,0,Practices!B122/Practices!B52)</f>
        <v>0</v>
      </c>
      <c r="C116" s="233">
        <f>IF(Practices!C52=0,0,Practices!C122/Practices!C52)</f>
        <v>0</v>
      </c>
      <c r="D116" s="233">
        <f>IF(Practices!D52=0,0,Practices!D122/Practices!D52)</f>
        <v>0</v>
      </c>
      <c r="E116" s="234">
        <f>IF(SUM(Practices!B52:D52)=0,0,SUM(Practices!B122:D122)/SUM(Practices!B52:D52))</f>
        <v>0</v>
      </c>
      <c r="F116" s="233">
        <f>IF(Practices!F52=0,0,Practices!F122/Practices!F52)</f>
        <v>0</v>
      </c>
      <c r="G116" s="233">
        <f>IF(Practices!G52=0,0,Practices!G122/Practices!G52)</f>
        <v>0</v>
      </c>
      <c r="H116" s="233">
        <f>IF(Practices!H52=0,0,Practices!H122/Practices!H52)</f>
        <v>0</v>
      </c>
      <c r="I116" s="234">
        <f>IF(SUM(Practices!F52:H52)=0,0,SUM(Practices!F122:H122)/SUM(Practices!F52:H52))</f>
        <v>0</v>
      </c>
      <c r="J116" s="233">
        <f>IF(Practices!J52=0,0,Practices!J122/Practices!J52)</f>
        <v>0</v>
      </c>
      <c r="K116" s="233">
        <f>IF(Practices!K52=0,0,Practices!K122/Practices!K52)</f>
        <v>0</v>
      </c>
      <c r="L116" s="233">
        <f>IF(Practices!L52=0,0,Practices!L122/Practices!L52)</f>
        <v>0</v>
      </c>
      <c r="M116" s="234">
        <f>IF(SUM(Practices!J52:L52)=0,0,SUM(Practices!J122:L122)/SUM(Practices!J52:L52))</f>
        <v>0</v>
      </c>
      <c r="N116" s="233">
        <f>IF(Practices!N52=0,0,Practices!N122/Practices!N52)</f>
        <v>0</v>
      </c>
      <c r="O116" s="233">
        <f>IF(Practices!O52=0,0,Practices!O122/Practices!O52)</f>
        <v>0</v>
      </c>
      <c r="P116" s="233">
        <f>IF(Practices!P52=0,0,Practices!P122/Practices!P52)</f>
        <v>0</v>
      </c>
      <c r="Q116" s="234">
        <f>IF(SUM(Practices!N52:P52)=0,0,SUM(Practices!N122:P122)/SUM(Practices!N52:P52))</f>
        <v>0</v>
      </c>
      <c r="R116" s="233">
        <f>IF(Practices!R52=0,0,Practices!R122/Practices!R52)</f>
        <v>0</v>
      </c>
      <c r="S116" s="233">
        <f>IF(Practices!S52=0,0,Practices!S122/Practices!S52)</f>
        <v>0</v>
      </c>
      <c r="T116" s="233">
        <f>IF(Practices!T52=0,0,Practices!T122/Practices!T52)</f>
        <v>0</v>
      </c>
      <c r="U116" s="234">
        <f>IF(SUM(Practices!R52:T52)=0,0,SUM(Practices!R122:T122)/SUM(Practices!R52:T52))</f>
        <v>0</v>
      </c>
      <c r="V116" s="233">
        <f>IF(Practices!V52=0,0,Practices!V122/Practices!V52)</f>
        <v>0</v>
      </c>
      <c r="W116" s="233">
        <f>IF(Practices!W52=0,0,Practices!W122/Practices!W52)</f>
        <v>0</v>
      </c>
      <c r="X116" s="233">
        <f>IF(Practices!X52=0,0,Practices!X122/Practices!X52)</f>
        <v>0</v>
      </c>
      <c r="Y116" s="234">
        <f>IF(SUM(Practices!V52:X52)=0,0,SUM(Practices!V122:X122)/SUM(Practices!V52:X52))</f>
        <v>0</v>
      </c>
    </row>
    <row r="117" spans="1:25" ht="12.75" hidden="1" customHeight="1" outlineLevel="1" x14ac:dyDescent="0.2">
      <c r="A117" s="191" t="str">
        <f>"   "&amp;Labels!C380</f>
        <v xml:space="preserve">   Total</v>
      </c>
      <c r="B117" s="3"/>
      <c r="C117" s="3"/>
      <c r="D117" s="3"/>
      <c r="E117" s="191"/>
      <c r="F117" s="3"/>
      <c r="G117" s="3"/>
      <c r="H117" s="3"/>
      <c r="I117" s="191"/>
      <c r="J117" s="3"/>
      <c r="K117" s="3"/>
      <c r="L117" s="3"/>
      <c r="M117" s="191"/>
      <c r="N117" s="3"/>
      <c r="O117" s="3"/>
      <c r="P117" s="3"/>
      <c r="Q117" s="191"/>
      <c r="R117" s="3"/>
      <c r="S117" s="3"/>
      <c r="T117" s="3"/>
      <c r="U117" s="191"/>
      <c r="V117" s="3"/>
      <c r="W117" s="3"/>
      <c r="X117" s="3"/>
      <c r="Y117" s="191"/>
    </row>
    <row r="118" spans="1:25" ht="12.75" hidden="1" customHeight="1" outlineLevel="1" x14ac:dyDescent="0.2">
      <c r="A118" s="198" t="str">
        <f>"      "&amp;Labels!B99</f>
        <v xml:space="preserve">      Gross Margin</v>
      </c>
      <c r="B118" s="226">
        <f>SUM(B112,B115)</f>
        <v>0</v>
      </c>
      <c r="C118" s="226">
        <f>SUM(C112,C115)</f>
        <v>0</v>
      </c>
      <c r="D118" s="226">
        <f>SUM(D112,D115)</f>
        <v>55000</v>
      </c>
      <c r="E118" s="227">
        <f>SUM(B118:D118)</f>
        <v>55000</v>
      </c>
      <c r="F118" s="226">
        <f>SUM(F112,F115)</f>
        <v>55000</v>
      </c>
      <c r="G118" s="226">
        <f>SUM(G112,G115)</f>
        <v>0</v>
      </c>
      <c r="H118" s="226">
        <f>SUM(H112,H115)</f>
        <v>40000</v>
      </c>
      <c r="I118" s="227">
        <f>SUM(F118:H118)</f>
        <v>95000</v>
      </c>
      <c r="J118" s="226">
        <f>SUM(J112,J115)</f>
        <v>11739.10702893999</v>
      </c>
      <c r="K118" s="226">
        <f>SUM(K112,K115)</f>
        <v>4586.7600535839529</v>
      </c>
      <c r="L118" s="226">
        <f>SUM(L112,L115)</f>
        <v>0</v>
      </c>
      <c r="M118" s="227">
        <f>SUM(J118:L118)</f>
        <v>16325.867082523942</v>
      </c>
      <c r="N118" s="226">
        <f>SUM(N112,N115)</f>
        <v>0</v>
      </c>
      <c r="O118" s="226">
        <f>SUM(O112,O115)</f>
        <v>0</v>
      </c>
      <c r="P118" s="226">
        <f>SUM(P112,P115)</f>
        <v>0</v>
      </c>
      <c r="Q118" s="227">
        <f>SUM(N118:P118)</f>
        <v>0</v>
      </c>
      <c r="R118" s="226">
        <f>SUM(R112,R115)</f>
        <v>0</v>
      </c>
      <c r="S118" s="226">
        <f>SUM(S112,S115)</f>
        <v>0</v>
      </c>
      <c r="T118" s="226">
        <f>SUM(T112,T115)</f>
        <v>0</v>
      </c>
      <c r="U118" s="227">
        <f>SUM(R118:T118)</f>
        <v>0</v>
      </c>
      <c r="V118" s="226">
        <f>SUM(V112,V115)</f>
        <v>0</v>
      </c>
      <c r="W118" s="226">
        <f>SUM(W112,W115)</f>
        <v>0</v>
      </c>
      <c r="X118" s="226">
        <f>SUM(X112,X115)</f>
        <v>0</v>
      </c>
      <c r="Y118" s="227">
        <f>SUM(V118:X118)</f>
        <v>0</v>
      </c>
    </row>
    <row r="119" spans="1:25" ht="12.75" hidden="1" customHeight="1" outlineLevel="1" x14ac:dyDescent="0.2">
      <c r="A119" s="198" t="str">
        <f>"      "&amp;Labels!B101</f>
        <v xml:space="preserve">      Gross Margin %</v>
      </c>
      <c r="B119" s="233">
        <f>IF(Practices!B56=0,0,Practices!B132/Practices!B56)</f>
        <v>0</v>
      </c>
      <c r="C119" s="233">
        <f>IF(Practices!C56=0,0,Practices!C132/Practices!C56)</f>
        <v>0</v>
      </c>
      <c r="D119" s="233">
        <f>IF(Practices!D56=0,0,Practices!D132/Practices!D56)</f>
        <v>0.95238095238095233</v>
      </c>
      <c r="E119" s="234">
        <f>IF(SUM(Practices!B56:D56)=0,0,SUM(Practices!B132:D132)/SUM(Practices!B56:D56))</f>
        <v>0.95238095238095233</v>
      </c>
      <c r="F119" s="233">
        <f>IF(Practices!F56=0,0,Practices!F132/Practices!F56)</f>
        <v>0.95238095238095233</v>
      </c>
      <c r="G119" s="233">
        <f>IF(Practices!G56=0,0,Practices!G132/Practices!G56)</f>
        <v>0</v>
      </c>
      <c r="H119" s="233">
        <f>IF(Practices!H56=0,0,Practices!H132/Practices!H56)</f>
        <v>0.95238095238095233</v>
      </c>
      <c r="I119" s="234">
        <f>IF(SUM(Practices!F56:H56)=0,0,SUM(Practices!F132:H132)/SUM(Practices!F56:H56))</f>
        <v>0.95238095238095233</v>
      </c>
      <c r="J119" s="233">
        <f>IF(Practices!J56=0,0,Practices!J132/Practices!J56)</f>
        <v>0.27950254830809501</v>
      </c>
      <c r="K119" s="233">
        <f>IF(Practices!K56=0,0,Practices!K132/Practices!K56)</f>
        <v>0.10920857270437984</v>
      </c>
      <c r="L119" s="233">
        <f>IF(Practices!L56=0,0,Practices!L132/Practices!L56)</f>
        <v>0</v>
      </c>
      <c r="M119" s="234">
        <f>IF(SUM(Practices!J56:L56)=0,0,SUM(Practices!J132:L132)/SUM(Practices!J56:L56))</f>
        <v>0.1943555605062374</v>
      </c>
      <c r="N119" s="233">
        <f>IF(Practices!N56=0,0,Practices!N132/Practices!N56)</f>
        <v>0</v>
      </c>
      <c r="O119" s="233">
        <f>IF(Practices!O56=0,0,Practices!O132/Practices!O56)</f>
        <v>0</v>
      </c>
      <c r="P119" s="233">
        <f>IF(Practices!P56=0,0,Practices!P132/Practices!P56)</f>
        <v>0</v>
      </c>
      <c r="Q119" s="234">
        <f>IF(SUM(Practices!N56:P56)=0,0,SUM(Practices!N132:P132)/SUM(Practices!N56:P56))</f>
        <v>0</v>
      </c>
      <c r="R119" s="233">
        <f>IF(Practices!R56=0,0,Practices!R132/Practices!R56)</f>
        <v>0</v>
      </c>
      <c r="S119" s="233">
        <f>IF(Practices!S56=0,0,Practices!S132/Practices!S56)</f>
        <v>0</v>
      </c>
      <c r="T119" s="233">
        <f>IF(Practices!T56=0,0,Practices!T132/Practices!T56)</f>
        <v>0</v>
      </c>
      <c r="U119" s="234">
        <f>IF(SUM(Practices!R56:T56)=0,0,SUM(Practices!R132:T132)/SUM(Practices!R56:T56))</f>
        <v>0</v>
      </c>
      <c r="V119" s="233">
        <f>IF(Practices!V56=0,0,Practices!V132/Practices!V56)</f>
        <v>0</v>
      </c>
      <c r="W119" s="233">
        <f>IF(Practices!W56=0,0,Practices!W132/Practices!W56)</f>
        <v>0</v>
      </c>
      <c r="X119" s="233">
        <f>IF(Practices!X56=0,0,Practices!X132/Practices!X56)</f>
        <v>0</v>
      </c>
      <c r="Y119" s="234">
        <f>IF(SUM(Practices!V56:X56)=0,0,SUM(Practices!V132:X132)/SUM(Practices!V56:X56))</f>
        <v>0</v>
      </c>
    </row>
    <row r="120" spans="1:25" ht="12.75" hidden="1" customHeight="1" outlineLevel="1" x14ac:dyDescent="0.2">
      <c r="A120" s="191" t="str">
        <f>Labels!B318</f>
        <v>Channels 2</v>
      </c>
      <c r="B120" s="3"/>
      <c r="C120" s="3"/>
      <c r="D120" s="3"/>
      <c r="E120" s="191"/>
      <c r="F120" s="3"/>
      <c r="G120" s="3"/>
      <c r="H120" s="3"/>
      <c r="I120" s="191"/>
      <c r="J120" s="3"/>
      <c r="K120" s="3"/>
      <c r="L120" s="3"/>
      <c r="M120" s="191"/>
      <c r="N120" s="3"/>
      <c r="O120" s="3"/>
      <c r="P120" s="3"/>
      <c r="Q120" s="191"/>
      <c r="R120" s="3"/>
      <c r="S120" s="3"/>
      <c r="T120" s="3"/>
      <c r="U120" s="191"/>
      <c r="V120" s="3"/>
      <c r="W120" s="3"/>
      <c r="X120" s="3"/>
      <c r="Y120" s="191"/>
    </row>
    <row r="121" spans="1:25" ht="12.75" hidden="1" customHeight="1" outlineLevel="1" x14ac:dyDescent="0.2">
      <c r="A121" s="188" t="str">
        <f>"   "&amp;Labels!B381</f>
        <v xml:space="preserve">   Practice 1</v>
      </c>
      <c r="B121" s="31"/>
      <c r="C121" s="31"/>
      <c r="D121" s="31"/>
      <c r="E121" s="188"/>
      <c r="F121" s="31"/>
      <c r="G121" s="31"/>
      <c r="H121" s="31"/>
      <c r="I121" s="188"/>
      <c r="J121" s="31"/>
      <c r="K121" s="31"/>
      <c r="L121" s="31"/>
      <c r="M121" s="188"/>
      <c r="N121" s="31"/>
      <c r="O121" s="31"/>
      <c r="P121" s="31"/>
      <c r="Q121" s="188"/>
      <c r="R121" s="31"/>
      <c r="S121" s="31"/>
      <c r="T121" s="31"/>
      <c r="U121" s="188"/>
      <c r="V121" s="31"/>
      <c r="W121" s="31"/>
      <c r="X121" s="31"/>
      <c r="Y121" s="188"/>
    </row>
    <row r="122" spans="1:25" ht="12.75" hidden="1" customHeight="1" outlineLevel="1" x14ac:dyDescent="0.2">
      <c r="A122" s="198" t="str">
        <f>"      "&amp;Labels!B99</f>
        <v xml:space="preserve">      Gross Margin</v>
      </c>
      <c r="B122" s="226">
        <f>SUM(B456,B459)</f>
        <v>0</v>
      </c>
      <c r="C122" s="226">
        <f>SUM(C456,C459)</f>
        <v>0</v>
      </c>
      <c r="D122" s="226">
        <f>SUM(D456,D459)</f>
        <v>55000</v>
      </c>
      <c r="E122" s="227">
        <f>SUM(B122:D122)</f>
        <v>55000</v>
      </c>
      <c r="F122" s="226">
        <f>SUM(F456,F459)</f>
        <v>55000</v>
      </c>
      <c r="G122" s="226">
        <f>SUM(G456,G459)</f>
        <v>0</v>
      </c>
      <c r="H122" s="226">
        <f>SUM(H456,H459)</f>
        <v>40000</v>
      </c>
      <c r="I122" s="227">
        <f>SUM(F122:H122)</f>
        <v>95000</v>
      </c>
      <c r="J122" s="226">
        <f>SUM(J456,J459)</f>
        <v>40000</v>
      </c>
      <c r="K122" s="226">
        <f>SUM(K456,K459)</f>
        <v>32917.352010716793</v>
      </c>
      <c r="L122" s="226">
        <f>SUM(L456,L459)</f>
        <v>0</v>
      </c>
      <c r="M122" s="227">
        <f>SUM(J122:L122)</f>
        <v>72917.352010716801</v>
      </c>
      <c r="N122" s="226">
        <f>SUM(N456,N459)</f>
        <v>0</v>
      </c>
      <c r="O122" s="226">
        <f>SUM(O456,O459)</f>
        <v>0</v>
      </c>
      <c r="P122" s="226">
        <f>SUM(P456,P459)</f>
        <v>0</v>
      </c>
      <c r="Q122" s="227">
        <f>SUM(N122:P122)</f>
        <v>0</v>
      </c>
      <c r="R122" s="226">
        <f>SUM(R456,R459)</f>
        <v>0</v>
      </c>
      <c r="S122" s="226">
        <f>SUM(S456,S459)</f>
        <v>0</v>
      </c>
      <c r="T122" s="226">
        <f>SUM(T456,T459)</f>
        <v>0</v>
      </c>
      <c r="U122" s="227">
        <f>SUM(R122:T122)</f>
        <v>0</v>
      </c>
      <c r="V122" s="226">
        <f>SUM(V456,V459)</f>
        <v>0</v>
      </c>
      <c r="W122" s="226">
        <f>SUM(W456,W459)</f>
        <v>0</v>
      </c>
      <c r="X122" s="226">
        <f>SUM(X456,X459)</f>
        <v>0</v>
      </c>
      <c r="Y122" s="227">
        <f>SUM(V122:X122)</f>
        <v>0</v>
      </c>
    </row>
    <row r="123" spans="1:25" ht="12.75" hidden="1" customHeight="1" outlineLevel="1" x14ac:dyDescent="0.2">
      <c r="A123" s="198" t="str">
        <f>"      "&amp;Labels!B101</f>
        <v xml:space="preserve">      Gross Margin %</v>
      </c>
      <c r="B123" s="233">
        <f>IF(Practices!B49=0,0,Practices!B115/Practices!B49)</f>
        <v>0</v>
      </c>
      <c r="C123" s="233">
        <f>IF(Practices!C49=0,0,Practices!C115/Practices!C49)</f>
        <v>0</v>
      </c>
      <c r="D123" s="233">
        <f>IF(Practices!D49=0,0,Practices!D115/Practices!D49)</f>
        <v>1</v>
      </c>
      <c r="E123" s="234">
        <f>IF(SUM(Practices!B49:D49)=0,0,SUM(Practices!B115:D115)/SUM(Practices!B49:D49))</f>
        <v>1</v>
      </c>
      <c r="F123" s="233">
        <f>IF(Practices!F49=0,0,Practices!F115/Practices!F49)</f>
        <v>1</v>
      </c>
      <c r="G123" s="233">
        <f>IF(Practices!G49=0,0,Practices!G115/Practices!G49)</f>
        <v>0</v>
      </c>
      <c r="H123" s="233">
        <f>IF(Practices!H49=0,0,Practices!H115/Practices!H49)</f>
        <v>1</v>
      </c>
      <c r="I123" s="234">
        <f>IF(SUM(Practices!F49:H49)=0,0,SUM(Practices!F115:H115)/SUM(Practices!F49:H49))</f>
        <v>1</v>
      </c>
      <c r="J123" s="233">
        <f>IF(Practices!J49=0,0,Practices!J115/Practices!J49)</f>
        <v>1</v>
      </c>
      <c r="K123" s="233">
        <f>IF(Practices!K49=0,0,Practices!K115/Practices!K49)</f>
        <v>0.82293380026791985</v>
      </c>
      <c r="L123" s="233">
        <f>IF(Practices!L49=0,0,Practices!L115/Practices!L49)</f>
        <v>0</v>
      </c>
      <c r="M123" s="234">
        <f>IF(SUM(Practices!J49:L49)=0,0,SUM(Practices!J115:L115)/SUM(Practices!J49:L49))</f>
        <v>0.91146690013396003</v>
      </c>
      <c r="N123" s="233">
        <f>IF(Practices!N49=0,0,Practices!N115/Practices!N49)</f>
        <v>0</v>
      </c>
      <c r="O123" s="233">
        <f>IF(Practices!O49=0,0,Practices!O115/Practices!O49)</f>
        <v>0</v>
      </c>
      <c r="P123" s="233">
        <f>IF(Practices!P49=0,0,Practices!P115/Practices!P49)</f>
        <v>0</v>
      </c>
      <c r="Q123" s="234">
        <f>IF(SUM(Practices!N49:P49)=0,0,SUM(Practices!N115:P115)/SUM(Practices!N49:P49))</f>
        <v>0</v>
      </c>
      <c r="R123" s="233">
        <f>IF(Practices!R49=0,0,Practices!R115/Practices!R49)</f>
        <v>0</v>
      </c>
      <c r="S123" s="233">
        <f>IF(Practices!S49=0,0,Practices!S115/Practices!S49)</f>
        <v>0</v>
      </c>
      <c r="T123" s="233">
        <f>IF(Practices!T49=0,0,Practices!T115/Practices!T49)</f>
        <v>0</v>
      </c>
      <c r="U123" s="234">
        <f>IF(SUM(Practices!R49:T49)=0,0,SUM(Practices!R115:T115)/SUM(Practices!R49:T49))</f>
        <v>0</v>
      </c>
      <c r="V123" s="233">
        <f>IF(Practices!V49=0,0,Practices!V115/Practices!V49)</f>
        <v>0</v>
      </c>
      <c r="W123" s="233">
        <f>IF(Practices!W49=0,0,Practices!W115/Practices!W49)</f>
        <v>0</v>
      </c>
      <c r="X123" s="233">
        <f>IF(Practices!X49=0,0,Practices!X115/Practices!X49)</f>
        <v>0</v>
      </c>
      <c r="Y123" s="234">
        <f>IF(SUM(Practices!V49:X49)=0,0,SUM(Practices!V115:X115)/SUM(Practices!V49:X49))</f>
        <v>0</v>
      </c>
    </row>
    <row r="124" spans="1:25" ht="12.75" hidden="1" customHeight="1" outlineLevel="1" x14ac:dyDescent="0.2">
      <c r="A124" s="188" t="str">
        <f>"   "&amp;Labels!B382</f>
        <v xml:space="preserve">   Practice 2</v>
      </c>
      <c r="B124" s="31"/>
      <c r="C124" s="31"/>
      <c r="D124" s="31"/>
      <c r="E124" s="188"/>
      <c r="F124" s="31"/>
      <c r="G124" s="31"/>
      <c r="H124" s="31"/>
      <c r="I124" s="188"/>
      <c r="J124" s="31"/>
      <c r="K124" s="31"/>
      <c r="L124" s="31"/>
      <c r="M124" s="188"/>
      <c r="N124" s="31"/>
      <c r="O124" s="31"/>
      <c r="P124" s="31"/>
      <c r="Q124" s="188"/>
      <c r="R124" s="31"/>
      <c r="S124" s="31"/>
      <c r="T124" s="31"/>
      <c r="U124" s="188"/>
      <c r="V124" s="31"/>
      <c r="W124" s="31"/>
      <c r="X124" s="31"/>
      <c r="Y124" s="188"/>
    </row>
    <row r="125" spans="1:25" ht="12.75" hidden="1" customHeight="1" outlineLevel="1" x14ac:dyDescent="0.2">
      <c r="A125" s="198" t="str">
        <f>"      "&amp;Labels!B99</f>
        <v xml:space="preserve">      Gross Margin</v>
      </c>
      <c r="B125" s="226">
        <f>SUM(B466,B469)</f>
        <v>0</v>
      </c>
      <c r="C125" s="226">
        <f>SUM(C466,C469)</f>
        <v>0</v>
      </c>
      <c r="D125" s="226">
        <f>SUM(D466,D469)</f>
        <v>0</v>
      </c>
      <c r="E125" s="227">
        <f>SUM(B125:D125)</f>
        <v>0</v>
      </c>
      <c r="F125" s="226">
        <f>SUM(F466,F469)</f>
        <v>0</v>
      </c>
      <c r="G125" s="226">
        <f>SUM(G466,G469)</f>
        <v>0</v>
      </c>
      <c r="H125" s="226">
        <f>SUM(H466,H469)</f>
        <v>0</v>
      </c>
      <c r="I125" s="227">
        <f>SUM(F125:H125)</f>
        <v>0</v>
      </c>
      <c r="J125" s="226">
        <f>SUM(J466,J469)</f>
        <v>0</v>
      </c>
      <c r="K125" s="226">
        <f>SUM(K466,K469)</f>
        <v>0</v>
      </c>
      <c r="L125" s="226">
        <f>SUM(L466,L469)</f>
        <v>0</v>
      </c>
      <c r="M125" s="227">
        <f>SUM(J125:L125)</f>
        <v>0</v>
      </c>
      <c r="N125" s="226">
        <f>SUM(N466,N469)</f>
        <v>0</v>
      </c>
      <c r="O125" s="226">
        <f>SUM(O466,O469)</f>
        <v>0</v>
      </c>
      <c r="P125" s="226">
        <f>SUM(P466,P469)</f>
        <v>0</v>
      </c>
      <c r="Q125" s="227">
        <f>SUM(N125:P125)</f>
        <v>0</v>
      </c>
      <c r="R125" s="226">
        <f>SUM(R466,R469)</f>
        <v>0</v>
      </c>
      <c r="S125" s="226">
        <f>SUM(S466,S469)</f>
        <v>0</v>
      </c>
      <c r="T125" s="226">
        <f>SUM(T466,T469)</f>
        <v>0</v>
      </c>
      <c r="U125" s="227">
        <f>SUM(R125:T125)</f>
        <v>0</v>
      </c>
      <c r="V125" s="226">
        <f>SUM(V466,V469)</f>
        <v>0</v>
      </c>
      <c r="W125" s="226">
        <f>SUM(W466,W469)</f>
        <v>0</v>
      </c>
      <c r="X125" s="226">
        <f>SUM(X466,X469)</f>
        <v>0</v>
      </c>
      <c r="Y125" s="227">
        <f>SUM(V125:X125)</f>
        <v>0</v>
      </c>
    </row>
    <row r="126" spans="1:25" ht="12.75" hidden="1" customHeight="1" outlineLevel="1" x14ac:dyDescent="0.2">
      <c r="A126" s="198" t="str">
        <f>"      "&amp;Labels!B101</f>
        <v xml:space="preserve">      Gross Margin %</v>
      </c>
      <c r="B126" s="233">
        <f>IF(Practices!B53=0,0,Practices!B125/Practices!B53)</f>
        <v>0</v>
      </c>
      <c r="C126" s="233">
        <f>IF(Practices!C53=0,0,Practices!C125/Practices!C53)</f>
        <v>0</v>
      </c>
      <c r="D126" s="233">
        <f>IF(Practices!D53=0,0,Practices!D125/Practices!D53)</f>
        <v>0</v>
      </c>
      <c r="E126" s="234">
        <f>IF(SUM(Practices!B53:D53)=0,0,SUM(Practices!B125:D125)/SUM(Practices!B53:D53))</f>
        <v>0</v>
      </c>
      <c r="F126" s="233">
        <f>IF(Practices!F53=0,0,Practices!F125/Practices!F53)</f>
        <v>0</v>
      </c>
      <c r="G126" s="233">
        <f>IF(Practices!G53=0,0,Practices!G125/Practices!G53)</f>
        <v>0</v>
      </c>
      <c r="H126" s="233">
        <f>IF(Practices!H53=0,0,Practices!H125/Practices!H53)</f>
        <v>0</v>
      </c>
      <c r="I126" s="234">
        <f>IF(SUM(Practices!F53:H53)=0,0,SUM(Practices!F125:H125)/SUM(Practices!F53:H53))</f>
        <v>0</v>
      </c>
      <c r="J126" s="233">
        <f>IF(Practices!J53=0,0,Practices!J125/Practices!J53)</f>
        <v>0</v>
      </c>
      <c r="K126" s="233">
        <f>IF(Practices!K53=0,0,Practices!K125/Practices!K53)</f>
        <v>0</v>
      </c>
      <c r="L126" s="233">
        <f>IF(Practices!L53=0,0,Practices!L125/Practices!L53)</f>
        <v>0</v>
      </c>
      <c r="M126" s="234">
        <f>IF(SUM(Practices!J53:L53)=0,0,SUM(Practices!J125:L125)/SUM(Practices!J53:L53))</f>
        <v>0</v>
      </c>
      <c r="N126" s="233">
        <f>IF(Practices!N53=0,0,Practices!N125/Practices!N53)</f>
        <v>0</v>
      </c>
      <c r="O126" s="233">
        <f>IF(Practices!O53=0,0,Practices!O125/Practices!O53)</f>
        <v>0</v>
      </c>
      <c r="P126" s="233">
        <f>IF(Practices!P53=0,0,Practices!P125/Practices!P53)</f>
        <v>0</v>
      </c>
      <c r="Q126" s="234">
        <f>IF(SUM(Practices!N53:P53)=0,0,SUM(Practices!N125:P125)/SUM(Practices!N53:P53))</f>
        <v>0</v>
      </c>
      <c r="R126" s="233">
        <f>IF(Practices!R53=0,0,Practices!R125/Practices!R53)</f>
        <v>0</v>
      </c>
      <c r="S126" s="233">
        <f>IF(Practices!S53=0,0,Practices!S125/Practices!S53)</f>
        <v>0</v>
      </c>
      <c r="T126" s="233">
        <f>IF(Practices!T53=0,0,Practices!T125/Practices!T53)</f>
        <v>0</v>
      </c>
      <c r="U126" s="234">
        <f>IF(SUM(Practices!R53:T53)=0,0,SUM(Practices!R125:T125)/SUM(Practices!R53:T53))</f>
        <v>0</v>
      </c>
      <c r="V126" s="233">
        <f>IF(Practices!V53=0,0,Practices!V125/Practices!V53)</f>
        <v>0</v>
      </c>
      <c r="W126" s="233">
        <f>IF(Practices!W53=0,0,Practices!W125/Practices!W53)</f>
        <v>0</v>
      </c>
      <c r="X126" s="233">
        <f>IF(Practices!X53=0,0,Practices!X125/Practices!X53)</f>
        <v>0</v>
      </c>
      <c r="Y126" s="234">
        <f>IF(SUM(Practices!V53:X53)=0,0,SUM(Practices!V125:X125)/SUM(Practices!V53:X53))</f>
        <v>0</v>
      </c>
    </row>
    <row r="127" spans="1:25" ht="12.75" hidden="1" customHeight="1" outlineLevel="1" x14ac:dyDescent="0.2">
      <c r="A127" s="191" t="str">
        <f>"   "&amp;Labels!C380</f>
        <v xml:space="preserve">   Total</v>
      </c>
      <c r="B127" s="3"/>
      <c r="C127" s="3"/>
      <c r="D127" s="3"/>
      <c r="E127" s="191"/>
      <c r="F127" s="3"/>
      <c r="G127" s="3"/>
      <c r="H127" s="3"/>
      <c r="I127" s="191"/>
      <c r="J127" s="3"/>
      <c r="K127" s="3"/>
      <c r="L127" s="3"/>
      <c r="M127" s="191"/>
      <c r="N127" s="3"/>
      <c r="O127" s="3"/>
      <c r="P127" s="3"/>
      <c r="Q127" s="191"/>
      <c r="R127" s="3"/>
      <c r="S127" s="3"/>
      <c r="T127" s="3"/>
      <c r="U127" s="191"/>
      <c r="V127" s="3"/>
      <c r="W127" s="3"/>
      <c r="X127" s="3"/>
      <c r="Y127" s="191"/>
    </row>
    <row r="128" spans="1:25" ht="12.75" hidden="1" customHeight="1" outlineLevel="1" x14ac:dyDescent="0.2">
      <c r="A128" s="198" t="str">
        <f>"      "&amp;Labels!B99</f>
        <v xml:space="preserve">      Gross Margin</v>
      </c>
      <c r="B128" s="226">
        <f>SUM(B122,B125)</f>
        <v>0</v>
      </c>
      <c r="C128" s="226">
        <f>SUM(C122,C125)</f>
        <v>0</v>
      </c>
      <c r="D128" s="226">
        <f>SUM(D122,D125)</f>
        <v>55000</v>
      </c>
      <c r="E128" s="227">
        <f>SUM(B128:D128)</f>
        <v>55000</v>
      </c>
      <c r="F128" s="226">
        <f>SUM(F122,F125)</f>
        <v>55000</v>
      </c>
      <c r="G128" s="226">
        <f>SUM(G122,G125)</f>
        <v>0</v>
      </c>
      <c r="H128" s="226">
        <f>SUM(H122,H125)</f>
        <v>40000</v>
      </c>
      <c r="I128" s="227">
        <f>SUM(F128:H128)</f>
        <v>95000</v>
      </c>
      <c r="J128" s="226">
        <f>SUM(J122,J125)</f>
        <v>40000</v>
      </c>
      <c r="K128" s="226">
        <f>SUM(K122,K125)</f>
        <v>32917.352010716793</v>
      </c>
      <c r="L128" s="226">
        <f>SUM(L122,L125)</f>
        <v>0</v>
      </c>
      <c r="M128" s="227">
        <f>SUM(J128:L128)</f>
        <v>72917.352010716801</v>
      </c>
      <c r="N128" s="226">
        <f>SUM(N122,N125)</f>
        <v>0</v>
      </c>
      <c r="O128" s="226">
        <f>SUM(O122,O125)</f>
        <v>0</v>
      </c>
      <c r="P128" s="226">
        <f>SUM(P122,P125)</f>
        <v>0</v>
      </c>
      <c r="Q128" s="227">
        <f>SUM(N128:P128)</f>
        <v>0</v>
      </c>
      <c r="R128" s="226">
        <f>SUM(R122,R125)</f>
        <v>0</v>
      </c>
      <c r="S128" s="226">
        <f>SUM(S122,S125)</f>
        <v>0</v>
      </c>
      <c r="T128" s="226">
        <f>SUM(T122,T125)</f>
        <v>0</v>
      </c>
      <c r="U128" s="227">
        <f>SUM(R128:T128)</f>
        <v>0</v>
      </c>
      <c r="V128" s="226">
        <f>SUM(V122,V125)</f>
        <v>0</v>
      </c>
      <c r="W128" s="226">
        <f>SUM(W122,W125)</f>
        <v>0</v>
      </c>
      <c r="X128" s="226">
        <f>SUM(X122,X125)</f>
        <v>0</v>
      </c>
      <c r="Y128" s="227">
        <f>SUM(V128:X128)</f>
        <v>0</v>
      </c>
    </row>
    <row r="129" spans="1:25" ht="12.75" hidden="1" customHeight="1" outlineLevel="1" x14ac:dyDescent="0.2">
      <c r="A129" s="198" t="str">
        <f>"      "&amp;Labels!B101</f>
        <v xml:space="preserve">      Gross Margin %</v>
      </c>
      <c r="B129" s="233">
        <f>IF(Practices!B57=0,0,Practices!B135/Practices!B57)</f>
        <v>0</v>
      </c>
      <c r="C129" s="233">
        <f>IF(Practices!C57=0,0,Practices!C135/Practices!C57)</f>
        <v>0</v>
      </c>
      <c r="D129" s="233">
        <f>IF(Practices!D57=0,0,Practices!D135/Practices!D57)</f>
        <v>1</v>
      </c>
      <c r="E129" s="234">
        <f>IF(SUM(Practices!B57:D57)=0,0,SUM(Practices!B135:D135)/SUM(Practices!B57:D57))</f>
        <v>1</v>
      </c>
      <c r="F129" s="233">
        <f>IF(Practices!F57=0,0,Practices!F135/Practices!F57)</f>
        <v>1</v>
      </c>
      <c r="G129" s="233">
        <f>IF(Practices!G57=0,0,Practices!G135/Practices!G57)</f>
        <v>0</v>
      </c>
      <c r="H129" s="233">
        <f>IF(Practices!H57=0,0,Practices!H135/Practices!H57)</f>
        <v>1</v>
      </c>
      <c r="I129" s="234">
        <f>IF(SUM(Practices!F57:H57)=0,0,SUM(Practices!F135:H135)/SUM(Practices!F57:H57))</f>
        <v>1</v>
      </c>
      <c r="J129" s="233">
        <f>IF(Practices!J57=0,0,Practices!J135/Practices!J57)</f>
        <v>1</v>
      </c>
      <c r="K129" s="233">
        <f>IF(Practices!K57=0,0,Practices!K135/Practices!K57)</f>
        <v>0.82293380026791985</v>
      </c>
      <c r="L129" s="233">
        <f>IF(Practices!L57=0,0,Practices!L135/Practices!L57)</f>
        <v>0</v>
      </c>
      <c r="M129" s="234">
        <f>IF(SUM(Practices!J57:L57)=0,0,SUM(Practices!J135:L135)/SUM(Practices!J57:L57))</f>
        <v>0.91146690013396003</v>
      </c>
      <c r="N129" s="233">
        <f>IF(Practices!N57=0,0,Practices!N135/Practices!N57)</f>
        <v>0</v>
      </c>
      <c r="O129" s="233">
        <f>IF(Practices!O57=0,0,Practices!O135/Practices!O57)</f>
        <v>0</v>
      </c>
      <c r="P129" s="233">
        <f>IF(Practices!P57=0,0,Practices!P135/Practices!P57)</f>
        <v>0</v>
      </c>
      <c r="Q129" s="234">
        <f>IF(SUM(Practices!N57:P57)=0,0,SUM(Practices!N135:P135)/SUM(Practices!N57:P57))</f>
        <v>0</v>
      </c>
      <c r="R129" s="233">
        <f>IF(Practices!R57=0,0,Practices!R135/Practices!R57)</f>
        <v>0</v>
      </c>
      <c r="S129" s="233">
        <f>IF(Practices!S57=0,0,Practices!S135/Practices!S57)</f>
        <v>0</v>
      </c>
      <c r="T129" s="233">
        <f>IF(Practices!T57=0,0,Practices!T135/Practices!T57)</f>
        <v>0</v>
      </c>
      <c r="U129" s="234">
        <f>IF(SUM(Practices!R57:T57)=0,0,SUM(Practices!R135:T135)/SUM(Practices!R57:T57))</f>
        <v>0</v>
      </c>
      <c r="V129" s="233">
        <f>IF(Practices!V57=0,0,Practices!V135/Practices!V57)</f>
        <v>0</v>
      </c>
      <c r="W129" s="233">
        <f>IF(Practices!W57=0,0,Practices!W135/Practices!W57)</f>
        <v>0</v>
      </c>
      <c r="X129" s="233">
        <f>IF(Practices!X57=0,0,Practices!X135/Practices!X57)</f>
        <v>0</v>
      </c>
      <c r="Y129" s="234">
        <f>IF(SUM(Practices!V57:X57)=0,0,SUM(Practices!V135:X135)/SUM(Practices!V57:X57))</f>
        <v>0</v>
      </c>
    </row>
    <row r="130" spans="1:25" ht="12.75" hidden="1" customHeight="1" outlineLevel="1" x14ac:dyDescent="0.2">
      <c r="A130" s="97" t="str">
        <f>Labels!C316</f>
        <v>Total</v>
      </c>
      <c r="B130" s="6"/>
      <c r="C130" s="6"/>
      <c r="D130" s="6"/>
      <c r="E130" s="97"/>
      <c r="F130" s="6"/>
      <c r="G130" s="6"/>
      <c r="H130" s="6"/>
      <c r="I130" s="97"/>
      <c r="J130" s="6"/>
      <c r="K130" s="6"/>
      <c r="L130" s="6"/>
      <c r="M130" s="97"/>
      <c r="N130" s="6"/>
      <c r="O130" s="6"/>
      <c r="P130" s="6"/>
      <c r="Q130" s="97"/>
      <c r="R130" s="6"/>
      <c r="S130" s="6"/>
      <c r="T130" s="6"/>
      <c r="U130" s="97"/>
      <c r="V130" s="6"/>
      <c r="W130" s="6"/>
      <c r="X130" s="6"/>
      <c r="Y130" s="97"/>
    </row>
    <row r="131" spans="1:25" ht="12.75" hidden="1" customHeight="1" outlineLevel="1" x14ac:dyDescent="0.2">
      <c r="A131" s="188" t="str">
        <f>"   "&amp;Labels!B381</f>
        <v xml:space="preserve">   Practice 1</v>
      </c>
      <c r="B131" s="31"/>
      <c r="C131" s="31"/>
      <c r="D131" s="31"/>
      <c r="E131" s="188"/>
      <c r="F131" s="31"/>
      <c r="G131" s="31"/>
      <c r="H131" s="31"/>
      <c r="I131" s="188"/>
      <c r="J131" s="31"/>
      <c r="K131" s="31"/>
      <c r="L131" s="31"/>
      <c r="M131" s="188"/>
      <c r="N131" s="31"/>
      <c r="O131" s="31"/>
      <c r="P131" s="31"/>
      <c r="Q131" s="188"/>
      <c r="R131" s="31"/>
      <c r="S131" s="31"/>
      <c r="T131" s="31"/>
      <c r="U131" s="188"/>
      <c r="V131" s="31"/>
      <c r="W131" s="31"/>
      <c r="X131" s="31"/>
      <c r="Y131" s="188"/>
    </row>
    <row r="132" spans="1:25" ht="12.75" hidden="1" customHeight="1" outlineLevel="1" x14ac:dyDescent="0.2">
      <c r="A132" s="198" t="str">
        <f>"      "&amp;Labels!B99</f>
        <v xml:space="preserve">      Gross Margin</v>
      </c>
      <c r="B132" s="226">
        <f>SUM(B112,B122)</f>
        <v>0</v>
      </c>
      <c r="C132" s="226">
        <f>SUM(C112,C122)</f>
        <v>0</v>
      </c>
      <c r="D132" s="226">
        <f>SUM(D112,D122)</f>
        <v>110000</v>
      </c>
      <c r="E132" s="227">
        <f>SUM(B132:D132)</f>
        <v>110000</v>
      </c>
      <c r="F132" s="226">
        <f>SUM(F112,F122)</f>
        <v>110000</v>
      </c>
      <c r="G132" s="226">
        <f>SUM(G112,G122)</f>
        <v>0</v>
      </c>
      <c r="H132" s="226">
        <f>SUM(H112,H122)</f>
        <v>80000</v>
      </c>
      <c r="I132" s="227">
        <f>SUM(F132:H132)</f>
        <v>190000</v>
      </c>
      <c r="J132" s="226">
        <f>SUM(J112,J122)</f>
        <v>51739.107028939994</v>
      </c>
      <c r="K132" s="226">
        <f>SUM(K112,K122)</f>
        <v>37504.112064300745</v>
      </c>
      <c r="L132" s="226">
        <f>SUM(L112,L122)</f>
        <v>0</v>
      </c>
      <c r="M132" s="227">
        <f>SUM(J132:L132)</f>
        <v>89243.219093240739</v>
      </c>
      <c r="N132" s="226">
        <f>SUM(N112,N122)</f>
        <v>0</v>
      </c>
      <c r="O132" s="226">
        <f>SUM(O112,O122)</f>
        <v>0</v>
      </c>
      <c r="P132" s="226">
        <f>SUM(P112,P122)</f>
        <v>0</v>
      </c>
      <c r="Q132" s="227">
        <f>SUM(N132:P132)</f>
        <v>0</v>
      </c>
      <c r="R132" s="226">
        <f>SUM(R112,R122)</f>
        <v>0</v>
      </c>
      <c r="S132" s="226">
        <f>SUM(S112,S122)</f>
        <v>0</v>
      </c>
      <c r="T132" s="226">
        <f>SUM(T112,T122)</f>
        <v>0</v>
      </c>
      <c r="U132" s="227">
        <f>SUM(R132:T132)</f>
        <v>0</v>
      </c>
      <c r="V132" s="226">
        <f>SUM(V112,V122)</f>
        <v>0</v>
      </c>
      <c r="W132" s="226">
        <f>SUM(W112,W122)</f>
        <v>0</v>
      </c>
      <c r="X132" s="226">
        <f>SUM(X112,X122)</f>
        <v>0</v>
      </c>
      <c r="Y132" s="227">
        <f>SUM(V132:X132)</f>
        <v>0</v>
      </c>
    </row>
    <row r="133" spans="1:25" ht="12.75" hidden="1" customHeight="1" outlineLevel="1" x14ac:dyDescent="0.2">
      <c r="A133" s="198" t="str">
        <f>"      "&amp;Labels!B101</f>
        <v xml:space="preserve">      Gross Margin %</v>
      </c>
      <c r="B133" s="233">
        <f>IF(Practices!B9=0,0,Practices!B19/Practices!B9)</f>
        <v>0</v>
      </c>
      <c r="C133" s="233">
        <f>IF(Practices!C9=0,0,Practices!C19/Practices!C9)</f>
        <v>0</v>
      </c>
      <c r="D133" s="233">
        <f>IF(Practices!D9=0,0,Practices!D19/Practices!D9)</f>
        <v>0.97560975609756095</v>
      </c>
      <c r="E133" s="234">
        <f>IF(SUM(Practices!B9:D9)=0,0,SUM(Practices!B19:D19)/SUM(Practices!B9:D9))</f>
        <v>0.97560975609756095</v>
      </c>
      <c r="F133" s="233">
        <f>IF(Practices!F9=0,0,Practices!F19/Practices!F9)</f>
        <v>0.97560975609756095</v>
      </c>
      <c r="G133" s="233">
        <f>IF(Practices!G9=0,0,Practices!G19/Practices!G9)</f>
        <v>0</v>
      </c>
      <c r="H133" s="233">
        <f>IF(Practices!H9=0,0,Practices!H19/Practices!H9)</f>
        <v>0.97560975609756095</v>
      </c>
      <c r="I133" s="234">
        <f>IF(SUM(Practices!F9:H9)=0,0,SUM(Practices!F19:H19)/SUM(Practices!F9:H9))</f>
        <v>0.97560975609756095</v>
      </c>
      <c r="J133" s="233">
        <f>IF(Practices!J9=0,0,Practices!J19/Practices!J9)</f>
        <v>0.63096471986512193</v>
      </c>
      <c r="K133" s="233">
        <f>IF(Practices!K9=0,0,Practices!K19/Practices!K9)</f>
        <v>0.45736722029635057</v>
      </c>
      <c r="L133" s="233">
        <f>IF(Practices!L9=0,0,Practices!L19/Practices!L9)</f>
        <v>0</v>
      </c>
      <c r="M133" s="234">
        <f>IF(SUM(Practices!J9:L9)=0,0,SUM(Practices!J19:L19)/SUM(Practices!J9:L9))</f>
        <v>0.54416597008073619</v>
      </c>
      <c r="N133" s="233">
        <f>IF(Practices!N9=0,0,Practices!N19/Practices!N9)</f>
        <v>0</v>
      </c>
      <c r="O133" s="233">
        <f>IF(Practices!O9=0,0,Practices!O19/Practices!O9)</f>
        <v>0</v>
      </c>
      <c r="P133" s="233">
        <f>IF(Practices!P9=0,0,Practices!P19/Practices!P9)</f>
        <v>0</v>
      </c>
      <c r="Q133" s="234">
        <f>IF(SUM(Practices!N9:P9)=0,0,SUM(Practices!N19:P19)/SUM(Practices!N9:P9))</f>
        <v>0</v>
      </c>
      <c r="R133" s="233">
        <f>IF(Practices!R9=0,0,Practices!R19/Practices!R9)</f>
        <v>0</v>
      </c>
      <c r="S133" s="233">
        <f>IF(Practices!S9=0,0,Practices!S19/Practices!S9)</f>
        <v>0</v>
      </c>
      <c r="T133" s="233">
        <f>IF(Practices!T9=0,0,Practices!T19/Practices!T9)</f>
        <v>0</v>
      </c>
      <c r="U133" s="234">
        <f>IF(SUM(Practices!R9:T9)=0,0,SUM(Practices!R19:T19)/SUM(Practices!R9:T9))</f>
        <v>0</v>
      </c>
      <c r="V133" s="233">
        <f>IF(Practices!V9=0,0,Practices!V19/Practices!V9)</f>
        <v>0</v>
      </c>
      <c r="W133" s="233">
        <f>IF(Practices!W9=0,0,Practices!W19/Practices!W9)</f>
        <v>0</v>
      </c>
      <c r="X133" s="233">
        <f>IF(Practices!X9=0,0,Practices!X19/Practices!X9)</f>
        <v>0</v>
      </c>
      <c r="Y133" s="234">
        <f>IF(SUM(Practices!V9:X9)=0,0,SUM(Practices!V19:X19)/SUM(Practices!V9:X9))</f>
        <v>0</v>
      </c>
    </row>
    <row r="134" spans="1:25" ht="12.75" hidden="1" customHeight="1" outlineLevel="1" x14ac:dyDescent="0.2">
      <c r="A134" s="188" t="str">
        <f>"   "&amp;Labels!B382</f>
        <v xml:space="preserve">   Practice 2</v>
      </c>
      <c r="B134" s="31"/>
      <c r="C134" s="31"/>
      <c r="D134" s="31"/>
      <c r="E134" s="188"/>
      <c r="F134" s="31"/>
      <c r="G134" s="31"/>
      <c r="H134" s="31"/>
      <c r="I134" s="188"/>
      <c r="J134" s="31"/>
      <c r="K134" s="31"/>
      <c r="L134" s="31"/>
      <c r="M134" s="188"/>
      <c r="N134" s="31"/>
      <c r="O134" s="31"/>
      <c r="P134" s="31"/>
      <c r="Q134" s="188"/>
      <c r="R134" s="31"/>
      <c r="S134" s="31"/>
      <c r="T134" s="31"/>
      <c r="U134" s="188"/>
      <c r="V134" s="31"/>
      <c r="W134" s="31"/>
      <c r="X134" s="31"/>
      <c r="Y134" s="188"/>
    </row>
    <row r="135" spans="1:25" ht="12.75" hidden="1" customHeight="1" outlineLevel="1" x14ac:dyDescent="0.2">
      <c r="A135" s="198" t="str">
        <f>"      "&amp;Labels!B99</f>
        <v xml:space="preserve">      Gross Margin</v>
      </c>
      <c r="B135" s="226">
        <f>SUM(B115,B125)</f>
        <v>0</v>
      </c>
      <c r="C135" s="226">
        <f>SUM(C115,C125)</f>
        <v>0</v>
      </c>
      <c r="D135" s="226">
        <f>SUM(D115,D125)</f>
        <v>0</v>
      </c>
      <c r="E135" s="227">
        <f>SUM(B135:D135)</f>
        <v>0</v>
      </c>
      <c r="F135" s="226">
        <f>SUM(F115,F125)</f>
        <v>0</v>
      </c>
      <c r="G135" s="226">
        <f>SUM(G115,G125)</f>
        <v>0</v>
      </c>
      <c r="H135" s="226">
        <f>SUM(H115,H125)</f>
        <v>0</v>
      </c>
      <c r="I135" s="227">
        <f>SUM(F135:H135)</f>
        <v>0</v>
      </c>
      <c r="J135" s="226">
        <f>SUM(J115,J125)</f>
        <v>0</v>
      </c>
      <c r="K135" s="226">
        <f>SUM(K115,K125)</f>
        <v>0</v>
      </c>
      <c r="L135" s="226">
        <f>SUM(L115,L125)</f>
        <v>0</v>
      </c>
      <c r="M135" s="227">
        <f>SUM(J135:L135)</f>
        <v>0</v>
      </c>
      <c r="N135" s="226">
        <f>SUM(N115,N125)</f>
        <v>0</v>
      </c>
      <c r="O135" s="226">
        <f>SUM(O115,O125)</f>
        <v>0</v>
      </c>
      <c r="P135" s="226">
        <f>SUM(P115,P125)</f>
        <v>0</v>
      </c>
      <c r="Q135" s="227">
        <f>SUM(N135:P135)</f>
        <v>0</v>
      </c>
      <c r="R135" s="226">
        <f>SUM(R115,R125)</f>
        <v>0</v>
      </c>
      <c r="S135" s="226">
        <f>SUM(S115,S125)</f>
        <v>0</v>
      </c>
      <c r="T135" s="226">
        <f>SUM(T115,T125)</f>
        <v>0</v>
      </c>
      <c r="U135" s="227">
        <f>SUM(R135:T135)</f>
        <v>0</v>
      </c>
      <c r="V135" s="226">
        <f>SUM(V115,V125)</f>
        <v>0</v>
      </c>
      <c r="W135" s="226">
        <f>SUM(W115,W125)</f>
        <v>0</v>
      </c>
      <c r="X135" s="226">
        <f>SUM(X115,X125)</f>
        <v>0</v>
      </c>
      <c r="Y135" s="227">
        <f>SUM(V135:X135)</f>
        <v>0</v>
      </c>
    </row>
    <row r="136" spans="1:25" ht="12.75" hidden="1" customHeight="1" outlineLevel="1" x14ac:dyDescent="0.2">
      <c r="A136" s="198" t="str">
        <f>"      "&amp;Labels!B101</f>
        <v xml:space="preserve">      Gross Margin %</v>
      </c>
      <c r="B136" s="233">
        <f>IF(Practices!B10=0,0,Practices!B22/Practices!B10)</f>
        <v>0</v>
      </c>
      <c r="C136" s="233">
        <f>IF(Practices!C10=0,0,Practices!C22/Practices!C10)</f>
        <v>0</v>
      </c>
      <c r="D136" s="233">
        <f>IF(Practices!D10=0,0,Practices!D22/Practices!D10)</f>
        <v>0</v>
      </c>
      <c r="E136" s="234">
        <f>IF(SUM(Practices!B10:D10)=0,0,SUM(Practices!B22:D22)/SUM(Practices!B10:D10))</f>
        <v>0</v>
      </c>
      <c r="F136" s="233">
        <f>IF(Practices!F10=0,0,Practices!F22/Practices!F10)</f>
        <v>0</v>
      </c>
      <c r="G136" s="233">
        <f>IF(Practices!G10=0,0,Practices!G22/Practices!G10)</f>
        <v>0</v>
      </c>
      <c r="H136" s="233">
        <f>IF(Practices!H10=0,0,Practices!H22/Practices!H10)</f>
        <v>0</v>
      </c>
      <c r="I136" s="234">
        <f>IF(SUM(Practices!F10:H10)=0,0,SUM(Practices!F22:H22)/SUM(Practices!F10:H10))</f>
        <v>0</v>
      </c>
      <c r="J136" s="233">
        <f>IF(Practices!J10=0,0,Practices!J22/Practices!J10)</f>
        <v>0</v>
      </c>
      <c r="K136" s="233">
        <f>IF(Practices!K10=0,0,Practices!K22/Practices!K10)</f>
        <v>0</v>
      </c>
      <c r="L136" s="233">
        <f>IF(Practices!L10=0,0,Practices!L22/Practices!L10)</f>
        <v>0</v>
      </c>
      <c r="M136" s="234">
        <f>IF(SUM(Practices!J10:L10)=0,0,SUM(Practices!J22:L22)/SUM(Practices!J10:L10))</f>
        <v>0</v>
      </c>
      <c r="N136" s="233">
        <f>IF(Practices!N10=0,0,Practices!N22/Practices!N10)</f>
        <v>0</v>
      </c>
      <c r="O136" s="233">
        <f>IF(Practices!O10=0,0,Practices!O22/Practices!O10)</f>
        <v>0</v>
      </c>
      <c r="P136" s="233">
        <f>IF(Practices!P10=0,0,Practices!P22/Practices!P10)</f>
        <v>0</v>
      </c>
      <c r="Q136" s="234">
        <f>IF(SUM(Practices!N10:P10)=0,0,SUM(Practices!N22:P22)/SUM(Practices!N10:P10))</f>
        <v>0</v>
      </c>
      <c r="R136" s="233">
        <f>IF(Practices!R10=0,0,Practices!R22/Practices!R10)</f>
        <v>0</v>
      </c>
      <c r="S136" s="233">
        <f>IF(Practices!S10=0,0,Practices!S22/Practices!S10)</f>
        <v>0</v>
      </c>
      <c r="T136" s="233">
        <f>IF(Practices!T10=0,0,Practices!T22/Practices!T10)</f>
        <v>0</v>
      </c>
      <c r="U136" s="234">
        <f>IF(SUM(Practices!R10:T10)=0,0,SUM(Practices!R22:T22)/SUM(Practices!R10:T10))</f>
        <v>0</v>
      </c>
      <c r="V136" s="233">
        <f>IF(Practices!V10=0,0,Practices!V22/Practices!V10)</f>
        <v>0</v>
      </c>
      <c r="W136" s="233">
        <f>IF(Practices!W10=0,0,Practices!W22/Practices!W10)</f>
        <v>0</v>
      </c>
      <c r="X136" s="233">
        <f>IF(Practices!X10=0,0,Practices!X22/Practices!X10)</f>
        <v>0</v>
      </c>
      <c r="Y136" s="234">
        <f>IF(SUM(Practices!V10:X10)=0,0,SUM(Practices!V22:X22)/SUM(Practices!V10:X10))</f>
        <v>0</v>
      </c>
    </row>
    <row r="137" spans="1:25" ht="12.75" hidden="1" customHeight="1" outlineLevel="1" x14ac:dyDescent="0.2">
      <c r="A137" s="191" t="str">
        <f>"   "&amp;Labels!C380</f>
        <v xml:space="preserve">   Total</v>
      </c>
      <c r="B137" s="3"/>
      <c r="C137" s="3"/>
      <c r="D137" s="3"/>
      <c r="E137" s="191"/>
      <c r="F137" s="3"/>
      <c r="G137" s="3"/>
      <c r="H137" s="3"/>
      <c r="I137" s="191"/>
      <c r="J137" s="3"/>
      <c r="K137" s="3"/>
      <c r="L137" s="3"/>
      <c r="M137" s="191"/>
      <c r="N137" s="3"/>
      <c r="O137" s="3"/>
      <c r="P137" s="3"/>
      <c r="Q137" s="191"/>
      <c r="R137" s="3"/>
      <c r="S137" s="3"/>
      <c r="T137" s="3"/>
      <c r="U137" s="191"/>
      <c r="V137" s="3"/>
      <c r="W137" s="3"/>
      <c r="X137" s="3"/>
      <c r="Y137" s="191"/>
    </row>
    <row r="138" spans="1:25" ht="12.75" hidden="1" customHeight="1" outlineLevel="1" x14ac:dyDescent="0.2">
      <c r="A138" s="198" t="str">
        <f>"      "&amp;Labels!B99</f>
        <v xml:space="preserve">      Gross Margin</v>
      </c>
      <c r="B138" s="226">
        <f>SUM(B118,B128)</f>
        <v>0</v>
      </c>
      <c r="C138" s="226">
        <f>SUM(C118,C128)</f>
        <v>0</v>
      </c>
      <c r="D138" s="226">
        <f>SUM(D118,D128)</f>
        <v>110000</v>
      </c>
      <c r="E138" s="227">
        <f>SUM(B138:D138)</f>
        <v>110000</v>
      </c>
      <c r="F138" s="226">
        <f>SUM(F118,F128)</f>
        <v>110000</v>
      </c>
      <c r="G138" s="226">
        <f>SUM(G118,G128)</f>
        <v>0</v>
      </c>
      <c r="H138" s="226">
        <f>SUM(H118,H128)</f>
        <v>80000</v>
      </c>
      <c r="I138" s="227">
        <f>SUM(F138:H138)</f>
        <v>190000</v>
      </c>
      <c r="J138" s="226">
        <f>SUM(J118,J128)</f>
        <v>51739.107028939994</v>
      </c>
      <c r="K138" s="226">
        <f>SUM(K118,K128)</f>
        <v>37504.112064300745</v>
      </c>
      <c r="L138" s="226">
        <f>SUM(L118,L128)</f>
        <v>0</v>
      </c>
      <c r="M138" s="227">
        <f>SUM(J138:L138)</f>
        <v>89243.219093240739</v>
      </c>
      <c r="N138" s="226">
        <f>SUM(N118,N128)</f>
        <v>0</v>
      </c>
      <c r="O138" s="226">
        <f>SUM(O118,O128)</f>
        <v>0</v>
      </c>
      <c r="P138" s="226">
        <f>SUM(P118,P128)</f>
        <v>0</v>
      </c>
      <c r="Q138" s="227">
        <f>SUM(N138:P138)</f>
        <v>0</v>
      </c>
      <c r="R138" s="226">
        <f>SUM(R118,R128)</f>
        <v>0</v>
      </c>
      <c r="S138" s="226">
        <f>SUM(S118,S128)</f>
        <v>0</v>
      </c>
      <c r="T138" s="226">
        <f>SUM(T118,T128)</f>
        <v>0</v>
      </c>
      <c r="U138" s="227">
        <f>SUM(R138:T138)</f>
        <v>0</v>
      </c>
      <c r="V138" s="226">
        <f>SUM(V118,V128)</f>
        <v>0</v>
      </c>
      <c r="W138" s="226">
        <f>SUM(W118,W128)</f>
        <v>0</v>
      </c>
      <c r="X138" s="226">
        <f>SUM(X118,X128)</f>
        <v>0</v>
      </c>
      <c r="Y138" s="227">
        <f>SUM(V138:X138)</f>
        <v>0</v>
      </c>
    </row>
    <row r="139" spans="1:25" ht="12.75" hidden="1" customHeight="1" outlineLevel="1" x14ac:dyDescent="0.2">
      <c r="A139" s="230" t="str">
        <f>"      "&amp;Labels!B101</f>
        <v xml:space="preserve">      Gross Margin %</v>
      </c>
      <c r="B139" s="235">
        <f>IF(IncStmt!B6=0,0,IncStmt!B16/IncStmt!B6)</f>
        <v>0</v>
      </c>
      <c r="C139" s="235">
        <f>IF(IncStmt!C6=0,0,IncStmt!C16/IncStmt!C6)</f>
        <v>0</v>
      </c>
      <c r="D139" s="235">
        <f>IF(IncStmt!D6=0,0,IncStmt!D16/IncStmt!D6)</f>
        <v>0.97560975609756095</v>
      </c>
      <c r="E139" s="236">
        <f>IF(SUM(IncStmt!B6:D6)=0,0,SUM(IncStmt!B16:D16)/SUM(IncStmt!B6:D6))</f>
        <v>0.97560975609756095</v>
      </c>
      <c r="F139" s="235">
        <f>IF(IncStmt!F6=0,0,IncStmt!F16/IncStmt!F6)</f>
        <v>0.97560975609756095</v>
      </c>
      <c r="G139" s="235">
        <f>IF(IncStmt!G6=0,0,IncStmt!G16/IncStmt!G6)</f>
        <v>0</v>
      </c>
      <c r="H139" s="235">
        <f>IF(IncStmt!H6=0,0,IncStmt!H16/IncStmt!H6)</f>
        <v>0.97560975609756095</v>
      </c>
      <c r="I139" s="236">
        <f>IF(SUM(IncStmt!F6:H6)=0,0,SUM(IncStmt!F16:H16)/SUM(IncStmt!F6:H6))</f>
        <v>0.97560975609756095</v>
      </c>
      <c r="J139" s="235">
        <f>IF(IncStmt!J6=0,0,IncStmt!J16/IncStmt!J6)</f>
        <v>0.63096471986512193</v>
      </c>
      <c r="K139" s="235">
        <f>IF(IncStmt!K6=0,0,IncStmt!K16/IncStmt!K6)</f>
        <v>0.45736722029635057</v>
      </c>
      <c r="L139" s="235">
        <f>IF(IncStmt!L6=0,0,IncStmt!L16/IncStmt!L6)</f>
        <v>0</v>
      </c>
      <c r="M139" s="236">
        <f>IF(SUM(IncStmt!J6:L6)=0,0,SUM(IncStmt!J16:L16)/SUM(IncStmt!J6:L6))</f>
        <v>0.54416597008073619</v>
      </c>
      <c r="N139" s="235">
        <f>IF(IncStmt!N6=0,0,IncStmt!N16/IncStmt!N6)</f>
        <v>0</v>
      </c>
      <c r="O139" s="235">
        <f>IF(IncStmt!O6=0,0,IncStmt!O16/IncStmt!O6)</f>
        <v>0</v>
      </c>
      <c r="P139" s="235">
        <f>IF(IncStmt!P6=0,0,IncStmt!P16/IncStmt!P6)</f>
        <v>0</v>
      </c>
      <c r="Q139" s="236">
        <f>IF(SUM(IncStmt!N6:P6)=0,0,SUM(IncStmt!N16:P16)/SUM(IncStmt!N6:P6))</f>
        <v>0</v>
      </c>
      <c r="R139" s="235">
        <f>IF(IncStmt!R6=0,0,IncStmt!R16/IncStmt!R6)</f>
        <v>0</v>
      </c>
      <c r="S139" s="235">
        <f>IF(IncStmt!S6=0,0,IncStmt!S16/IncStmt!S6)</f>
        <v>0</v>
      </c>
      <c r="T139" s="235">
        <f>IF(IncStmt!T6=0,0,IncStmt!T16/IncStmt!T6)</f>
        <v>0</v>
      </c>
      <c r="U139" s="236">
        <f>IF(SUM(IncStmt!R6:T6)=0,0,SUM(IncStmt!R16:T16)/SUM(IncStmt!R6:T6))</f>
        <v>0</v>
      </c>
      <c r="V139" s="235">
        <f>IF(IncStmt!V6=0,0,IncStmt!V16/IncStmt!V6)</f>
        <v>0</v>
      </c>
      <c r="W139" s="235">
        <f>IF(IncStmt!W6=0,0,IncStmt!W16/IncStmt!W6)</f>
        <v>0</v>
      </c>
      <c r="X139" s="235">
        <f>IF(IncStmt!X6=0,0,IncStmt!X16/IncStmt!X6)</f>
        <v>0</v>
      </c>
      <c r="Y139" s="236">
        <f>IF(SUM(IncStmt!V6:X6)=0,0,SUM(IncStmt!V16:X16)/SUM(IncStmt!V6:X6))</f>
        <v>0</v>
      </c>
    </row>
    <row r="140" spans="1:25" ht="12.75" hidden="1" customHeight="1" outlineLevel="1" x14ac:dyDescent="0.2"/>
    <row r="141" spans="1:25" ht="12.75" hidden="1" customHeight="1" outlineLevel="1" x14ac:dyDescent="0.2">
      <c r="A141" s="3" t="str">
        <f>"Billed Hours"</f>
        <v>Billed Hours</v>
      </c>
    </row>
    <row r="142" spans="1:25" ht="12.75" hidden="1" customHeight="1" outlineLevel="2" x14ac:dyDescent="0.2">
      <c r="A142" s="3" t="str">
        <f>" "</f>
        <v xml:space="preserve"> </v>
      </c>
    </row>
    <row r="143" spans="1:25" ht="12.75" hidden="1" customHeight="1" outlineLevel="2" x14ac:dyDescent="0.2">
      <c r="B143" s="9" t="str">
        <f>'(FnCalls 1)'!F41</f>
        <v>MMM 2010</v>
      </c>
      <c r="C143" s="10" t="str">
        <f>'(FnCalls 1)'!F42</f>
        <v>MMM 2010</v>
      </c>
      <c r="D143" s="10" t="str">
        <f>'(FnCalls 1)'!F43</f>
        <v>MMM 2010</v>
      </c>
      <c r="E143" s="181" t="str">
        <f>'(FnCalls 1)'!G41</f>
        <v>Q1 2010</v>
      </c>
      <c r="F143" s="10" t="str">
        <f>'(FnCalls 1)'!F44</f>
        <v>MMM 2010</v>
      </c>
      <c r="G143" s="10" t="str">
        <f>'(FnCalls 1)'!F45</f>
        <v>MMM 2010</v>
      </c>
      <c r="H143" s="10" t="str">
        <f>'(FnCalls 1)'!F46</f>
        <v>MMM 2010</v>
      </c>
      <c r="I143" s="181" t="str">
        <f>'(FnCalls 1)'!G44</f>
        <v>Q2 2010</v>
      </c>
      <c r="J143" s="10" t="str">
        <f>'(FnCalls 1)'!F47</f>
        <v>MMM 2010</v>
      </c>
      <c r="K143" s="10" t="str">
        <f>'(FnCalls 1)'!F48</f>
        <v>MMM 2010</v>
      </c>
      <c r="L143" s="10" t="str">
        <f>'(FnCalls 1)'!F49</f>
        <v>MMM 2010</v>
      </c>
      <c r="M143" s="181" t="str">
        <f>'(FnCalls 1)'!G47</f>
        <v>Q3 2010</v>
      </c>
      <c r="N143" s="10" t="str">
        <f>'(FnCalls 1)'!F50</f>
        <v>MMM 2010</v>
      </c>
      <c r="O143" s="10" t="str">
        <f>'(FnCalls 1)'!F51</f>
        <v>MMM 2010</v>
      </c>
      <c r="P143" s="10" t="str">
        <f>'(FnCalls 1)'!F52</f>
        <v>MMM 2010</v>
      </c>
      <c r="Q143" s="181" t="str">
        <f>'(FnCalls 1)'!G50</f>
        <v>Q4 2010</v>
      </c>
      <c r="R143" s="10" t="str">
        <f>'(FnCalls 1)'!F53</f>
        <v>MMM 2011</v>
      </c>
      <c r="S143" s="10" t="str">
        <f>'(FnCalls 1)'!F54</f>
        <v>MMM 2011</v>
      </c>
      <c r="T143" s="10" t="str">
        <f>'(FnCalls 1)'!F55</f>
        <v>MMM 2011</v>
      </c>
      <c r="U143" s="181" t="str">
        <f>'(FnCalls 1)'!G53</f>
        <v>Q1 2011</v>
      </c>
      <c r="V143" s="10" t="str">
        <f>'(FnCalls 1)'!F56</f>
        <v>MMM 2011</v>
      </c>
      <c r="W143" s="10" t="str">
        <f>'(FnCalls 1)'!F57</f>
        <v>MMM 2011</v>
      </c>
      <c r="X143" s="10" t="str">
        <f>'(FnCalls 1)'!F58</f>
        <v>MMM 2011</v>
      </c>
      <c r="Y143" s="181" t="str">
        <f>'(FnCalls 1)'!G56</f>
        <v>Q2 2011</v>
      </c>
    </row>
    <row r="144" spans="1:25" ht="12.75" hidden="1" customHeight="1" outlineLevel="2" x14ac:dyDescent="0.2">
      <c r="A144" s="182" t="str">
        <f>Labels!B183</f>
        <v>Prof Staff Hours Billed</v>
      </c>
      <c r="B144" s="223"/>
      <c r="C144" s="223"/>
      <c r="D144" s="223"/>
      <c r="E144" s="224"/>
      <c r="F144" s="223"/>
      <c r="G144" s="223"/>
      <c r="H144" s="223"/>
      <c r="I144" s="224"/>
      <c r="J144" s="223"/>
      <c r="K144" s="223"/>
      <c r="L144" s="223"/>
      <c r="M144" s="224"/>
      <c r="N144" s="223"/>
      <c r="O144" s="223"/>
      <c r="P144" s="223"/>
      <c r="Q144" s="224"/>
      <c r="R144" s="223"/>
      <c r="S144" s="223"/>
      <c r="T144" s="223"/>
      <c r="U144" s="224"/>
      <c r="V144" s="223"/>
      <c r="W144" s="223"/>
      <c r="X144" s="223"/>
      <c r="Y144" s="224"/>
    </row>
    <row r="145" spans="1:25" ht="12.75" hidden="1" customHeight="1" outlineLevel="2" x14ac:dyDescent="0.2">
      <c r="A145" s="188" t="str">
        <f>"   "&amp;Labels!B381</f>
        <v xml:space="preserve">   Practice 1</v>
      </c>
      <c r="B145" s="166"/>
      <c r="C145" s="166"/>
      <c r="D145" s="166"/>
      <c r="E145" s="225"/>
      <c r="F145" s="166"/>
      <c r="G145" s="166"/>
      <c r="H145" s="166"/>
      <c r="I145" s="225"/>
      <c r="J145" s="166"/>
      <c r="K145" s="166"/>
      <c r="L145" s="166"/>
      <c r="M145" s="225"/>
      <c r="N145" s="166"/>
      <c r="O145" s="166"/>
      <c r="P145" s="166"/>
      <c r="Q145" s="225"/>
      <c r="R145" s="166"/>
      <c r="S145" s="166"/>
      <c r="T145" s="166"/>
      <c r="U145" s="225"/>
      <c r="V145" s="166"/>
      <c r="W145" s="166"/>
      <c r="X145" s="166"/>
      <c r="Y145" s="225"/>
    </row>
    <row r="146" spans="1:25" ht="12.75" hidden="1" customHeight="1" outlineLevel="2" x14ac:dyDescent="0.2">
      <c r="A146" s="198" t="str">
        <f>"      "&amp;Labels!B317</f>
        <v xml:space="preserve">      Channels 1</v>
      </c>
      <c r="B146" s="237">
        <f t="shared" ref="B146:D147" si="54">SUM(B521,B525)</f>
        <v>0</v>
      </c>
      <c r="C146" s="237">
        <f t="shared" si="54"/>
        <v>0</v>
      </c>
      <c r="D146" s="237">
        <f t="shared" si="54"/>
        <v>275</v>
      </c>
      <c r="E146" s="238">
        <f>SUM(B146:D146)</f>
        <v>275</v>
      </c>
      <c r="F146" s="237">
        <f t="shared" ref="F146:H147" si="55">SUM(F521,F525)</f>
        <v>275</v>
      </c>
      <c r="G146" s="237">
        <f t="shared" si="55"/>
        <v>0</v>
      </c>
      <c r="H146" s="237">
        <f t="shared" si="55"/>
        <v>200</v>
      </c>
      <c r="I146" s="238">
        <f>SUM(F146:H146)</f>
        <v>475</v>
      </c>
      <c r="J146" s="237">
        <f t="shared" ref="J146:L147" si="56">SUM(J521,J525)</f>
        <v>200</v>
      </c>
      <c r="K146" s="237">
        <f t="shared" si="56"/>
        <v>200</v>
      </c>
      <c r="L146" s="237">
        <f t="shared" si="56"/>
        <v>0</v>
      </c>
      <c r="M146" s="238">
        <f>SUM(J146:L146)</f>
        <v>400</v>
      </c>
      <c r="N146" s="237">
        <f t="shared" ref="N146:P147" si="57">SUM(N521,N525)</f>
        <v>0</v>
      </c>
      <c r="O146" s="237">
        <f t="shared" si="57"/>
        <v>0</v>
      </c>
      <c r="P146" s="237">
        <f t="shared" si="57"/>
        <v>0</v>
      </c>
      <c r="Q146" s="238">
        <f>SUM(N146:P146)</f>
        <v>0</v>
      </c>
      <c r="R146" s="237">
        <f t="shared" ref="R146:T147" si="58">SUM(R521,R525)</f>
        <v>0</v>
      </c>
      <c r="S146" s="237">
        <f t="shared" si="58"/>
        <v>0</v>
      </c>
      <c r="T146" s="237">
        <f t="shared" si="58"/>
        <v>0</v>
      </c>
      <c r="U146" s="238">
        <f>SUM(R146:T146)</f>
        <v>0</v>
      </c>
      <c r="V146" s="237">
        <f t="shared" ref="V146:X147" si="59">SUM(V521,V525)</f>
        <v>0</v>
      </c>
      <c r="W146" s="237">
        <f t="shared" si="59"/>
        <v>0</v>
      </c>
      <c r="X146" s="237">
        <f t="shared" si="59"/>
        <v>0</v>
      </c>
      <c r="Y146" s="238">
        <f>SUM(V146:X146)</f>
        <v>0</v>
      </c>
    </row>
    <row r="147" spans="1:25" ht="12.75" hidden="1" customHeight="1" outlineLevel="2" x14ac:dyDescent="0.2">
      <c r="A147" s="198" t="str">
        <f>"      "&amp;Labels!B318</f>
        <v xml:space="preserve">      Channels 2</v>
      </c>
      <c r="B147" s="237">
        <f t="shared" si="54"/>
        <v>0</v>
      </c>
      <c r="C147" s="237">
        <f t="shared" si="54"/>
        <v>0</v>
      </c>
      <c r="D147" s="237">
        <f t="shared" si="54"/>
        <v>275</v>
      </c>
      <c r="E147" s="238">
        <f>SUM(B147:D147)</f>
        <v>275</v>
      </c>
      <c r="F147" s="237">
        <f t="shared" si="55"/>
        <v>275</v>
      </c>
      <c r="G147" s="237">
        <f t="shared" si="55"/>
        <v>0</v>
      </c>
      <c r="H147" s="237">
        <f t="shared" si="55"/>
        <v>200</v>
      </c>
      <c r="I147" s="238">
        <f>SUM(F147:H147)</f>
        <v>475</v>
      </c>
      <c r="J147" s="237">
        <f t="shared" si="56"/>
        <v>200</v>
      </c>
      <c r="K147" s="237">
        <f t="shared" si="56"/>
        <v>200</v>
      </c>
      <c r="L147" s="237">
        <f t="shared" si="56"/>
        <v>0</v>
      </c>
      <c r="M147" s="238">
        <f>SUM(J147:L147)</f>
        <v>400</v>
      </c>
      <c r="N147" s="237">
        <f t="shared" si="57"/>
        <v>0</v>
      </c>
      <c r="O147" s="237">
        <f t="shared" si="57"/>
        <v>0</v>
      </c>
      <c r="P147" s="237">
        <f t="shared" si="57"/>
        <v>0</v>
      </c>
      <c r="Q147" s="238">
        <f>SUM(N147:P147)</f>
        <v>0</v>
      </c>
      <c r="R147" s="237">
        <f t="shared" si="58"/>
        <v>0</v>
      </c>
      <c r="S147" s="237">
        <f t="shared" si="58"/>
        <v>0</v>
      </c>
      <c r="T147" s="237">
        <f t="shared" si="58"/>
        <v>0</v>
      </c>
      <c r="U147" s="238">
        <f>SUM(R147:T147)</f>
        <v>0</v>
      </c>
      <c r="V147" s="237">
        <f t="shared" si="59"/>
        <v>0</v>
      </c>
      <c r="W147" s="237">
        <f t="shared" si="59"/>
        <v>0</v>
      </c>
      <c r="X147" s="237">
        <f t="shared" si="59"/>
        <v>0</v>
      </c>
      <c r="Y147" s="238">
        <f>SUM(V147:X147)</f>
        <v>0</v>
      </c>
    </row>
    <row r="148" spans="1:25" ht="12.75" hidden="1" customHeight="1" outlineLevel="2" x14ac:dyDescent="0.2">
      <c r="A148" s="188" t="str">
        <f>"      "&amp;Labels!C316</f>
        <v xml:space="preserve">      Total</v>
      </c>
      <c r="B148" s="166">
        <f>SUM(B146:B147)</f>
        <v>0</v>
      </c>
      <c r="C148" s="166">
        <f>SUM(C146:C147)</f>
        <v>0</v>
      </c>
      <c r="D148" s="166">
        <f>SUM(D146:D147)</f>
        <v>550</v>
      </c>
      <c r="E148" s="225">
        <f>SUM(B148:D148)</f>
        <v>550</v>
      </c>
      <c r="F148" s="166">
        <f>SUM(F146:F147)</f>
        <v>550</v>
      </c>
      <c r="G148" s="166">
        <f>SUM(G146:G147)</f>
        <v>0</v>
      </c>
      <c r="H148" s="166">
        <f>SUM(H146:H147)</f>
        <v>400</v>
      </c>
      <c r="I148" s="225">
        <f>SUM(F148:H148)</f>
        <v>950</v>
      </c>
      <c r="J148" s="166">
        <f>SUM(J146:J147)</f>
        <v>400</v>
      </c>
      <c r="K148" s="166">
        <f>SUM(K146:K147)</f>
        <v>400</v>
      </c>
      <c r="L148" s="166">
        <f>SUM(L146:L147)</f>
        <v>0</v>
      </c>
      <c r="M148" s="225">
        <f>SUM(J148:L148)</f>
        <v>800</v>
      </c>
      <c r="N148" s="166">
        <f>SUM(N146:N147)</f>
        <v>0</v>
      </c>
      <c r="O148" s="166">
        <f>SUM(O146:O147)</f>
        <v>0</v>
      </c>
      <c r="P148" s="166">
        <f>SUM(P146:P147)</f>
        <v>0</v>
      </c>
      <c r="Q148" s="225">
        <f>SUM(N148:P148)</f>
        <v>0</v>
      </c>
      <c r="R148" s="166">
        <f>SUM(R146:R147)</f>
        <v>0</v>
      </c>
      <c r="S148" s="166">
        <f>SUM(S146:S147)</f>
        <v>0</v>
      </c>
      <c r="T148" s="166">
        <f>SUM(T146:T147)</f>
        <v>0</v>
      </c>
      <c r="U148" s="225">
        <f>SUM(R148:T148)</f>
        <v>0</v>
      </c>
      <c r="V148" s="166">
        <f>SUM(V146:V147)</f>
        <v>0</v>
      </c>
      <c r="W148" s="166">
        <f>SUM(W146:W147)</f>
        <v>0</v>
      </c>
      <c r="X148" s="166">
        <f>SUM(X146:X147)</f>
        <v>0</v>
      </c>
      <c r="Y148" s="225">
        <f>SUM(V148:X148)</f>
        <v>0</v>
      </c>
    </row>
    <row r="149" spans="1:25" ht="12.75" hidden="1" customHeight="1" outlineLevel="2" x14ac:dyDescent="0.2">
      <c r="A149" s="188" t="str">
        <f>"   "&amp;Labels!B382</f>
        <v xml:space="preserve">   Practice 2</v>
      </c>
      <c r="B149" s="166"/>
      <c r="C149" s="166"/>
      <c r="D149" s="166"/>
      <c r="E149" s="225"/>
      <c r="F149" s="166"/>
      <c r="G149" s="166"/>
      <c r="H149" s="166"/>
      <c r="I149" s="225"/>
      <c r="J149" s="166"/>
      <c r="K149" s="166"/>
      <c r="L149" s="166"/>
      <c r="M149" s="225"/>
      <c r="N149" s="166"/>
      <c r="O149" s="166"/>
      <c r="P149" s="166"/>
      <c r="Q149" s="225"/>
      <c r="R149" s="166"/>
      <c r="S149" s="166"/>
      <c r="T149" s="166"/>
      <c r="U149" s="225"/>
      <c r="V149" s="166"/>
      <c r="W149" s="166"/>
      <c r="X149" s="166"/>
      <c r="Y149" s="225"/>
    </row>
    <row r="150" spans="1:25" ht="12.75" hidden="1" customHeight="1" outlineLevel="2" x14ac:dyDescent="0.2">
      <c r="A150" s="198" t="str">
        <f>"      "&amp;Labels!B317</f>
        <v xml:space="preserve">      Channels 1</v>
      </c>
      <c r="B150" s="237">
        <f t="shared" ref="B150:D151" si="60">SUM(B534,B538)</f>
        <v>0</v>
      </c>
      <c r="C150" s="237">
        <f t="shared" si="60"/>
        <v>0</v>
      </c>
      <c r="D150" s="237">
        <f t="shared" si="60"/>
        <v>0</v>
      </c>
      <c r="E150" s="238">
        <f t="shared" ref="E150:E155" si="61">SUM(B150:D150)</f>
        <v>0</v>
      </c>
      <c r="F150" s="237">
        <f t="shared" ref="F150:H151" si="62">SUM(F534,F538)</f>
        <v>0</v>
      </c>
      <c r="G150" s="237">
        <f t="shared" si="62"/>
        <v>0</v>
      </c>
      <c r="H150" s="237">
        <f t="shared" si="62"/>
        <v>0</v>
      </c>
      <c r="I150" s="238">
        <f t="shared" ref="I150:I155" si="63">SUM(F150:H150)</f>
        <v>0</v>
      </c>
      <c r="J150" s="237">
        <f t="shared" ref="J150:L151" si="64">SUM(J534,J538)</f>
        <v>0</v>
      </c>
      <c r="K150" s="237">
        <f t="shared" si="64"/>
        <v>0</v>
      </c>
      <c r="L150" s="237">
        <f t="shared" si="64"/>
        <v>0</v>
      </c>
      <c r="M150" s="238">
        <f t="shared" ref="M150:M155" si="65">SUM(J150:L150)</f>
        <v>0</v>
      </c>
      <c r="N150" s="237">
        <f t="shared" ref="N150:P151" si="66">SUM(N534,N538)</f>
        <v>0</v>
      </c>
      <c r="O150" s="237">
        <f t="shared" si="66"/>
        <v>0</v>
      </c>
      <c r="P150" s="237">
        <f t="shared" si="66"/>
        <v>0</v>
      </c>
      <c r="Q150" s="238">
        <f t="shared" ref="Q150:Q155" si="67">SUM(N150:P150)</f>
        <v>0</v>
      </c>
      <c r="R150" s="237">
        <f t="shared" ref="R150:T151" si="68">SUM(R534,R538)</f>
        <v>0</v>
      </c>
      <c r="S150" s="237">
        <f t="shared" si="68"/>
        <v>0</v>
      </c>
      <c r="T150" s="237">
        <f t="shared" si="68"/>
        <v>0</v>
      </c>
      <c r="U150" s="238">
        <f t="shared" ref="U150:U155" si="69">SUM(R150:T150)</f>
        <v>0</v>
      </c>
      <c r="V150" s="237">
        <f t="shared" ref="V150:X151" si="70">SUM(V534,V538)</f>
        <v>0</v>
      </c>
      <c r="W150" s="237">
        <f t="shared" si="70"/>
        <v>0</v>
      </c>
      <c r="X150" s="237">
        <f t="shared" si="70"/>
        <v>0</v>
      </c>
      <c r="Y150" s="238">
        <f t="shared" ref="Y150:Y155" si="71">SUM(V150:X150)</f>
        <v>0</v>
      </c>
    </row>
    <row r="151" spans="1:25" ht="12.75" hidden="1" customHeight="1" outlineLevel="2" x14ac:dyDescent="0.2">
      <c r="A151" s="198" t="str">
        <f>"      "&amp;Labels!B318</f>
        <v xml:space="preserve">      Channels 2</v>
      </c>
      <c r="B151" s="237">
        <f t="shared" si="60"/>
        <v>0</v>
      </c>
      <c r="C151" s="237">
        <f t="shared" si="60"/>
        <v>0</v>
      </c>
      <c r="D151" s="237">
        <f t="shared" si="60"/>
        <v>0</v>
      </c>
      <c r="E151" s="238">
        <f t="shared" si="61"/>
        <v>0</v>
      </c>
      <c r="F151" s="237">
        <f t="shared" si="62"/>
        <v>0</v>
      </c>
      <c r="G151" s="237">
        <f t="shared" si="62"/>
        <v>0</v>
      </c>
      <c r="H151" s="237">
        <f t="shared" si="62"/>
        <v>0</v>
      </c>
      <c r="I151" s="238">
        <f t="shared" si="63"/>
        <v>0</v>
      </c>
      <c r="J151" s="237">
        <f t="shared" si="64"/>
        <v>0</v>
      </c>
      <c r="K151" s="237">
        <f t="shared" si="64"/>
        <v>0</v>
      </c>
      <c r="L151" s="237">
        <f t="shared" si="64"/>
        <v>0</v>
      </c>
      <c r="M151" s="238">
        <f t="shared" si="65"/>
        <v>0</v>
      </c>
      <c r="N151" s="237">
        <f t="shared" si="66"/>
        <v>0</v>
      </c>
      <c r="O151" s="237">
        <f t="shared" si="66"/>
        <v>0</v>
      </c>
      <c r="P151" s="237">
        <f t="shared" si="66"/>
        <v>0</v>
      </c>
      <c r="Q151" s="238">
        <f t="shared" si="67"/>
        <v>0</v>
      </c>
      <c r="R151" s="237">
        <f t="shared" si="68"/>
        <v>0</v>
      </c>
      <c r="S151" s="237">
        <f t="shared" si="68"/>
        <v>0</v>
      </c>
      <c r="T151" s="237">
        <f t="shared" si="68"/>
        <v>0</v>
      </c>
      <c r="U151" s="238">
        <f t="shared" si="69"/>
        <v>0</v>
      </c>
      <c r="V151" s="237">
        <f t="shared" si="70"/>
        <v>0</v>
      </c>
      <c r="W151" s="237">
        <f t="shared" si="70"/>
        <v>0</v>
      </c>
      <c r="X151" s="237">
        <f t="shared" si="70"/>
        <v>0</v>
      </c>
      <c r="Y151" s="238">
        <f t="shared" si="71"/>
        <v>0</v>
      </c>
    </row>
    <row r="152" spans="1:25" ht="12.75" hidden="1" customHeight="1" outlineLevel="2" x14ac:dyDescent="0.2">
      <c r="A152" s="188" t="str">
        <f>"      "&amp;Labels!C316</f>
        <v xml:space="preserve">      Total</v>
      </c>
      <c r="B152" s="166">
        <f>SUM(B150:B151)</f>
        <v>0</v>
      </c>
      <c r="C152" s="166">
        <f>SUM(C150:C151)</f>
        <v>0</v>
      </c>
      <c r="D152" s="166">
        <f>SUM(D150:D151)</f>
        <v>0</v>
      </c>
      <c r="E152" s="225">
        <f t="shared" si="61"/>
        <v>0</v>
      </c>
      <c r="F152" s="166">
        <f>SUM(F150:F151)</f>
        <v>0</v>
      </c>
      <c r="G152" s="166">
        <f>SUM(G150:G151)</f>
        <v>0</v>
      </c>
      <c r="H152" s="166">
        <f>SUM(H150:H151)</f>
        <v>0</v>
      </c>
      <c r="I152" s="225">
        <f t="shared" si="63"/>
        <v>0</v>
      </c>
      <c r="J152" s="166">
        <f>SUM(J150:J151)</f>
        <v>0</v>
      </c>
      <c r="K152" s="166">
        <f>SUM(K150:K151)</f>
        <v>0</v>
      </c>
      <c r="L152" s="166">
        <f>SUM(L150:L151)</f>
        <v>0</v>
      </c>
      <c r="M152" s="225">
        <f t="shared" si="65"/>
        <v>0</v>
      </c>
      <c r="N152" s="166">
        <f>SUM(N150:N151)</f>
        <v>0</v>
      </c>
      <c r="O152" s="166">
        <f>SUM(O150:O151)</f>
        <v>0</v>
      </c>
      <c r="P152" s="166">
        <f>SUM(P150:P151)</f>
        <v>0</v>
      </c>
      <c r="Q152" s="225">
        <f t="shared" si="67"/>
        <v>0</v>
      </c>
      <c r="R152" s="166">
        <f>SUM(R150:R151)</f>
        <v>0</v>
      </c>
      <c r="S152" s="166">
        <f>SUM(S150:S151)</f>
        <v>0</v>
      </c>
      <c r="T152" s="166">
        <f>SUM(T150:T151)</f>
        <v>0</v>
      </c>
      <c r="U152" s="225">
        <f t="shared" si="69"/>
        <v>0</v>
      </c>
      <c r="V152" s="166">
        <f>SUM(V150:V151)</f>
        <v>0</v>
      </c>
      <c r="W152" s="166">
        <f>SUM(W150:W151)</f>
        <v>0</v>
      </c>
      <c r="X152" s="166">
        <f>SUM(X150:X151)</f>
        <v>0</v>
      </c>
      <c r="Y152" s="225">
        <f t="shared" si="71"/>
        <v>0</v>
      </c>
    </row>
    <row r="153" spans="1:25" ht="12.75" hidden="1" customHeight="1" outlineLevel="2" x14ac:dyDescent="0.2">
      <c r="A153" s="191" t="str">
        <f>"   "&amp;Labels!C380</f>
        <v xml:space="preserve">   Total</v>
      </c>
      <c r="B153" s="216">
        <f>SUM(B154:B155)</f>
        <v>0</v>
      </c>
      <c r="C153" s="216">
        <f>SUM(C154:C155)</f>
        <v>0</v>
      </c>
      <c r="D153" s="216">
        <f>SUM(D154:D155)</f>
        <v>550</v>
      </c>
      <c r="E153" s="217">
        <f t="shared" si="61"/>
        <v>550</v>
      </c>
      <c r="F153" s="216">
        <f>SUM(F154:F155)</f>
        <v>550</v>
      </c>
      <c r="G153" s="216">
        <f>SUM(G154:G155)</f>
        <v>0</v>
      </c>
      <c r="H153" s="216">
        <f>SUM(H154:H155)</f>
        <v>400</v>
      </c>
      <c r="I153" s="217">
        <f t="shared" si="63"/>
        <v>950</v>
      </c>
      <c r="J153" s="216">
        <f>SUM(J154:J155)</f>
        <v>400</v>
      </c>
      <c r="K153" s="216">
        <f>SUM(K154:K155)</f>
        <v>400</v>
      </c>
      <c r="L153" s="216">
        <f>SUM(L154:L155)</f>
        <v>0</v>
      </c>
      <c r="M153" s="217">
        <f t="shared" si="65"/>
        <v>800</v>
      </c>
      <c r="N153" s="216">
        <f>SUM(N154:N155)</f>
        <v>0</v>
      </c>
      <c r="O153" s="216">
        <f>SUM(O154:O155)</f>
        <v>0</v>
      </c>
      <c r="P153" s="216">
        <f>SUM(P154:P155)</f>
        <v>0</v>
      </c>
      <c r="Q153" s="217">
        <f t="shared" si="67"/>
        <v>0</v>
      </c>
      <c r="R153" s="216">
        <f>SUM(R154:R155)</f>
        <v>0</v>
      </c>
      <c r="S153" s="216">
        <f>SUM(S154:S155)</f>
        <v>0</v>
      </c>
      <c r="T153" s="216">
        <f>SUM(T154:T155)</f>
        <v>0</v>
      </c>
      <c r="U153" s="217">
        <f t="shared" si="69"/>
        <v>0</v>
      </c>
      <c r="V153" s="216">
        <f>SUM(V154:V155)</f>
        <v>0</v>
      </c>
      <c r="W153" s="216">
        <f>SUM(W154:W155)</f>
        <v>0</v>
      </c>
      <c r="X153" s="216">
        <f>SUM(X154:X155)</f>
        <v>0</v>
      </c>
      <c r="Y153" s="217">
        <f t="shared" si="71"/>
        <v>0</v>
      </c>
    </row>
    <row r="154" spans="1:25" ht="12.75" hidden="1" customHeight="1" outlineLevel="2" x14ac:dyDescent="0.2">
      <c r="A154" s="198" t="str">
        <f>"      "&amp;Labels!B317</f>
        <v xml:space="preserve">      Channels 1</v>
      </c>
      <c r="B154" s="237">
        <f t="shared" ref="B154:D156" si="72">SUM(B146,B150)</f>
        <v>0</v>
      </c>
      <c r="C154" s="237">
        <f t="shared" si="72"/>
        <v>0</v>
      </c>
      <c r="D154" s="237">
        <f t="shared" si="72"/>
        <v>275</v>
      </c>
      <c r="E154" s="238">
        <f t="shared" si="61"/>
        <v>275</v>
      </c>
      <c r="F154" s="237">
        <f t="shared" ref="F154:H156" si="73">SUM(F146,F150)</f>
        <v>275</v>
      </c>
      <c r="G154" s="237">
        <f t="shared" si="73"/>
        <v>0</v>
      </c>
      <c r="H154" s="237">
        <f t="shared" si="73"/>
        <v>200</v>
      </c>
      <c r="I154" s="238">
        <f t="shared" si="63"/>
        <v>475</v>
      </c>
      <c r="J154" s="237">
        <f t="shared" ref="J154:L156" si="74">SUM(J146,J150)</f>
        <v>200</v>
      </c>
      <c r="K154" s="237">
        <f t="shared" si="74"/>
        <v>200</v>
      </c>
      <c r="L154" s="237">
        <f t="shared" si="74"/>
        <v>0</v>
      </c>
      <c r="M154" s="238">
        <f t="shared" si="65"/>
        <v>400</v>
      </c>
      <c r="N154" s="237">
        <f t="shared" ref="N154:P156" si="75">SUM(N146,N150)</f>
        <v>0</v>
      </c>
      <c r="O154" s="237">
        <f t="shared" si="75"/>
        <v>0</v>
      </c>
      <c r="P154" s="237">
        <f t="shared" si="75"/>
        <v>0</v>
      </c>
      <c r="Q154" s="238">
        <f t="shared" si="67"/>
        <v>0</v>
      </c>
      <c r="R154" s="237">
        <f t="shared" ref="R154:T156" si="76">SUM(R146,R150)</f>
        <v>0</v>
      </c>
      <c r="S154" s="237">
        <f t="shared" si="76"/>
        <v>0</v>
      </c>
      <c r="T154" s="237">
        <f t="shared" si="76"/>
        <v>0</v>
      </c>
      <c r="U154" s="238">
        <f t="shared" si="69"/>
        <v>0</v>
      </c>
      <c r="V154" s="237">
        <f t="shared" ref="V154:X156" si="77">SUM(V146,V150)</f>
        <v>0</v>
      </c>
      <c r="W154" s="237">
        <f t="shared" si="77"/>
        <v>0</v>
      </c>
      <c r="X154" s="237">
        <f t="shared" si="77"/>
        <v>0</v>
      </c>
      <c r="Y154" s="238">
        <f t="shared" si="71"/>
        <v>0</v>
      </c>
    </row>
    <row r="155" spans="1:25" ht="12.75" hidden="1" customHeight="1" outlineLevel="2" x14ac:dyDescent="0.2">
      <c r="A155" s="198" t="str">
        <f>"      "&amp;Labels!B318</f>
        <v xml:space="preserve">      Channels 2</v>
      </c>
      <c r="B155" s="237">
        <f t="shared" si="72"/>
        <v>0</v>
      </c>
      <c r="C155" s="237">
        <f t="shared" si="72"/>
        <v>0</v>
      </c>
      <c r="D155" s="237">
        <f t="shared" si="72"/>
        <v>275</v>
      </c>
      <c r="E155" s="238">
        <f t="shared" si="61"/>
        <v>275</v>
      </c>
      <c r="F155" s="237">
        <f t="shared" si="73"/>
        <v>275</v>
      </c>
      <c r="G155" s="237">
        <f t="shared" si="73"/>
        <v>0</v>
      </c>
      <c r="H155" s="237">
        <f t="shared" si="73"/>
        <v>200</v>
      </c>
      <c r="I155" s="238">
        <f t="shared" si="63"/>
        <v>475</v>
      </c>
      <c r="J155" s="237">
        <f t="shared" si="74"/>
        <v>200</v>
      </c>
      <c r="K155" s="237">
        <f t="shared" si="74"/>
        <v>200</v>
      </c>
      <c r="L155" s="237">
        <f t="shared" si="74"/>
        <v>0</v>
      </c>
      <c r="M155" s="238">
        <f t="shared" si="65"/>
        <v>400</v>
      </c>
      <c r="N155" s="237">
        <f t="shared" si="75"/>
        <v>0</v>
      </c>
      <c r="O155" s="237">
        <f t="shared" si="75"/>
        <v>0</v>
      </c>
      <c r="P155" s="237">
        <f t="shared" si="75"/>
        <v>0</v>
      </c>
      <c r="Q155" s="238">
        <f t="shared" si="67"/>
        <v>0</v>
      </c>
      <c r="R155" s="237">
        <f t="shared" si="76"/>
        <v>0</v>
      </c>
      <c r="S155" s="237">
        <f t="shared" si="76"/>
        <v>0</v>
      </c>
      <c r="T155" s="237">
        <f t="shared" si="76"/>
        <v>0</v>
      </c>
      <c r="U155" s="238">
        <f t="shared" si="69"/>
        <v>0</v>
      </c>
      <c r="V155" s="237">
        <f t="shared" si="77"/>
        <v>0</v>
      </c>
      <c r="W155" s="237">
        <f t="shared" si="77"/>
        <v>0</v>
      </c>
      <c r="X155" s="237">
        <f t="shared" si="77"/>
        <v>0</v>
      </c>
      <c r="Y155" s="238">
        <f t="shared" si="71"/>
        <v>0</v>
      </c>
    </row>
    <row r="156" spans="1:25" ht="12.75" hidden="1" customHeight="1" outlineLevel="2" x14ac:dyDescent="0.2">
      <c r="A156" s="188" t="str">
        <f>"      "&amp;Labels!C316</f>
        <v xml:space="preserve">      Total</v>
      </c>
      <c r="B156" s="166">
        <f t="shared" si="72"/>
        <v>0</v>
      </c>
      <c r="C156" s="166">
        <f t="shared" si="72"/>
        <v>0</v>
      </c>
      <c r="D156" s="166">
        <f t="shared" si="72"/>
        <v>550</v>
      </c>
      <c r="E156" s="225">
        <f>SUM(B153:D153)</f>
        <v>550</v>
      </c>
      <c r="F156" s="166">
        <f t="shared" si="73"/>
        <v>550</v>
      </c>
      <c r="G156" s="166">
        <f t="shared" si="73"/>
        <v>0</v>
      </c>
      <c r="H156" s="166">
        <f t="shared" si="73"/>
        <v>400</v>
      </c>
      <c r="I156" s="225">
        <f>SUM(F153:H153)</f>
        <v>950</v>
      </c>
      <c r="J156" s="166">
        <f t="shared" si="74"/>
        <v>400</v>
      </c>
      <c r="K156" s="166">
        <f t="shared" si="74"/>
        <v>400</v>
      </c>
      <c r="L156" s="166">
        <f t="shared" si="74"/>
        <v>0</v>
      </c>
      <c r="M156" s="225">
        <f>SUM(J153:L153)</f>
        <v>800</v>
      </c>
      <c r="N156" s="166">
        <f t="shared" si="75"/>
        <v>0</v>
      </c>
      <c r="O156" s="166">
        <f t="shared" si="75"/>
        <v>0</v>
      </c>
      <c r="P156" s="166">
        <f t="shared" si="75"/>
        <v>0</v>
      </c>
      <c r="Q156" s="225">
        <f>SUM(N153:P153)</f>
        <v>0</v>
      </c>
      <c r="R156" s="166">
        <f t="shared" si="76"/>
        <v>0</v>
      </c>
      <c r="S156" s="166">
        <f t="shared" si="76"/>
        <v>0</v>
      </c>
      <c r="T156" s="166">
        <f t="shared" si="76"/>
        <v>0</v>
      </c>
      <c r="U156" s="225">
        <f>SUM(R153:T153)</f>
        <v>0</v>
      </c>
      <c r="V156" s="166">
        <f t="shared" si="77"/>
        <v>0</v>
      </c>
      <c r="W156" s="166">
        <f t="shared" si="77"/>
        <v>0</v>
      </c>
      <c r="X156" s="166">
        <f t="shared" si="77"/>
        <v>0</v>
      </c>
      <c r="Y156" s="225">
        <f>SUM(V153:X153)</f>
        <v>0</v>
      </c>
    </row>
    <row r="157" spans="1:25" ht="12.75" hidden="1" customHeight="1" outlineLevel="2" x14ac:dyDescent="0.2">
      <c r="A157" s="97"/>
      <c r="B157" s="6"/>
      <c r="C157" s="6"/>
      <c r="D157" s="6"/>
      <c r="E157" s="97"/>
      <c r="F157" s="6"/>
      <c r="G157" s="6"/>
      <c r="H157" s="6"/>
      <c r="I157" s="97"/>
      <c r="J157" s="6"/>
      <c r="K157" s="6"/>
      <c r="L157" s="6"/>
      <c r="M157" s="97"/>
      <c r="N157" s="6"/>
      <c r="O157" s="6"/>
      <c r="P157" s="6"/>
      <c r="Q157" s="97"/>
      <c r="R157" s="6"/>
      <c r="S157" s="6"/>
      <c r="T157" s="6"/>
      <c r="U157" s="97"/>
      <c r="V157" s="6"/>
      <c r="W157" s="6"/>
      <c r="X157" s="6"/>
      <c r="Y157" s="97"/>
    </row>
    <row r="158" spans="1:25" ht="12.75" hidden="1" customHeight="1" outlineLevel="2" x14ac:dyDescent="0.2">
      <c r="A158" s="191" t="str">
        <f>Labels!B186</f>
        <v>Billed Hours Growth</v>
      </c>
      <c r="B158" s="211"/>
      <c r="C158" s="211"/>
      <c r="D158" s="211"/>
      <c r="E158" s="210"/>
      <c r="F158" s="211"/>
      <c r="G158" s="211"/>
      <c r="H158" s="211"/>
      <c r="I158" s="210"/>
      <c r="J158" s="211"/>
      <c r="K158" s="211"/>
      <c r="L158" s="211"/>
      <c r="M158" s="210"/>
      <c r="N158" s="211"/>
      <c r="O158" s="211"/>
      <c r="P158" s="211"/>
      <c r="Q158" s="210"/>
      <c r="R158" s="211"/>
      <c r="S158" s="211"/>
      <c r="T158" s="211"/>
      <c r="U158" s="210"/>
      <c r="V158" s="211"/>
      <c r="W158" s="211"/>
      <c r="X158" s="211"/>
      <c r="Y158" s="210"/>
    </row>
    <row r="159" spans="1:25" ht="12.75" hidden="1" customHeight="1" outlineLevel="2" x14ac:dyDescent="0.2">
      <c r="A159" s="188" t="str">
        <f>"   "&amp;Labels!B317</f>
        <v xml:space="preserve">   Channels 1</v>
      </c>
      <c r="B159" s="218"/>
      <c r="C159" s="218"/>
      <c r="D159" s="218"/>
      <c r="E159" s="219"/>
      <c r="F159" s="218"/>
      <c r="G159" s="218"/>
      <c r="H159" s="218"/>
      <c r="I159" s="219"/>
      <c r="J159" s="218"/>
      <c r="K159" s="218"/>
      <c r="L159" s="218"/>
      <c r="M159" s="219"/>
      <c r="N159" s="218"/>
      <c r="O159" s="218"/>
      <c r="P159" s="218"/>
      <c r="Q159" s="219"/>
      <c r="R159" s="218"/>
      <c r="S159" s="218"/>
      <c r="T159" s="218"/>
      <c r="U159" s="219"/>
      <c r="V159" s="218"/>
      <c r="W159" s="218"/>
      <c r="X159" s="218"/>
      <c r="Y159" s="219"/>
    </row>
    <row r="160" spans="1:25" ht="12.75" hidden="1" customHeight="1" outlineLevel="2" x14ac:dyDescent="0.2">
      <c r="A160" s="198" t="str">
        <f>"      "&amp;Labels!B381</f>
        <v xml:space="preserve">      Practice 1</v>
      </c>
      <c r="B160" s="233"/>
      <c r="C160" s="233" t="str">
        <f>IF(Practices!B146=0," ",Practices!C146/Practices!B146-1)</f>
        <v xml:space="preserve"> </v>
      </c>
      <c r="D160" s="233" t="str">
        <f>IF(Practices!C146=0," ",Practices!D146/Practices!C146-1)</f>
        <v xml:space="preserve"> </v>
      </c>
      <c r="E160" s="234" t="str">
        <f>IF(0=0," ",SUM(Practices!B146:D146)/0-1)</f>
        <v xml:space="preserve"> </v>
      </c>
      <c r="F160" s="233">
        <f>IF(Practices!D146=0," ",Practices!F146/Practices!D146-1)</f>
        <v>0</v>
      </c>
      <c r="G160" s="233">
        <f>IF(Practices!F146=0," ",Practices!G146/Practices!F146-1)</f>
        <v>-1</v>
      </c>
      <c r="H160" s="233" t="str">
        <f>IF(Practices!G146=0," ",Practices!H146/Practices!G146-1)</f>
        <v xml:space="preserve"> </v>
      </c>
      <c r="I160" s="234">
        <f>IF(SUM(Practices!B146:D146)=0," ",SUM(Practices!F146:H146)/SUM(Practices!B146:D146)-1)</f>
        <v>0.72727272727272729</v>
      </c>
      <c r="J160" s="233">
        <f>IF(Practices!H146=0," ",Practices!J146/Practices!H146-1)</f>
        <v>0</v>
      </c>
      <c r="K160" s="233">
        <f>IF(Practices!J146=0," ",Practices!K146/Practices!J146-1)</f>
        <v>0</v>
      </c>
      <c r="L160" s="233">
        <f>IF(Practices!K146=0," ",Practices!L146/Practices!K146-1)</f>
        <v>-1</v>
      </c>
      <c r="M160" s="234">
        <f>IF(SUM(Practices!F146:H146)=0," ",SUM(Practices!J146:L146)/SUM(Practices!F146:H146)-1)</f>
        <v>-0.15789473684210531</v>
      </c>
      <c r="N160" s="233" t="str">
        <f>IF(Practices!L146=0," ",Practices!N146/Practices!L146-1)</f>
        <v xml:space="preserve"> </v>
      </c>
      <c r="O160" s="233" t="str">
        <f>IF(Practices!N146=0," ",Practices!O146/Practices!N146-1)</f>
        <v xml:space="preserve"> </v>
      </c>
      <c r="P160" s="233" t="str">
        <f>IF(Practices!O146=0," ",Practices!P146/Practices!O146-1)</f>
        <v xml:space="preserve"> </v>
      </c>
      <c r="Q160" s="234">
        <f>IF(SUM(Practices!J146:L146)=0," ",SUM(Practices!N146:P146)/SUM(Practices!J146:L146)-1)</f>
        <v>-1</v>
      </c>
      <c r="R160" s="233" t="str">
        <f>IF(Practices!P146=0," ",Practices!R146/Practices!P146-1)</f>
        <v xml:space="preserve"> </v>
      </c>
      <c r="S160" s="233" t="str">
        <f>IF(Practices!R146=0," ",Practices!S146/Practices!R146-1)</f>
        <v xml:space="preserve"> </v>
      </c>
      <c r="T160" s="233" t="str">
        <f>IF(Practices!S146=0," ",Practices!T146/Practices!S146-1)</f>
        <v xml:space="preserve"> </v>
      </c>
      <c r="U160" s="234" t="str">
        <f>IF(SUM(Practices!N146:P146)=0," ",SUM(Practices!R146:T146)/SUM(Practices!N146:P146)-1)</f>
        <v xml:space="preserve"> </v>
      </c>
      <c r="V160" s="233" t="str">
        <f>IF(Practices!T146=0," ",Practices!V146/Practices!T146-1)</f>
        <v xml:space="preserve"> </v>
      </c>
      <c r="W160" s="233" t="str">
        <f>IF(Practices!V146=0," ",Practices!W146/Practices!V146-1)</f>
        <v xml:space="preserve"> </v>
      </c>
      <c r="X160" s="233" t="str">
        <f>IF(Practices!W146=0," ",Practices!X146/Practices!W146-1)</f>
        <v xml:space="preserve"> </v>
      </c>
      <c r="Y160" s="234" t="str">
        <f>IF(SUM(Practices!R146:T146)=0," ",SUM(Practices!V146:X146)/SUM(Practices!R146:T146)-1)</f>
        <v xml:space="preserve"> </v>
      </c>
    </row>
    <row r="161" spans="1:25" ht="12.75" hidden="1" customHeight="1" outlineLevel="2" x14ac:dyDescent="0.2">
      <c r="A161" s="198" t="str">
        <f>"      "&amp;Labels!B382</f>
        <v xml:space="preserve">      Practice 2</v>
      </c>
      <c r="B161" s="233"/>
      <c r="C161" s="233" t="str">
        <f>IF(Practices!B150=0," ",Practices!C150/Practices!B150-1)</f>
        <v xml:space="preserve"> </v>
      </c>
      <c r="D161" s="233" t="str">
        <f>IF(Practices!C150=0," ",Practices!D150/Practices!C150-1)</f>
        <v xml:space="preserve"> </v>
      </c>
      <c r="E161" s="234" t="str">
        <f>IF(0=0," ",SUM(Practices!B150:D150)/0-1)</f>
        <v xml:space="preserve"> </v>
      </c>
      <c r="F161" s="233" t="str">
        <f>IF(Practices!D150=0," ",Practices!F150/Practices!D150-1)</f>
        <v xml:space="preserve"> </v>
      </c>
      <c r="G161" s="233" t="str">
        <f>IF(Practices!F150=0," ",Practices!G150/Practices!F150-1)</f>
        <v xml:space="preserve"> </v>
      </c>
      <c r="H161" s="233" t="str">
        <f>IF(Practices!G150=0," ",Practices!H150/Practices!G150-1)</f>
        <v xml:space="preserve"> </v>
      </c>
      <c r="I161" s="234" t="str">
        <f>IF(SUM(Practices!B150:D150)=0," ",SUM(Practices!F150:H150)/SUM(Practices!B150:D150)-1)</f>
        <v xml:space="preserve"> </v>
      </c>
      <c r="J161" s="233" t="str">
        <f>IF(Practices!H150=0," ",Practices!J150/Practices!H150-1)</f>
        <v xml:space="preserve"> </v>
      </c>
      <c r="K161" s="233" t="str">
        <f>IF(Practices!J150=0," ",Practices!K150/Practices!J150-1)</f>
        <v xml:space="preserve"> </v>
      </c>
      <c r="L161" s="233" t="str">
        <f>IF(Practices!K150=0," ",Practices!L150/Practices!K150-1)</f>
        <v xml:space="preserve"> </v>
      </c>
      <c r="M161" s="234" t="str">
        <f>IF(SUM(Practices!F150:H150)=0," ",SUM(Practices!J150:L150)/SUM(Practices!F150:H150)-1)</f>
        <v xml:space="preserve"> </v>
      </c>
      <c r="N161" s="233" t="str">
        <f>IF(Practices!L150=0," ",Practices!N150/Practices!L150-1)</f>
        <v xml:space="preserve"> </v>
      </c>
      <c r="O161" s="233" t="str">
        <f>IF(Practices!N150=0," ",Practices!O150/Practices!N150-1)</f>
        <v xml:space="preserve"> </v>
      </c>
      <c r="P161" s="233" t="str">
        <f>IF(Practices!O150=0," ",Practices!P150/Practices!O150-1)</f>
        <v xml:space="preserve"> </v>
      </c>
      <c r="Q161" s="234" t="str">
        <f>IF(SUM(Practices!J150:L150)=0," ",SUM(Practices!N150:P150)/SUM(Practices!J150:L150)-1)</f>
        <v xml:space="preserve"> </v>
      </c>
      <c r="R161" s="233" t="str">
        <f>IF(Practices!P150=0," ",Practices!R150/Practices!P150-1)</f>
        <v xml:space="preserve"> </v>
      </c>
      <c r="S161" s="233" t="str">
        <f>IF(Practices!R150=0," ",Practices!S150/Practices!R150-1)</f>
        <v xml:space="preserve"> </v>
      </c>
      <c r="T161" s="233" t="str">
        <f>IF(Practices!S150=0," ",Practices!T150/Practices!S150-1)</f>
        <v xml:space="preserve"> </v>
      </c>
      <c r="U161" s="234" t="str">
        <f>IF(SUM(Practices!N150:P150)=0," ",SUM(Practices!R150:T150)/SUM(Practices!N150:P150)-1)</f>
        <v xml:space="preserve"> </v>
      </c>
      <c r="V161" s="233" t="str">
        <f>IF(Practices!T150=0," ",Practices!V150/Practices!T150-1)</f>
        <v xml:space="preserve"> </v>
      </c>
      <c r="W161" s="233" t="str">
        <f>IF(Practices!V150=0," ",Practices!W150/Practices!V150-1)</f>
        <v xml:space="preserve"> </v>
      </c>
      <c r="X161" s="233" t="str">
        <f>IF(Practices!W150=0," ",Practices!X150/Practices!W150-1)</f>
        <v xml:space="preserve"> </v>
      </c>
      <c r="Y161" s="234" t="str">
        <f>IF(SUM(Practices!R150:T150)=0," ",SUM(Practices!V150:X150)/SUM(Practices!R150:T150)-1)</f>
        <v xml:space="preserve"> </v>
      </c>
    </row>
    <row r="162" spans="1:25" ht="12.75" hidden="1" customHeight="1" outlineLevel="2" x14ac:dyDescent="0.2">
      <c r="A162" s="188" t="str">
        <f>"      "&amp;Labels!C380</f>
        <v xml:space="preserve">      Total</v>
      </c>
      <c r="B162" s="218"/>
      <c r="C162" s="218" t="str">
        <f>IF(Practices!B154=0," ",Practices!C154/Practices!B154-1)</f>
        <v xml:space="preserve"> </v>
      </c>
      <c r="D162" s="218" t="str">
        <f>IF(Practices!C154=0," ",Practices!D154/Practices!C154-1)</f>
        <v xml:space="preserve"> </v>
      </c>
      <c r="E162" s="219" t="str">
        <f>IF(0=0," ",SUM(Practices!B154:D154)/0-1)</f>
        <v xml:space="preserve"> </v>
      </c>
      <c r="F162" s="218">
        <f>IF(Practices!D154=0," ",Practices!F154/Practices!D154-1)</f>
        <v>0</v>
      </c>
      <c r="G162" s="218">
        <f>IF(Practices!F154=0," ",Practices!G154/Practices!F154-1)</f>
        <v>-1</v>
      </c>
      <c r="H162" s="218" t="str">
        <f>IF(Practices!G154=0," ",Practices!H154/Practices!G154-1)</f>
        <v xml:space="preserve"> </v>
      </c>
      <c r="I162" s="219">
        <f>IF(SUM(Practices!B154:D154)=0," ",SUM(Practices!F154:H154)/SUM(Practices!B154:D154)-1)</f>
        <v>0.72727272727272729</v>
      </c>
      <c r="J162" s="218">
        <f>IF(Practices!H154=0," ",Practices!J154/Practices!H154-1)</f>
        <v>0</v>
      </c>
      <c r="K162" s="218">
        <f>IF(Practices!J154=0," ",Practices!K154/Practices!J154-1)</f>
        <v>0</v>
      </c>
      <c r="L162" s="218">
        <f>IF(Practices!K154=0," ",Practices!L154/Practices!K154-1)</f>
        <v>-1</v>
      </c>
      <c r="M162" s="219">
        <f>IF(SUM(Practices!F154:H154)=0," ",SUM(Practices!J154:L154)/SUM(Practices!F154:H154)-1)</f>
        <v>-0.15789473684210531</v>
      </c>
      <c r="N162" s="218" t="str">
        <f>IF(Practices!L154=0," ",Practices!N154/Practices!L154-1)</f>
        <v xml:space="preserve"> </v>
      </c>
      <c r="O162" s="218" t="str">
        <f>IF(Practices!N154=0," ",Practices!O154/Practices!N154-1)</f>
        <v xml:space="preserve"> </v>
      </c>
      <c r="P162" s="218" t="str">
        <f>IF(Practices!O154=0," ",Practices!P154/Practices!O154-1)</f>
        <v xml:space="preserve"> </v>
      </c>
      <c r="Q162" s="219">
        <f>IF(SUM(Practices!J154:L154)=0," ",SUM(Practices!N154:P154)/SUM(Practices!J154:L154)-1)</f>
        <v>-1</v>
      </c>
      <c r="R162" s="218" t="str">
        <f>IF(Practices!P154=0," ",Practices!R154/Practices!P154-1)</f>
        <v xml:space="preserve"> </v>
      </c>
      <c r="S162" s="218" t="str">
        <f>IF(Practices!R154=0," ",Practices!S154/Practices!R154-1)</f>
        <v xml:space="preserve"> </v>
      </c>
      <c r="T162" s="218" t="str">
        <f>IF(Practices!S154=0," ",Practices!T154/Practices!S154-1)</f>
        <v xml:space="preserve"> </v>
      </c>
      <c r="U162" s="219" t="str">
        <f>IF(SUM(Practices!N154:P154)=0," ",SUM(Practices!R154:T154)/SUM(Practices!N154:P154)-1)</f>
        <v xml:space="preserve"> </v>
      </c>
      <c r="V162" s="218" t="str">
        <f>IF(Practices!T154=0," ",Practices!V154/Practices!T154-1)</f>
        <v xml:space="preserve"> </v>
      </c>
      <c r="W162" s="218" t="str">
        <f>IF(Practices!V154=0," ",Practices!W154/Practices!V154-1)</f>
        <v xml:space="preserve"> </v>
      </c>
      <c r="X162" s="218" t="str">
        <f>IF(Practices!W154=0," ",Practices!X154/Practices!W154-1)</f>
        <v xml:space="preserve"> </v>
      </c>
      <c r="Y162" s="219" t="str">
        <f>IF(SUM(Practices!R154:T154)=0," ",SUM(Practices!V154:X154)/SUM(Practices!R154:T154)-1)</f>
        <v xml:space="preserve"> </v>
      </c>
    </row>
    <row r="163" spans="1:25" ht="12.75" hidden="1" customHeight="1" outlineLevel="2" x14ac:dyDescent="0.2">
      <c r="A163" s="188" t="str">
        <f>"   "&amp;Labels!B318</f>
        <v xml:space="preserve">   Channels 2</v>
      </c>
      <c r="B163" s="218"/>
      <c r="C163" s="218"/>
      <c r="D163" s="218"/>
      <c r="E163" s="219"/>
      <c r="F163" s="218"/>
      <c r="G163" s="218"/>
      <c r="H163" s="218"/>
      <c r="I163" s="219"/>
      <c r="J163" s="218"/>
      <c r="K163" s="218"/>
      <c r="L163" s="218"/>
      <c r="M163" s="219"/>
      <c r="N163" s="218"/>
      <c r="O163" s="218"/>
      <c r="P163" s="218"/>
      <c r="Q163" s="219"/>
      <c r="R163" s="218"/>
      <c r="S163" s="218"/>
      <c r="T163" s="218"/>
      <c r="U163" s="219"/>
      <c r="V163" s="218"/>
      <c r="W163" s="218"/>
      <c r="X163" s="218"/>
      <c r="Y163" s="219"/>
    </row>
    <row r="164" spans="1:25" ht="12.75" hidden="1" customHeight="1" outlineLevel="2" x14ac:dyDescent="0.2">
      <c r="A164" s="198" t="str">
        <f>"      "&amp;Labels!B381</f>
        <v xml:space="preserve">      Practice 1</v>
      </c>
      <c r="B164" s="233"/>
      <c r="C164" s="233" t="str">
        <f>IF(Practices!B147=0," ",Practices!C147/Practices!B147-1)</f>
        <v xml:space="preserve"> </v>
      </c>
      <c r="D164" s="233" t="str">
        <f>IF(Practices!C147=0," ",Practices!D147/Practices!C147-1)</f>
        <v xml:space="preserve"> </v>
      </c>
      <c r="E164" s="234" t="str">
        <f>IF(0=0," ",SUM(Practices!B147:D147)/0-1)</f>
        <v xml:space="preserve"> </v>
      </c>
      <c r="F164" s="233">
        <f>IF(Practices!D147=0," ",Practices!F147/Practices!D147-1)</f>
        <v>0</v>
      </c>
      <c r="G164" s="233">
        <f>IF(Practices!F147=0," ",Practices!G147/Practices!F147-1)</f>
        <v>-1</v>
      </c>
      <c r="H164" s="233" t="str">
        <f>IF(Practices!G147=0," ",Practices!H147/Practices!G147-1)</f>
        <v xml:space="preserve"> </v>
      </c>
      <c r="I164" s="234">
        <f>IF(SUM(Practices!B147:D147)=0," ",SUM(Practices!F147:H147)/SUM(Practices!B147:D147)-1)</f>
        <v>0.72727272727272729</v>
      </c>
      <c r="J164" s="233">
        <f>IF(Practices!H147=0," ",Practices!J147/Practices!H147-1)</f>
        <v>0</v>
      </c>
      <c r="K164" s="233">
        <f>IF(Practices!J147=0," ",Practices!K147/Practices!J147-1)</f>
        <v>0</v>
      </c>
      <c r="L164" s="233">
        <f>IF(Practices!K147=0," ",Practices!L147/Practices!K147-1)</f>
        <v>-1</v>
      </c>
      <c r="M164" s="234">
        <f>IF(SUM(Practices!F147:H147)=0," ",SUM(Practices!J147:L147)/SUM(Practices!F147:H147)-1)</f>
        <v>-0.15789473684210531</v>
      </c>
      <c r="N164" s="233" t="str">
        <f>IF(Practices!L147=0," ",Practices!N147/Practices!L147-1)</f>
        <v xml:space="preserve"> </v>
      </c>
      <c r="O164" s="233" t="str">
        <f>IF(Practices!N147=0," ",Practices!O147/Practices!N147-1)</f>
        <v xml:space="preserve"> </v>
      </c>
      <c r="P164" s="233" t="str">
        <f>IF(Practices!O147=0," ",Practices!P147/Practices!O147-1)</f>
        <v xml:space="preserve"> </v>
      </c>
      <c r="Q164" s="234">
        <f>IF(SUM(Practices!J147:L147)=0," ",SUM(Practices!N147:P147)/SUM(Practices!J147:L147)-1)</f>
        <v>-1</v>
      </c>
      <c r="R164" s="233" t="str">
        <f>IF(Practices!P147=0," ",Practices!R147/Practices!P147-1)</f>
        <v xml:space="preserve"> </v>
      </c>
      <c r="S164" s="233" t="str">
        <f>IF(Practices!R147=0," ",Practices!S147/Practices!R147-1)</f>
        <v xml:space="preserve"> </v>
      </c>
      <c r="T164" s="233" t="str">
        <f>IF(Practices!S147=0," ",Practices!T147/Practices!S147-1)</f>
        <v xml:space="preserve"> </v>
      </c>
      <c r="U164" s="234" t="str">
        <f>IF(SUM(Practices!N147:P147)=0," ",SUM(Practices!R147:T147)/SUM(Practices!N147:P147)-1)</f>
        <v xml:space="preserve"> </v>
      </c>
      <c r="V164" s="233" t="str">
        <f>IF(Practices!T147=0," ",Practices!V147/Practices!T147-1)</f>
        <v xml:space="preserve"> </v>
      </c>
      <c r="W164" s="233" t="str">
        <f>IF(Practices!V147=0," ",Practices!W147/Practices!V147-1)</f>
        <v xml:space="preserve"> </v>
      </c>
      <c r="X164" s="233" t="str">
        <f>IF(Practices!W147=0," ",Practices!X147/Practices!W147-1)</f>
        <v xml:space="preserve"> </v>
      </c>
      <c r="Y164" s="234" t="str">
        <f>IF(SUM(Practices!R147:T147)=0," ",SUM(Practices!V147:X147)/SUM(Practices!R147:T147)-1)</f>
        <v xml:space="preserve"> </v>
      </c>
    </row>
    <row r="165" spans="1:25" ht="12.75" hidden="1" customHeight="1" outlineLevel="2" x14ac:dyDescent="0.2">
      <c r="A165" s="198" t="str">
        <f>"      "&amp;Labels!B382</f>
        <v xml:space="preserve">      Practice 2</v>
      </c>
      <c r="B165" s="233"/>
      <c r="C165" s="233" t="str">
        <f>IF(Practices!B151=0," ",Practices!C151/Practices!B151-1)</f>
        <v xml:space="preserve"> </v>
      </c>
      <c r="D165" s="233" t="str">
        <f>IF(Practices!C151=0," ",Practices!D151/Practices!C151-1)</f>
        <v xml:space="preserve"> </v>
      </c>
      <c r="E165" s="234" t="str">
        <f>IF(0=0," ",SUM(Practices!B151:D151)/0-1)</f>
        <v xml:space="preserve"> </v>
      </c>
      <c r="F165" s="233" t="str">
        <f>IF(Practices!D151=0," ",Practices!F151/Practices!D151-1)</f>
        <v xml:space="preserve"> </v>
      </c>
      <c r="G165" s="233" t="str">
        <f>IF(Practices!F151=0," ",Practices!G151/Practices!F151-1)</f>
        <v xml:space="preserve"> </v>
      </c>
      <c r="H165" s="233" t="str">
        <f>IF(Practices!G151=0," ",Practices!H151/Practices!G151-1)</f>
        <v xml:space="preserve"> </v>
      </c>
      <c r="I165" s="234" t="str">
        <f>IF(SUM(Practices!B151:D151)=0," ",SUM(Practices!F151:H151)/SUM(Practices!B151:D151)-1)</f>
        <v xml:space="preserve"> </v>
      </c>
      <c r="J165" s="233" t="str">
        <f>IF(Practices!H151=0," ",Practices!J151/Practices!H151-1)</f>
        <v xml:space="preserve"> </v>
      </c>
      <c r="K165" s="233" t="str">
        <f>IF(Practices!J151=0," ",Practices!K151/Practices!J151-1)</f>
        <v xml:space="preserve"> </v>
      </c>
      <c r="L165" s="233" t="str">
        <f>IF(Practices!K151=0," ",Practices!L151/Practices!K151-1)</f>
        <v xml:space="preserve"> </v>
      </c>
      <c r="M165" s="234" t="str">
        <f>IF(SUM(Practices!F151:H151)=0," ",SUM(Practices!J151:L151)/SUM(Practices!F151:H151)-1)</f>
        <v xml:space="preserve"> </v>
      </c>
      <c r="N165" s="233" t="str">
        <f>IF(Practices!L151=0," ",Practices!N151/Practices!L151-1)</f>
        <v xml:space="preserve"> </v>
      </c>
      <c r="O165" s="233" t="str">
        <f>IF(Practices!N151=0," ",Practices!O151/Practices!N151-1)</f>
        <v xml:space="preserve"> </v>
      </c>
      <c r="P165" s="233" t="str">
        <f>IF(Practices!O151=0," ",Practices!P151/Practices!O151-1)</f>
        <v xml:space="preserve"> </v>
      </c>
      <c r="Q165" s="234" t="str">
        <f>IF(SUM(Practices!J151:L151)=0," ",SUM(Practices!N151:P151)/SUM(Practices!J151:L151)-1)</f>
        <v xml:space="preserve"> </v>
      </c>
      <c r="R165" s="233" t="str">
        <f>IF(Practices!P151=0," ",Practices!R151/Practices!P151-1)</f>
        <v xml:space="preserve"> </v>
      </c>
      <c r="S165" s="233" t="str">
        <f>IF(Practices!R151=0," ",Practices!S151/Practices!R151-1)</f>
        <v xml:space="preserve"> </v>
      </c>
      <c r="T165" s="233" t="str">
        <f>IF(Practices!S151=0," ",Practices!T151/Practices!S151-1)</f>
        <v xml:space="preserve"> </v>
      </c>
      <c r="U165" s="234" t="str">
        <f>IF(SUM(Practices!N151:P151)=0," ",SUM(Practices!R151:T151)/SUM(Practices!N151:P151)-1)</f>
        <v xml:space="preserve"> </v>
      </c>
      <c r="V165" s="233" t="str">
        <f>IF(Practices!T151=0," ",Practices!V151/Practices!T151-1)</f>
        <v xml:space="preserve"> </v>
      </c>
      <c r="W165" s="233" t="str">
        <f>IF(Practices!V151=0," ",Practices!W151/Practices!V151-1)</f>
        <v xml:space="preserve"> </v>
      </c>
      <c r="X165" s="233" t="str">
        <f>IF(Practices!W151=0," ",Practices!X151/Practices!W151-1)</f>
        <v xml:space="preserve"> </v>
      </c>
      <c r="Y165" s="234" t="str">
        <f>IF(SUM(Practices!R151:T151)=0," ",SUM(Practices!V151:X151)/SUM(Practices!R151:T151)-1)</f>
        <v xml:space="preserve"> </v>
      </c>
    </row>
    <row r="166" spans="1:25" ht="12.75" hidden="1" customHeight="1" outlineLevel="2" x14ac:dyDescent="0.2">
      <c r="A166" s="188" t="str">
        <f>"      "&amp;Labels!C380</f>
        <v xml:space="preserve">      Total</v>
      </c>
      <c r="B166" s="218"/>
      <c r="C166" s="218" t="str">
        <f>IF(Practices!B155=0," ",Practices!C155/Practices!B155-1)</f>
        <v xml:space="preserve"> </v>
      </c>
      <c r="D166" s="218" t="str">
        <f>IF(Practices!C155=0," ",Practices!D155/Practices!C155-1)</f>
        <v xml:space="preserve"> </v>
      </c>
      <c r="E166" s="219" t="str">
        <f>IF(0=0," ",SUM(Practices!B155:D155)/0-1)</f>
        <v xml:space="preserve"> </v>
      </c>
      <c r="F166" s="218">
        <f>IF(Practices!D155=0," ",Practices!F155/Practices!D155-1)</f>
        <v>0</v>
      </c>
      <c r="G166" s="218">
        <f>IF(Practices!F155=0," ",Practices!G155/Practices!F155-1)</f>
        <v>-1</v>
      </c>
      <c r="H166" s="218" t="str">
        <f>IF(Practices!G155=0," ",Practices!H155/Practices!G155-1)</f>
        <v xml:space="preserve"> </v>
      </c>
      <c r="I166" s="219">
        <f>IF(SUM(Practices!B155:D155)=0," ",SUM(Practices!F155:H155)/SUM(Practices!B155:D155)-1)</f>
        <v>0.72727272727272729</v>
      </c>
      <c r="J166" s="218">
        <f>IF(Practices!H155=0," ",Practices!J155/Practices!H155-1)</f>
        <v>0</v>
      </c>
      <c r="K166" s="218">
        <f>IF(Practices!J155=0," ",Practices!K155/Practices!J155-1)</f>
        <v>0</v>
      </c>
      <c r="L166" s="218">
        <f>IF(Practices!K155=0," ",Practices!L155/Practices!K155-1)</f>
        <v>-1</v>
      </c>
      <c r="M166" s="219">
        <f>IF(SUM(Practices!F155:H155)=0," ",SUM(Practices!J155:L155)/SUM(Practices!F155:H155)-1)</f>
        <v>-0.15789473684210531</v>
      </c>
      <c r="N166" s="218" t="str">
        <f>IF(Practices!L155=0," ",Practices!N155/Practices!L155-1)</f>
        <v xml:space="preserve"> </v>
      </c>
      <c r="O166" s="218" t="str">
        <f>IF(Practices!N155=0," ",Practices!O155/Practices!N155-1)</f>
        <v xml:space="preserve"> </v>
      </c>
      <c r="P166" s="218" t="str">
        <f>IF(Practices!O155=0," ",Practices!P155/Practices!O155-1)</f>
        <v xml:space="preserve"> </v>
      </c>
      <c r="Q166" s="219">
        <f>IF(SUM(Practices!J155:L155)=0," ",SUM(Practices!N155:P155)/SUM(Practices!J155:L155)-1)</f>
        <v>-1</v>
      </c>
      <c r="R166" s="218" t="str">
        <f>IF(Practices!P155=0," ",Practices!R155/Practices!P155-1)</f>
        <v xml:space="preserve"> </v>
      </c>
      <c r="S166" s="218" t="str">
        <f>IF(Practices!R155=0," ",Practices!S155/Practices!R155-1)</f>
        <v xml:space="preserve"> </v>
      </c>
      <c r="T166" s="218" t="str">
        <f>IF(Practices!S155=0," ",Practices!T155/Practices!S155-1)</f>
        <v xml:space="preserve"> </v>
      </c>
      <c r="U166" s="219" t="str">
        <f>IF(SUM(Practices!N155:P155)=0," ",SUM(Practices!R155:T155)/SUM(Practices!N155:P155)-1)</f>
        <v xml:space="preserve"> </v>
      </c>
      <c r="V166" s="218" t="str">
        <f>IF(Practices!T155=0," ",Practices!V155/Practices!T155-1)</f>
        <v xml:space="preserve"> </v>
      </c>
      <c r="W166" s="218" t="str">
        <f>IF(Practices!V155=0," ",Practices!W155/Practices!V155-1)</f>
        <v xml:space="preserve"> </v>
      </c>
      <c r="X166" s="218" t="str">
        <f>IF(Practices!W155=0," ",Practices!X155/Practices!W155-1)</f>
        <v xml:space="preserve"> </v>
      </c>
      <c r="Y166" s="219" t="str">
        <f>IF(SUM(Practices!R155:T155)=0," ",SUM(Practices!V155:X155)/SUM(Practices!R155:T155)-1)</f>
        <v xml:space="preserve"> </v>
      </c>
    </row>
    <row r="167" spans="1:25" ht="12.75" hidden="1" customHeight="1" outlineLevel="2" x14ac:dyDescent="0.2">
      <c r="A167" s="191" t="str">
        <f>"   "&amp;Labels!C316</f>
        <v xml:space="preserve">   Total</v>
      </c>
      <c r="B167" s="211"/>
      <c r="C167" s="211" t="str">
        <f>IF(Practices!B34=0," ",Practices!C34/Practices!B34-1)</f>
        <v xml:space="preserve"> </v>
      </c>
      <c r="D167" s="211" t="str">
        <f>IF(Practices!C34=0," ",Practices!D34/Practices!C34-1)</f>
        <v xml:space="preserve"> </v>
      </c>
      <c r="E167" s="210" t="str">
        <f>IF(0=0," ",SUM(Practices!B34:D34)/0-1)</f>
        <v xml:space="preserve"> </v>
      </c>
      <c r="F167" s="211">
        <f>IF(Practices!D34=0," ",Practices!F34/Practices!D34-1)</f>
        <v>0</v>
      </c>
      <c r="G167" s="211">
        <f>IF(Practices!F34=0," ",Practices!G34/Practices!F34-1)</f>
        <v>-1</v>
      </c>
      <c r="H167" s="211" t="str">
        <f>IF(Practices!G34=0," ",Practices!H34/Practices!G34-1)</f>
        <v xml:space="preserve"> </v>
      </c>
      <c r="I167" s="210">
        <f>IF(SUM(Practices!B34:D34)=0," ",SUM(Practices!F34:H34)/SUM(Practices!B34:D34)-1)</f>
        <v>0.72727272727272729</v>
      </c>
      <c r="J167" s="211">
        <f>IF(Practices!H34=0," ",Practices!J34/Practices!H34-1)</f>
        <v>0</v>
      </c>
      <c r="K167" s="211">
        <f>IF(Practices!J34=0," ",Practices!K34/Practices!J34-1)</f>
        <v>0</v>
      </c>
      <c r="L167" s="211">
        <f>IF(Practices!K34=0," ",Practices!L34/Practices!K34-1)</f>
        <v>-1</v>
      </c>
      <c r="M167" s="210">
        <f>IF(SUM(Practices!F34:H34)=0," ",SUM(Practices!J34:L34)/SUM(Practices!F34:H34)-1)</f>
        <v>-0.15789473684210531</v>
      </c>
      <c r="N167" s="211" t="str">
        <f>IF(Practices!L34=0," ",Practices!N34/Practices!L34-1)</f>
        <v xml:space="preserve"> </v>
      </c>
      <c r="O167" s="211" t="str">
        <f>IF(Practices!N34=0," ",Practices!O34/Practices!N34-1)</f>
        <v xml:space="preserve"> </v>
      </c>
      <c r="P167" s="211" t="str">
        <f>IF(Practices!O34=0," ",Practices!P34/Practices!O34-1)</f>
        <v xml:space="preserve"> </v>
      </c>
      <c r="Q167" s="210">
        <f>IF(SUM(Practices!J34:L34)=0," ",SUM(Practices!N34:P34)/SUM(Practices!J34:L34)-1)</f>
        <v>-1</v>
      </c>
      <c r="R167" s="211" t="str">
        <f>IF(Practices!P34=0," ",Practices!R34/Practices!P34-1)</f>
        <v xml:space="preserve"> </v>
      </c>
      <c r="S167" s="211" t="str">
        <f>IF(Practices!R34=0," ",Practices!S34/Practices!R34-1)</f>
        <v xml:space="preserve"> </v>
      </c>
      <c r="T167" s="211" t="str">
        <f>IF(Practices!S34=0," ",Practices!T34/Practices!S34-1)</f>
        <v xml:space="preserve"> </v>
      </c>
      <c r="U167" s="210" t="str">
        <f>IF(SUM(Practices!N34:P34)=0," ",SUM(Practices!R34:T34)/SUM(Practices!N34:P34)-1)</f>
        <v xml:space="preserve"> </v>
      </c>
      <c r="V167" s="211" t="str">
        <f>IF(Practices!T34=0," ",Practices!V34/Practices!T34-1)</f>
        <v xml:space="preserve"> </v>
      </c>
      <c r="W167" s="211" t="str">
        <f>IF(Practices!V34=0," ",Practices!W34/Practices!V34-1)</f>
        <v xml:space="preserve"> </v>
      </c>
      <c r="X167" s="211" t="str">
        <f>IF(Practices!W34=0," ",Practices!X34/Practices!W34-1)</f>
        <v xml:space="preserve"> </v>
      </c>
      <c r="Y167" s="210" t="str">
        <f>IF(SUM(Practices!R34:T34)=0," ",SUM(Practices!V34:X34)/SUM(Practices!R34:T34)-1)</f>
        <v xml:space="preserve"> </v>
      </c>
    </row>
    <row r="168" spans="1:25" ht="12.75" hidden="1" customHeight="1" outlineLevel="2" x14ac:dyDescent="0.2">
      <c r="A168" s="198" t="str">
        <f>"      "&amp;Labels!B381</f>
        <v xml:space="preserve">      Practice 1</v>
      </c>
      <c r="B168" s="233"/>
      <c r="C168" s="233" t="str">
        <f>IF(Practices!B32=0," ",Practices!C32/Practices!B32-1)</f>
        <v xml:space="preserve"> </v>
      </c>
      <c r="D168" s="233" t="str">
        <f>IF(Practices!C32=0," ",Practices!D32/Practices!C32-1)</f>
        <v xml:space="preserve"> </v>
      </c>
      <c r="E168" s="234" t="str">
        <f>IF(0=0," ",SUM(Practices!B32:D32)/0-1)</f>
        <v xml:space="preserve"> </v>
      </c>
      <c r="F168" s="233">
        <f>IF(Practices!D32=0," ",Practices!F32/Practices!D32-1)</f>
        <v>0</v>
      </c>
      <c r="G168" s="233">
        <f>IF(Practices!F32=0," ",Practices!G32/Practices!F32-1)</f>
        <v>-1</v>
      </c>
      <c r="H168" s="233" t="str">
        <f>IF(Practices!G32=0," ",Practices!H32/Practices!G32-1)</f>
        <v xml:space="preserve"> </v>
      </c>
      <c r="I168" s="234">
        <f>IF(SUM(Practices!B32:D32)=0," ",SUM(Practices!F32:H32)/SUM(Practices!B32:D32)-1)</f>
        <v>0.72727272727272729</v>
      </c>
      <c r="J168" s="233">
        <f>IF(Practices!H32=0," ",Practices!J32/Practices!H32-1)</f>
        <v>0</v>
      </c>
      <c r="K168" s="233">
        <f>IF(Practices!J32=0," ",Practices!K32/Practices!J32-1)</f>
        <v>0</v>
      </c>
      <c r="L168" s="233">
        <f>IF(Practices!K32=0," ",Practices!L32/Practices!K32-1)</f>
        <v>-1</v>
      </c>
      <c r="M168" s="234">
        <f>IF(SUM(Practices!F32:H32)=0," ",SUM(Practices!J32:L32)/SUM(Practices!F32:H32)-1)</f>
        <v>-0.15789473684210531</v>
      </c>
      <c r="N168" s="233" t="str">
        <f>IF(Practices!L32=0," ",Practices!N32/Practices!L32-1)</f>
        <v xml:space="preserve"> </v>
      </c>
      <c r="O168" s="233" t="str">
        <f>IF(Practices!N32=0," ",Practices!O32/Practices!N32-1)</f>
        <v xml:space="preserve"> </v>
      </c>
      <c r="P168" s="233" t="str">
        <f>IF(Practices!O32=0," ",Practices!P32/Practices!O32-1)</f>
        <v xml:space="preserve"> </v>
      </c>
      <c r="Q168" s="234">
        <f>IF(SUM(Practices!J32:L32)=0," ",SUM(Practices!N32:P32)/SUM(Practices!J32:L32)-1)</f>
        <v>-1</v>
      </c>
      <c r="R168" s="233" t="str">
        <f>IF(Practices!P32=0," ",Practices!R32/Practices!P32-1)</f>
        <v xml:space="preserve"> </v>
      </c>
      <c r="S168" s="233" t="str">
        <f>IF(Practices!R32=0," ",Practices!S32/Practices!R32-1)</f>
        <v xml:space="preserve"> </v>
      </c>
      <c r="T168" s="233" t="str">
        <f>IF(Practices!S32=0," ",Practices!T32/Practices!S32-1)</f>
        <v xml:space="preserve"> </v>
      </c>
      <c r="U168" s="234" t="str">
        <f>IF(SUM(Practices!N32:P32)=0," ",SUM(Practices!R32:T32)/SUM(Practices!N32:P32)-1)</f>
        <v xml:space="preserve"> </v>
      </c>
      <c r="V168" s="233" t="str">
        <f>IF(Practices!T32=0," ",Practices!V32/Practices!T32-1)</f>
        <v xml:space="preserve"> </v>
      </c>
      <c r="W168" s="233" t="str">
        <f>IF(Practices!V32=0," ",Practices!W32/Practices!V32-1)</f>
        <v xml:space="preserve"> </v>
      </c>
      <c r="X168" s="233" t="str">
        <f>IF(Practices!W32=0," ",Practices!X32/Practices!W32-1)</f>
        <v xml:space="preserve"> </v>
      </c>
      <c r="Y168" s="234" t="str">
        <f>IF(SUM(Practices!R32:T32)=0," ",SUM(Practices!V32:X32)/SUM(Practices!R32:T32)-1)</f>
        <v xml:space="preserve"> </v>
      </c>
    </row>
    <row r="169" spans="1:25" ht="12.75" hidden="1" customHeight="1" outlineLevel="2" x14ac:dyDescent="0.2">
      <c r="A169" s="198" t="str">
        <f>"      "&amp;Labels!B382</f>
        <v xml:space="preserve">      Practice 2</v>
      </c>
      <c r="B169" s="233"/>
      <c r="C169" s="233" t="str">
        <f>IF(Practices!B33=0," ",Practices!C33/Practices!B33-1)</f>
        <v xml:space="preserve"> </v>
      </c>
      <c r="D169" s="233" t="str">
        <f>IF(Practices!C33=0," ",Practices!D33/Practices!C33-1)</f>
        <v xml:space="preserve"> </v>
      </c>
      <c r="E169" s="234" t="str">
        <f>IF(0=0," ",SUM(Practices!B33:D33)/0-1)</f>
        <v xml:space="preserve"> </v>
      </c>
      <c r="F169" s="233" t="str">
        <f>IF(Practices!D33=0," ",Practices!F33/Practices!D33-1)</f>
        <v xml:space="preserve"> </v>
      </c>
      <c r="G169" s="233" t="str">
        <f>IF(Practices!F33=0," ",Practices!G33/Practices!F33-1)</f>
        <v xml:space="preserve"> </v>
      </c>
      <c r="H169" s="233" t="str">
        <f>IF(Practices!G33=0," ",Practices!H33/Practices!G33-1)</f>
        <v xml:space="preserve"> </v>
      </c>
      <c r="I169" s="234" t="str">
        <f>IF(SUM(Practices!B33:D33)=0," ",SUM(Practices!F33:H33)/SUM(Practices!B33:D33)-1)</f>
        <v xml:space="preserve"> </v>
      </c>
      <c r="J169" s="233" t="str">
        <f>IF(Practices!H33=0," ",Practices!J33/Practices!H33-1)</f>
        <v xml:space="preserve"> </v>
      </c>
      <c r="K169" s="233" t="str">
        <f>IF(Practices!J33=0," ",Practices!K33/Practices!J33-1)</f>
        <v xml:space="preserve"> </v>
      </c>
      <c r="L169" s="233" t="str">
        <f>IF(Practices!K33=0," ",Practices!L33/Practices!K33-1)</f>
        <v xml:space="preserve"> </v>
      </c>
      <c r="M169" s="234" t="str">
        <f>IF(SUM(Practices!F33:H33)=0," ",SUM(Practices!J33:L33)/SUM(Practices!F33:H33)-1)</f>
        <v xml:space="preserve"> </v>
      </c>
      <c r="N169" s="233" t="str">
        <f>IF(Practices!L33=0," ",Practices!N33/Practices!L33-1)</f>
        <v xml:space="preserve"> </v>
      </c>
      <c r="O169" s="233" t="str">
        <f>IF(Practices!N33=0," ",Practices!O33/Practices!N33-1)</f>
        <v xml:space="preserve"> </v>
      </c>
      <c r="P169" s="233" t="str">
        <f>IF(Practices!O33=0," ",Practices!P33/Practices!O33-1)</f>
        <v xml:space="preserve"> </v>
      </c>
      <c r="Q169" s="234" t="str">
        <f>IF(SUM(Practices!J33:L33)=0," ",SUM(Practices!N33:P33)/SUM(Practices!J33:L33)-1)</f>
        <v xml:space="preserve"> </v>
      </c>
      <c r="R169" s="233" t="str">
        <f>IF(Practices!P33=0," ",Practices!R33/Practices!P33-1)</f>
        <v xml:space="preserve"> </v>
      </c>
      <c r="S169" s="233" t="str">
        <f>IF(Practices!R33=0," ",Practices!S33/Practices!R33-1)</f>
        <v xml:space="preserve"> </v>
      </c>
      <c r="T169" s="233" t="str">
        <f>IF(Practices!S33=0," ",Practices!T33/Practices!S33-1)</f>
        <v xml:space="preserve"> </v>
      </c>
      <c r="U169" s="234" t="str">
        <f>IF(SUM(Practices!N33:P33)=0," ",SUM(Practices!R33:T33)/SUM(Practices!N33:P33)-1)</f>
        <v xml:space="preserve"> </v>
      </c>
      <c r="V169" s="233" t="str">
        <f>IF(Practices!T33=0," ",Practices!V33/Practices!T33-1)</f>
        <v xml:space="preserve"> </v>
      </c>
      <c r="W169" s="233" t="str">
        <f>IF(Practices!V33=0," ",Practices!W33/Practices!V33-1)</f>
        <v xml:space="preserve"> </v>
      </c>
      <c r="X169" s="233" t="str">
        <f>IF(Practices!W33=0," ",Practices!X33/Practices!W33-1)</f>
        <v xml:space="preserve"> </v>
      </c>
      <c r="Y169" s="234" t="str">
        <f>IF(SUM(Practices!R33:T33)=0," ",SUM(Practices!V33:X33)/SUM(Practices!R33:T33)-1)</f>
        <v xml:space="preserve"> </v>
      </c>
    </row>
    <row r="170" spans="1:25" ht="12.75" hidden="1" customHeight="1" outlineLevel="2" x14ac:dyDescent="0.2">
      <c r="A170" s="220" t="str">
        <f>"      "&amp;Labels!C380</f>
        <v xml:space="preserve">      Total</v>
      </c>
      <c r="B170" s="221"/>
      <c r="C170" s="221" t="str">
        <f>IF(Practices!B34=0," ",Practices!C34/Practices!B34-1)</f>
        <v xml:space="preserve"> </v>
      </c>
      <c r="D170" s="221" t="str">
        <f>IF(Practices!C34=0," ",Practices!D34/Practices!C34-1)</f>
        <v xml:space="preserve"> </v>
      </c>
      <c r="E170" s="222" t="str">
        <f>IF(0=0," ",SUM(Practices!B34:D34)/0-1)</f>
        <v xml:space="preserve"> </v>
      </c>
      <c r="F170" s="221">
        <f>IF(Practices!D34=0," ",Practices!F34/Practices!D34-1)</f>
        <v>0</v>
      </c>
      <c r="G170" s="221">
        <f>IF(Practices!F34=0," ",Practices!G34/Practices!F34-1)</f>
        <v>-1</v>
      </c>
      <c r="H170" s="221" t="str">
        <f>IF(Practices!G34=0," ",Practices!H34/Practices!G34-1)</f>
        <v xml:space="preserve"> </v>
      </c>
      <c r="I170" s="222">
        <f>IF(SUM(Practices!B34:D34)=0," ",SUM(Practices!F34:H34)/SUM(Practices!B34:D34)-1)</f>
        <v>0.72727272727272729</v>
      </c>
      <c r="J170" s="221">
        <f>IF(Practices!H34=0," ",Practices!J34/Practices!H34-1)</f>
        <v>0</v>
      </c>
      <c r="K170" s="221">
        <f>IF(Practices!J34=0," ",Practices!K34/Practices!J34-1)</f>
        <v>0</v>
      </c>
      <c r="L170" s="221">
        <f>IF(Practices!K34=0," ",Practices!L34/Practices!K34-1)</f>
        <v>-1</v>
      </c>
      <c r="M170" s="222">
        <f>IF(SUM(Practices!F34:H34)=0," ",SUM(Practices!J34:L34)/SUM(Practices!F34:H34)-1)</f>
        <v>-0.15789473684210531</v>
      </c>
      <c r="N170" s="221" t="str">
        <f>IF(Practices!L34=0," ",Practices!N34/Practices!L34-1)</f>
        <v xml:space="preserve"> </v>
      </c>
      <c r="O170" s="221" t="str">
        <f>IF(Practices!N34=0," ",Practices!O34/Practices!N34-1)</f>
        <v xml:space="preserve"> </v>
      </c>
      <c r="P170" s="221" t="str">
        <f>IF(Practices!O34=0," ",Practices!P34/Practices!O34-1)</f>
        <v xml:space="preserve"> </v>
      </c>
      <c r="Q170" s="222">
        <f>IF(SUM(Practices!J34:L34)=0," ",SUM(Practices!N34:P34)/SUM(Practices!J34:L34)-1)</f>
        <v>-1</v>
      </c>
      <c r="R170" s="221" t="str">
        <f>IF(Practices!P34=0," ",Practices!R34/Practices!P34-1)</f>
        <v xml:space="preserve"> </v>
      </c>
      <c r="S170" s="221" t="str">
        <f>IF(Practices!R34=0," ",Practices!S34/Practices!R34-1)</f>
        <v xml:space="preserve"> </v>
      </c>
      <c r="T170" s="221" t="str">
        <f>IF(Practices!S34=0," ",Practices!T34/Practices!S34-1)</f>
        <v xml:space="preserve"> </v>
      </c>
      <c r="U170" s="222" t="str">
        <f>IF(SUM(Practices!N34:P34)=0," ",SUM(Practices!R34:T34)/SUM(Practices!N34:P34)-1)</f>
        <v xml:space="preserve"> </v>
      </c>
      <c r="V170" s="221" t="str">
        <f>IF(Practices!T34=0," ",Practices!V34/Practices!T34-1)</f>
        <v xml:space="preserve"> </v>
      </c>
      <c r="W170" s="221" t="str">
        <f>IF(Practices!V34=0," ",Practices!W34/Practices!V34-1)</f>
        <v xml:space="preserve"> </v>
      </c>
      <c r="X170" s="221" t="str">
        <f>IF(Practices!W34=0," ",Practices!X34/Practices!W34-1)</f>
        <v xml:space="preserve"> </v>
      </c>
      <c r="Y170" s="222" t="str">
        <f>IF(SUM(Practices!R34:T34)=0," ",SUM(Practices!V34:X34)/SUM(Practices!R34:T34)-1)</f>
        <v xml:space="preserve"> </v>
      </c>
    </row>
    <row r="171" spans="1:25" ht="12.75" hidden="1" customHeight="1" outlineLevel="2" collapsed="1" x14ac:dyDescent="0.2"/>
    <row r="172" spans="1:25" ht="12.75" hidden="1" customHeight="1" outlineLevel="1" collapsed="1" x14ac:dyDescent="0.2"/>
    <row r="173" spans="1:25" ht="12.75" customHeight="1" collapsed="1" x14ac:dyDescent="0.2"/>
    <row r="174" spans="1:25" ht="12.75" customHeight="1" collapsed="1" x14ac:dyDescent="0.2">
      <c r="A174" s="464" t="str">
        <f>"Locations and Professional Staff"</f>
        <v>Locations and Professional Staff</v>
      </c>
      <c r="B174" s="464"/>
      <c r="C174" s="464"/>
    </row>
    <row r="175" spans="1:25" ht="12.75" hidden="1" customHeight="1" outlineLevel="1" x14ac:dyDescent="0.2">
      <c r="A175" s="1" t="str">
        <f>""</f>
        <v/>
      </c>
    </row>
    <row r="176" spans="1:25" ht="12.75" hidden="1" customHeight="1" outlineLevel="1" x14ac:dyDescent="0.2">
      <c r="B176" s="9" t="str">
        <f>'(FnCalls 1)'!F41</f>
        <v>MMM 2010</v>
      </c>
      <c r="C176" s="10" t="str">
        <f>'(FnCalls 1)'!F42</f>
        <v>MMM 2010</v>
      </c>
      <c r="D176" s="10" t="str">
        <f>'(FnCalls 1)'!F43</f>
        <v>MMM 2010</v>
      </c>
      <c r="E176" s="181" t="str">
        <f>'(FnCalls 1)'!G41</f>
        <v>Q1 2010</v>
      </c>
      <c r="F176" s="10" t="str">
        <f>'(FnCalls 1)'!F44</f>
        <v>MMM 2010</v>
      </c>
      <c r="G176" s="10" t="str">
        <f>'(FnCalls 1)'!F45</f>
        <v>MMM 2010</v>
      </c>
      <c r="H176" s="10" t="str">
        <f>'(FnCalls 1)'!F46</f>
        <v>MMM 2010</v>
      </c>
      <c r="I176" s="181" t="str">
        <f>'(FnCalls 1)'!G44</f>
        <v>Q2 2010</v>
      </c>
      <c r="J176" s="10" t="str">
        <f>'(FnCalls 1)'!F47</f>
        <v>MMM 2010</v>
      </c>
      <c r="K176" s="10" t="str">
        <f>'(FnCalls 1)'!F48</f>
        <v>MMM 2010</v>
      </c>
      <c r="L176" s="10" t="str">
        <f>'(FnCalls 1)'!F49</f>
        <v>MMM 2010</v>
      </c>
      <c r="M176" s="181" t="str">
        <f>'(FnCalls 1)'!G47</f>
        <v>Q3 2010</v>
      </c>
      <c r="N176" s="10" t="str">
        <f>'(FnCalls 1)'!F50</f>
        <v>MMM 2010</v>
      </c>
      <c r="O176" s="10" t="str">
        <f>'(FnCalls 1)'!F51</f>
        <v>MMM 2010</v>
      </c>
      <c r="P176" s="10" t="str">
        <f>'(FnCalls 1)'!F52</f>
        <v>MMM 2010</v>
      </c>
      <c r="Q176" s="181" t="str">
        <f>'(FnCalls 1)'!G50</f>
        <v>Q4 2010</v>
      </c>
      <c r="R176" s="10" t="str">
        <f>'(FnCalls 1)'!F53</f>
        <v>MMM 2011</v>
      </c>
      <c r="S176" s="10" t="str">
        <f>'(FnCalls 1)'!F54</f>
        <v>MMM 2011</v>
      </c>
      <c r="T176" s="10" t="str">
        <f>'(FnCalls 1)'!F55</f>
        <v>MMM 2011</v>
      </c>
      <c r="U176" s="181" t="str">
        <f>'(FnCalls 1)'!G53</f>
        <v>Q1 2011</v>
      </c>
      <c r="V176" s="10" t="str">
        <f>'(FnCalls 1)'!F56</f>
        <v>MMM 2011</v>
      </c>
      <c r="W176" s="10" t="str">
        <f>'(FnCalls 1)'!F57</f>
        <v>MMM 2011</v>
      </c>
      <c r="X176" s="10" t="str">
        <f>'(FnCalls 1)'!F58</f>
        <v>MMM 2011</v>
      </c>
      <c r="Y176" s="181" t="str">
        <f>'(FnCalls 1)'!G56</f>
        <v>Q2 2011</v>
      </c>
    </row>
    <row r="177" spans="1:25" ht="12.75" hidden="1" customHeight="1" outlineLevel="1" x14ac:dyDescent="0.2">
      <c r="A177" s="182" t="str">
        <f>Labels!B228</f>
        <v>Revenue</v>
      </c>
      <c r="B177" s="183"/>
      <c r="C177" s="183"/>
      <c r="D177" s="183"/>
      <c r="E177" s="184"/>
      <c r="F177" s="183"/>
      <c r="G177" s="183"/>
      <c r="H177" s="183"/>
      <c r="I177" s="184"/>
      <c r="J177" s="183"/>
      <c r="K177" s="183"/>
      <c r="L177" s="183"/>
      <c r="M177" s="184"/>
      <c r="N177" s="183"/>
      <c r="O177" s="183"/>
      <c r="P177" s="183"/>
      <c r="Q177" s="184"/>
      <c r="R177" s="183"/>
      <c r="S177" s="183"/>
      <c r="T177" s="183"/>
      <c r="U177" s="184"/>
      <c r="V177" s="183"/>
      <c r="W177" s="183"/>
      <c r="X177" s="183"/>
      <c r="Y177" s="184"/>
    </row>
    <row r="178" spans="1:25" ht="12.75" hidden="1" customHeight="1" outlineLevel="1" x14ac:dyDescent="0.2">
      <c r="A178" s="188" t="str">
        <f>"   "&amp;Labels!B317</f>
        <v xml:space="preserve">   Channels 1</v>
      </c>
      <c r="B178" s="196"/>
      <c r="C178" s="196"/>
      <c r="D178" s="196"/>
      <c r="E178" s="197"/>
      <c r="F178" s="196"/>
      <c r="G178" s="196"/>
      <c r="H178" s="196"/>
      <c r="I178" s="197"/>
      <c r="J178" s="196"/>
      <c r="K178" s="196"/>
      <c r="L178" s="196"/>
      <c r="M178" s="197"/>
      <c r="N178" s="196"/>
      <c r="O178" s="196"/>
      <c r="P178" s="196"/>
      <c r="Q178" s="197"/>
      <c r="R178" s="196"/>
      <c r="S178" s="196"/>
      <c r="T178" s="196"/>
      <c r="U178" s="197"/>
      <c r="V178" s="196"/>
      <c r="W178" s="196"/>
      <c r="X178" s="196"/>
      <c r="Y178" s="197"/>
    </row>
    <row r="179" spans="1:25" ht="12.75" hidden="1" customHeight="1" outlineLevel="1" x14ac:dyDescent="0.2">
      <c r="A179" s="198" t="str">
        <f>"      "&amp;Labels!B381</f>
        <v xml:space="preserve">      Practice 1</v>
      </c>
      <c r="B179" s="226"/>
      <c r="C179" s="226"/>
      <c r="D179" s="226"/>
      <c r="E179" s="227"/>
      <c r="F179" s="226"/>
      <c r="G179" s="226"/>
      <c r="H179" s="226"/>
      <c r="I179" s="227"/>
      <c r="J179" s="226"/>
      <c r="K179" s="226"/>
      <c r="L179" s="226"/>
      <c r="M179" s="227"/>
      <c r="N179" s="226"/>
      <c r="O179" s="226"/>
      <c r="P179" s="226"/>
      <c r="Q179" s="227"/>
      <c r="R179" s="226"/>
      <c r="S179" s="226"/>
      <c r="T179" s="226"/>
      <c r="U179" s="227"/>
      <c r="V179" s="226"/>
      <c r="W179" s="226"/>
      <c r="X179" s="226"/>
      <c r="Y179" s="227"/>
    </row>
    <row r="180" spans="1:25" ht="12.75" hidden="1" customHeight="1" outlineLevel="1" x14ac:dyDescent="0.2">
      <c r="A180" s="198" t="str">
        <f>"         "&amp;Labels!B385</f>
        <v xml:space="preserve">         Prof Level 1</v>
      </c>
      <c r="B180" s="226">
        <f>Sales!B109</f>
        <v>0</v>
      </c>
      <c r="C180" s="226">
        <f>Sales!C109</f>
        <v>0</v>
      </c>
      <c r="D180" s="226">
        <f>Sales!D109</f>
        <v>28875</v>
      </c>
      <c r="E180" s="227">
        <f>SUM(B180:D180)</f>
        <v>28875</v>
      </c>
      <c r="F180" s="226">
        <f>Sales!F109</f>
        <v>28875</v>
      </c>
      <c r="G180" s="226">
        <f>Sales!G109</f>
        <v>0</v>
      </c>
      <c r="H180" s="226">
        <f>Sales!H109</f>
        <v>21000</v>
      </c>
      <c r="I180" s="227">
        <f>SUM(F180:H180)</f>
        <v>49875</v>
      </c>
      <c r="J180" s="226">
        <f>Sales!J109</f>
        <v>21000</v>
      </c>
      <c r="K180" s="226">
        <f>Sales!K109</f>
        <v>21000</v>
      </c>
      <c r="L180" s="226">
        <f>Sales!L109</f>
        <v>0</v>
      </c>
      <c r="M180" s="227">
        <f>SUM(J180:L180)</f>
        <v>42000</v>
      </c>
      <c r="N180" s="226">
        <f>Sales!N109</f>
        <v>0</v>
      </c>
      <c r="O180" s="226">
        <f>Sales!O109</f>
        <v>0</v>
      </c>
      <c r="P180" s="226">
        <f>Sales!P109</f>
        <v>0</v>
      </c>
      <c r="Q180" s="227">
        <f>SUM(N180:P180)</f>
        <v>0</v>
      </c>
      <c r="R180" s="226">
        <f>Sales!R109</f>
        <v>0</v>
      </c>
      <c r="S180" s="226">
        <f>Sales!S109</f>
        <v>0</v>
      </c>
      <c r="T180" s="226">
        <f>Sales!T109</f>
        <v>0</v>
      </c>
      <c r="U180" s="227">
        <f>SUM(R180:T180)</f>
        <v>0</v>
      </c>
      <c r="V180" s="226">
        <f>Sales!V109</f>
        <v>0</v>
      </c>
      <c r="W180" s="226">
        <f>Sales!W109</f>
        <v>0</v>
      </c>
      <c r="X180" s="226">
        <f>Sales!X109</f>
        <v>0</v>
      </c>
      <c r="Y180" s="227">
        <f>SUM(V180:X180)</f>
        <v>0</v>
      </c>
    </row>
    <row r="181" spans="1:25" ht="12.75" hidden="1" customHeight="1" outlineLevel="1" x14ac:dyDescent="0.2">
      <c r="A181" s="198" t="str">
        <f>"         "&amp;Labels!B386</f>
        <v xml:space="preserve">         Prof Level 2</v>
      </c>
      <c r="B181" s="226">
        <f>Sales!B113</f>
        <v>0</v>
      </c>
      <c r="C181" s="226">
        <f>Sales!C113</f>
        <v>0</v>
      </c>
      <c r="D181" s="226">
        <f>Sales!D113</f>
        <v>28875</v>
      </c>
      <c r="E181" s="227">
        <f>SUM(B181:D181)</f>
        <v>28875</v>
      </c>
      <c r="F181" s="226">
        <f>Sales!F113</f>
        <v>28875</v>
      </c>
      <c r="G181" s="226">
        <f>Sales!G113</f>
        <v>0</v>
      </c>
      <c r="H181" s="226">
        <f>Sales!H113</f>
        <v>21000</v>
      </c>
      <c r="I181" s="227">
        <f>SUM(F181:H181)</f>
        <v>49875</v>
      </c>
      <c r="J181" s="226">
        <f>Sales!J113</f>
        <v>21000</v>
      </c>
      <c r="K181" s="226">
        <f>Sales!K113</f>
        <v>21000</v>
      </c>
      <c r="L181" s="226">
        <f>Sales!L113</f>
        <v>0</v>
      </c>
      <c r="M181" s="227">
        <f>SUM(J181:L181)</f>
        <v>42000</v>
      </c>
      <c r="N181" s="226">
        <f>Sales!N113</f>
        <v>0</v>
      </c>
      <c r="O181" s="226">
        <f>Sales!O113</f>
        <v>0</v>
      </c>
      <c r="P181" s="226">
        <f>Sales!P113</f>
        <v>0</v>
      </c>
      <c r="Q181" s="227">
        <f>SUM(N181:P181)</f>
        <v>0</v>
      </c>
      <c r="R181" s="226">
        <f>Sales!R113</f>
        <v>0</v>
      </c>
      <c r="S181" s="226">
        <f>Sales!S113</f>
        <v>0</v>
      </c>
      <c r="T181" s="226">
        <f>Sales!T113</f>
        <v>0</v>
      </c>
      <c r="U181" s="227">
        <f>SUM(R181:T181)</f>
        <v>0</v>
      </c>
      <c r="V181" s="226">
        <f>Sales!V113</f>
        <v>0</v>
      </c>
      <c r="W181" s="226">
        <f>Sales!W113</f>
        <v>0</v>
      </c>
      <c r="X181" s="226">
        <f>Sales!X113</f>
        <v>0</v>
      </c>
      <c r="Y181" s="227">
        <f>SUM(V181:X181)</f>
        <v>0</v>
      </c>
    </row>
    <row r="182" spans="1:25" ht="12.75" hidden="1" customHeight="1" outlineLevel="1" x14ac:dyDescent="0.2">
      <c r="A182" s="198" t="str">
        <f>"         "&amp;Labels!C384</f>
        <v xml:space="preserve">         Total</v>
      </c>
      <c r="B182" s="226">
        <f>SUM(B180:B181)</f>
        <v>0</v>
      </c>
      <c r="C182" s="226">
        <f>SUM(C180:C181)</f>
        <v>0</v>
      </c>
      <c r="D182" s="226">
        <f>SUM(D180:D181)</f>
        <v>57750</v>
      </c>
      <c r="E182" s="227">
        <f>SUM(B182:D182)</f>
        <v>57750</v>
      </c>
      <c r="F182" s="226">
        <f>SUM(F180:F181)</f>
        <v>57750</v>
      </c>
      <c r="G182" s="226">
        <f>SUM(G180:G181)</f>
        <v>0</v>
      </c>
      <c r="H182" s="226">
        <f>SUM(H180:H181)</f>
        <v>42000</v>
      </c>
      <c r="I182" s="227">
        <f>SUM(F182:H182)</f>
        <v>99750</v>
      </c>
      <c r="J182" s="226">
        <f>SUM(J180:J181)</f>
        <v>42000</v>
      </c>
      <c r="K182" s="226">
        <f>SUM(K180:K181)</f>
        <v>42000</v>
      </c>
      <c r="L182" s="226">
        <f>SUM(L180:L181)</f>
        <v>0</v>
      </c>
      <c r="M182" s="227">
        <f>SUM(J182:L182)</f>
        <v>84000</v>
      </c>
      <c r="N182" s="226">
        <f>SUM(N180:N181)</f>
        <v>0</v>
      </c>
      <c r="O182" s="226">
        <f>SUM(O180:O181)</f>
        <v>0</v>
      </c>
      <c r="P182" s="226">
        <f>SUM(P180:P181)</f>
        <v>0</v>
      </c>
      <c r="Q182" s="227">
        <f>SUM(N182:P182)</f>
        <v>0</v>
      </c>
      <c r="R182" s="226">
        <f>SUM(R180:R181)</f>
        <v>0</v>
      </c>
      <c r="S182" s="226">
        <f>SUM(S180:S181)</f>
        <v>0</v>
      </c>
      <c r="T182" s="226">
        <f>SUM(T180:T181)</f>
        <v>0</v>
      </c>
      <c r="U182" s="227">
        <f>SUM(R182:T182)</f>
        <v>0</v>
      </c>
      <c r="V182" s="226">
        <f>SUM(V180:V181)</f>
        <v>0</v>
      </c>
      <c r="W182" s="226">
        <f>SUM(W180:W181)</f>
        <v>0</v>
      </c>
      <c r="X182" s="226">
        <f>SUM(X180:X181)</f>
        <v>0</v>
      </c>
      <c r="Y182" s="227">
        <f>SUM(V182:X182)</f>
        <v>0</v>
      </c>
    </row>
    <row r="183" spans="1:25" ht="12.75" hidden="1" customHeight="1" outlineLevel="1" x14ac:dyDescent="0.2">
      <c r="A183" s="198" t="str">
        <f>"      "&amp;Labels!B382</f>
        <v xml:space="preserve">      Practice 2</v>
      </c>
      <c r="B183" s="226"/>
      <c r="C183" s="226"/>
      <c r="D183" s="226"/>
      <c r="E183" s="227"/>
      <c r="F183" s="226"/>
      <c r="G183" s="226"/>
      <c r="H183" s="226"/>
      <c r="I183" s="227"/>
      <c r="J183" s="226"/>
      <c r="K183" s="226"/>
      <c r="L183" s="226"/>
      <c r="M183" s="227"/>
      <c r="N183" s="226"/>
      <c r="O183" s="226"/>
      <c r="P183" s="226"/>
      <c r="Q183" s="227"/>
      <c r="R183" s="226"/>
      <c r="S183" s="226"/>
      <c r="T183" s="226"/>
      <c r="U183" s="227"/>
      <c r="V183" s="226"/>
      <c r="W183" s="226"/>
      <c r="X183" s="226"/>
      <c r="Y183" s="227"/>
    </row>
    <row r="184" spans="1:25" ht="12.75" hidden="1" customHeight="1" outlineLevel="1" x14ac:dyDescent="0.2">
      <c r="A184" s="198" t="str">
        <f>"         "&amp;Labels!B385</f>
        <v xml:space="preserve">         Prof Level 1</v>
      </c>
      <c r="B184" s="226">
        <f>Sales!B122</f>
        <v>0</v>
      </c>
      <c r="C184" s="226">
        <f>Sales!C122</f>
        <v>0</v>
      </c>
      <c r="D184" s="226">
        <f>Sales!D122</f>
        <v>0</v>
      </c>
      <c r="E184" s="227">
        <f t="shared" ref="E184:E189" si="78">SUM(B184:D184)</f>
        <v>0</v>
      </c>
      <c r="F184" s="226">
        <f>Sales!F122</f>
        <v>0</v>
      </c>
      <c r="G184" s="226">
        <f>Sales!G122</f>
        <v>0</v>
      </c>
      <c r="H184" s="226">
        <f>Sales!H122</f>
        <v>0</v>
      </c>
      <c r="I184" s="227">
        <f t="shared" ref="I184:I189" si="79">SUM(F184:H184)</f>
        <v>0</v>
      </c>
      <c r="J184" s="226">
        <f>Sales!J122</f>
        <v>0</v>
      </c>
      <c r="K184" s="226">
        <f>Sales!K122</f>
        <v>0</v>
      </c>
      <c r="L184" s="226">
        <f>Sales!L122</f>
        <v>0</v>
      </c>
      <c r="M184" s="227">
        <f t="shared" ref="M184:M189" si="80">SUM(J184:L184)</f>
        <v>0</v>
      </c>
      <c r="N184" s="226">
        <f>Sales!N122</f>
        <v>0</v>
      </c>
      <c r="O184" s="226">
        <f>Sales!O122</f>
        <v>0</v>
      </c>
      <c r="P184" s="226">
        <f>Sales!P122</f>
        <v>0</v>
      </c>
      <c r="Q184" s="227">
        <f t="shared" ref="Q184:Q189" si="81">SUM(N184:P184)</f>
        <v>0</v>
      </c>
      <c r="R184" s="226">
        <f>Sales!R122</f>
        <v>0</v>
      </c>
      <c r="S184" s="226">
        <f>Sales!S122</f>
        <v>0</v>
      </c>
      <c r="T184" s="226">
        <f>Sales!T122</f>
        <v>0</v>
      </c>
      <c r="U184" s="227">
        <f t="shared" ref="U184:U189" si="82">SUM(R184:T184)</f>
        <v>0</v>
      </c>
      <c r="V184" s="226">
        <f>Sales!V122</f>
        <v>0</v>
      </c>
      <c r="W184" s="226">
        <f>Sales!W122</f>
        <v>0</v>
      </c>
      <c r="X184" s="226">
        <f>Sales!X122</f>
        <v>0</v>
      </c>
      <c r="Y184" s="227">
        <f t="shared" ref="Y184:Y189" si="83">SUM(V184:X184)</f>
        <v>0</v>
      </c>
    </row>
    <row r="185" spans="1:25" ht="12.75" hidden="1" customHeight="1" outlineLevel="1" x14ac:dyDescent="0.2">
      <c r="A185" s="198" t="str">
        <f>"         "&amp;Labels!B386</f>
        <v xml:space="preserve">         Prof Level 2</v>
      </c>
      <c r="B185" s="226">
        <f>Sales!B126</f>
        <v>0</v>
      </c>
      <c r="C185" s="226">
        <f>Sales!C126</f>
        <v>0</v>
      </c>
      <c r="D185" s="226">
        <f>Sales!D126</f>
        <v>0</v>
      </c>
      <c r="E185" s="227">
        <f t="shared" si="78"/>
        <v>0</v>
      </c>
      <c r="F185" s="226">
        <f>Sales!F126</f>
        <v>0</v>
      </c>
      <c r="G185" s="226">
        <f>Sales!G126</f>
        <v>0</v>
      </c>
      <c r="H185" s="226">
        <f>Sales!H126</f>
        <v>0</v>
      </c>
      <c r="I185" s="227">
        <f t="shared" si="79"/>
        <v>0</v>
      </c>
      <c r="J185" s="226">
        <f>Sales!J126</f>
        <v>0</v>
      </c>
      <c r="K185" s="226">
        <f>Sales!K126</f>
        <v>0</v>
      </c>
      <c r="L185" s="226">
        <f>Sales!L126</f>
        <v>0</v>
      </c>
      <c r="M185" s="227">
        <f t="shared" si="80"/>
        <v>0</v>
      </c>
      <c r="N185" s="226">
        <f>Sales!N126</f>
        <v>0</v>
      </c>
      <c r="O185" s="226">
        <f>Sales!O126</f>
        <v>0</v>
      </c>
      <c r="P185" s="226">
        <f>Sales!P126</f>
        <v>0</v>
      </c>
      <c r="Q185" s="227">
        <f t="shared" si="81"/>
        <v>0</v>
      </c>
      <c r="R185" s="226">
        <f>Sales!R126</f>
        <v>0</v>
      </c>
      <c r="S185" s="226">
        <f>Sales!S126</f>
        <v>0</v>
      </c>
      <c r="T185" s="226">
        <f>Sales!T126</f>
        <v>0</v>
      </c>
      <c r="U185" s="227">
        <f t="shared" si="82"/>
        <v>0</v>
      </c>
      <c r="V185" s="226">
        <f>Sales!V126</f>
        <v>0</v>
      </c>
      <c r="W185" s="226">
        <f>Sales!W126</f>
        <v>0</v>
      </c>
      <c r="X185" s="226">
        <f>Sales!X126</f>
        <v>0</v>
      </c>
      <c r="Y185" s="227">
        <f t="shared" si="83"/>
        <v>0</v>
      </c>
    </row>
    <row r="186" spans="1:25" ht="12.75" hidden="1" customHeight="1" outlineLevel="1" x14ac:dyDescent="0.2">
      <c r="A186" s="198" t="str">
        <f>"         "&amp;Labels!C384</f>
        <v xml:space="preserve">         Total</v>
      </c>
      <c r="B186" s="226">
        <f>SUM(B184:B185)</f>
        <v>0</v>
      </c>
      <c r="C186" s="226">
        <f>SUM(C184:C185)</f>
        <v>0</v>
      </c>
      <c r="D186" s="226">
        <f>SUM(D184:D185)</f>
        <v>0</v>
      </c>
      <c r="E186" s="227">
        <f t="shared" si="78"/>
        <v>0</v>
      </c>
      <c r="F186" s="226">
        <f>SUM(F184:F185)</f>
        <v>0</v>
      </c>
      <c r="G186" s="226">
        <f>SUM(G184:G185)</f>
        <v>0</v>
      </c>
      <c r="H186" s="226">
        <f>SUM(H184:H185)</f>
        <v>0</v>
      </c>
      <c r="I186" s="227">
        <f t="shared" si="79"/>
        <v>0</v>
      </c>
      <c r="J186" s="226">
        <f>SUM(J184:J185)</f>
        <v>0</v>
      </c>
      <c r="K186" s="226">
        <f>SUM(K184:K185)</f>
        <v>0</v>
      </c>
      <c r="L186" s="226">
        <f>SUM(L184:L185)</f>
        <v>0</v>
      </c>
      <c r="M186" s="227">
        <f t="shared" si="80"/>
        <v>0</v>
      </c>
      <c r="N186" s="226">
        <f>SUM(N184:N185)</f>
        <v>0</v>
      </c>
      <c r="O186" s="226">
        <f>SUM(O184:O185)</f>
        <v>0</v>
      </c>
      <c r="P186" s="226">
        <f>SUM(P184:P185)</f>
        <v>0</v>
      </c>
      <c r="Q186" s="227">
        <f t="shared" si="81"/>
        <v>0</v>
      </c>
      <c r="R186" s="226">
        <f>SUM(R184:R185)</f>
        <v>0</v>
      </c>
      <c r="S186" s="226">
        <f>SUM(S184:S185)</f>
        <v>0</v>
      </c>
      <c r="T186" s="226">
        <f>SUM(T184:T185)</f>
        <v>0</v>
      </c>
      <c r="U186" s="227">
        <f t="shared" si="82"/>
        <v>0</v>
      </c>
      <c r="V186" s="226">
        <f>SUM(V184:V185)</f>
        <v>0</v>
      </c>
      <c r="W186" s="226">
        <f>SUM(W184:W185)</f>
        <v>0</v>
      </c>
      <c r="X186" s="226">
        <f>SUM(X184:X185)</f>
        <v>0</v>
      </c>
      <c r="Y186" s="227">
        <f t="shared" si="83"/>
        <v>0</v>
      </c>
    </row>
    <row r="187" spans="1:25" ht="12.75" hidden="1" customHeight="1" outlineLevel="1" x14ac:dyDescent="0.2">
      <c r="A187" s="188" t="str">
        <f>"      "&amp;Labels!C380</f>
        <v xml:space="preserve">      Total</v>
      </c>
      <c r="B187" s="196">
        <f>SUM(B182,B186)</f>
        <v>0</v>
      </c>
      <c r="C187" s="196">
        <f>SUM(C182,C186)</f>
        <v>0</v>
      </c>
      <c r="D187" s="196">
        <f>SUM(D182,D186)</f>
        <v>57750</v>
      </c>
      <c r="E187" s="197">
        <f t="shared" si="78"/>
        <v>57750</v>
      </c>
      <c r="F187" s="196">
        <f>SUM(F182,F186)</f>
        <v>57750</v>
      </c>
      <c r="G187" s="196">
        <f>SUM(G182,G186)</f>
        <v>0</v>
      </c>
      <c r="H187" s="196">
        <f>SUM(H182,H186)</f>
        <v>42000</v>
      </c>
      <c r="I187" s="197">
        <f t="shared" si="79"/>
        <v>99750</v>
      </c>
      <c r="J187" s="196">
        <f>SUM(J182,J186)</f>
        <v>42000</v>
      </c>
      <c r="K187" s="196">
        <f>SUM(K182,K186)</f>
        <v>42000</v>
      </c>
      <c r="L187" s="196">
        <f>SUM(L182,L186)</f>
        <v>0</v>
      </c>
      <c r="M187" s="197">
        <f t="shared" si="80"/>
        <v>84000</v>
      </c>
      <c r="N187" s="196">
        <f>SUM(N182,N186)</f>
        <v>0</v>
      </c>
      <c r="O187" s="196">
        <f>SUM(O182,O186)</f>
        <v>0</v>
      </c>
      <c r="P187" s="196">
        <f>SUM(P182,P186)</f>
        <v>0</v>
      </c>
      <c r="Q187" s="197">
        <f t="shared" si="81"/>
        <v>0</v>
      </c>
      <c r="R187" s="196">
        <f>SUM(R182,R186)</f>
        <v>0</v>
      </c>
      <c r="S187" s="196">
        <f>SUM(S182,S186)</f>
        <v>0</v>
      </c>
      <c r="T187" s="196">
        <f>SUM(T182,T186)</f>
        <v>0</v>
      </c>
      <c r="U187" s="197">
        <f t="shared" si="82"/>
        <v>0</v>
      </c>
      <c r="V187" s="196">
        <f>SUM(V182,V186)</f>
        <v>0</v>
      </c>
      <c r="W187" s="196">
        <f>SUM(W182,W186)</f>
        <v>0</v>
      </c>
      <c r="X187" s="196">
        <f>SUM(X182,X186)</f>
        <v>0</v>
      </c>
      <c r="Y187" s="197">
        <f t="shared" si="83"/>
        <v>0</v>
      </c>
    </row>
    <row r="188" spans="1:25" ht="12.75" hidden="1" customHeight="1" outlineLevel="1" x14ac:dyDescent="0.2">
      <c r="A188" s="198" t="str">
        <f>"         "&amp;Labels!B385</f>
        <v xml:space="preserve">         Prof Level 1</v>
      </c>
      <c r="B188" s="226">
        <f t="shared" ref="B188:D190" si="84">SUM(B180,B184)</f>
        <v>0</v>
      </c>
      <c r="C188" s="226">
        <f t="shared" si="84"/>
        <v>0</v>
      </c>
      <c r="D188" s="226">
        <f t="shared" si="84"/>
        <v>28875</v>
      </c>
      <c r="E188" s="227">
        <f t="shared" si="78"/>
        <v>28875</v>
      </c>
      <c r="F188" s="226">
        <f t="shared" ref="F188:H190" si="85">SUM(F180,F184)</f>
        <v>28875</v>
      </c>
      <c r="G188" s="226">
        <f t="shared" si="85"/>
        <v>0</v>
      </c>
      <c r="H188" s="226">
        <f t="shared" si="85"/>
        <v>21000</v>
      </c>
      <c r="I188" s="227">
        <f t="shared" si="79"/>
        <v>49875</v>
      </c>
      <c r="J188" s="226">
        <f t="shared" ref="J188:L190" si="86">SUM(J180,J184)</f>
        <v>21000</v>
      </c>
      <c r="K188" s="226">
        <f t="shared" si="86"/>
        <v>21000</v>
      </c>
      <c r="L188" s="226">
        <f t="shared" si="86"/>
        <v>0</v>
      </c>
      <c r="M188" s="227">
        <f t="shared" si="80"/>
        <v>42000</v>
      </c>
      <c r="N188" s="226">
        <f t="shared" ref="N188:P190" si="87">SUM(N180,N184)</f>
        <v>0</v>
      </c>
      <c r="O188" s="226">
        <f t="shared" si="87"/>
        <v>0</v>
      </c>
      <c r="P188" s="226">
        <f t="shared" si="87"/>
        <v>0</v>
      </c>
      <c r="Q188" s="227">
        <f t="shared" si="81"/>
        <v>0</v>
      </c>
      <c r="R188" s="226">
        <f t="shared" ref="R188:T190" si="88">SUM(R180,R184)</f>
        <v>0</v>
      </c>
      <c r="S188" s="226">
        <f t="shared" si="88"/>
        <v>0</v>
      </c>
      <c r="T188" s="226">
        <f t="shared" si="88"/>
        <v>0</v>
      </c>
      <c r="U188" s="227">
        <f t="shared" si="82"/>
        <v>0</v>
      </c>
      <c r="V188" s="226">
        <f t="shared" ref="V188:X190" si="89">SUM(V180,V184)</f>
        <v>0</v>
      </c>
      <c r="W188" s="226">
        <f t="shared" si="89"/>
        <v>0</v>
      </c>
      <c r="X188" s="226">
        <f t="shared" si="89"/>
        <v>0</v>
      </c>
      <c r="Y188" s="227">
        <f t="shared" si="83"/>
        <v>0</v>
      </c>
    </row>
    <row r="189" spans="1:25" ht="12.75" hidden="1" customHeight="1" outlineLevel="1" x14ac:dyDescent="0.2">
      <c r="A189" s="198" t="str">
        <f>"         "&amp;Labels!B386</f>
        <v xml:space="preserve">         Prof Level 2</v>
      </c>
      <c r="B189" s="226">
        <f t="shared" si="84"/>
        <v>0</v>
      </c>
      <c r="C189" s="226">
        <f t="shared" si="84"/>
        <v>0</v>
      </c>
      <c r="D189" s="226">
        <f t="shared" si="84"/>
        <v>28875</v>
      </c>
      <c r="E189" s="227">
        <f t="shared" si="78"/>
        <v>28875</v>
      </c>
      <c r="F189" s="226">
        <f t="shared" si="85"/>
        <v>28875</v>
      </c>
      <c r="G189" s="226">
        <f t="shared" si="85"/>
        <v>0</v>
      </c>
      <c r="H189" s="226">
        <f t="shared" si="85"/>
        <v>21000</v>
      </c>
      <c r="I189" s="227">
        <f t="shared" si="79"/>
        <v>49875</v>
      </c>
      <c r="J189" s="226">
        <f t="shared" si="86"/>
        <v>21000</v>
      </c>
      <c r="K189" s="226">
        <f t="shared" si="86"/>
        <v>21000</v>
      </c>
      <c r="L189" s="226">
        <f t="shared" si="86"/>
        <v>0</v>
      </c>
      <c r="M189" s="227">
        <f t="shared" si="80"/>
        <v>42000</v>
      </c>
      <c r="N189" s="226">
        <f t="shared" si="87"/>
        <v>0</v>
      </c>
      <c r="O189" s="226">
        <f t="shared" si="87"/>
        <v>0</v>
      </c>
      <c r="P189" s="226">
        <f t="shared" si="87"/>
        <v>0</v>
      </c>
      <c r="Q189" s="227">
        <f t="shared" si="81"/>
        <v>0</v>
      </c>
      <c r="R189" s="226">
        <f t="shared" si="88"/>
        <v>0</v>
      </c>
      <c r="S189" s="226">
        <f t="shared" si="88"/>
        <v>0</v>
      </c>
      <c r="T189" s="226">
        <f t="shared" si="88"/>
        <v>0</v>
      </c>
      <c r="U189" s="227">
        <f t="shared" si="82"/>
        <v>0</v>
      </c>
      <c r="V189" s="226">
        <f t="shared" si="89"/>
        <v>0</v>
      </c>
      <c r="W189" s="226">
        <f t="shared" si="89"/>
        <v>0</v>
      </c>
      <c r="X189" s="226">
        <f t="shared" si="89"/>
        <v>0</v>
      </c>
      <c r="Y189" s="227">
        <f t="shared" si="83"/>
        <v>0</v>
      </c>
    </row>
    <row r="190" spans="1:25" ht="12.75" hidden="1" customHeight="1" outlineLevel="1" x14ac:dyDescent="0.2">
      <c r="A190" s="198" t="str">
        <f>"         "&amp;Labels!C384</f>
        <v xml:space="preserve">         Total</v>
      </c>
      <c r="B190" s="226">
        <f t="shared" si="84"/>
        <v>0</v>
      </c>
      <c r="C190" s="226">
        <f t="shared" si="84"/>
        <v>0</v>
      </c>
      <c r="D190" s="226">
        <f t="shared" si="84"/>
        <v>57750</v>
      </c>
      <c r="E190" s="227">
        <f>SUM(B187:D187)</f>
        <v>57750</v>
      </c>
      <c r="F190" s="226">
        <f t="shared" si="85"/>
        <v>57750</v>
      </c>
      <c r="G190" s="226">
        <f t="shared" si="85"/>
        <v>0</v>
      </c>
      <c r="H190" s="226">
        <f t="shared" si="85"/>
        <v>42000</v>
      </c>
      <c r="I190" s="227">
        <f>SUM(F187:H187)</f>
        <v>99750</v>
      </c>
      <c r="J190" s="226">
        <f t="shared" si="86"/>
        <v>42000</v>
      </c>
      <c r="K190" s="226">
        <f t="shared" si="86"/>
        <v>42000</v>
      </c>
      <c r="L190" s="226">
        <f t="shared" si="86"/>
        <v>0</v>
      </c>
      <c r="M190" s="227">
        <f>SUM(J187:L187)</f>
        <v>84000</v>
      </c>
      <c r="N190" s="226">
        <f t="shared" si="87"/>
        <v>0</v>
      </c>
      <c r="O190" s="226">
        <f t="shared" si="87"/>
        <v>0</v>
      </c>
      <c r="P190" s="226">
        <f t="shared" si="87"/>
        <v>0</v>
      </c>
      <c r="Q190" s="227">
        <f>SUM(N187:P187)</f>
        <v>0</v>
      </c>
      <c r="R190" s="226">
        <f t="shared" si="88"/>
        <v>0</v>
      </c>
      <c r="S190" s="226">
        <f t="shared" si="88"/>
        <v>0</v>
      </c>
      <c r="T190" s="226">
        <f t="shared" si="88"/>
        <v>0</v>
      </c>
      <c r="U190" s="227">
        <f>SUM(R187:T187)</f>
        <v>0</v>
      </c>
      <c r="V190" s="226">
        <f t="shared" si="89"/>
        <v>0</v>
      </c>
      <c r="W190" s="226">
        <f t="shared" si="89"/>
        <v>0</v>
      </c>
      <c r="X190" s="226">
        <f t="shared" si="89"/>
        <v>0</v>
      </c>
      <c r="Y190" s="227">
        <f>SUM(V187:X187)</f>
        <v>0</v>
      </c>
    </row>
    <row r="191" spans="1:25" ht="12.75" hidden="1" customHeight="1" outlineLevel="1" x14ac:dyDescent="0.2">
      <c r="A191" s="188" t="str">
        <f>"   "&amp;Labels!B318</f>
        <v xml:space="preserve">   Channels 2</v>
      </c>
      <c r="B191" s="196"/>
      <c r="C191" s="196"/>
      <c r="D191" s="196"/>
      <c r="E191" s="197"/>
      <c r="F191" s="196"/>
      <c r="G191" s="196"/>
      <c r="H191" s="196"/>
      <c r="I191" s="197"/>
      <c r="J191" s="196"/>
      <c r="K191" s="196"/>
      <c r="L191" s="196"/>
      <c r="M191" s="197"/>
      <c r="N191" s="196"/>
      <c r="O191" s="196"/>
      <c r="P191" s="196"/>
      <c r="Q191" s="197"/>
      <c r="R191" s="196"/>
      <c r="S191" s="196"/>
      <c r="T191" s="196"/>
      <c r="U191" s="197"/>
      <c r="V191" s="196"/>
      <c r="W191" s="196"/>
      <c r="X191" s="196"/>
      <c r="Y191" s="197"/>
    </row>
    <row r="192" spans="1:25" ht="12.75" hidden="1" customHeight="1" outlineLevel="1" x14ac:dyDescent="0.2">
      <c r="A192" s="198" t="str">
        <f>"      "&amp;Labels!B381</f>
        <v xml:space="preserve">      Practice 1</v>
      </c>
      <c r="B192" s="226"/>
      <c r="C192" s="226"/>
      <c r="D192" s="226"/>
      <c r="E192" s="227"/>
      <c r="F192" s="226"/>
      <c r="G192" s="226"/>
      <c r="H192" s="226"/>
      <c r="I192" s="227"/>
      <c r="J192" s="226"/>
      <c r="K192" s="226"/>
      <c r="L192" s="226"/>
      <c r="M192" s="227"/>
      <c r="N192" s="226"/>
      <c r="O192" s="226"/>
      <c r="P192" s="226"/>
      <c r="Q192" s="227"/>
      <c r="R192" s="226"/>
      <c r="S192" s="226"/>
      <c r="T192" s="226"/>
      <c r="U192" s="227"/>
      <c r="V192" s="226"/>
      <c r="W192" s="226"/>
      <c r="X192" s="226"/>
      <c r="Y192" s="227"/>
    </row>
    <row r="193" spans="1:25" ht="12.75" hidden="1" customHeight="1" outlineLevel="1" x14ac:dyDescent="0.2">
      <c r="A193" s="198" t="str">
        <f>"         "&amp;Labels!B385</f>
        <v xml:space="preserve">         Prof Level 1</v>
      </c>
      <c r="B193" s="226">
        <f>Sales!B110</f>
        <v>0</v>
      </c>
      <c r="C193" s="226">
        <f>Sales!C110</f>
        <v>0</v>
      </c>
      <c r="D193" s="226">
        <f>Sales!D110</f>
        <v>27500</v>
      </c>
      <c r="E193" s="227">
        <f>SUM(B193:D193)</f>
        <v>27500</v>
      </c>
      <c r="F193" s="226">
        <f>Sales!F110</f>
        <v>27500</v>
      </c>
      <c r="G193" s="226">
        <f>Sales!G110</f>
        <v>0</v>
      </c>
      <c r="H193" s="226">
        <f>Sales!H110</f>
        <v>20000</v>
      </c>
      <c r="I193" s="227">
        <f>SUM(F193:H193)</f>
        <v>47500</v>
      </c>
      <c r="J193" s="226">
        <f>Sales!J110</f>
        <v>20000</v>
      </c>
      <c r="K193" s="226">
        <f>Sales!K110</f>
        <v>20000</v>
      </c>
      <c r="L193" s="226">
        <f>Sales!L110</f>
        <v>0</v>
      </c>
      <c r="M193" s="227">
        <f>SUM(J193:L193)</f>
        <v>40000</v>
      </c>
      <c r="N193" s="226">
        <f>Sales!N110</f>
        <v>0</v>
      </c>
      <c r="O193" s="226">
        <f>Sales!O110</f>
        <v>0</v>
      </c>
      <c r="P193" s="226">
        <f>Sales!P110</f>
        <v>0</v>
      </c>
      <c r="Q193" s="227">
        <f>SUM(N193:P193)</f>
        <v>0</v>
      </c>
      <c r="R193" s="226">
        <f>Sales!R110</f>
        <v>0</v>
      </c>
      <c r="S193" s="226">
        <f>Sales!S110</f>
        <v>0</v>
      </c>
      <c r="T193" s="226">
        <f>Sales!T110</f>
        <v>0</v>
      </c>
      <c r="U193" s="227">
        <f>SUM(R193:T193)</f>
        <v>0</v>
      </c>
      <c r="V193" s="226">
        <f>Sales!V110</f>
        <v>0</v>
      </c>
      <c r="W193" s="226">
        <f>Sales!W110</f>
        <v>0</v>
      </c>
      <c r="X193" s="226">
        <f>Sales!X110</f>
        <v>0</v>
      </c>
      <c r="Y193" s="227">
        <f>SUM(V193:X193)</f>
        <v>0</v>
      </c>
    </row>
    <row r="194" spans="1:25" ht="12.75" hidden="1" customHeight="1" outlineLevel="1" x14ac:dyDescent="0.2">
      <c r="A194" s="198" t="str">
        <f>"         "&amp;Labels!B386</f>
        <v xml:space="preserve">         Prof Level 2</v>
      </c>
      <c r="B194" s="226">
        <f>Sales!B114</f>
        <v>0</v>
      </c>
      <c r="C194" s="226">
        <f>Sales!C114</f>
        <v>0</v>
      </c>
      <c r="D194" s="226">
        <f>Sales!D114</f>
        <v>27500</v>
      </c>
      <c r="E194" s="227">
        <f>SUM(B194:D194)</f>
        <v>27500</v>
      </c>
      <c r="F194" s="226">
        <f>Sales!F114</f>
        <v>27500</v>
      </c>
      <c r="G194" s="226">
        <f>Sales!G114</f>
        <v>0</v>
      </c>
      <c r="H194" s="226">
        <f>Sales!H114</f>
        <v>20000</v>
      </c>
      <c r="I194" s="227">
        <f>SUM(F194:H194)</f>
        <v>47500</v>
      </c>
      <c r="J194" s="226">
        <f>Sales!J114</f>
        <v>20000</v>
      </c>
      <c r="K194" s="226">
        <f>Sales!K114</f>
        <v>20000</v>
      </c>
      <c r="L194" s="226">
        <f>Sales!L114</f>
        <v>0</v>
      </c>
      <c r="M194" s="227">
        <f>SUM(J194:L194)</f>
        <v>40000</v>
      </c>
      <c r="N194" s="226">
        <f>Sales!N114</f>
        <v>0</v>
      </c>
      <c r="O194" s="226">
        <f>Sales!O114</f>
        <v>0</v>
      </c>
      <c r="P194" s="226">
        <f>Sales!P114</f>
        <v>0</v>
      </c>
      <c r="Q194" s="227">
        <f>SUM(N194:P194)</f>
        <v>0</v>
      </c>
      <c r="R194" s="226">
        <f>Sales!R114</f>
        <v>0</v>
      </c>
      <c r="S194" s="226">
        <f>Sales!S114</f>
        <v>0</v>
      </c>
      <c r="T194" s="226">
        <f>Sales!T114</f>
        <v>0</v>
      </c>
      <c r="U194" s="227">
        <f>SUM(R194:T194)</f>
        <v>0</v>
      </c>
      <c r="V194" s="226">
        <f>Sales!V114</f>
        <v>0</v>
      </c>
      <c r="W194" s="226">
        <f>Sales!W114</f>
        <v>0</v>
      </c>
      <c r="X194" s="226">
        <f>Sales!X114</f>
        <v>0</v>
      </c>
      <c r="Y194" s="227">
        <f>SUM(V194:X194)</f>
        <v>0</v>
      </c>
    </row>
    <row r="195" spans="1:25" ht="12.75" hidden="1" customHeight="1" outlineLevel="1" x14ac:dyDescent="0.2">
      <c r="A195" s="198" t="str">
        <f>"         "&amp;Labels!C384</f>
        <v xml:space="preserve">         Total</v>
      </c>
      <c r="B195" s="226">
        <f>SUM(B193:B194)</f>
        <v>0</v>
      </c>
      <c r="C195" s="226">
        <f>SUM(C193:C194)</f>
        <v>0</v>
      </c>
      <c r="D195" s="226">
        <f>SUM(D193:D194)</f>
        <v>55000</v>
      </c>
      <c r="E195" s="227">
        <f>SUM(B195:D195)</f>
        <v>55000</v>
      </c>
      <c r="F195" s="226">
        <f>SUM(F193:F194)</f>
        <v>55000</v>
      </c>
      <c r="G195" s="226">
        <f>SUM(G193:G194)</f>
        <v>0</v>
      </c>
      <c r="H195" s="226">
        <f>SUM(H193:H194)</f>
        <v>40000</v>
      </c>
      <c r="I195" s="227">
        <f>SUM(F195:H195)</f>
        <v>95000</v>
      </c>
      <c r="J195" s="226">
        <f>SUM(J193:J194)</f>
        <v>40000</v>
      </c>
      <c r="K195" s="226">
        <f>SUM(K193:K194)</f>
        <v>40000</v>
      </c>
      <c r="L195" s="226">
        <f>SUM(L193:L194)</f>
        <v>0</v>
      </c>
      <c r="M195" s="227">
        <f>SUM(J195:L195)</f>
        <v>80000</v>
      </c>
      <c r="N195" s="226">
        <f>SUM(N193:N194)</f>
        <v>0</v>
      </c>
      <c r="O195" s="226">
        <f>SUM(O193:O194)</f>
        <v>0</v>
      </c>
      <c r="P195" s="226">
        <f>SUM(P193:P194)</f>
        <v>0</v>
      </c>
      <c r="Q195" s="227">
        <f>SUM(N195:P195)</f>
        <v>0</v>
      </c>
      <c r="R195" s="226">
        <f>SUM(R193:R194)</f>
        <v>0</v>
      </c>
      <c r="S195" s="226">
        <f>SUM(S193:S194)</f>
        <v>0</v>
      </c>
      <c r="T195" s="226">
        <f>SUM(T193:T194)</f>
        <v>0</v>
      </c>
      <c r="U195" s="227">
        <f>SUM(R195:T195)</f>
        <v>0</v>
      </c>
      <c r="V195" s="226">
        <f>SUM(V193:V194)</f>
        <v>0</v>
      </c>
      <c r="W195" s="226">
        <f>SUM(W193:W194)</f>
        <v>0</v>
      </c>
      <c r="X195" s="226">
        <f>SUM(X193:X194)</f>
        <v>0</v>
      </c>
      <c r="Y195" s="227">
        <f>SUM(V195:X195)</f>
        <v>0</v>
      </c>
    </row>
    <row r="196" spans="1:25" ht="12.75" hidden="1" customHeight="1" outlineLevel="1" x14ac:dyDescent="0.2">
      <c r="A196" s="198" t="str">
        <f>"      "&amp;Labels!B382</f>
        <v xml:space="preserve">      Practice 2</v>
      </c>
      <c r="B196" s="226"/>
      <c r="C196" s="226"/>
      <c r="D196" s="226"/>
      <c r="E196" s="227"/>
      <c r="F196" s="226"/>
      <c r="G196" s="226"/>
      <c r="H196" s="226"/>
      <c r="I196" s="227"/>
      <c r="J196" s="226"/>
      <c r="K196" s="226"/>
      <c r="L196" s="226"/>
      <c r="M196" s="227"/>
      <c r="N196" s="226"/>
      <c r="O196" s="226"/>
      <c r="P196" s="226"/>
      <c r="Q196" s="227"/>
      <c r="R196" s="226"/>
      <c r="S196" s="226"/>
      <c r="T196" s="226"/>
      <c r="U196" s="227"/>
      <c r="V196" s="226"/>
      <c r="W196" s="226"/>
      <c r="X196" s="226"/>
      <c r="Y196" s="227"/>
    </row>
    <row r="197" spans="1:25" ht="12.75" hidden="1" customHeight="1" outlineLevel="1" x14ac:dyDescent="0.2">
      <c r="A197" s="198" t="str">
        <f>"         "&amp;Labels!B385</f>
        <v xml:space="preserve">         Prof Level 1</v>
      </c>
      <c r="B197" s="226">
        <f>Sales!B123</f>
        <v>0</v>
      </c>
      <c r="C197" s="226">
        <f>Sales!C123</f>
        <v>0</v>
      </c>
      <c r="D197" s="226">
        <f>Sales!D123</f>
        <v>0</v>
      </c>
      <c r="E197" s="227">
        <f t="shared" ref="E197:E202" si="90">SUM(B197:D197)</f>
        <v>0</v>
      </c>
      <c r="F197" s="226">
        <f>Sales!F123</f>
        <v>0</v>
      </c>
      <c r="G197" s="226">
        <f>Sales!G123</f>
        <v>0</v>
      </c>
      <c r="H197" s="226">
        <f>Sales!H123</f>
        <v>0</v>
      </c>
      <c r="I197" s="227">
        <f t="shared" ref="I197:I202" si="91">SUM(F197:H197)</f>
        <v>0</v>
      </c>
      <c r="J197" s="226">
        <f>Sales!J123</f>
        <v>0</v>
      </c>
      <c r="K197" s="226">
        <f>Sales!K123</f>
        <v>0</v>
      </c>
      <c r="L197" s="226">
        <f>Sales!L123</f>
        <v>0</v>
      </c>
      <c r="M197" s="227">
        <f t="shared" ref="M197:M202" si="92">SUM(J197:L197)</f>
        <v>0</v>
      </c>
      <c r="N197" s="226">
        <f>Sales!N123</f>
        <v>0</v>
      </c>
      <c r="O197" s="226">
        <f>Sales!O123</f>
        <v>0</v>
      </c>
      <c r="P197" s="226">
        <f>Sales!P123</f>
        <v>0</v>
      </c>
      <c r="Q197" s="227">
        <f t="shared" ref="Q197:Q202" si="93">SUM(N197:P197)</f>
        <v>0</v>
      </c>
      <c r="R197" s="226">
        <f>Sales!R123</f>
        <v>0</v>
      </c>
      <c r="S197" s="226">
        <f>Sales!S123</f>
        <v>0</v>
      </c>
      <c r="T197" s="226">
        <f>Sales!T123</f>
        <v>0</v>
      </c>
      <c r="U197" s="227">
        <f t="shared" ref="U197:U202" si="94">SUM(R197:T197)</f>
        <v>0</v>
      </c>
      <c r="V197" s="226">
        <f>Sales!V123</f>
        <v>0</v>
      </c>
      <c r="W197" s="226">
        <f>Sales!W123</f>
        <v>0</v>
      </c>
      <c r="X197" s="226">
        <f>Sales!X123</f>
        <v>0</v>
      </c>
      <c r="Y197" s="227">
        <f t="shared" ref="Y197:Y202" si="95">SUM(V197:X197)</f>
        <v>0</v>
      </c>
    </row>
    <row r="198" spans="1:25" ht="12.75" hidden="1" customHeight="1" outlineLevel="1" x14ac:dyDescent="0.2">
      <c r="A198" s="198" t="str">
        <f>"         "&amp;Labels!B386</f>
        <v xml:space="preserve">         Prof Level 2</v>
      </c>
      <c r="B198" s="226">
        <f>Sales!B127</f>
        <v>0</v>
      </c>
      <c r="C198" s="226">
        <f>Sales!C127</f>
        <v>0</v>
      </c>
      <c r="D198" s="226">
        <f>Sales!D127</f>
        <v>0</v>
      </c>
      <c r="E198" s="227">
        <f t="shared" si="90"/>
        <v>0</v>
      </c>
      <c r="F198" s="226">
        <f>Sales!F127</f>
        <v>0</v>
      </c>
      <c r="G198" s="226">
        <f>Sales!G127</f>
        <v>0</v>
      </c>
      <c r="H198" s="226">
        <f>Sales!H127</f>
        <v>0</v>
      </c>
      <c r="I198" s="227">
        <f t="shared" si="91"/>
        <v>0</v>
      </c>
      <c r="J198" s="226">
        <f>Sales!J127</f>
        <v>0</v>
      </c>
      <c r="K198" s="226">
        <f>Sales!K127</f>
        <v>0</v>
      </c>
      <c r="L198" s="226">
        <f>Sales!L127</f>
        <v>0</v>
      </c>
      <c r="M198" s="227">
        <f t="shared" si="92"/>
        <v>0</v>
      </c>
      <c r="N198" s="226">
        <f>Sales!N127</f>
        <v>0</v>
      </c>
      <c r="O198" s="226">
        <f>Sales!O127</f>
        <v>0</v>
      </c>
      <c r="P198" s="226">
        <f>Sales!P127</f>
        <v>0</v>
      </c>
      <c r="Q198" s="227">
        <f t="shared" si="93"/>
        <v>0</v>
      </c>
      <c r="R198" s="226">
        <f>Sales!R127</f>
        <v>0</v>
      </c>
      <c r="S198" s="226">
        <f>Sales!S127</f>
        <v>0</v>
      </c>
      <c r="T198" s="226">
        <f>Sales!T127</f>
        <v>0</v>
      </c>
      <c r="U198" s="227">
        <f t="shared" si="94"/>
        <v>0</v>
      </c>
      <c r="V198" s="226">
        <f>Sales!V127</f>
        <v>0</v>
      </c>
      <c r="W198" s="226">
        <f>Sales!W127</f>
        <v>0</v>
      </c>
      <c r="X198" s="226">
        <f>Sales!X127</f>
        <v>0</v>
      </c>
      <c r="Y198" s="227">
        <f t="shared" si="95"/>
        <v>0</v>
      </c>
    </row>
    <row r="199" spans="1:25" ht="12.75" hidden="1" customHeight="1" outlineLevel="1" x14ac:dyDescent="0.2">
      <c r="A199" s="198" t="str">
        <f>"         "&amp;Labels!C384</f>
        <v xml:space="preserve">         Total</v>
      </c>
      <c r="B199" s="226">
        <f>SUM(B197:B198)</f>
        <v>0</v>
      </c>
      <c r="C199" s="226">
        <f>SUM(C197:C198)</f>
        <v>0</v>
      </c>
      <c r="D199" s="226">
        <f>SUM(D197:D198)</f>
        <v>0</v>
      </c>
      <c r="E199" s="227">
        <f t="shared" si="90"/>
        <v>0</v>
      </c>
      <c r="F199" s="226">
        <f>SUM(F197:F198)</f>
        <v>0</v>
      </c>
      <c r="G199" s="226">
        <f>SUM(G197:G198)</f>
        <v>0</v>
      </c>
      <c r="H199" s="226">
        <f>SUM(H197:H198)</f>
        <v>0</v>
      </c>
      <c r="I199" s="227">
        <f t="shared" si="91"/>
        <v>0</v>
      </c>
      <c r="J199" s="226">
        <f>SUM(J197:J198)</f>
        <v>0</v>
      </c>
      <c r="K199" s="226">
        <f>SUM(K197:K198)</f>
        <v>0</v>
      </c>
      <c r="L199" s="226">
        <f>SUM(L197:L198)</f>
        <v>0</v>
      </c>
      <c r="M199" s="227">
        <f t="shared" si="92"/>
        <v>0</v>
      </c>
      <c r="N199" s="226">
        <f>SUM(N197:N198)</f>
        <v>0</v>
      </c>
      <c r="O199" s="226">
        <f>SUM(O197:O198)</f>
        <v>0</v>
      </c>
      <c r="P199" s="226">
        <f>SUM(P197:P198)</f>
        <v>0</v>
      </c>
      <c r="Q199" s="227">
        <f t="shared" si="93"/>
        <v>0</v>
      </c>
      <c r="R199" s="226">
        <f>SUM(R197:R198)</f>
        <v>0</v>
      </c>
      <c r="S199" s="226">
        <f>SUM(S197:S198)</f>
        <v>0</v>
      </c>
      <c r="T199" s="226">
        <f>SUM(T197:T198)</f>
        <v>0</v>
      </c>
      <c r="U199" s="227">
        <f t="shared" si="94"/>
        <v>0</v>
      </c>
      <c r="V199" s="226">
        <f>SUM(V197:V198)</f>
        <v>0</v>
      </c>
      <c r="W199" s="226">
        <f>SUM(W197:W198)</f>
        <v>0</v>
      </c>
      <c r="X199" s="226">
        <f>SUM(X197:X198)</f>
        <v>0</v>
      </c>
      <c r="Y199" s="227">
        <f t="shared" si="95"/>
        <v>0</v>
      </c>
    </row>
    <row r="200" spans="1:25" ht="12.75" hidden="1" customHeight="1" outlineLevel="1" x14ac:dyDescent="0.2">
      <c r="A200" s="188" t="str">
        <f>"      "&amp;Labels!C380</f>
        <v xml:space="preserve">      Total</v>
      </c>
      <c r="B200" s="196">
        <f>SUM(B195,B199)</f>
        <v>0</v>
      </c>
      <c r="C200" s="196">
        <f>SUM(C195,C199)</f>
        <v>0</v>
      </c>
      <c r="D200" s="196">
        <f>SUM(D195,D199)</f>
        <v>55000</v>
      </c>
      <c r="E200" s="197">
        <f t="shared" si="90"/>
        <v>55000</v>
      </c>
      <c r="F200" s="196">
        <f>SUM(F195,F199)</f>
        <v>55000</v>
      </c>
      <c r="G200" s="196">
        <f>SUM(G195,G199)</f>
        <v>0</v>
      </c>
      <c r="H200" s="196">
        <f>SUM(H195,H199)</f>
        <v>40000</v>
      </c>
      <c r="I200" s="197">
        <f t="shared" si="91"/>
        <v>95000</v>
      </c>
      <c r="J200" s="196">
        <f>SUM(J195,J199)</f>
        <v>40000</v>
      </c>
      <c r="K200" s="196">
        <f>SUM(K195,K199)</f>
        <v>40000</v>
      </c>
      <c r="L200" s="196">
        <f>SUM(L195,L199)</f>
        <v>0</v>
      </c>
      <c r="M200" s="197">
        <f t="shared" si="92"/>
        <v>80000</v>
      </c>
      <c r="N200" s="196">
        <f>SUM(N195,N199)</f>
        <v>0</v>
      </c>
      <c r="O200" s="196">
        <f>SUM(O195,O199)</f>
        <v>0</v>
      </c>
      <c r="P200" s="196">
        <f>SUM(P195,P199)</f>
        <v>0</v>
      </c>
      <c r="Q200" s="197">
        <f t="shared" si="93"/>
        <v>0</v>
      </c>
      <c r="R200" s="196">
        <f>SUM(R195,R199)</f>
        <v>0</v>
      </c>
      <c r="S200" s="196">
        <f>SUM(S195,S199)</f>
        <v>0</v>
      </c>
      <c r="T200" s="196">
        <f>SUM(T195,T199)</f>
        <v>0</v>
      </c>
      <c r="U200" s="197">
        <f t="shared" si="94"/>
        <v>0</v>
      </c>
      <c r="V200" s="196">
        <f>SUM(V195,V199)</f>
        <v>0</v>
      </c>
      <c r="W200" s="196">
        <f>SUM(W195,W199)</f>
        <v>0</v>
      </c>
      <c r="X200" s="196">
        <f>SUM(X195,X199)</f>
        <v>0</v>
      </c>
      <c r="Y200" s="197">
        <f t="shared" si="95"/>
        <v>0</v>
      </c>
    </row>
    <row r="201" spans="1:25" ht="12.75" hidden="1" customHeight="1" outlineLevel="1" x14ac:dyDescent="0.2">
      <c r="A201" s="198" t="str">
        <f>"         "&amp;Labels!B385</f>
        <v xml:space="preserve">         Prof Level 1</v>
      </c>
      <c r="B201" s="226">
        <f t="shared" ref="B201:D203" si="96">SUM(B193,B197)</f>
        <v>0</v>
      </c>
      <c r="C201" s="226">
        <f t="shared" si="96"/>
        <v>0</v>
      </c>
      <c r="D201" s="226">
        <f t="shared" si="96"/>
        <v>27500</v>
      </c>
      <c r="E201" s="227">
        <f t="shared" si="90"/>
        <v>27500</v>
      </c>
      <c r="F201" s="226">
        <f t="shared" ref="F201:H203" si="97">SUM(F193,F197)</f>
        <v>27500</v>
      </c>
      <c r="G201" s="226">
        <f t="shared" si="97"/>
        <v>0</v>
      </c>
      <c r="H201" s="226">
        <f t="shared" si="97"/>
        <v>20000</v>
      </c>
      <c r="I201" s="227">
        <f t="shared" si="91"/>
        <v>47500</v>
      </c>
      <c r="J201" s="226">
        <f t="shared" ref="J201:L203" si="98">SUM(J193,J197)</f>
        <v>20000</v>
      </c>
      <c r="K201" s="226">
        <f t="shared" si="98"/>
        <v>20000</v>
      </c>
      <c r="L201" s="226">
        <f t="shared" si="98"/>
        <v>0</v>
      </c>
      <c r="M201" s="227">
        <f t="shared" si="92"/>
        <v>40000</v>
      </c>
      <c r="N201" s="226">
        <f t="shared" ref="N201:P203" si="99">SUM(N193,N197)</f>
        <v>0</v>
      </c>
      <c r="O201" s="226">
        <f t="shared" si="99"/>
        <v>0</v>
      </c>
      <c r="P201" s="226">
        <f t="shared" si="99"/>
        <v>0</v>
      </c>
      <c r="Q201" s="227">
        <f t="shared" si="93"/>
        <v>0</v>
      </c>
      <c r="R201" s="226">
        <f t="shared" ref="R201:T203" si="100">SUM(R193,R197)</f>
        <v>0</v>
      </c>
      <c r="S201" s="226">
        <f t="shared" si="100"/>
        <v>0</v>
      </c>
      <c r="T201" s="226">
        <f t="shared" si="100"/>
        <v>0</v>
      </c>
      <c r="U201" s="227">
        <f t="shared" si="94"/>
        <v>0</v>
      </c>
      <c r="V201" s="226">
        <f t="shared" ref="V201:X203" si="101">SUM(V193,V197)</f>
        <v>0</v>
      </c>
      <c r="W201" s="226">
        <f t="shared" si="101"/>
        <v>0</v>
      </c>
      <c r="X201" s="226">
        <f t="shared" si="101"/>
        <v>0</v>
      </c>
      <c r="Y201" s="227">
        <f t="shared" si="95"/>
        <v>0</v>
      </c>
    </row>
    <row r="202" spans="1:25" ht="12.75" hidden="1" customHeight="1" outlineLevel="1" x14ac:dyDescent="0.2">
      <c r="A202" s="198" t="str">
        <f>"         "&amp;Labels!B386</f>
        <v xml:space="preserve">         Prof Level 2</v>
      </c>
      <c r="B202" s="226">
        <f t="shared" si="96"/>
        <v>0</v>
      </c>
      <c r="C202" s="226">
        <f t="shared" si="96"/>
        <v>0</v>
      </c>
      <c r="D202" s="226">
        <f t="shared" si="96"/>
        <v>27500</v>
      </c>
      <c r="E202" s="227">
        <f t="shared" si="90"/>
        <v>27500</v>
      </c>
      <c r="F202" s="226">
        <f t="shared" si="97"/>
        <v>27500</v>
      </c>
      <c r="G202" s="226">
        <f t="shared" si="97"/>
        <v>0</v>
      </c>
      <c r="H202" s="226">
        <f t="shared" si="97"/>
        <v>20000</v>
      </c>
      <c r="I202" s="227">
        <f t="shared" si="91"/>
        <v>47500</v>
      </c>
      <c r="J202" s="226">
        <f t="shared" si="98"/>
        <v>20000</v>
      </c>
      <c r="K202" s="226">
        <f t="shared" si="98"/>
        <v>20000</v>
      </c>
      <c r="L202" s="226">
        <f t="shared" si="98"/>
        <v>0</v>
      </c>
      <c r="M202" s="227">
        <f t="shared" si="92"/>
        <v>40000</v>
      </c>
      <c r="N202" s="226">
        <f t="shared" si="99"/>
        <v>0</v>
      </c>
      <c r="O202" s="226">
        <f t="shared" si="99"/>
        <v>0</v>
      </c>
      <c r="P202" s="226">
        <f t="shared" si="99"/>
        <v>0</v>
      </c>
      <c r="Q202" s="227">
        <f t="shared" si="93"/>
        <v>0</v>
      </c>
      <c r="R202" s="226">
        <f t="shared" si="100"/>
        <v>0</v>
      </c>
      <c r="S202" s="226">
        <f t="shared" si="100"/>
        <v>0</v>
      </c>
      <c r="T202" s="226">
        <f t="shared" si="100"/>
        <v>0</v>
      </c>
      <c r="U202" s="227">
        <f t="shared" si="94"/>
        <v>0</v>
      </c>
      <c r="V202" s="226">
        <f t="shared" si="101"/>
        <v>0</v>
      </c>
      <c r="W202" s="226">
        <f t="shared" si="101"/>
        <v>0</v>
      </c>
      <c r="X202" s="226">
        <f t="shared" si="101"/>
        <v>0</v>
      </c>
      <c r="Y202" s="227">
        <f t="shared" si="95"/>
        <v>0</v>
      </c>
    </row>
    <row r="203" spans="1:25" ht="12.75" hidden="1" customHeight="1" outlineLevel="1" x14ac:dyDescent="0.2">
      <c r="A203" s="198" t="str">
        <f>"         "&amp;Labels!C384</f>
        <v xml:space="preserve">         Total</v>
      </c>
      <c r="B203" s="226">
        <f t="shared" si="96"/>
        <v>0</v>
      </c>
      <c r="C203" s="226">
        <f t="shared" si="96"/>
        <v>0</v>
      </c>
      <c r="D203" s="226">
        <f t="shared" si="96"/>
        <v>55000</v>
      </c>
      <c r="E203" s="227">
        <f>SUM(B200:D200)</f>
        <v>55000</v>
      </c>
      <c r="F203" s="226">
        <f t="shared" si="97"/>
        <v>55000</v>
      </c>
      <c r="G203" s="226">
        <f t="shared" si="97"/>
        <v>0</v>
      </c>
      <c r="H203" s="226">
        <f t="shared" si="97"/>
        <v>40000</v>
      </c>
      <c r="I203" s="227">
        <f>SUM(F200:H200)</f>
        <v>95000</v>
      </c>
      <c r="J203" s="226">
        <f t="shared" si="98"/>
        <v>40000</v>
      </c>
      <c r="K203" s="226">
        <f t="shared" si="98"/>
        <v>40000</v>
      </c>
      <c r="L203" s="226">
        <f t="shared" si="98"/>
        <v>0</v>
      </c>
      <c r="M203" s="227">
        <f>SUM(J200:L200)</f>
        <v>80000</v>
      </c>
      <c r="N203" s="226">
        <f t="shared" si="99"/>
        <v>0</v>
      </c>
      <c r="O203" s="226">
        <f t="shared" si="99"/>
        <v>0</v>
      </c>
      <c r="P203" s="226">
        <f t="shared" si="99"/>
        <v>0</v>
      </c>
      <c r="Q203" s="227">
        <f>SUM(N200:P200)</f>
        <v>0</v>
      </c>
      <c r="R203" s="226">
        <f t="shared" si="100"/>
        <v>0</v>
      </c>
      <c r="S203" s="226">
        <f t="shared" si="100"/>
        <v>0</v>
      </c>
      <c r="T203" s="226">
        <f t="shared" si="100"/>
        <v>0</v>
      </c>
      <c r="U203" s="227">
        <f>SUM(R200:T200)</f>
        <v>0</v>
      </c>
      <c r="V203" s="226">
        <f t="shared" si="101"/>
        <v>0</v>
      </c>
      <c r="W203" s="226">
        <f t="shared" si="101"/>
        <v>0</v>
      </c>
      <c r="X203" s="226">
        <f t="shared" si="101"/>
        <v>0</v>
      </c>
      <c r="Y203" s="227">
        <f>SUM(V200:X200)</f>
        <v>0</v>
      </c>
    </row>
    <row r="204" spans="1:25" ht="12.75" hidden="1" customHeight="1" outlineLevel="1" x14ac:dyDescent="0.2">
      <c r="A204" s="191" t="str">
        <f>"   "&amp;Labels!C316</f>
        <v xml:space="preserve">   Total</v>
      </c>
      <c r="B204" s="192">
        <f>SUM(B187,B200)</f>
        <v>0</v>
      </c>
      <c r="C204" s="192">
        <f>SUM(C187,C200)</f>
        <v>0</v>
      </c>
      <c r="D204" s="192">
        <f>SUM(D187,D200)</f>
        <v>112750</v>
      </c>
      <c r="E204" s="190">
        <f>SUM(B204:D204)</f>
        <v>112750</v>
      </c>
      <c r="F204" s="192">
        <f>SUM(F187,F200)</f>
        <v>112750</v>
      </c>
      <c r="G204" s="192">
        <f>SUM(G187,G200)</f>
        <v>0</v>
      </c>
      <c r="H204" s="192">
        <f>SUM(H187,H200)</f>
        <v>82000</v>
      </c>
      <c r="I204" s="190">
        <f>SUM(F204:H204)</f>
        <v>194750</v>
      </c>
      <c r="J204" s="192">
        <f>SUM(J187,J200)</f>
        <v>82000</v>
      </c>
      <c r="K204" s="192">
        <f>SUM(K187,K200)</f>
        <v>82000</v>
      </c>
      <c r="L204" s="192">
        <f>SUM(L187,L200)</f>
        <v>0</v>
      </c>
      <c r="M204" s="190">
        <f>SUM(J204:L204)</f>
        <v>164000</v>
      </c>
      <c r="N204" s="192">
        <f>SUM(N187,N200)</f>
        <v>0</v>
      </c>
      <c r="O204" s="192">
        <f>SUM(O187,O200)</f>
        <v>0</v>
      </c>
      <c r="P204" s="192">
        <f>SUM(P187,P200)</f>
        <v>0</v>
      </c>
      <c r="Q204" s="190">
        <f>SUM(N204:P204)</f>
        <v>0</v>
      </c>
      <c r="R204" s="192">
        <f>SUM(R187,R200)</f>
        <v>0</v>
      </c>
      <c r="S204" s="192">
        <f>SUM(S187,S200)</f>
        <v>0</v>
      </c>
      <c r="T204" s="192">
        <f>SUM(T187,T200)</f>
        <v>0</v>
      </c>
      <c r="U204" s="190">
        <f>SUM(R204:T204)</f>
        <v>0</v>
      </c>
      <c r="V204" s="192">
        <f>SUM(V187,V200)</f>
        <v>0</v>
      </c>
      <c r="W204" s="192">
        <f>SUM(W187,W200)</f>
        <v>0</v>
      </c>
      <c r="X204" s="192">
        <f>SUM(X187,X200)</f>
        <v>0</v>
      </c>
      <c r="Y204" s="190">
        <f>SUM(V204:X204)</f>
        <v>0</v>
      </c>
    </row>
    <row r="205" spans="1:25" ht="12.75" hidden="1" customHeight="1" outlineLevel="1" x14ac:dyDescent="0.2">
      <c r="A205" s="198" t="str">
        <f>"      "&amp;Labels!B381</f>
        <v xml:space="preserve">      Practice 1</v>
      </c>
      <c r="B205" s="226"/>
      <c r="C205" s="226"/>
      <c r="D205" s="226"/>
      <c r="E205" s="227"/>
      <c r="F205" s="226"/>
      <c r="G205" s="226"/>
      <c r="H205" s="226"/>
      <c r="I205" s="227"/>
      <c r="J205" s="226"/>
      <c r="K205" s="226"/>
      <c r="L205" s="226"/>
      <c r="M205" s="227"/>
      <c r="N205" s="226"/>
      <c r="O205" s="226"/>
      <c r="P205" s="226"/>
      <c r="Q205" s="227"/>
      <c r="R205" s="226"/>
      <c r="S205" s="226"/>
      <c r="T205" s="226"/>
      <c r="U205" s="227"/>
      <c r="V205" s="226"/>
      <c r="W205" s="226"/>
      <c r="X205" s="226"/>
      <c r="Y205" s="227"/>
    </row>
    <row r="206" spans="1:25" ht="12.75" hidden="1" customHeight="1" outlineLevel="1" x14ac:dyDescent="0.2">
      <c r="A206" s="198" t="str">
        <f>"         "&amp;Labels!B385</f>
        <v xml:space="preserve">         Prof Level 1</v>
      </c>
      <c r="B206" s="226">
        <f t="shared" ref="B206:D208" si="102">SUM(B180,B193)</f>
        <v>0</v>
      </c>
      <c r="C206" s="226">
        <f t="shared" si="102"/>
        <v>0</v>
      </c>
      <c r="D206" s="226">
        <f t="shared" si="102"/>
        <v>56375</v>
      </c>
      <c r="E206" s="227">
        <f>SUM(B206:D206)</f>
        <v>56375</v>
      </c>
      <c r="F206" s="226">
        <f t="shared" ref="F206:H208" si="103">SUM(F180,F193)</f>
        <v>56375</v>
      </c>
      <c r="G206" s="226">
        <f t="shared" si="103"/>
        <v>0</v>
      </c>
      <c r="H206" s="226">
        <f t="shared" si="103"/>
        <v>41000</v>
      </c>
      <c r="I206" s="227">
        <f>SUM(F206:H206)</f>
        <v>97375</v>
      </c>
      <c r="J206" s="226">
        <f t="shared" ref="J206:L208" si="104">SUM(J180,J193)</f>
        <v>41000</v>
      </c>
      <c r="K206" s="226">
        <f t="shared" si="104"/>
        <v>41000</v>
      </c>
      <c r="L206" s="226">
        <f t="shared" si="104"/>
        <v>0</v>
      </c>
      <c r="M206" s="227">
        <f>SUM(J206:L206)</f>
        <v>82000</v>
      </c>
      <c r="N206" s="226">
        <f t="shared" ref="N206:P208" si="105">SUM(N180,N193)</f>
        <v>0</v>
      </c>
      <c r="O206" s="226">
        <f t="shared" si="105"/>
        <v>0</v>
      </c>
      <c r="P206" s="226">
        <f t="shared" si="105"/>
        <v>0</v>
      </c>
      <c r="Q206" s="227">
        <f>SUM(N206:P206)</f>
        <v>0</v>
      </c>
      <c r="R206" s="226">
        <f t="shared" ref="R206:T208" si="106">SUM(R180,R193)</f>
        <v>0</v>
      </c>
      <c r="S206" s="226">
        <f t="shared" si="106"/>
        <v>0</v>
      </c>
      <c r="T206" s="226">
        <f t="shared" si="106"/>
        <v>0</v>
      </c>
      <c r="U206" s="227">
        <f>SUM(R206:T206)</f>
        <v>0</v>
      </c>
      <c r="V206" s="226">
        <f t="shared" ref="V206:X208" si="107">SUM(V180,V193)</f>
        <v>0</v>
      </c>
      <c r="W206" s="226">
        <f t="shared" si="107"/>
        <v>0</v>
      </c>
      <c r="X206" s="226">
        <f t="shared" si="107"/>
        <v>0</v>
      </c>
      <c r="Y206" s="227">
        <f>SUM(V206:X206)</f>
        <v>0</v>
      </c>
    </row>
    <row r="207" spans="1:25" ht="12.75" hidden="1" customHeight="1" outlineLevel="1" x14ac:dyDescent="0.2">
      <c r="A207" s="198" t="str">
        <f>"         "&amp;Labels!B386</f>
        <v xml:space="preserve">         Prof Level 2</v>
      </c>
      <c r="B207" s="226">
        <f t="shared" si="102"/>
        <v>0</v>
      </c>
      <c r="C207" s="226">
        <f t="shared" si="102"/>
        <v>0</v>
      </c>
      <c r="D207" s="226">
        <f t="shared" si="102"/>
        <v>56375</v>
      </c>
      <c r="E207" s="227">
        <f>SUM(B207:D207)</f>
        <v>56375</v>
      </c>
      <c r="F207" s="226">
        <f t="shared" si="103"/>
        <v>56375</v>
      </c>
      <c r="G207" s="226">
        <f t="shared" si="103"/>
        <v>0</v>
      </c>
      <c r="H207" s="226">
        <f t="shared" si="103"/>
        <v>41000</v>
      </c>
      <c r="I207" s="227">
        <f>SUM(F207:H207)</f>
        <v>97375</v>
      </c>
      <c r="J207" s="226">
        <f t="shared" si="104"/>
        <v>41000</v>
      </c>
      <c r="K207" s="226">
        <f t="shared" si="104"/>
        <v>41000</v>
      </c>
      <c r="L207" s="226">
        <f t="shared" si="104"/>
        <v>0</v>
      </c>
      <c r="M207" s="227">
        <f>SUM(J207:L207)</f>
        <v>82000</v>
      </c>
      <c r="N207" s="226">
        <f t="shared" si="105"/>
        <v>0</v>
      </c>
      <c r="O207" s="226">
        <f t="shared" si="105"/>
        <v>0</v>
      </c>
      <c r="P207" s="226">
        <f t="shared" si="105"/>
        <v>0</v>
      </c>
      <c r="Q207" s="227">
        <f>SUM(N207:P207)</f>
        <v>0</v>
      </c>
      <c r="R207" s="226">
        <f t="shared" si="106"/>
        <v>0</v>
      </c>
      <c r="S207" s="226">
        <f t="shared" si="106"/>
        <v>0</v>
      </c>
      <c r="T207" s="226">
        <f t="shared" si="106"/>
        <v>0</v>
      </c>
      <c r="U207" s="227">
        <f>SUM(R207:T207)</f>
        <v>0</v>
      </c>
      <c r="V207" s="226">
        <f t="shared" si="107"/>
        <v>0</v>
      </c>
      <c r="W207" s="226">
        <f t="shared" si="107"/>
        <v>0</v>
      </c>
      <c r="X207" s="226">
        <f t="shared" si="107"/>
        <v>0</v>
      </c>
      <c r="Y207" s="227">
        <f>SUM(V207:X207)</f>
        <v>0</v>
      </c>
    </row>
    <row r="208" spans="1:25" ht="12.75" hidden="1" customHeight="1" outlineLevel="1" x14ac:dyDescent="0.2">
      <c r="A208" s="198" t="str">
        <f>"         "&amp;Labels!C384</f>
        <v xml:space="preserve">         Total</v>
      </c>
      <c r="B208" s="226">
        <f t="shared" si="102"/>
        <v>0</v>
      </c>
      <c r="C208" s="226">
        <f t="shared" si="102"/>
        <v>0</v>
      </c>
      <c r="D208" s="226">
        <f t="shared" si="102"/>
        <v>112750</v>
      </c>
      <c r="E208" s="227">
        <f>SUM(B208:D208)</f>
        <v>112750</v>
      </c>
      <c r="F208" s="226">
        <f t="shared" si="103"/>
        <v>112750</v>
      </c>
      <c r="G208" s="226">
        <f t="shared" si="103"/>
        <v>0</v>
      </c>
      <c r="H208" s="226">
        <f t="shared" si="103"/>
        <v>82000</v>
      </c>
      <c r="I208" s="227">
        <f>SUM(F208:H208)</f>
        <v>194750</v>
      </c>
      <c r="J208" s="226">
        <f t="shared" si="104"/>
        <v>82000</v>
      </c>
      <c r="K208" s="226">
        <f t="shared" si="104"/>
        <v>82000</v>
      </c>
      <c r="L208" s="226">
        <f t="shared" si="104"/>
        <v>0</v>
      </c>
      <c r="M208" s="227">
        <f>SUM(J208:L208)</f>
        <v>164000</v>
      </c>
      <c r="N208" s="226">
        <f t="shared" si="105"/>
        <v>0</v>
      </c>
      <c r="O208" s="226">
        <f t="shared" si="105"/>
        <v>0</v>
      </c>
      <c r="P208" s="226">
        <f t="shared" si="105"/>
        <v>0</v>
      </c>
      <c r="Q208" s="227">
        <f>SUM(N208:P208)</f>
        <v>0</v>
      </c>
      <c r="R208" s="226">
        <f t="shared" si="106"/>
        <v>0</v>
      </c>
      <c r="S208" s="226">
        <f t="shared" si="106"/>
        <v>0</v>
      </c>
      <c r="T208" s="226">
        <f t="shared" si="106"/>
        <v>0</v>
      </c>
      <c r="U208" s="227">
        <f>SUM(R208:T208)</f>
        <v>0</v>
      </c>
      <c r="V208" s="226">
        <f t="shared" si="107"/>
        <v>0</v>
      </c>
      <c r="W208" s="226">
        <f t="shared" si="107"/>
        <v>0</v>
      </c>
      <c r="X208" s="226">
        <f t="shared" si="107"/>
        <v>0</v>
      </c>
      <c r="Y208" s="227">
        <f>SUM(V208:X208)</f>
        <v>0</v>
      </c>
    </row>
    <row r="209" spans="1:25" ht="12.75" hidden="1" customHeight="1" outlineLevel="1" x14ac:dyDescent="0.2">
      <c r="A209" s="198" t="str">
        <f>"      "&amp;Labels!B382</f>
        <v xml:space="preserve">      Practice 2</v>
      </c>
      <c r="B209" s="226"/>
      <c r="C209" s="226"/>
      <c r="D209" s="226"/>
      <c r="E209" s="227"/>
      <c r="F209" s="226"/>
      <c r="G209" s="226"/>
      <c r="H209" s="226"/>
      <c r="I209" s="227"/>
      <c r="J209" s="226"/>
      <c r="K209" s="226"/>
      <c r="L209" s="226"/>
      <c r="M209" s="227"/>
      <c r="N209" s="226"/>
      <c r="O209" s="226"/>
      <c r="P209" s="226"/>
      <c r="Q209" s="227"/>
      <c r="R209" s="226"/>
      <c r="S209" s="226"/>
      <c r="T209" s="226"/>
      <c r="U209" s="227"/>
      <c r="V209" s="226"/>
      <c r="W209" s="226"/>
      <c r="X209" s="226"/>
      <c r="Y209" s="227"/>
    </row>
    <row r="210" spans="1:25" ht="12.75" hidden="1" customHeight="1" outlineLevel="1" x14ac:dyDescent="0.2">
      <c r="A210" s="198" t="str">
        <f>"         "&amp;Labels!B385</f>
        <v xml:space="preserve">         Prof Level 1</v>
      </c>
      <c r="B210" s="226">
        <f t="shared" ref="B210:D215" si="108">SUM(B184,B197)</f>
        <v>0</v>
      </c>
      <c r="C210" s="226">
        <f t="shared" si="108"/>
        <v>0</v>
      </c>
      <c r="D210" s="226">
        <f t="shared" si="108"/>
        <v>0</v>
      </c>
      <c r="E210" s="227">
        <f>SUM(B210:D210)</f>
        <v>0</v>
      </c>
      <c r="F210" s="226">
        <f t="shared" ref="F210:H215" si="109">SUM(F184,F197)</f>
        <v>0</v>
      </c>
      <c r="G210" s="226">
        <f t="shared" si="109"/>
        <v>0</v>
      </c>
      <c r="H210" s="226">
        <f t="shared" si="109"/>
        <v>0</v>
      </c>
      <c r="I210" s="227">
        <f>SUM(F210:H210)</f>
        <v>0</v>
      </c>
      <c r="J210" s="226">
        <f t="shared" ref="J210:L215" si="110">SUM(J184,J197)</f>
        <v>0</v>
      </c>
      <c r="K210" s="226">
        <f t="shared" si="110"/>
        <v>0</v>
      </c>
      <c r="L210" s="226">
        <f t="shared" si="110"/>
        <v>0</v>
      </c>
      <c r="M210" s="227">
        <f>SUM(J210:L210)</f>
        <v>0</v>
      </c>
      <c r="N210" s="226">
        <f t="shared" ref="N210:P215" si="111">SUM(N184,N197)</f>
        <v>0</v>
      </c>
      <c r="O210" s="226">
        <f t="shared" si="111"/>
        <v>0</v>
      </c>
      <c r="P210" s="226">
        <f t="shared" si="111"/>
        <v>0</v>
      </c>
      <c r="Q210" s="227">
        <f>SUM(N210:P210)</f>
        <v>0</v>
      </c>
      <c r="R210" s="226">
        <f t="shared" ref="R210:T215" si="112">SUM(R184,R197)</f>
        <v>0</v>
      </c>
      <c r="S210" s="226">
        <f t="shared" si="112"/>
        <v>0</v>
      </c>
      <c r="T210" s="226">
        <f t="shared" si="112"/>
        <v>0</v>
      </c>
      <c r="U210" s="227">
        <f>SUM(R210:T210)</f>
        <v>0</v>
      </c>
      <c r="V210" s="226">
        <f t="shared" ref="V210:X215" si="113">SUM(V184,V197)</f>
        <v>0</v>
      </c>
      <c r="W210" s="226">
        <f t="shared" si="113"/>
        <v>0</v>
      </c>
      <c r="X210" s="226">
        <f t="shared" si="113"/>
        <v>0</v>
      </c>
      <c r="Y210" s="227">
        <f>SUM(V210:X210)</f>
        <v>0</v>
      </c>
    </row>
    <row r="211" spans="1:25" ht="12.75" hidden="1" customHeight="1" outlineLevel="1" x14ac:dyDescent="0.2">
      <c r="A211" s="198" t="str">
        <f>"         "&amp;Labels!B386</f>
        <v xml:space="preserve">         Prof Level 2</v>
      </c>
      <c r="B211" s="226">
        <f t="shared" si="108"/>
        <v>0</v>
      </c>
      <c r="C211" s="226">
        <f t="shared" si="108"/>
        <v>0</v>
      </c>
      <c r="D211" s="226">
        <f t="shared" si="108"/>
        <v>0</v>
      </c>
      <c r="E211" s="227">
        <f>SUM(B211:D211)</f>
        <v>0</v>
      </c>
      <c r="F211" s="226">
        <f t="shared" si="109"/>
        <v>0</v>
      </c>
      <c r="G211" s="226">
        <f t="shared" si="109"/>
        <v>0</v>
      </c>
      <c r="H211" s="226">
        <f t="shared" si="109"/>
        <v>0</v>
      </c>
      <c r="I211" s="227">
        <f>SUM(F211:H211)</f>
        <v>0</v>
      </c>
      <c r="J211" s="226">
        <f t="shared" si="110"/>
        <v>0</v>
      </c>
      <c r="K211" s="226">
        <f t="shared" si="110"/>
        <v>0</v>
      </c>
      <c r="L211" s="226">
        <f t="shared" si="110"/>
        <v>0</v>
      </c>
      <c r="M211" s="227">
        <f>SUM(J211:L211)</f>
        <v>0</v>
      </c>
      <c r="N211" s="226">
        <f t="shared" si="111"/>
        <v>0</v>
      </c>
      <c r="O211" s="226">
        <f t="shared" si="111"/>
        <v>0</v>
      </c>
      <c r="P211" s="226">
        <f t="shared" si="111"/>
        <v>0</v>
      </c>
      <c r="Q211" s="227">
        <f>SUM(N211:P211)</f>
        <v>0</v>
      </c>
      <c r="R211" s="226">
        <f t="shared" si="112"/>
        <v>0</v>
      </c>
      <c r="S211" s="226">
        <f t="shared" si="112"/>
        <v>0</v>
      </c>
      <c r="T211" s="226">
        <f t="shared" si="112"/>
        <v>0</v>
      </c>
      <c r="U211" s="227">
        <f>SUM(R211:T211)</f>
        <v>0</v>
      </c>
      <c r="V211" s="226">
        <f t="shared" si="113"/>
        <v>0</v>
      </c>
      <c r="W211" s="226">
        <f t="shared" si="113"/>
        <v>0</v>
      </c>
      <c r="X211" s="226">
        <f t="shared" si="113"/>
        <v>0</v>
      </c>
      <c r="Y211" s="227">
        <f>SUM(V211:X211)</f>
        <v>0</v>
      </c>
    </row>
    <row r="212" spans="1:25" ht="12.75" hidden="1" customHeight="1" outlineLevel="1" x14ac:dyDescent="0.2">
      <c r="A212" s="198" t="str">
        <f>"         "&amp;Labels!C384</f>
        <v xml:space="preserve">         Total</v>
      </c>
      <c r="B212" s="226">
        <f t="shared" si="108"/>
        <v>0</v>
      </c>
      <c r="C212" s="226">
        <f t="shared" si="108"/>
        <v>0</v>
      </c>
      <c r="D212" s="226">
        <f t="shared" si="108"/>
        <v>0</v>
      </c>
      <c r="E212" s="227">
        <f>SUM(B212:D212)</f>
        <v>0</v>
      </c>
      <c r="F212" s="226">
        <f t="shared" si="109"/>
        <v>0</v>
      </c>
      <c r="G212" s="226">
        <f t="shared" si="109"/>
        <v>0</v>
      </c>
      <c r="H212" s="226">
        <f t="shared" si="109"/>
        <v>0</v>
      </c>
      <c r="I212" s="227">
        <f>SUM(F212:H212)</f>
        <v>0</v>
      </c>
      <c r="J212" s="226">
        <f t="shared" si="110"/>
        <v>0</v>
      </c>
      <c r="K212" s="226">
        <f t="shared" si="110"/>
        <v>0</v>
      </c>
      <c r="L212" s="226">
        <f t="shared" si="110"/>
        <v>0</v>
      </c>
      <c r="M212" s="227">
        <f>SUM(J212:L212)</f>
        <v>0</v>
      </c>
      <c r="N212" s="226">
        <f t="shared" si="111"/>
        <v>0</v>
      </c>
      <c r="O212" s="226">
        <f t="shared" si="111"/>
        <v>0</v>
      </c>
      <c r="P212" s="226">
        <f t="shared" si="111"/>
        <v>0</v>
      </c>
      <c r="Q212" s="227">
        <f>SUM(N212:P212)</f>
        <v>0</v>
      </c>
      <c r="R212" s="226">
        <f t="shared" si="112"/>
        <v>0</v>
      </c>
      <c r="S212" s="226">
        <f t="shared" si="112"/>
        <v>0</v>
      </c>
      <c r="T212" s="226">
        <f t="shared" si="112"/>
        <v>0</v>
      </c>
      <c r="U212" s="227">
        <f>SUM(R212:T212)</f>
        <v>0</v>
      </c>
      <c r="V212" s="226">
        <f t="shared" si="113"/>
        <v>0</v>
      </c>
      <c r="W212" s="226">
        <f t="shared" si="113"/>
        <v>0</v>
      </c>
      <c r="X212" s="226">
        <f t="shared" si="113"/>
        <v>0</v>
      </c>
      <c r="Y212" s="227">
        <f>SUM(V212:X212)</f>
        <v>0</v>
      </c>
    </row>
    <row r="213" spans="1:25" ht="12.75" hidden="1" customHeight="1" outlineLevel="1" x14ac:dyDescent="0.2">
      <c r="A213" s="188" t="str">
        <f>"      "&amp;Labels!C380</f>
        <v xml:space="preserve">      Total</v>
      </c>
      <c r="B213" s="196">
        <f t="shared" si="108"/>
        <v>0</v>
      </c>
      <c r="C213" s="196">
        <f t="shared" si="108"/>
        <v>0</v>
      </c>
      <c r="D213" s="196">
        <f t="shared" si="108"/>
        <v>112750</v>
      </c>
      <c r="E213" s="197">
        <f>SUM(B204:D204)</f>
        <v>112750</v>
      </c>
      <c r="F213" s="196">
        <f t="shared" si="109"/>
        <v>112750</v>
      </c>
      <c r="G213" s="196">
        <f t="shared" si="109"/>
        <v>0</v>
      </c>
      <c r="H213" s="196">
        <f t="shared" si="109"/>
        <v>82000</v>
      </c>
      <c r="I213" s="197">
        <f>SUM(F204:H204)</f>
        <v>194750</v>
      </c>
      <c r="J213" s="196">
        <f t="shared" si="110"/>
        <v>82000</v>
      </c>
      <c r="K213" s="196">
        <f t="shared" si="110"/>
        <v>82000</v>
      </c>
      <c r="L213" s="196">
        <f t="shared" si="110"/>
        <v>0</v>
      </c>
      <c r="M213" s="197">
        <f>SUM(J204:L204)</f>
        <v>164000</v>
      </c>
      <c r="N213" s="196">
        <f t="shared" si="111"/>
        <v>0</v>
      </c>
      <c r="O213" s="196">
        <f t="shared" si="111"/>
        <v>0</v>
      </c>
      <c r="P213" s="196">
        <f t="shared" si="111"/>
        <v>0</v>
      </c>
      <c r="Q213" s="197">
        <f>SUM(N204:P204)</f>
        <v>0</v>
      </c>
      <c r="R213" s="196">
        <f t="shared" si="112"/>
        <v>0</v>
      </c>
      <c r="S213" s="196">
        <f t="shared" si="112"/>
        <v>0</v>
      </c>
      <c r="T213" s="196">
        <f t="shared" si="112"/>
        <v>0</v>
      </c>
      <c r="U213" s="197">
        <f>SUM(R204:T204)</f>
        <v>0</v>
      </c>
      <c r="V213" s="196">
        <f t="shared" si="113"/>
        <v>0</v>
      </c>
      <c r="W213" s="196">
        <f t="shared" si="113"/>
        <v>0</v>
      </c>
      <c r="X213" s="196">
        <f t="shared" si="113"/>
        <v>0</v>
      </c>
      <c r="Y213" s="197">
        <f>SUM(V204:X204)</f>
        <v>0</v>
      </c>
    </row>
    <row r="214" spans="1:25" ht="12.75" hidden="1" customHeight="1" outlineLevel="1" x14ac:dyDescent="0.2">
      <c r="A214" s="198" t="str">
        <f>"         "&amp;Labels!B385</f>
        <v xml:space="preserve">         Prof Level 1</v>
      </c>
      <c r="B214" s="226">
        <f t="shared" si="108"/>
        <v>0</v>
      </c>
      <c r="C214" s="226">
        <f t="shared" si="108"/>
        <v>0</v>
      </c>
      <c r="D214" s="226">
        <f t="shared" si="108"/>
        <v>56375</v>
      </c>
      <c r="E214" s="227">
        <f>SUM(B214:D214)</f>
        <v>56375</v>
      </c>
      <c r="F214" s="226">
        <f t="shared" si="109"/>
        <v>56375</v>
      </c>
      <c r="G214" s="226">
        <f t="shared" si="109"/>
        <v>0</v>
      </c>
      <c r="H214" s="226">
        <f t="shared" si="109"/>
        <v>41000</v>
      </c>
      <c r="I214" s="227">
        <f>SUM(F214:H214)</f>
        <v>97375</v>
      </c>
      <c r="J214" s="226">
        <f t="shared" si="110"/>
        <v>41000</v>
      </c>
      <c r="K214" s="226">
        <f t="shared" si="110"/>
        <v>41000</v>
      </c>
      <c r="L214" s="226">
        <f t="shared" si="110"/>
        <v>0</v>
      </c>
      <c r="M214" s="227">
        <f>SUM(J214:L214)</f>
        <v>82000</v>
      </c>
      <c r="N214" s="226">
        <f t="shared" si="111"/>
        <v>0</v>
      </c>
      <c r="O214" s="226">
        <f t="shared" si="111"/>
        <v>0</v>
      </c>
      <c r="P214" s="226">
        <f t="shared" si="111"/>
        <v>0</v>
      </c>
      <c r="Q214" s="227">
        <f>SUM(N214:P214)</f>
        <v>0</v>
      </c>
      <c r="R214" s="226">
        <f t="shared" si="112"/>
        <v>0</v>
      </c>
      <c r="S214" s="226">
        <f t="shared" si="112"/>
        <v>0</v>
      </c>
      <c r="T214" s="226">
        <f t="shared" si="112"/>
        <v>0</v>
      </c>
      <c r="U214" s="227">
        <f>SUM(R214:T214)</f>
        <v>0</v>
      </c>
      <c r="V214" s="226">
        <f t="shared" si="113"/>
        <v>0</v>
      </c>
      <c r="W214" s="226">
        <f t="shared" si="113"/>
        <v>0</v>
      </c>
      <c r="X214" s="226">
        <f t="shared" si="113"/>
        <v>0</v>
      </c>
      <c r="Y214" s="227">
        <f>SUM(V214:X214)</f>
        <v>0</v>
      </c>
    </row>
    <row r="215" spans="1:25" ht="12.75" hidden="1" customHeight="1" outlineLevel="1" x14ac:dyDescent="0.2">
      <c r="A215" s="198" t="str">
        <f>"         "&amp;Labels!B386</f>
        <v xml:space="preserve">         Prof Level 2</v>
      </c>
      <c r="B215" s="226">
        <f t="shared" si="108"/>
        <v>0</v>
      </c>
      <c r="C215" s="226">
        <f t="shared" si="108"/>
        <v>0</v>
      </c>
      <c r="D215" s="226">
        <f t="shared" si="108"/>
        <v>56375</v>
      </c>
      <c r="E215" s="227">
        <f>SUM(B215:D215)</f>
        <v>56375</v>
      </c>
      <c r="F215" s="226">
        <f t="shared" si="109"/>
        <v>56375</v>
      </c>
      <c r="G215" s="226">
        <f t="shared" si="109"/>
        <v>0</v>
      </c>
      <c r="H215" s="226">
        <f t="shared" si="109"/>
        <v>41000</v>
      </c>
      <c r="I215" s="227">
        <f>SUM(F215:H215)</f>
        <v>97375</v>
      </c>
      <c r="J215" s="226">
        <f t="shared" si="110"/>
        <v>41000</v>
      </c>
      <c r="K215" s="226">
        <f t="shared" si="110"/>
        <v>41000</v>
      </c>
      <c r="L215" s="226">
        <f t="shared" si="110"/>
        <v>0</v>
      </c>
      <c r="M215" s="227">
        <f>SUM(J215:L215)</f>
        <v>82000</v>
      </c>
      <c r="N215" s="226">
        <f t="shared" si="111"/>
        <v>0</v>
      </c>
      <c r="O215" s="226">
        <f t="shared" si="111"/>
        <v>0</v>
      </c>
      <c r="P215" s="226">
        <f t="shared" si="111"/>
        <v>0</v>
      </c>
      <c r="Q215" s="227">
        <f>SUM(N215:P215)</f>
        <v>0</v>
      </c>
      <c r="R215" s="226">
        <f t="shared" si="112"/>
        <v>0</v>
      </c>
      <c r="S215" s="226">
        <f t="shared" si="112"/>
        <v>0</v>
      </c>
      <c r="T215" s="226">
        <f t="shared" si="112"/>
        <v>0</v>
      </c>
      <c r="U215" s="227">
        <f>SUM(R215:T215)</f>
        <v>0</v>
      </c>
      <c r="V215" s="226">
        <f t="shared" si="113"/>
        <v>0</v>
      </c>
      <c r="W215" s="226">
        <f t="shared" si="113"/>
        <v>0</v>
      </c>
      <c r="X215" s="226">
        <f t="shared" si="113"/>
        <v>0</v>
      </c>
      <c r="Y215" s="227">
        <f>SUM(V215:X215)</f>
        <v>0</v>
      </c>
    </row>
    <row r="216" spans="1:25" ht="12.75" hidden="1" customHeight="1" outlineLevel="1" x14ac:dyDescent="0.2">
      <c r="A216" s="230" t="str">
        <f>"         "&amp;Labels!C384</f>
        <v xml:space="preserve">         Total</v>
      </c>
      <c r="B216" s="231">
        <f>SUM(B187,B200)</f>
        <v>0</v>
      </c>
      <c r="C216" s="231">
        <f>SUM(C187,C200)</f>
        <v>0</v>
      </c>
      <c r="D216" s="231">
        <f>SUM(D187,D200)</f>
        <v>112750</v>
      </c>
      <c r="E216" s="232">
        <f>SUM(B204:D204)</f>
        <v>112750</v>
      </c>
      <c r="F216" s="231">
        <f>SUM(F187,F200)</f>
        <v>112750</v>
      </c>
      <c r="G216" s="231">
        <f>SUM(G187,G200)</f>
        <v>0</v>
      </c>
      <c r="H216" s="231">
        <f>SUM(H187,H200)</f>
        <v>82000</v>
      </c>
      <c r="I216" s="232">
        <f>SUM(F204:H204)</f>
        <v>194750</v>
      </c>
      <c r="J216" s="231">
        <f>SUM(J187,J200)</f>
        <v>82000</v>
      </c>
      <c r="K216" s="231">
        <f>SUM(K187,K200)</f>
        <v>82000</v>
      </c>
      <c r="L216" s="231">
        <f>SUM(L187,L200)</f>
        <v>0</v>
      </c>
      <c r="M216" s="232">
        <f>SUM(J204:L204)</f>
        <v>164000</v>
      </c>
      <c r="N216" s="231">
        <f>SUM(N187,N200)</f>
        <v>0</v>
      </c>
      <c r="O216" s="231">
        <f>SUM(O187,O200)</f>
        <v>0</v>
      </c>
      <c r="P216" s="231">
        <f>SUM(P187,P200)</f>
        <v>0</v>
      </c>
      <c r="Q216" s="232">
        <f>SUM(N204:P204)</f>
        <v>0</v>
      </c>
      <c r="R216" s="231">
        <f>SUM(R187,R200)</f>
        <v>0</v>
      </c>
      <c r="S216" s="231">
        <f>SUM(S187,S200)</f>
        <v>0</v>
      </c>
      <c r="T216" s="231">
        <f>SUM(T187,T200)</f>
        <v>0</v>
      </c>
      <c r="U216" s="232">
        <f>SUM(R204:T204)</f>
        <v>0</v>
      </c>
      <c r="V216" s="231">
        <f>SUM(V187,V200)</f>
        <v>0</v>
      </c>
      <c r="W216" s="231">
        <f>SUM(W187,W200)</f>
        <v>0</v>
      </c>
      <c r="X216" s="231">
        <f>SUM(X187,X200)</f>
        <v>0</v>
      </c>
      <c r="Y216" s="232">
        <f>SUM(V204:X204)</f>
        <v>0</v>
      </c>
    </row>
    <row r="217" spans="1:25" ht="12.75" hidden="1" customHeight="1" outlineLevel="1" x14ac:dyDescent="0.2"/>
    <row r="218" spans="1:25" ht="12.75" hidden="1" customHeight="1" outlineLevel="1" x14ac:dyDescent="0.2">
      <c r="A218" s="182" t="str">
        <f>Labels!B45</f>
        <v>Cost of Services - Staff</v>
      </c>
      <c r="B218" s="239"/>
      <c r="C218" s="239"/>
      <c r="D218" s="239"/>
      <c r="E218" s="240"/>
      <c r="F218" s="239"/>
      <c r="G218" s="239"/>
      <c r="H218" s="239"/>
      <c r="I218" s="240"/>
      <c r="J218" s="239"/>
      <c r="K218" s="239"/>
      <c r="L218" s="239"/>
      <c r="M218" s="240"/>
      <c r="N218" s="239"/>
      <c r="O218" s="239"/>
      <c r="P218" s="239"/>
      <c r="Q218" s="240"/>
      <c r="R218" s="239"/>
      <c r="S218" s="239"/>
      <c r="T218" s="239"/>
      <c r="U218" s="240"/>
      <c r="V218" s="239"/>
      <c r="W218" s="239"/>
      <c r="X218" s="239"/>
      <c r="Y218" s="240"/>
    </row>
    <row r="219" spans="1:25" ht="12.75" hidden="1" customHeight="1" outlineLevel="1" x14ac:dyDescent="0.2">
      <c r="A219" s="188" t="str">
        <f>"   "&amp;Labels!B317</f>
        <v xml:space="preserve">   Channels 1</v>
      </c>
      <c r="B219" s="241"/>
      <c r="C219" s="241"/>
      <c r="D219" s="241"/>
      <c r="E219" s="242"/>
      <c r="F219" s="241"/>
      <c r="G219" s="241"/>
      <c r="H219" s="241"/>
      <c r="I219" s="242"/>
      <c r="J219" s="241"/>
      <c r="K219" s="241"/>
      <c r="L219" s="241"/>
      <c r="M219" s="242"/>
      <c r="N219" s="241"/>
      <c r="O219" s="241"/>
      <c r="P219" s="241"/>
      <c r="Q219" s="242"/>
      <c r="R219" s="241"/>
      <c r="S219" s="241"/>
      <c r="T219" s="241"/>
      <c r="U219" s="242"/>
      <c r="V219" s="241"/>
      <c r="W219" s="241"/>
      <c r="X219" s="241"/>
      <c r="Y219" s="242"/>
    </row>
    <row r="220" spans="1:25" ht="12.75" hidden="1" customHeight="1" outlineLevel="1" x14ac:dyDescent="0.2">
      <c r="A220" s="198" t="str">
        <f>"      "&amp;Labels!B381</f>
        <v xml:space="preserve">      Practice 1</v>
      </c>
      <c r="B220" s="243"/>
      <c r="C220" s="243"/>
      <c r="D220" s="243"/>
      <c r="E220" s="244"/>
      <c r="F220" s="243"/>
      <c r="G220" s="243"/>
      <c r="H220" s="243"/>
      <c r="I220" s="244"/>
      <c r="J220" s="243"/>
      <c r="K220" s="243"/>
      <c r="L220" s="243"/>
      <c r="M220" s="244"/>
      <c r="N220" s="243"/>
      <c r="O220" s="243"/>
      <c r="P220" s="243"/>
      <c r="Q220" s="244"/>
      <c r="R220" s="243"/>
      <c r="S220" s="243"/>
      <c r="T220" s="243"/>
      <c r="U220" s="244"/>
      <c r="V220" s="243"/>
      <c r="W220" s="243"/>
      <c r="X220" s="243"/>
      <c r="Y220" s="244"/>
    </row>
    <row r="221" spans="1:25" ht="12.75" hidden="1" customHeight="1" outlineLevel="1" x14ac:dyDescent="0.2">
      <c r="A221" s="198" t="str">
        <f>"         "&amp;Labels!B385</f>
        <v xml:space="preserve">         Prof Level 1</v>
      </c>
      <c r="B221" s="243">
        <f>'GM CostSvcs'!B462*'(Tables)'!B1083</f>
        <v>0</v>
      </c>
      <c r="C221" s="243">
        <f>'GM CostSvcs'!C462*'(Tables)'!C1083</f>
        <v>0</v>
      </c>
      <c r="D221" s="243">
        <f>'GM CostSvcs'!D462*'(Tables)'!D1083</f>
        <v>0</v>
      </c>
      <c r="E221" s="244">
        <f>SUM(B221:D221)</f>
        <v>0</v>
      </c>
      <c r="F221" s="243">
        <f>'GM CostSvcs'!F462*'(Tables)'!E1083</f>
        <v>0</v>
      </c>
      <c r="G221" s="243">
        <f>'GM CostSvcs'!G462*'(Tables)'!F1083</f>
        <v>0</v>
      </c>
      <c r="H221" s="243">
        <f>'GM CostSvcs'!H462*'(Tables)'!G1083</f>
        <v>0</v>
      </c>
      <c r="I221" s="244">
        <f>SUM(F221:H221)</f>
        <v>0</v>
      </c>
      <c r="J221" s="243">
        <f>'GM CostSvcs'!J462*'(Tables)'!H1083</f>
        <v>14130.446485530005</v>
      </c>
      <c r="K221" s="243">
        <f>'GM CostSvcs'!K462*'(Tables)'!I1083</f>
        <v>14165.295978566419</v>
      </c>
      <c r="L221" s="243">
        <f>'GM CostSvcs'!L462*'(Tables)'!J1083</f>
        <v>0</v>
      </c>
      <c r="M221" s="244">
        <f>SUM(J221:L221)</f>
        <v>28295.742464096424</v>
      </c>
      <c r="N221" s="243">
        <f>'GM CostSvcs'!N462*'(Tables)'!K1083</f>
        <v>0</v>
      </c>
      <c r="O221" s="243">
        <f>'GM CostSvcs'!O462*'(Tables)'!L1083</f>
        <v>0</v>
      </c>
      <c r="P221" s="243">
        <f>'GM CostSvcs'!P462*'(Tables)'!M1083</f>
        <v>0</v>
      </c>
      <c r="Q221" s="244">
        <f>SUM(N221:P221)</f>
        <v>0</v>
      </c>
      <c r="R221" s="243">
        <f>'GM CostSvcs'!R462*'(Tables)'!N1083</f>
        <v>0</v>
      </c>
      <c r="S221" s="243">
        <f>'GM CostSvcs'!S462*'(Tables)'!O1083</f>
        <v>0</v>
      </c>
      <c r="T221" s="243">
        <f>'GM CostSvcs'!T462*'(Tables)'!P1083</f>
        <v>0</v>
      </c>
      <c r="U221" s="244">
        <f>SUM(R221:T221)</f>
        <v>0</v>
      </c>
      <c r="V221" s="243">
        <f>'GM CostSvcs'!V462*'(Tables)'!Q1083</f>
        <v>0</v>
      </c>
      <c r="W221" s="243">
        <f>'GM CostSvcs'!W462*'(Tables)'!R1083</f>
        <v>0</v>
      </c>
      <c r="X221" s="243">
        <f>'GM CostSvcs'!X462*'(Tables)'!S1083</f>
        <v>0</v>
      </c>
      <c r="Y221" s="244">
        <f>SUM(V221:X221)</f>
        <v>0</v>
      </c>
    </row>
    <row r="222" spans="1:25" ht="12.75" hidden="1" customHeight="1" outlineLevel="1" x14ac:dyDescent="0.2">
      <c r="A222" s="198" t="str">
        <f>"         "&amp;Labels!B386</f>
        <v xml:space="preserve">         Prof Level 2</v>
      </c>
      <c r="B222" s="243">
        <f>'GM CostSvcs'!B463*'(Tables)'!B1087</f>
        <v>0</v>
      </c>
      <c r="C222" s="243">
        <f>'GM CostSvcs'!C463*'(Tables)'!C1087</f>
        <v>0</v>
      </c>
      <c r="D222" s="243">
        <f>'GM CostSvcs'!D463*'(Tables)'!D1087</f>
        <v>0</v>
      </c>
      <c r="E222" s="244">
        <f>SUM(B222:D222)</f>
        <v>0</v>
      </c>
      <c r="F222" s="243">
        <f>'GM CostSvcs'!F463*'(Tables)'!E1087</f>
        <v>0</v>
      </c>
      <c r="G222" s="243">
        <f>'GM CostSvcs'!G463*'(Tables)'!F1087</f>
        <v>0</v>
      </c>
      <c r="H222" s="243">
        <f>'GM CostSvcs'!H463*'(Tables)'!G1087</f>
        <v>0</v>
      </c>
      <c r="I222" s="244">
        <f>SUM(F222:H222)</f>
        <v>0</v>
      </c>
      <c r="J222" s="243">
        <f>'GM CostSvcs'!J463*'(Tables)'!H1087</f>
        <v>14130.446485530005</v>
      </c>
      <c r="K222" s="243">
        <f>'GM CostSvcs'!K463*'(Tables)'!I1087</f>
        <v>14165.295978566419</v>
      </c>
      <c r="L222" s="243">
        <f>'GM CostSvcs'!L463*'(Tables)'!J1087</f>
        <v>0</v>
      </c>
      <c r="M222" s="244">
        <f>SUM(J222:L222)</f>
        <v>28295.742464096424</v>
      </c>
      <c r="N222" s="243">
        <f>'GM CostSvcs'!N463*'(Tables)'!K1087</f>
        <v>0</v>
      </c>
      <c r="O222" s="243">
        <f>'GM CostSvcs'!O463*'(Tables)'!L1087</f>
        <v>0</v>
      </c>
      <c r="P222" s="243">
        <f>'GM CostSvcs'!P463*'(Tables)'!M1087</f>
        <v>0</v>
      </c>
      <c r="Q222" s="244">
        <f>SUM(N222:P222)</f>
        <v>0</v>
      </c>
      <c r="R222" s="243">
        <f>'GM CostSvcs'!R463*'(Tables)'!N1087</f>
        <v>0</v>
      </c>
      <c r="S222" s="243">
        <f>'GM CostSvcs'!S463*'(Tables)'!O1087</f>
        <v>0</v>
      </c>
      <c r="T222" s="243">
        <f>'GM CostSvcs'!T463*'(Tables)'!P1087</f>
        <v>0</v>
      </c>
      <c r="U222" s="244">
        <f>SUM(R222:T222)</f>
        <v>0</v>
      </c>
      <c r="V222" s="243">
        <f>'GM CostSvcs'!V463*'(Tables)'!Q1087</f>
        <v>0</v>
      </c>
      <c r="W222" s="243">
        <f>'GM CostSvcs'!W463*'(Tables)'!R1087</f>
        <v>0</v>
      </c>
      <c r="X222" s="243">
        <f>'GM CostSvcs'!X463*'(Tables)'!S1087</f>
        <v>0</v>
      </c>
      <c r="Y222" s="244">
        <f>SUM(V222:X222)</f>
        <v>0</v>
      </c>
    </row>
    <row r="223" spans="1:25" ht="12.75" hidden="1" customHeight="1" outlineLevel="1" x14ac:dyDescent="0.2">
      <c r="A223" s="198" t="str">
        <f>"         "&amp;Labels!C384</f>
        <v xml:space="preserve">         Total</v>
      </c>
      <c r="B223" s="243">
        <f>SUM(B221:B222)</f>
        <v>0</v>
      </c>
      <c r="C223" s="243">
        <f>SUM(C221:C222)</f>
        <v>0</v>
      </c>
      <c r="D223" s="243">
        <f>SUM(D221:D222)</f>
        <v>0</v>
      </c>
      <c r="E223" s="244">
        <f>SUM(B223:D223)</f>
        <v>0</v>
      </c>
      <c r="F223" s="243">
        <f>SUM(F221:F222)</f>
        <v>0</v>
      </c>
      <c r="G223" s="243">
        <f>SUM(G221:G222)</f>
        <v>0</v>
      </c>
      <c r="H223" s="243">
        <f>SUM(H221:H222)</f>
        <v>0</v>
      </c>
      <c r="I223" s="244">
        <f>SUM(F223:H223)</f>
        <v>0</v>
      </c>
      <c r="J223" s="243">
        <f>SUM(J221:J222)</f>
        <v>28260.89297106001</v>
      </c>
      <c r="K223" s="243">
        <f>SUM(K221:K222)</f>
        <v>28330.591957132838</v>
      </c>
      <c r="L223" s="243">
        <f>SUM(L221:L222)</f>
        <v>0</v>
      </c>
      <c r="M223" s="244">
        <f>SUM(J223:L223)</f>
        <v>56591.484928192847</v>
      </c>
      <c r="N223" s="243">
        <f>SUM(N221:N222)</f>
        <v>0</v>
      </c>
      <c r="O223" s="243">
        <f>SUM(O221:O222)</f>
        <v>0</v>
      </c>
      <c r="P223" s="243">
        <f>SUM(P221:P222)</f>
        <v>0</v>
      </c>
      <c r="Q223" s="244">
        <f>SUM(N223:P223)</f>
        <v>0</v>
      </c>
      <c r="R223" s="243">
        <f>SUM(R221:R222)</f>
        <v>0</v>
      </c>
      <c r="S223" s="243">
        <f>SUM(S221:S222)</f>
        <v>0</v>
      </c>
      <c r="T223" s="243">
        <f>SUM(T221:T222)</f>
        <v>0</v>
      </c>
      <c r="U223" s="244">
        <f>SUM(R223:T223)</f>
        <v>0</v>
      </c>
      <c r="V223" s="243">
        <f>SUM(V221:V222)</f>
        <v>0</v>
      </c>
      <c r="W223" s="243">
        <f>SUM(W221:W222)</f>
        <v>0</v>
      </c>
      <c r="X223" s="243">
        <f>SUM(X221:X222)</f>
        <v>0</v>
      </c>
      <c r="Y223" s="244">
        <f>SUM(V223:X223)</f>
        <v>0</v>
      </c>
    </row>
    <row r="224" spans="1:25" ht="12.75" hidden="1" customHeight="1" outlineLevel="1" x14ac:dyDescent="0.2">
      <c r="A224" s="198" t="str">
        <f>"      "&amp;Labels!B382</f>
        <v xml:space="preserve">      Practice 2</v>
      </c>
      <c r="B224" s="243"/>
      <c r="C224" s="243"/>
      <c r="D224" s="243"/>
      <c r="E224" s="244"/>
      <c r="F224" s="243"/>
      <c r="G224" s="243"/>
      <c r="H224" s="243"/>
      <c r="I224" s="244"/>
      <c r="J224" s="243"/>
      <c r="K224" s="243"/>
      <c r="L224" s="243"/>
      <c r="M224" s="244"/>
      <c r="N224" s="243"/>
      <c r="O224" s="243"/>
      <c r="P224" s="243"/>
      <c r="Q224" s="244"/>
      <c r="R224" s="243"/>
      <c r="S224" s="243"/>
      <c r="T224" s="243"/>
      <c r="U224" s="244"/>
      <c r="V224" s="243"/>
      <c r="W224" s="243"/>
      <c r="X224" s="243"/>
      <c r="Y224" s="244"/>
    </row>
    <row r="225" spans="1:25" ht="12.75" hidden="1" customHeight="1" outlineLevel="1" x14ac:dyDescent="0.2">
      <c r="A225" s="198" t="str">
        <f>"         "&amp;Labels!B385</f>
        <v xml:space="preserve">         Prof Level 1</v>
      </c>
      <c r="B225" s="243">
        <f>'GM CostSvcs'!B466*'(Tables)'!B1096</f>
        <v>0</v>
      </c>
      <c r="C225" s="243">
        <f>'GM CostSvcs'!C466*'(Tables)'!C1096</f>
        <v>0</v>
      </c>
      <c r="D225" s="243">
        <f>'GM CostSvcs'!D466*'(Tables)'!D1096</f>
        <v>0</v>
      </c>
      <c r="E225" s="244">
        <f t="shared" ref="E225:E230" si="114">SUM(B225:D225)</f>
        <v>0</v>
      </c>
      <c r="F225" s="243">
        <f>'GM CostSvcs'!F466*'(Tables)'!E1096</f>
        <v>0</v>
      </c>
      <c r="G225" s="243">
        <f>'GM CostSvcs'!G466*'(Tables)'!F1096</f>
        <v>0</v>
      </c>
      <c r="H225" s="243">
        <f>'GM CostSvcs'!H466*'(Tables)'!G1096</f>
        <v>0</v>
      </c>
      <c r="I225" s="244">
        <f t="shared" ref="I225:I230" si="115">SUM(F225:H225)</f>
        <v>0</v>
      </c>
      <c r="J225" s="243">
        <f>'GM CostSvcs'!J466*'(Tables)'!H1096</f>
        <v>0</v>
      </c>
      <c r="K225" s="243">
        <f>'GM CostSvcs'!K466*'(Tables)'!I1096</f>
        <v>0</v>
      </c>
      <c r="L225" s="243">
        <f>'GM CostSvcs'!L466*'(Tables)'!J1096</f>
        <v>0</v>
      </c>
      <c r="M225" s="244">
        <f t="shared" ref="M225:M230" si="116">SUM(J225:L225)</f>
        <v>0</v>
      </c>
      <c r="N225" s="243">
        <f>'GM CostSvcs'!N466*'(Tables)'!K1096</f>
        <v>0</v>
      </c>
      <c r="O225" s="243">
        <f>'GM CostSvcs'!O466*'(Tables)'!L1096</f>
        <v>0</v>
      </c>
      <c r="P225" s="243">
        <f>'GM CostSvcs'!P466*'(Tables)'!M1096</f>
        <v>0</v>
      </c>
      <c r="Q225" s="244">
        <f t="shared" ref="Q225:Q230" si="117">SUM(N225:P225)</f>
        <v>0</v>
      </c>
      <c r="R225" s="243">
        <f>'GM CostSvcs'!R466*'(Tables)'!N1096</f>
        <v>0</v>
      </c>
      <c r="S225" s="243">
        <f>'GM CostSvcs'!S466*'(Tables)'!O1096</f>
        <v>0</v>
      </c>
      <c r="T225" s="243">
        <f>'GM CostSvcs'!T466*'(Tables)'!P1096</f>
        <v>0</v>
      </c>
      <c r="U225" s="244">
        <f t="shared" ref="U225:U230" si="118">SUM(R225:T225)</f>
        <v>0</v>
      </c>
      <c r="V225" s="243">
        <f>'GM CostSvcs'!V466*'(Tables)'!Q1096</f>
        <v>0</v>
      </c>
      <c r="W225" s="243">
        <f>'GM CostSvcs'!W466*'(Tables)'!R1096</f>
        <v>0</v>
      </c>
      <c r="X225" s="243">
        <f>'GM CostSvcs'!X466*'(Tables)'!S1096</f>
        <v>0</v>
      </c>
      <c r="Y225" s="244">
        <f t="shared" ref="Y225:Y230" si="119">SUM(V225:X225)</f>
        <v>0</v>
      </c>
    </row>
    <row r="226" spans="1:25" ht="12.75" hidden="1" customHeight="1" outlineLevel="1" x14ac:dyDescent="0.2">
      <c r="A226" s="198" t="str">
        <f>"         "&amp;Labels!B386</f>
        <v xml:space="preserve">         Prof Level 2</v>
      </c>
      <c r="B226" s="243">
        <f>'GM CostSvcs'!B467*'(Tables)'!B1100</f>
        <v>0</v>
      </c>
      <c r="C226" s="243">
        <f>'GM CostSvcs'!C467*'(Tables)'!C1100</f>
        <v>0</v>
      </c>
      <c r="D226" s="243">
        <f>'GM CostSvcs'!D467*'(Tables)'!D1100</f>
        <v>0</v>
      </c>
      <c r="E226" s="244">
        <f t="shared" si="114"/>
        <v>0</v>
      </c>
      <c r="F226" s="243">
        <f>'GM CostSvcs'!F467*'(Tables)'!E1100</f>
        <v>0</v>
      </c>
      <c r="G226" s="243">
        <f>'GM CostSvcs'!G467*'(Tables)'!F1100</f>
        <v>0</v>
      </c>
      <c r="H226" s="243">
        <f>'GM CostSvcs'!H467*'(Tables)'!G1100</f>
        <v>0</v>
      </c>
      <c r="I226" s="244">
        <f t="shared" si="115"/>
        <v>0</v>
      </c>
      <c r="J226" s="243">
        <f>'GM CostSvcs'!J467*'(Tables)'!H1100</f>
        <v>0</v>
      </c>
      <c r="K226" s="243">
        <f>'GM CostSvcs'!K467*'(Tables)'!I1100</f>
        <v>0</v>
      </c>
      <c r="L226" s="243">
        <f>'GM CostSvcs'!L467*'(Tables)'!J1100</f>
        <v>0</v>
      </c>
      <c r="M226" s="244">
        <f t="shared" si="116"/>
        <v>0</v>
      </c>
      <c r="N226" s="243">
        <f>'GM CostSvcs'!N467*'(Tables)'!K1100</f>
        <v>0</v>
      </c>
      <c r="O226" s="243">
        <f>'GM CostSvcs'!O467*'(Tables)'!L1100</f>
        <v>0</v>
      </c>
      <c r="P226" s="243">
        <f>'GM CostSvcs'!P467*'(Tables)'!M1100</f>
        <v>0</v>
      </c>
      <c r="Q226" s="244">
        <f t="shared" si="117"/>
        <v>0</v>
      </c>
      <c r="R226" s="243">
        <f>'GM CostSvcs'!R467*'(Tables)'!N1100</f>
        <v>0</v>
      </c>
      <c r="S226" s="243">
        <f>'GM CostSvcs'!S467*'(Tables)'!O1100</f>
        <v>0</v>
      </c>
      <c r="T226" s="243">
        <f>'GM CostSvcs'!T467*'(Tables)'!P1100</f>
        <v>0</v>
      </c>
      <c r="U226" s="244">
        <f t="shared" si="118"/>
        <v>0</v>
      </c>
      <c r="V226" s="243">
        <f>'GM CostSvcs'!V467*'(Tables)'!Q1100</f>
        <v>0</v>
      </c>
      <c r="W226" s="243">
        <f>'GM CostSvcs'!W467*'(Tables)'!R1100</f>
        <v>0</v>
      </c>
      <c r="X226" s="243">
        <f>'GM CostSvcs'!X467*'(Tables)'!S1100</f>
        <v>0</v>
      </c>
      <c r="Y226" s="244">
        <f t="shared" si="119"/>
        <v>0</v>
      </c>
    </row>
    <row r="227" spans="1:25" ht="12.75" hidden="1" customHeight="1" outlineLevel="1" x14ac:dyDescent="0.2">
      <c r="A227" s="198" t="str">
        <f>"         "&amp;Labels!C384</f>
        <v xml:space="preserve">         Total</v>
      </c>
      <c r="B227" s="243">
        <f>SUM(B225:B226)</f>
        <v>0</v>
      </c>
      <c r="C227" s="243">
        <f>SUM(C225:C226)</f>
        <v>0</v>
      </c>
      <c r="D227" s="243">
        <f>SUM(D225:D226)</f>
        <v>0</v>
      </c>
      <c r="E227" s="244">
        <f t="shared" si="114"/>
        <v>0</v>
      </c>
      <c r="F227" s="243">
        <f>SUM(F225:F226)</f>
        <v>0</v>
      </c>
      <c r="G227" s="243">
        <f>SUM(G225:G226)</f>
        <v>0</v>
      </c>
      <c r="H227" s="243">
        <f>SUM(H225:H226)</f>
        <v>0</v>
      </c>
      <c r="I227" s="244">
        <f t="shared" si="115"/>
        <v>0</v>
      </c>
      <c r="J227" s="243">
        <f>SUM(J225:J226)</f>
        <v>0</v>
      </c>
      <c r="K227" s="243">
        <f>SUM(K225:K226)</f>
        <v>0</v>
      </c>
      <c r="L227" s="243">
        <f>SUM(L225:L226)</f>
        <v>0</v>
      </c>
      <c r="M227" s="244">
        <f t="shared" si="116"/>
        <v>0</v>
      </c>
      <c r="N227" s="243">
        <f>SUM(N225:N226)</f>
        <v>0</v>
      </c>
      <c r="O227" s="243">
        <f>SUM(O225:O226)</f>
        <v>0</v>
      </c>
      <c r="P227" s="243">
        <f>SUM(P225:P226)</f>
        <v>0</v>
      </c>
      <c r="Q227" s="244">
        <f t="shared" si="117"/>
        <v>0</v>
      </c>
      <c r="R227" s="243">
        <f>SUM(R225:R226)</f>
        <v>0</v>
      </c>
      <c r="S227" s="243">
        <f>SUM(S225:S226)</f>
        <v>0</v>
      </c>
      <c r="T227" s="243">
        <f>SUM(T225:T226)</f>
        <v>0</v>
      </c>
      <c r="U227" s="244">
        <f t="shared" si="118"/>
        <v>0</v>
      </c>
      <c r="V227" s="243">
        <f>SUM(V225:V226)</f>
        <v>0</v>
      </c>
      <c r="W227" s="243">
        <f>SUM(W225:W226)</f>
        <v>0</v>
      </c>
      <c r="X227" s="243">
        <f>SUM(X225:X226)</f>
        <v>0</v>
      </c>
      <c r="Y227" s="244">
        <f t="shared" si="119"/>
        <v>0</v>
      </c>
    </row>
    <row r="228" spans="1:25" ht="12.75" hidden="1" customHeight="1" outlineLevel="1" x14ac:dyDescent="0.2">
      <c r="A228" s="188" t="str">
        <f>"      "&amp;Labels!C380</f>
        <v xml:space="preserve">      Total</v>
      </c>
      <c r="B228" s="241">
        <f>SUM(B223,B227)</f>
        <v>0</v>
      </c>
      <c r="C228" s="241">
        <f>SUM(C223,C227)</f>
        <v>0</v>
      </c>
      <c r="D228" s="241">
        <f>SUM(D223,D227)</f>
        <v>0</v>
      </c>
      <c r="E228" s="242">
        <f t="shared" si="114"/>
        <v>0</v>
      </c>
      <c r="F228" s="241">
        <f>SUM(F223,F227)</f>
        <v>0</v>
      </c>
      <c r="G228" s="241">
        <f>SUM(G223,G227)</f>
        <v>0</v>
      </c>
      <c r="H228" s="241">
        <f>SUM(H223,H227)</f>
        <v>0</v>
      </c>
      <c r="I228" s="242">
        <f t="shared" si="115"/>
        <v>0</v>
      </c>
      <c r="J228" s="241">
        <f>SUM(J223,J227)</f>
        <v>28260.89297106001</v>
      </c>
      <c r="K228" s="241">
        <f>SUM(K223,K227)</f>
        <v>28330.591957132838</v>
      </c>
      <c r="L228" s="241">
        <f>SUM(L223,L227)</f>
        <v>0</v>
      </c>
      <c r="M228" s="242">
        <f t="shared" si="116"/>
        <v>56591.484928192847</v>
      </c>
      <c r="N228" s="241">
        <f>SUM(N223,N227)</f>
        <v>0</v>
      </c>
      <c r="O228" s="241">
        <f>SUM(O223,O227)</f>
        <v>0</v>
      </c>
      <c r="P228" s="241">
        <f>SUM(P223,P227)</f>
        <v>0</v>
      </c>
      <c r="Q228" s="242">
        <f t="shared" si="117"/>
        <v>0</v>
      </c>
      <c r="R228" s="241">
        <f>SUM(R223,R227)</f>
        <v>0</v>
      </c>
      <c r="S228" s="241">
        <f>SUM(S223,S227)</f>
        <v>0</v>
      </c>
      <c r="T228" s="241">
        <f>SUM(T223,T227)</f>
        <v>0</v>
      </c>
      <c r="U228" s="242">
        <f t="shared" si="118"/>
        <v>0</v>
      </c>
      <c r="V228" s="241">
        <f>SUM(V223,V227)</f>
        <v>0</v>
      </c>
      <c r="W228" s="241">
        <f>SUM(W223,W227)</f>
        <v>0</v>
      </c>
      <c r="X228" s="241">
        <f>SUM(X223,X227)</f>
        <v>0</v>
      </c>
      <c r="Y228" s="242">
        <f t="shared" si="119"/>
        <v>0</v>
      </c>
    </row>
    <row r="229" spans="1:25" ht="12.75" hidden="1" customHeight="1" outlineLevel="1" x14ac:dyDescent="0.2">
      <c r="A229" s="198" t="str">
        <f>"         "&amp;Labels!B385</f>
        <v xml:space="preserve">         Prof Level 1</v>
      </c>
      <c r="B229" s="243">
        <f t="shared" ref="B229:D231" si="120">SUM(B221,B225)</f>
        <v>0</v>
      </c>
      <c r="C229" s="243">
        <f t="shared" si="120"/>
        <v>0</v>
      </c>
      <c r="D229" s="243">
        <f t="shared" si="120"/>
        <v>0</v>
      </c>
      <c r="E229" s="244">
        <f t="shared" si="114"/>
        <v>0</v>
      </c>
      <c r="F229" s="243">
        <f t="shared" ref="F229:H231" si="121">SUM(F221,F225)</f>
        <v>0</v>
      </c>
      <c r="G229" s="243">
        <f t="shared" si="121"/>
        <v>0</v>
      </c>
      <c r="H229" s="243">
        <f t="shared" si="121"/>
        <v>0</v>
      </c>
      <c r="I229" s="244">
        <f t="shared" si="115"/>
        <v>0</v>
      </c>
      <c r="J229" s="243">
        <f t="shared" ref="J229:L231" si="122">SUM(J221,J225)</f>
        <v>14130.446485530005</v>
      </c>
      <c r="K229" s="243">
        <f t="shared" si="122"/>
        <v>14165.295978566419</v>
      </c>
      <c r="L229" s="243">
        <f t="shared" si="122"/>
        <v>0</v>
      </c>
      <c r="M229" s="244">
        <f t="shared" si="116"/>
        <v>28295.742464096424</v>
      </c>
      <c r="N229" s="243">
        <f t="shared" ref="N229:P231" si="123">SUM(N221,N225)</f>
        <v>0</v>
      </c>
      <c r="O229" s="243">
        <f t="shared" si="123"/>
        <v>0</v>
      </c>
      <c r="P229" s="243">
        <f t="shared" si="123"/>
        <v>0</v>
      </c>
      <c r="Q229" s="244">
        <f t="shared" si="117"/>
        <v>0</v>
      </c>
      <c r="R229" s="243">
        <f t="shared" ref="R229:T231" si="124">SUM(R221,R225)</f>
        <v>0</v>
      </c>
      <c r="S229" s="243">
        <f t="shared" si="124"/>
        <v>0</v>
      </c>
      <c r="T229" s="243">
        <f t="shared" si="124"/>
        <v>0</v>
      </c>
      <c r="U229" s="244">
        <f t="shared" si="118"/>
        <v>0</v>
      </c>
      <c r="V229" s="243">
        <f t="shared" ref="V229:X231" si="125">SUM(V221,V225)</f>
        <v>0</v>
      </c>
      <c r="W229" s="243">
        <f t="shared" si="125"/>
        <v>0</v>
      </c>
      <c r="X229" s="243">
        <f t="shared" si="125"/>
        <v>0</v>
      </c>
      <c r="Y229" s="244">
        <f t="shared" si="119"/>
        <v>0</v>
      </c>
    </row>
    <row r="230" spans="1:25" ht="12.75" hidden="1" customHeight="1" outlineLevel="1" x14ac:dyDescent="0.2">
      <c r="A230" s="198" t="str">
        <f>"         "&amp;Labels!B386</f>
        <v xml:space="preserve">         Prof Level 2</v>
      </c>
      <c r="B230" s="243">
        <f t="shared" si="120"/>
        <v>0</v>
      </c>
      <c r="C230" s="243">
        <f t="shared" si="120"/>
        <v>0</v>
      </c>
      <c r="D230" s="243">
        <f t="shared" si="120"/>
        <v>0</v>
      </c>
      <c r="E230" s="244">
        <f t="shared" si="114"/>
        <v>0</v>
      </c>
      <c r="F230" s="243">
        <f t="shared" si="121"/>
        <v>0</v>
      </c>
      <c r="G230" s="243">
        <f t="shared" si="121"/>
        <v>0</v>
      </c>
      <c r="H230" s="243">
        <f t="shared" si="121"/>
        <v>0</v>
      </c>
      <c r="I230" s="244">
        <f t="shared" si="115"/>
        <v>0</v>
      </c>
      <c r="J230" s="243">
        <f t="shared" si="122"/>
        <v>14130.446485530005</v>
      </c>
      <c r="K230" s="243">
        <f t="shared" si="122"/>
        <v>14165.295978566419</v>
      </c>
      <c r="L230" s="243">
        <f t="shared" si="122"/>
        <v>0</v>
      </c>
      <c r="M230" s="244">
        <f t="shared" si="116"/>
        <v>28295.742464096424</v>
      </c>
      <c r="N230" s="243">
        <f t="shared" si="123"/>
        <v>0</v>
      </c>
      <c r="O230" s="243">
        <f t="shared" si="123"/>
        <v>0</v>
      </c>
      <c r="P230" s="243">
        <f t="shared" si="123"/>
        <v>0</v>
      </c>
      <c r="Q230" s="244">
        <f t="shared" si="117"/>
        <v>0</v>
      </c>
      <c r="R230" s="243">
        <f t="shared" si="124"/>
        <v>0</v>
      </c>
      <c r="S230" s="243">
        <f t="shared" si="124"/>
        <v>0</v>
      </c>
      <c r="T230" s="243">
        <f t="shared" si="124"/>
        <v>0</v>
      </c>
      <c r="U230" s="244">
        <f t="shared" si="118"/>
        <v>0</v>
      </c>
      <c r="V230" s="243">
        <f t="shared" si="125"/>
        <v>0</v>
      </c>
      <c r="W230" s="243">
        <f t="shared" si="125"/>
        <v>0</v>
      </c>
      <c r="X230" s="243">
        <f t="shared" si="125"/>
        <v>0</v>
      </c>
      <c r="Y230" s="244">
        <f t="shared" si="119"/>
        <v>0</v>
      </c>
    </row>
    <row r="231" spans="1:25" ht="12.75" hidden="1" customHeight="1" outlineLevel="1" x14ac:dyDescent="0.2">
      <c r="A231" s="198" t="str">
        <f>"         "&amp;Labels!C384</f>
        <v xml:space="preserve">         Total</v>
      </c>
      <c r="B231" s="243">
        <f t="shared" si="120"/>
        <v>0</v>
      </c>
      <c r="C231" s="243">
        <f t="shared" si="120"/>
        <v>0</v>
      </c>
      <c r="D231" s="243">
        <f t="shared" si="120"/>
        <v>0</v>
      </c>
      <c r="E231" s="244">
        <f>SUM(B228:D228)</f>
        <v>0</v>
      </c>
      <c r="F231" s="243">
        <f t="shared" si="121"/>
        <v>0</v>
      </c>
      <c r="G231" s="243">
        <f t="shared" si="121"/>
        <v>0</v>
      </c>
      <c r="H231" s="243">
        <f t="shared" si="121"/>
        <v>0</v>
      </c>
      <c r="I231" s="244">
        <f>SUM(F228:H228)</f>
        <v>0</v>
      </c>
      <c r="J231" s="243">
        <f t="shared" si="122"/>
        <v>28260.89297106001</v>
      </c>
      <c r="K231" s="243">
        <f t="shared" si="122"/>
        <v>28330.591957132838</v>
      </c>
      <c r="L231" s="243">
        <f t="shared" si="122"/>
        <v>0</v>
      </c>
      <c r="M231" s="244">
        <f>SUM(J228:L228)</f>
        <v>56591.484928192847</v>
      </c>
      <c r="N231" s="243">
        <f t="shared" si="123"/>
        <v>0</v>
      </c>
      <c r="O231" s="243">
        <f t="shared" si="123"/>
        <v>0</v>
      </c>
      <c r="P231" s="243">
        <f t="shared" si="123"/>
        <v>0</v>
      </c>
      <c r="Q231" s="244">
        <f>SUM(N228:P228)</f>
        <v>0</v>
      </c>
      <c r="R231" s="243">
        <f t="shared" si="124"/>
        <v>0</v>
      </c>
      <c r="S231" s="243">
        <f t="shared" si="124"/>
        <v>0</v>
      </c>
      <c r="T231" s="243">
        <f t="shared" si="124"/>
        <v>0</v>
      </c>
      <c r="U231" s="244">
        <f>SUM(R228:T228)</f>
        <v>0</v>
      </c>
      <c r="V231" s="243">
        <f t="shared" si="125"/>
        <v>0</v>
      </c>
      <c r="W231" s="243">
        <f t="shared" si="125"/>
        <v>0</v>
      </c>
      <c r="X231" s="243">
        <f t="shared" si="125"/>
        <v>0</v>
      </c>
      <c r="Y231" s="244">
        <f>SUM(V228:X228)</f>
        <v>0</v>
      </c>
    </row>
    <row r="232" spans="1:25" ht="12.75" hidden="1" customHeight="1" outlineLevel="1" x14ac:dyDescent="0.2">
      <c r="A232" s="188" t="str">
        <f>"   "&amp;Labels!B318</f>
        <v xml:space="preserve">   Channels 2</v>
      </c>
      <c r="B232" s="241"/>
      <c r="C232" s="241"/>
      <c r="D232" s="241"/>
      <c r="E232" s="242"/>
      <c r="F232" s="241"/>
      <c r="G232" s="241"/>
      <c r="H232" s="241"/>
      <c r="I232" s="242"/>
      <c r="J232" s="241"/>
      <c r="K232" s="241"/>
      <c r="L232" s="241"/>
      <c r="M232" s="242"/>
      <c r="N232" s="241"/>
      <c r="O232" s="241"/>
      <c r="P232" s="241"/>
      <c r="Q232" s="242"/>
      <c r="R232" s="241"/>
      <c r="S232" s="241"/>
      <c r="T232" s="241"/>
      <c r="U232" s="242"/>
      <c r="V232" s="241"/>
      <c r="W232" s="241"/>
      <c r="X232" s="241"/>
      <c r="Y232" s="242"/>
    </row>
    <row r="233" spans="1:25" ht="12.75" hidden="1" customHeight="1" outlineLevel="1" x14ac:dyDescent="0.2">
      <c r="A233" s="198" t="str">
        <f>"      "&amp;Labels!B381</f>
        <v xml:space="preserve">      Practice 1</v>
      </c>
      <c r="B233" s="243"/>
      <c r="C233" s="243"/>
      <c r="D233" s="243"/>
      <c r="E233" s="244"/>
      <c r="F233" s="243"/>
      <c r="G233" s="243"/>
      <c r="H233" s="243"/>
      <c r="I233" s="244"/>
      <c r="J233" s="243"/>
      <c r="K233" s="243"/>
      <c r="L233" s="243"/>
      <c r="M233" s="244"/>
      <c r="N233" s="243"/>
      <c r="O233" s="243"/>
      <c r="P233" s="243"/>
      <c r="Q233" s="244"/>
      <c r="R233" s="243"/>
      <c r="S233" s="243"/>
      <c r="T233" s="243"/>
      <c r="U233" s="244"/>
      <c r="V233" s="243"/>
      <c r="W233" s="243"/>
      <c r="X233" s="243"/>
      <c r="Y233" s="244"/>
    </row>
    <row r="234" spans="1:25" ht="12.75" hidden="1" customHeight="1" outlineLevel="1" x14ac:dyDescent="0.2">
      <c r="A234" s="198" t="str">
        <f>"         "&amp;Labels!B385</f>
        <v xml:space="preserve">         Prof Level 1</v>
      </c>
      <c r="B234" s="243">
        <f>'GM CostSvcs'!B462*'(Tables)'!B1084</f>
        <v>0</v>
      </c>
      <c r="C234" s="243">
        <f>'GM CostSvcs'!C462*'(Tables)'!C1084</f>
        <v>0</v>
      </c>
      <c r="D234" s="243">
        <f>'GM CostSvcs'!D462*'(Tables)'!D1084</f>
        <v>0</v>
      </c>
      <c r="E234" s="244">
        <f>SUM(B234:D234)</f>
        <v>0</v>
      </c>
      <c r="F234" s="243">
        <f>'GM CostSvcs'!F462*'(Tables)'!E1084</f>
        <v>0</v>
      </c>
      <c r="G234" s="243">
        <f>'GM CostSvcs'!G462*'(Tables)'!F1084</f>
        <v>0</v>
      </c>
      <c r="H234" s="243">
        <f>'GM CostSvcs'!H462*'(Tables)'!G1084</f>
        <v>0</v>
      </c>
      <c r="I234" s="244">
        <f>SUM(F234:H234)</f>
        <v>0</v>
      </c>
      <c r="J234" s="243">
        <f>'GM CostSvcs'!J462*'(Tables)'!H1084</f>
        <v>0</v>
      </c>
      <c r="K234" s="243">
        <f>'GM CostSvcs'!K462*'(Tables)'!I1084</f>
        <v>0</v>
      </c>
      <c r="L234" s="243">
        <f>'GM CostSvcs'!L462*'(Tables)'!J1084</f>
        <v>0</v>
      </c>
      <c r="M234" s="244">
        <f>SUM(J234:L234)</f>
        <v>0</v>
      </c>
      <c r="N234" s="243">
        <f>'GM CostSvcs'!N462*'(Tables)'!K1084</f>
        <v>0</v>
      </c>
      <c r="O234" s="243">
        <f>'GM CostSvcs'!O462*'(Tables)'!L1084</f>
        <v>0</v>
      </c>
      <c r="P234" s="243">
        <f>'GM CostSvcs'!P462*'(Tables)'!M1084</f>
        <v>0</v>
      </c>
      <c r="Q234" s="244">
        <f>SUM(N234:P234)</f>
        <v>0</v>
      </c>
      <c r="R234" s="243">
        <f>'GM CostSvcs'!R462*'(Tables)'!N1084</f>
        <v>0</v>
      </c>
      <c r="S234" s="243">
        <f>'GM CostSvcs'!S462*'(Tables)'!O1084</f>
        <v>0</v>
      </c>
      <c r="T234" s="243">
        <f>'GM CostSvcs'!T462*'(Tables)'!P1084</f>
        <v>0</v>
      </c>
      <c r="U234" s="244">
        <f>SUM(R234:T234)</f>
        <v>0</v>
      </c>
      <c r="V234" s="243">
        <f>'GM CostSvcs'!V462*'(Tables)'!Q1084</f>
        <v>0</v>
      </c>
      <c r="W234" s="243">
        <f>'GM CostSvcs'!W462*'(Tables)'!R1084</f>
        <v>0</v>
      </c>
      <c r="X234" s="243">
        <f>'GM CostSvcs'!X462*'(Tables)'!S1084</f>
        <v>0</v>
      </c>
      <c r="Y234" s="244">
        <f>SUM(V234:X234)</f>
        <v>0</v>
      </c>
    </row>
    <row r="235" spans="1:25" ht="12.75" hidden="1" customHeight="1" outlineLevel="1" x14ac:dyDescent="0.2">
      <c r="A235" s="198" t="str">
        <f>"         "&amp;Labels!B386</f>
        <v xml:space="preserve">         Prof Level 2</v>
      </c>
      <c r="B235" s="243">
        <f>'GM CostSvcs'!B463*'(Tables)'!B1088</f>
        <v>0</v>
      </c>
      <c r="C235" s="243">
        <f>'GM CostSvcs'!C463*'(Tables)'!C1088</f>
        <v>0</v>
      </c>
      <c r="D235" s="243">
        <f>'GM CostSvcs'!D463*'(Tables)'!D1088</f>
        <v>0</v>
      </c>
      <c r="E235" s="244">
        <f>SUM(B235:D235)</f>
        <v>0</v>
      </c>
      <c r="F235" s="243">
        <f>'GM CostSvcs'!F463*'(Tables)'!E1088</f>
        <v>0</v>
      </c>
      <c r="G235" s="243">
        <f>'GM CostSvcs'!G463*'(Tables)'!F1088</f>
        <v>0</v>
      </c>
      <c r="H235" s="243">
        <f>'GM CostSvcs'!H463*'(Tables)'!G1088</f>
        <v>0</v>
      </c>
      <c r="I235" s="244">
        <f>SUM(F235:H235)</f>
        <v>0</v>
      </c>
      <c r="J235" s="243">
        <f>'GM CostSvcs'!J463*'(Tables)'!H1088</f>
        <v>0</v>
      </c>
      <c r="K235" s="243">
        <f>'GM CostSvcs'!K463*'(Tables)'!I1088</f>
        <v>0</v>
      </c>
      <c r="L235" s="243">
        <f>'GM CostSvcs'!L463*'(Tables)'!J1088</f>
        <v>0</v>
      </c>
      <c r="M235" s="244">
        <f>SUM(J235:L235)</f>
        <v>0</v>
      </c>
      <c r="N235" s="243">
        <f>'GM CostSvcs'!N463*'(Tables)'!K1088</f>
        <v>0</v>
      </c>
      <c r="O235" s="243">
        <f>'GM CostSvcs'!O463*'(Tables)'!L1088</f>
        <v>0</v>
      </c>
      <c r="P235" s="243">
        <f>'GM CostSvcs'!P463*'(Tables)'!M1088</f>
        <v>0</v>
      </c>
      <c r="Q235" s="244">
        <f>SUM(N235:P235)</f>
        <v>0</v>
      </c>
      <c r="R235" s="243">
        <f>'GM CostSvcs'!R463*'(Tables)'!N1088</f>
        <v>0</v>
      </c>
      <c r="S235" s="243">
        <f>'GM CostSvcs'!S463*'(Tables)'!O1088</f>
        <v>0</v>
      </c>
      <c r="T235" s="243">
        <f>'GM CostSvcs'!T463*'(Tables)'!P1088</f>
        <v>0</v>
      </c>
      <c r="U235" s="244">
        <f>SUM(R235:T235)</f>
        <v>0</v>
      </c>
      <c r="V235" s="243">
        <f>'GM CostSvcs'!V463*'(Tables)'!Q1088</f>
        <v>0</v>
      </c>
      <c r="W235" s="243">
        <f>'GM CostSvcs'!W463*'(Tables)'!R1088</f>
        <v>0</v>
      </c>
      <c r="X235" s="243">
        <f>'GM CostSvcs'!X463*'(Tables)'!S1088</f>
        <v>0</v>
      </c>
      <c r="Y235" s="244">
        <f>SUM(V235:X235)</f>
        <v>0</v>
      </c>
    </row>
    <row r="236" spans="1:25" ht="12.75" hidden="1" customHeight="1" outlineLevel="1" x14ac:dyDescent="0.2">
      <c r="A236" s="198" t="str">
        <f>"         "&amp;Labels!C384</f>
        <v xml:space="preserve">         Total</v>
      </c>
      <c r="B236" s="243">
        <f>SUM(B234:B235)</f>
        <v>0</v>
      </c>
      <c r="C236" s="243">
        <f>SUM(C234:C235)</f>
        <v>0</v>
      </c>
      <c r="D236" s="243">
        <f>SUM(D234:D235)</f>
        <v>0</v>
      </c>
      <c r="E236" s="244">
        <f>SUM(B236:D236)</f>
        <v>0</v>
      </c>
      <c r="F236" s="243">
        <f>SUM(F234:F235)</f>
        <v>0</v>
      </c>
      <c r="G236" s="243">
        <f>SUM(G234:G235)</f>
        <v>0</v>
      </c>
      <c r="H236" s="243">
        <f>SUM(H234:H235)</f>
        <v>0</v>
      </c>
      <c r="I236" s="244">
        <f>SUM(F236:H236)</f>
        <v>0</v>
      </c>
      <c r="J236" s="243">
        <f>SUM(J234:J235)</f>
        <v>0</v>
      </c>
      <c r="K236" s="243">
        <f>SUM(K234:K235)</f>
        <v>0</v>
      </c>
      <c r="L236" s="243">
        <f>SUM(L234:L235)</f>
        <v>0</v>
      </c>
      <c r="M236" s="244">
        <f>SUM(J236:L236)</f>
        <v>0</v>
      </c>
      <c r="N236" s="243">
        <f>SUM(N234:N235)</f>
        <v>0</v>
      </c>
      <c r="O236" s="243">
        <f>SUM(O234:O235)</f>
        <v>0</v>
      </c>
      <c r="P236" s="243">
        <f>SUM(P234:P235)</f>
        <v>0</v>
      </c>
      <c r="Q236" s="244">
        <f>SUM(N236:P236)</f>
        <v>0</v>
      </c>
      <c r="R236" s="243">
        <f>SUM(R234:R235)</f>
        <v>0</v>
      </c>
      <c r="S236" s="243">
        <f>SUM(S234:S235)</f>
        <v>0</v>
      </c>
      <c r="T236" s="243">
        <f>SUM(T234:T235)</f>
        <v>0</v>
      </c>
      <c r="U236" s="244">
        <f>SUM(R236:T236)</f>
        <v>0</v>
      </c>
      <c r="V236" s="243">
        <f>SUM(V234:V235)</f>
        <v>0</v>
      </c>
      <c r="W236" s="243">
        <f>SUM(W234:W235)</f>
        <v>0</v>
      </c>
      <c r="X236" s="243">
        <f>SUM(X234:X235)</f>
        <v>0</v>
      </c>
      <c r="Y236" s="244">
        <f>SUM(V236:X236)</f>
        <v>0</v>
      </c>
    </row>
    <row r="237" spans="1:25" ht="12.75" hidden="1" customHeight="1" outlineLevel="1" x14ac:dyDescent="0.2">
      <c r="A237" s="198" t="str">
        <f>"      "&amp;Labels!B382</f>
        <v xml:space="preserve">      Practice 2</v>
      </c>
      <c r="B237" s="243"/>
      <c r="C237" s="243"/>
      <c r="D237" s="243"/>
      <c r="E237" s="244"/>
      <c r="F237" s="243"/>
      <c r="G237" s="243"/>
      <c r="H237" s="243"/>
      <c r="I237" s="244"/>
      <c r="J237" s="243"/>
      <c r="K237" s="243"/>
      <c r="L237" s="243"/>
      <c r="M237" s="244"/>
      <c r="N237" s="243"/>
      <c r="O237" s="243"/>
      <c r="P237" s="243"/>
      <c r="Q237" s="244"/>
      <c r="R237" s="243"/>
      <c r="S237" s="243"/>
      <c r="T237" s="243"/>
      <c r="U237" s="244"/>
      <c r="V237" s="243"/>
      <c r="W237" s="243"/>
      <c r="X237" s="243"/>
      <c r="Y237" s="244"/>
    </row>
    <row r="238" spans="1:25" ht="12.75" hidden="1" customHeight="1" outlineLevel="1" x14ac:dyDescent="0.2">
      <c r="A238" s="198" t="str">
        <f>"         "&amp;Labels!B385</f>
        <v xml:space="preserve">         Prof Level 1</v>
      </c>
      <c r="B238" s="243">
        <f>'GM CostSvcs'!B466*'(Tables)'!B1097</f>
        <v>0</v>
      </c>
      <c r="C238" s="243">
        <f>'GM CostSvcs'!C466*'(Tables)'!C1097</f>
        <v>0</v>
      </c>
      <c r="D238" s="243">
        <f>'GM CostSvcs'!D466*'(Tables)'!D1097</f>
        <v>0</v>
      </c>
      <c r="E238" s="244">
        <f t="shared" ref="E238:E243" si="126">SUM(B238:D238)</f>
        <v>0</v>
      </c>
      <c r="F238" s="243">
        <f>'GM CostSvcs'!F466*'(Tables)'!E1097</f>
        <v>0</v>
      </c>
      <c r="G238" s="243">
        <f>'GM CostSvcs'!G466*'(Tables)'!F1097</f>
        <v>0</v>
      </c>
      <c r="H238" s="243">
        <f>'GM CostSvcs'!H466*'(Tables)'!G1097</f>
        <v>0</v>
      </c>
      <c r="I238" s="244">
        <f t="shared" ref="I238:I243" si="127">SUM(F238:H238)</f>
        <v>0</v>
      </c>
      <c r="J238" s="243">
        <f>'GM CostSvcs'!J466*'(Tables)'!H1097</f>
        <v>0</v>
      </c>
      <c r="K238" s="243">
        <f>'GM CostSvcs'!K466*'(Tables)'!I1097</f>
        <v>0</v>
      </c>
      <c r="L238" s="243">
        <f>'GM CostSvcs'!L466*'(Tables)'!J1097</f>
        <v>0</v>
      </c>
      <c r="M238" s="244">
        <f t="shared" ref="M238:M243" si="128">SUM(J238:L238)</f>
        <v>0</v>
      </c>
      <c r="N238" s="243">
        <f>'GM CostSvcs'!N466*'(Tables)'!K1097</f>
        <v>0</v>
      </c>
      <c r="O238" s="243">
        <f>'GM CostSvcs'!O466*'(Tables)'!L1097</f>
        <v>0</v>
      </c>
      <c r="P238" s="243">
        <f>'GM CostSvcs'!P466*'(Tables)'!M1097</f>
        <v>0</v>
      </c>
      <c r="Q238" s="244">
        <f t="shared" ref="Q238:Q243" si="129">SUM(N238:P238)</f>
        <v>0</v>
      </c>
      <c r="R238" s="243">
        <f>'GM CostSvcs'!R466*'(Tables)'!N1097</f>
        <v>0</v>
      </c>
      <c r="S238" s="243">
        <f>'GM CostSvcs'!S466*'(Tables)'!O1097</f>
        <v>0</v>
      </c>
      <c r="T238" s="243">
        <f>'GM CostSvcs'!T466*'(Tables)'!P1097</f>
        <v>0</v>
      </c>
      <c r="U238" s="244">
        <f t="shared" ref="U238:U243" si="130">SUM(R238:T238)</f>
        <v>0</v>
      </c>
      <c r="V238" s="243">
        <f>'GM CostSvcs'!V466*'(Tables)'!Q1097</f>
        <v>0</v>
      </c>
      <c r="W238" s="243">
        <f>'GM CostSvcs'!W466*'(Tables)'!R1097</f>
        <v>0</v>
      </c>
      <c r="X238" s="243">
        <f>'GM CostSvcs'!X466*'(Tables)'!S1097</f>
        <v>0</v>
      </c>
      <c r="Y238" s="244">
        <f t="shared" ref="Y238:Y243" si="131">SUM(V238:X238)</f>
        <v>0</v>
      </c>
    </row>
    <row r="239" spans="1:25" ht="12.75" hidden="1" customHeight="1" outlineLevel="1" x14ac:dyDescent="0.2">
      <c r="A239" s="198" t="str">
        <f>"         "&amp;Labels!B386</f>
        <v xml:space="preserve">         Prof Level 2</v>
      </c>
      <c r="B239" s="243">
        <f>'GM CostSvcs'!B467*'(Tables)'!B1101</f>
        <v>0</v>
      </c>
      <c r="C239" s="243">
        <f>'GM CostSvcs'!C467*'(Tables)'!C1101</f>
        <v>0</v>
      </c>
      <c r="D239" s="243">
        <f>'GM CostSvcs'!D467*'(Tables)'!D1101</f>
        <v>0</v>
      </c>
      <c r="E239" s="244">
        <f t="shared" si="126"/>
        <v>0</v>
      </c>
      <c r="F239" s="243">
        <f>'GM CostSvcs'!F467*'(Tables)'!E1101</f>
        <v>0</v>
      </c>
      <c r="G239" s="243">
        <f>'GM CostSvcs'!G467*'(Tables)'!F1101</f>
        <v>0</v>
      </c>
      <c r="H239" s="243">
        <f>'GM CostSvcs'!H467*'(Tables)'!G1101</f>
        <v>0</v>
      </c>
      <c r="I239" s="244">
        <f t="shared" si="127"/>
        <v>0</v>
      </c>
      <c r="J239" s="243">
        <f>'GM CostSvcs'!J467*'(Tables)'!H1101</f>
        <v>0</v>
      </c>
      <c r="K239" s="243">
        <f>'GM CostSvcs'!K467*'(Tables)'!I1101</f>
        <v>0</v>
      </c>
      <c r="L239" s="243">
        <f>'GM CostSvcs'!L467*'(Tables)'!J1101</f>
        <v>0</v>
      </c>
      <c r="M239" s="244">
        <f t="shared" si="128"/>
        <v>0</v>
      </c>
      <c r="N239" s="243">
        <f>'GM CostSvcs'!N467*'(Tables)'!K1101</f>
        <v>0</v>
      </c>
      <c r="O239" s="243">
        <f>'GM CostSvcs'!O467*'(Tables)'!L1101</f>
        <v>0</v>
      </c>
      <c r="P239" s="243">
        <f>'GM CostSvcs'!P467*'(Tables)'!M1101</f>
        <v>0</v>
      </c>
      <c r="Q239" s="244">
        <f t="shared" si="129"/>
        <v>0</v>
      </c>
      <c r="R239" s="243">
        <f>'GM CostSvcs'!R467*'(Tables)'!N1101</f>
        <v>0</v>
      </c>
      <c r="S239" s="243">
        <f>'GM CostSvcs'!S467*'(Tables)'!O1101</f>
        <v>0</v>
      </c>
      <c r="T239" s="243">
        <f>'GM CostSvcs'!T467*'(Tables)'!P1101</f>
        <v>0</v>
      </c>
      <c r="U239" s="244">
        <f t="shared" si="130"/>
        <v>0</v>
      </c>
      <c r="V239" s="243">
        <f>'GM CostSvcs'!V467*'(Tables)'!Q1101</f>
        <v>0</v>
      </c>
      <c r="W239" s="243">
        <f>'GM CostSvcs'!W467*'(Tables)'!R1101</f>
        <v>0</v>
      </c>
      <c r="X239" s="243">
        <f>'GM CostSvcs'!X467*'(Tables)'!S1101</f>
        <v>0</v>
      </c>
      <c r="Y239" s="244">
        <f t="shared" si="131"/>
        <v>0</v>
      </c>
    </row>
    <row r="240" spans="1:25" ht="12.75" hidden="1" customHeight="1" outlineLevel="1" x14ac:dyDescent="0.2">
      <c r="A240" s="198" t="str">
        <f>"         "&amp;Labels!C384</f>
        <v xml:space="preserve">         Total</v>
      </c>
      <c r="B240" s="243">
        <f>SUM(B238:B239)</f>
        <v>0</v>
      </c>
      <c r="C240" s="243">
        <f>SUM(C238:C239)</f>
        <v>0</v>
      </c>
      <c r="D240" s="243">
        <f>SUM(D238:D239)</f>
        <v>0</v>
      </c>
      <c r="E240" s="244">
        <f t="shared" si="126"/>
        <v>0</v>
      </c>
      <c r="F240" s="243">
        <f>SUM(F238:F239)</f>
        <v>0</v>
      </c>
      <c r="G240" s="243">
        <f>SUM(G238:G239)</f>
        <v>0</v>
      </c>
      <c r="H240" s="243">
        <f>SUM(H238:H239)</f>
        <v>0</v>
      </c>
      <c r="I240" s="244">
        <f t="shared" si="127"/>
        <v>0</v>
      </c>
      <c r="J240" s="243">
        <f>SUM(J238:J239)</f>
        <v>0</v>
      </c>
      <c r="K240" s="243">
        <f>SUM(K238:K239)</f>
        <v>0</v>
      </c>
      <c r="L240" s="243">
        <f>SUM(L238:L239)</f>
        <v>0</v>
      </c>
      <c r="M240" s="244">
        <f t="shared" si="128"/>
        <v>0</v>
      </c>
      <c r="N240" s="243">
        <f>SUM(N238:N239)</f>
        <v>0</v>
      </c>
      <c r="O240" s="243">
        <f>SUM(O238:O239)</f>
        <v>0</v>
      </c>
      <c r="P240" s="243">
        <f>SUM(P238:P239)</f>
        <v>0</v>
      </c>
      <c r="Q240" s="244">
        <f t="shared" si="129"/>
        <v>0</v>
      </c>
      <c r="R240" s="243">
        <f>SUM(R238:R239)</f>
        <v>0</v>
      </c>
      <c r="S240" s="243">
        <f>SUM(S238:S239)</f>
        <v>0</v>
      </c>
      <c r="T240" s="243">
        <f>SUM(T238:T239)</f>
        <v>0</v>
      </c>
      <c r="U240" s="244">
        <f t="shared" si="130"/>
        <v>0</v>
      </c>
      <c r="V240" s="243">
        <f>SUM(V238:V239)</f>
        <v>0</v>
      </c>
      <c r="W240" s="243">
        <f>SUM(W238:W239)</f>
        <v>0</v>
      </c>
      <c r="X240" s="243">
        <f>SUM(X238:X239)</f>
        <v>0</v>
      </c>
      <c r="Y240" s="244">
        <f t="shared" si="131"/>
        <v>0</v>
      </c>
    </row>
    <row r="241" spans="1:25" ht="12.75" hidden="1" customHeight="1" outlineLevel="1" x14ac:dyDescent="0.2">
      <c r="A241" s="188" t="str">
        <f>"      "&amp;Labels!C380</f>
        <v xml:space="preserve">      Total</v>
      </c>
      <c r="B241" s="241">
        <f>SUM(B236,B240)</f>
        <v>0</v>
      </c>
      <c r="C241" s="241">
        <f>SUM(C236,C240)</f>
        <v>0</v>
      </c>
      <c r="D241" s="241">
        <f>SUM(D236,D240)</f>
        <v>0</v>
      </c>
      <c r="E241" s="242">
        <f t="shared" si="126"/>
        <v>0</v>
      </c>
      <c r="F241" s="241">
        <f>SUM(F236,F240)</f>
        <v>0</v>
      </c>
      <c r="G241" s="241">
        <f>SUM(G236,G240)</f>
        <v>0</v>
      </c>
      <c r="H241" s="241">
        <f>SUM(H236,H240)</f>
        <v>0</v>
      </c>
      <c r="I241" s="242">
        <f t="shared" si="127"/>
        <v>0</v>
      </c>
      <c r="J241" s="241">
        <f>SUM(J236,J240)</f>
        <v>0</v>
      </c>
      <c r="K241" s="241">
        <f>SUM(K236,K240)</f>
        <v>0</v>
      </c>
      <c r="L241" s="241">
        <f>SUM(L236,L240)</f>
        <v>0</v>
      </c>
      <c r="M241" s="242">
        <f t="shared" si="128"/>
        <v>0</v>
      </c>
      <c r="N241" s="241">
        <f>SUM(N236,N240)</f>
        <v>0</v>
      </c>
      <c r="O241" s="241">
        <f>SUM(O236,O240)</f>
        <v>0</v>
      </c>
      <c r="P241" s="241">
        <f>SUM(P236,P240)</f>
        <v>0</v>
      </c>
      <c r="Q241" s="242">
        <f t="shared" si="129"/>
        <v>0</v>
      </c>
      <c r="R241" s="241">
        <f>SUM(R236,R240)</f>
        <v>0</v>
      </c>
      <c r="S241" s="241">
        <f>SUM(S236,S240)</f>
        <v>0</v>
      </c>
      <c r="T241" s="241">
        <f>SUM(T236,T240)</f>
        <v>0</v>
      </c>
      <c r="U241" s="242">
        <f t="shared" si="130"/>
        <v>0</v>
      </c>
      <c r="V241" s="241">
        <f>SUM(V236,V240)</f>
        <v>0</v>
      </c>
      <c r="W241" s="241">
        <f>SUM(W236,W240)</f>
        <v>0</v>
      </c>
      <c r="X241" s="241">
        <f>SUM(X236,X240)</f>
        <v>0</v>
      </c>
      <c r="Y241" s="242">
        <f t="shared" si="131"/>
        <v>0</v>
      </c>
    </row>
    <row r="242" spans="1:25" ht="12.75" hidden="1" customHeight="1" outlineLevel="1" x14ac:dyDescent="0.2">
      <c r="A242" s="198" t="str">
        <f>"         "&amp;Labels!B385</f>
        <v xml:space="preserve">         Prof Level 1</v>
      </c>
      <c r="B242" s="243">
        <f t="shared" ref="B242:D244" si="132">SUM(B234,B238)</f>
        <v>0</v>
      </c>
      <c r="C242" s="243">
        <f t="shared" si="132"/>
        <v>0</v>
      </c>
      <c r="D242" s="243">
        <f t="shared" si="132"/>
        <v>0</v>
      </c>
      <c r="E242" s="244">
        <f t="shared" si="126"/>
        <v>0</v>
      </c>
      <c r="F242" s="243">
        <f t="shared" ref="F242:H244" si="133">SUM(F234,F238)</f>
        <v>0</v>
      </c>
      <c r="G242" s="243">
        <f t="shared" si="133"/>
        <v>0</v>
      </c>
      <c r="H242" s="243">
        <f t="shared" si="133"/>
        <v>0</v>
      </c>
      <c r="I242" s="244">
        <f t="shared" si="127"/>
        <v>0</v>
      </c>
      <c r="J242" s="243">
        <f t="shared" ref="J242:L244" si="134">SUM(J234,J238)</f>
        <v>0</v>
      </c>
      <c r="K242" s="243">
        <f t="shared" si="134"/>
        <v>0</v>
      </c>
      <c r="L242" s="243">
        <f t="shared" si="134"/>
        <v>0</v>
      </c>
      <c r="M242" s="244">
        <f t="shared" si="128"/>
        <v>0</v>
      </c>
      <c r="N242" s="243">
        <f t="shared" ref="N242:P244" si="135">SUM(N234,N238)</f>
        <v>0</v>
      </c>
      <c r="O242" s="243">
        <f t="shared" si="135"/>
        <v>0</v>
      </c>
      <c r="P242" s="243">
        <f t="shared" si="135"/>
        <v>0</v>
      </c>
      <c r="Q242" s="244">
        <f t="shared" si="129"/>
        <v>0</v>
      </c>
      <c r="R242" s="243">
        <f t="shared" ref="R242:T244" si="136">SUM(R234,R238)</f>
        <v>0</v>
      </c>
      <c r="S242" s="243">
        <f t="shared" si="136"/>
        <v>0</v>
      </c>
      <c r="T242" s="243">
        <f t="shared" si="136"/>
        <v>0</v>
      </c>
      <c r="U242" s="244">
        <f t="shared" si="130"/>
        <v>0</v>
      </c>
      <c r="V242" s="243">
        <f t="shared" ref="V242:X244" si="137">SUM(V234,V238)</f>
        <v>0</v>
      </c>
      <c r="W242" s="243">
        <f t="shared" si="137"/>
        <v>0</v>
      </c>
      <c r="X242" s="243">
        <f t="shared" si="137"/>
        <v>0</v>
      </c>
      <c r="Y242" s="244">
        <f t="shared" si="131"/>
        <v>0</v>
      </c>
    </row>
    <row r="243" spans="1:25" ht="12.75" hidden="1" customHeight="1" outlineLevel="1" x14ac:dyDescent="0.2">
      <c r="A243" s="198" t="str">
        <f>"         "&amp;Labels!B386</f>
        <v xml:space="preserve">         Prof Level 2</v>
      </c>
      <c r="B243" s="243">
        <f t="shared" si="132"/>
        <v>0</v>
      </c>
      <c r="C243" s="243">
        <f t="shared" si="132"/>
        <v>0</v>
      </c>
      <c r="D243" s="243">
        <f t="shared" si="132"/>
        <v>0</v>
      </c>
      <c r="E243" s="244">
        <f t="shared" si="126"/>
        <v>0</v>
      </c>
      <c r="F243" s="243">
        <f t="shared" si="133"/>
        <v>0</v>
      </c>
      <c r="G243" s="243">
        <f t="shared" si="133"/>
        <v>0</v>
      </c>
      <c r="H243" s="243">
        <f t="shared" si="133"/>
        <v>0</v>
      </c>
      <c r="I243" s="244">
        <f t="shared" si="127"/>
        <v>0</v>
      </c>
      <c r="J243" s="243">
        <f t="shared" si="134"/>
        <v>0</v>
      </c>
      <c r="K243" s="243">
        <f t="shared" si="134"/>
        <v>0</v>
      </c>
      <c r="L243" s="243">
        <f t="shared" si="134"/>
        <v>0</v>
      </c>
      <c r="M243" s="244">
        <f t="shared" si="128"/>
        <v>0</v>
      </c>
      <c r="N243" s="243">
        <f t="shared" si="135"/>
        <v>0</v>
      </c>
      <c r="O243" s="243">
        <f t="shared" si="135"/>
        <v>0</v>
      </c>
      <c r="P243" s="243">
        <f t="shared" si="135"/>
        <v>0</v>
      </c>
      <c r="Q243" s="244">
        <f t="shared" si="129"/>
        <v>0</v>
      </c>
      <c r="R243" s="243">
        <f t="shared" si="136"/>
        <v>0</v>
      </c>
      <c r="S243" s="243">
        <f t="shared" si="136"/>
        <v>0</v>
      </c>
      <c r="T243" s="243">
        <f t="shared" si="136"/>
        <v>0</v>
      </c>
      <c r="U243" s="244">
        <f t="shared" si="130"/>
        <v>0</v>
      </c>
      <c r="V243" s="243">
        <f t="shared" si="137"/>
        <v>0</v>
      </c>
      <c r="W243" s="243">
        <f t="shared" si="137"/>
        <v>0</v>
      </c>
      <c r="X243" s="243">
        <f t="shared" si="137"/>
        <v>0</v>
      </c>
      <c r="Y243" s="244">
        <f t="shared" si="131"/>
        <v>0</v>
      </c>
    </row>
    <row r="244" spans="1:25" ht="12.75" hidden="1" customHeight="1" outlineLevel="1" x14ac:dyDescent="0.2">
      <c r="A244" s="198" t="str">
        <f>"         "&amp;Labels!C384</f>
        <v xml:space="preserve">         Total</v>
      </c>
      <c r="B244" s="243">
        <f t="shared" si="132"/>
        <v>0</v>
      </c>
      <c r="C244" s="243">
        <f t="shared" si="132"/>
        <v>0</v>
      </c>
      <c r="D244" s="243">
        <f t="shared" si="132"/>
        <v>0</v>
      </c>
      <c r="E244" s="244">
        <f>SUM(B241:D241)</f>
        <v>0</v>
      </c>
      <c r="F244" s="243">
        <f t="shared" si="133"/>
        <v>0</v>
      </c>
      <c r="G244" s="243">
        <f t="shared" si="133"/>
        <v>0</v>
      </c>
      <c r="H244" s="243">
        <f t="shared" si="133"/>
        <v>0</v>
      </c>
      <c r="I244" s="244">
        <f>SUM(F241:H241)</f>
        <v>0</v>
      </c>
      <c r="J244" s="243">
        <f t="shared" si="134"/>
        <v>0</v>
      </c>
      <c r="K244" s="243">
        <f t="shared" si="134"/>
        <v>0</v>
      </c>
      <c r="L244" s="243">
        <f t="shared" si="134"/>
        <v>0</v>
      </c>
      <c r="M244" s="244">
        <f>SUM(J241:L241)</f>
        <v>0</v>
      </c>
      <c r="N244" s="243">
        <f t="shared" si="135"/>
        <v>0</v>
      </c>
      <c r="O244" s="243">
        <f t="shared" si="135"/>
        <v>0</v>
      </c>
      <c r="P244" s="243">
        <f t="shared" si="135"/>
        <v>0</v>
      </c>
      <c r="Q244" s="244">
        <f>SUM(N241:P241)</f>
        <v>0</v>
      </c>
      <c r="R244" s="243">
        <f t="shared" si="136"/>
        <v>0</v>
      </c>
      <c r="S244" s="243">
        <f t="shared" si="136"/>
        <v>0</v>
      </c>
      <c r="T244" s="243">
        <f t="shared" si="136"/>
        <v>0</v>
      </c>
      <c r="U244" s="244">
        <f>SUM(R241:T241)</f>
        <v>0</v>
      </c>
      <c r="V244" s="243">
        <f t="shared" si="137"/>
        <v>0</v>
      </c>
      <c r="W244" s="243">
        <f t="shared" si="137"/>
        <v>0</v>
      </c>
      <c r="X244" s="243">
        <f t="shared" si="137"/>
        <v>0</v>
      </c>
      <c r="Y244" s="244">
        <f>SUM(V241:X241)</f>
        <v>0</v>
      </c>
    </row>
    <row r="245" spans="1:25" ht="12.75" hidden="1" customHeight="1" outlineLevel="1" x14ac:dyDescent="0.2">
      <c r="A245" s="191" t="str">
        <f>"   "&amp;Labels!C316</f>
        <v xml:space="preserve">   Total</v>
      </c>
      <c r="B245" s="245">
        <f>SUM(B228,B241)</f>
        <v>0</v>
      </c>
      <c r="C245" s="245">
        <f>SUM(C228,C241)</f>
        <v>0</v>
      </c>
      <c r="D245" s="245">
        <f>SUM(D228,D241)</f>
        <v>0</v>
      </c>
      <c r="E245" s="246">
        <f>SUM(B245:D245)</f>
        <v>0</v>
      </c>
      <c r="F245" s="245">
        <f>SUM(F228,F241)</f>
        <v>0</v>
      </c>
      <c r="G245" s="245">
        <f>SUM(G228,G241)</f>
        <v>0</v>
      </c>
      <c r="H245" s="245">
        <f>SUM(H228,H241)</f>
        <v>0</v>
      </c>
      <c r="I245" s="246">
        <f>SUM(F245:H245)</f>
        <v>0</v>
      </c>
      <c r="J245" s="245">
        <f>SUM(J228,J241)</f>
        <v>28260.89297106001</v>
      </c>
      <c r="K245" s="245">
        <f>SUM(K228,K241)</f>
        <v>28330.591957132838</v>
      </c>
      <c r="L245" s="245">
        <f>SUM(L228,L241)</f>
        <v>0</v>
      </c>
      <c r="M245" s="246">
        <f>SUM(J245:L245)</f>
        <v>56591.484928192847</v>
      </c>
      <c r="N245" s="245">
        <f>SUM(N228,N241)</f>
        <v>0</v>
      </c>
      <c r="O245" s="245">
        <f>SUM(O228,O241)</f>
        <v>0</v>
      </c>
      <c r="P245" s="245">
        <f>SUM(P228,P241)</f>
        <v>0</v>
      </c>
      <c r="Q245" s="246">
        <f>SUM(N245:P245)</f>
        <v>0</v>
      </c>
      <c r="R245" s="245">
        <f>SUM(R228,R241)</f>
        <v>0</v>
      </c>
      <c r="S245" s="245">
        <f>SUM(S228,S241)</f>
        <v>0</v>
      </c>
      <c r="T245" s="245">
        <f>SUM(T228,T241)</f>
        <v>0</v>
      </c>
      <c r="U245" s="246">
        <f>SUM(R245:T245)</f>
        <v>0</v>
      </c>
      <c r="V245" s="245">
        <f>SUM(V228,V241)</f>
        <v>0</v>
      </c>
      <c r="W245" s="245">
        <f>SUM(W228,W241)</f>
        <v>0</v>
      </c>
      <c r="X245" s="245">
        <f>SUM(X228,X241)</f>
        <v>0</v>
      </c>
      <c r="Y245" s="246">
        <f>SUM(V245:X245)</f>
        <v>0</v>
      </c>
    </row>
    <row r="246" spans="1:25" ht="12.75" hidden="1" customHeight="1" outlineLevel="1" x14ac:dyDescent="0.2">
      <c r="A246" s="198" t="str">
        <f>"      "&amp;Labels!B381</f>
        <v xml:space="preserve">      Practice 1</v>
      </c>
      <c r="B246" s="243"/>
      <c r="C246" s="243"/>
      <c r="D246" s="243"/>
      <c r="E246" s="244"/>
      <c r="F246" s="243"/>
      <c r="G246" s="243"/>
      <c r="H246" s="243"/>
      <c r="I246" s="244"/>
      <c r="J246" s="243"/>
      <c r="K246" s="243"/>
      <c r="L246" s="243"/>
      <c r="M246" s="244"/>
      <c r="N246" s="243"/>
      <c r="O246" s="243"/>
      <c r="P246" s="243"/>
      <c r="Q246" s="244"/>
      <c r="R246" s="243"/>
      <c r="S246" s="243"/>
      <c r="T246" s="243"/>
      <c r="U246" s="244"/>
      <c r="V246" s="243"/>
      <c r="W246" s="243"/>
      <c r="X246" s="243"/>
      <c r="Y246" s="244"/>
    </row>
    <row r="247" spans="1:25" ht="12.75" hidden="1" customHeight="1" outlineLevel="1" x14ac:dyDescent="0.2">
      <c r="A247" s="198" t="str">
        <f>"         "&amp;Labels!B385</f>
        <v xml:space="preserve">         Prof Level 1</v>
      </c>
      <c r="B247" s="243">
        <f t="shared" ref="B247:D249" si="138">SUM(B221,B234)</f>
        <v>0</v>
      </c>
      <c r="C247" s="243">
        <f t="shared" si="138"/>
        <v>0</v>
      </c>
      <c r="D247" s="243">
        <f t="shared" si="138"/>
        <v>0</v>
      </c>
      <c r="E247" s="244">
        <f>SUM(B247:D247)</f>
        <v>0</v>
      </c>
      <c r="F247" s="243">
        <f t="shared" ref="F247:H249" si="139">SUM(F221,F234)</f>
        <v>0</v>
      </c>
      <c r="G247" s="243">
        <f t="shared" si="139"/>
        <v>0</v>
      </c>
      <c r="H247" s="243">
        <f t="shared" si="139"/>
        <v>0</v>
      </c>
      <c r="I247" s="244">
        <f>SUM(F247:H247)</f>
        <v>0</v>
      </c>
      <c r="J247" s="243">
        <f t="shared" ref="J247:L249" si="140">SUM(J221,J234)</f>
        <v>14130.446485530005</v>
      </c>
      <c r="K247" s="243">
        <f t="shared" si="140"/>
        <v>14165.295978566419</v>
      </c>
      <c r="L247" s="243">
        <f t="shared" si="140"/>
        <v>0</v>
      </c>
      <c r="M247" s="244">
        <f>SUM(J247:L247)</f>
        <v>28295.742464096424</v>
      </c>
      <c r="N247" s="243">
        <f t="shared" ref="N247:P249" si="141">SUM(N221,N234)</f>
        <v>0</v>
      </c>
      <c r="O247" s="243">
        <f t="shared" si="141"/>
        <v>0</v>
      </c>
      <c r="P247" s="243">
        <f t="shared" si="141"/>
        <v>0</v>
      </c>
      <c r="Q247" s="244">
        <f>SUM(N247:P247)</f>
        <v>0</v>
      </c>
      <c r="R247" s="243">
        <f t="shared" ref="R247:T249" si="142">SUM(R221,R234)</f>
        <v>0</v>
      </c>
      <c r="S247" s="243">
        <f t="shared" si="142"/>
        <v>0</v>
      </c>
      <c r="T247" s="243">
        <f t="shared" si="142"/>
        <v>0</v>
      </c>
      <c r="U247" s="244">
        <f>SUM(R247:T247)</f>
        <v>0</v>
      </c>
      <c r="V247" s="243">
        <f t="shared" ref="V247:X249" si="143">SUM(V221,V234)</f>
        <v>0</v>
      </c>
      <c r="W247" s="243">
        <f t="shared" si="143"/>
        <v>0</v>
      </c>
      <c r="X247" s="243">
        <f t="shared" si="143"/>
        <v>0</v>
      </c>
      <c r="Y247" s="244">
        <f>SUM(V247:X247)</f>
        <v>0</v>
      </c>
    </row>
    <row r="248" spans="1:25" ht="12.75" hidden="1" customHeight="1" outlineLevel="1" x14ac:dyDescent="0.2">
      <c r="A248" s="198" t="str">
        <f>"         "&amp;Labels!B386</f>
        <v xml:space="preserve">         Prof Level 2</v>
      </c>
      <c r="B248" s="243">
        <f t="shared" si="138"/>
        <v>0</v>
      </c>
      <c r="C248" s="243">
        <f t="shared" si="138"/>
        <v>0</v>
      </c>
      <c r="D248" s="243">
        <f t="shared" si="138"/>
        <v>0</v>
      </c>
      <c r="E248" s="244">
        <f>SUM(B248:D248)</f>
        <v>0</v>
      </c>
      <c r="F248" s="243">
        <f t="shared" si="139"/>
        <v>0</v>
      </c>
      <c r="G248" s="243">
        <f t="shared" si="139"/>
        <v>0</v>
      </c>
      <c r="H248" s="243">
        <f t="shared" si="139"/>
        <v>0</v>
      </c>
      <c r="I248" s="244">
        <f>SUM(F248:H248)</f>
        <v>0</v>
      </c>
      <c r="J248" s="243">
        <f t="shared" si="140"/>
        <v>14130.446485530005</v>
      </c>
      <c r="K248" s="243">
        <f t="shared" si="140"/>
        <v>14165.295978566419</v>
      </c>
      <c r="L248" s="243">
        <f t="shared" si="140"/>
        <v>0</v>
      </c>
      <c r="M248" s="244">
        <f>SUM(J248:L248)</f>
        <v>28295.742464096424</v>
      </c>
      <c r="N248" s="243">
        <f t="shared" si="141"/>
        <v>0</v>
      </c>
      <c r="O248" s="243">
        <f t="shared" si="141"/>
        <v>0</v>
      </c>
      <c r="P248" s="243">
        <f t="shared" si="141"/>
        <v>0</v>
      </c>
      <c r="Q248" s="244">
        <f>SUM(N248:P248)</f>
        <v>0</v>
      </c>
      <c r="R248" s="243">
        <f t="shared" si="142"/>
        <v>0</v>
      </c>
      <c r="S248" s="243">
        <f t="shared" si="142"/>
        <v>0</v>
      </c>
      <c r="T248" s="243">
        <f t="shared" si="142"/>
        <v>0</v>
      </c>
      <c r="U248" s="244">
        <f>SUM(R248:T248)</f>
        <v>0</v>
      </c>
      <c r="V248" s="243">
        <f t="shared" si="143"/>
        <v>0</v>
      </c>
      <c r="W248" s="243">
        <f t="shared" si="143"/>
        <v>0</v>
      </c>
      <c r="X248" s="243">
        <f t="shared" si="143"/>
        <v>0</v>
      </c>
      <c r="Y248" s="244">
        <f>SUM(V248:X248)</f>
        <v>0</v>
      </c>
    </row>
    <row r="249" spans="1:25" ht="12.75" hidden="1" customHeight="1" outlineLevel="1" x14ac:dyDescent="0.2">
      <c r="A249" s="198" t="str">
        <f>"         "&amp;Labels!C384</f>
        <v xml:space="preserve">         Total</v>
      </c>
      <c r="B249" s="243">
        <f t="shared" si="138"/>
        <v>0</v>
      </c>
      <c r="C249" s="243">
        <f t="shared" si="138"/>
        <v>0</v>
      </c>
      <c r="D249" s="243">
        <f t="shared" si="138"/>
        <v>0</v>
      </c>
      <c r="E249" s="244">
        <f>SUM(B249:D249)</f>
        <v>0</v>
      </c>
      <c r="F249" s="243">
        <f t="shared" si="139"/>
        <v>0</v>
      </c>
      <c r="G249" s="243">
        <f t="shared" si="139"/>
        <v>0</v>
      </c>
      <c r="H249" s="243">
        <f t="shared" si="139"/>
        <v>0</v>
      </c>
      <c r="I249" s="244">
        <f>SUM(F249:H249)</f>
        <v>0</v>
      </c>
      <c r="J249" s="243">
        <f t="shared" si="140"/>
        <v>28260.89297106001</v>
      </c>
      <c r="K249" s="243">
        <f t="shared" si="140"/>
        <v>28330.591957132838</v>
      </c>
      <c r="L249" s="243">
        <f t="shared" si="140"/>
        <v>0</v>
      </c>
      <c r="M249" s="244">
        <f>SUM(J249:L249)</f>
        <v>56591.484928192847</v>
      </c>
      <c r="N249" s="243">
        <f t="shared" si="141"/>
        <v>0</v>
      </c>
      <c r="O249" s="243">
        <f t="shared" si="141"/>
        <v>0</v>
      </c>
      <c r="P249" s="243">
        <f t="shared" si="141"/>
        <v>0</v>
      </c>
      <c r="Q249" s="244">
        <f>SUM(N249:P249)</f>
        <v>0</v>
      </c>
      <c r="R249" s="243">
        <f t="shared" si="142"/>
        <v>0</v>
      </c>
      <c r="S249" s="243">
        <f t="shared" si="142"/>
        <v>0</v>
      </c>
      <c r="T249" s="243">
        <f t="shared" si="142"/>
        <v>0</v>
      </c>
      <c r="U249" s="244">
        <f>SUM(R249:T249)</f>
        <v>0</v>
      </c>
      <c r="V249" s="243">
        <f t="shared" si="143"/>
        <v>0</v>
      </c>
      <c r="W249" s="243">
        <f t="shared" si="143"/>
        <v>0</v>
      </c>
      <c r="X249" s="243">
        <f t="shared" si="143"/>
        <v>0</v>
      </c>
      <c r="Y249" s="244">
        <f>SUM(V249:X249)</f>
        <v>0</v>
      </c>
    </row>
    <row r="250" spans="1:25" ht="12.75" hidden="1" customHeight="1" outlineLevel="1" x14ac:dyDescent="0.2">
      <c r="A250" s="198" t="str">
        <f>"      "&amp;Labels!B382</f>
        <v xml:space="preserve">      Practice 2</v>
      </c>
      <c r="B250" s="243"/>
      <c r="C250" s="243"/>
      <c r="D250" s="243"/>
      <c r="E250" s="244"/>
      <c r="F250" s="243"/>
      <c r="G250" s="243"/>
      <c r="H250" s="243"/>
      <c r="I250" s="244"/>
      <c r="J250" s="243"/>
      <c r="K250" s="243"/>
      <c r="L250" s="243"/>
      <c r="M250" s="244"/>
      <c r="N250" s="243"/>
      <c r="O250" s="243"/>
      <c r="P250" s="243"/>
      <c r="Q250" s="244"/>
      <c r="R250" s="243"/>
      <c r="S250" s="243"/>
      <c r="T250" s="243"/>
      <c r="U250" s="244"/>
      <c r="V250" s="243"/>
      <c r="W250" s="243"/>
      <c r="X250" s="243"/>
      <c r="Y250" s="244"/>
    </row>
    <row r="251" spans="1:25" ht="12.75" hidden="1" customHeight="1" outlineLevel="1" x14ac:dyDescent="0.2">
      <c r="A251" s="198" t="str">
        <f>"         "&amp;Labels!B385</f>
        <v xml:space="preserve">         Prof Level 1</v>
      </c>
      <c r="B251" s="243">
        <f t="shared" ref="B251:D256" si="144">SUM(B225,B238)</f>
        <v>0</v>
      </c>
      <c r="C251" s="243">
        <f t="shared" si="144"/>
        <v>0</v>
      </c>
      <c r="D251" s="243">
        <f t="shared" si="144"/>
        <v>0</v>
      </c>
      <c r="E251" s="244">
        <f>SUM(B251:D251)</f>
        <v>0</v>
      </c>
      <c r="F251" s="243">
        <f t="shared" ref="F251:H256" si="145">SUM(F225,F238)</f>
        <v>0</v>
      </c>
      <c r="G251" s="243">
        <f t="shared" si="145"/>
        <v>0</v>
      </c>
      <c r="H251" s="243">
        <f t="shared" si="145"/>
        <v>0</v>
      </c>
      <c r="I251" s="244">
        <f>SUM(F251:H251)</f>
        <v>0</v>
      </c>
      <c r="J251" s="243">
        <f t="shared" ref="J251:L256" si="146">SUM(J225,J238)</f>
        <v>0</v>
      </c>
      <c r="K251" s="243">
        <f t="shared" si="146"/>
        <v>0</v>
      </c>
      <c r="L251" s="243">
        <f t="shared" si="146"/>
        <v>0</v>
      </c>
      <c r="M251" s="244">
        <f>SUM(J251:L251)</f>
        <v>0</v>
      </c>
      <c r="N251" s="243">
        <f t="shared" ref="N251:P256" si="147">SUM(N225,N238)</f>
        <v>0</v>
      </c>
      <c r="O251" s="243">
        <f t="shared" si="147"/>
        <v>0</v>
      </c>
      <c r="P251" s="243">
        <f t="shared" si="147"/>
        <v>0</v>
      </c>
      <c r="Q251" s="244">
        <f>SUM(N251:P251)</f>
        <v>0</v>
      </c>
      <c r="R251" s="243">
        <f t="shared" ref="R251:T256" si="148">SUM(R225,R238)</f>
        <v>0</v>
      </c>
      <c r="S251" s="243">
        <f t="shared" si="148"/>
        <v>0</v>
      </c>
      <c r="T251" s="243">
        <f t="shared" si="148"/>
        <v>0</v>
      </c>
      <c r="U251" s="244">
        <f>SUM(R251:T251)</f>
        <v>0</v>
      </c>
      <c r="V251" s="243">
        <f t="shared" ref="V251:X256" si="149">SUM(V225,V238)</f>
        <v>0</v>
      </c>
      <c r="W251" s="243">
        <f t="shared" si="149"/>
        <v>0</v>
      </c>
      <c r="X251" s="243">
        <f t="shared" si="149"/>
        <v>0</v>
      </c>
      <c r="Y251" s="244">
        <f>SUM(V251:X251)</f>
        <v>0</v>
      </c>
    </row>
    <row r="252" spans="1:25" ht="12.75" hidden="1" customHeight="1" outlineLevel="1" x14ac:dyDescent="0.2">
      <c r="A252" s="198" t="str">
        <f>"         "&amp;Labels!B386</f>
        <v xml:space="preserve">         Prof Level 2</v>
      </c>
      <c r="B252" s="243">
        <f t="shared" si="144"/>
        <v>0</v>
      </c>
      <c r="C252" s="243">
        <f t="shared" si="144"/>
        <v>0</v>
      </c>
      <c r="D252" s="243">
        <f t="shared" si="144"/>
        <v>0</v>
      </c>
      <c r="E252" s="244">
        <f>SUM(B252:D252)</f>
        <v>0</v>
      </c>
      <c r="F252" s="243">
        <f t="shared" si="145"/>
        <v>0</v>
      </c>
      <c r="G252" s="243">
        <f t="shared" si="145"/>
        <v>0</v>
      </c>
      <c r="H252" s="243">
        <f t="shared" si="145"/>
        <v>0</v>
      </c>
      <c r="I252" s="244">
        <f>SUM(F252:H252)</f>
        <v>0</v>
      </c>
      <c r="J252" s="243">
        <f t="shared" si="146"/>
        <v>0</v>
      </c>
      <c r="K252" s="243">
        <f t="shared" si="146"/>
        <v>0</v>
      </c>
      <c r="L252" s="243">
        <f t="shared" si="146"/>
        <v>0</v>
      </c>
      <c r="M252" s="244">
        <f>SUM(J252:L252)</f>
        <v>0</v>
      </c>
      <c r="N252" s="243">
        <f t="shared" si="147"/>
        <v>0</v>
      </c>
      <c r="O252" s="243">
        <f t="shared" si="147"/>
        <v>0</v>
      </c>
      <c r="P252" s="243">
        <f t="shared" si="147"/>
        <v>0</v>
      </c>
      <c r="Q252" s="244">
        <f>SUM(N252:P252)</f>
        <v>0</v>
      </c>
      <c r="R252" s="243">
        <f t="shared" si="148"/>
        <v>0</v>
      </c>
      <c r="S252" s="243">
        <f t="shared" si="148"/>
        <v>0</v>
      </c>
      <c r="T252" s="243">
        <f t="shared" si="148"/>
        <v>0</v>
      </c>
      <c r="U252" s="244">
        <f>SUM(R252:T252)</f>
        <v>0</v>
      </c>
      <c r="V252" s="243">
        <f t="shared" si="149"/>
        <v>0</v>
      </c>
      <c r="W252" s="243">
        <f t="shared" si="149"/>
        <v>0</v>
      </c>
      <c r="X252" s="243">
        <f t="shared" si="149"/>
        <v>0</v>
      </c>
      <c r="Y252" s="244">
        <f>SUM(V252:X252)</f>
        <v>0</v>
      </c>
    </row>
    <row r="253" spans="1:25" ht="12.75" hidden="1" customHeight="1" outlineLevel="1" x14ac:dyDescent="0.2">
      <c r="A253" s="198" t="str">
        <f>"         "&amp;Labels!C384</f>
        <v xml:space="preserve">         Total</v>
      </c>
      <c r="B253" s="243">
        <f t="shared" si="144"/>
        <v>0</v>
      </c>
      <c r="C253" s="243">
        <f t="shared" si="144"/>
        <v>0</v>
      </c>
      <c r="D253" s="243">
        <f t="shared" si="144"/>
        <v>0</v>
      </c>
      <c r="E253" s="244">
        <f>SUM(B253:D253)</f>
        <v>0</v>
      </c>
      <c r="F253" s="243">
        <f t="shared" si="145"/>
        <v>0</v>
      </c>
      <c r="G253" s="243">
        <f t="shared" si="145"/>
        <v>0</v>
      </c>
      <c r="H253" s="243">
        <f t="shared" si="145"/>
        <v>0</v>
      </c>
      <c r="I253" s="244">
        <f>SUM(F253:H253)</f>
        <v>0</v>
      </c>
      <c r="J253" s="243">
        <f t="shared" si="146"/>
        <v>0</v>
      </c>
      <c r="K253" s="243">
        <f t="shared" si="146"/>
        <v>0</v>
      </c>
      <c r="L253" s="243">
        <f t="shared" si="146"/>
        <v>0</v>
      </c>
      <c r="M253" s="244">
        <f>SUM(J253:L253)</f>
        <v>0</v>
      </c>
      <c r="N253" s="243">
        <f t="shared" si="147"/>
        <v>0</v>
      </c>
      <c r="O253" s="243">
        <f t="shared" si="147"/>
        <v>0</v>
      </c>
      <c r="P253" s="243">
        <f t="shared" si="147"/>
        <v>0</v>
      </c>
      <c r="Q253" s="244">
        <f>SUM(N253:P253)</f>
        <v>0</v>
      </c>
      <c r="R253" s="243">
        <f t="shared" si="148"/>
        <v>0</v>
      </c>
      <c r="S253" s="243">
        <f t="shared" si="148"/>
        <v>0</v>
      </c>
      <c r="T253" s="243">
        <f t="shared" si="148"/>
        <v>0</v>
      </c>
      <c r="U253" s="244">
        <f>SUM(R253:T253)</f>
        <v>0</v>
      </c>
      <c r="V253" s="243">
        <f t="shared" si="149"/>
        <v>0</v>
      </c>
      <c r="W253" s="243">
        <f t="shared" si="149"/>
        <v>0</v>
      </c>
      <c r="X253" s="243">
        <f t="shared" si="149"/>
        <v>0</v>
      </c>
      <c r="Y253" s="244">
        <f>SUM(V253:X253)</f>
        <v>0</v>
      </c>
    </row>
    <row r="254" spans="1:25" ht="12.75" hidden="1" customHeight="1" outlineLevel="1" x14ac:dyDescent="0.2">
      <c r="A254" s="188" t="str">
        <f>"      "&amp;Labels!C380</f>
        <v xml:space="preserve">      Total</v>
      </c>
      <c r="B254" s="241">
        <f t="shared" si="144"/>
        <v>0</v>
      </c>
      <c r="C254" s="241">
        <f t="shared" si="144"/>
        <v>0</v>
      </c>
      <c r="D254" s="241">
        <f t="shared" si="144"/>
        <v>0</v>
      </c>
      <c r="E254" s="242">
        <f>SUM(B245:D245)</f>
        <v>0</v>
      </c>
      <c r="F254" s="241">
        <f t="shared" si="145"/>
        <v>0</v>
      </c>
      <c r="G254" s="241">
        <f t="shared" si="145"/>
        <v>0</v>
      </c>
      <c r="H254" s="241">
        <f t="shared" si="145"/>
        <v>0</v>
      </c>
      <c r="I254" s="242">
        <f>SUM(F245:H245)</f>
        <v>0</v>
      </c>
      <c r="J254" s="241">
        <f t="shared" si="146"/>
        <v>28260.89297106001</v>
      </c>
      <c r="K254" s="241">
        <f t="shared" si="146"/>
        <v>28330.591957132838</v>
      </c>
      <c r="L254" s="241">
        <f t="shared" si="146"/>
        <v>0</v>
      </c>
      <c r="M254" s="242">
        <f>SUM(J245:L245)</f>
        <v>56591.484928192847</v>
      </c>
      <c r="N254" s="241">
        <f t="shared" si="147"/>
        <v>0</v>
      </c>
      <c r="O254" s="241">
        <f t="shared" si="147"/>
        <v>0</v>
      </c>
      <c r="P254" s="241">
        <f t="shared" si="147"/>
        <v>0</v>
      </c>
      <c r="Q254" s="242">
        <f>SUM(N245:P245)</f>
        <v>0</v>
      </c>
      <c r="R254" s="241">
        <f t="shared" si="148"/>
        <v>0</v>
      </c>
      <c r="S254" s="241">
        <f t="shared" si="148"/>
        <v>0</v>
      </c>
      <c r="T254" s="241">
        <f t="shared" si="148"/>
        <v>0</v>
      </c>
      <c r="U254" s="242">
        <f>SUM(R245:T245)</f>
        <v>0</v>
      </c>
      <c r="V254" s="241">
        <f t="shared" si="149"/>
        <v>0</v>
      </c>
      <c r="W254" s="241">
        <f t="shared" si="149"/>
        <v>0</v>
      </c>
      <c r="X254" s="241">
        <f t="shared" si="149"/>
        <v>0</v>
      </c>
      <c r="Y254" s="242">
        <f>SUM(V245:X245)</f>
        <v>0</v>
      </c>
    </row>
    <row r="255" spans="1:25" ht="12.75" hidden="1" customHeight="1" outlineLevel="1" x14ac:dyDescent="0.2">
      <c r="A255" s="198" t="str">
        <f>"         "&amp;Labels!B385</f>
        <v xml:space="preserve">         Prof Level 1</v>
      </c>
      <c r="B255" s="243">
        <f t="shared" si="144"/>
        <v>0</v>
      </c>
      <c r="C255" s="243">
        <f t="shared" si="144"/>
        <v>0</v>
      </c>
      <c r="D255" s="243">
        <f t="shared" si="144"/>
        <v>0</v>
      </c>
      <c r="E255" s="244">
        <f>SUM(B255:D255)</f>
        <v>0</v>
      </c>
      <c r="F255" s="243">
        <f t="shared" si="145"/>
        <v>0</v>
      </c>
      <c r="G255" s="243">
        <f t="shared" si="145"/>
        <v>0</v>
      </c>
      <c r="H255" s="243">
        <f t="shared" si="145"/>
        <v>0</v>
      </c>
      <c r="I255" s="244">
        <f>SUM(F255:H255)</f>
        <v>0</v>
      </c>
      <c r="J255" s="243">
        <f t="shared" si="146"/>
        <v>14130.446485530005</v>
      </c>
      <c r="K255" s="243">
        <f t="shared" si="146"/>
        <v>14165.295978566419</v>
      </c>
      <c r="L255" s="243">
        <f t="shared" si="146"/>
        <v>0</v>
      </c>
      <c r="M255" s="244">
        <f>SUM(J255:L255)</f>
        <v>28295.742464096424</v>
      </c>
      <c r="N255" s="243">
        <f t="shared" si="147"/>
        <v>0</v>
      </c>
      <c r="O255" s="243">
        <f t="shared" si="147"/>
        <v>0</v>
      </c>
      <c r="P255" s="243">
        <f t="shared" si="147"/>
        <v>0</v>
      </c>
      <c r="Q255" s="244">
        <f>SUM(N255:P255)</f>
        <v>0</v>
      </c>
      <c r="R255" s="243">
        <f t="shared" si="148"/>
        <v>0</v>
      </c>
      <c r="S255" s="243">
        <f t="shared" si="148"/>
        <v>0</v>
      </c>
      <c r="T255" s="243">
        <f t="shared" si="148"/>
        <v>0</v>
      </c>
      <c r="U255" s="244">
        <f>SUM(R255:T255)</f>
        <v>0</v>
      </c>
      <c r="V255" s="243">
        <f t="shared" si="149"/>
        <v>0</v>
      </c>
      <c r="W255" s="243">
        <f t="shared" si="149"/>
        <v>0</v>
      </c>
      <c r="X255" s="243">
        <f t="shared" si="149"/>
        <v>0</v>
      </c>
      <c r="Y255" s="244">
        <f>SUM(V255:X255)</f>
        <v>0</v>
      </c>
    </row>
    <row r="256" spans="1:25" ht="12.75" hidden="1" customHeight="1" outlineLevel="1" x14ac:dyDescent="0.2">
      <c r="A256" s="198" t="str">
        <f>"         "&amp;Labels!B386</f>
        <v xml:space="preserve">         Prof Level 2</v>
      </c>
      <c r="B256" s="243">
        <f t="shared" si="144"/>
        <v>0</v>
      </c>
      <c r="C256" s="243">
        <f t="shared" si="144"/>
        <v>0</v>
      </c>
      <c r="D256" s="243">
        <f t="shared" si="144"/>
        <v>0</v>
      </c>
      <c r="E256" s="244">
        <f>SUM(B256:D256)</f>
        <v>0</v>
      </c>
      <c r="F256" s="243">
        <f t="shared" si="145"/>
        <v>0</v>
      </c>
      <c r="G256" s="243">
        <f t="shared" si="145"/>
        <v>0</v>
      </c>
      <c r="H256" s="243">
        <f t="shared" si="145"/>
        <v>0</v>
      </c>
      <c r="I256" s="244">
        <f>SUM(F256:H256)</f>
        <v>0</v>
      </c>
      <c r="J256" s="243">
        <f t="shared" si="146"/>
        <v>14130.446485530005</v>
      </c>
      <c r="K256" s="243">
        <f t="shared" si="146"/>
        <v>14165.295978566419</v>
      </c>
      <c r="L256" s="243">
        <f t="shared" si="146"/>
        <v>0</v>
      </c>
      <c r="M256" s="244">
        <f>SUM(J256:L256)</f>
        <v>28295.742464096424</v>
      </c>
      <c r="N256" s="243">
        <f t="shared" si="147"/>
        <v>0</v>
      </c>
      <c r="O256" s="243">
        <f t="shared" si="147"/>
        <v>0</v>
      </c>
      <c r="P256" s="243">
        <f t="shared" si="147"/>
        <v>0</v>
      </c>
      <c r="Q256" s="244">
        <f>SUM(N256:P256)</f>
        <v>0</v>
      </c>
      <c r="R256" s="243">
        <f t="shared" si="148"/>
        <v>0</v>
      </c>
      <c r="S256" s="243">
        <f t="shared" si="148"/>
        <v>0</v>
      </c>
      <c r="T256" s="243">
        <f t="shared" si="148"/>
        <v>0</v>
      </c>
      <c r="U256" s="244">
        <f>SUM(R256:T256)</f>
        <v>0</v>
      </c>
      <c r="V256" s="243">
        <f t="shared" si="149"/>
        <v>0</v>
      </c>
      <c r="W256" s="243">
        <f t="shared" si="149"/>
        <v>0</v>
      </c>
      <c r="X256" s="243">
        <f t="shared" si="149"/>
        <v>0</v>
      </c>
      <c r="Y256" s="244">
        <f>SUM(V256:X256)</f>
        <v>0</v>
      </c>
    </row>
    <row r="257" spans="1:25" ht="12.75" hidden="1" customHeight="1" outlineLevel="1" x14ac:dyDescent="0.2">
      <c r="A257" s="198" t="str">
        <f>"         "&amp;Labels!C384</f>
        <v xml:space="preserve">         Total</v>
      </c>
      <c r="B257" s="243">
        <f>SUM(B228,B241)</f>
        <v>0</v>
      </c>
      <c r="C257" s="243">
        <f>SUM(C228,C241)</f>
        <v>0</v>
      </c>
      <c r="D257" s="243">
        <f>SUM(D228,D241)</f>
        <v>0</v>
      </c>
      <c r="E257" s="244">
        <f>SUM(B245:D245)</f>
        <v>0</v>
      </c>
      <c r="F257" s="243">
        <f>SUM(F228,F241)</f>
        <v>0</v>
      </c>
      <c r="G257" s="243">
        <f>SUM(G228,G241)</f>
        <v>0</v>
      </c>
      <c r="H257" s="243">
        <f>SUM(H228,H241)</f>
        <v>0</v>
      </c>
      <c r="I257" s="244">
        <f>SUM(F245:H245)</f>
        <v>0</v>
      </c>
      <c r="J257" s="243">
        <f>SUM(J228,J241)</f>
        <v>28260.89297106001</v>
      </c>
      <c r="K257" s="243">
        <f>SUM(K228,K241)</f>
        <v>28330.591957132838</v>
      </c>
      <c r="L257" s="243">
        <f>SUM(L228,L241)</f>
        <v>0</v>
      </c>
      <c r="M257" s="244">
        <f>SUM(J245:L245)</f>
        <v>56591.484928192847</v>
      </c>
      <c r="N257" s="243">
        <f>SUM(N228,N241)</f>
        <v>0</v>
      </c>
      <c r="O257" s="243">
        <f>SUM(O228,O241)</f>
        <v>0</v>
      </c>
      <c r="P257" s="243">
        <f>SUM(P228,P241)</f>
        <v>0</v>
      </c>
      <c r="Q257" s="244">
        <f>SUM(N245:P245)</f>
        <v>0</v>
      </c>
      <c r="R257" s="243">
        <f>SUM(R228,R241)</f>
        <v>0</v>
      </c>
      <c r="S257" s="243">
        <f>SUM(S228,S241)</f>
        <v>0</v>
      </c>
      <c r="T257" s="243">
        <f>SUM(T228,T241)</f>
        <v>0</v>
      </c>
      <c r="U257" s="244">
        <f>SUM(R245:T245)</f>
        <v>0</v>
      </c>
      <c r="V257" s="243">
        <f>SUM(V228,V241)</f>
        <v>0</v>
      </c>
      <c r="W257" s="243">
        <f>SUM(W228,W241)</f>
        <v>0</v>
      </c>
      <c r="X257" s="243">
        <f>SUM(X228,X241)</f>
        <v>0</v>
      </c>
      <c r="Y257" s="244">
        <f>SUM(V245:X245)</f>
        <v>0</v>
      </c>
    </row>
    <row r="258" spans="1:25" ht="12.75" hidden="1" customHeight="1" outlineLevel="1" x14ac:dyDescent="0.2">
      <c r="A258" s="97"/>
      <c r="B258" s="6"/>
      <c r="C258" s="6"/>
      <c r="D258" s="6"/>
      <c r="E258" s="97"/>
      <c r="F258" s="6"/>
      <c r="G258" s="6"/>
      <c r="H258" s="6"/>
      <c r="I258" s="97"/>
      <c r="J258" s="6"/>
      <c r="K258" s="6"/>
      <c r="L258" s="6"/>
      <c r="M258" s="97"/>
      <c r="N258" s="6"/>
      <c r="O258" s="6"/>
      <c r="P258" s="6"/>
      <c r="Q258" s="97"/>
      <c r="R258" s="6"/>
      <c r="S258" s="6"/>
      <c r="T258" s="6"/>
      <c r="U258" s="97"/>
      <c r="V258" s="6"/>
      <c r="W258" s="6"/>
      <c r="X258" s="6"/>
      <c r="Y258" s="97"/>
    </row>
    <row r="259" spans="1:25" ht="12.75" hidden="1" customHeight="1" outlineLevel="1" x14ac:dyDescent="0.2">
      <c r="A259" s="191" t="str">
        <f>Labels!B50</f>
        <v>Travel and Entertainment</v>
      </c>
      <c r="B259" s="192"/>
      <c r="C259" s="192"/>
      <c r="D259" s="192"/>
      <c r="E259" s="190"/>
      <c r="F259" s="192"/>
      <c r="G259" s="192"/>
      <c r="H259" s="192"/>
      <c r="I259" s="190"/>
      <c r="J259" s="192"/>
      <c r="K259" s="192"/>
      <c r="L259" s="192"/>
      <c r="M259" s="190"/>
      <c r="N259" s="192"/>
      <c r="O259" s="192"/>
      <c r="P259" s="192"/>
      <c r="Q259" s="190"/>
      <c r="R259" s="192"/>
      <c r="S259" s="192"/>
      <c r="T259" s="192"/>
      <c r="U259" s="190"/>
      <c r="V259" s="192"/>
      <c r="W259" s="192"/>
      <c r="X259" s="192"/>
      <c r="Y259" s="190"/>
    </row>
    <row r="260" spans="1:25" ht="12.75" hidden="1" customHeight="1" outlineLevel="1" x14ac:dyDescent="0.2">
      <c r="A260" s="188" t="str">
        <f>"   "&amp;Labels!B317</f>
        <v xml:space="preserve">   Channels 1</v>
      </c>
      <c r="B260" s="196"/>
      <c r="C260" s="196"/>
      <c r="D260" s="196"/>
      <c r="E260" s="197"/>
      <c r="F260" s="196"/>
      <c r="G260" s="196"/>
      <c r="H260" s="196"/>
      <c r="I260" s="197"/>
      <c r="J260" s="196"/>
      <c r="K260" s="196"/>
      <c r="L260" s="196"/>
      <c r="M260" s="197"/>
      <c r="N260" s="196"/>
      <c r="O260" s="196"/>
      <c r="P260" s="196"/>
      <c r="Q260" s="197"/>
      <c r="R260" s="196"/>
      <c r="S260" s="196"/>
      <c r="T260" s="196"/>
      <c r="U260" s="197"/>
      <c r="V260" s="196"/>
      <c r="W260" s="196"/>
      <c r="X260" s="196"/>
      <c r="Y260" s="197"/>
    </row>
    <row r="261" spans="1:25" ht="12.75" hidden="1" customHeight="1" outlineLevel="1" x14ac:dyDescent="0.2">
      <c r="A261" s="198" t="str">
        <f>"      "&amp;Labels!B381</f>
        <v xml:space="preserve">      Practice 1</v>
      </c>
      <c r="B261" s="226"/>
      <c r="C261" s="226"/>
      <c r="D261" s="226"/>
      <c r="E261" s="227"/>
      <c r="F261" s="226"/>
      <c r="G261" s="226"/>
      <c r="H261" s="226"/>
      <c r="I261" s="227"/>
      <c r="J261" s="226"/>
      <c r="K261" s="226"/>
      <c r="L261" s="226"/>
      <c r="M261" s="227"/>
      <c r="N261" s="226"/>
      <c r="O261" s="226"/>
      <c r="P261" s="226"/>
      <c r="Q261" s="227"/>
      <c r="R261" s="226"/>
      <c r="S261" s="226"/>
      <c r="T261" s="226"/>
      <c r="U261" s="227"/>
      <c r="V261" s="226"/>
      <c r="W261" s="226"/>
      <c r="X261" s="226"/>
      <c r="Y261" s="227"/>
    </row>
    <row r="262" spans="1:25" ht="12.75" hidden="1" customHeight="1" outlineLevel="1" x14ac:dyDescent="0.2">
      <c r="A262" s="198" t="str">
        <f>"         "&amp;Labels!B385</f>
        <v xml:space="preserve">         Prof Level 1</v>
      </c>
      <c r="B262" s="226">
        <f>Inputs!F153*'(Tables)'!B1083</f>
        <v>0</v>
      </c>
      <c r="C262" s="226">
        <f>Inputs!G153*'(Tables)'!C1083</f>
        <v>0</v>
      </c>
      <c r="D262" s="226">
        <f>Inputs!H153*'(Tables)'!D1083</f>
        <v>1375</v>
      </c>
      <c r="E262" s="227">
        <f>SUM(B262:D262)</f>
        <v>1375</v>
      </c>
      <c r="F262" s="226">
        <f>Inputs!I153*'(Tables)'!E1083</f>
        <v>1375</v>
      </c>
      <c r="G262" s="226">
        <f>Inputs!J153*'(Tables)'!F1083</f>
        <v>0</v>
      </c>
      <c r="H262" s="226">
        <f>Inputs!K153*'(Tables)'!G1083</f>
        <v>1000</v>
      </c>
      <c r="I262" s="227">
        <f>SUM(F262:H262)</f>
        <v>2375</v>
      </c>
      <c r="J262" s="226">
        <f>Inputs!L153*'(Tables)'!H1083</f>
        <v>1000</v>
      </c>
      <c r="K262" s="226">
        <f>Inputs!M153*'(Tables)'!I1083</f>
        <v>1000</v>
      </c>
      <c r="L262" s="226">
        <f>Inputs!N153*'(Tables)'!J1083</f>
        <v>0</v>
      </c>
      <c r="M262" s="227">
        <f>SUM(J262:L262)</f>
        <v>2000</v>
      </c>
      <c r="N262" s="226">
        <f>Inputs!O153*'(Tables)'!K1083</f>
        <v>0</v>
      </c>
      <c r="O262" s="226">
        <f>Inputs!P153*'(Tables)'!L1083</f>
        <v>0</v>
      </c>
      <c r="P262" s="226">
        <f>Inputs!Q153*'(Tables)'!M1083</f>
        <v>0</v>
      </c>
      <c r="Q262" s="227">
        <f>SUM(N262:P262)</f>
        <v>0</v>
      </c>
      <c r="R262" s="226">
        <f>Inputs!R153*'(Tables)'!N1083</f>
        <v>0</v>
      </c>
      <c r="S262" s="226">
        <f>Inputs!S153*'(Tables)'!O1083</f>
        <v>0</v>
      </c>
      <c r="T262" s="226">
        <f>Inputs!T153*'(Tables)'!P1083</f>
        <v>0</v>
      </c>
      <c r="U262" s="227">
        <f>SUM(R262:T262)</f>
        <v>0</v>
      </c>
      <c r="V262" s="226">
        <f>Inputs!U153*'(Tables)'!Q1083</f>
        <v>0</v>
      </c>
      <c r="W262" s="226">
        <f>Inputs!V153*'(Tables)'!R1083</f>
        <v>0</v>
      </c>
      <c r="X262" s="226">
        <f>Inputs!W153*'(Tables)'!S1083</f>
        <v>0</v>
      </c>
      <c r="Y262" s="227">
        <f>SUM(V262:X262)</f>
        <v>0</v>
      </c>
    </row>
    <row r="263" spans="1:25" ht="12.75" hidden="1" customHeight="1" outlineLevel="1" x14ac:dyDescent="0.2">
      <c r="A263" s="198" t="str">
        <f>"         "&amp;Labels!B386</f>
        <v xml:space="preserve">         Prof Level 2</v>
      </c>
      <c r="B263" s="226">
        <f>Inputs!F155*'(Tables)'!B1087</f>
        <v>0</v>
      </c>
      <c r="C263" s="226">
        <f>Inputs!G155*'(Tables)'!C1087</f>
        <v>0</v>
      </c>
      <c r="D263" s="226">
        <f>Inputs!H155*'(Tables)'!D1087</f>
        <v>1375</v>
      </c>
      <c r="E263" s="227">
        <f>SUM(B263:D263)</f>
        <v>1375</v>
      </c>
      <c r="F263" s="226">
        <f>Inputs!I155*'(Tables)'!E1087</f>
        <v>1375</v>
      </c>
      <c r="G263" s="226">
        <f>Inputs!J155*'(Tables)'!F1087</f>
        <v>0</v>
      </c>
      <c r="H263" s="226">
        <f>Inputs!K155*'(Tables)'!G1087</f>
        <v>1000</v>
      </c>
      <c r="I263" s="227">
        <f>SUM(F263:H263)</f>
        <v>2375</v>
      </c>
      <c r="J263" s="226">
        <f>Inputs!L155*'(Tables)'!H1087</f>
        <v>1000</v>
      </c>
      <c r="K263" s="226">
        <f>Inputs!M155*'(Tables)'!I1087</f>
        <v>1000</v>
      </c>
      <c r="L263" s="226">
        <f>Inputs!N155*'(Tables)'!J1087</f>
        <v>0</v>
      </c>
      <c r="M263" s="227">
        <f>SUM(J263:L263)</f>
        <v>2000</v>
      </c>
      <c r="N263" s="226">
        <f>Inputs!O155*'(Tables)'!K1087</f>
        <v>0</v>
      </c>
      <c r="O263" s="226">
        <f>Inputs!P155*'(Tables)'!L1087</f>
        <v>0</v>
      </c>
      <c r="P263" s="226">
        <f>Inputs!Q155*'(Tables)'!M1087</f>
        <v>0</v>
      </c>
      <c r="Q263" s="227">
        <f>SUM(N263:P263)</f>
        <v>0</v>
      </c>
      <c r="R263" s="226">
        <f>Inputs!R155*'(Tables)'!N1087</f>
        <v>0</v>
      </c>
      <c r="S263" s="226">
        <f>Inputs!S155*'(Tables)'!O1087</f>
        <v>0</v>
      </c>
      <c r="T263" s="226">
        <f>Inputs!T155*'(Tables)'!P1087</f>
        <v>0</v>
      </c>
      <c r="U263" s="227">
        <f>SUM(R263:T263)</f>
        <v>0</v>
      </c>
      <c r="V263" s="226">
        <f>Inputs!U155*'(Tables)'!Q1087</f>
        <v>0</v>
      </c>
      <c r="W263" s="226">
        <f>Inputs!V155*'(Tables)'!R1087</f>
        <v>0</v>
      </c>
      <c r="X263" s="226">
        <f>Inputs!W155*'(Tables)'!S1087</f>
        <v>0</v>
      </c>
      <c r="Y263" s="227">
        <f>SUM(V263:X263)</f>
        <v>0</v>
      </c>
    </row>
    <row r="264" spans="1:25" ht="12.75" hidden="1" customHeight="1" outlineLevel="1" x14ac:dyDescent="0.2">
      <c r="A264" s="198" t="str">
        <f>"         "&amp;Labels!C384</f>
        <v xml:space="preserve">         Total</v>
      </c>
      <c r="B264" s="226">
        <f>SUM(B262:B263)</f>
        <v>0</v>
      </c>
      <c r="C264" s="226">
        <f>SUM(C262:C263)</f>
        <v>0</v>
      </c>
      <c r="D264" s="226">
        <f>SUM(D262:D263)</f>
        <v>2750</v>
      </c>
      <c r="E264" s="227">
        <f>SUM(B264:D264)</f>
        <v>2750</v>
      </c>
      <c r="F264" s="226">
        <f>SUM(F262:F263)</f>
        <v>2750</v>
      </c>
      <c r="G264" s="226">
        <f>SUM(G262:G263)</f>
        <v>0</v>
      </c>
      <c r="H264" s="226">
        <f>SUM(H262:H263)</f>
        <v>2000</v>
      </c>
      <c r="I264" s="227">
        <f>SUM(F264:H264)</f>
        <v>4750</v>
      </c>
      <c r="J264" s="226">
        <f>SUM(J262:J263)</f>
        <v>2000</v>
      </c>
      <c r="K264" s="226">
        <f>SUM(K262:K263)</f>
        <v>2000</v>
      </c>
      <c r="L264" s="226">
        <f>SUM(L262:L263)</f>
        <v>0</v>
      </c>
      <c r="M264" s="227">
        <f>SUM(J264:L264)</f>
        <v>4000</v>
      </c>
      <c r="N264" s="226">
        <f>SUM(N262:N263)</f>
        <v>0</v>
      </c>
      <c r="O264" s="226">
        <f>SUM(O262:O263)</f>
        <v>0</v>
      </c>
      <c r="P264" s="226">
        <f>SUM(P262:P263)</f>
        <v>0</v>
      </c>
      <c r="Q264" s="227">
        <f>SUM(N264:P264)</f>
        <v>0</v>
      </c>
      <c r="R264" s="226">
        <f>SUM(R262:R263)</f>
        <v>0</v>
      </c>
      <c r="S264" s="226">
        <f>SUM(S262:S263)</f>
        <v>0</v>
      </c>
      <c r="T264" s="226">
        <f>SUM(T262:T263)</f>
        <v>0</v>
      </c>
      <c r="U264" s="227">
        <f>SUM(R264:T264)</f>
        <v>0</v>
      </c>
      <c r="V264" s="226">
        <f>SUM(V262:V263)</f>
        <v>0</v>
      </c>
      <c r="W264" s="226">
        <f>SUM(W262:W263)</f>
        <v>0</v>
      </c>
      <c r="X264" s="226">
        <f>SUM(X262:X263)</f>
        <v>0</v>
      </c>
      <c r="Y264" s="227">
        <f>SUM(V264:X264)</f>
        <v>0</v>
      </c>
    </row>
    <row r="265" spans="1:25" ht="12.75" hidden="1" customHeight="1" outlineLevel="1" x14ac:dyDescent="0.2">
      <c r="A265" s="198" t="str">
        <f>"      "&amp;Labels!B382</f>
        <v xml:space="preserve">      Practice 2</v>
      </c>
      <c r="B265" s="226"/>
      <c r="C265" s="226"/>
      <c r="D265" s="226"/>
      <c r="E265" s="227"/>
      <c r="F265" s="226"/>
      <c r="G265" s="226"/>
      <c r="H265" s="226"/>
      <c r="I265" s="227"/>
      <c r="J265" s="226"/>
      <c r="K265" s="226"/>
      <c r="L265" s="226"/>
      <c r="M265" s="227"/>
      <c r="N265" s="226"/>
      <c r="O265" s="226"/>
      <c r="P265" s="226"/>
      <c r="Q265" s="227"/>
      <c r="R265" s="226"/>
      <c r="S265" s="226"/>
      <c r="T265" s="226"/>
      <c r="U265" s="227"/>
      <c r="V265" s="226"/>
      <c r="W265" s="226"/>
      <c r="X265" s="226"/>
      <c r="Y265" s="227"/>
    </row>
    <row r="266" spans="1:25" ht="12.75" hidden="1" customHeight="1" outlineLevel="1" x14ac:dyDescent="0.2">
      <c r="A266" s="198" t="str">
        <f>"         "&amp;Labels!B385</f>
        <v xml:space="preserve">         Prof Level 1</v>
      </c>
      <c r="B266" s="226">
        <f>Inputs!F157*'(Tables)'!B1096</f>
        <v>0</v>
      </c>
      <c r="C266" s="226">
        <f>Inputs!G157*'(Tables)'!C1096</f>
        <v>0</v>
      </c>
      <c r="D266" s="226">
        <f>Inputs!H157*'(Tables)'!D1096</f>
        <v>0</v>
      </c>
      <c r="E266" s="227">
        <f t="shared" ref="E266:E271" si="150">SUM(B266:D266)</f>
        <v>0</v>
      </c>
      <c r="F266" s="226">
        <f>Inputs!I157*'(Tables)'!E1096</f>
        <v>0</v>
      </c>
      <c r="G266" s="226">
        <f>Inputs!J157*'(Tables)'!F1096</f>
        <v>0</v>
      </c>
      <c r="H266" s="226">
        <f>Inputs!K157*'(Tables)'!G1096</f>
        <v>0</v>
      </c>
      <c r="I266" s="227">
        <f t="shared" ref="I266:I271" si="151">SUM(F266:H266)</f>
        <v>0</v>
      </c>
      <c r="J266" s="226">
        <f>Inputs!L157*'(Tables)'!H1096</f>
        <v>0</v>
      </c>
      <c r="K266" s="226">
        <f>Inputs!M157*'(Tables)'!I1096</f>
        <v>0</v>
      </c>
      <c r="L266" s="226">
        <f>Inputs!N157*'(Tables)'!J1096</f>
        <v>0</v>
      </c>
      <c r="M266" s="227">
        <f t="shared" ref="M266:M271" si="152">SUM(J266:L266)</f>
        <v>0</v>
      </c>
      <c r="N266" s="226">
        <f>Inputs!O157*'(Tables)'!K1096</f>
        <v>0</v>
      </c>
      <c r="O266" s="226">
        <f>Inputs!P157*'(Tables)'!L1096</f>
        <v>0</v>
      </c>
      <c r="P266" s="226">
        <f>Inputs!Q157*'(Tables)'!M1096</f>
        <v>0</v>
      </c>
      <c r="Q266" s="227">
        <f t="shared" ref="Q266:Q271" si="153">SUM(N266:P266)</f>
        <v>0</v>
      </c>
      <c r="R266" s="226">
        <f>Inputs!R157*'(Tables)'!N1096</f>
        <v>0</v>
      </c>
      <c r="S266" s="226">
        <f>Inputs!S157*'(Tables)'!O1096</f>
        <v>0</v>
      </c>
      <c r="T266" s="226">
        <f>Inputs!T157*'(Tables)'!P1096</f>
        <v>0</v>
      </c>
      <c r="U266" s="227">
        <f t="shared" ref="U266:U271" si="154">SUM(R266:T266)</f>
        <v>0</v>
      </c>
      <c r="V266" s="226">
        <f>Inputs!U157*'(Tables)'!Q1096</f>
        <v>0</v>
      </c>
      <c r="W266" s="226">
        <f>Inputs!V157*'(Tables)'!R1096</f>
        <v>0</v>
      </c>
      <c r="X266" s="226">
        <f>Inputs!W157*'(Tables)'!S1096</f>
        <v>0</v>
      </c>
      <c r="Y266" s="227">
        <f t="shared" ref="Y266:Y271" si="155">SUM(V266:X266)</f>
        <v>0</v>
      </c>
    </row>
    <row r="267" spans="1:25" ht="12.75" hidden="1" customHeight="1" outlineLevel="1" x14ac:dyDescent="0.2">
      <c r="A267" s="198" t="str">
        <f>"         "&amp;Labels!B386</f>
        <v xml:space="preserve">         Prof Level 2</v>
      </c>
      <c r="B267" s="226">
        <f>Inputs!F159*'(Tables)'!B1100</f>
        <v>0</v>
      </c>
      <c r="C267" s="226">
        <f>Inputs!G159*'(Tables)'!C1100</f>
        <v>0</v>
      </c>
      <c r="D267" s="226">
        <f>Inputs!H159*'(Tables)'!D1100</f>
        <v>0</v>
      </c>
      <c r="E267" s="227">
        <f t="shared" si="150"/>
        <v>0</v>
      </c>
      <c r="F267" s="226">
        <f>Inputs!I159*'(Tables)'!E1100</f>
        <v>0</v>
      </c>
      <c r="G267" s="226">
        <f>Inputs!J159*'(Tables)'!F1100</f>
        <v>0</v>
      </c>
      <c r="H267" s="226">
        <f>Inputs!K159*'(Tables)'!G1100</f>
        <v>0</v>
      </c>
      <c r="I267" s="227">
        <f t="shared" si="151"/>
        <v>0</v>
      </c>
      <c r="J267" s="226">
        <f>Inputs!L159*'(Tables)'!H1100</f>
        <v>0</v>
      </c>
      <c r="K267" s="226">
        <f>Inputs!M159*'(Tables)'!I1100</f>
        <v>0</v>
      </c>
      <c r="L267" s="226">
        <f>Inputs!N159*'(Tables)'!J1100</f>
        <v>0</v>
      </c>
      <c r="M267" s="227">
        <f t="shared" si="152"/>
        <v>0</v>
      </c>
      <c r="N267" s="226">
        <f>Inputs!O159*'(Tables)'!K1100</f>
        <v>0</v>
      </c>
      <c r="O267" s="226">
        <f>Inputs!P159*'(Tables)'!L1100</f>
        <v>0</v>
      </c>
      <c r="P267" s="226">
        <f>Inputs!Q159*'(Tables)'!M1100</f>
        <v>0</v>
      </c>
      <c r="Q267" s="227">
        <f t="shared" si="153"/>
        <v>0</v>
      </c>
      <c r="R267" s="226">
        <f>Inputs!R159*'(Tables)'!N1100</f>
        <v>0</v>
      </c>
      <c r="S267" s="226">
        <f>Inputs!S159*'(Tables)'!O1100</f>
        <v>0</v>
      </c>
      <c r="T267" s="226">
        <f>Inputs!T159*'(Tables)'!P1100</f>
        <v>0</v>
      </c>
      <c r="U267" s="227">
        <f t="shared" si="154"/>
        <v>0</v>
      </c>
      <c r="V267" s="226">
        <f>Inputs!U159*'(Tables)'!Q1100</f>
        <v>0</v>
      </c>
      <c r="W267" s="226">
        <f>Inputs!V159*'(Tables)'!R1100</f>
        <v>0</v>
      </c>
      <c r="X267" s="226">
        <f>Inputs!W159*'(Tables)'!S1100</f>
        <v>0</v>
      </c>
      <c r="Y267" s="227">
        <f t="shared" si="155"/>
        <v>0</v>
      </c>
    </row>
    <row r="268" spans="1:25" ht="12.75" hidden="1" customHeight="1" outlineLevel="1" x14ac:dyDescent="0.2">
      <c r="A268" s="198" t="str">
        <f>"         "&amp;Labels!C384</f>
        <v xml:space="preserve">         Total</v>
      </c>
      <c r="B268" s="226">
        <f>SUM(B266:B267)</f>
        <v>0</v>
      </c>
      <c r="C268" s="226">
        <f>SUM(C266:C267)</f>
        <v>0</v>
      </c>
      <c r="D268" s="226">
        <f>SUM(D266:D267)</f>
        <v>0</v>
      </c>
      <c r="E268" s="227">
        <f t="shared" si="150"/>
        <v>0</v>
      </c>
      <c r="F268" s="226">
        <f>SUM(F266:F267)</f>
        <v>0</v>
      </c>
      <c r="G268" s="226">
        <f>SUM(G266:G267)</f>
        <v>0</v>
      </c>
      <c r="H268" s="226">
        <f>SUM(H266:H267)</f>
        <v>0</v>
      </c>
      <c r="I268" s="227">
        <f t="shared" si="151"/>
        <v>0</v>
      </c>
      <c r="J268" s="226">
        <f>SUM(J266:J267)</f>
        <v>0</v>
      </c>
      <c r="K268" s="226">
        <f>SUM(K266:K267)</f>
        <v>0</v>
      </c>
      <c r="L268" s="226">
        <f>SUM(L266:L267)</f>
        <v>0</v>
      </c>
      <c r="M268" s="227">
        <f t="shared" si="152"/>
        <v>0</v>
      </c>
      <c r="N268" s="226">
        <f>SUM(N266:N267)</f>
        <v>0</v>
      </c>
      <c r="O268" s="226">
        <f>SUM(O266:O267)</f>
        <v>0</v>
      </c>
      <c r="P268" s="226">
        <f>SUM(P266:P267)</f>
        <v>0</v>
      </c>
      <c r="Q268" s="227">
        <f t="shared" si="153"/>
        <v>0</v>
      </c>
      <c r="R268" s="226">
        <f>SUM(R266:R267)</f>
        <v>0</v>
      </c>
      <c r="S268" s="226">
        <f>SUM(S266:S267)</f>
        <v>0</v>
      </c>
      <c r="T268" s="226">
        <f>SUM(T266:T267)</f>
        <v>0</v>
      </c>
      <c r="U268" s="227">
        <f t="shared" si="154"/>
        <v>0</v>
      </c>
      <c r="V268" s="226">
        <f>SUM(V266:V267)</f>
        <v>0</v>
      </c>
      <c r="W268" s="226">
        <f>SUM(W266:W267)</f>
        <v>0</v>
      </c>
      <c r="X268" s="226">
        <f>SUM(X266:X267)</f>
        <v>0</v>
      </c>
      <c r="Y268" s="227">
        <f t="shared" si="155"/>
        <v>0</v>
      </c>
    </row>
    <row r="269" spans="1:25" ht="12.75" hidden="1" customHeight="1" outlineLevel="1" x14ac:dyDescent="0.2">
      <c r="A269" s="188" t="str">
        <f>"      "&amp;Labels!C380</f>
        <v xml:space="preserve">      Total</v>
      </c>
      <c r="B269" s="196">
        <f>SUM(B264,B268)</f>
        <v>0</v>
      </c>
      <c r="C269" s="196">
        <f>SUM(C264,C268)</f>
        <v>0</v>
      </c>
      <c r="D269" s="196">
        <f>SUM(D264,D268)</f>
        <v>2750</v>
      </c>
      <c r="E269" s="197">
        <f t="shared" si="150"/>
        <v>2750</v>
      </c>
      <c r="F269" s="196">
        <f>SUM(F264,F268)</f>
        <v>2750</v>
      </c>
      <c r="G269" s="196">
        <f>SUM(G264,G268)</f>
        <v>0</v>
      </c>
      <c r="H269" s="196">
        <f>SUM(H264,H268)</f>
        <v>2000</v>
      </c>
      <c r="I269" s="197">
        <f t="shared" si="151"/>
        <v>4750</v>
      </c>
      <c r="J269" s="196">
        <f>SUM(J264,J268)</f>
        <v>2000</v>
      </c>
      <c r="K269" s="196">
        <f>SUM(K264,K268)</f>
        <v>2000</v>
      </c>
      <c r="L269" s="196">
        <f>SUM(L264,L268)</f>
        <v>0</v>
      </c>
      <c r="M269" s="197">
        <f t="shared" si="152"/>
        <v>4000</v>
      </c>
      <c r="N269" s="196">
        <f>SUM(N264,N268)</f>
        <v>0</v>
      </c>
      <c r="O269" s="196">
        <f>SUM(O264,O268)</f>
        <v>0</v>
      </c>
      <c r="P269" s="196">
        <f>SUM(P264,P268)</f>
        <v>0</v>
      </c>
      <c r="Q269" s="197">
        <f t="shared" si="153"/>
        <v>0</v>
      </c>
      <c r="R269" s="196">
        <f>SUM(R264,R268)</f>
        <v>0</v>
      </c>
      <c r="S269" s="196">
        <f>SUM(S264,S268)</f>
        <v>0</v>
      </c>
      <c r="T269" s="196">
        <f>SUM(T264,T268)</f>
        <v>0</v>
      </c>
      <c r="U269" s="197">
        <f t="shared" si="154"/>
        <v>0</v>
      </c>
      <c r="V269" s="196">
        <f>SUM(V264,V268)</f>
        <v>0</v>
      </c>
      <c r="W269" s="196">
        <f>SUM(W264,W268)</f>
        <v>0</v>
      </c>
      <c r="X269" s="196">
        <f>SUM(X264,X268)</f>
        <v>0</v>
      </c>
      <c r="Y269" s="197">
        <f t="shared" si="155"/>
        <v>0</v>
      </c>
    </row>
    <row r="270" spans="1:25" ht="12.75" hidden="1" customHeight="1" outlineLevel="1" x14ac:dyDescent="0.2">
      <c r="A270" s="198" t="str">
        <f>"         "&amp;Labels!B385</f>
        <v xml:space="preserve">         Prof Level 1</v>
      </c>
      <c r="B270" s="226">
        <f t="shared" ref="B270:D272" si="156">SUM(B262,B266)</f>
        <v>0</v>
      </c>
      <c r="C270" s="226">
        <f t="shared" si="156"/>
        <v>0</v>
      </c>
      <c r="D270" s="226">
        <f t="shared" si="156"/>
        <v>1375</v>
      </c>
      <c r="E270" s="227">
        <f t="shared" si="150"/>
        <v>1375</v>
      </c>
      <c r="F270" s="226">
        <f t="shared" ref="F270:H272" si="157">SUM(F262,F266)</f>
        <v>1375</v>
      </c>
      <c r="G270" s="226">
        <f t="shared" si="157"/>
        <v>0</v>
      </c>
      <c r="H270" s="226">
        <f t="shared" si="157"/>
        <v>1000</v>
      </c>
      <c r="I270" s="227">
        <f t="shared" si="151"/>
        <v>2375</v>
      </c>
      <c r="J270" s="226">
        <f t="shared" ref="J270:L272" si="158">SUM(J262,J266)</f>
        <v>1000</v>
      </c>
      <c r="K270" s="226">
        <f t="shared" si="158"/>
        <v>1000</v>
      </c>
      <c r="L270" s="226">
        <f t="shared" si="158"/>
        <v>0</v>
      </c>
      <c r="M270" s="227">
        <f t="shared" si="152"/>
        <v>2000</v>
      </c>
      <c r="N270" s="226">
        <f t="shared" ref="N270:P272" si="159">SUM(N262,N266)</f>
        <v>0</v>
      </c>
      <c r="O270" s="226">
        <f t="shared" si="159"/>
        <v>0</v>
      </c>
      <c r="P270" s="226">
        <f t="shared" si="159"/>
        <v>0</v>
      </c>
      <c r="Q270" s="227">
        <f t="shared" si="153"/>
        <v>0</v>
      </c>
      <c r="R270" s="226">
        <f t="shared" ref="R270:T272" si="160">SUM(R262,R266)</f>
        <v>0</v>
      </c>
      <c r="S270" s="226">
        <f t="shared" si="160"/>
        <v>0</v>
      </c>
      <c r="T270" s="226">
        <f t="shared" si="160"/>
        <v>0</v>
      </c>
      <c r="U270" s="227">
        <f t="shared" si="154"/>
        <v>0</v>
      </c>
      <c r="V270" s="226">
        <f t="shared" ref="V270:X272" si="161">SUM(V262,V266)</f>
        <v>0</v>
      </c>
      <c r="W270" s="226">
        <f t="shared" si="161"/>
        <v>0</v>
      </c>
      <c r="X270" s="226">
        <f t="shared" si="161"/>
        <v>0</v>
      </c>
      <c r="Y270" s="227">
        <f t="shared" si="155"/>
        <v>0</v>
      </c>
    </row>
    <row r="271" spans="1:25" ht="12.75" hidden="1" customHeight="1" outlineLevel="1" x14ac:dyDescent="0.2">
      <c r="A271" s="198" t="str">
        <f>"         "&amp;Labels!B386</f>
        <v xml:space="preserve">         Prof Level 2</v>
      </c>
      <c r="B271" s="226">
        <f t="shared" si="156"/>
        <v>0</v>
      </c>
      <c r="C271" s="226">
        <f t="shared" si="156"/>
        <v>0</v>
      </c>
      <c r="D271" s="226">
        <f t="shared" si="156"/>
        <v>1375</v>
      </c>
      <c r="E271" s="227">
        <f t="shared" si="150"/>
        <v>1375</v>
      </c>
      <c r="F271" s="226">
        <f t="shared" si="157"/>
        <v>1375</v>
      </c>
      <c r="G271" s="226">
        <f t="shared" si="157"/>
        <v>0</v>
      </c>
      <c r="H271" s="226">
        <f t="shared" si="157"/>
        <v>1000</v>
      </c>
      <c r="I271" s="227">
        <f t="shared" si="151"/>
        <v>2375</v>
      </c>
      <c r="J271" s="226">
        <f t="shared" si="158"/>
        <v>1000</v>
      </c>
      <c r="K271" s="226">
        <f t="shared" si="158"/>
        <v>1000</v>
      </c>
      <c r="L271" s="226">
        <f t="shared" si="158"/>
        <v>0</v>
      </c>
      <c r="M271" s="227">
        <f t="shared" si="152"/>
        <v>2000</v>
      </c>
      <c r="N271" s="226">
        <f t="shared" si="159"/>
        <v>0</v>
      </c>
      <c r="O271" s="226">
        <f t="shared" si="159"/>
        <v>0</v>
      </c>
      <c r="P271" s="226">
        <f t="shared" si="159"/>
        <v>0</v>
      </c>
      <c r="Q271" s="227">
        <f t="shared" si="153"/>
        <v>0</v>
      </c>
      <c r="R271" s="226">
        <f t="shared" si="160"/>
        <v>0</v>
      </c>
      <c r="S271" s="226">
        <f t="shared" si="160"/>
        <v>0</v>
      </c>
      <c r="T271" s="226">
        <f t="shared" si="160"/>
        <v>0</v>
      </c>
      <c r="U271" s="227">
        <f t="shared" si="154"/>
        <v>0</v>
      </c>
      <c r="V271" s="226">
        <f t="shared" si="161"/>
        <v>0</v>
      </c>
      <c r="W271" s="226">
        <f t="shared" si="161"/>
        <v>0</v>
      </c>
      <c r="X271" s="226">
        <f t="shared" si="161"/>
        <v>0</v>
      </c>
      <c r="Y271" s="227">
        <f t="shared" si="155"/>
        <v>0</v>
      </c>
    </row>
    <row r="272" spans="1:25" ht="12.75" hidden="1" customHeight="1" outlineLevel="1" x14ac:dyDescent="0.2">
      <c r="A272" s="198" t="str">
        <f>"         "&amp;Labels!C384</f>
        <v xml:space="preserve">         Total</v>
      </c>
      <c r="B272" s="226">
        <f t="shared" si="156"/>
        <v>0</v>
      </c>
      <c r="C272" s="226">
        <f t="shared" si="156"/>
        <v>0</v>
      </c>
      <c r="D272" s="226">
        <f t="shared" si="156"/>
        <v>2750</v>
      </c>
      <c r="E272" s="227">
        <f>SUM(B269:D269)</f>
        <v>2750</v>
      </c>
      <c r="F272" s="226">
        <f t="shared" si="157"/>
        <v>2750</v>
      </c>
      <c r="G272" s="226">
        <f t="shared" si="157"/>
        <v>0</v>
      </c>
      <c r="H272" s="226">
        <f t="shared" si="157"/>
        <v>2000</v>
      </c>
      <c r="I272" s="227">
        <f>SUM(F269:H269)</f>
        <v>4750</v>
      </c>
      <c r="J272" s="226">
        <f t="shared" si="158"/>
        <v>2000</v>
      </c>
      <c r="K272" s="226">
        <f t="shared" si="158"/>
        <v>2000</v>
      </c>
      <c r="L272" s="226">
        <f t="shared" si="158"/>
        <v>0</v>
      </c>
      <c r="M272" s="227">
        <f>SUM(J269:L269)</f>
        <v>4000</v>
      </c>
      <c r="N272" s="226">
        <f t="shared" si="159"/>
        <v>0</v>
      </c>
      <c r="O272" s="226">
        <f t="shared" si="159"/>
        <v>0</v>
      </c>
      <c r="P272" s="226">
        <f t="shared" si="159"/>
        <v>0</v>
      </c>
      <c r="Q272" s="227">
        <f>SUM(N269:P269)</f>
        <v>0</v>
      </c>
      <c r="R272" s="226">
        <f t="shared" si="160"/>
        <v>0</v>
      </c>
      <c r="S272" s="226">
        <f t="shared" si="160"/>
        <v>0</v>
      </c>
      <c r="T272" s="226">
        <f t="shared" si="160"/>
        <v>0</v>
      </c>
      <c r="U272" s="227">
        <f>SUM(R269:T269)</f>
        <v>0</v>
      </c>
      <c r="V272" s="226">
        <f t="shared" si="161"/>
        <v>0</v>
      </c>
      <c r="W272" s="226">
        <f t="shared" si="161"/>
        <v>0</v>
      </c>
      <c r="X272" s="226">
        <f t="shared" si="161"/>
        <v>0</v>
      </c>
      <c r="Y272" s="227">
        <f>SUM(V269:X269)</f>
        <v>0</v>
      </c>
    </row>
    <row r="273" spans="1:25" ht="12.75" hidden="1" customHeight="1" outlineLevel="1" x14ac:dyDescent="0.2">
      <c r="A273" s="188" t="str">
        <f>"   "&amp;Labels!B318</f>
        <v xml:space="preserve">   Channels 2</v>
      </c>
      <c r="B273" s="196"/>
      <c r="C273" s="196"/>
      <c r="D273" s="196"/>
      <c r="E273" s="197"/>
      <c r="F273" s="196"/>
      <c r="G273" s="196"/>
      <c r="H273" s="196"/>
      <c r="I273" s="197"/>
      <c r="J273" s="196"/>
      <c r="K273" s="196"/>
      <c r="L273" s="196"/>
      <c r="M273" s="197"/>
      <c r="N273" s="196"/>
      <c r="O273" s="196"/>
      <c r="P273" s="196"/>
      <c r="Q273" s="197"/>
      <c r="R273" s="196"/>
      <c r="S273" s="196"/>
      <c r="T273" s="196"/>
      <c r="U273" s="197"/>
      <c r="V273" s="196"/>
      <c r="W273" s="196"/>
      <c r="X273" s="196"/>
      <c r="Y273" s="197"/>
    </row>
    <row r="274" spans="1:25" ht="12.75" hidden="1" customHeight="1" outlineLevel="1" x14ac:dyDescent="0.2">
      <c r="A274" s="198" t="str">
        <f>"      "&amp;Labels!B381</f>
        <v xml:space="preserve">      Practice 1</v>
      </c>
      <c r="B274" s="226"/>
      <c r="C274" s="226"/>
      <c r="D274" s="226"/>
      <c r="E274" s="227"/>
      <c r="F274" s="226"/>
      <c r="G274" s="226"/>
      <c r="H274" s="226"/>
      <c r="I274" s="227"/>
      <c r="J274" s="226"/>
      <c r="K274" s="226"/>
      <c r="L274" s="226"/>
      <c r="M274" s="227"/>
      <c r="N274" s="226"/>
      <c r="O274" s="226"/>
      <c r="P274" s="226"/>
      <c r="Q274" s="227"/>
      <c r="R274" s="226"/>
      <c r="S274" s="226"/>
      <c r="T274" s="226"/>
      <c r="U274" s="227"/>
      <c r="V274" s="226"/>
      <c r="W274" s="226"/>
      <c r="X274" s="226"/>
      <c r="Y274" s="227"/>
    </row>
    <row r="275" spans="1:25" ht="12.75" hidden="1" customHeight="1" outlineLevel="1" x14ac:dyDescent="0.2">
      <c r="A275" s="198" t="str">
        <f>"         "&amp;Labels!B385</f>
        <v xml:space="preserve">         Prof Level 1</v>
      </c>
      <c r="B275" s="226">
        <f>Inputs!F154*'(Tables)'!B1084</f>
        <v>0</v>
      </c>
      <c r="C275" s="226">
        <f>Inputs!G154*'(Tables)'!C1084</f>
        <v>0</v>
      </c>
      <c r="D275" s="226">
        <f>Inputs!H154*'(Tables)'!D1084</f>
        <v>0</v>
      </c>
      <c r="E275" s="227">
        <f>SUM(B275:D275)</f>
        <v>0</v>
      </c>
      <c r="F275" s="226">
        <f>Inputs!I154*'(Tables)'!E1084</f>
        <v>0</v>
      </c>
      <c r="G275" s="226">
        <f>Inputs!J154*'(Tables)'!F1084</f>
        <v>0</v>
      </c>
      <c r="H275" s="226">
        <f>Inputs!K154*'(Tables)'!G1084</f>
        <v>0</v>
      </c>
      <c r="I275" s="227">
        <f>SUM(F275:H275)</f>
        <v>0</v>
      </c>
      <c r="J275" s="226">
        <f>Inputs!L154*'(Tables)'!H1084</f>
        <v>0</v>
      </c>
      <c r="K275" s="226">
        <f>Inputs!M154*'(Tables)'!I1084</f>
        <v>0</v>
      </c>
      <c r="L275" s="226">
        <f>Inputs!N154*'(Tables)'!J1084</f>
        <v>0</v>
      </c>
      <c r="M275" s="227">
        <f>SUM(J275:L275)</f>
        <v>0</v>
      </c>
      <c r="N275" s="226">
        <f>Inputs!O154*'(Tables)'!K1084</f>
        <v>0</v>
      </c>
      <c r="O275" s="226">
        <f>Inputs!P154*'(Tables)'!L1084</f>
        <v>0</v>
      </c>
      <c r="P275" s="226">
        <f>Inputs!Q154*'(Tables)'!M1084</f>
        <v>0</v>
      </c>
      <c r="Q275" s="227">
        <f>SUM(N275:P275)</f>
        <v>0</v>
      </c>
      <c r="R275" s="226">
        <f>Inputs!R154*'(Tables)'!N1084</f>
        <v>0</v>
      </c>
      <c r="S275" s="226">
        <f>Inputs!S154*'(Tables)'!O1084</f>
        <v>0</v>
      </c>
      <c r="T275" s="226">
        <f>Inputs!T154*'(Tables)'!P1084</f>
        <v>0</v>
      </c>
      <c r="U275" s="227">
        <f>SUM(R275:T275)</f>
        <v>0</v>
      </c>
      <c r="V275" s="226">
        <f>Inputs!U154*'(Tables)'!Q1084</f>
        <v>0</v>
      </c>
      <c r="W275" s="226">
        <f>Inputs!V154*'(Tables)'!R1084</f>
        <v>0</v>
      </c>
      <c r="X275" s="226">
        <f>Inputs!W154*'(Tables)'!S1084</f>
        <v>0</v>
      </c>
      <c r="Y275" s="227">
        <f>SUM(V275:X275)</f>
        <v>0</v>
      </c>
    </row>
    <row r="276" spans="1:25" ht="12.75" hidden="1" customHeight="1" outlineLevel="1" x14ac:dyDescent="0.2">
      <c r="A276" s="198" t="str">
        <f>"         "&amp;Labels!B386</f>
        <v xml:space="preserve">         Prof Level 2</v>
      </c>
      <c r="B276" s="226">
        <f>Inputs!F156*'(Tables)'!B1088</f>
        <v>0</v>
      </c>
      <c r="C276" s="226">
        <f>Inputs!G156*'(Tables)'!C1088</f>
        <v>0</v>
      </c>
      <c r="D276" s="226">
        <f>Inputs!H156*'(Tables)'!D1088</f>
        <v>0</v>
      </c>
      <c r="E276" s="227">
        <f>SUM(B276:D276)</f>
        <v>0</v>
      </c>
      <c r="F276" s="226">
        <f>Inputs!I156*'(Tables)'!E1088</f>
        <v>0</v>
      </c>
      <c r="G276" s="226">
        <f>Inputs!J156*'(Tables)'!F1088</f>
        <v>0</v>
      </c>
      <c r="H276" s="226">
        <f>Inputs!K156*'(Tables)'!G1088</f>
        <v>0</v>
      </c>
      <c r="I276" s="227">
        <f>SUM(F276:H276)</f>
        <v>0</v>
      </c>
      <c r="J276" s="226">
        <f>Inputs!L156*'(Tables)'!H1088</f>
        <v>0</v>
      </c>
      <c r="K276" s="226">
        <f>Inputs!M156*'(Tables)'!I1088</f>
        <v>0</v>
      </c>
      <c r="L276" s="226">
        <f>Inputs!N156*'(Tables)'!J1088</f>
        <v>0</v>
      </c>
      <c r="M276" s="227">
        <f>SUM(J276:L276)</f>
        <v>0</v>
      </c>
      <c r="N276" s="226">
        <f>Inputs!O156*'(Tables)'!K1088</f>
        <v>0</v>
      </c>
      <c r="O276" s="226">
        <f>Inputs!P156*'(Tables)'!L1088</f>
        <v>0</v>
      </c>
      <c r="P276" s="226">
        <f>Inputs!Q156*'(Tables)'!M1088</f>
        <v>0</v>
      </c>
      <c r="Q276" s="227">
        <f>SUM(N276:P276)</f>
        <v>0</v>
      </c>
      <c r="R276" s="226">
        <f>Inputs!R156*'(Tables)'!N1088</f>
        <v>0</v>
      </c>
      <c r="S276" s="226">
        <f>Inputs!S156*'(Tables)'!O1088</f>
        <v>0</v>
      </c>
      <c r="T276" s="226">
        <f>Inputs!T156*'(Tables)'!P1088</f>
        <v>0</v>
      </c>
      <c r="U276" s="227">
        <f>SUM(R276:T276)</f>
        <v>0</v>
      </c>
      <c r="V276" s="226">
        <f>Inputs!U156*'(Tables)'!Q1088</f>
        <v>0</v>
      </c>
      <c r="W276" s="226">
        <f>Inputs!V156*'(Tables)'!R1088</f>
        <v>0</v>
      </c>
      <c r="X276" s="226">
        <f>Inputs!W156*'(Tables)'!S1088</f>
        <v>0</v>
      </c>
      <c r="Y276" s="227">
        <f>SUM(V276:X276)</f>
        <v>0</v>
      </c>
    </row>
    <row r="277" spans="1:25" ht="12.75" hidden="1" customHeight="1" outlineLevel="1" x14ac:dyDescent="0.2">
      <c r="A277" s="198" t="str">
        <f>"         "&amp;Labels!C384</f>
        <v xml:space="preserve">         Total</v>
      </c>
      <c r="B277" s="226">
        <f>SUM(B275:B276)</f>
        <v>0</v>
      </c>
      <c r="C277" s="226">
        <f>SUM(C275:C276)</f>
        <v>0</v>
      </c>
      <c r="D277" s="226">
        <f>SUM(D275:D276)</f>
        <v>0</v>
      </c>
      <c r="E277" s="227">
        <f>SUM(B277:D277)</f>
        <v>0</v>
      </c>
      <c r="F277" s="226">
        <f>SUM(F275:F276)</f>
        <v>0</v>
      </c>
      <c r="G277" s="226">
        <f>SUM(G275:G276)</f>
        <v>0</v>
      </c>
      <c r="H277" s="226">
        <f>SUM(H275:H276)</f>
        <v>0</v>
      </c>
      <c r="I277" s="227">
        <f>SUM(F277:H277)</f>
        <v>0</v>
      </c>
      <c r="J277" s="226">
        <f>SUM(J275:J276)</f>
        <v>0</v>
      </c>
      <c r="K277" s="226">
        <f>SUM(K275:K276)</f>
        <v>0</v>
      </c>
      <c r="L277" s="226">
        <f>SUM(L275:L276)</f>
        <v>0</v>
      </c>
      <c r="M277" s="227">
        <f>SUM(J277:L277)</f>
        <v>0</v>
      </c>
      <c r="N277" s="226">
        <f>SUM(N275:N276)</f>
        <v>0</v>
      </c>
      <c r="O277" s="226">
        <f>SUM(O275:O276)</f>
        <v>0</v>
      </c>
      <c r="P277" s="226">
        <f>SUM(P275:P276)</f>
        <v>0</v>
      </c>
      <c r="Q277" s="227">
        <f>SUM(N277:P277)</f>
        <v>0</v>
      </c>
      <c r="R277" s="226">
        <f>SUM(R275:R276)</f>
        <v>0</v>
      </c>
      <c r="S277" s="226">
        <f>SUM(S275:S276)</f>
        <v>0</v>
      </c>
      <c r="T277" s="226">
        <f>SUM(T275:T276)</f>
        <v>0</v>
      </c>
      <c r="U277" s="227">
        <f>SUM(R277:T277)</f>
        <v>0</v>
      </c>
      <c r="V277" s="226">
        <f>SUM(V275:V276)</f>
        <v>0</v>
      </c>
      <c r="W277" s="226">
        <f>SUM(W275:W276)</f>
        <v>0</v>
      </c>
      <c r="X277" s="226">
        <f>SUM(X275:X276)</f>
        <v>0</v>
      </c>
      <c r="Y277" s="227">
        <f>SUM(V277:X277)</f>
        <v>0</v>
      </c>
    </row>
    <row r="278" spans="1:25" ht="12.75" hidden="1" customHeight="1" outlineLevel="1" x14ac:dyDescent="0.2">
      <c r="A278" s="198" t="str">
        <f>"      "&amp;Labels!B382</f>
        <v xml:space="preserve">      Practice 2</v>
      </c>
      <c r="B278" s="226"/>
      <c r="C278" s="226"/>
      <c r="D278" s="226"/>
      <c r="E278" s="227"/>
      <c r="F278" s="226"/>
      <c r="G278" s="226"/>
      <c r="H278" s="226"/>
      <c r="I278" s="227"/>
      <c r="J278" s="226"/>
      <c r="K278" s="226"/>
      <c r="L278" s="226"/>
      <c r="M278" s="227"/>
      <c r="N278" s="226"/>
      <c r="O278" s="226"/>
      <c r="P278" s="226"/>
      <c r="Q278" s="227"/>
      <c r="R278" s="226"/>
      <c r="S278" s="226"/>
      <c r="T278" s="226"/>
      <c r="U278" s="227"/>
      <c r="V278" s="226"/>
      <c r="W278" s="226"/>
      <c r="X278" s="226"/>
      <c r="Y278" s="227"/>
    </row>
    <row r="279" spans="1:25" ht="12.75" hidden="1" customHeight="1" outlineLevel="1" x14ac:dyDescent="0.2">
      <c r="A279" s="198" t="str">
        <f>"         "&amp;Labels!B385</f>
        <v xml:space="preserve">         Prof Level 1</v>
      </c>
      <c r="B279" s="226">
        <f>Inputs!F158*'(Tables)'!B1097</f>
        <v>0</v>
      </c>
      <c r="C279" s="226">
        <f>Inputs!G158*'(Tables)'!C1097</f>
        <v>0</v>
      </c>
      <c r="D279" s="226">
        <f>Inputs!H158*'(Tables)'!D1097</f>
        <v>0</v>
      </c>
      <c r="E279" s="227">
        <f t="shared" ref="E279:E284" si="162">SUM(B279:D279)</f>
        <v>0</v>
      </c>
      <c r="F279" s="226">
        <f>Inputs!I158*'(Tables)'!E1097</f>
        <v>0</v>
      </c>
      <c r="G279" s="226">
        <f>Inputs!J158*'(Tables)'!F1097</f>
        <v>0</v>
      </c>
      <c r="H279" s="226">
        <f>Inputs!K158*'(Tables)'!G1097</f>
        <v>0</v>
      </c>
      <c r="I279" s="227">
        <f t="shared" ref="I279:I284" si="163">SUM(F279:H279)</f>
        <v>0</v>
      </c>
      <c r="J279" s="226">
        <f>Inputs!L158*'(Tables)'!H1097</f>
        <v>0</v>
      </c>
      <c r="K279" s="226">
        <f>Inputs!M158*'(Tables)'!I1097</f>
        <v>0</v>
      </c>
      <c r="L279" s="226">
        <f>Inputs!N158*'(Tables)'!J1097</f>
        <v>0</v>
      </c>
      <c r="M279" s="227">
        <f t="shared" ref="M279:M284" si="164">SUM(J279:L279)</f>
        <v>0</v>
      </c>
      <c r="N279" s="226">
        <f>Inputs!O158*'(Tables)'!K1097</f>
        <v>0</v>
      </c>
      <c r="O279" s="226">
        <f>Inputs!P158*'(Tables)'!L1097</f>
        <v>0</v>
      </c>
      <c r="P279" s="226">
        <f>Inputs!Q158*'(Tables)'!M1097</f>
        <v>0</v>
      </c>
      <c r="Q279" s="227">
        <f t="shared" ref="Q279:Q284" si="165">SUM(N279:P279)</f>
        <v>0</v>
      </c>
      <c r="R279" s="226">
        <f>Inputs!R158*'(Tables)'!N1097</f>
        <v>0</v>
      </c>
      <c r="S279" s="226">
        <f>Inputs!S158*'(Tables)'!O1097</f>
        <v>0</v>
      </c>
      <c r="T279" s="226">
        <f>Inputs!T158*'(Tables)'!P1097</f>
        <v>0</v>
      </c>
      <c r="U279" s="227">
        <f t="shared" ref="U279:U284" si="166">SUM(R279:T279)</f>
        <v>0</v>
      </c>
      <c r="V279" s="226">
        <f>Inputs!U158*'(Tables)'!Q1097</f>
        <v>0</v>
      </c>
      <c r="W279" s="226">
        <f>Inputs!V158*'(Tables)'!R1097</f>
        <v>0</v>
      </c>
      <c r="X279" s="226">
        <f>Inputs!W158*'(Tables)'!S1097</f>
        <v>0</v>
      </c>
      <c r="Y279" s="227">
        <f t="shared" ref="Y279:Y284" si="167">SUM(V279:X279)</f>
        <v>0</v>
      </c>
    </row>
    <row r="280" spans="1:25" ht="12.75" hidden="1" customHeight="1" outlineLevel="1" x14ac:dyDescent="0.2">
      <c r="A280" s="198" t="str">
        <f>"         "&amp;Labels!B386</f>
        <v xml:space="preserve">         Prof Level 2</v>
      </c>
      <c r="B280" s="226">
        <f>Inputs!F160*'(Tables)'!B1101</f>
        <v>0</v>
      </c>
      <c r="C280" s="226">
        <f>Inputs!G160*'(Tables)'!C1101</f>
        <v>0</v>
      </c>
      <c r="D280" s="226">
        <f>Inputs!H160*'(Tables)'!D1101</f>
        <v>0</v>
      </c>
      <c r="E280" s="227">
        <f t="shared" si="162"/>
        <v>0</v>
      </c>
      <c r="F280" s="226">
        <f>Inputs!I160*'(Tables)'!E1101</f>
        <v>0</v>
      </c>
      <c r="G280" s="226">
        <f>Inputs!J160*'(Tables)'!F1101</f>
        <v>0</v>
      </c>
      <c r="H280" s="226">
        <f>Inputs!K160*'(Tables)'!G1101</f>
        <v>0</v>
      </c>
      <c r="I280" s="227">
        <f t="shared" si="163"/>
        <v>0</v>
      </c>
      <c r="J280" s="226">
        <f>Inputs!L160*'(Tables)'!H1101</f>
        <v>0</v>
      </c>
      <c r="K280" s="226">
        <f>Inputs!M160*'(Tables)'!I1101</f>
        <v>0</v>
      </c>
      <c r="L280" s="226">
        <f>Inputs!N160*'(Tables)'!J1101</f>
        <v>0</v>
      </c>
      <c r="M280" s="227">
        <f t="shared" si="164"/>
        <v>0</v>
      </c>
      <c r="N280" s="226">
        <f>Inputs!O160*'(Tables)'!K1101</f>
        <v>0</v>
      </c>
      <c r="O280" s="226">
        <f>Inputs!P160*'(Tables)'!L1101</f>
        <v>0</v>
      </c>
      <c r="P280" s="226">
        <f>Inputs!Q160*'(Tables)'!M1101</f>
        <v>0</v>
      </c>
      <c r="Q280" s="227">
        <f t="shared" si="165"/>
        <v>0</v>
      </c>
      <c r="R280" s="226">
        <f>Inputs!R160*'(Tables)'!N1101</f>
        <v>0</v>
      </c>
      <c r="S280" s="226">
        <f>Inputs!S160*'(Tables)'!O1101</f>
        <v>0</v>
      </c>
      <c r="T280" s="226">
        <f>Inputs!T160*'(Tables)'!P1101</f>
        <v>0</v>
      </c>
      <c r="U280" s="227">
        <f t="shared" si="166"/>
        <v>0</v>
      </c>
      <c r="V280" s="226">
        <f>Inputs!U160*'(Tables)'!Q1101</f>
        <v>0</v>
      </c>
      <c r="W280" s="226">
        <f>Inputs!V160*'(Tables)'!R1101</f>
        <v>0</v>
      </c>
      <c r="X280" s="226">
        <f>Inputs!W160*'(Tables)'!S1101</f>
        <v>0</v>
      </c>
      <c r="Y280" s="227">
        <f t="shared" si="167"/>
        <v>0</v>
      </c>
    </row>
    <row r="281" spans="1:25" ht="12.75" hidden="1" customHeight="1" outlineLevel="1" x14ac:dyDescent="0.2">
      <c r="A281" s="198" t="str">
        <f>"         "&amp;Labels!C384</f>
        <v xml:space="preserve">         Total</v>
      </c>
      <c r="B281" s="226">
        <f>SUM(B279:B280)</f>
        <v>0</v>
      </c>
      <c r="C281" s="226">
        <f>SUM(C279:C280)</f>
        <v>0</v>
      </c>
      <c r="D281" s="226">
        <f>SUM(D279:D280)</f>
        <v>0</v>
      </c>
      <c r="E281" s="227">
        <f t="shared" si="162"/>
        <v>0</v>
      </c>
      <c r="F281" s="226">
        <f>SUM(F279:F280)</f>
        <v>0</v>
      </c>
      <c r="G281" s="226">
        <f>SUM(G279:G280)</f>
        <v>0</v>
      </c>
      <c r="H281" s="226">
        <f>SUM(H279:H280)</f>
        <v>0</v>
      </c>
      <c r="I281" s="227">
        <f t="shared" si="163"/>
        <v>0</v>
      </c>
      <c r="J281" s="226">
        <f>SUM(J279:J280)</f>
        <v>0</v>
      </c>
      <c r="K281" s="226">
        <f>SUM(K279:K280)</f>
        <v>0</v>
      </c>
      <c r="L281" s="226">
        <f>SUM(L279:L280)</f>
        <v>0</v>
      </c>
      <c r="M281" s="227">
        <f t="shared" si="164"/>
        <v>0</v>
      </c>
      <c r="N281" s="226">
        <f>SUM(N279:N280)</f>
        <v>0</v>
      </c>
      <c r="O281" s="226">
        <f>SUM(O279:O280)</f>
        <v>0</v>
      </c>
      <c r="P281" s="226">
        <f>SUM(P279:P280)</f>
        <v>0</v>
      </c>
      <c r="Q281" s="227">
        <f t="shared" si="165"/>
        <v>0</v>
      </c>
      <c r="R281" s="226">
        <f>SUM(R279:R280)</f>
        <v>0</v>
      </c>
      <c r="S281" s="226">
        <f>SUM(S279:S280)</f>
        <v>0</v>
      </c>
      <c r="T281" s="226">
        <f>SUM(T279:T280)</f>
        <v>0</v>
      </c>
      <c r="U281" s="227">
        <f t="shared" si="166"/>
        <v>0</v>
      </c>
      <c r="V281" s="226">
        <f>SUM(V279:V280)</f>
        <v>0</v>
      </c>
      <c r="W281" s="226">
        <f>SUM(W279:W280)</f>
        <v>0</v>
      </c>
      <c r="X281" s="226">
        <f>SUM(X279:X280)</f>
        <v>0</v>
      </c>
      <c r="Y281" s="227">
        <f t="shared" si="167"/>
        <v>0</v>
      </c>
    </row>
    <row r="282" spans="1:25" ht="12.75" hidden="1" customHeight="1" outlineLevel="1" x14ac:dyDescent="0.2">
      <c r="A282" s="188" t="str">
        <f>"      "&amp;Labels!C380</f>
        <v xml:space="preserve">      Total</v>
      </c>
      <c r="B282" s="196">
        <f>SUM(B277,B281)</f>
        <v>0</v>
      </c>
      <c r="C282" s="196">
        <f>SUM(C277,C281)</f>
        <v>0</v>
      </c>
      <c r="D282" s="196">
        <f>SUM(D277,D281)</f>
        <v>0</v>
      </c>
      <c r="E282" s="197">
        <f t="shared" si="162"/>
        <v>0</v>
      </c>
      <c r="F282" s="196">
        <f>SUM(F277,F281)</f>
        <v>0</v>
      </c>
      <c r="G282" s="196">
        <f>SUM(G277,G281)</f>
        <v>0</v>
      </c>
      <c r="H282" s="196">
        <f>SUM(H277,H281)</f>
        <v>0</v>
      </c>
      <c r="I282" s="197">
        <f t="shared" si="163"/>
        <v>0</v>
      </c>
      <c r="J282" s="196">
        <f>SUM(J277,J281)</f>
        <v>0</v>
      </c>
      <c r="K282" s="196">
        <f>SUM(K277,K281)</f>
        <v>0</v>
      </c>
      <c r="L282" s="196">
        <f>SUM(L277,L281)</f>
        <v>0</v>
      </c>
      <c r="M282" s="197">
        <f t="shared" si="164"/>
        <v>0</v>
      </c>
      <c r="N282" s="196">
        <f>SUM(N277,N281)</f>
        <v>0</v>
      </c>
      <c r="O282" s="196">
        <f>SUM(O277,O281)</f>
        <v>0</v>
      </c>
      <c r="P282" s="196">
        <f>SUM(P277,P281)</f>
        <v>0</v>
      </c>
      <c r="Q282" s="197">
        <f t="shared" si="165"/>
        <v>0</v>
      </c>
      <c r="R282" s="196">
        <f>SUM(R277,R281)</f>
        <v>0</v>
      </c>
      <c r="S282" s="196">
        <f>SUM(S277,S281)</f>
        <v>0</v>
      </c>
      <c r="T282" s="196">
        <f>SUM(T277,T281)</f>
        <v>0</v>
      </c>
      <c r="U282" s="197">
        <f t="shared" si="166"/>
        <v>0</v>
      </c>
      <c r="V282" s="196">
        <f>SUM(V277,V281)</f>
        <v>0</v>
      </c>
      <c r="W282" s="196">
        <f>SUM(W277,W281)</f>
        <v>0</v>
      </c>
      <c r="X282" s="196">
        <f>SUM(X277,X281)</f>
        <v>0</v>
      </c>
      <c r="Y282" s="197">
        <f t="shared" si="167"/>
        <v>0</v>
      </c>
    </row>
    <row r="283" spans="1:25" ht="12.75" hidden="1" customHeight="1" outlineLevel="1" x14ac:dyDescent="0.2">
      <c r="A283" s="198" t="str">
        <f>"         "&amp;Labels!B385</f>
        <v xml:space="preserve">         Prof Level 1</v>
      </c>
      <c r="B283" s="226">
        <f t="shared" ref="B283:D285" si="168">SUM(B275,B279)</f>
        <v>0</v>
      </c>
      <c r="C283" s="226">
        <f t="shared" si="168"/>
        <v>0</v>
      </c>
      <c r="D283" s="226">
        <f t="shared" si="168"/>
        <v>0</v>
      </c>
      <c r="E283" s="227">
        <f t="shared" si="162"/>
        <v>0</v>
      </c>
      <c r="F283" s="226">
        <f t="shared" ref="F283:H285" si="169">SUM(F275,F279)</f>
        <v>0</v>
      </c>
      <c r="G283" s="226">
        <f t="shared" si="169"/>
        <v>0</v>
      </c>
      <c r="H283" s="226">
        <f t="shared" si="169"/>
        <v>0</v>
      </c>
      <c r="I283" s="227">
        <f t="shared" si="163"/>
        <v>0</v>
      </c>
      <c r="J283" s="226">
        <f t="shared" ref="J283:L285" si="170">SUM(J275,J279)</f>
        <v>0</v>
      </c>
      <c r="K283" s="226">
        <f t="shared" si="170"/>
        <v>0</v>
      </c>
      <c r="L283" s="226">
        <f t="shared" si="170"/>
        <v>0</v>
      </c>
      <c r="M283" s="227">
        <f t="shared" si="164"/>
        <v>0</v>
      </c>
      <c r="N283" s="226">
        <f t="shared" ref="N283:P285" si="171">SUM(N275,N279)</f>
        <v>0</v>
      </c>
      <c r="O283" s="226">
        <f t="shared" si="171"/>
        <v>0</v>
      </c>
      <c r="P283" s="226">
        <f t="shared" si="171"/>
        <v>0</v>
      </c>
      <c r="Q283" s="227">
        <f t="shared" si="165"/>
        <v>0</v>
      </c>
      <c r="R283" s="226">
        <f t="shared" ref="R283:T285" si="172">SUM(R275,R279)</f>
        <v>0</v>
      </c>
      <c r="S283" s="226">
        <f t="shared" si="172"/>
        <v>0</v>
      </c>
      <c r="T283" s="226">
        <f t="shared" si="172"/>
        <v>0</v>
      </c>
      <c r="U283" s="227">
        <f t="shared" si="166"/>
        <v>0</v>
      </c>
      <c r="V283" s="226">
        <f t="shared" ref="V283:X285" si="173">SUM(V275,V279)</f>
        <v>0</v>
      </c>
      <c r="W283" s="226">
        <f t="shared" si="173"/>
        <v>0</v>
      </c>
      <c r="X283" s="226">
        <f t="shared" si="173"/>
        <v>0</v>
      </c>
      <c r="Y283" s="227">
        <f t="shared" si="167"/>
        <v>0</v>
      </c>
    </row>
    <row r="284" spans="1:25" ht="12.75" hidden="1" customHeight="1" outlineLevel="1" x14ac:dyDescent="0.2">
      <c r="A284" s="198" t="str">
        <f>"         "&amp;Labels!B386</f>
        <v xml:space="preserve">         Prof Level 2</v>
      </c>
      <c r="B284" s="226">
        <f t="shared" si="168"/>
        <v>0</v>
      </c>
      <c r="C284" s="226">
        <f t="shared" si="168"/>
        <v>0</v>
      </c>
      <c r="D284" s="226">
        <f t="shared" si="168"/>
        <v>0</v>
      </c>
      <c r="E284" s="227">
        <f t="shared" si="162"/>
        <v>0</v>
      </c>
      <c r="F284" s="226">
        <f t="shared" si="169"/>
        <v>0</v>
      </c>
      <c r="G284" s="226">
        <f t="shared" si="169"/>
        <v>0</v>
      </c>
      <c r="H284" s="226">
        <f t="shared" si="169"/>
        <v>0</v>
      </c>
      <c r="I284" s="227">
        <f t="shared" si="163"/>
        <v>0</v>
      </c>
      <c r="J284" s="226">
        <f t="shared" si="170"/>
        <v>0</v>
      </c>
      <c r="K284" s="226">
        <f t="shared" si="170"/>
        <v>0</v>
      </c>
      <c r="L284" s="226">
        <f t="shared" si="170"/>
        <v>0</v>
      </c>
      <c r="M284" s="227">
        <f t="shared" si="164"/>
        <v>0</v>
      </c>
      <c r="N284" s="226">
        <f t="shared" si="171"/>
        <v>0</v>
      </c>
      <c r="O284" s="226">
        <f t="shared" si="171"/>
        <v>0</v>
      </c>
      <c r="P284" s="226">
        <f t="shared" si="171"/>
        <v>0</v>
      </c>
      <c r="Q284" s="227">
        <f t="shared" si="165"/>
        <v>0</v>
      </c>
      <c r="R284" s="226">
        <f t="shared" si="172"/>
        <v>0</v>
      </c>
      <c r="S284" s="226">
        <f t="shared" si="172"/>
        <v>0</v>
      </c>
      <c r="T284" s="226">
        <f t="shared" si="172"/>
        <v>0</v>
      </c>
      <c r="U284" s="227">
        <f t="shared" si="166"/>
        <v>0</v>
      </c>
      <c r="V284" s="226">
        <f t="shared" si="173"/>
        <v>0</v>
      </c>
      <c r="W284" s="226">
        <f t="shared" si="173"/>
        <v>0</v>
      </c>
      <c r="X284" s="226">
        <f t="shared" si="173"/>
        <v>0</v>
      </c>
      <c r="Y284" s="227">
        <f t="shared" si="167"/>
        <v>0</v>
      </c>
    </row>
    <row r="285" spans="1:25" ht="12.75" hidden="1" customHeight="1" outlineLevel="1" x14ac:dyDescent="0.2">
      <c r="A285" s="198" t="str">
        <f>"         "&amp;Labels!C384</f>
        <v xml:space="preserve">         Total</v>
      </c>
      <c r="B285" s="226">
        <f t="shared" si="168"/>
        <v>0</v>
      </c>
      <c r="C285" s="226">
        <f t="shared" si="168"/>
        <v>0</v>
      </c>
      <c r="D285" s="226">
        <f t="shared" si="168"/>
        <v>0</v>
      </c>
      <c r="E285" s="227">
        <f>SUM(B282:D282)</f>
        <v>0</v>
      </c>
      <c r="F285" s="226">
        <f t="shared" si="169"/>
        <v>0</v>
      </c>
      <c r="G285" s="226">
        <f t="shared" si="169"/>
        <v>0</v>
      </c>
      <c r="H285" s="226">
        <f t="shared" si="169"/>
        <v>0</v>
      </c>
      <c r="I285" s="227">
        <f>SUM(F282:H282)</f>
        <v>0</v>
      </c>
      <c r="J285" s="226">
        <f t="shared" si="170"/>
        <v>0</v>
      </c>
      <c r="K285" s="226">
        <f t="shared" si="170"/>
        <v>0</v>
      </c>
      <c r="L285" s="226">
        <f t="shared" si="170"/>
        <v>0</v>
      </c>
      <c r="M285" s="227">
        <f>SUM(J282:L282)</f>
        <v>0</v>
      </c>
      <c r="N285" s="226">
        <f t="shared" si="171"/>
        <v>0</v>
      </c>
      <c r="O285" s="226">
        <f t="shared" si="171"/>
        <v>0</v>
      </c>
      <c r="P285" s="226">
        <f t="shared" si="171"/>
        <v>0</v>
      </c>
      <c r="Q285" s="227">
        <f>SUM(N282:P282)</f>
        <v>0</v>
      </c>
      <c r="R285" s="226">
        <f t="shared" si="172"/>
        <v>0</v>
      </c>
      <c r="S285" s="226">
        <f t="shared" si="172"/>
        <v>0</v>
      </c>
      <c r="T285" s="226">
        <f t="shared" si="172"/>
        <v>0</v>
      </c>
      <c r="U285" s="227">
        <f>SUM(R282:T282)</f>
        <v>0</v>
      </c>
      <c r="V285" s="226">
        <f t="shared" si="173"/>
        <v>0</v>
      </c>
      <c r="W285" s="226">
        <f t="shared" si="173"/>
        <v>0</v>
      </c>
      <c r="X285" s="226">
        <f t="shared" si="173"/>
        <v>0</v>
      </c>
      <c r="Y285" s="227">
        <f>SUM(V282:X282)</f>
        <v>0</v>
      </c>
    </row>
    <row r="286" spans="1:25" ht="12.75" hidden="1" customHeight="1" outlineLevel="1" x14ac:dyDescent="0.2">
      <c r="A286" s="191" t="str">
        <f>"   "&amp;Labels!C316</f>
        <v xml:space="preserve">   Total</v>
      </c>
      <c r="B286" s="192">
        <f>SUM(B269,B282)</f>
        <v>0</v>
      </c>
      <c r="C286" s="192">
        <f>SUM(C269,C282)</f>
        <v>0</v>
      </c>
      <c r="D286" s="192">
        <f>SUM(D269,D282)</f>
        <v>2750</v>
      </c>
      <c r="E286" s="190">
        <f>SUM(B286:D286)</f>
        <v>2750</v>
      </c>
      <c r="F286" s="192">
        <f>SUM(F269,F282)</f>
        <v>2750</v>
      </c>
      <c r="G286" s="192">
        <f>SUM(G269,G282)</f>
        <v>0</v>
      </c>
      <c r="H286" s="192">
        <f>SUM(H269,H282)</f>
        <v>2000</v>
      </c>
      <c r="I286" s="190">
        <f>SUM(F286:H286)</f>
        <v>4750</v>
      </c>
      <c r="J286" s="192">
        <f>SUM(J269,J282)</f>
        <v>2000</v>
      </c>
      <c r="K286" s="192">
        <f>SUM(K269,K282)</f>
        <v>2000</v>
      </c>
      <c r="L286" s="192">
        <f>SUM(L269,L282)</f>
        <v>0</v>
      </c>
      <c r="M286" s="190">
        <f>SUM(J286:L286)</f>
        <v>4000</v>
      </c>
      <c r="N286" s="192">
        <f>SUM(N269,N282)</f>
        <v>0</v>
      </c>
      <c r="O286" s="192">
        <f>SUM(O269,O282)</f>
        <v>0</v>
      </c>
      <c r="P286" s="192">
        <f>SUM(P269,P282)</f>
        <v>0</v>
      </c>
      <c r="Q286" s="190">
        <f>SUM(N286:P286)</f>
        <v>0</v>
      </c>
      <c r="R286" s="192">
        <f>SUM(R269,R282)</f>
        <v>0</v>
      </c>
      <c r="S286" s="192">
        <f>SUM(S269,S282)</f>
        <v>0</v>
      </c>
      <c r="T286" s="192">
        <f>SUM(T269,T282)</f>
        <v>0</v>
      </c>
      <c r="U286" s="190">
        <f>SUM(R286:T286)</f>
        <v>0</v>
      </c>
      <c r="V286" s="192">
        <f>SUM(V269,V282)</f>
        <v>0</v>
      </c>
      <c r="W286" s="192">
        <f>SUM(W269,W282)</f>
        <v>0</v>
      </c>
      <c r="X286" s="192">
        <f>SUM(X269,X282)</f>
        <v>0</v>
      </c>
      <c r="Y286" s="190">
        <f>SUM(V286:X286)</f>
        <v>0</v>
      </c>
    </row>
    <row r="287" spans="1:25" ht="12.75" hidden="1" customHeight="1" outlineLevel="1" x14ac:dyDescent="0.2">
      <c r="A287" s="198" t="str">
        <f>"      "&amp;Labels!B381</f>
        <v xml:space="preserve">      Practice 1</v>
      </c>
      <c r="B287" s="226"/>
      <c r="C287" s="226"/>
      <c r="D287" s="226"/>
      <c r="E287" s="227"/>
      <c r="F287" s="226"/>
      <c r="G287" s="226"/>
      <c r="H287" s="226"/>
      <c r="I287" s="227"/>
      <c r="J287" s="226"/>
      <c r="K287" s="226"/>
      <c r="L287" s="226"/>
      <c r="M287" s="227"/>
      <c r="N287" s="226"/>
      <c r="O287" s="226"/>
      <c r="P287" s="226"/>
      <c r="Q287" s="227"/>
      <c r="R287" s="226"/>
      <c r="S287" s="226"/>
      <c r="T287" s="226"/>
      <c r="U287" s="227"/>
      <c r="V287" s="226"/>
      <c r="W287" s="226"/>
      <c r="X287" s="226"/>
      <c r="Y287" s="227"/>
    </row>
    <row r="288" spans="1:25" ht="12.75" hidden="1" customHeight="1" outlineLevel="1" x14ac:dyDescent="0.2">
      <c r="A288" s="198" t="str">
        <f>"         "&amp;Labels!B385</f>
        <v xml:space="preserve">         Prof Level 1</v>
      </c>
      <c r="B288" s="226">
        <f t="shared" ref="B288:D290" si="174">SUM(B262,B275)</f>
        <v>0</v>
      </c>
      <c r="C288" s="226">
        <f t="shared" si="174"/>
        <v>0</v>
      </c>
      <c r="D288" s="226">
        <f t="shared" si="174"/>
        <v>1375</v>
      </c>
      <c r="E288" s="227">
        <f>SUM(B288:D288)</f>
        <v>1375</v>
      </c>
      <c r="F288" s="226">
        <f t="shared" ref="F288:H290" si="175">SUM(F262,F275)</f>
        <v>1375</v>
      </c>
      <c r="G288" s="226">
        <f t="shared" si="175"/>
        <v>0</v>
      </c>
      <c r="H288" s="226">
        <f t="shared" si="175"/>
        <v>1000</v>
      </c>
      <c r="I288" s="227">
        <f>SUM(F288:H288)</f>
        <v>2375</v>
      </c>
      <c r="J288" s="226">
        <f t="shared" ref="J288:L290" si="176">SUM(J262,J275)</f>
        <v>1000</v>
      </c>
      <c r="K288" s="226">
        <f t="shared" si="176"/>
        <v>1000</v>
      </c>
      <c r="L288" s="226">
        <f t="shared" si="176"/>
        <v>0</v>
      </c>
      <c r="M288" s="227">
        <f>SUM(J288:L288)</f>
        <v>2000</v>
      </c>
      <c r="N288" s="226">
        <f t="shared" ref="N288:P290" si="177">SUM(N262,N275)</f>
        <v>0</v>
      </c>
      <c r="O288" s="226">
        <f t="shared" si="177"/>
        <v>0</v>
      </c>
      <c r="P288" s="226">
        <f t="shared" si="177"/>
        <v>0</v>
      </c>
      <c r="Q288" s="227">
        <f>SUM(N288:P288)</f>
        <v>0</v>
      </c>
      <c r="R288" s="226">
        <f t="shared" ref="R288:T290" si="178">SUM(R262,R275)</f>
        <v>0</v>
      </c>
      <c r="S288" s="226">
        <f t="shared" si="178"/>
        <v>0</v>
      </c>
      <c r="T288" s="226">
        <f t="shared" si="178"/>
        <v>0</v>
      </c>
      <c r="U288" s="227">
        <f>SUM(R288:T288)</f>
        <v>0</v>
      </c>
      <c r="V288" s="226">
        <f t="shared" ref="V288:X290" si="179">SUM(V262,V275)</f>
        <v>0</v>
      </c>
      <c r="W288" s="226">
        <f t="shared" si="179"/>
        <v>0</v>
      </c>
      <c r="X288" s="226">
        <f t="shared" si="179"/>
        <v>0</v>
      </c>
      <c r="Y288" s="227">
        <f>SUM(V288:X288)</f>
        <v>0</v>
      </c>
    </row>
    <row r="289" spans="1:25" ht="12.75" hidden="1" customHeight="1" outlineLevel="1" x14ac:dyDescent="0.2">
      <c r="A289" s="198" t="str">
        <f>"         "&amp;Labels!B386</f>
        <v xml:space="preserve">         Prof Level 2</v>
      </c>
      <c r="B289" s="226">
        <f t="shared" si="174"/>
        <v>0</v>
      </c>
      <c r="C289" s="226">
        <f t="shared" si="174"/>
        <v>0</v>
      </c>
      <c r="D289" s="226">
        <f t="shared" si="174"/>
        <v>1375</v>
      </c>
      <c r="E289" s="227">
        <f>SUM(B289:D289)</f>
        <v>1375</v>
      </c>
      <c r="F289" s="226">
        <f t="shared" si="175"/>
        <v>1375</v>
      </c>
      <c r="G289" s="226">
        <f t="shared" si="175"/>
        <v>0</v>
      </c>
      <c r="H289" s="226">
        <f t="shared" si="175"/>
        <v>1000</v>
      </c>
      <c r="I289" s="227">
        <f>SUM(F289:H289)</f>
        <v>2375</v>
      </c>
      <c r="J289" s="226">
        <f t="shared" si="176"/>
        <v>1000</v>
      </c>
      <c r="K289" s="226">
        <f t="shared" si="176"/>
        <v>1000</v>
      </c>
      <c r="L289" s="226">
        <f t="shared" si="176"/>
        <v>0</v>
      </c>
      <c r="M289" s="227">
        <f>SUM(J289:L289)</f>
        <v>2000</v>
      </c>
      <c r="N289" s="226">
        <f t="shared" si="177"/>
        <v>0</v>
      </c>
      <c r="O289" s="226">
        <f t="shared" si="177"/>
        <v>0</v>
      </c>
      <c r="P289" s="226">
        <f t="shared" si="177"/>
        <v>0</v>
      </c>
      <c r="Q289" s="227">
        <f>SUM(N289:P289)</f>
        <v>0</v>
      </c>
      <c r="R289" s="226">
        <f t="shared" si="178"/>
        <v>0</v>
      </c>
      <c r="S289" s="226">
        <f t="shared" si="178"/>
        <v>0</v>
      </c>
      <c r="T289" s="226">
        <f t="shared" si="178"/>
        <v>0</v>
      </c>
      <c r="U289" s="227">
        <f>SUM(R289:T289)</f>
        <v>0</v>
      </c>
      <c r="V289" s="226">
        <f t="shared" si="179"/>
        <v>0</v>
      </c>
      <c r="W289" s="226">
        <f t="shared" si="179"/>
        <v>0</v>
      </c>
      <c r="X289" s="226">
        <f t="shared" si="179"/>
        <v>0</v>
      </c>
      <c r="Y289" s="227">
        <f>SUM(V289:X289)</f>
        <v>0</v>
      </c>
    </row>
    <row r="290" spans="1:25" ht="12.75" hidden="1" customHeight="1" outlineLevel="1" x14ac:dyDescent="0.2">
      <c r="A290" s="198" t="str">
        <f>"         "&amp;Labels!C384</f>
        <v xml:space="preserve">         Total</v>
      </c>
      <c r="B290" s="226">
        <f t="shared" si="174"/>
        <v>0</v>
      </c>
      <c r="C290" s="226">
        <f t="shared" si="174"/>
        <v>0</v>
      </c>
      <c r="D290" s="226">
        <f t="shared" si="174"/>
        <v>2750</v>
      </c>
      <c r="E290" s="227">
        <f>SUM(B290:D290)</f>
        <v>2750</v>
      </c>
      <c r="F290" s="226">
        <f t="shared" si="175"/>
        <v>2750</v>
      </c>
      <c r="G290" s="226">
        <f t="shared" si="175"/>
        <v>0</v>
      </c>
      <c r="H290" s="226">
        <f t="shared" si="175"/>
        <v>2000</v>
      </c>
      <c r="I290" s="227">
        <f>SUM(F290:H290)</f>
        <v>4750</v>
      </c>
      <c r="J290" s="226">
        <f t="shared" si="176"/>
        <v>2000</v>
      </c>
      <c r="K290" s="226">
        <f t="shared" si="176"/>
        <v>2000</v>
      </c>
      <c r="L290" s="226">
        <f t="shared" si="176"/>
        <v>0</v>
      </c>
      <c r="M290" s="227">
        <f>SUM(J290:L290)</f>
        <v>4000</v>
      </c>
      <c r="N290" s="226">
        <f t="shared" si="177"/>
        <v>0</v>
      </c>
      <c r="O290" s="226">
        <f t="shared" si="177"/>
        <v>0</v>
      </c>
      <c r="P290" s="226">
        <f t="shared" si="177"/>
        <v>0</v>
      </c>
      <c r="Q290" s="227">
        <f>SUM(N290:P290)</f>
        <v>0</v>
      </c>
      <c r="R290" s="226">
        <f t="shared" si="178"/>
        <v>0</v>
      </c>
      <c r="S290" s="226">
        <f t="shared" si="178"/>
        <v>0</v>
      </c>
      <c r="T290" s="226">
        <f t="shared" si="178"/>
        <v>0</v>
      </c>
      <c r="U290" s="227">
        <f>SUM(R290:T290)</f>
        <v>0</v>
      </c>
      <c r="V290" s="226">
        <f t="shared" si="179"/>
        <v>0</v>
      </c>
      <c r="W290" s="226">
        <f t="shared" si="179"/>
        <v>0</v>
      </c>
      <c r="X290" s="226">
        <f t="shared" si="179"/>
        <v>0</v>
      </c>
      <c r="Y290" s="227">
        <f>SUM(V290:X290)</f>
        <v>0</v>
      </c>
    </row>
    <row r="291" spans="1:25" ht="12.75" hidden="1" customHeight="1" outlineLevel="1" x14ac:dyDescent="0.2">
      <c r="A291" s="198" t="str">
        <f>"      "&amp;Labels!B382</f>
        <v xml:space="preserve">      Practice 2</v>
      </c>
      <c r="B291" s="226"/>
      <c r="C291" s="226"/>
      <c r="D291" s="226"/>
      <c r="E291" s="227"/>
      <c r="F291" s="226"/>
      <c r="G291" s="226"/>
      <c r="H291" s="226"/>
      <c r="I291" s="227"/>
      <c r="J291" s="226"/>
      <c r="K291" s="226"/>
      <c r="L291" s="226"/>
      <c r="M291" s="227"/>
      <c r="N291" s="226"/>
      <c r="O291" s="226"/>
      <c r="P291" s="226"/>
      <c r="Q291" s="227"/>
      <c r="R291" s="226"/>
      <c r="S291" s="226"/>
      <c r="T291" s="226"/>
      <c r="U291" s="227"/>
      <c r="V291" s="226"/>
      <c r="W291" s="226"/>
      <c r="X291" s="226"/>
      <c r="Y291" s="227"/>
    </row>
    <row r="292" spans="1:25" ht="12.75" hidden="1" customHeight="1" outlineLevel="1" x14ac:dyDescent="0.2">
      <c r="A292" s="198" t="str">
        <f>"         "&amp;Labels!B385</f>
        <v xml:space="preserve">         Prof Level 1</v>
      </c>
      <c r="B292" s="226">
        <f t="shared" ref="B292:D297" si="180">SUM(B266,B279)</f>
        <v>0</v>
      </c>
      <c r="C292" s="226">
        <f t="shared" si="180"/>
        <v>0</v>
      </c>
      <c r="D292" s="226">
        <f t="shared" si="180"/>
        <v>0</v>
      </c>
      <c r="E292" s="227">
        <f>SUM(B292:D292)</f>
        <v>0</v>
      </c>
      <c r="F292" s="226">
        <f t="shared" ref="F292:H297" si="181">SUM(F266,F279)</f>
        <v>0</v>
      </c>
      <c r="G292" s="226">
        <f t="shared" si="181"/>
        <v>0</v>
      </c>
      <c r="H292" s="226">
        <f t="shared" si="181"/>
        <v>0</v>
      </c>
      <c r="I292" s="227">
        <f>SUM(F292:H292)</f>
        <v>0</v>
      </c>
      <c r="J292" s="226">
        <f t="shared" ref="J292:L297" si="182">SUM(J266,J279)</f>
        <v>0</v>
      </c>
      <c r="K292" s="226">
        <f t="shared" si="182"/>
        <v>0</v>
      </c>
      <c r="L292" s="226">
        <f t="shared" si="182"/>
        <v>0</v>
      </c>
      <c r="M292" s="227">
        <f>SUM(J292:L292)</f>
        <v>0</v>
      </c>
      <c r="N292" s="226">
        <f t="shared" ref="N292:P297" si="183">SUM(N266,N279)</f>
        <v>0</v>
      </c>
      <c r="O292" s="226">
        <f t="shared" si="183"/>
        <v>0</v>
      </c>
      <c r="P292" s="226">
        <f t="shared" si="183"/>
        <v>0</v>
      </c>
      <c r="Q292" s="227">
        <f>SUM(N292:P292)</f>
        <v>0</v>
      </c>
      <c r="R292" s="226">
        <f t="shared" ref="R292:T297" si="184">SUM(R266,R279)</f>
        <v>0</v>
      </c>
      <c r="S292" s="226">
        <f t="shared" si="184"/>
        <v>0</v>
      </c>
      <c r="T292" s="226">
        <f t="shared" si="184"/>
        <v>0</v>
      </c>
      <c r="U292" s="227">
        <f>SUM(R292:T292)</f>
        <v>0</v>
      </c>
      <c r="V292" s="226">
        <f t="shared" ref="V292:X297" si="185">SUM(V266,V279)</f>
        <v>0</v>
      </c>
      <c r="W292" s="226">
        <f t="shared" si="185"/>
        <v>0</v>
      </c>
      <c r="X292" s="226">
        <f t="shared" si="185"/>
        <v>0</v>
      </c>
      <c r="Y292" s="227">
        <f>SUM(V292:X292)</f>
        <v>0</v>
      </c>
    </row>
    <row r="293" spans="1:25" ht="12.75" hidden="1" customHeight="1" outlineLevel="1" x14ac:dyDescent="0.2">
      <c r="A293" s="198" t="str">
        <f>"         "&amp;Labels!B386</f>
        <v xml:space="preserve">         Prof Level 2</v>
      </c>
      <c r="B293" s="226">
        <f t="shared" si="180"/>
        <v>0</v>
      </c>
      <c r="C293" s="226">
        <f t="shared" si="180"/>
        <v>0</v>
      </c>
      <c r="D293" s="226">
        <f t="shared" si="180"/>
        <v>0</v>
      </c>
      <c r="E293" s="227">
        <f>SUM(B293:D293)</f>
        <v>0</v>
      </c>
      <c r="F293" s="226">
        <f t="shared" si="181"/>
        <v>0</v>
      </c>
      <c r="G293" s="226">
        <f t="shared" si="181"/>
        <v>0</v>
      </c>
      <c r="H293" s="226">
        <f t="shared" si="181"/>
        <v>0</v>
      </c>
      <c r="I293" s="227">
        <f>SUM(F293:H293)</f>
        <v>0</v>
      </c>
      <c r="J293" s="226">
        <f t="shared" si="182"/>
        <v>0</v>
      </c>
      <c r="K293" s="226">
        <f t="shared" si="182"/>
        <v>0</v>
      </c>
      <c r="L293" s="226">
        <f t="shared" si="182"/>
        <v>0</v>
      </c>
      <c r="M293" s="227">
        <f>SUM(J293:L293)</f>
        <v>0</v>
      </c>
      <c r="N293" s="226">
        <f t="shared" si="183"/>
        <v>0</v>
      </c>
      <c r="O293" s="226">
        <f t="shared" si="183"/>
        <v>0</v>
      </c>
      <c r="P293" s="226">
        <f t="shared" si="183"/>
        <v>0</v>
      </c>
      <c r="Q293" s="227">
        <f>SUM(N293:P293)</f>
        <v>0</v>
      </c>
      <c r="R293" s="226">
        <f t="shared" si="184"/>
        <v>0</v>
      </c>
      <c r="S293" s="226">
        <f t="shared" si="184"/>
        <v>0</v>
      </c>
      <c r="T293" s="226">
        <f t="shared" si="184"/>
        <v>0</v>
      </c>
      <c r="U293" s="227">
        <f>SUM(R293:T293)</f>
        <v>0</v>
      </c>
      <c r="V293" s="226">
        <f t="shared" si="185"/>
        <v>0</v>
      </c>
      <c r="W293" s="226">
        <f t="shared" si="185"/>
        <v>0</v>
      </c>
      <c r="X293" s="226">
        <f t="shared" si="185"/>
        <v>0</v>
      </c>
      <c r="Y293" s="227">
        <f>SUM(V293:X293)</f>
        <v>0</v>
      </c>
    </row>
    <row r="294" spans="1:25" ht="12.75" hidden="1" customHeight="1" outlineLevel="1" x14ac:dyDescent="0.2">
      <c r="A294" s="198" t="str">
        <f>"         "&amp;Labels!C384</f>
        <v xml:space="preserve">         Total</v>
      </c>
      <c r="B294" s="226">
        <f t="shared" si="180"/>
        <v>0</v>
      </c>
      <c r="C294" s="226">
        <f t="shared" si="180"/>
        <v>0</v>
      </c>
      <c r="D294" s="226">
        <f t="shared" si="180"/>
        <v>0</v>
      </c>
      <c r="E294" s="227">
        <f>SUM(B294:D294)</f>
        <v>0</v>
      </c>
      <c r="F294" s="226">
        <f t="shared" si="181"/>
        <v>0</v>
      </c>
      <c r="G294" s="226">
        <f t="shared" si="181"/>
        <v>0</v>
      </c>
      <c r="H294" s="226">
        <f t="shared" si="181"/>
        <v>0</v>
      </c>
      <c r="I294" s="227">
        <f>SUM(F294:H294)</f>
        <v>0</v>
      </c>
      <c r="J294" s="226">
        <f t="shared" si="182"/>
        <v>0</v>
      </c>
      <c r="K294" s="226">
        <f t="shared" si="182"/>
        <v>0</v>
      </c>
      <c r="L294" s="226">
        <f t="shared" si="182"/>
        <v>0</v>
      </c>
      <c r="M294" s="227">
        <f>SUM(J294:L294)</f>
        <v>0</v>
      </c>
      <c r="N294" s="226">
        <f t="shared" si="183"/>
        <v>0</v>
      </c>
      <c r="O294" s="226">
        <f t="shared" si="183"/>
        <v>0</v>
      </c>
      <c r="P294" s="226">
        <f t="shared" si="183"/>
        <v>0</v>
      </c>
      <c r="Q294" s="227">
        <f>SUM(N294:P294)</f>
        <v>0</v>
      </c>
      <c r="R294" s="226">
        <f t="shared" si="184"/>
        <v>0</v>
      </c>
      <c r="S294" s="226">
        <f t="shared" si="184"/>
        <v>0</v>
      </c>
      <c r="T294" s="226">
        <f t="shared" si="184"/>
        <v>0</v>
      </c>
      <c r="U294" s="227">
        <f>SUM(R294:T294)</f>
        <v>0</v>
      </c>
      <c r="V294" s="226">
        <f t="shared" si="185"/>
        <v>0</v>
      </c>
      <c r="W294" s="226">
        <f t="shared" si="185"/>
        <v>0</v>
      </c>
      <c r="X294" s="226">
        <f t="shared" si="185"/>
        <v>0</v>
      </c>
      <c r="Y294" s="227">
        <f>SUM(V294:X294)</f>
        <v>0</v>
      </c>
    </row>
    <row r="295" spans="1:25" ht="12.75" hidden="1" customHeight="1" outlineLevel="1" x14ac:dyDescent="0.2">
      <c r="A295" s="188" t="str">
        <f>"      "&amp;Labels!C380</f>
        <v xml:space="preserve">      Total</v>
      </c>
      <c r="B295" s="196">
        <f t="shared" si="180"/>
        <v>0</v>
      </c>
      <c r="C295" s="196">
        <f t="shared" si="180"/>
        <v>0</v>
      </c>
      <c r="D295" s="196">
        <f t="shared" si="180"/>
        <v>2750</v>
      </c>
      <c r="E295" s="197">
        <f>SUM(B286:D286)</f>
        <v>2750</v>
      </c>
      <c r="F295" s="196">
        <f t="shared" si="181"/>
        <v>2750</v>
      </c>
      <c r="G295" s="196">
        <f t="shared" si="181"/>
        <v>0</v>
      </c>
      <c r="H295" s="196">
        <f t="shared" si="181"/>
        <v>2000</v>
      </c>
      <c r="I295" s="197">
        <f>SUM(F286:H286)</f>
        <v>4750</v>
      </c>
      <c r="J295" s="196">
        <f t="shared" si="182"/>
        <v>2000</v>
      </c>
      <c r="K295" s="196">
        <f t="shared" si="182"/>
        <v>2000</v>
      </c>
      <c r="L295" s="196">
        <f t="shared" si="182"/>
        <v>0</v>
      </c>
      <c r="M295" s="197">
        <f>SUM(J286:L286)</f>
        <v>4000</v>
      </c>
      <c r="N295" s="196">
        <f t="shared" si="183"/>
        <v>0</v>
      </c>
      <c r="O295" s="196">
        <f t="shared" si="183"/>
        <v>0</v>
      </c>
      <c r="P295" s="196">
        <f t="shared" si="183"/>
        <v>0</v>
      </c>
      <c r="Q295" s="197">
        <f>SUM(N286:P286)</f>
        <v>0</v>
      </c>
      <c r="R295" s="196">
        <f t="shared" si="184"/>
        <v>0</v>
      </c>
      <c r="S295" s="196">
        <f t="shared" si="184"/>
        <v>0</v>
      </c>
      <c r="T295" s="196">
        <f t="shared" si="184"/>
        <v>0</v>
      </c>
      <c r="U295" s="197">
        <f>SUM(R286:T286)</f>
        <v>0</v>
      </c>
      <c r="V295" s="196">
        <f t="shared" si="185"/>
        <v>0</v>
      </c>
      <c r="W295" s="196">
        <f t="shared" si="185"/>
        <v>0</v>
      </c>
      <c r="X295" s="196">
        <f t="shared" si="185"/>
        <v>0</v>
      </c>
      <c r="Y295" s="197">
        <f>SUM(V286:X286)</f>
        <v>0</v>
      </c>
    </row>
    <row r="296" spans="1:25" ht="12.75" hidden="1" customHeight="1" outlineLevel="1" x14ac:dyDescent="0.2">
      <c r="A296" s="198" t="str">
        <f>"         "&amp;Labels!B385</f>
        <v xml:space="preserve">         Prof Level 1</v>
      </c>
      <c r="B296" s="226">
        <f t="shared" si="180"/>
        <v>0</v>
      </c>
      <c r="C296" s="226">
        <f t="shared" si="180"/>
        <v>0</v>
      </c>
      <c r="D296" s="226">
        <f t="shared" si="180"/>
        <v>1375</v>
      </c>
      <c r="E296" s="227">
        <f>SUM(B296:D296)</f>
        <v>1375</v>
      </c>
      <c r="F296" s="226">
        <f t="shared" si="181"/>
        <v>1375</v>
      </c>
      <c r="G296" s="226">
        <f t="shared" si="181"/>
        <v>0</v>
      </c>
      <c r="H296" s="226">
        <f t="shared" si="181"/>
        <v>1000</v>
      </c>
      <c r="I296" s="227">
        <f>SUM(F296:H296)</f>
        <v>2375</v>
      </c>
      <c r="J296" s="226">
        <f t="shared" si="182"/>
        <v>1000</v>
      </c>
      <c r="K296" s="226">
        <f t="shared" si="182"/>
        <v>1000</v>
      </c>
      <c r="L296" s="226">
        <f t="shared" si="182"/>
        <v>0</v>
      </c>
      <c r="M296" s="227">
        <f>SUM(J296:L296)</f>
        <v>2000</v>
      </c>
      <c r="N296" s="226">
        <f t="shared" si="183"/>
        <v>0</v>
      </c>
      <c r="O296" s="226">
        <f t="shared" si="183"/>
        <v>0</v>
      </c>
      <c r="P296" s="226">
        <f t="shared" si="183"/>
        <v>0</v>
      </c>
      <c r="Q296" s="227">
        <f>SUM(N296:P296)</f>
        <v>0</v>
      </c>
      <c r="R296" s="226">
        <f t="shared" si="184"/>
        <v>0</v>
      </c>
      <c r="S296" s="226">
        <f t="shared" si="184"/>
        <v>0</v>
      </c>
      <c r="T296" s="226">
        <f t="shared" si="184"/>
        <v>0</v>
      </c>
      <c r="U296" s="227">
        <f>SUM(R296:T296)</f>
        <v>0</v>
      </c>
      <c r="V296" s="226">
        <f t="shared" si="185"/>
        <v>0</v>
      </c>
      <c r="W296" s="226">
        <f t="shared" si="185"/>
        <v>0</v>
      </c>
      <c r="X296" s="226">
        <f t="shared" si="185"/>
        <v>0</v>
      </c>
      <c r="Y296" s="227">
        <f>SUM(V296:X296)</f>
        <v>0</v>
      </c>
    </row>
    <row r="297" spans="1:25" ht="12.75" hidden="1" customHeight="1" outlineLevel="1" x14ac:dyDescent="0.2">
      <c r="A297" s="198" t="str">
        <f>"         "&amp;Labels!B386</f>
        <v xml:space="preserve">         Prof Level 2</v>
      </c>
      <c r="B297" s="226">
        <f t="shared" si="180"/>
        <v>0</v>
      </c>
      <c r="C297" s="226">
        <f t="shared" si="180"/>
        <v>0</v>
      </c>
      <c r="D297" s="226">
        <f t="shared" si="180"/>
        <v>1375</v>
      </c>
      <c r="E297" s="227">
        <f>SUM(B297:D297)</f>
        <v>1375</v>
      </c>
      <c r="F297" s="226">
        <f t="shared" si="181"/>
        <v>1375</v>
      </c>
      <c r="G297" s="226">
        <f t="shared" si="181"/>
        <v>0</v>
      </c>
      <c r="H297" s="226">
        <f t="shared" si="181"/>
        <v>1000</v>
      </c>
      <c r="I297" s="227">
        <f>SUM(F297:H297)</f>
        <v>2375</v>
      </c>
      <c r="J297" s="226">
        <f t="shared" si="182"/>
        <v>1000</v>
      </c>
      <c r="K297" s="226">
        <f t="shared" si="182"/>
        <v>1000</v>
      </c>
      <c r="L297" s="226">
        <f t="shared" si="182"/>
        <v>0</v>
      </c>
      <c r="M297" s="227">
        <f>SUM(J297:L297)</f>
        <v>2000</v>
      </c>
      <c r="N297" s="226">
        <f t="shared" si="183"/>
        <v>0</v>
      </c>
      <c r="O297" s="226">
        <f t="shared" si="183"/>
        <v>0</v>
      </c>
      <c r="P297" s="226">
        <f t="shared" si="183"/>
        <v>0</v>
      </c>
      <c r="Q297" s="227">
        <f>SUM(N297:P297)</f>
        <v>0</v>
      </c>
      <c r="R297" s="226">
        <f t="shared" si="184"/>
        <v>0</v>
      </c>
      <c r="S297" s="226">
        <f t="shared" si="184"/>
        <v>0</v>
      </c>
      <c r="T297" s="226">
        <f t="shared" si="184"/>
        <v>0</v>
      </c>
      <c r="U297" s="227">
        <f>SUM(R297:T297)</f>
        <v>0</v>
      </c>
      <c r="V297" s="226">
        <f t="shared" si="185"/>
        <v>0</v>
      </c>
      <c r="W297" s="226">
        <f t="shared" si="185"/>
        <v>0</v>
      </c>
      <c r="X297" s="226">
        <f t="shared" si="185"/>
        <v>0</v>
      </c>
      <c r="Y297" s="227">
        <f>SUM(V297:X297)</f>
        <v>0</v>
      </c>
    </row>
    <row r="298" spans="1:25" ht="12.75" hidden="1" customHeight="1" outlineLevel="1" x14ac:dyDescent="0.2">
      <c r="A298" s="198" t="str">
        <f>"         "&amp;Labels!C384</f>
        <v xml:space="preserve">         Total</v>
      </c>
      <c r="B298" s="226">
        <f>SUM(B269,B282)</f>
        <v>0</v>
      </c>
      <c r="C298" s="226">
        <f>SUM(C269,C282)</f>
        <v>0</v>
      </c>
      <c r="D298" s="226">
        <f>SUM(D269,D282)</f>
        <v>2750</v>
      </c>
      <c r="E298" s="227">
        <f>SUM(B286:D286)</f>
        <v>2750</v>
      </c>
      <c r="F298" s="226">
        <f>SUM(F269,F282)</f>
        <v>2750</v>
      </c>
      <c r="G298" s="226">
        <f>SUM(G269,G282)</f>
        <v>0</v>
      </c>
      <c r="H298" s="226">
        <f>SUM(H269,H282)</f>
        <v>2000</v>
      </c>
      <c r="I298" s="227">
        <f>SUM(F286:H286)</f>
        <v>4750</v>
      </c>
      <c r="J298" s="226">
        <f>SUM(J269,J282)</f>
        <v>2000</v>
      </c>
      <c r="K298" s="226">
        <f>SUM(K269,K282)</f>
        <v>2000</v>
      </c>
      <c r="L298" s="226">
        <f>SUM(L269,L282)</f>
        <v>0</v>
      </c>
      <c r="M298" s="227">
        <f>SUM(J286:L286)</f>
        <v>4000</v>
      </c>
      <c r="N298" s="226">
        <f>SUM(N269,N282)</f>
        <v>0</v>
      </c>
      <c r="O298" s="226">
        <f>SUM(O269,O282)</f>
        <v>0</v>
      </c>
      <c r="P298" s="226">
        <f>SUM(P269,P282)</f>
        <v>0</v>
      </c>
      <c r="Q298" s="227">
        <f>SUM(N286:P286)</f>
        <v>0</v>
      </c>
      <c r="R298" s="226">
        <f>SUM(R269,R282)</f>
        <v>0</v>
      </c>
      <c r="S298" s="226">
        <f>SUM(S269,S282)</f>
        <v>0</v>
      </c>
      <c r="T298" s="226">
        <f>SUM(T269,T282)</f>
        <v>0</v>
      </c>
      <c r="U298" s="227">
        <f>SUM(R286:T286)</f>
        <v>0</v>
      </c>
      <c r="V298" s="226">
        <f>SUM(V269,V282)</f>
        <v>0</v>
      </c>
      <c r="W298" s="226">
        <f>SUM(W269,W282)</f>
        <v>0</v>
      </c>
      <c r="X298" s="226">
        <f>SUM(X269,X282)</f>
        <v>0</v>
      </c>
      <c r="Y298" s="227">
        <f>SUM(V286:X286)</f>
        <v>0</v>
      </c>
    </row>
    <row r="299" spans="1:25" ht="12.75" hidden="1" customHeight="1" outlineLevel="1" x14ac:dyDescent="0.2">
      <c r="A299" s="97"/>
      <c r="B299" s="6"/>
      <c r="C299" s="6"/>
      <c r="D299" s="6"/>
      <c r="E299" s="97"/>
      <c r="F299" s="6"/>
      <c r="G299" s="6"/>
      <c r="H299" s="6"/>
      <c r="I299" s="97"/>
      <c r="J299" s="6"/>
      <c r="K299" s="6"/>
      <c r="L299" s="6"/>
      <c r="M299" s="97"/>
      <c r="N299" s="6"/>
      <c r="O299" s="6"/>
      <c r="P299" s="6"/>
      <c r="Q299" s="97"/>
      <c r="R299" s="6"/>
      <c r="S299" s="6"/>
      <c r="T299" s="6"/>
      <c r="U299" s="97"/>
      <c r="V299" s="6"/>
      <c r="W299" s="6"/>
      <c r="X299" s="6"/>
      <c r="Y299" s="97"/>
    </row>
    <row r="300" spans="1:25" ht="12.75" hidden="1" customHeight="1" outlineLevel="1" x14ac:dyDescent="0.2">
      <c r="A300" s="191" t="str">
        <f>Labels!B47</f>
        <v xml:space="preserve">Cost of Services - Supplies </v>
      </c>
      <c r="B300" s="192"/>
      <c r="C300" s="192"/>
      <c r="D300" s="192"/>
      <c r="E300" s="190"/>
      <c r="F300" s="192"/>
      <c r="G300" s="192"/>
      <c r="H300" s="192"/>
      <c r="I300" s="190"/>
      <c r="J300" s="192"/>
      <c r="K300" s="192"/>
      <c r="L300" s="192"/>
      <c r="M300" s="190"/>
      <c r="N300" s="192"/>
      <c r="O300" s="192"/>
      <c r="P300" s="192"/>
      <c r="Q300" s="190"/>
      <c r="R300" s="192"/>
      <c r="S300" s="192"/>
      <c r="T300" s="192"/>
      <c r="U300" s="190"/>
      <c r="V300" s="192"/>
      <c r="W300" s="192"/>
      <c r="X300" s="192"/>
      <c r="Y300" s="190"/>
    </row>
    <row r="301" spans="1:25" ht="12.75" hidden="1" customHeight="1" outlineLevel="1" x14ac:dyDescent="0.2">
      <c r="A301" s="188" t="str">
        <f>"   "&amp;Labels!B317</f>
        <v xml:space="preserve">   Channels 1</v>
      </c>
      <c r="B301" s="196"/>
      <c r="C301" s="196"/>
      <c r="D301" s="196"/>
      <c r="E301" s="197"/>
      <c r="F301" s="196"/>
      <c r="G301" s="196"/>
      <c r="H301" s="196"/>
      <c r="I301" s="197"/>
      <c r="J301" s="196"/>
      <c r="K301" s="196"/>
      <c r="L301" s="196"/>
      <c r="M301" s="197"/>
      <c r="N301" s="196"/>
      <c r="O301" s="196"/>
      <c r="P301" s="196"/>
      <c r="Q301" s="197"/>
      <c r="R301" s="196"/>
      <c r="S301" s="196"/>
      <c r="T301" s="196"/>
      <c r="U301" s="197"/>
      <c r="V301" s="196"/>
      <c r="W301" s="196"/>
      <c r="X301" s="196"/>
      <c r="Y301" s="197"/>
    </row>
    <row r="302" spans="1:25" ht="12.75" hidden="1" customHeight="1" outlineLevel="1" x14ac:dyDescent="0.2">
      <c r="A302" s="198" t="str">
        <f>"      "&amp;Labels!B381</f>
        <v xml:space="preserve">      Practice 1</v>
      </c>
      <c r="B302" s="226"/>
      <c r="C302" s="226"/>
      <c r="D302" s="226"/>
      <c r="E302" s="227"/>
      <c r="F302" s="226"/>
      <c r="G302" s="226"/>
      <c r="H302" s="226"/>
      <c r="I302" s="227"/>
      <c r="J302" s="226"/>
      <c r="K302" s="226"/>
      <c r="L302" s="226"/>
      <c r="M302" s="227"/>
      <c r="N302" s="226"/>
      <c r="O302" s="226"/>
      <c r="P302" s="226"/>
      <c r="Q302" s="227"/>
      <c r="R302" s="226"/>
      <c r="S302" s="226"/>
      <c r="T302" s="226"/>
      <c r="U302" s="227"/>
      <c r="V302" s="226"/>
      <c r="W302" s="226"/>
      <c r="X302" s="226"/>
      <c r="Y302" s="227"/>
    </row>
    <row r="303" spans="1:25" ht="12.75" hidden="1" customHeight="1" outlineLevel="1" x14ac:dyDescent="0.2">
      <c r="A303" s="198" t="str">
        <f>"         "&amp;Labels!B385</f>
        <v xml:space="preserve">         Prof Level 1</v>
      </c>
      <c r="B303" s="226"/>
      <c r="C303" s="226"/>
      <c r="D303" s="226"/>
      <c r="E303" s="227"/>
      <c r="F303" s="226"/>
      <c r="G303" s="226"/>
      <c r="H303" s="226"/>
      <c r="I303" s="227"/>
      <c r="J303" s="226"/>
      <c r="K303" s="226"/>
      <c r="L303" s="226"/>
      <c r="M303" s="227"/>
      <c r="N303" s="226"/>
      <c r="O303" s="226"/>
      <c r="P303" s="226"/>
      <c r="Q303" s="227"/>
      <c r="R303" s="226"/>
      <c r="S303" s="226"/>
      <c r="T303" s="226"/>
      <c r="U303" s="227"/>
      <c r="V303" s="226"/>
      <c r="W303" s="226"/>
      <c r="X303" s="226"/>
      <c r="Y303" s="227"/>
    </row>
    <row r="304" spans="1:25" ht="12.75" hidden="1" customHeight="1" outlineLevel="1" x14ac:dyDescent="0.2">
      <c r="A304" s="198" t="str">
        <f>"            "&amp;Labels!B397</f>
        <v xml:space="preserve">            Supply Type 1</v>
      </c>
      <c r="B304" s="189">
        <f>Inputs!F161*'(Tables)'!B1083</f>
        <v>0</v>
      </c>
      <c r="C304" s="189">
        <f>Inputs!G161*'(Tables)'!C1083</f>
        <v>0</v>
      </c>
      <c r="D304" s="189">
        <f>Inputs!H161*'(Tables)'!D1083</f>
        <v>0</v>
      </c>
      <c r="E304" s="190">
        <f>SUM(B304:D304)</f>
        <v>0</v>
      </c>
      <c r="F304" s="189">
        <f>Inputs!I161*'(Tables)'!E1083</f>
        <v>0</v>
      </c>
      <c r="G304" s="189">
        <f>Inputs!J161*'(Tables)'!F1083</f>
        <v>0</v>
      </c>
      <c r="H304" s="189">
        <f>Inputs!K161*'(Tables)'!G1083</f>
        <v>0</v>
      </c>
      <c r="I304" s="190">
        <f>SUM(F304:H304)</f>
        <v>0</v>
      </c>
      <c r="J304" s="189">
        <f>Inputs!L161*'(Tables)'!H1083</f>
        <v>0</v>
      </c>
      <c r="K304" s="189">
        <f>Inputs!M161*'(Tables)'!I1083</f>
        <v>0</v>
      </c>
      <c r="L304" s="189">
        <f>Inputs!N161*'(Tables)'!J1083</f>
        <v>0</v>
      </c>
      <c r="M304" s="190">
        <f>SUM(J304:L304)</f>
        <v>0</v>
      </c>
      <c r="N304" s="189">
        <f>Inputs!O161*'(Tables)'!K1083</f>
        <v>0</v>
      </c>
      <c r="O304" s="189">
        <f>Inputs!P161*'(Tables)'!L1083</f>
        <v>0</v>
      </c>
      <c r="P304" s="189">
        <f>Inputs!Q161*'(Tables)'!M1083</f>
        <v>0</v>
      </c>
      <c r="Q304" s="190">
        <f>SUM(N304:P304)</f>
        <v>0</v>
      </c>
      <c r="R304" s="189">
        <f>Inputs!R161*'(Tables)'!N1083</f>
        <v>0</v>
      </c>
      <c r="S304" s="189">
        <f>Inputs!S161*'(Tables)'!O1083</f>
        <v>0</v>
      </c>
      <c r="T304" s="189">
        <f>Inputs!T161*'(Tables)'!P1083</f>
        <v>0</v>
      </c>
      <c r="U304" s="190">
        <f>SUM(R304:T304)</f>
        <v>0</v>
      </c>
      <c r="V304" s="189">
        <f>Inputs!U161*'(Tables)'!Q1083</f>
        <v>0</v>
      </c>
      <c r="W304" s="189">
        <f>Inputs!V161*'(Tables)'!R1083</f>
        <v>0</v>
      </c>
      <c r="X304" s="189">
        <f>Inputs!W161*'(Tables)'!S1083</f>
        <v>0</v>
      </c>
      <c r="Y304" s="190">
        <f>SUM(V304:X304)</f>
        <v>0</v>
      </c>
    </row>
    <row r="305" spans="1:25" ht="12.75" hidden="1" customHeight="1" outlineLevel="1" x14ac:dyDescent="0.2">
      <c r="A305" s="198" t="str">
        <f>"            "&amp;Labels!B398</f>
        <v xml:space="preserve">            Supply Type 2</v>
      </c>
      <c r="B305" s="189">
        <f>Inputs!F163*'(Tables)'!B1083</f>
        <v>0</v>
      </c>
      <c r="C305" s="189">
        <f>Inputs!G163*'(Tables)'!C1083</f>
        <v>0</v>
      </c>
      <c r="D305" s="189">
        <f>Inputs!H163*'(Tables)'!D1083</f>
        <v>0</v>
      </c>
      <c r="E305" s="190">
        <f>SUM(B305:D305)</f>
        <v>0</v>
      </c>
      <c r="F305" s="189">
        <f>Inputs!I163*'(Tables)'!E1083</f>
        <v>0</v>
      </c>
      <c r="G305" s="189">
        <f>Inputs!J163*'(Tables)'!F1083</f>
        <v>0</v>
      </c>
      <c r="H305" s="189">
        <f>Inputs!K163*'(Tables)'!G1083</f>
        <v>0</v>
      </c>
      <c r="I305" s="190">
        <f>SUM(F305:H305)</f>
        <v>0</v>
      </c>
      <c r="J305" s="189">
        <f>Inputs!L163*'(Tables)'!H1083</f>
        <v>0</v>
      </c>
      <c r="K305" s="189">
        <f>Inputs!M163*'(Tables)'!I1083</f>
        <v>0</v>
      </c>
      <c r="L305" s="189">
        <f>Inputs!N163*'(Tables)'!J1083</f>
        <v>0</v>
      </c>
      <c r="M305" s="190">
        <f>SUM(J305:L305)</f>
        <v>0</v>
      </c>
      <c r="N305" s="189">
        <f>Inputs!O163*'(Tables)'!K1083</f>
        <v>0</v>
      </c>
      <c r="O305" s="189">
        <f>Inputs!P163*'(Tables)'!L1083</f>
        <v>0</v>
      </c>
      <c r="P305" s="189">
        <f>Inputs!Q163*'(Tables)'!M1083</f>
        <v>0</v>
      </c>
      <c r="Q305" s="190">
        <f>SUM(N305:P305)</f>
        <v>0</v>
      </c>
      <c r="R305" s="189">
        <f>Inputs!R163*'(Tables)'!N1083</f>
        <v>0</v>
      </c>
      <c r="S305" s="189">
        <f>Inputs!S163*'(Tables)'!O1083</f>
        <v>0</v>
      </c>
      <c r="T305" s="189">
        <f>Inputs!T163*'(Tables)'!P1083</f>
        <v>0</v>
      </c>
      <c r="U305" s="190">
        <f>SUM(R305:T305)</f>
        <v>0</v>
      </c>
      <c r="V305" s="189">
        <f>Inputs!U163*'(Tables)'!Q1083</f>
        <v>0</v>
      </c>
      <c r="W305" s="189">
        <f>Inputs!V163*'(Tables)'!R1083</f>
        <v>0</v>
      </c>
      <c r="X305" s="189">
        <f>Inputs!W163*'(Tables)'!S1083</f>
        <v>0</v>
      </c>
      <c r="Y305" s="190">
        <f>SUM(V305:X305)</f>
        <v>0</v>
      </c>
    </row>
    <row r="306" spans="1:25" ht="12.75" hidden="1" customHeight="1" outlineLevel="1" x14ac:dyDescent="0.2">
      <c r="A306" s="198" t="str">
        <f>"            "&amp;Labels!C396</f>
        <v xml:space="preserve">            Total</v>
      </c>
      <c r="B306" s="226">
        <f>SUM(B304:B305)</f>
        <v>0</v>
      </c>
      <c r="C306" s="226">
        <f>SUM(C304:C305)</f>
        <v>0</v>
      </c>
      <c r="D306" s="226">
        <f>SUM(D304:D305)</f>
        <v>0</v>
      </c>
      <c r="E306" s="227">
        <f>SUM(B306:D306)</f>
        <v>0</v>
      </c>
      <c r="F306" s="226">
        <f>SUM(F304:F305)</f>
        <v>0</v>
      </c>
      <c r="G306" s="226">
        <f>SUM(G304:G305)</f>
        <v>0</v>
      </c>
      <c r="H306" s="226">
        <f>SUM(H304:H305)</f>
        <v>0</v>
      </c>
      <c r="I306" s="227">
        <f>SUM(F306:H306)</f>
        <v>0</v>
      </c>
      <c r="J306" s="226">
        <f>SUM(J304:J305)</f>
        <v>0</v>
      </c>
      <c r="K306" s="226">
        <f>SUM(K304:K305)</f>
        <v>0</v>
      </c>
      <c r="L306" s="226">
        <f>SUM(L304:L305)</f>
        <v>0</v>
      </c>
      <c r="M306" s="227">
        <f>SUM(J306:L306)</f>
        <v>0</v>
      </c>
      <c r="N306" s="226">
        <f>SUM(N304:N305)</f>
        <v>0</v>
      </c>
      <c r="O306" s="226">
        <f>SUM(O304:O305)</f>
        <v>0</v>
      </c>
      <c r="P306" s="226">
        <f>SUM(P304:P305)</f>
        <v>0</v>
      </c>
      <c r="Q306" s="227">
        <f>SUM(N306:P306)</f>
        <v>0</v>
      </c>
      <c r="R306" s="226">
        <f>SUM(R304:R305)</f>
        <v>0</v>
      </c>
      <c r="S306" s="226">
        <f>SUM(S304:S305)</f>
        <v>0</v>
      </c>
      <c r="T306" s="226">
        <f>SUM(T304:T305)</f>
        <v>0</v>
      </c>
      <c r="U306" s="227">
        <f>SUM(R306:T306)</f>
        <v>0</v>
      </c>
      <c r="V306" s="226">
        <f>SUM(V304:V305)</f>
        <v>0</v>
      </c>
      <c r="W306" s="226">
        <f>SUM(W304:W305)</f>
        <v>0</v>
      </c>
      <c r="X306" s="226">
        <f>SUM(X304:X305)</f>
        <v>0</v>
      </c>
      <c r="Y306" s="227">
        <f>SUM(V306:X306)</f>
        <v>0</v>
      </c>
    </row>
    <row r="307" spans="1:25" ht="12.75" hidden="1" customHeight="1" outlineLevel="1" x14ac:dyDescent="0.2">
      <c r="A307" s="198" t="str">
        <f>"         "&amp;Labels!B386</f>
        <v xml:space="preserve">         Prof Level 2</v>
      </c>
      <c r="B307" s="226"/>
      <c r="C307" s="226"/>
      <c r="D307" s="226"/>
      <c r="E307" s="227"/>
      <c r="F307" s="226"/>
      <c r="G307" s="226"/>
      <c r="H307" s="226"/>
      <c r="I307" s="227"/>
      <c r="J307" s="226"/>
      <c r="K307" s="226"/>
      <c r="L307" s="226"/>
      <c r="M307" s="227"/>
      <c r="N307" s="226"/>
      <c r="O307" s="226"/>
      <c r="P307" s="226"/>
      <c r="Q307" s="227"/>
      <c r="R307" s="226"/>
      <c r="S307" s="226"/>
      <c r="T307" s="226"/>
      <c r="U307" s="227"/>
      <c r="V307" s="226"/>
      <c r="W307" s="226"/>
      <c r="X307" s="226"/>
      <c r="Y307" s="227"/>
    </row>
    <row r="308" spans="1:25" ht="12.75" hidden="1" customHeight="1" outlineLevel="1" x14ac:dyDescent="0.2">
      <c r="A308" s="198" t="str">
        <f>"            "&amp;Labels!B397</f>
        <v xml:space="preserve">            Supply Type 1</v>
      </c>
      <c r="B308" s="189">
        <f>Inputs!F165*'(Tables)'!B1087</f>
        <v>0</v>
      </c>
      <c r="C308" s="189">
        <f>Inputs!G165*'(Tables)'!C1087</f>
        <v>0</v>
      </c>
      <c r="D308" s="189">
        <f>Inputs!H165*'(Tables)'!D1087</f>
        <v>0</v>
      </c>
      <c r="E308" s="190">
        <f t="shared" ref="E308:E313" si="186">SUM(B308:D308)</f>
        <v>0</v>
      </c>
      <c r="F308" s="189">
        <f>Inputs!I165*'(Tables)'!E1087</f>
        <v>0</v>
      </c>
      <c r="G308" s="189">
        <f>Inputs!J165*'(Tables)'!F1087</f>
        <v>0</v>
      </c>
      <c r="H308" s="189">
        <f>Inputs!K165*'(Tables)'!G1087</f>
        <v>0</v>
      </c>
      <c r="I308" s="190">
        <f t="shared" ref="I308:I313" si="187">SUM(F308:H308)</f>
        <v>0</v>
      </c>
      <c r="J308" s="189">
        <f>Inputs!L165*'(Tables)'!H1087</f>
        <v>0</v>
      </c>
      <c r="K308" s="189">
        <f>Inputs!M165*'(Tables)'!I1087</f>
        <v>0</v>
      </c>
      <c r="L308" s="189">
        <f>Inputs!N165*'(Tables)'!J1087</f>
        <v>0</v>
      </c>
      <c r="M308" s="190">
        <f t="shared" ref="M308:M313" si="188">SUM(J308:L308)</f>
        <v>0</v>
      </c>
      <c r="N308" s="189">
        <f>Inputs!O165*'(Tables)'!K1087</f>
        <v>0</v>
      </c>
      <c r="O308" s="189">
        <f>Inputs!P165*'(Tables)'!L1087</f>
        <v>0</v>
      </c>
      <c r="P308" s="189">
        <f>Inputs!Q165*'(Tables)'!M1087</f>
        <v>0</v>
      </c>
      <c r="Q308" s="190">
        <f t="shared" ref="Q308:Q313" si="189">SUM(N308:P308)</f>
        <v>0</v>
      </c>
      <c r="R308" s="189">
        <f>Inputs!R165*'(Tables)'!N1087</f>
        <v>0</v>
      </c>
      <c r="S308" s="189">
        <f>Inputs!S165*'(Tables)'!O1087</f>
        <v>0</v>
      </c>
      <c r="T308" s="189">
        <f>Inputs!T165*'(Tables)'!P1087</f>
        <v>0</v>
      </c>
      <c r="U308" s="190">
        <f t="shared" ref="U308:U313" si="190">SUM(R308:T308)</f>
        <v>0</v>
      </c>
      <c r="V308" s="189">
        <f>Inputs!U165*'(Tables)'!Q1087</f>
        <v>0</v>
      </c>
      <c r="W308" s="189">
        <f>Inputs!V165*'(Tables)'!R1087</f>
        <v>0</v>
      </c>
      <c r="X308" s="189">
        <f>Inputs!W165*'(Tables)'!S1087</f>
        <v>0</v>
      </c>
      <c r="Y308" s="190">
        <f t="shared" ref="Y308:Y313" si="191">SUM(V308:X308)</f>
        <v>0</v>
      </c>
    </row>
    <row r="309" spans="1:25" ht="12.75" hidden="1" customHeight="1" outlineLevel="1" x14ac:dyDescent="0.2">
      <c r="A309" s="198" t="str">
        <f>"            "&amp;Labels!B398</f>
        <v xml:space="preserve">            Supply Type 2</v>
      </c>
      <c r="B309" s="189">
        <f>Inputs!F167*'(Tables)'!B1087</f>
        <v>0</v>
      </c>
      <c r="C309" s="189">
        <f>Inputs!G167*'(Tables)'!C1087</f>
        <v>0</v>
      </c>
      <c r="D309" s="189">
        <f>Inputs!H167*'(Tables)'!D1087</f>
        <v>0</v>
      </c>
      <c r="E309" s="190">
        <f t="shared" si="186"/>
        <v>0</v>
      </c>
      <c r="F309" s="189">
        <f>Inputs!I167*'(Tables)'!E1087</f>
        <v>0</v>
      </c>
      <c r="G309" s="189">
        <f>Inputs!J167*'(Tables)'!F1087</f>
        <v>0</v>
      </c>
      <c r="H309" s="189">
        <f>Inputs!K167*'(Tables)'!G1087</f>
        <v>0</v>
      </c>
      <c r="I309" s="190">
        <f t="shared" si="187"/>
        <v>0</v>
      </c>
      <c r="J309" s="189">
        <f>Inputs!L167*'(Tables)'!H1087</f>
        <v>0</v>
      </c>
      <c r="K309" s="189">
        <f>Inputs!M167*'(Tables)'!I1087</f>
        <v>0</v>
      </c>
      <c r="L309" s="189">
        <f>Inputs!N167*'(Tables)'!J1087</f>
        <v>0</v>
      </c>
      <c r="M309" s="190">
        <f t="shared" si="188"/>
        <v>0</v>
      </c>
      <c r="N309" s="189">
        <f>Inputs!O167*'(Tables)'!K1087</f>
        <v>0</v>
      </c>
      <c r="O309" s="189">
        <f>Inputs!P167*'(Tables)'!L1087</f>
        <v>0</v>
      </c>
      <c r="P309" s="189">
        <f>Inputs!Q167*'(Tables)'!M1087</f>
        <v>0</v>
      </c>
      <c r="Q309" s="190">
        <f t="shared" si="189"/>
        <v>0</v>
      </c>
      <c r="R309" s="189">
        <f>Inputs!R167*'(Tables)'!N1087</f>
        <v>0</v>
      </c>
      <c r="S309" s="189">
        <f>Inputs!S167*'(Tables)'!O1087</f>
        <v>0</v>
      </c>
      <c r="T309" s="189">
        <f>Inputs!T167*'(Tables)'!P1087</f>
        <v>0</v>
      </c>
      <c r="U309" s="190">
        <f t="shared" si="190"/>
        <v>0</v>
      </c>
      <c r="V309" s="189">
        <f>Inputs!U167*'(Tables)'!Q1087</f>
        <v>0</v>
      </c>
      <c r="W309" s="189">
        <f>Inputs!V167*'(Tables)'!R1087</f>
        <v>0</v>
      </c>
      <c r="X309" s="189">
        <f>Inputs!W167*'(Tables)'!S1087</f>
        <v>0</v>
      </c>
      <c r="Y309" s="190">
        <f t="shared" si="191"/>
        <v>0</v>
      </c>
    </row>
    <row r="310" spans="1:25" ht="12.75" hidden="1" customHeight="1" outlineLevel="1" x14ac:dyDescent="0.2">
      <c r="A310" s="198" t="str">
        <f>"            "&amp;Labels!C396</f>
        <v xml:space="preserve">            Total</v>
      </c>
      <c r="B310" s="226">
        <f>SUM(B308:B309)</f>
        <v>0</v>
      </c>
      <c r="C310" s="226">
        <f>SUM(C308:C309)</f>
        <v>0</v>
      </c>
      <c r="D310" s="226">
        <f>SUM(D308:D309)</f>
        <v>0</v>
      </c>
      <c r="E310" s="227">
        <f t="shared" si="186"/>
        <v>0</v>
      </c>
      <c r="F310" s="226">
        <f>SUM(F308:F309)</f>
        <v>0</v>
      </c>
      <c r="G310" s="226">
        <f>SUM(G308:G309)</f>
        <v>0</v>
      </c>
      <c r="H310" s="226">
        <f>SUM(H308:H309)</f>
        <v>0</v>
      </c>
      <c r="I310" s="227">
        <f t="shared" si="187"/>
        <v>0</v>
      </c>
      <c r="J310" s="226">
        <f>SUM(J308:J309)</f>
        <v>0</v>
      </c>
      <c r="K310" s="226">
        <f>SUM(K308:K309)</f>
        <v>0</v>
      </c>
      <c r="L310" s="226">
        <f>SUM(L308:L309)</f>
        <v>0</v>
      </c>
      <c r="M310" s="227">
        <f t="shared" si="188"/>
        <v>0</v>
      </c>
      <c r="N310" s="226">
        <f>SUM(N308:N309)</f>
        <v>0</v>
      </c>
      <c r="O310" s="226">
        <f>SUM(O308:O309)</f>
        <v>0</v>
      </c>
      <c r="P310" s="226">
        <f>SUM(P308:P309)</f>
        <v>0</v>
      </c>
      <c r="Q310" s="227">
        <f t="shared" si="189"/>
        <v>0</v>
      </c>
      <c r="R310" s="226">
        <f>SUM(R308:R309)</f>
        <v>0</v>
      </c>
      <c r="S310" s="226">
        <f>SUM(S308:S309)</f>
        <v>0</v>
      </c>
      <c r="T310" s="226">
        <f>SUM(T308:T309)</f>
        <v>0</v>
      </c>
      <c r="U310" s="227">
        <f t="shared" si="190"/>
        <v>0</v>
      </c>
      <c r="V310" s="226">
        <f>SUM(V308:V309)</f>
        <v>0</v>
      </c>
      <c r="W310" s="226">
        <f>SUM(W308:W309)</f>
        <v>0</v>
      </c>
      <c r="X310" s="226">
        <f>SUM(X308:X309)</f>
        <v>0</v>
      </c>
      <c r="Y310" s="227">
        <f t="shared" si="191"/>
        <v>0</v>
      </c>
    </row>
    <row r="311" spans="1:25" ht="12.75" hidden="1" customHeight="1" outlineLevel="1" x14ac:dyDescent="0.2">
      <c r="A311" s="198" t="str">
        <f>"         "&amp;Labels!C384</f>
        <v xml:space="preserve">         Total</v>
      </c>
      <c r="B311" s="226">
        <f>SUM(B306,B310)</f>
        <v>0</v>
      </c>
      <c r="C311" s="226">
        <f>SUM(C306,C310)</f>
        <v>0</v>
      </c>
      <c r="D311" s="226">
        <f>SUM(D306,D310)</f>
        <v>0</v>
      </c>
      <c r="E311" s="227">
        <f t="shared" si="186"/>
        <v>0</v>
      </c>
      <c r="F311" s="226">
        <f>SUM(F306,F310)</f>
        <v>0</v>
      </c>
      <c r="G311" s="226">
        <f>SUM(G306,G310)</f>
        <v>0</v>
      </c>
      <c r="H311" s="226">
        <f>SUM(H306,H310)</f>
        <v>0</v>
      </c>
      <c r="I311" s="227">
        <f t="shared" si="187"/>
        <v>0</v>
      </c>
      <c r="J311" s="226">
        <f>SUM(J306,J310)</f>
        <v>0</v>
      </c>
      <c r="K311" s="226">
        <f>SUM(K306,K310)</f>
        <v>0</v>
      </c>
      <c r="L311" s="226">
        <f>SUM(L306,L310)</f>
        <v>0</v>
      </c>
      <c r="M311" s="227">
        <f t="shared" si="188"/>
        <v>0</v>
      </c>
      <c r="N311" s="226">
        <f>SUM(N306,N310)</f>
        <v>0</v>
      </c>
      <c r="O311" s="226">
        <f>SUM(O306,O310)</f>
        <v>0</v>
      </c>
      <c r="P311" s="226">
        <f>SUM(P306,P310)</f>
        <v>0</v>
      </c>
      <c r="Q311" s="227">
        <f t="shared" si="189"/>
        <v>0</v>
      </c>
      <c r="R311" s="226">
        <f>SUM(R306,R310)</f>
        <v>0</v>
      </c>
      <c r="S311" s="226">
        <f>SUM(S306,S310)</f>
        <v>0</v>
      </c>
      <c r="T311" s="226">
        <f>SUM(T306,T310)</f>
        <v>0</v>
      </c>
      <c r="U311" s="227">
        <f t="shared" si="190"/>
        <v>0</v>
      </c>
      <c r="V311" s="226">
        <f>SUM(V306,V310)</f>
        <v>0</v>
      </c>
      <c r="W311" s="226">
        <f>SUM(W306,W310)</f>
        <v>0</v>
      </c>
      <c r="X311" s="226">
        <f>SUM(X306,X310)</f>
        <v>0</v>
      </c>
      <c r="Y311" s="227">
        <f t="shared" si="191"/>
        <v>0</v>
      </c>
    </row>
    <row r="312" spans="1:25" ht="12.75" hidden="1" customHeight="1" outlineLevel="1" x14ac:dyDescent="0.2">
      <c r="A312" s="198" t="str">
        <f>"            "&amp;Labels!B397</f>
        <v xml:space="preserve">            Supply Type 1</v>
      </c>
      <c r="B312" s="189">
        <f t="shared" ref="B312:D314" si="192">SUM(B304,B308)</f>
        <v>0</v>
      </c>
      <c r="C312" s="189">
        <f t="shared" si="192"/>
        <v>0</v>
      </c>
      <c r="D312" s="189">
        <f t="shared" si="192"/>
        <v>0</v>
      </c>
      <c r="E312" s="190">
        <f t="shared" si="186"/>
        <v>0</v>
      </c>
      <c r="F312" s="189">
        <f t="shared" ref="F312:H314" si="193">SUM(F304,F308)</f>
        <v>0</v>
      </c>
      <c r="G312" s="189">
        <f t="shared" si="193"/>
        <v>0</v>
      </c>
      <c r="H312" s="189">
        <f t="shared" si="193"/>
        <v>0</v>
      </c>
      <c r="I312" s="190">
        <f t="shared" si="187"/>
        <v>0</v>
      </c>
      <c r="J312" s="189">
        <f t="shared" ref="J312:L314" si="194">SUM(J304,J308)</f>
        <v>0</v>
      </c>
      <c r="K312" s="189">
        <f t="shared" si="194"/>
        <v>0</v>
      </c>
      <c r="L312" s="189">
        <f t="shared" si="194"/>
        <v>0</v>
      </c>
      <c r="M312" s="190">
        <f t="shared" si="188"/>
        <v>0</v>
      </c>
      <c r="N312" s="189">
        <f t="shared" ref="N312:P314" si="195">SUM(N304,N308)</f>
        <v>0</v>
      </c>
      <c r="O312" s="189">
        <f t="shared" si="195"/>
        <v>0</v>
      </c>
      <c r="P312" s="189">
        <f t="shared" si="195"/>
        <v>0</v>
      </c>
      <c r="Q312" s="190">
        <f t="shared" si="189"/>
        <v>0</v>
      </c>
      <c r="R312" s="189">
        <f t="shared" ref="R312:T314" si="196">SUM(R304,R308)</f>
        <v>0</v>
      </c>
      <c r="S312" s="189">
        <f t="shared" si="196"/>
        <v>0</v>
      </c>
      <c r="T312" s="189">
        <f t="shared" si="196"/>
        <v>0</v>
      </c>
      <c r="U312" s="190">
        <f t="shared" si="190"/>
        <v>0</v>
      </c>
      <c r="V312" s="189">
        <f t="shared" ref="V312:X314" si="197">SUM(V304,V308)</f>
        <v>0</v>
      </c>
      <c r="W312" s="189">
        <f t="shared" si="197"/>
        <v>0</v>
      </c>
      <c r="X312" s="189">
        <f t="shared" si="197"/>
        <v>0</v>
      </c>
      <c r="Y312" s="190">
        <f t="shared" si="191"/>
        <v>0</v>
      </c>
    </row>
    <row r="313" spans="1:25" ht="12.75" hidden="1" customHeight="1" outlineLevel="1" x14ac:dyDescent="0.2">
      <c r="A313" s="198" t="str">
        <f>"            "&amp;Labels!B398</f>
        <v xml:space="preserve">            Supply Type 2</v>
      </c>
      <c r="B313" s="189">
        <f t="shared" si="192"/>
        <v>0</v>
      </c>
      <c r="C313" s="189">
        <f t="shared" si="192"/>
        <v>0</v>
      </c>
      <c r="D313" s="189">
        <f t="shared" si="192"/>
        <v>0</v>
      </c>
      <c r="E313" s="190">
        <f t="shared" si="186"/>
        <v>0</v>
      </c>
      <c r="F313" s="189">
        <f t="shared" si="193"/>
        <v>0</v>
      </c>
      <c r="G313" s="189">
        <f t="shared" si="193"/>
        <v>0</v>
      </c>
      <c r="H313" s="189">
        <f t="shared" si="193"/>
        <v>0</v>
      </c>
      <c r="I313" s="190">
        <f t="shared" si="187"/>
        <v>0</v>
      </c>
      <c r="J313" s="189">
        <f t="shared" si="194"/>
        <v>0</v>
      </c>
      <c r="K313" s="189">
        <f t="shared" si="194"/>
        <v>0</v>
      </c>
      <c r="L313" s="189">
        <f t="shared" si="194"/>
        <v>0</v>
      </c>
      <c r="M313" s="190">
        <f t="shared" si="188"/>
        <v>0</v>
      </c>
      <c r="N313" s="189">
        <f t="shared" si="195"/>
        <v>0</v>
      </c>
      <c r="O313" s="189">
        <f t="shared" si="195"/>
        <v>0</v>
      </c>
      <c r="P313" s="189">
        <f t="shared" si="195"/>
        <v>0</v>
      </c>
      <c r="Q313" s="190">
        <f t="shared" si="189"/>
        <v>0</v>
      </c>
      <c r="R313" s="189">
        <f t="shared" si="196"/>
        <v>0</v>
      </c>
      <c r="S313" s="189">
        <f t="shared" si="196"/>
        <v>0</v>
      </c>
      <c r="T313" s="189">
        <f t="shared" si="196"/>
        <v>0</v>
      </c>
      <c r="U313" s="190">
        <f t="shared" si="190"/>
        <v>0</v>
      </c>
      <c r="V313" s="189">
        <f t="shared" si="197"/>
        <v>0</v>
      </c>
      <c r="W313" s="189">
        <f t="shared" si="197"/>
        <v>0</v>
      </c>
      <c r="X313" s="189">
        <f t="shared" si="197"/>
        <v>0</v>
      </c>
      <c r="Y313" s="190">
        <f t="shared" si="191"/>
        <v>0</v>
      </c>
    </row>
    <row r="314" spans="1:25" ht="12.75" hidden="1" customHeight="1" outlineLevel="1" x14ac:dyDescent="0.2">
      <c r="A314" s="198" t="str">
        <f>"            "&amp;Labels!C396</f>
        <v xml:space="preserve">            Total</v>
      </c>
      <c r="B314" s="226">
        <f t="shared" si="192"/>
        <v>0</v>
      </c>
      <c r="C314" s="226">
        <f t="shared" si="192"/>
        <v>0</v>
      </c>
      <c r="D314" s="226">
        <f t="shared" si="192"/>
        <v>0</v>
      </c>
      <c r="E314" s="227">
        <f>SUM(B311:D311)</f>
        <v>0</v>
      </c>
      <c r="F314" s="226">
        <f t="shared" si="193"/>
        <v>0</v>
      </c>
      <c r="G314" s="226">
        <f t="shared" si="193"/>
        <v>0</v>
      </c>
      <c r="H314" s="226">
        <f t="shared" si="193"/>
        <v>0</v>
      </c>
      <c r="I314" s="227">
        <f>SUM(F311:H311)</f>
        <v>0</v>
      </c>
      <c r="J314" s="226">
        <f t="shared" si="194"/>
        <v>0</v>
      </c>
      <c r="K314" s="226">
        <f t="shared" si="194"/>
        <v>0</v>
      </c>
      <c r="L314" s="226">
        <f t="shared" si="194"/>
        <v>0</v>
      </c>
      <c r="M314" s="227">
        <f>SUM(J311:L311)</f>
        <v>0</v>
      </c>
      <c r="N314" s="226">
        <f t="shared" si="195"/>
        <v>0</v>
      </c>
      <c r="O314" s="226">
        <f t="shared" si="195"/>
        <v>0</v>
      </c>
      <c r="P314" s="226">
        <f t="shared" si="195"/>
        <v>0</v>
      </c>
      <c r="Q314" s="227">
        <f>SUM(N311:P311)</f>
        <v>0</v>
      </c>
      <c r="R314" s="226">
        <f t="shared" si="196"/>
        <v>0</v>
      </c>
      <c r="S314" s="226">
        <f t="shared" si="196"/>
        <v>0</v>
      </c>
      <c r="T314" s="226">
        <f t="shared" si="196"/>
        <v>0</v>
      </c>
      <c r="U314" s="227">
        <f>SUM(R311:T311)</f>
        <v>0</v>
      </c>
      <c r="V314" s="226">
        <f t="shared" si="197"/>
        <v>0</v>
      </c>
      <c r="W314" s="226">
        <f t="shared" si="197"/>
        <v>0</v>
      </c>
      <c r="X314" s="226">
        <f t="shared" si="197"/>
        <v>0</v>
      </c>
      <c r="Y314" s="227">
        <f>SUM(V311:X311)</f>
        <v>0</v>
      </c>
    </row>
    <row r="315" spans="1:25" ht="12.75" hidden="1" customHeight="1" outlineLevel="1" x14ac:dyDescent="0.2">
      <c r="A315" s="198" t="str">
        <f>"      "&amp;Labels!B382</f>
        <v xml:space="preserve">      Practice 2</v>
      </c>
      <c r="B315" s="226"/>
      <c r="C315" s="226"/>
      <c r="D315" s="226"/>
      <c r="E315" s="227"/>
      <c r="F315" s="226"/>
      <c r="G315" s="226"/>
      <c r="H315" s="226"/>
      <c r="I315" s="227"/>
      <c r="J315" s="226"/>
      <c r="K315" s="226"/>
      <c r="L315" s="226"/>
      <c r="M315" s="227"/>
      <c r="N315" s="226"/>
      <c r="O315" s="226"/>
      <c r="P315" s="226"/>
      <c r="Q315" s="227"/>
      <c r="R315" s="226"/>
      <c r="S315" s="226"/>
      <c r="T315" s="226"/>
      <c r="U315" s="227"/>
      <c r="V315" s="226"/>
      <c r="W315" s="226"/>
      <c r="X315" s="226"/>
      <c r="Y315" s="227"/>
    </row>
    <row r="316" spans="1:25" ht="12.75" hidden="1" customHeight="1" outlineLevel="1" x14ac:dyDescent="0.2">
      <c r="A316" s="198" t="str">
        <f>"         "&amp;Labels!B385</f>
        <v xml:space="preserve">         Prof Level 1</v>
      </c>
      <c r="B316" s="226"/>
      <c r="C316" s="226"/>
      <c r="D316" s="226"/>
      <c r="E316" s="227"/>
      <c r="F316" s="226"/>
      <c r="G316" s="226"/>
      <c r="H316" s="226"/>
      <c r="I316" s="227"/>
      <c r="J316" s="226"/>
      <c r="K316" s="226"/>
      <c r="L316" s="226"/>
      <c r="M316" s="227"/>
      <c r="N316" s="226"/>
      <c r="O316" s="226"/>
      <c r="P316" s="226"/>
      <c r="Q316" s="227"/>
      <c r="R316" s="226"/>
      <c r="S316" s="226"/>
      <c r="T316" s="226"/>
      <c r="U316" s="227"/>
      <c r="V316" s="226"/>
      <c r="W316" s="226"/>
      <c r="X316" s="226"/>
      <c r="Y316" s="227"/>
    </row>
    <row r="317" spans="1:25" ht="12.75" hidden="1" customHeight="1" outlineLevel="1" x14ac:dyDescent="0.2">
      <c r="A317" s="198" t="str">
        <f>"            "&amp;Labels!B397</f>
        <v xml:space="preserve">            Supply Type 1</v>
      </c>
      <c r="B317" s="189">
        <f>Inputs!F169*'(Tables)'!B1096</f>
        <v>0</v>
      </c>
      <c r="C317" s="189">
        <f>Inputs!G169*'(Tables)'!C1096</f>
        <v>0</v>
      </c>
      <c r="D317" s="189">
        <f>Inputs!H169*'(Tables)'!D1096</f>
        <v>0</v>
      </c>
      <c r="E317" s="190">
        <f>SUM(B317:D317)</f>
        <v>0</v>
      </c>
      <c r="F317" s="189">
        <f>Inputs!I169*'(Tables)'!E1096</f>
        <v>0</v>
      </c>
      <c r="G317" s="189">
        <f>Inputs!J169*'(Tables)'!F1096</f>
        <v>0</v>
      </c>
      <c r="H317" s="189">
        <f>Inputs!K169*'(Tables)'!G1096</f>
        <v>0</v>
      </c>
      <c r="I317" s="190">
        <f>SUM(F317:H317)</f>
        <v>0</v>
      </c>
      <c r="J317" s="189">
        <f>Inputs!L169*'(Tables)'!H1096</f>
        <v>0</v>
      </c>
      <c r="K317" s="189">
        <f>Inputs!M169*'(Tables)'!I1096</f>
        <v>0</v>
      </c>
      <c r="L317" s="189">
        <f>Inputs!N169*'(Tables)'!J1096</f>
        <v>0</v>
      </c>
      <c r="M317" s="190">
        <f>SUM(J317:L317)</f>
        <v>0</v>
      </c>
      <c r="N317" s="189">
        <f>Inputs!O169*'(Tables)'!K1096</f>
        <v>0</v>
      </c>
      <c r="O317" s="189">
        <f>Inputs!P169*'(Tables)'!L1096</f>
        <v>0</v>
      </c>
      <c r="P317" s="189">
        <f>Inputs!Q169*'(Tables)'!M1096</f>
        <v>0</v>
      </c>
      <c r="Q317" s="190">
        <f>SUM(N317:P317)</f>
        <v>0</v>
      </c>
      <c r="R317" s="189">
        <f>Inputs!R169*'(Tables)'!N1096</f>
        <v>0</v>
      </c>
      <c r="S317" s="189">
        <f>Inputs!S169*'(Tables)'!O1096</f>
        <v>0</v>
      </c>
      <c r="T317" s="189">
        <f>Inputs!T169*'(Tables)'!P1096</f>
        <v>0</v>
      </c>
      <c r="U317" s="190">
        <f>SUM(R317:T317)</f>
        <v>0</v>
      </c>
      <c r="V317" s="189">
        <f>Inputs!U169*'(Tables)'!Q1096</f>
        <v>0</v>
      </c>
      <c r="W317" s="189">
        <f>Inputs!V169*'(Tables)'!R1096</f>
        <v>0</v>
      </c>
      <c r="X317" s="189">
        <f>Inputs!W169*'(Tables)'!S1096</f>
        <v>0</v>
      </c>
      <c r="Y317" s="190">
        <f>SUM(V317:X317)</f>
        <v>0</v>
      </c>
    </row>
    <row r="318" spans="1:25" ht="12.75" hidden="1" customHeight="1" outlineLevel="1" x14ac:dyDescent="0.2">
      <c r="A318" s="198" t="str">
        <f>"            "&amp;Labels!B398</f>
        <v xml:space="preserve">            Supply Type 2</v>
      </c>
      <c r="B318" s="189">
        <f>Inputs!F171*'(Tables)'!B1096</f>
        <v>0</v>
      </c>
      <c r="C318" s="189">
        <f>Inputs!G171*'(Tables)'!C1096</f>
        <v>0</v>
      </c>
      <c r="D318" s="189">
        <f>Inputs!H171*'(Tables)'!D1096</f>
        <v>0</v>
      </c>
      <c r="E318" s="190">
        <f>SUM(B318:D318)</f>
        <v>0</v>
      </c>
      <c r="F318" s="189">
        <f>Inputs!I171*'(Tables)'!E1096</f>
        <v>0</v>
      </c>
      <c r="G318" s="189">
        <f>Inputs!J171*'(Tables)'!F1096</f>
        <v>0</v>
      </c>
      <c r="H318" s="189">
        <f>Inputs!K171*'(Tables)'!G1096</f>
        <v>0</v>
      </c>
      <c r="I318" s="190">
        <f>SUM(F318:H318)</f>
        <v>0</v>
      </c>
      <c r="J318" s="189">
        <f>Inputs!L171*'(Tables)'!H1096</f>
        <v>0</v>
      </c>
      <c r="K318" s="189">
        <f>Inputs!M171*'(Tables)'!I1096</f>
        <v>0</v>
      </c>
      <c r="L318" s="189">
        <f>Inputs!N171*'(Tables)'!J1096</f>
        <v>0</v>
      </c>
      <c r="M318" s="190">
        <f>SUM(J318:L318)</f>
        <v>0</v>
      </c>
      <c r="N318" s="189">
        <f>Inputs!O171*'(Tables)'!K1096</f>
        <v>0</v>
      </c>
      <c r="O318" s="189">
        <f>Inputs!P171*'(Tables)'!L1096</f>
        <v>0</v>
      </c>
      <c r="P318" s="189">
        <f>Inputs!Q171*'(Tables)'!M1096</f>
        <v>0</v>
      </c>
      <c r="Q318" s="190">
        <f>SUM(N318:P318)</f>
        <v>0</v>
      </c>
      <c r="R318" s="189">
        <f>Inputs!R171*'(Tables)'!N1096</f>
        <v>0</v>
      </c>
      <c r="S318" s="189">
        <f>Inputs!S171*'(Tables)'!O1096</f>
        <v>0</v>
      </c>
      <c r="T318" s="189">
        <f>Inputs!T171*'(Tables)'!P1096</f>
        <v>0</v>
      </c>
      <c r="U318" s="190">
        <f>SUM(R318:T318)</f>
        <v>0</v>
      </c>
      <c r="V318" s="189">
        <f>Inputs!U171*'(Tables)'!Q1096</f>
        <v>0</v>
      </c>
      <c r="W318" s="189">
        <f>Inputs!V171*'(Tables)'!R1096</f>
        <v>0</v>
      </c>
      <c r="X318" s="189">
        <f>Inputs!W171*'(Tables)'!S1096</f>
        <v>0</v>
      </c>
      <c r="Y318" s="190">
        <f>SUM(V318:X318)</f>
        <v>0</v>
      </c>
    </row>
    <row r="319" spans="1:25" ht="12.75" hidden="1" customHeight="1" outlineLevel="1" x14ac:dyDescent="0.2">
      <c r="A319" s="198" t="str">
        <f>"            "&amp;Labels!C396</f>
        <v xml:space="preserve">            Total</v>
      </c>
      <c r="B319" s="226">
        <f>SUM(B317:B318)</f>
        <v>0</v>
      </c>
      <c r="C319" s="226">
        <f>SUM(C317:C318)</f>
        <v>0</v>
      </c>
      <c r="D319" s="226">
        <f>SUM(D317:D318)</f>
        <v>0</v>
      </c>
      <c r="E319" s="227">
        <f>SUM(B319:D319)</f>
        <v>0</v>
      </c>
      <c r="F319" s="226">
        <f>SUM(F317:F318)</f>
        <v>0</v>
      </c>
      <c r="G319" s="226">
        <f>SUM(G317:G318)</f>
        <v>0</v>
      </c>
      <c r="H319" s="226">
        <f>SUM(H317:H318)</f>
        <v>0</v>
      </c>
      <c r="I319" s="227">
        <f>SUM(F319:H319)</f>
        <v>0</v>
      </c>
      <c r="J319" s="226">
        <f>SUM(J317:J318)</f>
        <v>0</v>
      </c>
      <c r="K319" s="226">
        <f>SUM(K317:K318)</f>
        <v>0</v>
      </c>
      <c r="L319" s="226">
        <f>SUM(L317:L318)</f>
        <v>0</v>
      </c>
      <c r="M319" s="227">
        <f>SUM(J319:L319)</f>
        <v>0</v>
      </c>
      <c r="N319" s="226">
        <f>SUM(N317:N318)</f>
        <v>0</v>
      </c>
      <c r="O319" s="226">
        <f>SUM(O317:O318)</f>
        <v>0</v>
      </c>
      <c r="P319" s="226">
        <f>SUM(P317:P318)</f>
        <v>0</v>
      </c>
      <c r="Q319" s="227">
        <f>SUM(N319:P319)</f>
        <v>0</v>
      </c>
      <c r="R319" s="226">
        <f>SUM(R317:R318)</f>
        <v>0</v>
      </c>
      <c r="S319" s="226">
        <f>SUM(S317:S318)</f>
        <v>0</v>
      </c>
      <c r="T319" s="226">
        <f>SUM(T317:T318)</f>
        <v>0</v>
      </c>
      <c r="U319" s="227">
        <f>SUM(R319:T319)</f>
        <v>0</v>
      </c>
      <c r="V319" s="226">
        <f>SUM(V317:V318)</f>
        <v>0</v>
      </c>
      <c r="W319" s="226">
        <f>SUM(W317:W318)</f>
        <v>0</v>
      </c>
      <c r="X319" s="226">
        <f>SUM(X317:X318)</f>
        <v>0</v>
      </c>
      <c r="Y319" s="227">
        <f>SUM(V319:X319)</f>
        <v>0</v>
      </c>
    </row>
    <row r="320" spans="1:25" ht="12.75" hidden="1" customHeight="1" outlineLevel="1" x14ac:dyDescent="0.2">
      <c r="A320" s="198" t="str">
        <f>"         "&amp;Labels!B386</f>
        <v xml:space="preserve">         Prof Level 2</v>
      </c>
      <c r="B320" s="226"/>
      <c r="C320" s="226"/>
      <c r="D320" s="226"/>
      <c r="E320" s="227"/>
      <c r="F320" s="226"/>
      <c r="G320" s="226"/>
      <c r="H320" s="226"/>
      <c r="I320" s="227"/>
      <c r="J320" s="226"/>
      <c r="K320" s="226"/>
      <c r="L320" s="226"/>
      <c r="M320" s="227"/>
      <c r="N320" s="226"/>
      <c r="O320" s="226"/>
      <c r="P320" s="226"/>
      <c r="Q320" s="227"/>
      <c r="R320" s="226"/>
      <c r="S320" s="226"/>
      <c r="T320" s="226"/>
      <c r="U320" s="227"/>
      <c r="V320" s="226"/>
      <c r="W320" s="226"/>
      <c r="X320" s="226"/>
      <c r="Y320" s="227"/>
    </row>
    <row r="321" spans="1:25" ht="12.75" hidden="1" customHeight="1" outlineLevel="1" x14ac:dyDescent="0.2">
      <c r="A321" s="198" t="str">
        <f>"            "&amp;Labels!B397</f>
        <v xml:space="preserve">            Supply Type 1</v>
      </c>
      <c r="B321" s="189">
        <f>Inputs!F173*'(Tables)'!B1100</f>
        <v>0</v>
      </c>
      <c r="C321" s="189">
        <f>Inputs!G173*'(Tables)'!C1100</f>
        <v>0</v>
      </c>
      <c r="D321" s="189">
        <f>Inputs!H173*'(Tables)'!D1100</f>
        <v>0</v>
      </c>
      <c r="E321" s="190">
        <f t="shared" ref="E321:E326" si="198">SUM(B321:D321)</f>
        <v>0</v>
      </c>
      <c r="F321" s="189">
        <f>Inputs!I173*'(Tables)'!E1100</f>
        <v>0</v>
      </c>
      <c r="G321" s="189">
        <f>Inputs!J173*'(Tables)'!F1100</f>
        <v>0</v>
      </c>
      <c r="H321" s="189">
        <f>Inputs!K173*'(Tables)'!G1100</f>
        <v>0</v>
      </c>
      <c r="I321" s="190">
        <f t="shared" ref="I321:I326" si="199">SUM(F321:H321)</f>
        <v>0</v>
      </c>
      <c r="J321" s="189">
        <f>Inputs!L173*'(Tables)'!H1100</f>
        <v>0</v>
      </c>
      <c r="K321" s="189">
        <f>Inputs!M173*'(Tables)'!I1100</f>
        <v>0</v>
      </c>
      <c r="L321" s="189">
        <f>Inputs!N173*'(Tables)'!J1100</f>
        <v>0</v>
      </c>
      <c r="M321" s="190">
        <f t="shared" ref="M321:M326" si="200">SUM(J321:L321)</f>
        <v>0</v>
      </c>
      <c r="N321" s="189">
        <f>Inputs!O173*'(Tables)'!K1100</f>
        <v>0</v>
      </c>
      <c r="O321" s="189">
        <f>Inputs!P173*'(Tables)'!L1100</f>
        <v>0</v>
      </c>
      <c r="P321" s="189">
        <f>Inputs!Q173*'(Tables)'!M1100</f>
        <v>0</v>
      </c>
      <c r="Q321" s="190">
        <f t="shared" ref="Q321:Q326" si="201">SUM(N321:P321)</f>
        <v>0</v>
      </c>
      <c r="R321" s="189">
        <f>Inputs!R173*'(Tables)'!N1100</f>
        <v>0</v>
      </c>
      <c r="S321" s="189">
        <f>Inputs!S173*'(Tables)'!O1100</f>
        <v>0</v>
      </c>
      <c r="T321" s="189">
        <f>Inputs!T173*'(Tables)'!P1100</f>
        <v>0</v>
      </c>
      <c r="U321" s="190">
        <f t="shared" ref="U321:U326" si="202">SUM(R321:T321)</f>
        <v>0</v>
      </c>
      <c r="V321" s="189">
        <f>Inputs!U173*'(Tables)'!Q1100</f>
        <v>0</v>
      </c>
      <c r="W321" s="189">
        <f>Inputs!V173*'(Tables)'!R1100</f>
        <v>0</v>
      </c>
      <c r="X321" s="189">
        <f>Inputs!W173*'(Tables)'!S1100</f>
        <v>0</v>
      </c>
      <c r="Y321" s="190">
        <f t="shared" ref="Y321:Y326" si="203">SUM(V321:X321)</f>
        <v>0</v>
      </c>
    </row>
    <row r="322" spans="1:25" ht="12.75" hidden="1" customHeight="1" outlineLevel="1" x14ac:dyDescent="0.2">
      <c r="A322" s="198" t="str">
        <f>"            "&amp;Labels!B398</f>
        <v xml:space="preserve">            Supply Type 2</v>
      </c>
      <c r="B322" s="189">
        <f>Inputs!F175*'(Tables)'!B1100</f>
        <v>0</v>
      </c>
      <c r="C322" s="189">
        <f>Inputs!G175*'(Tables)'!C1100</f>
        <v>0</v>
      </c>
      <c r="D322" s="189">
        <f>Inputs!H175*'(Tables)'!D1100</f>
        <v>0</v>
      </c>
      <c r="E322" s="190">
        <f t="shared" si="198"/>
        <v>0</v>
      </c>
      <c r="F322" s="189">
        <f>Inputs!I175*'(Tables)'!E1100</f>
        <v>0</v>
      </c>
      <c r="G322" s="189">
        <f>Inputs!J175*'(Tables)'!F1100</f>
        <v>0</v>
      </c>
      <c r="H322" s="189">
        <f>Inputs!K175*'(Tables)'!G1100</f>
        <v>0</v>
      </c>
      <c r="I322" s="190">
        <f t="shared" si="199"/>
        <v>0</v>
      </c>
      <c r="J322" s="189">
        <f>Inputs!L175*'(Tables)'!H1100</f>
        <v>0</v>
      </c>
      <c r="K322" s="189">
        <f>Inputs!M175*'(Tables)'!I1100</f>
        <v>0</v>
      </c>
      <c r="L322" s="189">
        <f>Inputs!N175*'(Tables)'!J1100</f>
        <v>0</v>
      </c>
      <c r="M322" s="190">
        <f t="shared" si="200"/>
        <v>0</v>
      </c>
      <c r="N322" s="189">
        <f>Inputs!O175*'(Tables)'!K1100</f>
        <v>0</v>
      </c>
      <c r="O322" s="189">
        <f>Inputs!P175*'(Tables)'!L1100</f>
        <v>0</v>
      </c>
      <c r="P322" s="189">
        <f>Inputs!Q175*'(Tables)'!M1100</f>
        <v>0</v>
      </c>
      <c r="Q322" s="190">
        <f t="shared" si="201"/>
        <v>0</v>
      </c>
      <c r="R322" s="189">
        <f>Inputs!R175*'(Tables)'!N1100</f>
        <v>0</v>
      </c>
      <c r="S322" s="189">
        <f>Inputs!S175*'(Tables)'!O1100</f>
        <v>0</v>
      </c>
      <c r="T322" s="189">
        <f>Inputs!T175*'(Tables)'!P1100</f>
        <v>0</v>
      </c>
      <c r="U322" s="190">
        <f t="shared" si="202"/>
        <v>0</v>
      </c>
      <c r="V322" s="189">
        <f>Inputs!U175*'(Tables)'!Q1100</f>
        <v>0</v>
      </c>
      <c r="W322" s="189">
        <f>Inputs!V175*'(Tables)'!R1100</f>
        <v>0</v>
      </c>
      <c r="X322" s="189">
        <f>Inputs!W175*'(Tables)'!S1100</f>
        <v>0</v>
      </c>
      <c r="Y322" s="190">
        <f t="shared" si="203"/>
        <v>0</v>
      </c>
    </row>
    <row r="323" spans="1:25" ht="12.75" hidden="1" customHeight="1" outlineLevel="1" x14ac:dyDescent="0.2">
      <c r="A323" s="198" t="str">
        <f>"            "&amp;Labels!C396</f>
        <v xml:space="preserve">            Total</v>
      </c>
      <c r="B323" s="226">
        <f>SUM(B321:B322)</f>
        <v>0</v>
      </c>
      <c r="C323" s="226">
        <f>SUM(C321:C322)</f>
        <v>0</v>
      </c>
      <c r="D323" s="226">
        <f>SUM(D321:D322)</f>
        <v>0</v>
      </c>
      <c r="E323" s="227">
        <f t="shared" si="198"/>
        <v>0</v>
      </c>
      <c r="F323" s="226">
        <f>SUM(F321:F322)</f>
        <v>0</v>
      </c>
      <c r="G323" s="226">
        <f>SUM(G321:G322)</f>
        <v>0</v>
      </c>
      <c r="H323" s="226">
        <f>SUM(H321:H322)</f>
        <v>0</v>
      </c>
      <c r="I323" s="227">
        <f t="shared" si="199"/>
        <v>0</v>
      </c>
      <c r="J323" s="226">
        <f>SUM(J321:J322)</f>
        <v>0</v>
      </c>
      <c r="K323" s="226">
        <f>SUM(K321:K322)</f>
        <v>0</v>
      </c>
      <c r="L323" s="226">
        <f>SUM(L321:L322)</f>
        <v>0</v>
      </c>
      <c r="M323" s="227">
        <f t="shared" si="200"/>
        <v>0</v>
      </c>
      <c r="N323" s="226">
        <f>SUM(N321:N322)</f>
        <v>0</v>
      </c>
      <c r="O323" s="226">
        <f>SUM(O321:O322)</f>
        <v>0</v>
      </c>
      <c r="P323" s="226">
        <f>SUM(P321:P322)</f>
        <v>0</v>
      </c>
      <c r="Q323" s="227">
        <f t="shared" si="201"/>
        <v>0</v>
      </c>
      <c r="R323" s="226">
        <f>SUM(R321:R322)</f>
        <v>0</v>
      </c>
      <c r="S323" s="226">
        <f>SUM(S321:S322)</f>
        <v>0</v>
      </c>
      <c r="T323" s="226">
        <f>SUM(T321:T322)</f>
        <v>0</v>
      </c>
      <c r="U323" s="227">
        <f t="shared" si="202"/>
        <v>0</v>
      </c>
      <c r="V323" s="226">
        <f>SUM(V321:V322)</f>
        <v>0</v>
      </c>
      <c r="W323" s="226">
        <f>SUM(W321:W322)</f>
        <v>0</v>
      </c>
      <c r="X323" s="226">
        <f>SUM(X321:X322)</f>
        <v>0</v>
      </c>
      <c r="Y323" s="227">
        <f t="shared" si="203"/>
        <v>0</v>
      </c>
    </row>
    <row r="324" spans="1:25" ht="12.75" hidden="1" customHeight="1" outlineLevel="1" x14ac:dyDescent="0.2">
      <c r="A324" s="198" t="str">
        <f>"         "&amp;Labels!C384</f>
        <v xml:space="preserve">         Total</v>
      </c>
      <c r="B324" s="226">
        <f>SUM(B319,B323)</f>
        <v>0</v>
      </c>
      <c r="C324" s="226">
        <f>SUM(C319,C323)</f>
        <v>0</v>
      </c>
      <c r="D324" s="226">
        <f>SUM(D319,D323)</f>
        <v>0</v>
      </c>
      <c r="E324" s="227">
        <f t="shared" si="198"/>
        <v>0</v>
      </c>
      <c r="F324" s="226">
        <f>SUM(F319,F323)</f>
        <v>0</v>
      </c>
      <c r="G324" s="226">
        <f>SUM(G319,G323)</f>
        <v>0</v>
      </c>
      <c r="H324" s="226">
        <f>SUM(H319,H323)</f>
        <v>0</v>
      </c>
      <c r="I324" s="227">
        <f t="shared" si="199"/>
        <v>0</v>
      </c>
      <c r="J324" s="226">
        <f>SUM(J319,J323)</f>
        <v>0</v>
      </c>
      <c r="K324" s="226">
        <f>SUM(K319,K323)</f>
        <v>0</v>
      </c>
      <c r="L324" s="226">
        <f>SUM(L319,L323)</f>
        <v>0</v>
      </c>
      <c r="M324" s="227">
        <f t="shared" si="200"/>
        <v>0</v>
      </c>
      <c r="N324" s="226">
        <f>SUM(N319,N323)</f>
        <v>0</v>
      </c>
      <c r="O324" s="226">
        <f>SUM(O319,O323)</f>
        <v>0</v>
      </c>
      <c r="P324" s="226">
        <f>SUM(P319,P323)</f>
        <v>0</v>
      </c>
      <c r="Q324" s="227">
        <f t="shared" si="201"/>
        <v>0</v>
      </c>
      <c r="R324" s="226">
        <f>SUM(R319,R323)</f>
        <v>0</v>
      </c>
      <c r="S324" s="226">
        <f>SUM(S319,S323)</f>
        <v>0</v>
      </c>
      <c r="T324" s="226">
        <f>SUM(T319,T323)</f>
        <v>0</v>
      </c>
      <c r="U324" s="227">
        <f t="shared" si="202"/>
        <v>0</v>
      </c>
      <c r="V324" s="226">
        <f>SUM(V319,V323)</f>
        <v>0</v>
      </c>
      <c r="W324" s="226">
        <f>SUM(W319,W323)</f>
        <v>0</v>
      </c>
      <c r="X324" s="226">
        <f>SUM(X319,X323)</f>
        <v>0</v>
      </c>
      <c r="Y324" s="227">
        <f t="shared" si="203"/>
        <v>0</v>
      </c>
    </row>
    <row r="325" spans="1:25" ht="12.75" hidden="1" customHeight="1" outlineLevel="1" x14ac:dyDescent="0.2">
      <c r="A325" s="198" t="str">
        <f>"            "&amp;Labels!B397</f>
        <v xml:space="preserve">            Supply Type 1</v>
      </c>
      <c r="B325" s="189">
        <f t="shared" ref="B325:D327" si="204">SUM(B317,B321)</f>
        <v>0</v>
      </c>
      <c r="C325" s="189">
        <f t="shared" si="204"/>
        <v>0</v>
      </c>
      <c r="D325" s="189">
        <f t="shared" si="204"/>
        <v>0</v>
      </c>
      <c r="E325" s="190">
        <f t="shared" si="198"/>
        <v>0</v>
      </c>
      <c r="F325" s="189">
        <f t="shared" ref="F325:H327" si="205">SUM(F317,F321)</f>
        <v>0</v>
      </c>
      <c r="G325" s="189">
        <f t="shared" si="205"/>
        <v>0</v>
      </c>
      <c r="H325" s="189">
        <f t="shared" si="205"/>
        <v>0</v>
      </c>
      <c r="I325" s="190">
        <f t="shared" si="199"/>
        <v>0</v>
      </c>
      <c r="J325" s="189">
        <f t="shared" ref="J325:L327" si="206">SUM(J317,J321)</f>
        <v>0</v>
      </c>
      <c r="K325" s="189">
        <f t="shared" si="206"/>
        <v>0</v>
      </c>
      <c r="L325" s="189">
        <f t="shared" si="206"/>
        <v>0</v>
      </c>
      <c r="M325" s="190">
        <f t="shared" si="200"/>
        <v>0</v>
      </c>
      <c r="N325" s="189">
        <f t="shared" ref="N325:P327" si="207">SUM(N317,N321)</f>
        <v>0</v>
      </c>
      <c r="O325" s="189">
        <f t="shared" si="207"/>
        <v>0</v>
      </c>
      <c r="P325" s="189">
        <f t="shared" si="207"/>
        <v>0</v>
      </c>
      <c r="Q325" s="190">
        <f t="shared" si="201"/>
        <v>0</v>
      </c>
      <c r="R325" s="189">
        <f t="shared" ref="R325:T327" si="208">SUM(R317,R321)</f>
        <v>0</v>
      </c>
      <c r="S325" s="189">
        <f t="shared" si="208"/>
        <v>0</v>
      </c>
      <c r="T325" s="189">
        <f t="shared" si="208"/>
        <v>0</v>
      </c>
      <c r="U325" s="190">
        <f t="shared" si="202"/>
        <v>0</v>
      </c>
      <c r="V325" s="189">
        <f t="shared" ref="V325:X327" si="209">SUM(V317,V321)</f>
        <v>0</v>
      </c>
      <c r="W325" s="189">
        <f t="shared" si="209"/>
        <v>0</v>
      </c>
      <c r="X325" s="189">
        <f t="shared" si="209"/>
        <v>0</v>
      </c>
      <c r="Y325" s="190">
        <f t="shared" si="203"/>
        <v>0</v>
      </c>
    </row>
    <row r="326" spans="1:25" ht="12.75" hidden="1" customHeight="1" outlineLevel="1" x14ac:dyDescent="0.2">
      <c r="A326" s="198" t="str">
        <f>"            "&amp;Labels!B398</f>
        <v xml:space="preserve">            Supply Type 2</v>
      </c>
      <c r="B326" s="189">
        <f t="shared" si="204"/>
        <v>0</v>
      </c>
      <c r="C326" s="189">
        <f t="shared" si="204"/>
        <v>0</v>
      </c>
      <c r="D326" s="189">
        <f t="shared" si="204"/>
        <v>0</v>
      </c>
      <c r="E326" s="190">
        <f t="shared" si="198"/>
        <v>0</v>
      </c>
      <c r="F326" s="189">
        <f t="shared" si="205"/>
        <v>0</v>
      </c>
      <c r="G326" s="189">
        <f t="shared" si="205"/>
        <v>0</v>
      </c>
      <c r="H326" s="189">
        <f t="shared" si="205"/>
        <v>0</v>
      </c>
      <c r="I326" s="190">
        <f t="shared" si="199"/>
        <v>0</v>
      </c>
      <c r="J326" s="189">
        <f t="shared" si="206"/>
        <v>0</v>
      </c>
      <c r="K326" s="189">
        <f t="shared" si="206"/>
        <v>0</v>
      </c>
      <c r="L326" s="189">
        <f t="shared" si="206"/>
        <v>0</v>
      </c>
      <c r="M326" s="190">
        <f t="shared" si="200"/>
        <v>0</v>
      </c>
      <c r="N326" s="189">
        <f t="shared" si="207"/>
        <v>0</v>
      </c>
      <c r="O326" s="189">
        <f t="shared" si="207"/>
        <v>0</v>
      </c>
      <c r="P326" s="189">
        <f t="shared" si="207"/>
        <v>0</v>
      </c>
      <c r="Q326" s="190">
        <f t="shared" si="201"/>
        <v>0</v>
      </c>
      <c r="R326" s="189">
        <f t="shared" si="208"/>
        <v>0</v>
      </c>
      <c r="S326" s="189">
        <f t="shared" si="208"/>
        <v>0</v>
      </c>
      <c r="T326" s="189">
        <f t="shared" si="208"/>
        <v>0</v>
      </c>
      <c r="U326" s="190">
        <f t="shared" si="202"/>
        <v>0</v>
      </c>
      <c r="V326" s="189">
        <f t="shared" si="209"/>
        <v>0</v>
      </c>
      <c r="W326" s="189">
        <f t="shared" si="209"/>
        <v>0</v>
      </c>
      <c r="X326" s="189">
        <f t="shared" si="209"/>
        <v>0</v>
      </c>
      <c r="Y326" s="190">
        <f t="shared" si="203"/>
        <v>0</v>
      </c>
    </row>
    <row r="327" spans="1:25" ht="12.75" hidden="1" customHeight="1" outlineLevel="1" x14ac:dyDescent="0.2">
      <c r="A327" s="198" t="str">
        <f>"            "&amp;Labels!C396</f>
        <v xml:space="preserve">            Total</v>
      </c>
      <c r="B327" s="226">
        <f t="shared" si="204"/>
        <v>0</v>
      </c>
      <c r="C327" s="226">
        <f t="shared" si="204"/>
        <v>0</v>
      </c>
      <c r="D327" s="226">
        <f t="shared" si="204"/>
        <v>0</v>
      </c>
      <c r="E327" s="227">
        <f>SUM(B324:D324)</f>
        <v>0</v>
      </c>
      <c r="F327" s="226">
        <f t="shared" si="205"/>
        <v>0</v>
      </c>
      <c r="G327" s="226">
        <f t="shared" si="205"/>
        <v>0</v>
      </c>
      <c r="H327" s="226">
        <f t="shared" si="205"/>
        <v>0</v>
      </c>
      <c r="I327" s="227">
        <f>SUM(F324:H324)</f>
        <v>0</v>
      </c>
      <c r="J327" s="226">
        <f t="shared" si="206"/>
        <v>0</v>
      </c>
      <c r="K327" s="226">
        <f t="shared" si="206"/>
        <v>0</v>
      </c>
      <c r="L327" s="226">
        <f t="shared" si="206"/>
        <v>0</v>
      </c>
      <c r="M327" s="227">
        <f>SUM(J324:L324)</f>
        <v>0</v>
      </c>
      <c r="N327" s="226">
        <f t="shared" si="207"/>
        <v>0</v>
      </c>
      <c r="O327" s="226">
        <f t="shared" si="207"/>
        <v>0</v>
      </c>
      <c r="P327" s="226">
        <f t="shared" si="207"/>
        <v>0</v>
      </c>
      <c r="Q327" s="227">
        <f>SUM(N324:P324)</f>
        <v>0</v>
      </c>
      <c r="R327" s="226">
        <f t="shared" si="208"/>
        <v>0</v>
      </c>
      <c r="S327" s="226">
        <f t="shared" si="208"/>
        <v>0</v>
      </c>
      <c r="T327" s="226">
        <f t="shared" si="208"/>
        <v>0</v>
      </c>
      <c r="U327" s="227">
        <f>SUM(R324:T324)</f>
        <v>0</v>
      </c>
      <c r="V327" s="226">
        <f t="shared" si="209"/>
        <v>0</v>
      </c>
      <c r="W327" s="226">
        <f t="shared" si="209"/>
        <v>0</v>
      </c>
      <c r="X327" s="226">
        <f t="shared" si="209"/>
        <v>0</v>
      </c>
      <c r="Y327" s="227">
        <f>SUM(V324:X324)</f>
        <v>0</v>
      </c>
    </row>
    <row r="328" spans="1:25" ht="12.75" hidden="1" customHeight="1" outlineLevel="1" x14ac:dyDescent="0.2">
      <c r="A328" s="188" t="str">
        <f>"      "&amp;Labels!C380</f>
        <v xml:space="preserve">      Total</v>
      </c>
      <c r="B328" s="196">
        <f>SUM(B311,B324)</f>
        <v>0</v>
      </c>
      <c r="C328" s="196">
        <f>SUM(C311,C324)</f>
        <v>0</v>
      </c>
      <c r="D328" s="196">
        <f>SUM(D311,D324)</f>
        <v>0</v>
      </c>
      <c r="E328" s="197">
        <f>SUM(B328:D328)</f>
        <v>0</v>
      </c>
      <c r="F328" s="196">
        <f>SUM(F311,F324)</f>
        <v>0</v>
      </c>
      <c r="G328" s="196">
        <f>SUM(G311,G324)</f>
        <v>0</v>
      </c>
      <c r="H328" s="196">
        <f>SUM(H311,H324)</f>
        <v>0</v>
      </c>
      <c r="I328" s="197">
        <f>SUM(F328:H328)</f>
        <v>0</v>
      </c>
      <c r="J328" s="196">
        <f>SUM(J311,J324)</f>
        <v>0</v>
      </c>
      <c r="K328" s="196">
        <f>SUM(K311,K324)</f>
        <v>0</v>
      </c>
      <c r="L328" s="196">
        <f>SUM(L311,L324)</f>
        <v>0</v>
      </c>
      <c r="M328" s="197">
        <f>SUM(J328:L328)</f>
        <v>0</v>
      </c>
      <c r="N328" s="196">
        <f>SUM(N311,N324)</f>
        <v>0</v>
      </c>
      <c r="O328" s="196">
        <f>SUM(O311,O324)</f>
        <v>0</v>
      </c>
      <c r="P328" s="196">
        <f>SUM(P311,P324)</f>
        <v>0</v>
      </c>
      <c r="Q328" s="197">
        <f>SUM(N328:P328)</f>
        <v>0</v>
      </c>
      <c r="R328" s="196">
        <f>SUM(R311,R324)</f>
        <v>0</v>
      </c>
      <c r="S328" s="196">
        <f>SUM(S311,S324)</f>
        <v>0</v>
      </c>
      <c r="T328" s="196">
        <f>SUM(T311,T324)</f>
        <v>0</v>
      </c>
      <c r="U328" s="197">
        <f>SUM(R328:T328)</f>
        <v>0</v>
      </c>
      <c r="V328" s="196">
        <f>SUM(V311,V324)</f>
        <v>0</v>
      </c>
      <c r="W328" s="196">
        <f>SUM(W311,W324)</f>
        <v>0</v>
      </c>
      <c r="X328" s="196">
        <f>SUM(X311,X324)</f>
        <v>0</v>
      </c>
      <c r="Y328" s="197">
        <f>SUM(V328:X328)</f>
        <v>0</v>
      </c>
    </row>
    <row r="329" spans="1:25" ht="12.75" hidden="1" customHeight="1" outlineLevel="1" x14ac:dyDescent="0.2">
      <c r="A329" s="198" t="str">
        <f>"         "&amp;Labels!B385</f>
        <v xml:space="preserve">         Prof Level 1</v>
      </c>
      <c r="B329" s="226"/>
      <c r="C329" s="226"/>
      <c r="D329" s="226"/>
      <c r="E329" s="227"/>
      <c r="F329" s="226"/>
      <c r="G329" s="226"/>
      <c r="H329" s="226"/>
      <c r="I329" s="227"/>
      <c r="J329" s="226"/>
      <c r="K329" s="226"/>
      <c r="L329" s="226"/>
      <c r="M329" s="227"/>
      <c r="N329" s="226"/>
      <c r="O329" s="226"/>
      <c r="P329" s="226"/>
      <c r="Q329" s="227"/>
      <c r="R329" s="226"/>
      <c r="S329" s="226"/>
      <c r="T329" s="226"/>
      <c r="U329" s="227"/>
      <c r="V329" s="226"/>
      <c r="W329" s="226"/>
      <c r="X329" s="226"/>
      <c r="Y329" s="227"/>
    </row>
    <row r="330" spans="1:25" ht="12.75" hidden="1" customHeight="1" outlineLevel="1" x14ac:dyDescent="0.2">
      <c r="A330" s="198" t="str">
        <f>"            "&amp;Labels!B397</f>
        <v xml:space="preserve">            Supply Type 1</v>
      </c>
      <c r="B330" s="189">
        <f t="shared" ref="B330:D332" si="210">SUM(B304,B317)</f>
        <v>0</v>
      </c>
      <c r="C330" s="189">
        <f t="shared" si="210"/>
        <v>0</v>
      </c>
      <c r="D330" s="189">
        <f t="shared" si="210"/>
        <v>0</v>
      </c>
      <c r="E330" s="190">
        <f>SUM(B330:D330)</f>
        <v>0</v>
      </c>
      <c r="F330" s="189">
        <f t="shared" ref="F330:H332" si="211">SUM(F304,F317)</f>
        <v>0</v>
      </c>
      <c r="G330" s="189">
        <f t="shared" si="211"/>
        <v>0</v>
      </c>
      <c r="H330" s="189">
        <f t="shared" si="211"/>
        <v>0</v>
      </c>
      <c r="I330" s="190">
        <f>SUM(F330:H330)</f>
        <v>0</v>
      </c>
      <c r="J330" s="189">
        <f t="shared" ref="J330:L332" si="212">SUM(J304,J317)</f>
        <v>0</v>
      </c>
      <c r="K330" s="189">
        <f t="shared" si="212"/>
        <v>0</v>
      </c>
      <c r="L330" s="189">
        <f t="shared" si="212"/>
        <v>0</v>
      </c>
      <c r="M330" s="190">
        <f>SUM(J330:L330)</f>
        <v>0</v>
      </c>
      <c r="N330" s="189">
        <f t="shared" ref="N330:P332" si="213">SUM(N304,N317)</f>
        <v>0</v>
      </c>
      <c r="O330" s="189">
        <f t="shared" si="213"/>
        <v>0</v>
      </c>
      <c r="P330" s="189">
        <f t="shared" si="213"/>
        <v>0</v>
      </c>
      <c r="Q330" s="190">
        <f>SUM(N330:P330)</f>
        <v>0</v>
      </c>
      <c r="R330" s="189">
        <f t="shared" ref="R330:T332" si="214">SUM(R304,R317)</f>
        <v>0</v>
      </c>
      <c r="S330" s="189">
        <f t="shared" si="214"/>
        <v>0</v>
      </c>
      <c r="T330" s="189">
        <f t="shared" si="214"/>
        <v>0</v>
      </c>
      <c r="U330" s="190">
        <f>SUM(R330:T330)</f>
        <v>0</v>
      </c>
      <c r="V330" s="189">
        <f t="shared" ref="V330:X332" si="215">SUM(V304,V317)</f>
        <v>0</v>
      </c>
      <c r="W330" s="189">
        <f t="shared" si="215"/>
        <v>0</v>
      </c>
      <c r="X330" s="189">
        <f t="shared" si="215"/>
        <v>0</v>
      </c>
      <c r="Y330" s="190">
        <f>SUM(V330:X330)</f>
        <v>0</v>
      </c>
    </row>
    <row r="331" spans="1:25" ht="12.75" hidden="1" customHeight="1" outlineLevel="1" x14ac:dyDescent="0.2">
      <c r="A331" s="198" t="str">
        <f>"            "&amp;Labels!B398</f>
        <v xml:space="preserve">            Supply Type 2</v>
      </c>
      <c r="B331" s="189">
        <f t="shared" si="210"/>
        <v>0</v>
      </c>
      <c r="C331" s="189">
        <f t="shared" si="210"/>
        <v>0</v>
      </c>
      <c r="D331" s="189">
        <f t="shared" si="210"/>
        <v>0</v>
      </c>
      <c r="E331" s="190">
        <f>SUM(B331:D331)</f>
        <v>0</v>
      </c>
      <c r="F331" s="189">
        <f t="shared" si="211"/>
        <v>0</v>
      </c>
      <c r="G331" s="189">
        <f t="shared" si="211"/>
        <v>0</v>
      </c>
      <c r="H331" s="189">
        <f t="shared" si="211"/>
        <v>0</v>
      </c>
      <c r="I331" s="190">
        <f>SUM(F331:H331)</f>
        <v>0</v>
      </c>
      <c r="J331" s="189">
        <f t="shared" si="212"/>
        <v>0</v>
      </c>
      <c r="K331" s="189">
        <f t="shared" si="212"/>
        <v>0</v>
      </c>
      <c r="L331" s="189">
        <f t="shared" si="212"/>
        <v>0</v>
      </c>
      <c r="M331" s="190">
        <f>SUM(J331:L331)</f>
        <v>0</v>
      </c>
      <c r="N331" s="189">
        <f t="shared" si="213"/>
        <v>0</v>
      </c>
      <c r="O331" s="189">
        <f t="shared" si="213"/>
        <v>0</v>
      </c>
      <c r="P331" s="189">
        <f t="shared" si="213"/>
        <v>0</v>
      </c>
      <c r="Q331" s="190">
        <f>SUM(N331:P331)</f>
        <v>0</v>
      </c>
      <c r="R331" s="189">
        <f t="shared" si="214"/>
        <v>0</v>
      </c>
      <c r="S331" s="189">
        <f t="shared" si="214"/>
        <v>0</v>
      </c>
      <c r="T331" s="189">
        <f t="shared" si="214"/>
        <v>0</v>
      </c>
      <c r="U331" s="190">
        <f>SUM(R331:T331)</f>
        <v>0</v>
      </c>
      <c r="V331" s="189">
        <f t="shared" si="215"/>
        <v>0</v>
      </c>
      <c r="W331" s="189">
        <f t="shared" si="215"/>
        <v>0</v>
      </c>
      <c r="X331" s="189">
        <f t="shared" si="215"/>
        <v>0</v>
      </c>
      <c r="Y331" s="190">
        <f>SUM(V331:X331)</f>
        <v>0</v>
      </c>
    </row>
    <row r="332" spans="1:25" ht="12.75" hidden="1" customHeight="1" outlineLevel="1" x14ac:dyDescent="0.2">
      <c r="A332" s="198" t="str">
        <f>"            "&amp;Labels!C396</f>
        <v xml:space="preserve">            Total</v>
      </c>
      <c r="B332" s="226">
        <f t="shared" si="210"/>
        <v>0</v>
      </c>
      <c r="C332" s="226">
        <f t="shared" si="210"/>
        <v>0</v>
      </c>
      <c r="D332" s="226">
        <f t="shared" si="210"/>
        <v>0</v>
      </c>
      <c r="E332" s="227">
        <f>SUM(B332:D332)</f>
        <v>0</v>
      </c>
      <c r="F332" s="226">
        <f t="shared" si="211"/>
        <v>0</v>
      </c>
      <c r="G332" s="226">
        <f t="shared" si="211"/>
        <v>0</v>
      </c>
      <c r="H332" s="226">
        <f t="shared" si="211"/>
        <v>0</v>
      </c>
      <c r="I332" s="227">
        <f>SUM(F332:H332)</f>
        <v>0</v>
      </c>
      <c r="J332" s="226">
        <f t="shared" si="212"/>
        <v>0</v>
      </c>
      <c r="K332" s="226">
        <f t="shared" si="212"/>
        <v>0</v>
      </c>
      <c r="L332" s="226">
        <f t="shared" si="212"/>
        <v>0</v>
      </c>
      <c r="M332" s="227">
        <f>SUM(J332:L332)</f>
        <v>0</v>
      </c>
      <c r="N332" s="226">
        <f t="shared" si="213"/>
        <v>0</v>
      </c>
      <c r="O332" s="226">
        <f t="shared" si="213"/>
        <v>0</v>
      </c>
      <c r="P332" s="226">
        <f t="shared" si="213"/>
        <v>0</v>
      </c>
      <c r="Q332" s="227">
        <f>SUM(N332:P332)</f>
        <v>0</v>
      </c>
      <c r="R332" s="226">
        <f t="shared" si="214"/>
        <v>0</v>
      </c>
      <c r="S332" s="226">
        <f t="shared" si="214"/>
        <v>0</v>
      </c>
      <c r="T332" s="226">
        <f t="shared" si="214"/>
        <v>0</v>
      </c>
      <c r="U332" s="227">
        <f>SUM(R332:T332)</f>
        <v>0</v>
      </c>
      <c r="V332" s="226">
        <f t="shared" si="215"/>
        <v>0</v>
      </c>
      <c r="W332" s="226">
        <f t="shared" si="215"/>
        <v>0</v>
      </c>
      <c r="X332" s="226">
        <f t="shared" si="215"/>
        <v>0</v>
      </c>
      <c r="Y332" s="227">
        <f>SUM(V332:X332)</f>
        <v>0</v>
      </c>
    </row>
    <row r="333" spans="1:25" ht="12.75" hidden="1" customHeight="1" outlineLevel="1" x14ac:dyDescent="0.2">
      <c r="A333" s="198" t="str">
        <f>"         "&amp;Labels!B386</f>
        <v xml:space="preserve">         Prof Level 2</v>
      </c>
      <c r="B333" s="226"/>
      <c r="C333" s="226"/>
      <c r="D333" s="226"/>
      <c r="E333" s="227"/>
      <c r="F333" s="226"/>
      <c r="G333" s="226"/>
      <c r="H333" s="226"/>
      <c r="I333" s="227"/>
      <c r="J333" s="226"/>
      <c r="K333" s="226"/>
      <c r="L333" s="226"/>
      <c r="M333" s="227"/>
      <c r="N333" s="226"/>
      <c r="O333" s="226"/>
      <c r="P333" s="226"/>
      <c r="Q333" s="227"/>
      <c r="R333" s="226"/>
      <c r="S333" s="226"/>
      <c r="T333" s="226"/>
      <c r="U333" s="227"/>
      <c r="V333" s="226"/>
      <c r="W333" s="226"/>
      <c r="X333" s="226"/>
      <c r="Y333" s="227"/>
    </row>
    <row r="334" spans="1:25" ht="12.75" hidden="1" customHeight="1" outlineLevel="1" x14ac:dyDescent="0.2">
      <c r="A334" s="198" t="str">
        <f>"            "&amp;Labels!B397</f>
        <v xml:space="preserve">            Supply Type 1</v>
      </c>
      <c r="B334" s="189">
        <f t="shared" ref="B334:D339" si="216">SUM(B308,B321)</f>
        <v>0</v>
      </c>
      <c r="C334" s="189">
        <f t="shared" si="216"/>
        <v>0</v>
      </c>
      <c r="D334" s="189">
        <f t="shared" si="216"/>
        <v>0</v>
      </c>
      <c r="E334" s="190">
        <f>SUM(B334:D334)</f>
        <v>0</v>
      </c>
      <c r="F334" s="189">
        <f t="shared" ref="F334:H339" si="217">SUM(F308,F321)</f>
        <v>0</v>
      </c>
      <c r="G334" s="189">
        <f t="shared" si="217"/>
        <v>0</v>
      </c>
      <c r="H334" s="189">
        <f t="shared" si="217"/>
        <v>0</v>
      </c>
      <c r="I334" s="190">
        <f>SUM(F334:H334)</f>
        <v>0</v>
      </c>
      <c r="J334" s="189">
        <f t="shared" ref="J334:L339" si="218">SUM(J308,J321)</f>
        <v>0</v>
      </c>
      <c r="K334" s="189">
        <f t="shared" si="218"/>
        <v>0</v>
      </c>
      <c r="L334" s="189">
        <f t="shared" si="218"/>
        <v>0</v>
      </c>
      <c r="M334" s="190">
        <f>SUM(J334:L334)</f>
        <v>0</v>
      </c>
      <c r="N334" s="189">
        <f t="shared" ref="N334:P339" si="219">SUM(N308,N321)</f>
        <v>0</v>
      </c>
      <c r="O334" s="189">
        <f t="shared" si="219"/>
        <v>0</v>
      </c>
      <c r="P334" s="189">
        <f t="shared" si="219"/>
        <v>0</v>
      </c>
      <c r="Q334" s="190">
        <f>SUM(N334:P334)</f>
        <v>0</v>
      </c>
      <c r="R334" s="189">
        <f t="shared" ref="R334:T339" si="220">SUM(R308,R321)</f>
        <v>0</v>
      </c>
      <c r="S334" s="189">
        <f t="shared" si="220"/>
        <v>0</v>
      </c>
      <c r="T334" s="189">
        <f t="shared" si="220"/>
        <v>0</v>
      </c>
      <c r="U334" s="190">
        <f>SUM(R334:T334)</f>
        <v>0</v>
      </c>
      <c r="V334" s="189">
        <f t="shared" ref="V334:X339" si="221">SUM(V308,V321)</f>
        <v>0</v>
      </c>
      <c r="W334" s="189">
        <f t="shared" si="221"/>
        <v>0</v>
      </c>
      <c r="X334" s="189">
        <f t="shared" si="221"/>
        <v>0</v>
      </c>
      <c r="Y334" s="190">
        <f>SUM(V334:X334)</f>
        <v>0</v>
      </c>
    </row>
    <row r="335" spans="1:25" ht="12.75" hidden="1" customHeight="1" outlineLevel="1" x14ac:dyDescent="0.2">
      <c r="A335" s="198" t="str">
        <f>"            "&amp;Labels!B398</f>
        <v xml:space="preserve">            Supply Type 2</v>
      </c>
      <c r="B335" s="189">
        <f t="shared" si="216"/>
        <v>0</v>
      </c>
      <c r="C335" s="189">
        <f t="shared" si="216"/>
        <v>0</v>
      </c>
      <c r="D335" s="189">
        <f t="shared" si="216"/>
        <v>0</v>
      </c>
      <c r="E335" s="190">
        <f>SUM(B335:D335)</f>
        <v>0</v>
      </c>
      <c r="F335" s="189">
        <f t="shared" si="217"/>
        <v>0</v>
      </c>
      <c r="G335" s="189">
        <f t="shared" si="217"/>
        <v>0</v>
      </c>
      <c r="H335" s="189">
        <f t="shared" si="217"/>
        <v>0</v>
      </c>
      <c r="I335" s="190">
        <f>SUM(F335:H335)</f>
        <v>0</v>
      </c>
      <c r="J335" s="189">
        <f t="shared" si="218"/>
        <v>0</v>
      </c>
      <c r="K335" s="189">
        <f t="shared" si="218"/>
        <v>0</v>
      </c>
      <c r="L335" s="189">
        <f t="shared" si="218"/>
        <v>0</v>
      </c>
      <c r="M335" s="190">
        <f>SUM(J335:L335)</f>
        <v>0</v>
      </c>
      <c r="N335" s="189">
        <f t="shared" si="219"/>
        <v>0</v>
      </c>
      <c r="O335" s="189">
        <f t="shared" si="219"/>
        <v>0</v>
      </c>
      <c r="P335" s="189">
        <f t="shared" si="219"/>
        <v>0</v>
      </c>
      <c r="Q335" s="190">
        <f>SUM(N335:P335)</f>
        <v>0</v>
      </c>
      <c r="R335" s="189">
        <f t="shared" si="220"/>
        <v>0</v>
      </c>
      <c r="S335" s="189">
        <f t="shared" si="220"/>
        <v>0</v>
      </c>
      <c r="T335" s="189">
        <f t="shared" si="220"/>
        <v>0</v>
      </c>
      <c r="U335" s="190">
        <f>SUM(R335:T335)</f>
        <v>0</v>
      </c>
      <c r="V335" s="189">
        <f t="shared" si="221"/>
        <v>0</v>
      </c>
      <c r="W335" s="189">
        <f t="shared" si="221"/>
        <v>0</v>
      </c>
      <c r="X335" s="189">
        <f t="shared" si="221"/>
        <v>0</v>
      </c>
      <c r="Y335" s="190">
        <f>SUM(V335:X335)</f>
        <v>0</v>
      </c>
    </row>
    <row r="336" spans="1:25" ht="12.75" hidden="1" customHeight="1" outlineLevel="1" x14ac:dyDescent="0.2">
      <c r="A336" s="198" t="str">
        <f>"            "&amp;Labels!C396</f>
        <v xml:space="preserve">            Total</v>
      </c>
      <c r="B336" s="226">
        <f t="shared" si="216"/>
        <v>0</v>
      </c>
      <c r="C336" s="226">
        <f t="shared" si="216"/>
        <v>0</v>
      </c>
      <c r="D336" s="226">
        <f t="shared" si="216"/>
        <v>0</v>
      </c>
      <c r="E336" s="227">
        <f>SUM(B336:D336)</f>
        <v>0</v>
      </c>
      <c r="F336" s="226">
        <f t="shared" si="217"/>
        <v>0</v>
      </c>
      <c r="G336" s="226">
        <f t="shared" si="217"/>
        <v>0</v>
      </c>
      <c r="H336" s="226">
        <f t="shared" si="217"/>
        <v>0</v>
      </c>
      <c r="I336" s="227">
        <f>SUM(F336:H336)</f>
        <v>0</v>
      </c>
      <c r="J336" s="226">
        <f t="shared" si="218"/>
        <v>0</v>
      </c>
      <c r="K336" s="226">
        <f t="shared" si="218"/>
        <v>0</v>
      </c>
      <c r="L336" s="226">
        <f t="shared" si="218"/>
        <v>0</v>
      </c>
      <c r="M336" s="227">
        <f>SUM(J336:L336)</f>
        <v>0</v>
      </c>
      <c r="N336" s="226">
        <f t="shared" si="219"/>
        <v>0</v>
      </c>
      <c r="O336" s="226">
        <f t="shared" si="219"/>
        <v>0</v>
      </c>
      <c r="P336" s="226">
        <f t="shared" si="219"/>
        <v>0</v>
      </c>
      <c r="Q336" s="227">
        <f>SUM(N336:P336)</f>
        <v>0</v>
      </c>
      <c r="R336" s="226">
        <f t="shared" si="220"/>
        <v>0</v>
      </c>
      <c r="S336" s="226">
        <f t="shared" si="220"/>
        <v>0</v>
      </c>
      <c r="T336" s="226">
        <f t="shared" si="220"/>
        <v>0</v>
      </c>
      <c r="U336" s="227">
        <f>SUM(R336:T336)</f>
        <v>0</v>
      </c>
      <c r="V336" s="226">
        <f t="shared" si="221"/>
        <v>0</v>
      </c>
      <c r="W336" s="226">
        <f t="shared" si="221"/>
        <v>0</v>
      </c>
      <c r="X336" s="226">
        <f t="shared" si="221"/>
        <v>0</v>
      </c>
      <c r="Y336" s="227">
        <f>SUM(V336:X336)</f>
        <v>0</v>
      </c>
    </row>
    <row r="337" spans="1:25" ht="12.75" hidden="1" customHeight="1" outlineLevel="1" x14ac:dyDescent="0.2">
      <c r="A337" s="198" t="str">
        <f>"         "&amp;Labels!C384</f>
        <v xml:space="preserve">         Total</v>
      </c>
      <c r="B337" s="226">
        <f t="shared" si="216"/>
        <v>0</v>
      </c>
      <c r="C337" s="226">
        <f t="shared" si="216"/>
        <v>0</v>
      </c>
      <c r="D337" s="226">
        <f t="shared" si="216"/>
        <v>0</v>
      </c>
      <c r="E337" s="227">
        <f>SUM(B328:D328)</f>
        <v>0</v>
      </c>
      <c r="F337" s="226">
        <f t="shared" si="217"/>
        <v>0</v>
      </c>
      <c r="G337" s="226">
        <f t="shared" si="217"/>
        <v>0</v>
      </c>
      <c r="H337" s="226">
        <f t="shared" si="217"/>
        <v>0</v>
      </c>
      <c r="I337" s="227">
        <f>SUM(F328:H328)</f>
        <v>0</v>
      </c>
      <c r="J337" s="226">
        <f t="shared" si="218"/>
        <v>0</v>
      </c>
      <c r="K337" s="226">
        <f t="shared" si="218"/>
        <v>0</v>
      </c>
      <c r="L337" s="226">
        <f t="shared" si="218"/>
        <v>0</v>
      </c>
      <c r="M337" s="227">
        <f>SUM(J328:L328)</f>
        <v>0</v>
      </c>
      <c r="N337" s="226">
        <f t="shared" si="219"/>
        <v>0</v>
      </c>
      <c r="O337" s="226">
        <f t="shared" si="219"/>
        <v>0</v>
      </c>
      <c r="P337" s="226">
        <f t="shared" si="219"/>
        <v>0</v>
      </c>
      <c r="Q337" s="227">
        <f>SUM(N328:P328)</f>
        <v>0</v>
      </c>
      <c r="R337" s="226">
        <f t="shared" si="220"/>
        <v>0</v>
      </c>
      <c r="S337" s="226">
        <f t="shared" si="220"/>
        <v>0</v>
      </c>
      <c r="T337" s="226">
        <f t="shared" si="220"/>
        <v>0</v>
      </c>
      <c r="U337" s="227">
        <f>SUM(R328:T328)</f>
        <v>0</v>
      </c>
      <c r="V337" s="226">
        <f t="shared" si="221"/>
        <v>0</v>
      </c>
      <c r="W337" s="226">
        <f t="shared" si="221"/>
        <v>0</v>
      </c>
      <c r="X337" s="226">
        <f t="shared" si="221"/>
        <v>0</v>
      </c>
      <c r="Y337" s="227">
        <f>SUM(V328:X328)</f>
        <v>0</v>
      </c>
    </row>
    <row r="338" spans="1:25" ht="12.75" hidden="1" customHeight="1" outlineLevel="1" x14ac:dyDescent="0.2">
      <c r="A338" s="198" t="str">
        <f>"            "&amp;Labels!B397</f>
        <v xml:space="preserve">            Supply Type 1</v>
      </c>
      <c r="B338" s="189">
        <f t="shared" si="216"/>
        <v>0</v>
      </c>
      <c r="C338" s="189">
        <f t="shared" si="216"/>
        <v>0</v>
      </c>
      <c r="D338" s="189">
        <f t="shared" si="216"/>
        <v>0</v>
      </c>
      <c r="E338" s="190">
        <f>SUM(B338:D338)</f>
        <v>0</v>
      </c>
      <c r="F338" s="189">
        <f t="shared" si="217"/>
        <v>0</v>
      </c>
      <c r="G338" s="189">
        <f t="shared" si="217"/>
        <v>0</v>
      </c>
      <c r="H338" s="189">
        <f t="shared" si="217"/>
        <v>0</v>
      </c>
      <c r="I338" s="190">
        <f>SUM(F338:H338)</f>
        <v>0</v>
      </c>
      <c r="J338" s="189">
        <f t="shared" si="218"/>
        <v>0</v>
      </c>
      <c r="K338" s="189">
        <f t="shared" si="218"/>
        <v>0</v>
      </c>
      <c r="L338" s="189">
        <f t="shared" si="218"/>
        <v>0</v>
      </c>
      <c r="M338" s="190">
        <f>SUM(J338:L338)</f>
        <v>0</v>
      </c>
      <c r="N338" s="189">
        <f t="shared" si="219"/>
        <v>0</v>
      </c>
      <c r="O338" s="189">
        <f t="shared" si="219"/>
        <v>0</v>
      </c>
      <c r="P338" s="189">
        <f t="shared" si="219"/>
        <v>0</v>
      </c>
      <c r="Q338" s="190">
        <f>SUM(N338:P338)</f>
        <v>0</v>
      </c>
      <c r="R338" s="189">
        <f t="shared" si="220"/>
        <v>0</v>
      </c>
      <c r="S338" s="189">
        <f t="shared" si="220"/>
        <v>0</v>
      </c>
      <c r="T338" s="189">
        <f t="shared" si="220"/>
        <v>0</v>
      </c>
      <c r="U338" s="190">
        <f>SUM(R338:T338)</f>
        <v>0</v>
      </c>
      <c r="V338" s="189">
        <f t="shared" si="221"/>
        <v>0</v>
      </c>
      <c r="W338" s="189">
        <f t="shared" si="221"/>
        <v>0</v>
      </c>
      <c r="X338" s="189">
        <f t="shared" si="221"/>
        <v>0</v>
      </c>
      <c r="Y338" s="190">
        <f>SUM(V338:X338)</f>
        <v>0</v>
      </c>
    </row>
    <row r="339" spans="1:25" ht="12.75" hidden="1" customHeight="1" outlineLevel="1" x14ac:dyDescent="0.2">
      <c r="A339" s="198" t="str">
        <f>"            "&amp;Labels!B398</f>
        <v xml:space="preserve">            Supply Type 2</v>
      </c>
      <c r="B339" s="189">
        <f t="shared" si="216"/>
        <v>0</v>
      </c>
      <c r="C339" s="189">
        <f t="shared" si="216"/>
        <v>0</v>
      </c>
      <c r="D339" s="189">
        <f t="shared" si="216"/>
        <v>0</v>
      </c>
      <c r="E339" s="190">
        <f>SUM(B339:D339)</f>
        <v>0</v>
      </c>
      <c r="F339" s="189">
        <f t="shared" si="217"/>
        <v>0</v>
      </c>
      <c r="G339" s="189">
        <f t="shared" si="217"/>
        <v>0</v>
      </c>
      <c r="H339" s="189">
        <f t="shared" si="217"/>
        <v>0</v>
      </c>
      <c r="I339" s="190">
        <f>SUM(F339:H339)</f>
        <v>0</v>
      </c>
      <c r="J339" s="189">
        <f t="shared" si="218"/>
        <v>0</v>
      </c>
      <c r="K339" s="189">
        <f t="shared" si="218"/>
        <v>0</v>
      </c>
      <c r="L339" s="189">
        <f t="shared" si="218"/>
        <v>0</v>
      </c>
      <c r="M339" s="190">
        <f>SUM(J339:L339)</f>
        <v>0</v>
      </c>
      <c r="N339" s="189">
        <f t="shared" si="219"/>
        <v>0</v>
      </c>
      <c r="O339" s="189">
        <f t="shared" si="219"/>
        <v>0</v>
      </c>
      <c r="P339" s="189">
        <f t="shared" si="219"/>
        <v>0</v>
      </c>
      <c r="Q339" s="190">
        <f>SUM(N339:P339)</f>
        <v>0</v>
      </c>
      <c r="R339" s="189">
        <f t="shared" si="220"/>
        <v>0</v>
      </c>
      <c r="S339" s="189">
        <f t="shared" si="220"/>
        <v>0</v>
      </c>
      <c r="T339" s="189">
        <f t="shared" si="220"/>
        <v>0</v>
      </c>
      <c r="U339" s="190">
        <f>SUM(R339:T339)</f>
        <v>0</v>
      </c>
      <c r="V339" s="189">
        <f t="shared" si="221"/>
        <v>0</v>
      </c>
      <c r="W339" s="189">
        <f t="shared" si="221"/>
        <v>0</v>
      </c>
      <c r="X339" s="189">
        <f t="shared" si="221"/>
        <v>0</v>
      </c>
      <c r="Y339" s="190">
        <f>SUM(V339:X339)</f>
        <v>0</v>
      </c>
    </row>
    <row r="340" spans="1:25" ht="12.75" hidden="1" customHeight="1" outlineLevel="1" x14ac:dyDescent="0.2">
      <c r="A340" s="198" t="str">
        <f>"            "&amp;Labels!C396</f>
        <v xml:space="preserve">            Total</v>
      </c>
      <c r="B340" s="226">
        <f>SUM(B311,B324)</f>
        <v>0</v>
      </c>
      <c r="C340" s="226">
        <f>SUM(C311,C324)</f>
        <v>0</v>
      </c>
      <c r="D340" s="226">
        <f>SUM(D311,D324)</f>
        <v>0</v>
      </c>
      <c r="E340" s="227">
        <f>SUM(B328:D328)</f>
        <v>0</v>
      </c>
      <c r="F340" s="226">
        <f>SUM(F311,F324)</f>
        <v>0</v>
      </c>
      <c r="G340" s="226">
        <f>SUM(G311,G324)</f>
        <v>0</v>
      </c>
      <c r="H340" s="226">
        <f>SUM(H311,H324)</f>
        <v>0</v>
      </c>
      <c r="I340" s="227">
        <f>SUM(F328:H328)</f>
        <v>0</v>
      </c>
      <c r="J340" s="226">
        <f>SUM(J311,J324)</f>
        <v>0</v>
      </c>
      <c r="K340" s="226">
        <f>SUM(K311,K324)</f>
        <v>0</v>
      </c>
      <c r="L340" s="226">
        <f>SUM(L311,L324)</f>
        <v>0</v>
      </c>
      <c r="M340" s="227">
        <f>SUM(J328:L328)</f>
        <v>0</v>
      </c>
      <c r="N340" s="226">
        <f>SUM(N311,N324)</f>
        <v>0</v>
      </c>
      <c r="O340" s="226">
        <f>SUM(O311,O324)</f>
        <v>0</v>
      </c>
      <c r="P340" s="226">
        <f>SUM(P311,P324)</f>
        <v>0</v>
      </c>
      <c r="Q340" s="227">
        <f>SUM(N328:P328)</f>
        <v>0</v>
      </c>
      <c r="R340" s="226">
        <f>SUM(R311,R324)</f>
        <v>0</v>
      </c>
      <c r="S340" s="226">
        <f>SUM(S311,S324)</f>
        <v>0</v>
      </c>
      <c r="T340" s="226">
        <f>SUM(T311,T324)</f>
        <v>0</v>
      </c>
      <c r="U340" s="227">
        <f>SUM(R328:T328)</f>
        <v>0</v>
      </c>
      <c r="V340" s="226">
        <f>SUM(V311,V324)</f>
        <v>0</v>
      </c>
      <c r="W340" s="226">
        <f>SUM(W311,W324)</f>
        <v>0</v>
      </c>
      <c r="X340" s="226">
        <f>SUM(X311,X324)</f>
        <v>0</v>
      </c>
      <c r="Y340" s="227">
        <f>SUM(V328:X328)</f>
        <v>0</v>
      </c>
    </row>
    <row r="341" spans="1:25" ht="12.75" hidden="1" customHeight="1" outlineLevel="1" x14ac:dyDescent="0.2">
      <c r="A341" s="188" t="str">
        <f>"   "&amp;Labels!B318</f>
        <v xml:space="preserve">   Channels 2</v>
      </c>
      <c r="B341" s="196"/>
      <c r="C341" s="196"/>
      <c r="D341" s="196"/>
      <c r="E341" s="197"/>
      <c r="F341" s="196"/>
      <c r="G341" s="196"/>
      <c r="H341" s="196"/>
      <c r="I341" s="197"/>
      <c r="J341" s="196"/>
      <c r="K341" s="196"/>
      <c r="L341" s="196"/>
      <c r="M341" s="197"/>
      <c r="N341" s="196"/>
      <c r="O341" s="196"/>
      <c r="P341" s="196"/>
      <c r="Q341" s="197"/>
      <c r="R341" s="196"/>
      <c r="S341" s="196"/>
      <c r="T341" s="196"/>
      <c r="U341" s="197"/>
      <c r="V341" s="196"/>
      <c r="W341" s="196"/>
      <c r="X341" s="196"/>
      <c r="Y341" s="197"/>
    </row>
    <row r="342" spans="1:25" ht="12.75" hidden="1" customHeight="1" outlineLevel="1" x14ac:dyDescent="0.2">
      <c r="A342" s="198" t="str">
        <f>"      "&amp;Labels!B381</f>
        <v xml:space="preserve">      Practice 1</v>
      </c>
      <c r="B342" s="226"/>
      <c r="C342" s="226"/>
      <c r="D342" s="226"/>
      <c r="E342" s="227"/>
      <c r="F342" s="226"/>
      <c r="G342" s="226"/>
      <c r="H342" s="226"/>
      <c r="I342" s="227"/>
      <c r="J342" s="226"/>
      <c r="K342" s="226"/>
      <c r="L342" s="226"/>
      <c r="M342" s="227"/>
      <c r="N342" s="226"/>
      <c r="O342" s="226"/>
      <c r="P342" s="226"/>
      <c r="Q342" s="227"/>
      <c r="R342" s="226"/>
      <c r="S342" s="226"/>
      <c r="T342" s="226"/>
      <c r="U342" s="227"/>
      <c r="V342" s="226"/>
      <c r="W342" s="226"/>
      <c r="X342" s="226"/>
      <c r="Y342" s="227"/>
    </row>
    <row r="343" spans="1:25" ht="12.75" hidden="1" customHeight="1" outlineLevel="1" x14ac:dyDescent="0.2">
      <c r="A343" s="198" t="str">
        <f>"         "&amp;Labels!B385</f>
        <v xml:space="preserve">         Prof Level 1</v>
      </c>
      <c r="B343" s="226"/>
      <c r="C343" s="226"/>
      <c r="D343" s="226"/>
      <c r="E343" s="227"/>
      <c r="F343" s="226"/>
      <c r="G343" s="226"/>
      <c r="H343" s="226"/>
      <c r="I343" s="227"/>
      <c r="J343" s="226"/>
      <c r="K343" s="226"/>
      <c r="L343" s="226"/>
      <c r="M343" s="227"/>
      <c r="N343" s="226"/>
      <c r="O343" s="226"/>
      <c r="P343" s="226"/>
      <c r="Q343" s="227"/>
      <c r="R343" s="226"/>
      <c r="S343" s="226"/>
      <c r="T343" s="226"/>
      <c r="U343" s="227"/>
      <c r="V343" s="226"/>
      <c r="W343" s="226"/>
      <c r="X343" s="226"/>
      <c r="Y343" s="227"/>
    </row>
    <row r="344" spans="1:25" ht="12.75" hidden="1" customHeight="1" outlineLevel="1" x14ac:dyDescent="0.2">
      <c r="A344" s="198" t="str">
        <f>"            "&amp;Labels!B397</f>
        <v xml:space="preserve">            Supply Type 1</v>
      </c>
      <c r="B344" s="189">
        <f>Inputs!F162*'(Tables)'!B1084</f>
        <v>0</v>
      </c>
      <c r="C344" s="189">
        <f>Inputs!G162*'(Tables)'!C1084</f>
        <v>0</v>
      </c>
      <c r="D344" s="189">
        <f>Inputs!H162*'(Tables)'!D1084</f>
        <v>0</v>
      </c>
      <c r="E344" s="190">
        <f>SUM(B344:D344)</f>
        <v>0</v>
      </c>
      <c r="F344" s="189">
        <f>Inputs!I162*'(Tables)'!E1084</f>
        <v>0</v>
      </c>
      <c r="G344" s="189">
        <f>Inputs!J162*'(Tables)'!F1084</f>
        <v>0</v>
      </c>
      <c r="H344" s="189">
        <f>Inputs!K162*'(Tables)'!G1084</f>
        <v>0</v>
      </c>
      <c r="I344" s="190">
        <f>SUM(F344:H344)</f>
        <v>0</v>
      </c>
      <c r="J344" s="189">
        <f>Inputs!L162*'(Tables)'!H1084</f>
        <v>0</v>
      </c>
      <c r="K344" s="189">
        <f>Inputs!M162*'(Tables)'!I1084</f>
        <v>0</v>
      </c>
      <c r="L344" s="189">
        <f>Inputs!N162*'(Tables)'!J1084</f>
        <v>0</v>
      </c>
      <c r="M344" s="190">
        <f>SUM(J344:L344)</f>
        <v>0</v>
      </c>
      <c r="N344" s="189">
        <f>Inputs!O162*'(Tables)'!K1084</f>
        <v>0</v>
      </c>
      <c r="O344" s="189">
        <f>Inputs!P162*'(Tables)'!L1084</f>
        <v>0</v>
      </c>
      <c r="P344" s="189">
        <f>Inputs!Q162*'(Tables)'!M1084</f>
        <v>0</v>
      </c>
      <c r="Q344" s="190">
        <f>SUM(N344:P344)</f>
        <v>0</v>
      </c>
      <c r="R344" s="189">
        <f>Inputs!R162*'(Tables)'!N1084</f>
        <v>0</v>
      </c>
      <c r="S344" s="189">
        <f>Inputs!S162*'(Tables)'!O1084</f>
        <v>0</v>
      </c>
      <c r="T344" s="189">
        <f>Inputs!T162*'(Tables)'!P1084</f>
        <v>0</v>
      </c>
      <c r="U344" s="190">
        <f>SUM(R344:T344)</f>
        <v>0</v>
      </c>
      <c r="V344" s="189">
        <f>Inputs!U162*'(Tables)'!Q1084</f>
        <v>0</v>
      </c>
      <c r="W344" s="189">
        <f>Inputs!V162*'(Tables)'!R1084</f>
        <v>0</v>
      </c>
      <c r="X344" s="189">
        <f>Inputs!W162*'(Tables)'!S1084</f>
        <v>0</v>
      </c>
      <c r="Y344" s="190">
        <f>SUM(V344:X344)</f>
        <v>0</v>
      </c>
    </row>
    <row r="345" spans="1:25" ht="12.75" hidden="1" customHeight="1" outlineLevel="1" x14ac:dyDescent="0.2">
      <c r="A345" s="198" t="str">
        <f>"            "&amp;Labels!B398</f>
        <v xml:space="preserve">            Supply Type 2</v>
      </c>
      <c r="B345" s="189">
        <f>Inputs!F164*'(Tables)'!B1084</f>
        <v>0</v>
      </c>
      <c r="C345" s="189">
        <f>Inputs!G164*'(Tables)'!C1084</f>
        <v>0</v>
      </c>
      <c r="D345" s="189">
        <f>Inputs!H164*'(Tables)'!D1084</f>
        <v>0</v>
      </c>
      <c r="E345" s="190">
        <f>SUM(B345:D345)</f>
        <v>0</v>
      </c>
      <c r="F345" s="189">
        <f>Inputs!I164*'(Tables)'!E1084</f>
        <v>0</v>
      </c>
      <c r="G345" s="189">
        <f>Inputs!J164*'(Tables)'!F1084</f>
        <v>0</v>
      </c>
      <c r="H345" s="189">
        <f>Inputs!K164*'(Tables)'!G1084</f>
        <v>0</v>
      </c>
      <c r="I345" s="190">
        <f>SUM(F345:H345)</f>
        <v>0</v>
      </c>
      <c r="J345" s="189">
        <f>Inputs!L164*'(Tables)'!H1084</f>
        <v>0</v>
      </c>
      <c r="K345" s="189">
        <f>Inputs!M164*'(Tables)'!I1084</f>
        <v>0</v>
      </c>
      <c r="L345" s="189">
        <f>Inputs!N164*'(Tables)'!J1084</f>
        <v>0</v>
      </c>
      <c r="M345" s="190">
        <f>SUM(J345:L345)</f>
        <v>0</v>
      </c>
      <c r="N345" s="189">
        <f>Inputs!O164*'(Tables)'!K1084</f>
        <v>0</v>
      </c>
      <c r="O345" s="189">
        <f>Inputs!P164*'(Tables)'!L1084</f>
        <v>0</v>
      </c>
      <c r="P345" s="189">
        <f>Inputs!Q164*'(Tables)'!M1084</f>
        <v>0</v>
      </c>
      <c r="Q345" s="190">
        <f>SUM(N345:P345)</f>
        <v>0</v>
      </c>
      <c r="R345" s="189">
        <f>Inputs!R164*'(Tables)'!N1084</f>
        <v>0</v>
      </c>
      <c r="S345" s="189">
        <f>Inputs!S164*'(Tables)'!O1084</f>
        <v>0</v>
      </c>
      <c r="T345" s="189">
        <f>Inputs!T164*'(Tables)'!P1084</f>
        <v>0</v>
      </c>
      <c r="U345" s="190">
        <f>SUM(R345:T345)</f>
        <v>0</v>
      </c>
      <c r="V345" s="189">
        <f>Inputs!U164*'(Tables)'!Q1084</f>
        <v>0</v>
      </c>
      <c r="W345" s="189">
        <f>Inputs!V164*'(Tables)'!R1084</f>
        <v>0</v>
      </c>
      <c r="X345" s="189">
        <f>Inputs!W164*'(Tables)'!S1084</f>
        <v>0</v>
      </c>
      <c r="Y345" s="190">
        <f>SUM(V345:X345)</f>
        <v>0</v>
      </c>
    </row>
    <row r="346" spans="1:25" ht="12.75" hidden="1" customHeight="1" outlineLevel="1" x14ac:dyDescent="0.2">
      <c r="A346" s="198" t="str">
        <f>"            "&amp;Labels!C396</f>
        <v xml:space="preserve">            Total</v>
      </c>
      <c r="B346" s="226">
        <f>SUM(B344:B345)</f>
        <v>0</v>
      </c>
      <c r="C346" s="226">
        <f>SUM(C344:C345)</f>
        <v>0</v>
      </c>
      <c r="D346" s="226">
        <f>SUM(D344:D345)</f>
        <v>0</v>
      </c>
      <c r="E346" s="227">
        <f>SUM(B346:D346)</f>
        <v>0</v>
      </c>
      <c r="F346" s="226">
        <f>SUM(F344:F345)</f>
        <v>0</v>
      </c>
      <c r="G346" s="226">
        <f>SUM(G344:G345)</f>
        <v>0</v>
      </c>
      <c r="H346" s="226">
        <f>SUM(H344:H345)</f>
        <v>0</v>
      </c>
      <c r="I346" s="227">
        <f>SUM(F346:H346)</f>
        <v>0</v>
      </c>
      <c r="J346" s="226">
        <f>SUM(J344:J345)</f>
        <v>0</v>
      </c>
      <c r="K346" s="226">
        <f>SUM(K344:K345)</f>
        <v>0</v>
      </c>
      <c r="L346" s="226">
        <f>SUM(L344:L345)</f>
        <v>0</v>
      </c>
      <c r="M346" s="227">
        <f>SUM(J346:L346)</f>
        <v>0</v>
      </c>
      <c r="N346" s="226">
        <f>SUM(N344:N345)</f>
        <v>0</v>
      </c>
      <c r="O346" s="226">
        <f>SUM(O344:O345)</f>
        <v>0</v>
      </c>
      <c r="P346" s="226">
        <f>SUM(P344:P345)</f>
        <v>0</v>
      </c>
      <c r="Q346" s="227">
        <f>SUM(N346:P346)</f>
        <v>0</v>
      </c>
      <c r="R346" s="226">
        <f>SUM(R344:R345)</f>
        <v>0</v>
      </c>
      <c r="S346" s="226">
        <f>SUM(S344:S345)</f>
        <v>0</v>
      </c>
      <c r="T346" s="226">
        <f>SUM(T344:T345)</f>
        <v>0</v>
      </c>
      <c r="U346" s="227">
        <f>SUM(R346:T346)</f>
        <v>0</v>
      </c>
      <c r="V346" s="226">
        <f>SUM(V344:V345)</f>
        <v>0</v>
      </c>
      <c r="W346" s="226">
        <f>SUM(W344:W345)</f>
        <v>0</v>
      </c>
      <c r="X346" s="226">
        <f>SUM(X344:X345)</f>
        <v>0</v>
      </c>
      <c r="Y346" s="227">
        <f>SUM(V346:X346)</f>
        <v>0</v>
      </c>
    </row>
    <row r="347" spans="1:25" ht="12.75" hidden="1" customHeight="1" outlineLevel="1" x14ac:dyDescent="0.2">
      <c r="A347" s="198" t="str">
        <f>"         "&amp;Labels!B386</f>
        <v xml:space="preserve">         Prof Level 2</v>
      </c>
      <c r="B347" s="226"/>
      <c r="C347" s="226"/>
      <c r="D347" s="226"/>
      <c r="E347" s="227"/>
      <c r="F347" s="226"/>
      <c r="G347" s="226"/>
      <c r="H347" s="226"/>
      <c r="I347" s="227"/>
      <c r="J347" s="226"/>
      <c r="K347" s="226"/>
      <c r="L347" s="226"/>
      <c r="M347" s="227"/>
      <c r="N347" s="226"/>
      <c r="O347" s="226"/>
      <c r="P347" s="226"/>
      <c r="Q347" s="227"/>
      <c r="R347" s="226"/>
      <c r="S347" s="226"/>
      <c r="T347" s="226"/>
      <c r="U347" s="227"/>
      <c r="V347" s="226"/>
      <c r="W347" s="226"/>
      <c r="X347" s="226"/>
      <c r="Y347" s="227"/>
    </row>
    <row r="348" spans="1:25" ht="12.75" hidden="1" customHeight="1" outlineLevel="1" x14ac:dyDescent="0.2">
      <c r="A348" s="198" t="str">
        <f>"            "&amp;Labels!B397</f>
        <v xml:space="preserve">            Supply Type 1</v>
      </c>
      <c r="B348" s="189">
        <f>Inputs!F166*'(Tables)'!B1088</f>
        <v>0</v>
      </c>
      <c r="C348" s="189">
        <f>Inputs!G166*'(Tables)'!C1088</f>
        <v>0</v>
      </c>
      <c r="D348" s="189">
        <f>Inputs!H166*'(Tables)'!D1088</f>
        <v>0</v>
      </c>
      <c r="E348" s="190">
        <f t="shared" ref="E348:E353" si="222">SUM(B348:D348)</f>
        <v>0</v>
      </c>
      <c r="F348" s="189">
        <f>Inputs!I166*'(Tables)'!E1088</f>
        <v>0</v>
      </c>
      <c r="G348" s="189">
        <f>Inputs!J166*'(Tables)'!F1088</f>
        <v>0</v>
      </c>
      <c r="H348" s="189">
        <f>Inputs!K166*'(Tables)'!G1088</f>
        <v>0</v>
      </c>
      <c r="I348" s="190">
        <f t="shared" ref="I348:I353" si="223">SUM(F348:H348)</f>
        <v>0</v>
      </c>
      <c r="J348" s="189">
        <f>Inputs!L166*'(Tables)'!H1088</f>
        <v>0</v>
      </c>
      <c r="K348" s="189">
        <f>Inputs!M166*'(Tables)'!I1088</f>
        <v>0</v>
      </c>
      <c r="L348" s="189">
        <f>Inputs!N166*'(Tables)'!J1088</f>
        <v>0</v>
      </c>
      <c r="M348" s="190">
        <f t="shared" ref="M348:M353" si="224">SUM(J348:L348)</f>
        <v>0</v>
      </c>
      <c r="N348" s="189">
        <f>Inputs!O166*'(Tables)'!K1088</f>
        <v>0</v>
      </c>
      <c r="O348" s="189">
        <f>Inputs!P166*'(Tables)'!L1088</f>
        <v>0</v>
      </c>
      <c r="P348" s="189">
        <f>Inputs!Q166*'(Tables)'!M1088</f>
        <v>0</v>
      </c>
      <c r="Q348" s="190">
        <f t="shared" ref="Q348:Q353" si="225">SUM(N348:P348)</f>
        <v>0</v>
      </c>
      <c r="R348" s="189">
        <f>Inputs!R166*'(Tables)'!N1088</f>
        <v>0</v>
      </c>
      <c r="S348" s="189">
        <f>Inputs!S166*'(Tables)'!O1088</f>
        <v>0</v>
      </c>
      <c r="T348" s="189">
        <f>Inputs!T166*'(Tables)'!P1088</f>
        <v>0</v>
      </c>
      <c r="U348" s="190">
        <f t="shared" ref="U348:U353" si="226">SUM(R348:T348)</f>
        <v>0</v>
      </c>
      <c r="V348" s="189">
        <f>Inputs!U166*'(Tables)'!Q1088</f>
        <v>0</v>
      </c>
      <c r="W348" s="189">
        <f>Inputs!V166*'(Tables)'!R1088</f>
        <v>0</v>
      </c>
      <c r="X348" s="189">
        <f>Inputs!W166*'(Tables)'!S1088</f>
        <v>0</v>
      </c>
      <c r="Y348" s="190">
        <f t="shared" ref="Y348:Y353" si="227">SUM(V348:X348)</f>
        <v>0</v>
      </c>
    </row>
    <row r="349" spans="1:25" ht="12.75" hidden="1" customHeight="1" outlineLevel="1" x14ac:dyDescent="0.2">
      <c r="A349" s="198" t="str">
        <f>"            "&amp;Labels!B398</f>
        <v xml:space="preserve">            Supply Type 2</v>
      </c>
      <c r="B349" s="189">
        <f>Inputs!F168*'(Tables)'!B1088</f>
        <v>0</v>
      </c>
      <c r="C349" s="189">
        <f>Inputs!G168*'(Tables)'!C1088</f>
        <v>0</v>
      </c>
      <c r="D349" s="189">
        <f>Inputs!H168*'(Tables)'!D1088</f>
        <v>0</v>
      </c>
      <c r="E349" s="190">
        <f t="shared" si="222"/>
        <v>0</v>
      </c>
      <c r="F349" s="189">
        <f>Inputs!I168*'(Tables)'!E1088</f>
        <v>0</v>
      </c>
      <c r="G349" s="189">
        <f>Inputs!J168*'(Tables)'!F1088</f>
        <v>0</v>
      </c>
      <c r="H349" s="189">
        <f>Inputs!K168*'(Tables)'!G1088</f>
        <v>0</v>
      </c>
      <c r="I349" s="190">
        <f t="shared" si="223"/>
        <v>0</v>
      </c>
      <c r="J349" s="189">
        <f>Inputs!L168*'(Tables)'!H1088</f>
        <v>0</v>
      </c>
      <c r="K349" s="189">
        <f>Inputs!M168*'(Tables)'!I1088</f>
        <v>0</v>
      </c>
      <c r="L349" s="189">
        <f>Inputs!N168*'(Tables)'!J1088</f>
        <v>0</v>
      </c>
      <c r="M349" s="190">
        <f t="shared" si="224"/>
        <v>0</v>
      </c>
      <c r="N349" s="189">
        <f>Inputs!O168*'(Tables)'!K1088</f>
        <v>0</v>
      </c>
      <c r="O349" s="189">
        <f>Inputs!P168*'(Tables)'!L1088</f>
        <v>0</v>
      </c>
      <c r="P349" s="189">
        <f>Inputs!Q168*'(Tables)'!M1088</f>
        <v>0</v>
      </c>
      <c r="Q349" s="190">
        <f t="shared" si="225"/>
        <v>0</v>
      </c>
      <c r="R349" s="189">
        <f>Inputs!R168*'(Tables)'!N1088</f>
        <v>0</v>
      </c>
      <c r="S349" s="189">
        <f>Inputs!S168*'(Tables)'!O1088</f>
        <v>0</v>
      </c>
      <c r="T349" s="189">
        <f>Inputs!T168*'(Tables)'!P1088</f>
        <v>0</v>
      </c>
      <c r="U349" s="190">
        <f t="shared" si="226"/>
        <v>0</v>
      </c>
      <c r="V349" s="189">
        <f>Inputs!U168*'(Tables)'!Q1088</f>
        <v>0</v>
      </c>
      <c r="W349" s="189">
        <f>Inputs!V168*'(Tables)'!R1088</f>
        <v>0</v>
      </c>
      <c r="X349" s="189">
        <f>Inputs!W168*'(Tables)'!S1088</f>
        <v>0</v>
      </c>
      <c r="Y349" s="190">
        <f t="shared" si="227"/>
        <v>0</v>
      </c>
    </row>
    <row r="350" spans="1:25" ht="12.75" hidden="1" customHeight="1" outlineLevel="1" x14ac:dyDescent="0.2">
      <c r="A350" s="198" t="str">
        <f>"            "&amp;Labels!C396</f>
        <v xml:space="preserve">            Total</v>
      </c>
      <c r="B350" s="226">
        <f>SUM(B348:B349)</f>
        <v>0</v>
      </c>
      <c r="C350" s="226">
        <f>SUM(C348:C349)</f>
        <v>0</v>
      </c>
      <c r="D350" s="226">
        <f>SUM(D348:D349)</f>
        <v>0</v>
      </c>
      <c r="E350" s="227">
        <f t="shared" si="222"/>
        <v>0</v>
      </c>
      <c r="F350" s="226">
        <f>SUM(F348:F349)</f>
        <v>0</v>
      </c>
      <c r="G350" s="226">
        <f>SUM(G348:G349)</f>
        <v>0</v>
      </c>
      <c r="H350" s="226">
        <f>SUM(H348:H349)</f>
        <v>0</v>
      </c>
      <c r="I350" s="227">
        <f t="shared" si="223"/>
        <v>0</v>
      </c>
      <c r="J350" s="226">
        <f>SUM(J348:J349)</f>
        <v>0</v>
      </c>
      <c r="K350" s="226">
        <f>SUM(K348:K349)</f>
        <v>0</v>
      </c>
      <c r="L350" s="226">
        <f>SUM(L348:L349)</f>
        <v>0</v>
      </c>
      <c r="M350" s="227">
        <f t="shared" si="224"/>
        <v>0</v>
      </c>
      <c r="N350" s="226">
        <f>SUM(N348:N349)</f>
        <v>0</v>
      </c>
      <c r="O350" s="226">
        <f>SUM(O348:O349)</f>
        <v>0</v>
      </c>
      <c r="P350" s="226">
        <f>SUM(P348:P349)</f>
        <v>0</v>
      </c>
      <c r="Q350" s="227">
        <f t="shared" si="225"/>
        <v>0</v>
      </c>
      <c r="R350" s="226">
        <f>SUM(R348:R349)</f>
        <v>0</v>
      </c>
      <c r="S350" s="226">
        <f>SUM(S348:S349)</f>
        <v>0</v>
      </c>
      <c r="T350" s="226">
        <f>SUM(T348:T349)</f>
        <v>0</v>
      </c>
      <c r="U350" s="227">
        <f t="shared" si="226"/>
        <v>0</v>
      </c>
      <c r="V350" s="226">
        <f>SUM(V348:V349)</f>
        <v>0</v>
      </c>
      <c r="W350" s="226">
        <f>SUM(W348:W349)</f>
        <v>0</v>
      </c>
      <c r="X350" s="226">
        <f>SUM(X348:X349)</f>
        <v>0</v>
      </c>
      <c r="Y350" s="227">
        <f t="shared" si="227"/>
        <v>0</v>
      </c>
    </row>
    <row r="351" spans="1:25" ht="12.75" hidden="1" customHeight="1" outlineLevel="1" x14ac:dyDescent="0.2">
      <c r="A351" s="198" t="str">
        <f>"         "&amp;Labels!C384</f>
        <v xml:space="preserve">         Total</v>
      </c>
      <c r="B351" s="226">
        <f>SUM(B346,B350)</f>
        <v>0</v>
      </c>
      <c r="C351" s="226">
        <f>SUM(C346,C350)</f>
        <v>0</v>
      </c>
      <c r="D351" s="226">
        <f>SUM(D346,D350)</f>
        <v>0</v>
      </c>
      <c r="E351" s="227">
        <f t="shared" si="222"/>
        <v>0</v>
      </c>
      <c r="F351" s="226">
        <f>SUM(F346,F350)</f>
        <v>0</v>
      </c>
      <c r="G351" s="226">
        <f>SUM(G346,G350)</f>
        <v>0</v>
      </c>
      <c r="H351" s="226">
        <f>SUM(H346,H350)</f>
        <v>0</v>
      </c>
      <c r="I351" s="227">
        <f t="shared" si="223"/>
        <v>0</v>
      </c>
      <c r="J351" s="226">
        <f>SUM(J346,J350)</f>
        <v>0</v>
      </c>
      <c r="K351" s="226">
        <f>SUM(K346,K350)</f>
        <v>0</v>
      </c>
      <c r="L351" s="226">
        <f>SUM(L346,L350)</f>
        <v>0</v>
      </c>
      <c r="M351" s="227">
        <f t="shared" si="224"/>
        <v>0</v>
      </c>
      <c r="N351" s="226">
        <f>SUM(N346,N350)</f>
        <v>0</v>
      </c>
      <c r="O351" s="226">
        <f>SUM(O346,O350)</f>
        <v>0</v>
      </c>
      <c r="P351" s="226">
        <f>SUM(P346,P350)</f>
        <v>0</v>
      </c>
      <c r="Q351" s="227">
        <f t="shared" si="225"/>
        <v>0</v>
      </c>
      <c r="R351" s="226">
        <f>SUM(R346,R350)</f>
        <v>0</v>
      </c>
      <c r="S351" s="226">
        <f>SUM(S346,S350)</f>
        <v>0</v>
      </c>
      <c r="T351" s="226">
        <f>SUM(T346,T350)</f>
        <v>0</v>
      </c>
      <c r="U351" s="227">
        <f t="shared" si="226"/>
        <v>0</v>
      </c>
      <c r="V351" s="226">
        <f>SUM(V346,V350)</f>
        <v>0</v>
      </c>
      <c r="W351" s="226">
        <f>SUM(W346,W350)</f>
        <v>0</v>
      </c>
      <c r="X351" s="226">
        <f>SUM(X346,X350)</f>
        <v>0</v>
      </c>
      <c r="Y351" s="227">
        <f t="shared" si="227"/>
        <v>0</v>
      </c>
    </row>
    <row r="352" spans="1:25" ht="12.75" hidden="1" customHeight="1" outlineLevel="1" x14ac:dyDescent="0.2">
      <c r="A352" s="198" t="str">
        <f>"            "&amp;Labels!B397</f>
        <v xml:space="preserve">            Supply Type 1</v>
      </c>
      <c r="B352" s="189">
        <f t="shared" ref="B352:D354" si="228">SUM(B344,B348)</f>
        <v>0</v>
      </c>
      <c r="C352" s="189">
        <f t="shared" si="228"/>
        <v>0</v>
      </c>
      <c r="D352" s="189">
        <f t="shared" si="228"/>
        <v>0</v>
      </c>
      <c r="E352" s="190">
        <f t="shared" si="222"/>
        <v>0</v>
      </c>
      <c r="F352" s="189">
        <f t="shared" ref="F352:H354" si="229">SUM(F344,F348)</f>
        <v>0</v>
      </c>
      <c r="G352" s="189">
        <f t="shared" si="229"/>
        <v>0</v>
      </c>
      <c r="H352" s="189">
        <f t="shared" si="229"/>
        <v>0</v>
      </c>
      <c r="I352" s="190">
        <f t="shared" si="223"/>
        <v>0</v>
      </c>
      <c r="J352" s="189">
        <f t="shared" ref="J352:L354" si="230">SUM(J344,J348)</f>
        <v>0</v>
      </c>
      <c r="K352" s="189">
        <f t="shared" si="230"/>
        <v>0</v>
      </c>
      <c r="L352" s="189">
        <f t="shared" si="230"/>
        <v>0</v>
      </c>
      <c r="M352" s="190">
        <f t="shared" si="224"/>
        <v>0</v>
      </c>
      <c r="N352" s="189">
        <f t="shared" ref="N352:P354" si="231">SUM(N344,N348)</f>
        <v>0</v>
      </c>
      <c r="O352" s="189">
        <f t="shared" si="231"/>
        <v>0</v>
      </c>
      <c r="P352" s="189">
        <f t="shared" si="231"/>
        <v>0</v>
      </c>
      <c r="Q352" s="190">
        <f t="shared" si="225"/>
        <v>0</v>
      </c>
      <c r="R352" s="189">
        <f t="shared" ref="R352:T354" si="232">SUM(R344,R348)</f>
        <v>0</v>
      </c>
      <c r="S352" s="189">
        <f t="shared" si="232"/>
        <v>0</v>
      </c>
      <c r="T352" s="189">
        <f t="shared" si="232"/>
        <v>0</v>
      </c>
      <c r="U352" s="190">
        <f t="shared" si="226"/>
        <v>0</v>
      </c>
      <c r="V352" s="189">
        <f t="shared" ref="V352:X354" si="233">SUM(V344,V348)</f>
        <v>0</v>
      </c>
      <c r="W352" s="189">
        <f t="shared" si="233"/>
        <v>0</v>
      </c>
      <c r="X352" s="189">
        <f t="shared" si="233"/>
        <v>0</v>
      </c>
      <c r="Y352" s="190">
        <f t="shared" si="227"/>
        <v>0</v>
      </c>
    </row>
    <row r="353" spans="1:25" ht="12.75" hidden="1" customHeight="1" outlineLevel="1" x14ac:dyDescent="0.2">
      <c r="A353" s="198" t="str">
        <f>"            "&amp;Labels!B398</f>
        <v xml:space="preserve">            Supply Type 2</v>
      </c>
      <c r="B353" s="189">
        <f t="shared" si="228"/>
        <v>0</v>
      </c>
      <c r="C353" s="189">
        <f t="shared" si="228"/>
        <v>0</v>
      </c>
      <c r="D353" s="189">
        <f t="shared" si="228"/>
        <v>0</v>
      </c>
      <c r="E353" s="190">
        <f t="shared" si="222"/>
        <v>0</v>
      </c>
      <c r="F353" s="189">
        <f t="shared" si="229"/>
        <v>0</v>
      </c>
      <c r="G353" s="189">
        <f t="shared" si="229"/>
        <v>0</v>
      </c>
      <c r="H353" s="189">
        <f t="shared" si="229"/>
        <v>0</v>
      </c>
      <c r="I353" s="190">
        <f t="shared" si="223"/>
        <v>0</v>
      </c>
      <c r="J353" s="189">
        <f t="shared" si="230"/>
        <v>0</v>
      </c>
      <c r="K353" s="189">
        <f t="shared" si="230"/>
        <v>0</v>
      </c>
      <c r="L353" s="189">
        <f t="shared" si="230"/>
        <v>0</v>
      </c>
      <c r="M353" s="190">
        <f t="shared" si="224"/>
        <v>0</v>
      </c>
      <c r="N353" s="189">
        <f t="shared" si="231"/>
        <v>0</v>
      </c>
      <c r="O353" s="189">
        <f t="shared" si="231"/>
        <v>0</v>
      </c>
      <c r="P353" s="189">
        <f t="shared" si="231"/>
        <v>0</v>
      </c>
      <c r="Q353" s="190">
        <f t="shared" si="225"/>
        <v>0</v>
      </c>
      <c r="R353" s="189">
        <f t="shared" si="232"/>
        <v>0</v>
      </c>
      <c r="S353" s="189">
        <f t="shared" si="232"/>
        <v>0</v>
      </c>
      <c r="T353" s="189">
        <f t="shared" si="232"/>
        <v>0</v>
      </c>
      <c r="U353" s="190">
        <f t="shared" si="226"/>
        <v>0</v>
      </c>
      <c r="V353" s="189">
        <f t="shared" si="233"/>
        <v>0</v>
      </c>
      <c r="W353" s="189">
        <f t="shared" si="233"/>
        <v>0</v>
      </c>
      <c r="X353" s="189">
        <f t="shared" si="233"/>
        <v>0</v>
      </c>
      <c r="Y353" s="190">
        <f t="shared" si="227"/>
        <v>0</v>
      </c>
    </row>
    <row r="354" spans="1:25" ht="12.75" hidden="1" customHeight="1" outlineLevel="1" x14ac:dyDescent="0.2">
      <c r="A354" s="198" t="str">
        <f>"            "&amp;Labels!C396</f>
        <v xml:space="preserve">            Total</v>
      </c>
      <c r="B354" s="226">
        <f t="shared" si="228"/>
        <v>0</v>
      </c>
      <c r="C354" s="226">
        <f t="shared" si="228"/>
        <v>0</v>
      </c>
      <c r="D354" s="226">
        <f t="shared" si="228"/>
        <v>0</v>
      </c>
      <c r="E354" s="227">
        <f>SUM(B351:D351)</f>
        <v>0</v>
      </c>
      <c r="F354" s="226">
        <f t="shared" si="229"/>
        <v>0</v>
      </c>
      <c r="G354" s="226">
        <f t="shared" si="229"/>
        <v>0</v>
      </c>
      <c r="H354" s="226">
        <f t="shared" si="229"/>
        <v>0</v>
      </c>
      <c r="I354" s="227">
        <f>SUM(F351:H351)</f>
        <v>0</v>
      </c>
      <c r="J354" s="226">
        <f t="shared" si="230"/>
        <v>0</v>
      </c>
      <c r="K354" s="226">
        <f t="shared" si="230"/>
        <v>0</v>
      </c>
      <c r="L354" s="226">
        <f t="shared" si="230"/>
        <v>0</v>
      </c>
      <c r="M354" s="227">
        <f>SUM(J351:L351)</f>
        <v>0</v>
      </c>
      <c r="N354" s="226">
        <f t="shared" si="231"/>
        <v>0</v>
      </c>
      <c r="O354" s="226">
        <f t="shared" si="231"/>
        <v>0</v>
      </c>
      <c r="P354" s="226">
        <f t="shared" si="231"/>
        <v>0</v>
      </c>
      <c r="Q354" s="227">
        <f>SUM(N351:P351)</f>
        <v>0</v>
      </c>
      <c r="R354" s="226">
        <f t="shared" si="232"/>
        <v>0</v>
      </c>
      <c r="S354" s="226">
        <f t="shared" si="232"/>
        <v>0</v>
      </c>
      <c r="T354" s="226">
        <f t="shared" si="232"/>
        <v>0</v>
      </c>
      <c r="U354" s="227">
        <f>SUM(R351:T351)</f>
        <v>0</v>
      </c>
      <c r="V354" s="226">
        <f t="shared" si="233"/>
        <v>0</v>
      </c>
      <c r="W354" s="226">
        <f t="shared" si="233"/>
        <v>0</v>
      </c>
      <c r="X354" s="226">
        <f t="shared" si="233"/>
        <v>0</v>
      </c>
      <c r="Y354" s="227">
        <f>SUM(V351:X351)</f>
        <v>0</v>
      </c>
    </row>
    <row r="355" spans="1:25" ht="12.75" hidden="1" customHeight="1" outlineLevel="1" x14ac:dyDescent="0.2">
      <c r="A355" s="198" t="str">
        <f>"      "&amp;Labels!B382</f>
        <v xml:space="preserve">      Practice 2</v>
      </c>
      <c r="B355" s="226"/>
      <c r="C355" s="226"/>
      <c r="D355" s="226"/>
      <c r="E355" s="227"/>
      <c r="F355" s="226"/>
      <c r="G355" s="226"/>
      <c r="H355" s="226"/>
      <c r="I355" s="227"/>
      <c r="J355" s="226"/>
      <c r="K355" s="226"/>
      <c r="L355" s="226"/>
      <c r="M355" s="227"/>
      <c r="N355" s="226"/>
      <c r="O355" s="226"/>
      <c r="P355" s="226"/>
      <c r="Q355" s="227"/>
      <c r="R355" s="226"/>
      <c r="S355" s="226"/>
      <c r="T355" s="226"/>
      <c r="U355" s="227"/>
      <c r="V355" s="226"/>
      <c r="W355" s="226"/>
      <c r="X355" s="226"/>
      <c r="Y355" s="227"/>
    </row>
    <row r="356" spans="1:25" ht="12.75" hidden="1" customHeight="1" outlineLevel="1" x14ac:dyDescent="0.2">
      <c r="A356" s="198" t="str">
        <f>"         "&amp;Labels!B385</f>
        <v xml:space="preserve">         Prof Level 1</v>
      </c>
      <c r="B356" s="226"/>
      <c r="C356" s="226"/>
      <c r="D356" s="226"/>
      <c r="E356" s="227"/>
      <c r="F356" s="226"/>
      <c r="G356" s="226"/>
      <c r="H356" s="226"/>
      <c r="I356" s="227"/>
      <c r="J356" s="226"/>
      <c r="K356" s="226"/>
      <c r="L356" s="226"/>
      <c r="M356" s="227"/>
      <c r="N356" s="226"/>
      <c r="O356" s="226"/>
      <c r="P356" s="226"/>
      <c r="Q356" s="227"/>
      <c r="R356" s="226"/>
      <c r="S356" s="226"/>
      <c r="T356" s="226"/>
      <c r="U356" s="227"/>
      <c r="V356" s="226"/>
      <c r="W356" s="226"/>
      <c r="X356" s="226"/>
      <c r="Y356" s="227"/>
    </row>
    <row r="357" spans="1:25" ht="12.75" hidden="1" customHeight="1" outlineLevel="1" x14ac:dyDescent="0.2">
      <c r="A357" s="198" t="str">
        <f>"            "&amp;Labels!B397</f>
        <v xml:space="preserve">            Supply Type 1</v>
      </c>
      <c r="B357" s="189">
        <f>Inputs!F170*'(Tables)'!B1097</f>
        <v>0</v>
      </c>
      <c r="C357" s="189">
        <f>Inputs!G170*'(Tables)'!C1097</f>
        <v>0</v>
      </c>
      <c r="D357" s="189">
        <f>Inputs!H170*'(Tables)'!D1097</f>
        <v>0</v>
      </c>
      <c r="E357" s="190">
        <f>SUM(B357:D357)</f>
        <v>0</v>
      </c>
      <c r="F357" s="189">
        <f>Inputs!I170*'(Tables)'!E1097</f>
        <v>0</v>
      </c>
      <c r="G357" s="189">
        <f>Inputs!J170*'(Tables)'!F1097</f>
        <v>0</v>
      </c>
      <c r="H357" s="189">
        <f>Inputs!K170*'(Tables)'!G1097</f>
        <v>0</v>
      </c>
      <c r="I357" s="190">
        <f>SUM(F357:H357)</f>
        <v>0</v>
      </c>
      <c r="J357" s="189">
        <f>Inputs!L170*'(Tables)'!H1097</f>
        <v>0</v>
      </c>
      <c r="K357" s="189">
        <f>Inputs!M170*'(Tables)'!I1097</f>
        <v>0</v>
      </c>
      <c r="L357" s="189">
        <f>Inputs!N170*'(Tables)'!J1097</f>
        <v>0</v>
      </c>
      <c r="M357" s="190">
        <f>SUM(J357:L357)</f>
        <v>0</v>
      </c>
      <c r="N357" s="189">
        <f>Inputs!O170*'(Tables)'!K1097</f>
        <v>0</v>
      </c>
      <c r="O357" s="189">
        <f>Inputs!P170*'(Tables)'!L1097</f>
        <v>0</v>
      </c>
      <c r="P357" s="189">
        <f>Inputs!Q170*'(Tables)'!M1097</f>
        <v>0</v>
      </c>
      <c r="Q357" s="190">
        <f>SUM(N357:P357)</f>
        <v>0</v>
      </c>
      <c r="R357" s="189">
        <f>Inputs!R170*'(Tables)'!N1097</f>
        <v>0</v>
      </c>
      <c r="S357" s="189">
        <f>Inputs!S170*'(Tables)'!O1097</f>
        <v>0</v>
      </c>
      <c r="T357" s="189">
        <f>Inputs!T170*'(Tables)'!P1097</f>
        <v>0</v>
      </c>
      <c r="U357" s="190">
        <f>SUM(R357:T357)</f>
        <v>0</v>
      </c>
      <c r="V357" s="189">
        <f>Inputs!U170*'(Tables)'!Q1097</f>
        <v>0</v>
      </c>
      <c r="W357" s="189">
        <f>Inputs!V170*'(Tables)'!R1097</f>
        <v>0</v>
      </c>
      <c r="X357" s="189">
        <f>Inputs!W170*'(Tables)'!S1097</f>
        <v>0</v>
      </c>
      <c r="Y357" s="190">
        <f>SUM(V357:X357)</f>
        <v>0</v>
      </c>
    </row>
    <row r="358" spans="1:25" ht="12.75" hidden="1" customHeight="1" outlineLevel="1" x14ac:dyDescent="0.2">
      <c r="A358" s="198" t="str">
        <f>"            "&amp;Labels!B398</f>
        <v xml:space="preserve">            Supply Type 2</v>
      </c>
      <c r="B358" s="189">
        <f>Inputs!F172*'(Tables)'!B1097</f>
        <v>0</v>
      </c>
      <c r="C358" s="189">
        <f>Inputs!G172*'(Tables)'!C1097</f>
        <v>0</v>
      </c>
      <c r="D358" s="189">
        <f>Inputs!H172*'(Tables)'!D1097</f>
        <v>0</v>
      </c>
      <c r="E358" s="190">
        <f>SUM(B358:D358)</f>
        <v>0</v>
      </c>
      <c r="F358" s="189">
        <f>Inputs!I172*'(Tables)'!E1097</f>
        <v>0</v>
      </c>
      <c r="G358" s="189">
        <f>Inputs!J172*'(Tables)'!F1097</f>
        <v>0</v>
      </c>
      <c r="H358" s="189">
        <f>Inputs!K172*'(Tables)'!G1097</f>
        <v>0</v>
      </c>
      <c r="I358" s="190">
        <f>SUM(F358:H358)</f>
        <v>0</v>
      </c>
      <c r="J358" s="189">
        <f>Inputs!L172*'(Tables)'!H1097</f>
        <v>0</v>
      </c>
      <c r="K358" s="189">
        <f>Inputs!M172*'(Tables)'!I1097</f>
        <v>0</v>
      </c>
      <c r="L358" s="189">
        <f>Inputs!N172*'(Tables)'!J1097</f>
        <v>0</v>
      </c>
      <c r="M358" s="190">
        <f>SUM(J358:L358)</f>
        <v>0</v>
      </c>
      <c r="N358" s="189">
        <f>Inputs!O172*'(Tables)'!K1097</f>
        <v>0</v>
      </c>
      <c r="O358" s="189">
        <f>Inputs!P172*'(Tables)'!L1097</f>
        <v>0</v>
      </c>
      <c r="P358" s="189">
        <f>Inputs!Q172*'(Tables)'!M1097</f>
        <v>0</v>
      </c>
      <c r="Q358" s="190">
        <f>SUM(N358:P358)</f>
        <v>0</v>
      </c>
      <c r="R358" s="189">
        <f>Inputs!R172*'(Tables)'!N1097</f>
        <v>0</v>
      </c>
      <c r="S358" s="189">
        <f>Inputs!S172*'(Tables)'!O1097</f>
        <v>0</v>
      </c>
      <c r="T358" s="189">
        <f>Inputs!T172*'(Tables)'!P1097</f>
        <v>0</v>
      </c>
      <c r="U358" s="190">
        <f>SUM(R358:T358)</f>
        <v>0</v>
      </c>
      <c r="V358" s="189">
        <f>Inputs!U172*'(Tables)'!Q1097</f>
        <v>0</v>
      </c>
      <c r="W358" s="189">
        <f>Inputs!V172*'(Tables)'!R1097</f>
        <v>0</v>
      </c>
      <c r="X358" s="189">
        <f>Inputs!W172*'(Tables)'!S1097</f>
        <v>0</v>
      </c>
      <c r="Y358" s="190">
        <f>SUM(V358:X358)</f>
        <v>0</v>
      </c>
    </row>
    <row r="359" spans="1:25" ht="12.75" hidden="1" customHeight="1" outlineLevel="1" x14ac:dyDescent="0.2">
      <c r="A359" s="198" t="str">
        <f>"            "&amp;Labels!C396</f>
        <v xml:space="preserve">            Total</v>
      </c>
      <c r="B359" s="226">
        <f>SUM(B357:B358)</f>
        <v>0</v>
      </c>
      <c r="C359" s="226">
        <f>SUM(C357:C358)</f>
        <v>0</v>
      </c>
      <c r="D359" s="226">
        <f>SUM(D357:D358)</f>
        <v>0</v>
      </c>
      <c r="E359" s="227">
        <f>SUM(B359:D359)</f>
        <v>0</v>
      </c>
      <c r="F359" s="226">
        <f>SUM(F357:F358)</f>
        <v>0</v>
      </c>
      <c r="G359" s="226">
        <f>SUM(G357:G358)</f>
        <v>0</v>
      </c>
      <c r="H359" s="226">
        <f>SUM(H357:H358)</f>
        <v>0</v>
      </c>
      <c r="I359" s="227">
        <f>SUM(F359:H359)</f>
        <v>0</v>
      </c>
      <c r="J359" s="226">
        <f>SUM(J357:J358)</f>
        <v>0</v>
      </c>
      <c r="K359" s="226">
        <f>SUM(K357:K358)</f>
        <v>0</v>
      </c>
      <c r="L359" s="226">
        <f>SUM(L357:L358)</f>
        <v>0</v>
      </c>
      <c r="M359" s="227">
        <f>SUM(J359:L359)</f>
        <v>0</v>
      </c>
      <c r="N359" s="226">
        <f>SUM(N357:N358)</f>
        <v>0</v>
      </c>
      <c r="O359" s="226">
        <f>SUM(O357:O358)</f>
        <v>0</v>
      </c>
      <c r="P359" s="226">
        <f>SUM(P357:P358)</f>
        <v>0</v>
      </c>
      <c r="Q359" s="227">
        <f>SUM(N359:P359)</f>
        <v>0</v>
      </c>
      <c r="R359" s="226">
        <f>SUM(R357:R358)</f>
        <v>0</v>
      </c>
      <c r="S359" s="226">
        <f>SUM(S357:S358)</f>
        <v>0</v>
      </c>
      <c r="T359" s="226">
        <f>SUM(T357:T358)</f>
        <v>0</v>
      </c>
      <c r="U359" s="227">
        <f>SUM(R359:T359)</f>
        <v>0</v>
      </c>
      <c r="V359" s="226">
        <f>SUM(V357:V358)</f>
        <v>0</v>
      </c>
      <c r="W359" s="226">
        <f>SUM(W357:W358)</f>
        <v>0</v>
      </c>
      <c r="X359" s="226">
        <f>SUM(X357:X358)</f>
        <v>0</v>
      </c>
      <c r="Y359" s="227">
        <f>SUM(V359:X359)</f>
        <v>0</v>
      </c>
    </row>
    <row r="360" spans="1:25" ht="12.75" hidden="1" customHeight="1" outlineLevel="1" x14ac:dyDescent="0.2">
      <c r="A360" s="198" t="str">
        <f>"         "&amp;Labels!B386</f>
        <v xml:space="preserve">         Prof Level 2</v>
      </c>
      <c r="B360" s="226"/>
      <c r="C360" s="226"/>
      <c r="D360" s="226"/>
      <c r="E360" s="227"/>
      <c r="F360" s="226"/>
      <c r="G360" s="226"/>
      <c r="H360" s="226"/>
      <c r="I360" s="227"/>
      <c r="J360" s="226"/>
      <c r="K360" s="226"/>
      <c r="L360" s="226"/>
      <c r="M360" s="227"/>
      <c r="N360" s="226"/>
      <c r="O360" s="226"/>
      <c r="P360" s="226"/>
      <c r="Q360" s="227"/>
      <c r="R360" s="226"/>
      <c r="S360" s="226"/>
      <c r="T360" s="226"/>
      <c r="U360" s="227"/>
      <c r="V360" s="226"/>
      <c r="W360" s="226"/>
      <c r="X360" s="226"/>
      <c r="Y360" s="227"/>
    </row>
    <row r="361" spans="1:25" ht="12.75" hidden="1" customHeight="1" outlineLevel="1" x14ac:dyDescent="0.2">
      <c r="A361" s="198" t="str">
        <f>"            "&amp;Labels!B397</f>
        <v xml:space="preserve">            Supply Type 1</v>
      </c>
      <c r="B361" s="189">
        <f>Inputs!F174*'(Tables)'!B1101</f>
        <v>0</v>
      </c>
      <c r="C361" s="189">
        <f>Inputs!G174*'(Tables)'!C1101</f>
        <v>0</v>
      </c>
      <c r="D361" s="189">
        <f>Inputs!H174*'(Tables)'!D1101</f>
        <v>0</v>
      </c>
      <c r="E361" s="190">
        <f t="shared" ref="E361:E366" si="234">SUM(B361:D361)</f>
        <v>0</v>
      </c>
      <c r="F361" s="189">
        <f>Inputs!I174*'(Tables)'!E1101</f>
        <v>0</v>
      </c>
      <c r="G361" s="189">
        <f>Inputs!J174*'(Tables)'!F1101</f>
        <v>0</v>
      </c>
      <c r="H361" s="189">
        <f>Inputs!K174*'(Tables)'!G1101</f>
        <v>0</v>
      </c>
      <c r="I361" s="190">
        <f t="shared" ref="I361:I366" si="235">SUM(F361:H361)</f>
        <v>0</v>
      </c>
      <c r="J361" s="189">
        <f>Inputs!L174*'(Tables)'!H1101</f>
        <v>0</v>
      </c>
      <c r="K361" s="189">
        <f>Inputs!M174*'(Tables)'!I1101</f>
        <v>0</v>
      </c>
      <c r="L361" s="189">
        <f>Inputs!N174*'(Tables)'!J1101</f>
        <v>0</v>
      </c>
      <c r="M361" s="190">
        <f t="shared" ref="M361:M366" si="236">SUM(J361:L361)</f>
        <v>0</v>
      </c>
      <c r="N361" s="189">
        <f>Inputs!O174*'(Tables)'!K1101</f>
        <v>0</v>
      </c>
      <c r="O361" s="189">
        <f>Inputs!P174*'(Tables)'!L1101</f>
        <v>0</v>
      </c>
      <c r="P361" s="189">
        <f>Inputs!Q174*'(Tables)'!M1101</f>
        <v>0</v>
      </c>
      <c r="Q361" s="190">
        <f t="shared" ref="Q361:Q366" si="237">SUM(N361:P361)</f>
        <v>0</v>
      </c>
      <c r="R361" s="189">
        <f>Inputs!R174*'(Tables)'!N1101</f>
        <v>0</v>
      </c>
      <c r="S361" s="189">
        <f>Inputs!S174*'(Tables)'!O1101</f>
        <v>0</v>
      </c>
      <c r="T361" s="189">
        <f>Inputs!T174*'(Tables)'!P1101</f>
        <v>0</v>
      </c>
      <c r="U361" s="190">
        <f t="shared" ref="U361:U366" si="238">SUM(R361:T361)</f>
        <v>0</v>
      </c>
      <c r="V361" s="189">
        <f>Inputs!U174*'(Tables)'!Q1101</f>
        <v>0</v>
      </c>
      <c r="W361" s="189">
        <f>Inputs!V174*'(Tables)'!R1101</f>
        <v>0</v>
      </c>
      <c r="X361" s="189">
        <f>Inputs!W174*'(Tables)'!S1101</f>
        <v>0</v>
      </c>
      <c r="Y361" s="190">
        <f t="shared" ref="Y361:Y366" si="239">SUM(V361:X361)</f>
        <v>0</v>
      </c>
    </row>
    <row r="362" spans="1:25" ht="12.75" hidden="1" customHeight="1" outlineLevel="1" x14ac:dyDescent="0.2">
      <c r="A362" s="198" t="str">
        <f>"            "&amp;Labels!B398</f>
        <v xml:space="preserve">            Supply Type 2</v>
      </c>
      <c r="B362" s="189">
        <f>Inputs!F176*'(Tables)'!B1101</f>
        <v>0</v>
      </c>
      <c r="C362" s="189">
        <f>Inputs!G176*'(Tables)'!C1101</f>
        <v>0</v>
      </c>
      <c r="D362" s="189">
        <f>Inputs!H176*'(Tables)'!D1101</f>
        <v>0</v>
      </c>
      <c r="E362" s="190">
        <f t="shared" si="234"/>
        <v>0</v>
      </c>
      <c r="F362" s="189">
        <f>Inputs!I176*'(Tables)'!E1101</f>
        <v>0</v>
      </c>
      <c r="G362" s="189">
        <f>Inputs!J176*'(Tables)'!F1101</f>
        <v>0</v>
      </c>
      <c r="H362" s="189">
        <f>Inputs!K176*'(Tables)'!G1101</f>
        <v>0</v>
      </c>
      <c r="I362" s="190">
        <f t="shared" si="235"/>
        <v>0</v>
      </c>
      <c r="J362" s="189">
        <f>Inputs!L176*'(Tables)'!H1101</f>
        <v>0</v>
      </c>
      <c r="K362" s="189">
        <f>Inputs!M176*'(Tables)'!I1101</f>
        <v>0</v>
      </c>
      <c r="L362" s="189">
        <f>Inputs!N176*'(Tables)'!J1101</f>
        <v>0</v>
      </c>
      <c r="M362" s="190">
        <f t="shared" si="236"/>
        <v>0</v>
      </c>
      <c r="N362" s="189">
        <f>Inputs!O176*'(Tables)'!K1101</f>
        <v>0</v>
      </c>
      <c r="O362" s="189">
        <f>Inputs!P176*'(Tables)'!L1101</f>
        <v>0</v>
      </c>
      <c r="P362" s="189">
        <f>Inputs!Q176*'(Tables)'!M1101</f>
        <v>0</v>
      </c>
      <c r="Q362" s="190">
        <f t="shared" si="237"/>
        <v>0</v>
      </c>
      <c r="R362" s="189">
        <f>Inputs!R176*'(Tables)'!N1101</f>
        <v>0</v>
      </c>
      <c r="S362" s="189">
        <f>Inputs!S176*'(Tables)'!O1101</f>
        <v>0</v>
      </c>
      <c r="T362" s="189">
        <f>Inputs!T176*'(Tables)'!P1101</f>
        <v>0</v>
      </c>
      <c r="U362" s="190">
        <f t="shared" si="238"/>
        <v>0</v>
      </c>
      <c r="V362" s="189">
        <f>Inputs!U176*'(Tables)'!Q1101</f>
        <v>0</v>
      </c>
      <c r="W362" s="189">
        <f>Inputs!V176*'(Tables)'!R1101</f>
        <v>0</v>
      </c>
      <c r="X362" s="189">
        <f>Inputs!W176*'(Tables)'!S1101</f>
        <v>0</v>
      </c>
      <c r="Y362" s="190">
        <f t="shared" si="239"/>
        <v>0</v>
      </c>
    </row>
    <row r="363" spans="1:25" ht="12.75" hidden="1" customHeight="1" outlineLevel="1" x14ac:dyDescent="0.2">
      <c r="A363" s="198" t="str">
        <f>"            "&amp;Labels!C396</f>
        <v xml:space="preserve">            Total</v>
      </c>
      <c r="B363" s="226">
        <f>SUM(B361:B362)</f>
        <v>0</v>
      </c>
      <c r="C363" s="226">
        <f>SUM(C361:C362)</f>
        <v>0</v>
      </c>
      <c r="D363" s="226">
        <f>SUM(D361:D362)</f>
        <v>0</v>
      </c>
      <c r="E363" s="227">
        <f t="shared" si="234"/>
        <v>0</v>
      </c>
      <c r="F363" s="226">
        <f>SUM(F361:F362)</f>
        <v>0</v>
      </c>
      <c r="G363" s="226">
        <f>SUM(G361:G362)</f>
        <v>0</v>
      </c>
      <c r="H363" s="226">
        <f>SUM(H361:H362)</f>
        <v>0</v>
      </c>
      <c r="I363" s="227">
        <f t="shared" si="235"/>
        <v>0</v>
      </c>
      <c r="J363" s="226">
        <f>SUM(J361:J362)</f>
        <v>0</v>
      </c>
      <c r="K363" s="226">
        <f>SUM(K361:K362)</f>
        <v>0</v>
      </c>
      <c r="L363" s="226">
        <f>SUM(L361:L362)</f>
        <v>0</v>
      </c>
      <c r="M363" s="227">
        <f t="shared" si="236"/>
        <v>0</v>
      </c>
      <c r="N363" s="226">
        <f>SUM(N361:N362)</f>
        <v>0</v>
      </c>
      <c r="O363" s="226">
        <f>SUM(O361:O362)</f>
        <v>0</v>
      </c>
      <c r="P363" s="226">
        <f>SUM(P361:P362)</f>
        <v>0</v>
      </c>
      <c r="Q363" s="227">
        <f t="shared" si="237"/>
        <v>0</v>
      </c>
      <c r="R363" s="226">
        <f>SUM(R361:R362)</f>
        <v>0</v>
      </c>
      <c r="S363" s="226">
        <f>SUM(S361:S362)</f>
        <v>0</v>
      </c>
      <c r="T363" s="226">
        <f>SUM(T361:T362)</f>
        <v>0</v>
      </c>
      <c r="U363" s="227">
        <f t="shared" si="238"/>
        <v>0</v>
      </c>
      <c r="V363" s="226">
        <f>SUM(V361:V362)</f>
        <v>0</v>
      </c>
      <c r="W363" s="226">
        <f>SUM(W361:W362)</f>
        <v>0</v>
      </c>
      <c r="X363" s="226">
        <f>SUM(X361:X362)</f>
        <v>0</v>
      </c>
      <c r="Y363" s="227">
        <f t="shared" si="239"/>
        <v>0</v>
      </c>
    </row>
    <row r="364" spans="1:25" ht="12.75" hidden="1" customHeight="1" outlineLevel="1" x14ac:dyDescent="0.2">
      <c r="A364" s="198" t="str">
        <f>"         "&amp;Labels!C384</f>
        <v xml:space="preserve">         Total</v>
      </c>
      <c r="B364" s="226">
        <f>SUM(B359,B363)</f>
        <v>0</v>
      </c>
      <c r="C364" s="226">
        <f>SUM(C359,C363)</f>
        <v>0</v>
      </c>
      <c r="D364" s="226">
        <f>SUM(D359,D363)</f>
        <v>0</v>
      </c>
      <c r="E364" s="227">
        <f t="shared" si="234"/>
        <v>0</v>
      </c>
      <c r="F364" s="226">
        <f>SUM(F359,F363)</f>
        <v>0</v>
      </c>
      <c r="G364" s="226">
        <f>SUM(G359,G363)</f>
        <v>0</v>
      </c>
      <c r="H364" s="226">
        <f>SUM(H359,H363)</f>
        <v>0</v>
      </c>
      <c r="I364" s="227">
        <f t="shared" si="235"/>
        <v>0</v>
      </c>
      <c r="J364" s="226">
        <f>SUM(J359,J363)</f>
        <v>0</v>
      </c>
      <c r="K364" s="226">
        <f>SUM(K359,K363)</f>
        <v>0</v>
      </c>
      <c r="L364" s="226">
        <f>SUM(L359,L363)</f>
        <v>0</v>
      </c>
      <c r="M364" s="227">
        <f t="shared" si="236"/>
        <v>0</v>
      </c>
      <c r="N364" s="226">
        <f>SUM(N359,N363)</f>
        <v>0</v>
      </c>
      <c r="O364" s="226">
        <f>SUM(O359,O363)</f>
        <v>0</v>
      </c>
      <c r="P364" s="226">
        <f>SUM(P359,P363)</f>
        <v>0</v>
      </c>
      <c r="Q364" s="227">
        <f t="shared" si="237"/>
        <v>0</v>
      </c>
      <c r="R364" s="226">
        <f>SUM(R359,R363)</f>
        <v>0</v>
      </c>
      <c r="S364" s="226">
        <f>SUM(S359,S363)</f>
        <v>0</v>
      </c>
      <c r="T364" s="226">
        <f>SUM(T359,T363)</f>
        <v>0</v>
      </c>
      <c r="U364" s="227">
        <f t="shared" si="238"/>
        <v>0</v>
      </c>
      <c r="V364" s="226">
        <f>SUM(V359,V363)</f>
        <v>0</v>
      </c>
      <c r="W364" s="226">
        <f>SUM(W359,W363)</f>
        <v>0</v>
      </c>
      <c r="X364" s="226">
        <f>SUM(X359,X363)</f>
        <v>0</v>
      </c>
      <c r="Y364" s="227">
        <f t="shared" si="239"/>
        <v>0</v>
      </c>
    </row>
    <row r="365" spans="1:25" ht="12.75" hidden="1" customHeight="1" outlineLevel="1" x14ac:dyDescent="0.2">
      <c r="A365" s="198" t="str">
        <f>"            "&amp;Labels!B397</f>
        <v xml:space="preserve">            Supply Type 1</v>
      </c>
      <c r="B365" s="189">
        <f t="shared" ref="B365:D367" si="240">SUM(B357,B361)</f>
        <v>0</v>
      </c>
      <c r="C365" s="189">
        <f t="shared" si="240"/>
        <v>0</v>
      </c>
      <c r="D365" s="189">
        <f t="shared" si="240"/>
        <v>0</v>
      </c>
      <c r="E365" s="190">
        <f t="shared" si="234"/>
        <v>0</v>
      </c>
      <c r="F365" s="189">
        <f t="shared" ref="F365:H367" si="241">SUM(F357,F361)</f>
        <v>0</v>
      </c>
      <c r="G365" s="189">
        <f t="shared" si="241"/>
        <v>0</v>
      </c>
      <c r="H365" s="189">
        <f t="shared" si="241"/>
        <v>0</v>
      </c>
      <c r="I365" s="190">
        <f t="shared" si="235"/>
        <v>0</v>
      </c>
      <c r="J365" s="189">
        <f t="shared" ref="J365:L367" si="242">SUM(J357,J361)</f>
        <v>0</v>
      </c>
      <c r="K365" s="189">
        <f t="shared" si="242"/>
        <v>0</v>
      </c>
      <c r="L365" s="189">
        <f t="shared" si="242"/>
        <v>0</v>
      </c>
      <c r="M365" s="190">
        <f t="shared" si="236"/>
        <v>0</v>
      </c>
      <c r="N365" s="189">
        <f t="shared" ref="N365:P367" si="243">SUM(N357,N361)</f>
        <v>0</v>
      </c>
      <c r="O365" s="189">
        <f t="shared" si="243"/>
        <v>0</v>
      </c>
      <c r="P365" s="189">
        <f t="shared" si="243"/>
        <v>0</v>
      </c>
      <c r="Q365" s="190">
        <f t="shared" si="237"/>
        <v>0</v>
      </c>
      <c r="R365" s="189">
        <f t="shared" ref="R365:T367" si="244">SUM(R357,R361)</f>
        <v>0</v>
      </c>
      <c r="S365" s="189">
        <f t="shared" si="244"/>
        <v>0</v>
      </c>
      <c r="T365" s="189">
        <f t="shared" si="244"/>
        <v>0</v>
      </c>
      <c r="U365" s="190">
        <f t="shared" si="238"/>
        <v>0</v>
      </c>
      <c r="V365" s="189">
        <f t="shared" ref="V365:X367" si="245">SUM(V357,V361)</f>
        <v>0</v>
      </c>
      <c r="W365" s="189">
        <f t="shared" si="245"/>
        <v>0</v>
      </c>
      <c r="X365" s="189">
        <f t="shared" si="245"/>
        <v>0</v>
      </c>
      <c r="Y365" s="190">
        <f t="shared" si="239"/>
        <v>0</v>
      </c>
    </row>
    <row r="366" spans="1:25" ht="12.75" hidden="1" customHeight="1" outlineLevel="1" x14ac:dyDescent="0.2">
      <c r="A366" s="198" t="str">
        <f>"            "&amp;Labels!B398</f>
        <v xml:space="preserve">            Supply Type 2</v>
      </c>
      <c r="B366" s="189">
        <f t="shared" si="240"/>
        <v>0</v>
      </c>
      <c r="C366" s="189">
        <f t="shared" si="240"/>
        <v>0</v>
      </c>
      <c r="D366" s="189">
        <f t="shared" si="240"/>
        <v>0</v>
      </c>
      <c r="E366" s="190">
        <f t="shared" si="234"/>
        <v>0</v>
      </c>
      <c r="F366" s="189">
        <f t="shared" si="241"/>
        <v>0</v>
      </c>
      <c r="G366" s="189">
        <f t="shared" si="241"/>
        <v>0</v>
      </c>
      <c r="H366" s="189">
        <f t="shared" si="241"/>
        <v>0</v>
      </c>
      <c r="I366" s="190">
        <f t="shared" si="235"/>
        <v>0</v>
      </c>
      <c r="J366" s="189">
        <f t="shared" si="242"/>
        <v>0</v>
      </c>
      <c r="K366" s="189">
        <f t="shared" si="242"/>
        <v>0</v>
      </c>
      <c r="L366" s="189">
        <f t="shared" si="242"/>
        <v>0</v>
      </c>
      <c r="M366" s="190">
        <f t="shared" si="236"/>
        <v>0</v>
      </c>
      <c r="N366" s="189">
        <f t="shared" si="243"/>
        <v>0</v>
      </c>
      <c r="O366" s="189">
        <f t="shared" si="243"/>
        <v>0</v>
      </c>
      <c r="P366" s="189">
        <f t="shared" si="243"/>
        <v>0</v>
      </c>
      <c r="Q366" s="190">
        <f t="shared" si="237"/>
        <v>0</v>
      </c>
      <c r="R366" s="189">
        <f t="shared" si="244"/>
        <v>0</v>
      </c>
      <c r="S366" s="189">
        <f t="shared" si="244"/>
        <v>0</v>
      </c>
      <c r="T366" s="189">
        <f t="shared" si="244"/>
        <v>0</v>
      </c>
      <c r="U366" s="190">
        <f t="shared" si="238"/>
        <v>0</v>
      </c>
      <c r="V366" s="189">
        <f t="shared" si="245"/>
        <v>0</v>
      </c>
      <c r="W366" s="189">
        <f t="shared" si="245"/>
        <v>0</v>
      </c>
      <c r="X366" s="189">
        <f t="shared" si="245"/>
        <v>0</v>
      </c>
      <c r="Y366" s="190">
        <f t="shared" si="239"/>
        <v>0</v>
      </c>
    </row>
    <row r="367" spans="1:25" ht="12.75" hidden="1" customHeight="1" outlineLevel="1" x14ac:dyDescent="0.2">
      <c r="A367" s="198" t="str">
        <f>"            "&amp;Labels!C396</f>
        <v xml:space="preserve">            Total</v>
      </c>
      <c r="B367" s="226">
        <f t="shared" si="240"/>
        <v>0</v>
      </c>
      <c r="C367" s="226">
        <f t="shared" si="240"/>
        <v>0</v>
      </c>
      <c r="D367" s="226">
        <f t="shared" si="240"/>
        <v>0</v>
      </c>
      <c r="E367" s="227">
        <f>SUM(B364:D364)</f>
        <v>0</v>
      </c>
      <c r="F367" s="226">
        <f t="shared" si="241"/>
        <v>0</v>
      </c>
      <c r="G367" s="226">
        <f t="shared" si="241"/>
        <v>0</v>
      </c>
      <c r="H367" s="226">
        <f t="shared" si="241"/>
        <v>0</v>
      </c>
      <c r="I367" s="227">
        <f>SUM(F364:H364)</f>
        <v>0</v>
      </c>
      <c r="J367" s="226">
        <f t="shared" si="242"/>
        <v>0</v>
      </c>
      <c r="K367" s="226">
        <f t="shared" si="242"/>
        <v>0</v>
      </c>
      <c r="L367" s="226">
        <f t="shared" si="242"/>
        <v>0</v>
      </c>
      <c r="M367" s="227">
        <f>SUM(J364:L364)</f>
        <v>0</v>
      </c>
      <c r="N367" s="226">
        <f t="shared" si="243"/>
        <v>0</v>
      </c>
      <c r="O367" s="226">
        <f t="shared" si="243"/>
        <v>0</v>
      </c>
      <c r="P367" s="226">
        <f t="shared" si="243"/>
        <v>0</v>
      </c>
      <c r="Q367" s="227">
        <f>SUM(N364:P364)</f>
        <v>0</v>
      </c>
      <c r="R367" s="226">
        <f t="shared" si="244"/>
        <v>0</v>
      </c>
      <c r="S367" s="226">
        <f t="shared" si="244"/>
        <v>0</v>
      </c>
      <c r="T367" s="226">
        <f t="shared" si="244"/>
        <v>0</v>
      </c>
      <c r="U367" s="227">
        <f>SUM(R364:T364)</f>
        <v>0</v>
      </c>
      <c r="V367" s="226">
        <f t="shared" si="245"/>
        <v>0</v>
      </c>
      <c r="W367" s="226">
        <f t="shared" si="245"/>
        <v>0</v>
      </c>
      <c r="X367" s="226">
        <f t="shared" si="245"/>
        <v>0</v>
      </c>
      <c r="Y367" s="227">
        <f>SUM(V364:X364)</f>
        <v>0</v>
      </c>
    </row>
    <row r="368" spans="1:25" ht="12.75" hidden="1" customHeight="1" outlineLevel="1" x14ac:dyDescent="0.2">
      <c r="A368" s="188" t="str">
        <f>"      "&amp;Labels!C380</f>
        <v xml:space="preserve">      Total</v>
      </c>
      <c r="B368" s="196">
        <f>SUM(B351,B364)</f>
        <v>0</v>
      </c>
      <c r="C368" s="196">
        <f>SUM(C351,C364)</f>
        <v>0</v>
      </c>
      <c r="D368" s="196">
        <f>SUM(D351,D364)</f>
        <v>0</v>
      </c>
      <c r="E368" s="197">
        <f>SUM(B368:D368)</f>
        <v>0</v>
      </c>
      <c r="F368" s="196">
        <f>SUM(F351,F364)</f>
        <v>0</v>
      </c>
      <c r="G368" s="196">
        <f>SUM(G351,G364)</f>
        <v>0</v>
      </c>
      <c r="H368" s="196">
        <f>SUM(H351,H364)</f>
        <v>0</v>
      </c>
      <c r="I368" s="197">
        <f>SUM(F368:H368)</f>
        <v>0</v>
      </c>
      <c r="J368" s="196">
        <f>SUM(J351,J364)</f>
        <v>0</v>
      </c>
      <c r="K368" s="196">
        <f>SUM(K351,K364)</f>
        <v>0</v>
      </c>
      <c r="L368" s="196">
        <f>SUM(L351,L364)</f>
        <v>0</v>
      </c>
      <c r="M368" s="197">
        <f>SUM(J368:L368)</f>
        <v>0</v>
      </c>
      <c r="N368" s="196">
        <f>SUM(N351,N364)</f>
        <v>0</v>
      </c>
      <c r="O368" s="196">
        <f>SUM(O351,O364)</f>
        <v>0</v>
      </c>
      <c r="P368" s="196">
        <f>SUM(P351,P364)</f>
        <v>0</v>
      </c>
      <c r="Q368" s="197">
        <f>SUM(N368:P368)</f>
        <v>0</v>
      </c>
      <c r="R368" s="196">
        <f>SUM(R351,R364)</f>
        <v>0</v>
      </c>
      <c r="S368" s="196">
        <f>SUM(S351,S364)</f>
        <v>0</v>
      </c>
      <c r="T368" s="196">
        <f>SUM(T351,T364)</f>
        <v>0</v>
      </c>
      <c r="U368" s="197">
        <f>SUM(R368:T368)</f>
        <v>0</v>
      </c>
      <c r="V368" s="196">
        <f>SUM(V351,V364)</f>
        <v>0</v>
      </c>
      <c r="W368" s="196">
        <f>SUM(W351,W364)</f>
        <v>0</v>
      </c>
      <c r="X368" s="196">
        <f>SUM(X351,X364)</f>
        <v>0</v>
      </c>
      <c r="Y368" s="197">
        <f>SUM(V368:X368)</f>
        <v>0</v>
      </c>
    </row>
    <row r="369" spans="1:25" ht="12.75" hidden="1" customHeight="1" outlineLevel="1" x14ac:dyDescent="0.2">
      <c r="A369" s="198" t="str">
        <f>"         "&amp;Labels!B385</f>
        <v xml:space="preserve">         Prof Level 1</v>
      </c>
      <c r="B369" s="226"/>
      <c r="C369" s="226"/>
      <c r="D369" s="226"/>
      <c r="E369" s="227"/>
      <c r="F369" s="226"/>
      <c r="G369" s="226"/>
      <c r="H369" s="226"/>
      <c r="I369" s="227"/>
      <c r="J369" s="226"/>
      <c r="K369" s="226"/>
      <c r="L369" s="226"/>
      <c r="M369" s="227"/>
      <c r="N369" s="226"/>
      <c r="O369" s="226"/>
      <c r="P369" s="226"/>
      <c r="Q369" s="227"/>
      <c r="R369" s="226"/>
      <c r="S369" s="226"/>
      <c r="T369" s="226"/>
      <c r="U369" s="227"/>
      <c r="V369" s="226"/>
      <c r="W369" s="226"/>
      <c r="X369" s="226"/>
      <c r="Y369" s="227"/>
    </row>
    <row r="370" spans="1:25" ht="12.75" hidden="1" customHeight="1" outlineLevel="1" x14ac:dyDescent="0.2">
      <c r="A370" s="198" t="str">
        <f>"            "&amp;Labels!B397</f>
        <v xml:space="preserve">            Supply Type 1</v>
      </c>
      <c r="B370" s="189">
        <f t="shared" ref="B370:D372" si="246">SUM(B344,B357)</f>
        <v>0</v>
      </c>
      <c r="C370" s="189">
        <f t="shared" si="246"/>
        <v>0</v>
      </c>
      <c r="D370" s="189">
        <f t="shared" si="246"/>
        <v>0</v>
      </c>
      <c r="E370" s="190">
        <f>SUM(B370:D370)</f>
        <v>0</v>
      </c>
      <c r="F370" s="189">
        <f t="shared" ref="F370:H372" si="247">SUM(F344,F357)</f>
        <v>0</v>
      </c>
      <c r="G370" s="189">
        <f t="shared" si="247"/>
        <v>0</v>
      </c>
      <c r="H370" s="189">
        <f t="shared" si="247"/>
        <v>0</v>
      </c>
      <c r="I370" s="190">
        <f>SUM(F370:H370)</f>
        <v>0</v>
      </c>
      <c r="J370" s="189">
        <f t="shared" ref="J370:L372" si="248">SUM(J344,J357)</f>
        <v>0</v>
      </c>
      <c r="K370" s="189">
        <f t="shared" si="248"/>
        <v>0</v>
      </c>
      <c r="L370" s="189">
        <f t="shared" si="248"/>
        <v>0</v>
      </c>
      <c r="M370" s="190">
        <f>SUM(J370:L370)</f>
        <v>0</v>
      </c>
      <c r="N370" s="189">
        <f t="shared" ref="N370:P372" si="249">SUM(N344,N357)</f>
        <v>0</v>
      </c>
      <c r="O370" s="189">
        <f t="shared" si="249"/>
        <v>0</v>
      </c>
      <c r="P370" s="189">
        <f t="shared" si="249"/>
        <v>0</v>
      </c>
      <c r="Q370" s="190">
        <f>SUM(N370:P370)</f>
        <v>0</v>
      </c>
      <c r="R370" s="189">
        <f t="shared" ref="R370:T372" si="250">SUM(R344,R357)</f>
        <v>0</v>
      </c>
      <c r="S370" s="189">
        <f t="shared" si="250"/>
        <v>0</v>
      </c>
      <c r="T370" s="189">
        <f t="shared" si="250"/>
        <v>0</v>
      </c>
      <c r="U370" s="190">
        <f>SUM(R370:T370)</f>
        <v>0</v>
      </c>
      <c r="V370" s="189">
        <f t="shared" ref="V370:X372" si="251">SUM(V344,V357)</f>
        <v>0</v>
      </c>
      <c r="W370" s="189">
        <f t="shared" si="251"/>
        <v>0</v>
      </c>
      <c r="X370" s="189">
        <f t="shared" si="251"/>
        <v>0</v>
      </c>
      <c r="Y370" s="190">
        <f>SUM(V370:X370)</f>
        <v>0</v>
      </c>
    </row>
    <row r="371" spans="1:25" ht="12.75" hidden="1" customHeight="1" outlineLevel="1" x14ac:dyDescent="0.2">
      <c r="A371" s="198" t="str">
        <f>"            "&amp;Labels!B398</f>
        <v xml:space="preserve">            Supply Type 2</v>
      </c>
      <c r="B371" s="189">
        <f t="shared" si="246"/>
        <v>0</v>
      </c>
      <c r="C371" s="189">
        <f t="shared" si="246"/>
        <v>0</v>
      </c>
      <c r="D371" s="189">
        <f t="shared" si="246"/>
        <v>0</v>
      </c>
      <c r="E371" s="190">
        <f>SUM(B371:D371)</f>
        <v>0</v>
      </c>
      <c r="F371" s="189">
        <f t="shared" si="247"/>
        <v>0</v>
      </c>
      <c r="G371" s="189">
        <f t="shared" si="247"/>
        <v>0</v>
      </c>
      <c r="H371" s="189">
        <f t="shared" si="247"/>
        <v>0</v>
      </c>
      <c r="I371" s="190">
        <f>SUM(F371:H371)</f>
        <v>0</v>
      </c>
      <c r="J371" s="189">
        <f t="shared" si="248"/>
        <v>0</v>
      </c>
      <c r="K371" s="189">
        <f t="shared" si="248"/>
        <v>0</v>
      </c>
      <c r="L371" s="189">
        <f t="shared" si="248"/>
        <v>0</v>
      </c>
      <c r="M371" s="190">
        <f>SUM(J371:L371)</f>
        <v>0</v>
      </c>
      <c r="N371" s="189">
        <f t="shared" si="249"/>
        <v>0</v>
      </c>
      <c r="O371" s="189">
        <f t="shared" si="249"/>
        <v>0</v>
      </c>
      <c r="P371" s="189">
        <f t="shared" si="249"/>
        <v>0</v>
      </c>
      <c r="Q371" s="190">
        <f>SUM(N371:P371)</f>
        <v>0</v>
      </c>
      <c r="R371" s="189">
        <f t="shared" si="250"/>
        <v>0</v>
      </c>
      <c r="S371" s="189">
        <f t="shared" si="250"/>
        <v>0</v>
      </c>
      <c r="T371" s="189">
        <f t="shared" si="250"/>
        <v>0</v>
      </c>
      <c r="U371" s="190">
        <f>SUM(R371:T371)</f>
        <v>0</v>
      </c>
      <c r="V371" s="189">
        <f t="shared" si="251"/>
        <v>0</v>
      </c>
      <c r="W371" s="189">
        <f t="shared" si="251"/>
        <v>0</v>
      </c>
      <c r="X371" s="189">
        <f t="shared" si="251"/>
        <v>0</v>
      </c>
      <c r="Y371" s="190">
        <f>SUM(V371:X371)</f>
        <v>0</v>
      </c>
    </row>
    <row r="372" spans="1:25" ht="12.75" hidden="1" customHeight="1" outlineLevel="1" x14ac:dyDescent="0.2">
      <c r="A372" s="198" t="str">
        <f>"            "&amp;Labels!C396</f>
        <v xml:space="preserve">            Total</v>
      </c>
      <c r="B372" s="226">
        <f t="shared" si="246"/>
        <v>0</v>
      </c>
      <c r="C372" s="226">
        <f t="shared" si="246"/>
        <v>0</v>
      </c>
      <c r="D372" s="226">
        <f t="shared" si="246"/>
        <v>0</v>
      </c>
      <c r="E372" s="227">
        <f>SUM(B372:D372)</f>
        <v>0</v>
      </c>
      <c r="F372" s="226">
        <f t="shared" si="247"/>
        <v>0</v>
      </c>
      <c r="G372" s="226">
        <f t="shared" si="247"/>
        <v>0</v>
      </c>
      <c r="H372" s="226">
        <f t="shared" si="247"/>
        <v>0</v>
      </c>
      <c r="I372" s="227">
        <f>SUM(F372:H372)</f>
        <v>0</v>
      </c>
      <c r="J372" s="226">
        <f t="shared" si="248"/>
        <v>0</v>
      </c>
      <c r="K372" s="226">
        <f t="shared" si="248"/>
        <v>0</v>
      </c>
      <c r="L372" s="226">
        <f t="shared" si="248"/>
        <v>0</v>
      </c>
      <c r="M372" s="227">
        <f>SUM(J372:L372)</f>
        <v>0</v>
      </c>
      <c r="N372" s="226">
        <f t="shared" si="249"/>
        <v>0</v>
      </c>
      <c r="O372" s="226">
        <f t="shared" si="249"/>
        <v>0</v>
      </c>
      <c r="P372" s="226">
        <f t="shared" si="249"/>
        <v>0</v>
      </c>
      <c r="Q372" s="227">
        <f>SUM(N372:P372)</f>
        <v>0</v>
      </c>
      <c r="R372" s="226">
        <f t="shared" si="250"/>
        <v>0</v>
      </c>
      <c r="S372" s="226">
        <f t="shared" si="250"/>
        <v>0</v>
      </c>
      <c r="T372" s="226">
        <f t="shared" si="250"/>
        <v>0</v>
      </c>
      <c r="U372" s="227">
        <f>SUM(R372:T372)</f>
        <v>0</v>
      </c>
      <c r="V372" s="226">
        <f t="shared" si="251"/>
        <v>0</v>
      </c>
      <c r="W372" s="226">
        <f t="shared" si="251"/>
        <v>0</v>
      </c>
      <c r="X372" s="226">
        <f t="shared" si="251"/>
        <v>0</v>
      </c>
      <c r="Y372" s="227">
        <f>SUM(V372:X372)</f>
        <v>0</v>
      </c>
    </row>
    <row r="373" spans="1:25" ht="12.75" hidden="1" customHeight="1" outlineLevel="1" x14ac:dyDescent="0.2">
      <c r="A373" s="198" t="str">
        <f>"         "&amp;Labels!B386</f>
        <v xml:space="preserve">         Prof Level 2</v>
      </c>
      <c r="B373" s="226"/>
      <c r="C373" s="226"/>
      <c r="D373" s="226"/>
      <c r="E373" s="227"/>
      <c r="F373" s="226"/>
      <c r="G373" s="226"/>
      <c r="H373" s="226"/>
      <c r="I373" s="227"/>
      <c r="J373" s="226"/>
      <c r="K373" s="226"/>
      <c r="L373" s="226"/>
      <c r="M373" s="227"/>
      <c r="N373" s="226"/>
      <c r="O373" s="226"/>
      <c r="P373" s="226"/>
      <c r="Q373" s="227"/>
      <c r="R373" s="226"/>
      <c r="S373" s="226"/>
      <c r="T373" s="226"/>
      <c r="U373" s="227"/>
      <c r="V373" s="226"/>
      <c r="W373" s="226"/>
      <c r="X373" s="226"/>
      <c r="Y373" s="227"/>
    </row>
    <row r="374" spans="1:25" ht="12.75" hidden="1" customHeight="1" outlineLevel="1" x14ac:dyDescent="0.2">
      <c r="A374" s="198" t="str">
        <f>"            "&amp;Labels!B397</f>
        <v xml:space="preserve">            Supply Type 1</v>
      </c>
      <c r="B374" s="189">
        <f t="shared" ref="B374:D379" si="252">SUM(B348,B361)</f>
        <v>0</v>
      </c>
      <c r="C374" s="189">
        <f t="shared" si="252"/>
        <v>0</v>
      </c>
      <c r="D374" s="189">
        <f t="shared" si="252"/>
        <v>0</v>
      </c>
      <c r="E374" s="190">
        <f>SUM(B374:D374)</f>
        <v>0</v>
      </c>
      <c r="F374" s="189">
        <f t="shared" ref="F374:H379" si="253">SUM(F348,F361)</f>
        <v>0</v>
      </c>
      <c r="G374" s="189">
        <f t="shared" si="253"/>
        <v>0</v>
      </c>
      <c r="H374" s="189">
        <f t="shared" si="253"/>
        <v>0</v>
      </c>
      <c r="I374" s="190">
        <f>SUM(F374:H374)</f>
        <v>0</v>
      </c>
      <c r="J374" s="189">
        <f t="shared" ref="J374:L379" si="254">SUM(J348,J361)</f>
        <v>0</v>
      </c>
      <c r="K374" s="189">
        <f t="shared" si="254"/>
        <v>0</v>
      </c>
      <c r="L374" s="189">
        <f t="shared" si="254"/>
        <v>0</v>
      </c>
      <c r="M374" s="190">
        <f>SUM(J374:L374)</f>
        <v>0</v>
      </c>
      <c r="N374" s="189">
        <f t="shared" ref="N374:P379" si="255">SUM(N348,N361)</f>
        <v>0</v>
      </c>
      <c r="O374" s="189">
        <f t="shared" si="255"/>
        <v>0</v>
      </c>
      <c r="P374" s="189">
        <f t="shared" si="255"/>
        <v>0</v>
      </c>
      <c r="Q374" s="190">
        <f>SUM(N374:P374)</f>
        <v>0</v>
      </c>
      <c r="R374" s="189">
        <f t="shared" ref="R374:T379" si="256">SUM(R348,R361)</f>
        <v>0</v>
      </c>
      <c r="S374" s="189">
        <f t="shared" si="256"/>
        <v>0</v>
      </c>
      <c r="T374" s="189">
        <f t="shared" si="256"/>
        <v>0</v>
      </c>
      <c r="U374" s="190">
        <f>SUM(R374:T374)</f>
        <v>0</v>
      </c>
      <c r="V374" s="189">
        <f t="shared" ref="V374:X379" si="257">SUM(V348,V361)</f>
        <v>0</v>
      </c>
      <c r="W374" s="189">
        <f t="shared" si="257"/>
        <v>0</v>
      </c>
      <c r="X374" s="189">
        <f t="shared" si="257"/>
        <v>0</v>
      </c>
      <c r="Y374" s="190">
        <f>SUM(V374:X374)</f>
        <v>0</v>
      </c>
    </row>
    <row r="375" spans="1:25" ht="12.75" hidden="1" customHeight="1" outlineLevel="1" x14ac:dyDescent="0.2">
      <c r="A375" s="198" t="str">
        <f>"            "&amp;Labels!B398</f>
        <v xml:space="preserve">            Supply Type 2</v>
      </c>
      <c r="B375" s="189">
        <f t="shared" si="252"/>
        <v>0</v>
      </c>
      <c r="C375" s="189">
        <f t="shared" si="252"/>
        <v>0</v>
      </c>
      <c r="D375" s="189">
        <f t="shared" si="252"/>
        <v>0</v>
      </c>
      <c r="E375" s="190">
        <f>SUM(B375:D375)</f>
        <v>0</v>
      </c>
      <c r="F375" s="189">
        <f t="shared" si="253"/>
        <v>0</v>
      </c>
      <c r="G375" s="189">
        <f t="shared" si="253"/>
        <v>0</v>
      </c>
      <c r="H375" s="189">
        <f t="shared" si="253"/>
        <v>0</v>
      </c>
      <c r="I375" s="190">
        <f>SUM(F375:H375)</f>
        <v>0</v>
      </c>
      <c r="J375" s="189">
        <f t="shared" si="254"/>
        <v>0</v>
      </c>
      <c r="K375" s="189">
        <f t="shared" si="254"/>
        <v>0</v>
      </c>
      <c r="L375" s="189">
        <f t="shared" si="254"/>
        <v>0</v>
      </c>
      <c r="M375" s="190">
        <f>SUM(J375:L375)</f>
        <v>0</v>
      </c>
      <c r="N375" s="189">
        <f t="shared" si="255"/>
        <v>0</v>
      </c>
      <c r="O375" s="189">
        <f t="shared" si="255"/>
        <v>0</v>
      </c>
      <c r="P375" s="189">
        <f t="shared" si="255"/>
        <v>0</v>
      </c>
      <c r="Q375" s="190">
        <f>SUM(N375:P375)</f>
        <v>0</v>
      </c>
      <c r="R375" s="189">
        <f t="shared" si="256"/>
        <v>0</v>
      </c>
      <c r="S375" s="189">
        <f t="shared" si="256"/>
        <v>0</v>
      </c>
      <c r="T375" s="189">
        <f t="shared" si="256"/>
        <v>0</v>
      </c>
      <c r="U375" s="190">
        <f>SUM(R375:T375)</f>
        <v>0</v>
      </c>
      <c r="V375" s="189">
        <f t="shared" si="257"/>
        <v>0</v>
      </c>
      <c r="W375" s="189">
        <f t="shared" si="257"/>
        <v>0</v>
      </c>
      <c r="X375" s="189">
        <f t="shared" si="257"/>
        <v>0</v>
      </c>
      <c r="Y375" s="190">
        <f>SUM(V375:X375)</f>
        <v>0</v>
      </c>
    </row>
    <row r="376" spans="1:25" ht="12.75" hidden="1" customHeight="1" outlineLevel="1" x14ac:dyDescent="0.2">
      <c r="A376" s="198" t="str">
        <f>"            "&amp;Labels!C396</f>
        <v xml:space="preserve">            Total</v>
      </c>
      <c r="B376" s="226">
        <f t="shared" si="252"/>
        <v>0</v>
      </c>
      <c r="C376" s="226">
        <f t="shared" si="252"/>
        <v>0</v>
      </c>
      <c r="D376" s="226">
        <f t="shared" si="252"/>
        <v>0</v>
      </c>
      <c r="E376" s="227">
        <f>SUM(B376:D376)</f>
        <v>0</v>
      </c>
      <c r="F376" s="226">
        <f t="shared" si="253"/>
        <v>0</v>
      </c>
      <c r="G376" s="226">
        <f t="shared" si="253"/>
        <v>0</v>
      </c>
      <c r="H376" s="226">
        <f t="shared" si="253"/>
        <v>0</v>
      </c>
      <c r="I376" s="227">
        <f>SUM(F376:H376)</f>
        <v>0</v>
      </c>
      <c r="J376" s="226">
        <f t="shared" si="254"/>
        <v>0</v>
      </c>
      <c r="K376" s="226">
        <f t="shared" si="254"/>
        <v>0</v>
      </c>
      <c r="L376" s="226">
        <f t="shared" si="254"/>
        <v>0</v>
      </c>
      <c r="M376" s="227">
        <f>SUM(J376:L376)</f>
        <v>0</v>
      </c>
      <c r="N376" s="226">
        <f t="shared" si="255"/>
        <v>0</v>
      </c>
      <c r="O376" s="226">
        <f t="shared" si="255"/>
        <v>0</v>
      </c>
      <c r="P376" s="226">
        <f t="shared" si="255"/>
        <v>0</v>
      </c>
      <c r="Q376" s="227">
        <f>SUM(N376:P376)</f>
        <v>0</v>
      </c>
      <c r="R376" s="226">
        <f t="shared" si="256"/>
        <v>0</v>
      </c>
      <c r="S376" s="226">
        <f t="shared" si="256"/>
        <v>0</v>
      </c>
      <c r="T376" s="226">
        <f t="shared" si="256"/>
        <v>0</v>
      </c>
      <c r="U376" s="227">
        <f>SUM(R376:T376)</f>
        <v>0</v>
      </c>
      <c r="V376" s="226">
        <f t="shared" si="257"/>
        <v>0</v>
      </c>
      <c r="W376" s="226">
        <f t="shared" si="257"/>
        <v>0</v>
      </c>
      <c r="X376" s="226">
        <f t="shared" si="257"/>
        <v>0</v>
      </c>
      <c r="Y376" s="227">
        <f>SUM(V376:X376)</f>
        <v>0</v>
      </c>
    </row>
    <row r="377" spans="1:25" ht="12.75" hidden="1" customHeight="1" outlineLevel="1" x14ac:dyDescent="0.2">
      <c r="A377" s="198" t="str">
        <f>"         "&amp;Labels!C384</f>
        <v xml:space="preserve">         Total</v>
      </c>
      <c r="B377" s="226">
        <f t="shared" si="252"/>
        <v>0</v>
      </c>
      <c r="C377" s="226">
        <f t="shared" si="252"/>
        <v>0</v>
      </c>
      <c r="D377" s="226">
        <f t="shared" si="252"/>
        <v>0</v>
      </c>
      <c r="E377" s="227">
        <f>SUM(B368:D368)</f>
        <v>0</v>
      </c>
      <c r="F377" s="226">
        <f t="shared" si="253"/>
        <v>0</v>
      </c>
      <c r="G377" s="226">
        <f t="shared" si="253"/>
        <v>0</v>
      </c>
      <c r="H377" s="226">
        <f t="shared" si="253"/>
        <v>0</v>
      </c>
      <c r="I377" s="227">
        <f>SUM(F368:H368)</f>
        <v>0</v>
      </c>
      <c r="J377" s="226">
        <f t="shared" si="254"/>
        <v>0</v>
      </c>
      <c r="K377" s="226">
        <f t="shared" si="254"/>
        <v>0</v>
      </c>
      <c r="L377" s="226">
        <f t="shared" si="254"/>
        <v>0</v>
      </c>
      <c r="M377" s="227">
        <f>SUM(J368:L368)</f>
        <v>0</v>
      </c>
      <c r="N377" s="226">
        <f t="shared" si="255"/>
        <v>0</v>
      </c>
      <c r="O377" s="226">
        <f t="shared" si="255"/>
        <v>0</v>
      </c>
      <c r="P377" s="226">
        <f t="shared" si="255"/>
        <v>0</v>
      </c>
      <c r="Q377" s="227">
        <f>SUM(N368:P368)</f>
        <v>0</v>
      </c>
      <c r="R377" s="226">
        <f t="shared" si="256"/>
        <v>0</v>
      </c>
      <c r="S377" s="226">
        <f t="shared" si="256"/>
        <v>0</v>
      </c>
      <c r="T377" s="226">
        <f t="shared" si="256"/>
        <v>0</v>
      </c>
      <c r="U377" s="227">
        <f>SUM(R368:T368)</f>
        <v>0</v>
      </c>
      <c r="V377" s="226">
        <f t="shared" si="257"/>
        <v>0</v>
      </c>
      <c r="W377" s="226">
        <f t="shared" si="257"/>
        <v>0</v>
      </c>
      <c r="X377" s="226">
        <f t="shared" si="257"/>
        <v>0</v>
      </c>
      <c r="Y377" s="227">
        <f>SUM(V368:X368)</f>
        <v>0</v>
      </c>
    </row>
    <row r="378" spans="1:25" ht="12.75" hidden="1" customHeight="1" outlineLevel="1" x14ac:dyDescent="0.2">
      <c r="A378" s="198" t="str">
        <f>"            "&amp;Labels!B397</f>
        <v xml:space="preserve">            Supply Type 1</v>
      </c>
      <c r="B378" s="189">
        <f t="shared" si="252"/>
        <v>0</v>
      </c>
      <c r="C378" s="189">
        <f t="shared" si="252"/>
        <v>0</v>
      </c>
      <c r="D378" s="189">
        <f t="shared" si="252"/>
        <v>0</v>
      </c>
      <c r="E378" s="190">
        <f>SUM(B378:D378)</f>
        <v>0</v>
      </c>
      <c r="F378" s="189">
        <f t="shared" si="253"/>
        <v>0</v>
      </c>
      <c r="G378" s="189">
        <f t="shared" si="253"/>
        <v>0</v>
      </c>
      <c r="H378" s="189">
        <f t="shared" si="253"/>
        <v>0</v>
      </c>
      <c r="I378" s="190">
        <f>SUM(F378:H378)</f>
        <v>0</v>
      </c>
      <c r="J378" s="189">
        <f t="shared" si="254"/>
        <v>0</v>
      </c>
      <c r="K378" s="189">
        <f t="shared" si="254"/>
        <v>0</v>
      </c>
      <c r="L378" s="189">
        <f t="shared" si="254"/>
        <v>0</v>
      </c>
      <c r="M378" s="190">
        <f>SUM(J378:L378)</f>
        <v>0</v>
      </c>
      <c r="N378" s="189">
        <f t="shared" si="255"/>
        <v>0</v>
      </c>
      <c r="O378" s="189">
        <f t="shared" si="255"/>
        <v>0</v>
      </c>
      <c r="P378" s="189">
        <f t="shared" si="255"/>
        <v>0</v>
      </c>
      <c r="Q378" s="190">
        <f>SUM(N378:P378)</f>
        <v>0</v>
      </c>
      <c r="R378" s="189">
        <f t="shared" si="256"/>
        <v>0</v>
      </c>
      <c r="S378" s="189">
        <f t="shared" si="256"/>
        <v>0</v>
      </c>
      <c r="T378" s="189">
        <f t="shared" si="256"/>
        <v>0</v>
      </c>
      <c r="U378" s="190">
        <f>SUM(R378:T378)</f>
        <v>0</v>
      </c>
      <c r="V378" s="189">
        <f t="shared" si="257"/>
        <v>0</v>
      </c>
      <c r="W378" s="189">
        <f t="shared" si="257"/>
        <v>0</v>
      </c>
      <c r="X378" s="189">
        <f t="shared" si="257"/>
        <v>0</v>
      </c>
      <c r="Y378" s="190">
        <f>SUM(V378:X378)</f>
        <v>0</v>
      </c>
    </row>
    <row r="379" spans="1:25" ht="12.75" hidden="1" customHeight="1" outlineLevel="1" x14ac:dyDescent="0.2">
      <c r="A379" s="198" t="str">
        <f>"            "&amp;Labels!B398</f>
        <v xml:space="preserve">            Supply Type 2</v>
      </c>
      <c r="B379" s="189">
        <f t="shared" si="252"/>
        <v>0</v>
      </c>
      <c r="C379" s="189">
        <f t="shared" si="252"/>
        <v>0</v>
      </c>
      <c r="D379" s="189">
        <f t="shared" si="252"/>
        <v>0</v>
      </c>
      <c r="E379" s="190">
        <f>SUM(B379:D379)</f>
        <v>0</v>
      </c>
      <c r="F379" s="189">
        <f t="shared" si="253"/>
        <v>0</v>
      </c>
      <c r="G379" s="189">
        <f t="shared" si="253"/>
        <v>0</v>
      </c>
      <c r="H379" s="189">
        <f t="shared" si="253"/>
        <v>0</v>
      </c>
      <c r="I379" s="190">
        <f>SUM(F379:H379)</f>
        <v>0</v>
      </c>
      <c r="J379" s="189">
        <f t="shared" si="254"/>
        <v>0</v>
      </c>
      <c r="K379" s="189">
        <f t="shared" si="254"/>
        <v>0</v>
      </c>
      <c r="L379" s="189">
        <f t="shared" si="254"/>
        <v>0</v>
      </c>
      <c r="M379" s="190">
        <f>SUM(J379:L379)</f>
        <v>0</v>
      </c>
      <c r="N379" s="189">
        <f t="shared" si="255"/>
        <v>0</v>
      </c>
      <c r="O379" s="189">
        <f t="shared" si="255"/>
        <v>0</v>
      </c>
      <c r="P379" s="189">
        <f t="shared" si="255"/>
        <v>0</v>
      </c>
      <c r="Q379" s="190">
        <f>SUM(N379:P379)</f>
        <v>0</v>
      </c>
      <c r="R379" s="189">
        <f t="shared" si="256"/>
        <v>0</v>
      </c>
      <c r="S379" s="189">
        <f t="shared" si="256"/>
        <v>0</v>
      </c>
      <c r="T379" s="189">
        <f t="shared" si="256"/>
        <v>0</v>
      </c>
      <c r="U379" s="190">
        <f>SUM(R379:T379)</f>
        <v>0</v>
      </c>
      <c r="V379" s="189">
        <f t="shared" si="257"/>
        <v>0</v>
      </c>
      <c r="W379" s="189">
        <f t="shared" si="257"/>
        <v>0</v>
      </c>
      <c r="X379" s="189">
        <f t="shared" si="257"/>
        <v>0</v>
      </c>
      <c r="Y379" s="190">
        <f>SUM(V379:X379)</f>
        <v>0</v>
      </c>
    </row>
    <row r="380" spans="1:25" ht="12.75" hidden="1" customHeight="1" outlineLevel="1" x14ac:dyDescent="0.2">
      <c r="A380" s="198" t="str">
        <f>"            "&amp;Labels!C396</f>
        <v xml:space="preserve">            Total</v>
      </c>
      <c r="B380" s="226">
        <f>SUM(B351,B364)</f>
        <v>0</v>
      </c>
      <c r="C380" s="226">
        <f>SUM(C351,C364)</f>
        <v>0</v>
      </c>
      <c r="D380" s="226">
        <f>SUM(D351,D364)</f>
        <v>0</v>
      </c>
      <c r="E380" s="227">
        <f>SUM(B368:D368)</f>
        <v>0</v>
      </c>
      <c r="F380" s="226">
        <f>SUM(F351,F364)</f>
        <v>0</v>
      </c>
      <c r="G380" s="226">
        <f>SUM(G351,G364)</f>
        <v>0</v>
      </c>
      <c r="H380" s="226">
        <f>SUM(H351,H364)</f>
        <v>0</v>
      </c>
      <c r="I380" s="227">
        <f>SUM(F368:H368)</f>
        <v>0</v>
      </c>
      <c r="J380" s="226">
        <f>SUM(J351,J364)</f>
        <v>0</v>
      </c>
      <c r="K380" s="226">
        <f>SUM(K351,K364)</f>
        <v>0</v>
      </c>
      <c r="L380" s="226">
        <f>SUM(L351,L364)</f>
        <v>0</v>
      </c>
      <c r="M380" s="227">
        <f>SUM(J368:L368)</f>
        <v>0</v>
      </c>
      <c r="N380" s="226">
        <f>SUM(N351,N364)</f>
        <v>0</v>
      </c>
      <c r="O380" s="226">
        <f>SUM(O351,O364)</f>
        <v>0</v>
      </c>
      <c r="P380" s="226">
        <f>SUM(P351,P364)</f>
        <v>0</v>
      </c>
      <c r="Q380" s="227">
        <f>SUM(N368:P368)</f>
        <v>0</v>
      </c>
      <c r="R380" s="226">
        <f>SUM(R351,R364)</f>
        <v>0</v>
      </c>
      <c r="S380" s="226">
        <f>SUM(S351,S364)</f>
        <v>0</v>
      </c>
      <c r="T380" s="226">
        <f>SUM(T351,T364)</f>
        <v>0</v>
      </c>
      <c r="U380" s="227">
        <f>SUM(R368:T368)</f>
        <v>0</v>
      </c>
      <c r="V380" s="226">
        <f>SUM(V351,V364)</f>
        <v>0</v>
      </c>
      <c r="W380" s="226">
        <f>SUM(W351,W364)</f>
        <v>0</v>
      </c>
      <c r="X380" s="226">
        <f>SUM(X351,X364)</f>
        <v>0</v>
      </c>
      <c r="Y380" s="227">
        <f>SUM(V368:X368)</f>
        <v>0</v>
      </c>
    </row>
    <row r="381" spans="1:25" ht="12.75" hidden="1" customHeight="1" outlineLevel="1" x14ac:dyDescent="0.2">
      <c r="A381" s="191" t="str">
        <f>"   "&amp;Labels!C316</f>
        <v xml:space="preserve">   Total</v>
      </c>
      <c r="B381" s="192">
        <f>SUM(B328,B368)</f>
        <v>0</v>
      </c>
      <c r="C381" s="192">
        <f>SUM(C328,C368)</f>
        <v>0</v>
      </c>
      <c r="D381" s="192">
        <f>SUM(D328,D368)</f>
        <v>0</v>
      </c>
      <c r="E381" s="190">
        <f>SUM(B381:D381)</f>
        <v>0</v>
      </c>
      <c r="F381" s="192">
        <f>SUM(F328,F368)</f>
        <v>0</v>
      </c>
      <c r="G381" s="192">
        <f>SUM(G328,G368)</f>
        <v>0</v>
      </c>
      <c r="H381" s="192">
        <f>SUM(H328,H368)</f>
        <v>0</v>
      </c>
      <c r="I381" s="190">
        <f>SUM(F381:H381)</f>
        <v>0</v>
      </c>
      <c r="J381" s="192">
        <f>SUM(J328,J368)</f>
        <v>0</v>
      </c>
      <c r="K381" s="192">
        <f>SUM(K328,K368)</f>
        <v>0</v>
      </c>
      <c r="L381" s="192">
        <f>SUM(L328,L368)</f>
        <v>0</v>
      </c>
      <c r="M381" s="190">
        <f>SUM(J381:L381)</f>
        <v>0</v>
      </c>
      <c r="N381" s="192">
        <f>SUM(N328,N368)</f>
        <v>0</v>
      </c>
      <c r="O381" s="192">
        <f>SUM(O328,O368)</f>
        <v>0</v>
      </c>
      <c r="P381" s="192">
        <f>SUM(P328,P368)</f>
        <v>0</v>
      </c>
      <c r="Q381" s="190">
        <f>SUM(N381:P381)</f>
        <v>0</v>
      </c>
      <c r="R381" s="192">
        <f>SUM(R328,R368)</f>
        <v>0</v>
      </c>
      <c r="S381" s="192">
        <f>SUM(S328,S368)</f>
        <v>0</v>
      </c>
      <c r="T381" s="192">
        <f>SUM(T328,T368)</f>
        <v>0</v>
      </c>
      <c r="U381" s="190">
        <f>SUM(R381:T381)</f>
        <v>0</v>
      </c>
      <c r="V381" s="192">
        <f>SUM(V328,V368)</f>
        <v>0</v>
      </c>
      <c r="W381" s="192">
        <f>SUM(W328,W368)</f>
        <v>0</v>
      </c>
      <c r="X381" s="192">
        <f>SUM(X328,X368)</f>
        <v>0</v>
      </c>
      <c r="Y381" s="190">
        <f>SUM(V381:X381)</f>
        <v>0</v>
      </c>
    </row>
    <row r="382" spans="1:25" ht="12.75" hidden="1" customHeight="1" outlineLevel="1" x14ac:dyDescent="0.2">
      <c r="A382" s="198" t="str">
        <f>"      "&amp;Labels!B381</f>
        <v xml:space="preserve">      Practice 1</v>
      </c>
      <c r="B382" s="226"/>
      <c r="C382" s="226"/>
      <c r="D382" s="226"/>
      <c r="E382" s="227"/>
      <c r="F382" s="226"/>
      <c r="G382" s="226"/>
      <c r="H382" s="226"/>
      <c r="I382" s="227"/>
      <c r="J382" s="226"/>
      <c r="K382" s="226"/>
      <c r="L382" s="226"/>
      <c r="M382" s="227"/>
      <c r="N382" s="226"/>
      <c r="O382" s="226"/>
      <c r="P382" s="226"/>
      <c r="Q382" s="227"/>
      <c r="R382" s="226"/>
      <c r="S382" s="226"/>
      <c r="T382" s="226"/>
      <c r="U382" s="227"/>
      <c r="V382" s="226"/>
      <c r="W382" s="226"/>
      <c r="X382" s="226"/>
      <c r="Y382" s="227"/>
    </row>
    <row r="383" spans="1:25" ht="12.75" hidden="1" customHeight="1" outlineLevel="1" x14ac:dyDescent="0.2">
      <c r="A383" s="198" t="str">
        <f>"         "&amp;Labels!B385</f>
        <v xml:space="preserve">         Prof Level 1</v>
      </c>
      <c r="B383" s="226"/>
      <c r="C383" s="226"/>
      <c r="D383" s="226"/>
      <c r="E383" s="227"/>
      <c r="F383" s="226"/>
      <c r="G383" s="226"/>
      <c r="H383" s="226"/>
      <c r="I383" s="227"/>
      <c r="J383" s="226"/>
      <c r="K383" s="226"/>
      <c r="L383" s="226"/>
      <c r="M383" s="227"/>
      <c r="N383" s="226"/>
      <c r="O383" s="226"/>
      <c r="P383" s="226"/>
      <c r="Q383" s="227"/>
      <c r="R383" s="226"/>
      <c r="S383" s="226"/>
      <c r="T383" s="226"/>
      <c r="U383" s="227"/>
      <c r="V383" s="226"/>
      <c r="W383" s="226"/>
      <c r="X383" s="226"/>
      <c r="Y383" s="227"/>
    </row>
    <row r="384" spans="1:25" ht="12.75" hidden="1" customHeight="1" outlineLevel="1" x14ac:dyDescent="0.2">
      <c r="A384" s="198" t="str">
        <f>"            "&amp;Labels!B397</f>
        <v xml:space="preserve">            Supply Type 1</v>
      </c>
      <c r="B384" s="189">
        <f t="shared" ref="B384:D386" si="258">SUM(B304,B344)</f>
        <v>0</v>
      </c>
      <c r="C384" s="189">
        <f t="shared" si="258"/>
        <v>0</v>
      </c>
      <c r="D384" s="189">
        <f t="shared" si="258"/>
        <v>0</v>
      </c>
      <c r="E384" s="190">
        <f>SUM(B384:D384)</f>
        <v>0</v>
      </c>
      <c r="F384" s="189">
        <f t="shared" ref="F384:H386" si="259">SUM(F304,F344)</f>
        <v>0</v>
      </c>
      <c r="G384" s="189">
        <f t="shared" si="259"/>
        <v>0</v>
      </c>
      <c r="H384" s="189">
        <f t="shared" si="259"/>
        <v>0</v>
      </c>
      <c r="I384" s="190">
        <f>SUM(F384:H384)</f>
        <v>0</v>
      </c>
      <c r="J384" s="189">
        <f t="shared" ref="J384:L386" si="260">SUM(J304,J344)</f>
        <v>0</v>
      </c>
      <c r="K384" s="189">
        <f t="shared" si="260"/>
        <v>0</v>
      </c>
      <c r="L384" s="189">
        <f t="shared" si="260"/>
        <v>0</v>
      </c>
      <c r="M384" s="190">
        <f>SUM(J384:L384)</f>
        <v>0</v>
      </c>
      <c r="N384" s="189">
        <f t="shared" ref="N384:P386" si="261">SUM(N304,N344)</f>
        <v>0</v>
      </c>
      <c r="O384" s="189">
        <f t="shared" si="261"/>
        <v>0</v>
      </c>
      <c r="P384" s="189">
        <f t="shared" si="261"/>
        <v>0</v>
      </c>
      <c r="Q384" s="190">
        <f>SUM(N384:P384)</f>
        <v>0</v>
      </c>
      <c r="R384" s="189">
        <f t="shared" ref="R384:T386" si="262">SUM(R304,R344)</f>
        <v>0</v>
      </c>
      <c r="S384" s="189">
        <f t="shared" si="262"/>
        <v>0</v>
      </c>
      <c r="T384" s="189">
        <f t="shared" si="262"/>
        <v>0</v>
      </c>
      <c r="U384" s="190">
        <f>SUM(R384:T384)</f>
        <v>0</v>
      </c>
      <c r="V384" s="189">
        <f t="shared" ref="V384:X386" si="263">SUM(V304,V344)</f>
        <v>0</v>
      </c>
      <c r="W384" s="189">
        <f t="shared" si="263"/>
        <v>0</v>
      </c>
      <c r="X384" s="189">
        <f t="shared" si="263"/>
        <v>0</v>
      </c>
      <c r="Y384" s="190">
        <f>SUM(V384:X384)</f>
        <v>0</v>
      </c>
    </row>
    <row r="385" spans="1:25" ht="12.75" hidden="1" customHeight="1" outlineLevel="1" x14ac:dyDescent="0.2">
      <c r="A385" s="198" t="str">
        <f>"            "&amp;Labels!B398</f>
        <v xml:space="preserve">            Supply Type 2</v>
      </c>
      <c r="B385" s="189">
        <f t="shared" si="258"/>
        <v>0</v>
      </c>
      <c r="C385" s="189">
        <f t="shared" si="258"/>
        <v>0</v>
      </c>
      <c r="D385" s="189">
        <f t="shared" si="258"/>
        <v>0</v>
      </c>
      <c r="E385" s="190">
        <f>SUM(B385:D385)</f>
        <v>0</v>
      </c>
      <c r="F385" s="189">
        <f t="shared" si="259"/>
        <v>0</v>
      </c>
      <c r="G385" s="189">
        <f t="shared" si="259"/>
        <v>0</v>
      </c>
      <c r="H385" s="189">
        <f t="shared" si="259"/>
        <v>0</v>
      </c>
      <c r="I385" s="190">
        <f>SUM(F385:H385)</f>
        <v>0</v>
      </c>
      <c r="J385" s="189">
        <f t="shared" si="260"/>
        <v>0</v>
      </c>
      <c r="K385" s="189">
        <f t="shared" si="260"/>
        <v>0</v>
      </c>
      <c r="L385" s="189">
        <f t="shared" si="260"/>
        <v>0</v>
      </c>
      <c r="M385" s="190">
        <f>SUM(J385:L385)</f>
        <v>0</v>
      </c>
      <c r="N385" s="189">
        <f t="shared" si="261"/>
        <v>0</v>
      </c>
      <c r="O385" s="189">
        <f t="shared" si="261"/>
        <v>0</v>
      </c>
      <c r="P385" s="189">
        <f t="shared" si="261"/>
        <v>0</v>
      </c>
      <c r="Q385" s="190">
        <f>SUM(N385:P385)</f>
        <v>0</v>
      </c>
      <c r="R385" s="189">
        <f t="shared" si="262"/>
        <v>0</v>
      </c>
      <c r="S385" s="189">
        <f t="shared" si="262"/>
        <v>0</v>
      </c>
      <c r="T385" s="189">
        <f t="shared" si="262"/>
        <v>0</v>
      </c>
      <c r="U385" s="190">
        <f>SUM(R385:T385)</f>
        <v>0</v>
      </c>
      <c r="V385" s="189">
        <f t="shared" si="263"/>
        <v>0</v>
      </c>
      <c r="W385" s="189">
        <f t="shared" si="263"/>
        <v>0</v>
      </c>
      <c r="X385" s="189">
        <f t="shared" si="263"/>
        <v>0</v>
      </c>
      <c r="Y385" s="190">
        <f>SUM(V385:X385)</f>
        <v>0</v>
      </c>
    </row>
    <row r="386" spans="1:25" ht="12.75" hidden="1" customHeight="1" outlineLevel="1" x14ac:dyDescent="0.2">
      <c r="A386" s="198" t="str">
        <f>"            "&amp;Labels!C396</f>
        <v xml:space="preserve">            Total</v>
      </c>
      <c r="B386" s="226">
        <f t="shared" si="258"/>
        <v>0</v>
      </c>
      <c r="C386" s="226">
        <f t="shared" si="258"/>
        <v>0</v>
      </c>
      <c r="D386" s="226">
        <f t="shared" si="258"/>
        <v>0</v>
      </c>
      <c r="E386" s="227">
        <f>SUM(B386:D386)</f>
        <v>0</v>
      </c>
      <c r="F386" s="226">
        <f t="shared" si="259"/>
        <v>0</v>
      </c>
      <c r="G386" s="226">
        <f t="shared" si="259"/>
        <v>0</v>
      </c>
      <c r="H386" s="226">
        <f t="shared" si="259"/>
        <v>0</v>
      </c>
      <c r="I386" s="227">
        <f>SUM(F386:H386)</f>
        <v>0</v>
      </c>
      <c r="J386" s="226">
        <f t="shared" si="260"/>
        <v>0</v>
      </c>
      <c r="K386" s="226">
        <f t="shared" si="260"/>
        <v>0</v>
      </c>
      <c r="L386" s="226">
        <f t="shared" si="260"/>
        <v>0</v>
      </c>
      <c r="M386" s="227">
        <f>SUM(J386:L386)</f>
        <v>0</v>
      </c>
      <c r="N386" s="226">
        <f t="shared" si="261"/>
        <v>0</v>
      </c>
      <c r="O386" s="226">
        <f t="shared" si="261"/>
        <v>0</v>
      </c>
      <c r="P386" s="226">
        <f t="shared" si="261"/>
        <v>0</v>
      </c>
      <c r="Q386" s="227">
        <f>SUM(N386:P386)</f>
        <v>0</v>
      </c>
      <c r="R386" s="226">
        <f t="shared" si="262"/>
        <v>0</v>
      </c>
      <c r="S386" s="226">
        <f t="shared" si="262"/>
        <v>0</v>
      </c>
      <c r="T386" s="226">
        <f t="shared" si="262"/>
        <v>0</v>
      </c>
      <c r="U386" s="227">
        <f>SUM(R386:T386)</f>
        <v>0</v>
      </c>
      <c r="V386" s="226">
        <f t="shared" si="263"/>
        <v>0</v>
      </c>
      <c r="W386" s="226">
        <f t="shared" si="263"/>
        <v>0</v>
      </c>
      <c r="X386" s="226">
        <f t="shared" si="263"/>
        <v>0</v>
      </c>
      <c r="Y386" s="227">
        <f>SUM(V386:X386)</f>
        <v>0</v>
      </c>
    </row>
    <row r="387" spans="1:25" ht="12.75" hidden="1" customHeight="1" outlineLevel="1" x14ac:dyDescent="0.2">
      <c r="A387" s="198" t="str">
        <f>"         "&amp;Labels!B386</f>
        <v xml:space="preserve">         Prof Level 2</v>
      </c>
      <c r="B387" s="226"/>
      <c r="C387" s="226"/>
      <c r="D387" s="226"/>
      <c r="E387" s="227"/>
      <c r="F387" s="226"/>
      <c r="G387" s="226"/>
      <c r="H387" s="226"/>
      <c r="I387" s="227"/>
      <c r="J387" s="226"/>
      <c r="K387" s="226"/>
      <c r="L387" s="226"/>
      <c r="M387" s="227"/>
      <c r="N387" s="226"/>
      <c r="O387" s="226"/>
      <c r="P387" s="226"/>
      <c r="Q387" s="227"/>
      <c r="R387" s="226"/>
      <c r="S387" s="226"/>
      <c r="T387" s="226"/>
      <c r="U387" s="227"/>
      <c r="V387" s="226"/>
      <c r="W387" s="226"/>
      <c r="X387" s="226"/>
      <c r="Y387" s="227"/>
    </row>
    <row r="388" spans="1:25" ht="12.75" hidden="1" customHeight="1" outlineLevel="1" x14ac:dyDescent="0.2">
      <c r="A388" s="198" t="str">
        <f>"            "&amp;Labels!B397</f>
        <v xml:space="preserve">            Supply Type 1</v>
      </c>
      <c r="B388" s="189">
        <f t="shared" ref="B388:D393" si="264">SUM(B308,B348)</f>
        <v>0</v>
      </c>
      <c r="C388" s="189">
        <f t="shared" si="264"/>
        <v>0</v>
      </c>
      <c r="D388" s="189">
        <f t="shared" si="264"/>
        <v>0</v>
      </c>
      <c r="E388" s="190">
        <f t="shared" ref="E388:E393" si="265">SUM(B388:D388)</f>
        <v>0</v>
      </c>
      <c r="F388" s="189">
        <f t="shared" ref="F388:H393" si="266">SUM(F308,F348)</f>
        <v>0</v>
      </c>
      <c r="G388" s="189">
        <f t="shared" si="266"/>
        <v>0</v>
      </c>
      <c r="H388" s="189">
        <f t="shared" si="266"/>
        <v>0</v>
      </c>
      <c r="I388" s="190">
        <f t="shared" ref="I388:I393" si="267">SUM(F388:H388)</f>
        <v>0</v>
      </c>
      <c r="J388" s="189">
        <f t="shared" ref="J388:L393" si="268">SUM(J308,J348)</f>
        <v>0</v>
      </c>
      <c r="K388" s="189">
        <f t="shared" si="268"/>
        <v>0</v>
      </c>
      <c r="L388" s="189">
        <f t="shared" si="268"/>
        <v>0</v>
      </c>
      <c r="M388" s="190">
        <f t="shared" ref="M388:M393" si="269">SUM(J388:L388)</f>
        <v>0</v>
      </c>
      <c r="N388" s="189">
        <f t="shared" ref="N388:P393" si="270">SUM(N308,N348)</f>
        <v>0</v>
      </c>
      <c r="O388" s="189">
        <f t="shared" si="270"/>
        <v>0</v>
      </c>
      <c r="P388" s="189">
        <f t="shared" si="270"/>
        <v>0</v>
      </c>
      <c r="Q388" s="190">
        <f t="shared" ref="Q388:Q393" si="271">SUM(N388:P388)</f>
        <v>0</v>
      </c>
      <c r="R388" s="189">
        <f t="shared" ref="R388:T393" si="272">SUM(R308,R348)</f>
        <v>0</v>
      </c>
      <c r="S388" s="189">
        <f t="shared" si="272"/>
        <v>0</v>
      </c>
      <c r="T388" s="189">
        <f t="shared" si="272"/>
        <v>0</v>
      </c>
      <c r="U388" s="190">
        <f t="shared" ref="U388:U393" si="273">SUM(R388:T388)</f>
        <v>0</v>
      </c>
      <c r="V388" s="189">
        <f t="shared" ref="V388:X393" si="274">SUM(V308,V348)</f>
        <v>0</v>
      </c>
      <c r="W388" s="189">
        <f t="shared" si="274"/>
        <v>0</v>
      </c>
      <c r="X388" s="189">
        <f t="shared" si="274"/>
        <v>0</v>
      </c>
      <c r="Y388" s="190">
        <f t="shared" ref="Y388:Y393" si="275">SUM(V388:X388)</f>
        <v>0</v>
      </c>
    </row>
    <row r="389" spans="1:25" ht="12.75" hidden="1" customHeight="1" outlineLevel="1" x14ac:dyDescent="0.2">
      <c r="A389" s="198" t="str">
        <f>"            "&amp;Labels!B398</f>
        <v xml:space="preserve">            Supply Type 2</v>
      </c>
      <c r="B389" s="189">
        <f t="shared" si="264"/>
        <v>0</v>
      </c>
      <c r="C389" s="189">
        <f t="shared" si="264"/>
        <v>0</v>
      </c>
      <c r="D389" s="189">
        <f t="shared" si="264"/>
        <v>0</v>
      </c>
      <c r="E389" s="190">
        <f t="shared" si="265"/>
        <v>0</v>
      </c>
      <c r="F389" s="189">
        <f t="shared" si="266"/>
        <v>0</v>
      </c>
      <c r="G389" s="189">
        <f t="shared" si="266"/>
        <v>0</v>
      </c>
      <c r="H389" s="189">
        <f t="shared" si="266"/>
        <v>0</v>
      </c>
      <c r="I389" s="190">
        <f t="shared" si="267"/>
        <v>0</v>
      </c>
      <c r="J389" s="189">
        <f t="shared" si="268"/>
        <v>0</v>
      </c>
      <c r="K389" s="189">
        <f t="shared" si="268"/>
        <v>0</v>
      </c>
      <c r="L389" s="189">
        <f t="shared" si="268"/>
        <v>0</v>
      </c>
      <c r="M389" s="190">
        <f t="shared" si="269"/>
        <v>0</v>
      </c>
      <c r="N389" s="189">
        <f t="shared" si="270"/>
        <v>0</v>
      </c>
      <c r="O389" s="189">
        <f t="shared" si="270"/>
        <v>0</v>
      </c>
      <c r="P389" s="189">
        <f t="shared" si="270"/>
        <v>0</v>
      </c>
      <c r="Q389" s="190">
        <f t="shared" si="271"/>
        <v>0</v>
      </c>
      <c r="R389" s="189">
        <f t="shared" si="272"/>
        <v>0</v>
      </c>
      <c r="S389" s="189">
        <f t="shared" si="272"/>
        <v>0</v>
      </c>
      <c r="T389" s="189">
        <f t="shared" si="272"/>
        <v>0</v>
      </c>
      <c r="U389" s="190">
        <f t="shared" si="273"/>
        <v>0</v>
      </c>
      <c r="V389" s="189">
        <f t="shared" si="274"/>
        <v>0</v>
      </c>
      <c r="W389" s="189">
        <f t="shared" si="274"/>
        <v>0</v>
      </c>
      <c r="X389" s="189">
        <f t="shared" si="274"/>
        <v>0</v>
      </c>
      <c r="Y389" s="190">
        <f t="shared" si="275"/>
        <v>0</v>
      </c>
    </row>
    <row r="390" spans="1:25" ht="12.75" hidden="1" customHeight="1" outlineLevel="1" x14ac:dyDescent="0.2">
      <c r="A390" s="198" t="str">
        <f>"            "&amp;Labels!C396</f>
        <v xml:space="preserve">            Total</v>
      </c>
      <c r="B390" s="226">
        <f t="shared" si="264"/>
        <v>0</v>
      </c>
      <c r="C390" s="226">
        <f t="shared" si="264"/>
        <v>0</v>
      </c>
      <c r="D390" s="226">
        <f t="shared" si="264"/>
        <v>0</v>
      </c>
      <c r="E390" s="227">
        <f t="shared" si="265"/>
        <v>0</v>
      </c>
      <c r="F390" s="226">
        <f t="shared" si="266"/>
        <v>0</v>
      </c>
      <c r="G390" s="226">
        <f t="shared" si="266"/>
        <v>0</v>
      </c>
      <c r="H390" s="226">
        <f t="shared" si="266"/>
        <v>0</v>
      </c>
      <c r="I390" s="227">
        <f t="shared" si="267"/>
        <v>0</v>
      </c>
      <c r="J390" s="226">
        <f t="shared" si="268"/>
        <v>0</v>
      </c>
      <c r="K390" s="226">
        <f t="shared" si="268"/>
        <v>0</v>
      </c>
      <c r="L390" s="226">
        <f t="shared" si="268"/>
        <v>0</v>
      </c>
      <c r="M390" s="227">
        <f t="shared" si="269"/>
        <v>0</v>
      </c>
      <c r="N390" s="226">
        <f t="shared" si="270"/>
        <v>0</v>
      </c>
      <c r="O390" s="226">
        <f t="shared" si="270"/>
        <v>0</v>
      </c>
      <c r="P390" s="226">
        <f t="shared" si="270"/>
        <v>0</v>
      </c>
      <c r="Q390" s="227">
        <f t="shared" si="271"/>
        <v>0</v>
      </c>
      <c r="R390" s="226">
        <f t="shared" si="272"/>
        <v>0</v>
      </c>
      <c r="S390" s="226">
        <f t="shared" si="272"/>
        <v>0</v>
      </c>
      <c r="T390" s="226">
        <f t="shared" si="272"/>
        <v>0</v>
      </c>
      <c r="U390" s="227">
        <f t="shared" si="273"/>
        <v>0</v>
      </c>
      <c r="V390" s="226">
        <f t="shared" si="274"/>
        <v>0</v>
      </c>
      <c r="W390" s="226">
        <f t="shared" si="274"/>
        <v>0</v>
      </c>
      <c r="X390" s="226">
        <f t="shared" si="274"/>
        <v>0</v>
      </c>
      <c r="Y390" s="227">
        <f t="shared" si="275"/>
        <v>0</v>
      </c>
    </row>
    <row r="391" spans="1:25" ht="12.75" hidden="1" customHeight="1" outlineLevel="1" x14ac:dyDescent="0.2">
      <c r="A391" s="198" t="str">
        <f>"         "&amp;Labels!C384</f>
        <v xml:space="preserve">         Total</v>
      </c>
      <c r="B391" s="226">
        <f t="shared" si="264"/>
        <v>0</v>
      </c>
      <c r="C391" s="226">
        <f t="shared" si="264"/>
        <v>0</v>
      </c>
      <c r="D391" s="226">
        <f t="shared" si="264"/>
        <v>0</v>
      </c>
      <c r="E391" s="227">
        <f t="shared" si="265"/>
        <v>0</v>
      </c>
      <c r="F391" s="226">
        <f t="shared" si="266"/>
        <v>0</v>
      </c>
      <c r="G391" s="226">
        <f t="shared" si="266"/>
        <v>0</v>
      </c>
      <c r="H391" s="226">
        <f t="shared" si="266"/>
        <v>0</v>
      </c>
      <c r="I391" s="227">
        <f t="shared" si="267"/>
        <v>0</v>
      </c>
      <c r="J391" s="226">
        <f t="shared" si="268"/>
        <v>0</v>
      </c>
      <c r="K391" s="226">
        <f t="shared" si="268"/>
        <v>0</v>
      </c>
      <c r="L391" s="226">
        <f t="shared" si="268"/>
        <v>0</v>
      </c>
      <c r="M391" s="227">
        <f t="shared" si="269"/>
        <v>0</v>
      </c>
      <c r="N391" s="226">
        <f t="shared" si="270"/>
        <v>0</v>
      </c>
      <c r="O391" s="226">
        <f t="shared" si="270"/>
        <v>0</v>
      </c>
      <c r="P391" s="226">
        <f t="shared" si="270"/>
        <v>0</v>
      </c>
      <c r="Q391" s="227">
        <f t="shared" si="271"/>
        <v>0</v>
      </c>
      <c r="R391" s="226">
        <f t="shared" si="272"/>
        <v>0</v>
      </c>
      <c r="S391" s="226">
        <f t="shared" si="272"/>
        <v>0</v>
      </c>
      <c r="T391" s="226">
        <f t="shared" si="272"/>
        <v>0</v>
      </c>
      <c r="U391" s="227">
        <f t="shared" si="273"/>
        <v>0</v>
      </c>
      <c r="V391" s="226">
        <f t="shared" si="274"/>
        <v>0</v>
      </c>
      <c r="W391" s="226">
        <f t="shared" si="274"/>
        <v>0</v>
      </c>
      <c r="X391" s="226">
        <f t="shared" si="274"/>
        <v>0</v>
      </c>
      <c r="Y391" s="227">
        <f t="shared" si="275"/>
        <v>0</v>
      </c>
    </row>
    <row r="392" spans="1:25" ht="12.75" hidden="1" customHeight="1" outlineLevel="1" x14ac:dyDescent="0.2">
      <c r="A392" s="198" t="str">
        <f>"            "&amp;Labels!B397</f>
        <v xml:space="preserve">            Supply Type 1</v>
      </c>
      <c r="B392" s="189">
        <f t="shared" si="264"/>
        <v>0</v>
      </c>
      <c r="C392" s="189">
        <f t="shared" si="264"/>
        <v>0</v>
      </c>
      <c r="D392" s="189">
        <f t="shared" si="264"/>
        <v>0</v>
      </c>
      <c r="E392" s="190">
        <f t="shared" si="265"/>
        <v>0</v>
      </c>
      <c r="F392" s="189">
        <f t="shared" si="266"/>
        <v>0</v>
      </c>
      <c r="G392" s="189">
        <f t="shared" si="266"/>
        <v>0</v>
      </c>
      <c r="H392" s="189">
        <f t="shared" si="266"/>
        <v>0</v>
      </c>
      <c r="I392" s="190">
        <f t="shared" si="267"/>
        <v>0</v>
      </c>
      <c r="J392" s="189">
        <f t="shared" si="268"/>
        <v>0</v>
      </c>
      <c r="K392" s="189">
        <f t="shared" si="268"/>
        <v>0</v>
      </c>
      <c r="L392" s="189">
        <f t="shared" si="268"/>
        <v>0</v>
      </c>
      <c r="M392" s="190">
        <f t="shared" si="269"/>
        <v>0</v>
      </c>
      <c r="N392" s="189">
        <f t="shared" si="270"/>
        <v>0</v>
      </c>
      <c r="O392" s="189">
        <f t="shared" si="270"/>
        <v>0</v>
      </c>
      <c r="P392" s="189">
        <f t="shared" si="270"/>
        <v>0</v>
      </c>
      <c r="Q392" s="190">
        <f t="shared" si="271"/>
        <v>0</v>
      </c>
      <c r="R392" s="189">
        <f t="shared" si="272"/>
        <v>0</v>
      </c>
      <c r="S392" s="189">
        <f t="shared" si="272"/>
        <v>0</v>
      </c>
      <c r="T392" s="189">
        <f t="shared" si="272"/>
        <v>0</v>
      </c>
      <c r="U392" s="190">
        <f t="shared" si="273"/>
        <v>0</v>
      </c>
      <c r="V392" s="189">
        <f t="shared" si="274"/>
        <v>0</v>
      </c>
      <c r="W392" s="189">
        <f t="shared" si="274"/>
        <v>0</v>
      </c>
      <c r="X392" s="189">
        <f t="shared" si="274"/>
        <v>0</v>
      </c>
      <c r="Y392" s="190">
        <f t="shared" si="275"/>
        <v>0</v>
      </c>
    </row>
    <row r="393" spans="1:25" ht="12.75" hidden="1" customHeight="1" outlineLevel="1" x14ac:dyDescent="0.2">
      <c r="A393" s="198" t="str">
        <f>"            "&amp;Labels!B398</f>
        <v xml:space="preserve">            Supply Type 2</v>
      </c>
      <c r="B393" s="189">
        <f t="shared" si="264"/>
        <v>0</v>
      </c>
      <c r="C393" s="189">
        <f t="shared" si="264"/>
        <v>0</v>
      </c>
      <c r="D393" s="189">
        <f t="shared" si="264"/>
        <v>0</v>
      </c>
      <c r="E393" s="190">
        <f t="shared" si="265"/>
        <v>0</v>
      </c>
      <c r="F393" s="189">
        <f t="shared" si="266"/>
        <v>0</v>
      </c>
      <c r="G393" s="189">
        <f t="shared" si="266"/>
        <v>0</v>
      </c>
      <c r="H393" s="189">
        <f t="shared" si="266"/>
        <v>0</v>
      </c>
      <c r="I393" s="190">
        <f t="shared" si="267"/>
        <v>0</v>
      </c>
      <c r="J393" s="189">
        <f t="shared" si="268"/>
        <v>0</v>
      </c>
      <c r="K393" s="189">
        <f t="shared" si="268"/>
        <v>0</v>
      </c>
      <c r="L393" s="189">
        <f t="shared" si="268"/>
        <v>0</v>
      </c>
      <c r="M393" s="190">
        <f t="shared" si="269"/>
        <v>0</v>
      </c>
      <c r="N393" s="189">
        <f t="shared" si="270"/>
        <v>0</v>
      </c>
      <c r="O393" s="189">
        <f t="shared" si="270"/>
        <v>0</v>
      </c>
      <c r="P393" s="189">
        <f t="shared" si="270"/>
        <v>0</v>
      </c>
      <c r="Q393" s="190">
        <f t="shared" si="271"/>
        <v>0</v>
      </c>
      <c r="R393" s="189">
        <f t="shared" si="272"/>
        <v>0</v>
      </c>
      <c r="S393" s="189">
        <f t="shared" si="272"/>
        <v>0</v>
      </c>
      <c r="T393" s="189">
        <f t="shared" si="272"/>
        <v>0</v>
      </c>
      <c r="U393" s="190">
        <f t="shared" si="273"/>
        <v>0</v>
      </c>
      <c r="V393" s="189">
        <f t="shared" si="274"/>
        <v>0</v>
      </c>
      <c r="W393" s="189">
        <f t="shared" si="274"/>
        <v>0</v>
      </c>
      <c r="X393" s="189">
        <f t="shared" si="274"/>
        <v>0</v>
      </c>
      <c r="Y393" s="190">
        <f t="shared" si="275"/>
        <v>0</v>
      </c>
    </row>
    <row r="394" spans="1:25" ht="12.75" hidden="1" customHeight="1" outlineLevel="1" x14ac:dyDescent="0.2">
      <c r="A394" s="198" t="str">
        <f>"            "&amp;Labels!C396</f>
        <v xml:space="preserve">            Total</v>
      </c>
      <c r="B394" s="226">
        <f>SUM(B311,B351)</f>
        <v>0</v>
      </c>
      <c r="C394" s="226">
        <f>SUM(C311,C351)</f>
        <v>0</v>
      </c>
      <c r="D394" s="226">
        <f>SUM(D311,D351)</f>
        <v>0</v>
      </c>
      <c r="E394" s="227">
        <f>SUM(B391:D391)</f>
        <v>0</v>
      </c>
      <c r="F394" s="226">
        <f>SUM(F311,F351)</f>
        <v>0</v>
      </c>
      <c r="G394" s="226">
        <f>SUM(G311,G351)</f>
        <v>0</v>
      </c>
      <c r="H394" s="226">
        <f>SUM(H311,H351)</f>
        <v>0</v>
      </c>
      <c r="I394" s="227">
        <f>SUM(F391:H391)</f>
        <v>0</v>
      </c>
      <c r="J394" s="226">
        <f>SUM(J311,J351)</f>
        <v>0</v>
      </c>
      <c r="K394" s="226">
        <f>SUM(K311,K351)</f>
        <v>0</v>
      </c>
      <c r="L394" s="226">
        <f>SUM(L311,L351)</f>
        <v>0</v>
      </c>
      <c r="M394" s="227">
        <f>SUM(J391:L391)</f>
        <v>0</v>
      </c>
      <c r="N394" s="226">
        <f>SUM(N311,N351)</f>
        <v>0</v>
      </c>
      <c r="O394" s="226">
        <f>SUM(O311,O351)</f>
        <v>0</v>
      </c>
      <c r="P394" s="226">
        <f>SUM(P311,P351)</f>
        <v>0</v>
      </c>
      <c r="Q394" s="227">
        <f>SUM(N391:P391)</f>
        <v>0</v>
      </c>
      <c r="R394" s="226">
        <f>SUM(R311,R351)</f>
        <v>0</v>
      </c>
      <c r="S394" s="226">
        <f>SUM(S311,S351)</f>
        <v>0</v>
      </c>
      <c r="T394" s="226">
        <f>SUM(T311,T351)</f>
        <v>0</v>
      </c>
      <c r="U394" s="227">
        <f>SUM(R391:T391)</f>
        <v>0</v>
      </c>
      <c r="V394" s="226">
        <f>SUM(V311,V351)</f>
        <v>0</v>
      </c>
      <c r="W394" s="226">
        <f>SUM(W311,W351)</f>
        <v>0</v>
      </c>
      <c r="X394" s="226">
        <f>SUM(X311,X351)</f>
        <v>0</v>
      </c>
      <c r="Y394" s="227">
        <f>SUM(V391:X391)</f>
        <v>0</v>
      </c>
    </row>
    <row r="395" spans="1:25" ht="12.75" hidden="1" customHeight="1" outlineLevel="1" x14ac:dyDescent="0.2">
      <c r="A395" s="198" t="str">
        <f>"      "&amp;Labels!B382</f>
        <v xml:space="preserve">      Practice 2</v>
      </c>
      <c r="B395" s="226"/>
      <c r="C395" s="226"/>
      <c r="D395" s="226"/>
      <c r="E395" s="227"/>
      <c r="F395" s="226"/>
      <c r="G395" s="226"/>
      <c r="H395" s="226"/>
      <c r="I395" s="227"/>
      <c r="J395" s="226"/>
      <c r="K395" s="226"/>
      <c r="L395" s="226"/>
      <c r="M395" s="227"/>
      <c r="N395" s="226"/>
      <c r="O395" s="226"/>
      <c r="P395" s="226"/>
      <c r="Q395" s="227"/>
      <c r="R395" s="226"/>
      <c r="S395" s="226"/>
      <c r="T395" s="226"/>
      <c r="U395" s="227"/>
      <c r="V395" s="226"/>
      <c r="W395" s="226"/>
      <c r="X395" s="226"/>
      <c r="Y395" s="227"/>
    </row>
    <row r="396" spans="1:25" ht="12.75" hidden="1" customHeight="1" outlineLevel="1" x14ac:dyDescent="0.2">
      <c r="A396" s="198" t="str">
        <f>"         "&amp;Labels!B385</f>
        <v xml:space="preserve">         Prof Level 1</v>
      </c>
      <c r="B396" s="226"/>
      <c r="C396" s="226"/>
      <c r="D396" s="226"/>
      <c r="E396" s="227"/>
      <c r="F396" s="226"/>
      <c r="G396" s="226"/>
      <c r="H396" s="226"/>
      <c r="I396" s="227"/>
      <c r="J396" s="226"/>
      <c r="K396" s="226"/>
      <c r="L396" s="226"/>
      <c r="M396" s="227"/>
      <c r="N396" s="226"/>
      <c r="O396" s="226"/>
      <c r="P396" s="226"/>
      <c r="Q396" s="227"/>
      <c r="R396" s="226"/>
      <c r="S396" s="226"/>
      <c r="T396" s="226"/>
      <c r="U396" s="227"/>
      <c r="V396" s="226"/>
      <c r="W396" s="226"/>
      <c r="X396" s="226"/>
      <c r="Y396" s="227"/>
    </row>
    <row r="397" spans="1:25" ht="12.75" hidden="1" customHeight="1" outlineLevel="1" x14ac:dyDescent="0.2">
      <c r="A397" s="198" t="str">
        <f>"            "&amp;Labels!B397</f>
        <v xml:space="preserve">            Supply Type 1</v>
      </c>
      <c r="B397" s="189">
        <f t="shared" ref="B397:D399" si="276">SUM(B317,B357)</f>
        <v>0</v>
      </c>
      <c r="C397" s="189">
        <f t="shared" si="276"/>
        <v>0</v>
      </c>
      <c r="D397" s="189">
        <f t="shared" si="276"/>
        <v>0</v>
      </c>
      <c r="E397" s="190">
        <f>SUM(B397:D397)</f>
        <v>0</v>
      </c>
      <c r="F397" s="189">
        <f t="shared" ref="F397:H399" si="277">SUM(F317,F357)</f>
        <v>0</v>
      </c>
      <c r="G397" s="189">
        <f t="shared" si="277"/>
        <v>0</v>
      </c>
      <c r="H397" s="189">
        <f t="shared" si="277"/>
        <v>0</v>
      </c>
      <c r="I397" s="190">
        <f>SUM(F397:H397)</f>
        <v>0</v>
      </c>
      <c r="J397" s="189">
        <f t="shared" ref="J397:L399" si="278">SUM(J317,J357)</f>
        <v>0</v>
      </c>
      <c r="K397" s="189">
        <f t="shared" si="278"/>
        <v>0</v>
      </c>
      <c r="L397" s="189">
        <f t="shared" si="278"/>
        <v>0</v>
      </c>
      <c r="M397" s="190">
        <f>SUM(J397:L397)</f>
        <v>0</v>
      </c>
      <c r="N397" s="189">
        <f t="shared" ref="N397:P399" si="279">SUM(N317,N357)</f>
        <v>0</v>
      </c>
      <c r="O397" s="189">
        <f t="shared" si="279"/>
        <v>0</v>
      </c>
      <c r="P397" s="189">
        <f t="shared" si="279"/>
        <v>0</v>
      </c>
      <c r="Q397" s="190">
        <f>SUM(N397:P397)</f>
        <v>0</v>
      </c>
      <c r="R397" s="189">
        <f t="shared" ref="R397:T399" si="280">SUM(R317,R357)</f>
        <v>0</v>
      </c>
      <c r="S397" s="189">
        <f t="shared" si="280"/>
        <v>0</v>
      </c>
      <c r="T397" s="189">
        <f t="shared" si="280"/>
        <v>0</v>
      </c>
      <c r="U397" s="190">
        <f>SUM(R397:T397)</f>
        <v>0</v>
      </c>
      <c r="V397" s="189">
        <f t="shared" ref="V397:X399" si="281">SUM(V317,V357)</f>
        <v>0</v>
      </c>
      <c r="W397" s="189">
        <f t="shared" si="281"/>
        <v>0</v>
      </c>
      <c r="X397" s="189">
        <f t="shared" si="281"/>
        <v>0</v>
      </c>
      <c r="Y397" s="190">
        <f>SUM(V397:X397)</f>
        <v>0</v>
      </c>
    </row>
    <row r="398" spans="1:25" ht="12.75" hidden="1" customHeight="1" outlineLevel="1" x14ac:dyDescent="0.2">
      <c r="A398" s="198" t="str">
        <f>"            "&amp;Labels!B398</f>
        <v xml:space="preserve">            Supply Type 2</v>
      </c>
      <c r="B398" s="189">
        <f t="shared" si="276"/>
        <v>0</v>
      </c>
      <c r="C398" s="189">
        <f t="shared" si="276"/>
        <v>0</v>
      </c>
      <c r="D398" s="189">
        <f t="shared" si="276"/>
        <v>0</v>
      </c>
      <c r="E398" s="190">
        <f>SUM(B398:D398)</f>
        <v>0</v>
      </c>
      <c r="F398" s="189">
        <f t="shared" si="277"/>
        <v>0</v>
      </c>
      <c r="G398" s="189">
        <f t="shared" si="277"/>
        <v>0</v>
      </c>
      <c r="H398" s="189">
        <f t="shared" si="277"/>
        <v>0</v>
      </c>
      <c r="I398" s="190">
        <f>SUM(F398:H398)</f>
        <v>0</v>
      </c>
      <c r="J398" s="189">
        <f t="shared" si="278"/>
        <v>0</v>
      </c>
      <c r="K398" s="189">
        <f t="shared" si="278"/>
        <v>0</v>
      </c>
      <c r="L398" s="189">
        <f t="shared" si="278"/>
        <v>0</v>
      </c>
      <c r="M398" s="190">
        <f>SUM(J398:L398)</f>
        <v>0</v>
      </c>
      <c r="N398" s="189">
        <f t="shared" si="279"/>
        <v>0</v>
      </c>
      <c r="O398" s="189">
        <f t="shared" si="279"/>
        <v>0</v>
      </c>
      <c r="P398" s="189">
        <f t="shared" si="279"/>
        <v>0</v>
      </c>
      <c r="Q398" s="190">
        <f>SUM(N398:P398)</f>
        <v>0</v>
      </c>
      <c r="R398" s="189">
        <f t="shared" si="280"/>
        <v>0</v>
      </c>
      <c r="S398" s="189">
        <f t="shared" si="280"/>
        <v>0</v>
      </c>
      <c r="T398" s="189">
        <f t="shared" si="280"/>
        <v>0</v>
      </c>
      <c r="U398" s="190">
        <f>SUM(R398:T398)</f>
        <v>0</v>
      </c>
      <c r="V398" s="189">
        <f t="shared" si="281"/>
        <v>0</v>
      </c>
      <c r="W398" s="189">
        <f t="shared" si="281"/>
        <v>0</v>
      </c>
      <c r="X398" s="189">
        <f t="shared" si="281"/>
        <v>0</v>
      </c>
      <c r="Y398" s="190">
        <f>SUM(V398:X398)</f>
        <v>0</v>
      </c>
    </row>
    <row r="399" spans="1:25" ht="12.75" hidden="1" customHeight="1" outlineLevel="1" x14ac:dyDescent="0.2">
      <c r="A399" s="198" t="str">
        <f>"            "&amp;Labels!C396</f>
        <v xml:space="preserve">            Total</v>
      </c>
      <c r="B399" s="226">
        <f t="shared" si="276"/>
        <v>0</v>
      </c>
      <c r="C399" s="226">
        <f t="shared" si="276"/>
        <v>0</v>
      </c>
      <c r="D399" s="226">
        <f t="shared" si="276"/>
        <v>0</v>
      </c>
      <c r="E399" s="227">
        <f>SUM(B399:D399)</f>
        <v>0</v>
      </c>
      <c r="F399" s="226">
        <f t="shared" si="277"/>
        <v>0</v>
      </c>
      <c r="G399" s="226">
        <f t="shared" si="277"/>
        <v>0</v>
      </c>
      <c r="H399" s="226">
        <f t="shared" si="277"/>
        <v>0</v>
      </c>
      <c r="I399" s="227">
        <f>SUM(F399:H399)</f>
        <v>0</v>
      </c>
      <c r="J399" s="226">
        <f t="shared" si="278"/>
        <v>0</v>
      </c>
      <c r="K399" s="226">
        <f t="shared" si="278"/>
        <v>0</v>
      </c>
      <c r="L399" s="226">
        <f t="shared" si="278"/>
        <v>0</v>
      </c>
      <c r="M399" s="227">
        <f>SUM(J399:L399)</f>
        <v>0</v>
      </c>
      <c r="N399" s="226">
        <f t="shared" si="279"/>
        <v>0</v>
      </c>
      <c r="O399" s="226">
        <f t="shared" si="279"/>
        <v>0</v>
      </c>
      <c r="P399" s="226">
        <f t="shared" si="279"/>
        <v>0</v>
      </c>
      <c r="Q399" s="227">
        <f>SUM(N399:P399)</f>
        <v>0</v>
      </c>
      <c r="R399" s="226">
        <f t="shared" si="280"/>
        <v>0</v>
      </c>
      <c r="S399" s="226">
        <f t="shared" si="280"/>
        <v>0</v>
      </c>
      <c r="T399" s="226">
        <f t="shared" si="280"/>
        <v>0</v>
      </c>
      <c r="U399" s="227">
        <f>SUM(R399:T399)</f>
        <v>0</v>
      </c>
      <c r="V399" s="226">
        <f t="shared" si="281"/>
        <v>0</v>
      </c>
      <c r="W399" s="226">
        <f t="shared" si="281"/>
        <v>0</v>
      </c>
      <c r="X399" s="226">
        <f t="shared" si="281"/>
        <v>0</v>
      </c>
      <c r="Y399" s="227">
        <f>SUM(V399:X399)</f>
        <v>0</v>
      </c>
    </row>
    <row r="400" spans="1:25" ht="12.75" hidden="1" customHeight="1" outlineLevel="1" x14ac:dyDescent="0.2">
      <c r="A400" s="198" t="str">
        <f>"         "&amp;Labels!B386</f>
        <v xml:space="preserve">         Prof Level 2</v>
      </c>
      <c r="B400" s="226"/>
      <c r="C400" s="226"/>
      <c r="D400" s="226"/>
      <c r="E400" s="227"/>
      <c r="F400" s="226"/>
      <c r="G400" s="226"/>
      <c r="H400" s="226"/>
      <c r="I400" s="227"/>
      <c r="J400" s="226"/>
      <c r="K400" s="226"/>
      <c r="L400" s="226"/>
      <c r="M400" s="227"/>
      <c r="N400" s="226"/>
      <c r="O400" s="226"/>
      <c r="P400" s="226"/>
      <c r="Q400" s="227"/>
      <c r="R400" s="226"/>
      <c r="S400" s="226"/>
      <c r="T400" s="226"/>
      <c r="U400" s="227"/>
      <c r="V400" s="226"/>
      <c r="W400" s="226"/>
      <c r="X400" s="226"/>
      <c r="Y400" s="227"/>
    </row>
    <row r="401" spans="1:25" ht="12.75" hidden="1" customHeight="1" outlineLevel="1" x14ac:dyDescent="0.2">
      <c r="A401" s="198" t="str">
        <f>"            "&amp;Labels!B397</f>
        <v xml:space="preserve">            Supply Type 1</v>
      </c>
      <c r="B401" s="189">
        <f t="shared" ref="B401:D406" si="282">SUM(B321,B361)</f>
        <v>0</v>
      </c>
      <c r="C401" s="189">
        <f t="shared" si="282"/>
        <v>0</v>
      </c>
      <c r="D401" s="189">
        <f t="shared" si="282"/>
        <v>0</v>
      </c>
      <c r="E401" s="190">
        <f t="shared" ref="E401:E406" si="283">SUM(B401:D401)</f>
        <v>0</v>
      </c>
      <c r="F401" s="189">
        <f t="shared" ref="F401:H406" si="284">SUM(F321,F361)</f>
        <v>0</v>
      </c>
      <c r="G401" s="189">
        <f t="shared" si="284"/>
        <v>0</v>
      </c>
      <c r="H401" s="189">
        <f t="shared" si="284"/>
        <v>0</v>
      </c>
      <c r="I401" s="190">
        <f t="shared" ref="I401:I406" si="285">SUM(F401:H401)</f>
        <v>0</v>
      </c>
      <c r="J401" s="189">
        <f t="shared" ref="J401:L406" si="286">SUM(J321,J361)</f>
        <v>0</v>
      </c>
      <c r="K401" s="189">
        <f t="shared" si="286"/>
        <v>0</v>
      </c>
      <c r="L401" s="189">
        <f t="shared" si="286"/>
        <v>0</v>
      </c>
      <c r="M401" s="190">
        <f t="shared" ref="M401:M406" si="287">SUM(J401:L401)</f>
        <v>0</v>
      </c>
      <c r="N401" s="189">
        <f t="shared" ref="N401:P406" si="288">SUM(N321,N361)</f>
        <v>0</v>
      </c>
      <c r="O401" s="189">
        <f t="shared" si="288"/>
        <v>0</v>
      </c>
      <c r="P401" s="189">
        <f t="shared" si="288"/>
        <v>0</v>
      </c>
      <c r="Q401" s="190">
        <f t="shared" ref="Q401:Q406" si="289">SUM(N401:P401)</f>
        <v>0</v>
      </c>
      <c r="R401" s="189">
        <f t="shared" ref="R401:T406" si="290">SUM(R321,R361)</f>
        <v>0</v>
      </c>
      <c r="S401" s="189">
        <f t="shared" si="290"/>
        <v>0</v>
      </c>
      <c r="T401" s="189">
        <f t="shared" si="290"/>
        <v>0</v>
      </c>
      <c r="U401" s="190">
        <f t="shared" ref="U401:U406" si="291">SUM(R401:T401)</f>
        <v>0</v>
      </c>
      <c r="V401" s="189">
        <f t="shared" ref="V401:X406" si="292">SUM(V321,V361)</f>
        <v>0</v>
      </c>
      <c r="W401" s="189">
        <f t="shared" si="292"/>
        <v>0</v>
      </c>
      <c r="X401" s="189">
        <f t="shared" si="292"/>
        <v>0</v>
      </c>
      <c r="Y401" s="190">
        <f t="shared" ref="Y401:Y406" si="293">SUM(V401:X401)</f>
        <v>0</v>
      </c>
    </row>
    <row r="402" spans="1:25" ht="12.75" hidden="1" customHeight="1" outlineLevel="1" x14ac:dyDescent="0.2">
      <c r="A402" s="198" t="str">
        <f>"            "&amp;Labels!B398</f>
        <v xml:space="preserve">            Supply Type 2</v>
      </c>
      <c r="B402" s="189">
        <f t="shared" si="282"/>
        <v>0</v>
      </c>
      <c r="C402" s="189">
        <f t="shared" si="282"/>
        <v>0</v>
      </c>
      <c r="D402" s="189">
        <f t="shared" si="282"/>
        <v>0</v>
      </c>
      <c r="E402" s="190">
        <f t="shared" si="283"/>
        <v>0</v>
      </c>
      <c r="F402" s="189">
        <f t="shared" si="284"/>
        <v>0</v>
      </c>
      <c r="G402" s="189">
        <f t="shared" si="284"/>
        <v>0</v>
      </c>
      <c r="H402" s="189">
        <f t="shared" si="284"/>
        <v>0</v>
      </c>
      <c r="I402" s="190">
        <f t="shared" si="285"/>
        <v>0</v>
      </c>
      <c r="J402" s="189">
        <f t="shared" si="286"/>
        <v>0</v>
      </c>
      <c r="K402" s="189">
        <f t="shared" si="286"/>
        <v>0</v>
      </c>
      <c r="L402" s="189">
        <f t="shared" si="286"/>
        <v>0</v>
      </c>
      <c r="M402" s="190">
        <f t="shared" si="287"/>
        <v>0</v>
      </c>
      <c r="N402" s="189">
        <f t="shared" si="288"/>
        <v>0</v>
      </c>
      <c r="O402" s="189">
        <f t="shared" si="288"/>
        <v>0</v>
      </c>
      <c r="P402" s="189">
        <f t="shared" si="288"/>
        <v>0</v>
      </c>
      <c r="Q402" s="190">
        <f t="shared" si="289"/>
        <v>0</v>
      </c>
      <c r="R402" s="189">
        <f t="shared" si="290"/>
        <v>0</v>
      </c>
      <c r="S402" s="189">
        <f t="shared" si="290"/>
        <v>0</v>
      </c>
      <c r="T402" s="189">
        <f t="shared" si="290"/>
        <v>0</v>
      </c>
      <c r="U402" s="190">
        <f t="shared" si="291"/>
        <v>0</v>
      </c>
      <c r="V402" s="189">
        <f t="shared" si="292"/>
        <v>0</v>
      </c>
      <c r="W402" s="189">
        <f t="shared" si="292"/>
        <v>0</v>
      </c>
      <c r="X402" s="189">
        <f t="shared" si="292"/>
        <v>0</v>
      </c>
      <c r="Y402" s="190">
        <f t="shared" si="293"/>
        <v>0</v>
      </c>
    </row>
    <row r="403" spans="1:25" ht="12.75" hidden="1" customHeight="1" outlineLevel="1" x14ac:dyDescent="0.2">
      <c r="A403" s="198" t="str">
        <f>"            "&amp;Labels!C396</f>
        <v xml:space="preserve">            Total</v>
      </c>
      <c r="B403" s="226">
        <f t="shared" si="282"/>
        <v>0</v>
      </c>
      <c r="C403" s="226">
        <f t="shared" si="282"/>
        <v>0</v>
      </c>
      <c r="D403" s="226">
        <f t="shared" si="282"/>
        <v>0</v>
      </c>
      <c r="E403" s="227">
        <f t="shared" si="283"/>
        <v>0</v>
      </c>
      <c r="F403" s="226">
        <f t="shared" si="284"/>
        <v>0</v>
      </c>
      <c r="G403" s="226">
        <f t="shared" si="284"/>
        <v>0</v>
      </c>
      <c r="H403" s="226">
        <f t="shared" si="284"/>
        <v>0</v>
      </c>
      <c r="I403" s="227">
        <f t="shared" si="285"/>
        <v>0</v>
      </c>
      <c r="J403" s="226">
        <f t="shared" si="286"/>
        <v>0</v>
      </c>
      <c r="K403" s="226">
        <f t="shared" si="286"/>
        <v>0</v>
      </c>
      <c r="L403" s="226">
        <f t="shared" si="286"/>
        <v>0</v>
      </c>
      <c r="M403" s="227">
        <f t="shared" si="287"/>
        <v>0</v>
      </c>
      <c r="N403" s="226">
        <f t="shared" si="288"/>
        <v>0</v>
      </c>
      <c r="O403" s="226">
        <f t="shared" si="288"/>
        <v>0</v>
      </c>
      <c r="P403" s="226">
        <f t="shared" si="288"/>
        <v>0</v>
      </c>
      <c r="Q403" s="227">
        <f t="shared" si="289"/>
        <v>0</v>
      </c>
      <c r="R403" s="226">
        <f t="shared" si="290"/>
        <v>0</v>
      </c>
      <c r="S403" s="226">
        <f t="shared" si="290"/>
        <v>0</v>
      </c>
      <c r="T403" s="226">
        <f t="shared" si="290"/>
        <v>0</v>
      </c>
      <c r="U403" s="227">
        <f t="shared" si="291"/>
        <v>0</v>
      </c>
      <c r="V403" s="226">
        <f t="shared" si="292"/>
        <v>0</v>
      </c>
      <c r="W403" s="226">
        <f t="shared" si="292"/>
        <v>0</v>
      </c>
      <c r="X403" s="226">
        <f t="shared" si="292"/>
        <v>0</v>
      </c>
      <c r="Y403" s="227">
        <f t="shared" si="293"/>
        <v>0</v>
      </c>
    </row>
    <row r="404" spans="1:25" ht="12.75" hidden="1" customHeight="1" outlineLevel="1" x14ac:dyDescent="0.2">
      <c r="A404" s="198" t="str">
        <f>"         "&amp;Labels!C384</f>
        <v xml:space="preserve">         Total</v>
      </c>
      <c r="B404" s="226">
        <f t="shared" si="282"/>
        <v>0</v>
      </c>
      <c r="C404" s="226">
        <f t="shared" si="282"/>
        <v>0</v>
      </c>
      <c r="D404" s="226">
        <f t="shared" si="282"/>
        <v>0</v>
      </c>
      <c r="E404" s="227">
        <f t="shared" si="283"/>
        <v>0</v>
      </c>
      <c r="F404" s="226">
        <f t="shared" si="284"/>
        <v>0</v>
      </c>
      <c r="G404" s="226">
        <f t="shared" si="284"/>
        <v>0</v>
      </c>
      <c r="H404" s="226">
        <f t="shared" si="284"/>
        <v>0</v>
      </c>
      <c r="I404" s="227">
        <f t="shared" si="285"/>
        <v>0</v>
      </c>
      <c r="J404" s="226">
        <f t="shared" si="286"/>
        <v>0</v>
      </c>
      <c r="K404" s="226">
        <f t="shared" si="286"/>
        <v>0</v>
      </c>
      <c r="L404" s="226">
        <f t="shared" si="286"/>
        <v>0</v>
      </c>
      <c r="M404" s="227">
        <f t="shared" si="287"/>
        <v>0</v>
      </c>
      <c r="N404" s="226">
        <f t="shared" si="288"/>
        <v>0</v>
      </c>
      <c r="O404" s="226">
        <f t="shared" si="288"/>
        <v>0</v>
      </c>
      <c r="P404" s="226">
        <f t="shared" si="288"/>
        <v>0</v>
      </c>
      <c r="Q404" s="227">
        <f t="shared" si="289"/>
        <v>0</v>
      </c>
      <c r="R404" s="226">
        <f t="shared" si="290"/>
        <v>0</v>
      </c>
      <c r="S404" s="226">
        <f t="shared" si="290"/>
        <v>0</v>
      </c>
      <c r="T404" s="226">
        <f t="shared" si="290"/>
        <v>0</v>
      </c>
      <c r="U404" s="227">
        <f t="shared" si="291"/>
        <v>0</v>
      </c>
      <c r="V404" s="226">
        <f t="shared" si="292"/>
        <v>0</v>
      </c>
      <c r="W404" s="226">
        <f t="shared" si="292"/>
        <v>0</v>
      </c>
      <c r="X404" s="226">
        <f t="shared" si="292"/>
        <v>0</v>
      </c>
      <c r="Y404" s="227">
        <f t="shared" si="293"/>
        <v>0</v>
      </c>
    </row>
    <row r="405" spans="1:25" ht="12.75" hidden="1" customHeight="1" outlineLevel="1" x14ac:dyDescent="0.2">
      <c r="A405" s="198" t="str">
        <f>"            "&amp;Labels!B397</f>
        <v xml:space="preserve">            Supply Type 1</v>
      </c>
      <c r="B405" s="189">
        <f t="shared" si="282"/>
        <v>0</v>
      </c>
      <c r="C405" s="189">
        <f t="shared" si="282"/>
        <v>0</v>
      </c>
      <c r="D405" s="189">
        <f t="shared" si="282"/>
        <v>0</v>
      </c>
      <c r="E405" s="190">
        <f t="shared" si="283"/>
        <v>0</v>
      </c>
      <c r="F405" s="189">
        <f t="shared" si="284"/>
        <v>0</v>
      </c>
      <c r="G405" s="189">
        <f t="shared" si="284"/>
        <v>0</v>
      </c>
      <c r="H405" s="189">
        <f t="shared" si="284"/>
        <v>0</v>
      </c>
      <c r="I405" s="190">
        <f t="shared" si="285"/>
        <v>0</v>
      </c>
      <c r="J405" s="189">
        <f t="shared" si="286"/>
        <v>0</v>
      </c>
      <c r="K405" s="189">
        <f t="shared" si="286"/>
        <v>0</v>
      </c>
      <c r="L405" s="189">
        <f t="shared" si="286"/>
        <v>0</v>
      </c>
      <c r="M405" s="190">
        <f t="shared" si="287"/>
        <v>0</v>
      </c>
      <c r="N405" s="189">
        <f t="shared" si="288"/>
        <v>0</v>
      </c>
      <c r="O405" s="189">
        <f t="shared" si="288"/>
        <v>0</v>
      </c>
      <c r="P405" s="189">
        <f t="shared" si="288"/>
        <v>0</v>
      </c>
      <c r="Q405" s="190">
        <f t="shared" si="289"/>
        <v>0</v>
      </c>
      <c r="R405" s="189">
        <f t="shared" si="290"/>
        <v>0</v>
      </c>
      <c r="S405" s="189">
        <f t="shared" si="290"/>
        <v>0</v>
      </c>
      <c r="T405" s="189">
        <f t="shared" si="290"/>
        <v>0</v>
      </c>
      <c r="U405" s="190">
        <f t="shared" si="291"/>
        <v>0</v>
      </c>
      <c r="V405" s="189">
        <f t="shared" si="292"/>
        <v>0</v>
      </c>
      <c r="W405" s="189">
        <f t="shared" si="292"/>
        <v>0</v>
      </c>
      <c r="X405" s="189">
        <f t="shared" si="292"/>
        <v>0</v>
      </c>
      <c r="Y405" s="190">
        <f t="shared" si="293"/>
        <v>0</v>
      </c>
    </row>
    <row r="406" spans="1:25" ht="12.75" hidden="1" customHeight="1" outlineLevel="1" x14ac:dyDescent="0.2">
      <c r="A406" s="198" t="str">
        <f>"            "&amp;Labels!B398</f>
        <v xml:space="preserve">            Supply Type 2</v>
      </c>
      <c r="B406" s="189">
        <f t="shared" si="282"/>
        <v>0</v>
      </c>
      <c r="C406" s="189">
        <f t="shared" si="282"/>
        <v>0</v>
      </c>
      <c r="D406" s="189">
        <f t="shared" si="282"/>
        <v>0</v>
      </c>
      <c r="E406" s="190">
        <f t="shared" si="283"/>
        <v>0</v>
      </c>
      <c r="F406" s="189">
        <f t="shared" si="284"/>
        <v>0</v>
      </c>
      <c r="G406" s="189">
        <f t="shared" si="284"/>
        <v>0</v>
      </c>
      <c r="H406" s="189">
        <f t="shared" si="284"/>
        <v>0</v>
      </c>
      <c r="I406" s="190">
        <f t="shared" si="285"/>
        <v>0</v>
      </c>
      <c r="J406" s="189">
        <f t="shared" si="286"/>
        <v>0</v>
      </c>
      <c r="K406" s="189">
        <f t="shared" si="286"/>
        <v>0</v>
      </c>
      <c r="L406" s="189">
        <f t="shared" si="286"/>
        <v>0</v>
      </c>
      <c r="M406" s="190">
        <f t="shared" si="287"/>
        <v>0</v>
      </c>
      <c r="N406" s="189">
        <f t="shared" si="288"/>
        <v>0</v>
      </c>
      <c r="O406" s="189">
        <f t="shared" si="288"/>
        <v>0</v>
      </c>
      <c r="P406" s="189">
        <f t="shared" si="288"/>
        <v>0</v>
      </c>
      <c r="Q406" s="190">
        <f t="shared" si="289"/>
        <v>0</v>
      </c>
      <c r="R406" s="189">
        <f t="shared" si="290"/>
        <v>0</v>
      </c>
      <c r="S406" s="189">
        <f t="shared" si="290"/>
        <v>0</v>
      </c>
      <c r="T406" s="189">
        <f t="shared" si="290"/>
        <v>0</v>
      </c>
      <c r="U406" s="190">
        <f t="shared" si="291"/>
        <v>0</v>
      </c>
      <c r="V406" s="189">
        <f t="shared" si="292"/>
        <v>0</v>
      </c>
      <c r="W406" s="189">
        <f t="shared" si="292"/>
        <v>0</v>
      </c>
      <c r="X406" s="189">
        <f t="shared" si="292"/>
        <v>0</v>
      </c>
      <c r="Y406" s="190">
        <f t="shared" si="293"/>
        <v>0</v>
      </c>
    </row>
    <row r="407" spans="1:25" ht="12.75" hidden="1" customHeight="1" outlineLevel="1" x14ac:dyDescent="0.2">
      <c r="A407" s="198" t="str">
        <f>"            "&amp;Labels!C396</f>
        <v xml:space="preserve">            Total</v>
      </c>
      <c r="B407" s="226">
        <f>SUM(B324,B364)</f>
        <v>0</v>
      </c>
      <c r="C407" s="226">
        <f>SUM(C324,C364)</f>
        <v>0</v>
      </c>
      <c r="D407" s="226">
        <f>SUM(D324,D364)</f>
        <v>0</v>
      </c>
      <c r="E407" s="227">
        <f>SUM(B404:D404)</f>
        <v>0</v>
      </c>
      <c r="F407" s="226">
        <f>SUM(F324,F364)</f>
        <v>0</v>
      </c>
      <c r="G407" s="226">
        <f>SUM(G324,G364)</f>
        <v>0</v>
      </c>
      <c r="H407" s="226">
        <f>SUM(H324,H364)</f>
        <v>0</v>
      </c>
      <c r="I407" s="227">
        <f>SUM(F404:H404)</f>
        <v>0</v>
      </c>
      <c r="J407" s="226">
        <f>SUM(J324,J364)</f>
        <v>0</v>
      </c>
      <c r="K407" s="226">
        <f>SUM(K324,K364)</f>
        <v>0</v>
      </c>
      <c r="L407" s="226">
        <f>SUM(L324,L364)</f>
        <v>0</v>
      </c>
      <c r="M407" s="227">
        <f>SUM(J404:L404)</f>
        <v>0</v>
      </c>
      <c r="N407" s="226">
        <f>SUM(N324,N364)</f>
        <v>0</v>
      </c>
      <c r="O407" s="226">
        <f>SUM(O324,O364)</f>
        <v>0</v>
      </c>
      <c r="P407" s="226">
        <f>SUM(P324,P364)</f>
        <v>0</v>
      </c>
      <c r="Q407" s="227">
        <f>SUM(N404:P404)</f>
        <v>0</v>
      </c>
      <c r="R407" s="226">
        <f>SUM(R324,R364)</f>
        <v>0</v>
      </c>
      <c r="S407" s="226">
        <f>SUM(S324,S364)</f>
        <v>0</v>
      </c>
      <c r="T407" s="226">
        <f>SUM(T324,T364)</f>
        <v>0</v>
      </c>
      <c r="U407" s="227">
        <f>SUM(R404:T404)</f>
        <v>0</v>
      </c>
      <c r="V407" s="226">
        <f>SUM(V324,V364)</f>
        <v>0</v>
      </c>
      <c r="W407" s="226">
        <f>SUM(W324,W364)</f>
        <v>0</v>
      </c>
      <c r="X407" s="226">
        <f>SUM(X324,X364)</f>
        <v>0</v>
      </c>
      <c r="Y407" s="227">
        <f>SUM(V404:X404)</f>
        <v>0</v>
      </c>
    </row>
    <row r="408" spans="1:25" ht="12.75" hidden="1" customHeight="1" outlineLevel="1" x14ac:dyDescent="0.2">
      <c r="A408" s="188" t="str">
        <f>"      "&amp;Labels!C380</f>
        <v xml:space="preserve">      Total</v>
      </c>
      <c r="B408" s="196">
        <f>SUM(B328,B368)</f>
        <v>0</v>
      </c>
      <c r="C408" s="196">
        <f>SUM(C328,C368)</f>
        <v>0</v>
      </c>
      <c r="D408" s="196">
        <f>SUM(D328,D368)</f>
        <v>0</v>
      </c>
      <c r="E408" s="197">
        <f>SUM(B381:D381)</f>
        <v>0</v>
      </c>
      <c r="F408" s="196">
        <f>SUM(F328,F368)</f>
        <v>0</v>
      </c>
      <c r="G408" s="196">
        <f>SUM(G328,G368)</f>
        <v>0</v>
      </c>
      <c r="H408" s="196">
        <f>SUM(H328,H368)</f>
        <v>0</v>
      </c>
      <c r="I408" s="197">
        <f>SUM(F381:H381)</f>
        <v>0</v>
      </c>
      <c r="J408" s="196">
        <f>SUM(J328,J368)</f>
        <v>0</v>
      </c>
      <c r="K408" s="196">
        <f>SUM(K328,K368)</f>
        <v>0</v>
      </c>
      <c r="L408" s="196">
        <f>SUM(L328,L368)</f>
        <v>0</v>
      </c>
      <c r="M408" s="197">
        <f>SUM(J381:L381)</f>
        <v>0</v>
      </c>
      <c r="N408" s="196">
        <f>SUM(N328,N368)</f>
        <v>0</v>
      </c>
      <c r="O408" s="196">
        <f>SUM(O328,O368)</f>
        <v>0</v>
      </c>
      <c r="P408" s="196">
        <f>SUM(P328,P368)</f>
        <v>0</v>
      </c>
      <c r="Q408" s="197">
        <f>SUM(N381:P381)</f>
        <v>0</v>
      </c>
      <c r="R408" s="196">
        <f>SUM(R328,R368)</f>
        <v>0</v>
      </c>
      <c r="S408" s="196">
        <f>SUM(S328,S368)</f>
        <v>0</v>
      </c>
      <c r="T408" s="196">
        <f>SUM(T328,T368)</f>
        <v>0</v>
      </c>
      <c r="U408" s="197">
        <f>SUM(R381:T381)</f>
        <v>0</v>
      </c>
      <c r="V408" s="196">
        <f>SUM(V328,V368)</f>
        <v>0</v>
      </c>
      <c r="W408" s="196">
        <f>SUM(W328,W368)</f>
        <v>0</v>
      </c>
      <c r="X408" s="196">
        <f>SUM(X328,X368)</f>
        <v>0</v>
      </c>
      <c r="Y408" s="197">
        <f>SUM(V381:X381)</f>
        <v>0</v>
      </c>
    </row>
    <row r="409" spans="1:25" ht="12.75" hidden="1" customHeight="1" outlineLevel="1" x14ac:dyDescent="0.2">
      <c r="A409" s="198" t="str">
        <f>"         "&amp;Labels!B385</f>
        <v xml:space="preserve">         Prof Level 1</v>
      </c>
      <c r="B409" s="226"/>
      <c r="C409" s="226"/>
      <c r="D409" s="226"/>
      <c r="E409" s="227"/>
      <c r="F409" s="226"/>
      <c r="G409" s="226"/>
      <c r="H409" s="226"/>
      <c r="I409" s="227"/>
      <c r="J409" s="226"/>
      <c r="K409" s="226"/>
      <c r="L409" s="226"/>
      <c r="M409" s="227"/>
      <c r="N409" s="226"/>
      <c r="O409" s="226"/>
      <c r="P409" s="226"/>
      <c r="Q409" s="227"/>
      <c r="R409" s="226"/>
      <c r="S409" s="226"/>
      <c r="T409" s="226"/>
      <c r="U409" s="227"/>
      <c r="V409" s="226"/>
      <c r="W409" s="226"/>
      <c r="X409" s="226"/>
      <c r="Y409" s="227"/>
    </row>
    <row r="410" spans="1:25" ht="12.75" hidden="1" customHeight="1" outlineLevel="1" x14ac:dyDescent="0.2">
      <c r="A410" s="198" t="str">
        <f>"            "&amp;Labels!B397</f>
        <v xml:space="preserve">            Supply Type 1</v>
      </c>
      <c r="B410" s="189">
        <f t="shared" ref="B410:D412" si="294">SUM(B330,B370)</f>
        <v>0</v>
      </c>
      <c r="C410" s="189">
        <f t="shared" si="294"/>
        <v>0</v>
      </c>
      <c r="D410" s="189">
        <f t="shared" si="294"/>
        <v>0</v>
      </c>
      <c r="E410" s="190">
        <f>SUM(B410:D410)</f>
        <v>0</v>
      </c>
      <c r="F410" s="189">
        <f t="shared" ref="F410:H412" si="295">SUM(F330,F370)</f>
        <v>0</v>
      </c>
      <c r="G410" s="189">
        <f t="shared" si="295"/>
        <v>0</v>
      </c>
      <c r="H410" s="189">
        <f t="shared" si="295"/>
        <v>0</v>
      </c>
      <c r="I410" s="190">
        <f>SUM(F410:H410)</f>
        <v>0</v>
      </c>
      <c r="J410" s="189">
        <f t="shared" ref="J410:L412" si="296">SUM(J330,J370)</f>
        <v>0</v>
      </c>
      <c r="K410" s="189">
        <f t="shared" si="296"/>
        <v>0</v>
      </c>
      <c r="L410" s="189">
        <f t="shared" si="296"/>
        <v>0</v>
      </c>
      <c r="M410" s="190">
        <f>SUM(J410:L410)</f>
        <v>0</v>
      </c>
      <c r="N410" s="189">
        <f t="shared" ref="N410:P412" si="297">SUM(N330,N370)</f>
        <v>0</v>
      </c>
      <c r="O410" s="189">
        <f t="shared" si="297"/>
        <v>0</v>
      </c>
      <c r="P410" s="189">
        <f t="shared" si="297"/>
        <v>0</v>
      </c>
      <c r="Q410" s="190">
        <f>SUM(N410:P410)</f>
        <v>0</v>
      </c>
      <c r="R410" s="189">
        <f t="shared" ref="R410:T412" si="298">SUM(R330,R370)</f>
        <v>0</v>
      </c>
      <c r="S410" s="189">
        <f t="shared" si="298"/>
        <v>0</v>
      </c>
      <c r="T410" s="189">
        <f t="shared" si="298"/>
        <v>0</v>
      </c>
      <c r="U410" s="190">
        <f>SUM(R410:T410)</f>
        <v>0</v>
      </c>
      <c r="V410" s="189">
        <f t="shared" ref="V410:X412" si="299">SUM(V330,V370)</f>
        <v>0</v>
      </c>
      <c r="W410" s="189">
        <f t="shared" si="299"/>
        <v>0</v>
      </c>
      <c r="X410" s="189">
        <f t="shared" si="299"/>
        <v>0</v>
      </c>
      <c r="Y410" s="190">
        <f>SUM(V410:X410)</f>
        <v>0</v>
      </c>
    </row>
    <row r="411" spans="1:25" ht="12.75" hidden="1" customHeight="1" outlineLevel="1" x14ac:dyDescent="0.2">
      <c r="A411" s="198" t="str">
        <f>"            "&amp;Labels!B398</f>
        <v xml:space="preserve">            Supply Type 2</v>
      </c>
      <c r="B411" s="189">
        <f t="shared" si="294"/>
        <v>0</v>
      </c>
      <c r="C411" s="189">
        <f t="shared" si="294"/>
        <v>0</v>
      </c>
      <c r="D411" s="189">
        <f t="shared" si="294"/>
        <v>0</v>
      </c>
      <c r="E411" s="190">
        <f>SUM(B411:D411)</f>
        <v>0</v>
      </c>
      <c r="F411" s="189">
        <f t="shared" si="295"/>
        <v>0</v>
      </c>
      <c r="G411" s="189">
        <f t="shared" si="295"/>
        <v>0</v>
      </c>
      <c r="H411" s="189">
        <f t="shared" si="295"/>
        <v>0</v>
      </c>
      <c r="I411" s="190">
        <f>SUM(F411:H411)</f>
        <v>0</v>
      </c>
      <c r="J411" s="189">
        <f t="shared" si="296"/>
        <v>0</v>
      </c>
      <c r="K411" s="189">
        <f t="shared" si="296"/>
        <v>0</v>
      </c>
      <c r="L411" s="189">
        <f t="shared" si="296"/>
        <v>0</v>
      </c>
      <c r="M411" s="190">
        <f>SUM(J411:L411)</f>
        <v>0</v>
      </c>
      <c r="N411" s="189">
        <f t="shared" si="297"/>
        <v>0</v>
      </c>
      <c r="O411" s="189">
        <f t="shared" si="297"/>
        <v>0</v>
      </c>
      <c r="P411" s="189">
        <f t="shared" si="297"/>
        <v>0</v>
      </c>
      <c r="Q411" s="190">
        <f>SUM(N411:P411)</f>
        <v>0</v>
      </c>
      <c r="R411" s="189">
        <f t="shared" si="298"/>
        <v>0</v>
      </c>
      <c r="S411" s="189">
        <f t="shared" si="298"/>
        <v>0</v>
      </c>
      <c r="T411" s="189">
        <f t="shared" si="298"/>
        <v>0</v>
      </c>
      <c r="U411" s="190">
        <f>SUM(R411:T411)</f>
        <v>0</v>
      </c>
      <c r="V411" s="189">
        <f t="shared" si="299"/>
        <v>0</v>
      </c>
      <c r="W411" s="189">
        <f t="shared" si="299"/>
        <v>0</v>
      </c>
      <c r="X411" s="189">
        <f t="shared" si="299"/>
        <v>0</v>
      </c>
      <c r="Y411" s="190">
        <f>SUM(V411:X411)</f>
        <v>0</v>
      </c>
    </row>
    <row r="412" spans="1:25" ht="12.75" hidden="1" customHeight="1" outlineLevel="1" x14ac:dyDescent="0.2">
      <c r="A412" s="198" t="str">
        <f>"            "&amp;Labels!C396</f>
        <v xml:space="preserve">            Total</v>
      </c>
      <c r="B412" s="226">
        <f t="shared" si="294"/>
        <v>0</v>
      </c>
      <c r="C412" s="226">
        <f t="shared" si="294"/>
        <v>0</v>
      </c>
      <c r="D412" s="226">
        <f t="shared" si="294"/>
        <v>0</v>
      </c>
      <c r="E412" s="227">
        <f>SUM(B412:D412)</f>
        <v>0</v>
      </c>
      <c r="F412" s="226">
        <f t="shared" si="295"/>
        <v>0</v>
      </c>
      <c r="G412" s="226">
        <f t="shared" si="295"/>
        <v>0</v>
      </c>
      <c r="H412" s="226">
        <f t="shared" si="295"/>
        <v>0</v>
      </c>
      <c r="I412" s="227">
        <f>SUM(F412:H412)</f>
        <v>0</v>
      </c>
      <c r="J412" s="226">
        <f t="shared" si="296"/>
        <v>0</v>
      </c>
      <c r="K412" s="226">
        <f t="shared" si="296"/>
        <v>0</v>
      </c>
      <c r="L412" s="226">
        <f t="shared" si="296"/>
        <v>0</v>
      </c>
      <c r="M412" s="227">
        <f>SUM(J412:L412)</f>
        <v>0</v>
      </c>
      <c r="N412" s="226">
        <f t="shared" si="297"/>
        <v>0</v>
      </c>
      <c r="O412" s="226">
        <f t="shared" si="297"/>
        <v>0</v>
      </c>
      <c r="P412" s="226">
        <f t="shared" si="297"/>
        <v>0</v>
      </c>
      <c r="Q412" s="227">
        <f>SUM(N412:P412)</f>
        <v>0</v>
      </c>
      <c r="R412" s="226">
        <f t="shared" si="298"/>
        <v>0</v>
      </c>
      <c r="S412" s="226">
        <f t="shared" si="298"/>
        <v>0</v>
      </c>
      <c r="T412" s="226">
        <f t="shared" si="298"/>
        <v>0</v>
      </c>
      <c r="U412" s="227">
        <f>SUM(R412:T412)</f>
        <v>0</v>
      </c>
      <c r="V412" s="226">
        <f t="shared" si="299"/>
        <v>0</v>
      </c>
      <c r="W412" s="226">
        <f t="shared" si="299"/>
        <v>0</v>
      </c>
      <c r="X412" s="226">
        <f t="shared" si="299"/>
        <v>0</v>
      </c>
      <c r="Y412" s="227">
        <f>SUM(V412:X412)</f>
        <v>0</v>
      </c>
    </row>
    <row r="413" spans="1:25" ht="12.75" hidden="1" customHeight="1" outlineLevel="1" x14ac:dyDescent="0.2">
      <c r="A413" s="198" t="str">
        <f>"         "&amp;Labels!B386</f>
        <v xml:space="preserve">         Prof Level 2</v>
      </c>
      <c r="B413" s="226"/>
      <c r="C413" s="226"/>
      <c r="D413" s="226"/>
      <c r="E413" s="227"/>
      <c r="F413" s="226"/>
      <c r="G413" s="226"/>
      <c r="H413" s="226"/>
      <c r="I413" s="227"/>
      <c r="J413" s="226"/>
      <c r="K413" s="226"/>
      <c r="L413" s="226"/>
      <c r="M413" s="227"/>
      <c r="N413" s="226"/>
      <c r="O413" s="226"/>
      <c r="P413" s="226"/>
      <c r="Q413" s="227"/>
      <c r="R413" s="226"/>
      <c r="S413" s="226"/>
      <c r="T413" s="226"/>
      <c r="U413" s="227"/>
      <c r="V413" s="226"/>
      <c r="W413" s="226"/>
      <c r="X413" s="226"/>
      <c r="Y413" s="227"/>
    </row>
    <row r="414" spans="1:25" ht="12.75" hidden="1" customHeight="1" outlineLevel="1" x14ac:dyDescent="0.2">
      <c r="A414" s="198" t="str">
        <f>"            "&amp;Labels!B397</f>
        <v xml:space="preserve">            Supply Type 1</v>
      </c>
      <c r="B414" s="189">
        <f t="shared" ref="B414:D416" si="300">SUM(B334,B374)</f>
        <v>0</v>
      </c>
      <c r="C414" s="189">
        <f t="shared" si="300"/>
        <v>0</v>
      </c>
      <c r="D414" s="189">
        <f t="shared" si="300"/>
        <v>0</v>
      </c>
      <c r="E414" s="190">
        <f>SUM(B414:D414)</f>
        <v>0</v>
      </c>
      <c r="F414" s="189">
        <f t="shared" ref="F414:H416" si="301">SUM(F334,F374)</f>
        <v>0</v>
      </c>
      <c r="G414" s="189">
        <f t="shared" si="301"/>
        <v>0</v>
      </c>
      <c r="H414" s="189">
        <f t="shared" si="301"/>
        <v>0</v>
      </c>
      <c r="I414" s="190">
        <f>SUM(F414:H414)</f>
        <v>0</v>
      </c>
      <c r="J414" s="189">
        <f t="shared" ref="J414:L416" si="302">SUM(J334,J374)</f>
        <v>0</v>
      </c>
      <c r="K414" s="189">
        <f t="shared" si="302"/>
        <v>0</v>
      </c>
      <c r="L414" s="189">
        <f t="shared" si="302"/>
        <v>0</v>
      </c>
      <c r="M414" s="190">
        <f>SUM(J414:L414)</f>
        <v>0</v>
      </c>
      <c r="N414" s="189">
        <f t="shared" ref="N414:P416" si="303">SUM(N334,N374)</f>
        <v>0</v>
      </c>
      <c r="O414" s="189">
        <f t="shared" si="303"/>
        <v>0</v>
      </c>
      <c r="P414" s="189">
        <f t="shared" si="303"/>
        <v>0</v>
      </c>
      <c r="Q414" s="190">
        <f>SUM(N414:P414)</f>
        <v>0</v>
      </c>
      <c r="R414" s="189">
        <f t="shared" ref="R414:T416" si="304">SUM(R334,R374)</f>
        <v>0</v>
      </c>
      <c r="S414" s="189">
        <f t="shared" si="304"/>
        <v>0</v>
      </c>
      <c r="T414" s="189">
        <f t="shared" si="304"/>
        <v>0</v>
      </c>
      <c r="U414" s="190">
        <f>SUM(R414:T414)</f>
        <v>0</v>
      </c>
      <c r="V414" s="189">
        <f t="shared" ref="V414:X416" si="305">SUM(V334,V374)</f>
        <v>0</v>
      </c>
      <c r="W414" s="189">
        <f t="shared" si="305"/>
        <v>0</v>
      </c>
      <c r="X414" s="189">
        <f t="shared" si="305"/>
        <v>0</v>
      </c>
      <c r="Y414" s="190">
        <f>SUM(V414:X414)</f>
        <v>0</v>
      </c>
    </row>
    <row r="415" spans="1:25" ht="12.75" hidden="1" customHeight="1" outlineLevel="1" x14ac:dyDescent="0.2">
      <c r="A415" s="198" t="str">
        <f>"            "&amp;Labels!B398</f>
        <v xml:space="preserve">            Supply Type 2</v>
      </c>
      <c r="B415" s="189">
        <f t="shared" si="300"/>
        <v>0</v>
      </c>
      <c r="C415" s="189">
        <f t="shared" si="300"/>
        <v>0</v>
      </c>
      <c r="D415" s="189">
        <f t="shared" si="300"/>
        <v>0</v>
      </c>
      <c r="E415" s="190">
        <f>SUM(B415:D415)</f>
        <v>0</v>
      </c>
      <c r="F415" s="189">
        <f t="shared" si="301"/>
        <v>0</v>
      </c>
      <c r="G415" s="189">
        <f t="shared" si="301"/>
        <v>0</v>
      </c>
      <c r="H415" s="189">
        <f t="shared" si="301"/>
        <v>0</v>
      </c>
      <c r="I415" s="190">
        <f>SUM(F415:H415)</f>
        <v>0</v>
      </c>
      <c r="J415" s="189">
        <f t="shared" si="302"/>
        <v>0</v>
      </c>
      <c r="K415" s="189">
        <f t="shared" si="302"/>
        <v>0</v>
      </c>
      <c r="L415" s="189">
        <f t="shared" si="302"/>
        <v>0</v>
      </c>
      <c r="M415" s="190">
        <f>SUM(J415:L415)</f>
        <v>0</v>
      </c>
      <c r="N415" s="189">
        <f t="shared" si="303"/>
        <v>0</v>
      </c>
      <c r="O415" s="189">
        <f t="shared" si="303"/>
        <v>0</v>
      </c>
      <c r="P415" s="189">
        <f t="shared" si="303"/>
        <v>0</v>
      </c>
      <c r="Q415" s="190">
        <f>SUM(N415:P415)</f>
        <v>0</v>
      </c>
      <c r="R415" s="189">
        <f t="shared" si="304"/>
        <v>0</v>
      </c>
      <c r="S415" s="189">
        <f t="shared" si="304"/>
        <v>0</v>
      </c>
      <c r="T415" s="189">
        <f t="shared" si="304"/>
        <v>0</v>
      </c>
      <c r="U415" s="190">
        <f>SUM(R415:T415)</f>
        <v>0</v>
      </c>
      <c r="V415" s="189">
        <f t="shared" si="305"/>
        <v>0</v>
      </c>
      <c r="W415" s="189">
        <f t="shared" si="305"/>
        <v>0</v>
      </c>
      <c r="X415" s="189">
        <f t="shared" si="305"/>
        <v>0</v>
      </c>
      <c r="Y415" s="190">
        <f>SUM(V415:X415)</f>
        <v>0</v>
      </c>
    </row>
    <row r="416" spans="1:25" ht="12.75" hidden="1" customHeight="1" outlineLevel="1" x14ac:dyDescent="0.2">
      <c r="A416" s="198" t="str">
        <f>"            "&amp;Labels!C396</f>
        <v xml:space="preserve">            Total</v>
      </c>
      <c r="B416" s="226">
        <f t="shared" si="300"/>
        <v>0</v>
      </c>
      <c r="C416" s="226">
        <f t="shared" si="300"/>
        <v>0</v>
      </c>
      <c r="D416" s="226">
        <f t="shared" si="300"/>
        <v>0</v>
      </c>
      <c r="E416" s="227">
        <f>SUM(B416:D416)</f>
        <v>0</v>
      </c>
      <c r="F416" s="226">
        <f t="shared" si="301"/>
        <v>0</v>
      </c>
      <c r="G416" s="226">
        <f t="shared" si="301"/>
        <v>0</v>
      </c>
      <c r="H416" s="226">
        <f t="shared" si="301"/>
        <v>0</v>
      </c>
      <c r="I416" s="227">
        <f>SUM(F416:H416)</f>
        <v>0</v>
      </c>
      <c r="J416" s="226">
        <f t="shared" si="302"/>
        <v>0</v>
      </c>
      <c r="K416" s="226">
        <f t="shared" si="302"/>
        <v>0</v>
      </c>
      <c r="L416" s="226">
        <f t="shared" si="302"/>
        <v>0</v>
      </c>
      <c r="M416" s="227">
        <f>SUM(J416:L416)</f>
        <v>0</v>
      </c>
      <c r="N416" s="226">
        <f t="shared" si="303"/>
        <v>0</v>
      </c>
      <c r="O416" s="226">
        <f t="shared" si="303"/>
        <v>0</v>
      </c>
      <c r="P416" s="226">
        <f t="shared" si="303"/>
        <v>0</v>
      </c>
      <c r="Q416" s="227">
        <f>SUM(N416:P416)</f>
        <v>0</v>
      </c>
      <c r="R416" s="226">
        <f t="shared" si="304"/>
        <v>0</v>
      </c>
      <c r="S416" s="226">
        <f t="shared" si="304"/>
        <v>0</v>
      </c>
      <c r="T416" s="226">
        <f t="shared" si="304"/>
        <v>0</v>
      </c>
      <c r="U416" s="227">
        <f>SUM(R416:T416)</f>
        <v>0</v>
      </c>
      <c r="V416" s="226">
        <f t="shared" si="305"/>
        <v>0</v>
      </c>
      <c r="W416" s="226">
        <f t="shared" si="305"/>
        <v>0</v>
      </c>
      <c r="X416" s="226">
        <f t="shared" si="305"/>
        <v>0</v>
      </c>
      <c r="Y416" s="227">
        <f>SUM(V416:X416)</f>
        <v>0</v>
      </c>
    </row>
    <row r="417" spans="1:25" ht="12.75" hidden="1" customHeight="1" outlineLevel="1" x14ac:dyDescent="0.2">
      <c r="A417" s="198" t="str">
        <f>"         "&amp;Labels!C384</f>
        <v xml:space="preserve">         Total</v>
      </c>
      <c r="B417" s="226">
        <f>SUM(B328,B368)</f>
        <v>0</v>
      </c>
      <c r="C417" s="226">
        <f>SUM(C328,C368)</f>
        <v>0</v>
      </c>
      <c r="D417" s="226">
        <f>SUM(D328,D368)</f>
        <v>0</v>
      </c>
      <c r="E417" s="227">
        <f>SUM(B381:D381)</f>
        <v>0</v>
      </c>
      <c r="F417" s="226">
        <f>SUM(F328,F368)</f>
        <v>0</v>
      </c>
      <c r="G417" s="226">
        <f>SUM(G328,G368)</f>
        <v>0</v>
      </c>
      <c r="H417" s="226">
        <f>SUM(H328,H368)</f>
        <v>0</v>
      </c>
      <c r="I417" s="227">
        <f>SUM(F381:H381)</f>
        <v>0</v>
      </c>
      <c r="J417" s="226">
        <f>SUM(J328,J368)</f>
        <v>0</v>
      </c>
      <c r="K417" s="226">
        <f>SUM(K328,K368)</f>
        <v>0</v>
      </c>
      <c r="L417" s="226">
        <f>SUM(L328,L368)</f>
        <v>0</v>
      </c>
      <c r="M417" s="227">
        <f>SUM(J381:L381)</f>
        <v>0</v>
      </c>
      <c r="N417" s="226">
        <f>SUM(N328,N368)</f>
        <v>0</v>
      </c>
      <c r="O417" s="226">
        <f>SUM(O328,O368)</f>
        <v>0</v>
      </c>
      <c r="P417" s="226">
        <f>SUM(P328,P368)</f>
        <v>0</v>
      </c>
      <c r="Q417" s="227">
        <f>SUM(N381:P381)</f>
        <v>0</v>
      </c>
      <c r="R417" s="226">
        <f>SUM(R328,R368)</f>
        <v>0</v>
      </c>
      <c r="S417" s="226">
        <f>SUM(S328,S368)</f>
        <v>0</v>
      </c>
      <c r="T417" s="226">
        <f>SUM(T328,T368)</f>
        <v>0</v>
      </c>
      <c r="U417" s="227">
        <f>SUM(R381:T381)</f>
        <v>0</v>
      </c>
      <c r="V417" s="226">
        <f>SUM(V328,V368)</f>
        <v>0</v>
      </c>
      <c r="W417" s="226">
        <f>SUM(W328,W368)</f>
        <v>0</v>
      </c>
      <c r="X417" s="226">
        <f>SUM(X328,X368)</f>
        <v>0</v>
      </c>
      <c r="Y417" s="227">
        <f>SUM(V381:X381)</f>
        <v>0</v>
      </c>
    </row>
    <row r="418" spans="1:25" ht="12.75" hidden="1" customHeight="1" outlineLevel="1" x14ac:dyDescent="0.2">
      <c r="A418" s="198" t="str">
        <f>"            "&amp;Labels!B397</f>
        <v xml:space="preserve">            Supply Type 1</v>
      </c>
      <c r="B418" s="189">
        <f t="shared" ref="B418:D419" si="306">SUM(B338,B378)</f>
        <v>0</v>
      </c>
      <c r="C418" s="189">
        <f t="shared" si="306"/>
        <v>0</v>
      </c>
      <c r="D418" s="189">
        <f t="shared" si="306"/>
        <v>0</v>
      </c>
      <c r="E418" s="190">
        <f>SUM(B418:D418)</f>
        <v>0</v>
      </c>
      <c r="F418" s="189">
        <f t="shared" ref="F418:H419" si="307">SUM(F338,F378)</f>
        <v>0</v>
      </c>
      <c r="G418" s="189">
        <f t="shared" si="307"/>
        <v>0</v>
      </c>
      <c r="H418" s="189">
        <f t="shared" si="307"/>
        <v>0</v>
      </c>
      <c r="I418" s="190">
        <f>SUM(F418:H418)</f>
        <v>0</v>
      </c>
      <c r="J418" s="189">
        <f t="shared" ref="J418:L419" si="308">SUM(J338,J378)</f>
        <v>0</v>
      </c>
      <c r="K418" s="189">
        <f t="shared" si="308"/>
        <v>0</v>
      </c>
      <c r="L418" s="189">
        <f t="shared" si="308"/>
        <v>0</v>
      </c>
      <c r="M418" s="190">
        <f>SUM(J418:L418)</f>
        <v>0</v>
      </c>
      <c r="N418" s="189">
        <f t="shared" ref="N418:P419" si="309">SUM(N338,N378)</f>
        <v>0</v>
      </c>
      <c r="O418" s="189">
        <f t="shared" si="309"/>
        <v>0</v>
      </c>
      <c r="P418" s="189">
        <f t="shared" si="309"/>
        <v>0</v>
      </c>
      <c r="Q418" s="190">
        <f>SUM(N418:P418)</f>
        <v>0</v>
      </c>
      <c r="R418" s="189">
        <f t="shared" ref="R418:T419" si="310">SUM(R338,R378)</f>
        <v>0</v>
      </c>
      <c r="S418" s="189">
        <f t="shared" si="310"/>
        <v>0</v>
      </c>
      <c r="T418" s="189">
        <f t="shared" si="310"/>
        <v>0</v>
      </c>
      <c r="U418" s="190">
        <f>SUM(R418:T418)</f>
        <v>0</v>
      </c>
      <c r="V418" s="189">
        <f t="shared" ref="V418:X419" si="311">SUM(V338,V378)</f>
        <v>0</v>
      </c>
      <c r="W418" s="189">
        <f t="shared" si="311"/>
        <v>0</v>
      </c>
      <c r="X418" s="189">
        <f t="shared" si="311"/>
        <v>0</v>
      </c>
      <c r="Y418" s="190">
        <f>SUM(V418:X418)</f>
        <v>0</v>
      </c>
    </row>
    <row r="419" spans="1:25" ht="12.75" hidden="1" customHeight="1" outlineLevel="1" x14ac:dyDescent="0.2">
      <c r="A419" s="198" t="str">
        <f>"            "&amp;Labels!B398</f>
        <v xml:space="preserve">            Supply Type 2</v>
      </c>
      <c r="B419" s="189">
        <f t="shared" si="306"/>
        <v>0</v>
      </c>
      <c r="C419" s="189">
        <f t="shared" si="306"/>
        <v>0</v>
      </c>
      <c r="D419" s="189">
        <f t="shared" si="306"/>
        <v>0</v>
      </c>
      <c r="E419" s="190">
        <f>SUM(B419:D419)</f>
        <v>0</v>
      </c>
      <c r="F419" s="189">
        <f t="shared" si="307"/>
        <v>0</v>
      </c>
      <c r="G419" s="189">
        <f t="shared" si="307"/>
        <v>0</v>
      </c>
      <c r="H419" s="189">
        <f t="shared" si="307"/>
        <v>0</v>
      </c>
      <c r="I419" s="190">
        <f>SUM(F419:H419)</f>
        <v>0</v>
      </c>
      <c r="J419" s="189">
        <f t="shared" si="308"/>
        <v>0</v>
      </c>
      <c r="K419" s="189">
        <f t="shared" si="308"/>
        <v>0</v>
      </c>
      <c r="L419" s="189">
        <f t="shared" si="308"/>
        <v>0</v>
      </c>
      <c r="M419" s="190">
        <f>SUM(J419:L419)</f>
        <v>0</v>
      </c>
      <c r="N419" s="189">
        <f t="shared" si="309"/>
        <v>0</v>
      </c>
      <c r="O419" s="189">
        <f t="shared" si="309"/>
        <v>0</v>
      </c>
      <c r="P419" s="189">
        <f t="shared" si="309"/>
        <v>0</v>
      </c>
      <c r="Q419" s="190">
        <f>SUM(N419:P419)</f>
        <v>0</v>
      </c>
      <c r="R419" s="189">
        <f t="shared" si="310"/>
        <v>0</v>
      </c>
      <c r="S419" s="189">
        <f t="shared" si="310"/>
        <v>0</v>
      </c>
      <c r="T419" s="189">
        <f t="shared" si="310"/>
        <v>0</v>
      </c>
      <c r="U419" s="190">
        <f>SUM(R419:T419)</f>
        <v>0</v>
      </c>
      <c r="V419" s="189">
        <f t="shared" si="311"/>
        <v>0</v>
      </c>
      <c r="W419" s="189">
        <f t="shared" si="311"/>
        <v>0</v>
      </c>
      <c r="X419" s="189">
        <f t="shared" si="311"/>
        <v>0</v>
      </c>
      <c r="Y419" s="190">
        <f>SUM(V419:X419)</f>
        <v>0</v>
      </c>
    </row>
    <row r="420" spans="1:25" ht="12.75" hidden="1" customHeight="1" outlineLevel="1" x14ac:dyDescent="0.2">
      <c r="A420" s="230" t="str">
        <f>"            "&amp;Labels!C396</f>
        <v xml:space="preserve">            Total</v>
      </c>
      <c r="B420" s="231">
        <f>SUM(B328,B368)</f>
        <v>0</v>
      </c>
      <c r="C420" s="231">
        <f>SUM(C328,C368)</f>
        <v>0</v>
      </c>
      <c r="D420" s="231">
        <f>SUM(D328,D368)</f>
        <v>0</v>
      </c>
      <c r="E420" s="232">
        <f>SUM(B381:D381)</f>
        <v>0</v>
      </c>
      <c r="F420" s="231">
        <f>SUM(F328,F368)</f>
        <v>0</v>
      </c>
      <c r="G420" s="231">
        <f>SUM(G328,G368)</f>
        <v>0</v>
      </c>
      <c r="H420" s="231">
        <f>SUM(H328,H368)</f>
        <v>0</v>
      </c>
      <c r="I420" s="232">
        <f>SUM(F381:H381)</f>
        <v>0</v>
      </c>
      <c r="J420" s="231">
        <f>SUM(J328,J368)</f>
        <v>0</v>
      </c>
      <c r="K420" s="231">
        <f>SUM(K328,K368)</f>
        <v>0</v>
      </c>
      <c r="L420" s="231">
        <f>SUM(L328,L368)</f>
        <v>0</v>
      </c>
      <c r="M420" s="232">
        <f>SUM(J381:L381)</f>
        <v>0</v>
      </c>
      <c r="N420" s="231">
        <f>SUM(N328,N368)</f>
        <v>0</v>
      </c>
      <c r="O420" s="231">
        <f>SUM(O328,O368)</f>
        <v>0</v>
      </c>
      <c r="P420" s="231">
        <f>SUM(P328,P368)</f>
        <v>0</v>
      </c>
      <c r="Q420" s="232">
        <f>SUM(N381:P381)</f>
        <v>0</v>
      </c>
      <c r="R420" s="231">
        <f>SUM(R328,R368)</f>
        <v>0</v>
      </c>
      <c r="S420" s="231">
        <f>SUM(S328,S368)</f>
        <v>0</v>
      </c>
      <c r="T420" s="231">
        <f>SUM(T328,T368)</f>
        <v>0</v>
      </c>
      <c r="U420" s="232">
        <f>SUM(R381:T381)</f>
        <v>0</v>
      </c>
      <c r="V420" s="231">
        <f>SUM(V328,V368)</f>
        <v>0</v>
      </c>
      <c r="W420" s="231">
        <f>SUM(W328,W368)</f>
        <v>0</v>
      </c>
      <c r="X420" s="231">
        <f>SUM(X328,X368)</f>
        <v>0</v>
      </c>
      <c r="Y420" s="232">
        <f>SUM(V381:X381)</f>
        <v>0</v>
      </c>
    </row>
    <row r="421" spans="1:25" ht="12.75" hidden="1" customHeight="1" outlineLevel="1" x14ac:dyDescent="0.2"/>
    <row r="422" spans="1:25" ht="12.75" hidden="1" customHeight="1" outlineLevel="1" x14ac:dyDescent="0.2">
      <c r="A422" s="182" t="str">
        <f>Labels!B317</f>
        <v>Channels 1</v>
      </c>
      <c r="B422" s="13"/>
      <c r="C422" s="13"/>
      <c r="D422" s="13"/>
      <c r="E422" s="182"/>
      <c r="F422" s="13"/>
      <c r="G422" s="13"/>
      <c r="H422" s="13"/>
      <c r="I422" s="182"/>
      <c r="J422" s="13"/>
      <c r="K422" s="13"/>
      <c r="L422" s="13"/>
      <c r="M422" s="182"/>
      <c r="N422" s="13"/>
      <c r="O422" s="13"/>
      <c r="P422" s="13"/>
      <c r="Q422" s="182"/>
      <c r="R422" s="13"/>
      <c r="S422" s="13"/>
      <c r="T422" s="13"/>
      <c r="U422" s="182"/>
      <c r="V422" s="13"/>
      <c r="W422" s="13"/>
      <c r="X422" s="13"/>
      <c r="Y422" s="182"/>
    </row>
    <row r="423" spans="1:25" ht="12.75" hidden="1" customHeight="1" outlineLevel="1" x14ac:dyDescent="0.2">
      <c r="A423" s="188" t="str">
        <f>"   "&amp;Labels!B381</f>
        <v xml:space="preserve">   Practice 1</v>
      </c>
      <c r="B423" s="31"/>
      <c r="C423" s="31"/>
      <c r="D423" s="31"/>
      <c r="E423" s="188"/>
      <c r="F423" s="31"/>
      <c r="G423" s="31"/>
      <c r="H423" s="31"/>
      <c r="I423" s="188"/>
      <c r="J423" s="31"/>
      <c r="K423" s="31"/>
      <c r="L423" s="31"/>
      <c r="M423" s="188"/>
      <c r="N423" s="31"/>
      <c r="O423" s="31"/>
      <c r="P423" s="31"/>
      <c r="Q423" s="188"/>
      <c r="R423" s="31"/>
      <c r="S423" s="31"/>
      <c r="T423" s="31"/>
      <c r="U423" s="188"/>
      <c r="V423" s="31"/>
      <c r="W423" s="31"/>
      <c r="X423" s="31"/>
      <c r="Y423" s="188"/>
    </row>
    <row r="424" spans="1:25" ht="12.75" hidden="1" customHeight="1" outlineLevel="1" x14ac:dyDescent="0.2">
      <c r="A424" s="198" t="str">
        <f>"      "&amp;Labels!B385</f>
        <v xml:space="preserve">      Prof Level 1</v>
      </c>
      <c r="B424" s="43"/>
      <c r="C424" s="43"/>
      <c r="D424" s="43"/>
      <c r="E424" s="198"/>
      <c r="F424" s="43"/>
      <c r="G424" s="43"/>
      <c r="H424" s="43"/>
      <c r="I424" s="198"/>
      <c r="J424" s="43"/>
      <c r="K424" s="43"/>
      <c r="L424" s="43"/>
      <c r="M424" s="198"/>
      <c r="N424" s="43"/>
      <c r="O424" s="43"/>
      <c r="P424" s="43"/>
      <c r="Q424" s="198"/>
      <c r="R424" s="43"/>
      <c r="S424" s="43"/>
      <c r="T424" s="43"/>
      <c r="U424" s="198"/>
      <c r="V424" s="43"/>
      <c r="W424" s="43"/>
      <c r="X424" s="43"/>
      <c r="Y424" s="198"/>
    </row>
    <row r="425" spans="1:25" ht="12.75" hidden="1" customHeight="1" outlineLevel="1" x14ac:dyDescent="0.2">
      <c r="A425" s="198" t="str">
        <f>"         "&amp;Labels!B99</f>
        <v xml:space="preserve">         Gross Margin</v>
      </c>
      <c r="B425" s="226">
        <f>Sales!B109-Practices!B66/2-'GM CostSvcs'!B390/2</f>
        <v>0</v>
      </c>
      <c r="C425" s="226">
        <f>Sales!C109-Practices!C66/2-'GM CostSvcs'!C390/2</f>
        <v>0</v>
      </c>
      <c r="D425" s="226">
        <f>Sales!D109-Practices!D66/2-'GM CostSvcs'!D390/2</f>
        <v>27500</v>
      </c>
      <c r="E425" s="227">
        <f>SUM(B425:D425)</f>
        <v>27500</v>
      </c>
      <c r="F425" s="226">
        <f>Sales!F109-Practices!F66/2-'GM CostSvcs'!F390/2</f>
        <v>27500</v>
      </c>
      <c r="G425" s="226">
        <f>Sales!G109-Practices!G66/2-'GM CostSvcs'!G390/2</f>
        <v>0</v>
      </c>
      <c r="H425" s="226">
        <f>Sales!H109-Practices!H66/2-'GM CostSvcs'!H390/2</f>
        <v>20000</v>
      </c>
      <c r="I425" s="227">
        <f>SUM(F425:H425)</f>
        <v>47500</v>
      </c>
      <c r="J425" s="226">
        <f>Sales!J109-Practices!J66/2-'GM CostSvcs'!J390/2</f>
        <v>5869.5535144699952</v>
      </c>
      <c r="K425" s="226">
        <f>Sales!K109-Practices!K66/2-'GM CostSvcs'!K390/2</f>
        <v>2293.3800267919764</v>
      </c>
      <c r="L425" s="226">
        <f>Sales!L109-Practices!L66/2-'GM CostSvcs'!L390/2</f>
        <v>0</v>
      </c>
      <c r="M425" s="227">
        <f>SUM(J425:L425)</f>
        <v>8162.9335412619712</v>
      </c>
      <c r="N425" s="226">
        <f>Sales!N109-Practices!N66/2-'GM CostSvcs'!N390/2</f>
        <v>0</v>
      </c>
      <c r="O425" s="226">
        <f>Sales!O109-Practices!O66/2-'GM CostSvcs'!O390/2</f>
        <v>0</v>
      </c>
      <c r="P425" s="226">
        <f>Sales!P109-Practices!P66/2-'GM CostSvcs'!P390/2</f>
        <v>0</v>
      </c>
      <c r="Q425" s="227">
        <f>SUM(N425:P425)</f>
        <v>0</v>
      </c>
      <c r="R425" s="226">
        <f>Sales!R109-Practices!R66/2-'GM CostSvcs'!R390/2</f>
        <v>0</v>
      </c>
      <c r="S425" s="226">
        <f>Sales!S109-Practices!S66/2-'GM CostSvcs'!S390/2</f>
        <v>0</v>
      </c>
      <c r="T425" s="226">
        <f>Sales!T109-Practices!T66/2-'GM CostSvcs'!T390/2</f>
        <v>0</v>
      </c>
      <c r="U425" s="227">
        <f>SUM(R425:T425)</f>
        <v>0</v>
      </c>
      <c r="V425" s="226">
        <f>Sales!V109-Practices!V66/2-'GM CostSvcs'!V390/2</f>
        <v>0</v>
      </c>
      <c r="W425" s="226">
        <f>Sales!W109-Practices!W66/2-'GM CostSvcs'!W390/2</f>
        <v>0</v>
      </c>
      <c r="X425" s="226">
        <f>Sales!X109-Practices!X66/2-'GM CostSvcs'!X390/2</f>
        <v>0</v>
      </c>
      <c r="Y425" s="227">
        <f>SUM(V425:X425)</f>
        <v>0</v>
      </c>
    </row>
    <row r="426" spans="1:25" ht="12.75" hidden="1" customHeight="1" outlineLevel="1" x14ac:dyDescent="0.2">
      <c r="A426" s="198" t="str">
        <f>"         "&amp;Labels!B101</f>
        <v xml:space="preserve">         Gross Margin %</v>
      </c>
      <c r="B426" s="233">
        <f>IF(Sales!B109=0,0,'GM CostSvcs'!B219/Sales!B109)</f>
        <v>0</v>
      </c>
      <c r="C426" s="233">
        <f>IF(Sales!C109=0,0,'GM CostSvcs'!C219/Sales!C109)</f>
        <v>0</v>
      </c>
      <c r="D426" s="233">
        <f>IF(Sales!D109=0,0,'GM CostSvcs'!D219/Sales!D109)</f>
        <v>0.95238095238095233</v>
      </c>
      <c r="E426" s="234">
        <f>IF(SUM(Sales!B109:D109)=0,0,SUM('GM CostSvcs'!B219:D219)/SUM(Sales!B109:D109))</f>
        <v>0.95238095238095233</v>
      </c>
      <c r="F426" s="233">
        <f>IF(Sales!F109=0,0,'GM CostSvcs'!F219/Sales!F109)</f>
        <v>0.95238095238095233</v>
      </c>
      <c r="G426" s="233">
        <f>IF(Sales!G109=0,0,'GM CostSvcs'!G219/Sales!G109)</f>
        <v>0</v>
      </c>
      <c r="H426" s="233">
        <f>IF(Sales!H109=0,0,'GM CostSvcs'!H219/Sales!H109)</f>
        <v>0.95238095238095233</v>
      </c>
      <c r="I426" s="234">
        <f>IF(SUM(Sales!F109:H109)=0,0,SUM('GM CostSvcs'!F219:H219)/SUM(Sales!F109:H109))</f>
        <v>0.95238095238095233</v>
      </c>
      <c r="J426" s="233">
        <f>IF(Sales!J109=0,0,'GM CostSvcs'!J219/Sales!J109)</f>
        <v>0.27950254830809501</v>
      </c>
      <c r="K426" s="233">
        <f>IF(Sales!K109=0,0,'GM CostSvcs'!K219/Sales!K109)</f>
        <v>0.10920857270437984</v>
      </c>
      <c r="L426" s="233">
        <f>IF(Sales!L109=0,0,'GM CostSvcs'!L219/Sales!L109)</f>
        <v>0</v>
      </c>
      <c r="M426" s="234">
        <f>IF(SUM(Sales!J109:L109)=0,0,SUM('GM CostSvcs'!J219:L219)/SUM(Sales!J109:L109))</f>
        <v>0.1943555605062374</v>
      </c>
      <c r="N426" s="233">
        <f>IF(Sales!N109=0,0,'GM CostSvcs'!N219/Sales!N109)</f>
        <v>0</v>
      </c>
      <c r="O426" s="233">
        <f>IF(Sales!O109=0,0,'GM CostSvcs'!O219/Sales!O109)</f>
        <v>0</v>
      </c>
      <c r="P426" s="233">
        <f>IF(Sales!P109=0,0,'GM CostSvcs'!P219/Sales!P109)</f>
        <v>0</v>
      </c>
      <c r="Q426" s="234">
        <f>IF(SUM(Sales!N109:P109)=0,0,SUM('GM CostSvcs'!N219:P219)/SUM(Sales!N109:P109))</f>
        <v>0</v>
      </c>
      <c r="R426" s="233">
        <f>IF(Sales!R109=0,0,'GM CostSvcs'!R219/Sales!R109)</f>
        <v>0</v>
      </c>
      <c r="S426" s="233">
        <f>IF(Sales!S109=0,0,'GM CostSvcs'!S219/Sales!S109)</f>
        <v>0</v>
      </c>
      <c r="T426" s="233">
        <f>IF(Sales!T109=0,0,'GM CostSvcs'!T219/Sales!T109)</f>
        <v>0</v>
      </c>
      <c r="U426" s="234">
        <f>IF(SUM(Sales!R109:T109)=0,0,SUM('GM CostSvcs'!R219:T219)/SUM(Sales!R109:T109))</f>
        <v>0</v>
      </c>
      <c r="V426" s="233">
        <f>IF(Sales!V109=0,0,'GM CostSvcs'!V219/Sales!V109)</f>
        <v>0</v>
      </c>
      <c r="W426" s="233">
        <f>IF(Sales!W109=0,0,'GM CostSvcs'!W219/Sales!W109)</f>
        <v>0</v>
      </c>
      <c r="X426" s="233">
        <f>IF(Sales!X109=0,0,'GM CostSvcs'!X219/Sales!X109)</f>
        <v>0</v>
      </c>
      <c r="Y426" s="234">
        <f>IF(SUM(Sales!V109:X109)=0,0,SUM('GM CostSvcs'!V219:X219)/SUM(Sales!V109:X109))</f>
        <v>0</v>
      </c>
    </row>
    <row r="427" spans="1:25" ht="12.75" hidden="1" customHeight="1" outlineLevel="1" x14ac:dyDescent="0.2">
      <c r="A427" s="198" t="str">
        <f>"      "&amp;Labels!B386</f>
        <v xml:space="preserve">      Prof Level 2</v>
      </c>
      <c r="B427" s="43"/>
      <c r="C427" s="43"/>
      <c r="D427" s="43"/>
      <c r="E427" s="198"/>
      <c r="F427" s="43"/>
      <c r="G427" s="43"/>
      <c r="H427" s="43"/>
      <c r="I427" s="198"/>
      <c r="J427" s="43"/>
      <c r="K427" s="43"/>
      <c r="L427" s="43"/>
      <c r="M427" s="198"/>
      <c r="N427" s="43"/>
      <c r="O427" s="43"/>
      <c r="P427" s="43"/>
      <c r="Q427" s="198"/>
      <c r="R427" s="43"/>
      <c r="S427" s="43"/>
      <c r="T427" s="43"/>
      <c r="U427" s="198"/>
      <c r="V427" s="43"/>
      <c r="W427" s="43"/>
      <c r="X427" s="43"/>
      <c r="Y427" s="198"/>
    </row>
    <row r="428" spans="1:25" ht="12.75" hidden="1" customHeight="1" outlineLevel="1" x14ac:dyDescent="0.2">
      <c r="A428" s="198" t="str">
        <f>"         "&amp;Labels!B99</f>
        <v xml:space="preserve">         Gross Margin</v>
      </c>
      <c r="B428" s="226">
        <f>Sales!B113-Practices!B66/2-'GM CostSvcs'!B391/2</f>
        <v>0</v>
      </c>
      <c r="C428" s="226">
        <f>Sales!C113-Practices!C66/2-'GM CostSvcs'!C391/2</f>
        <v>0</v>
      </c>
      <c r="D428" s="226">
        <f>Sales!D113-Practices!D66/2-'GM CostSvcs'!D391/2</f>
        <v>27500</v>
      </c>
      <c r="E428" s="227">
        <f>SUM(B428:D428)</f>
        <v>27500</v>
      </c>
      <c r="F428" s="226">
        <f>Sales!F113-Practices!F66/2-'GM CostSvcs'!F391/2</f>
        <v>27500</v>
      </c>
      <c r="G428" s="226">
        <f>Sales!G113-Practices!G66/2-'GM CostSvcs'!G391/2</f>
        <v>0</v>
      </c>
      <c r="H428" s="226">
        <f>Sales!H113-Practices!H66/2-'GM CostSvcs'!H391/2</f>
        <v>20000</v>
      </c>
      <c r="I428" s="227">
        <f>SUM(F428:H428)</f>
        <v>47500</v>
      </c>
      <c r="J428" s="226">
        <f>Sales!J113-Practices!J66/2-'GM CostSvcs'!J391/2</f>
        <v>5869.5535144699952</v>
      </c>
      <c r="K428" s="226">
        <f>Sales!K113-Practices!K66/2-'GM CostSvcs'!K391/2</f>
        <v>2293.3800267919764</v>
      </c>
      <c r="L428" s="226">
        <f>Sales!L113-Practices!L66/2-'GM CostSvcs'!L391/2</f>
        <v>0</v>
      </c>
      <c r="M428" s="227">
        <f>SUM(J428:L428)</f>
        <v>8162.9335412619712</v>
      </c>
      <c r="N428" s="226">
        <f>Sales!N113-Practices!N66/2-'GM CostSvcs'!N391/2</f>
        <v>0</v>
      </c>
      <c r="O428" s="226">
        <f>Sales!O113-Practices!O66/2-'GM CostSvcs'!O391/2</f>
        <v>0</v>
      </c>
      <c r="P428" s="226">
        <f>Sales!P113-Practices!P66/2-'GM CostSvcs'!P391/2</f>
        <v>0</v>
      </c>
      <c r="Q428" s="227">
        <f>SUM(N428:P428)</f>
        <v>0</v>
      </c>
      <c r="R428" s="226">
        <f>Sales!R113-Practices!R66/2-'GM CostSvcs'!R391/2</f>
        <v>0</v>
      </c>
      <c r="S428" s="226">
        <f>Sales!S113-Practices!S66/2-'GM CostSvcs'!S391/2</f>
        <v>0</v>
      </c>
      <c r="T428" s="226">
        <f>Sales!T113-Practices!T66/2-'GM CostSvcs'!T391/2</f>
        <v>0</v>
      </c>
      <c r="U428" s="227">
        <f>SUM(R428:T428)</f>
        <v>0</v>
      </c>
      <c r="V428" s="226">
        <f>Sales!V113-Practices!V66/2-'GM CostSvcs'!V391/2</f>
        <v>0</v>
      </c>
      <c r="W428" s="226">
        <f>Sales!W113-Practices!W66/2-'GM CostSvcs'!W391/2</f>
        <v>0</v>
      </c>
      <c r="X428" s="226">
        <f>Sales!X113-Practices!X66/2-'GM CostSvcs'!X391/2</f>
        <v>0</v>
      </c>
      <c r="Y428" s="227">
        <f>SUM(V428:X428)</f>
        <v>0</v>
      </c>
    </row>
    <row r="429" spans="1:25" ht="12.75" hidden="1" customHeight="1" outlineLevel="1" x14ac:dyDescent="0.2">
      <c r="A429" s="198" t="str">
        <f>"         "&amp;Labels!B101</f>
        <v xml:space="preserve">         Gross Margin %</v>
      </c>
      <c r="B429" s="233">
        <f>IF(Sales!B113=0,0,'GM CostSvcs'!B229/Sales!B113)</f>
        <v>0</v>
      </c>
      <c r="C429" s="233">
        <f>IF(Sales!C113=0,0,'GM CostSvcs'!C229/Sales!C113)</f>
        <v>0</v>
      </c>
      <c r="D429" s="233">
        <f>IF(Sales!D113=0,0,'GM CostSvcs'!D229/Sales!D113)</f>
        <v>0.95238095238095233</v>
      </c>
      <c r="E429" s="234">
        <f>IF(SUM(Sales!B113:D113)=0,0,SUM('GM CostSvcs'!B229:D229)/SUM(Sales!B113:D113))</f>
        <v>0.95238095238095233</v>
      </c>
      <c r="F429" s="233">
        <f>IF(Sales!F113=0,0,'GM CostSvcs'!F229/Sales!F113)</f>
        <v>0.95238095238095233</v>
      </c>
      <c r="G429" s="233">
        <f>IF(Sales!G113=0,0,'GM CostSvcs'!G229/Sales!G113)</f>
        <v>0</v>
      </c>
      <c r="H429" s="233">
        <f>IF(Sales!H113=0,0,'GM CostSvcs'!H229/Sales!H113)</f>
        <v>0.95238095238095233</v>
      </c>
      <c r="I429" s="234">
        <f>IF(SUM(Sales!F113:H113)=0,0,SUM('GM CostSvcs'!F229:H229)/SUM(Sales!F113:H113))</f>
        <v>0.95238095238095233</v>
      </c>
      <c r="J429" s="233">
        <f>IF(Sales!J113=0,0,'GM CostSvcs'!J229/Sales!J113)</f>
        <v>0.27950254830809501</v>
      </c>
      <c r="K429" s="233">
        <f>IF(Sales!K113=0,0,'GM CostSvcs'!K229/Sales!K113)</f>
        <v>0.10920857270437984</v>
      </c>
      <c r="L429" s="233">
        <f>IF(Sales!L113=0,0,'GM CostSvcs'!L229/Sales!L113)</f>
        <v>0</v>
      </c>
      <c r="M429" s="234">
        <f>IF(SUM(Sales!J113:L113)=0,0,SUM('GM CostSvcs'!J229:L229)/SUM(Sales!J113:L113))</f>
        <v>0.1943555605062374</v>
      </c>
      <c r="N429" s="233">
        <f>IF(Sales!N113=0,0,'GM CostSvcs'!N229/Sales!N113)</f>
        <v>0</v>
      </c>
      <c r="O429" s="233">
        <f>IF(Sales!O113=0,0,'GM CostSvcs'!O229/Sales!O113)</f>
        <v>0</v>
      </c>
      <c r="P429" s="233">
        <f>IF(Sales!P113=0,0,'GM CostSvcs'!P229/Sales!P113)</f>
        <v>0</v>
      </c>
      <c r="Q429" s="234">
        <f>IF(SUM(Sales!N113:P113)=0,0,SUM('GM CostSvcs'!N229:P229)/SUM(Sales!N113:P113))</f>
        <v>0</v>
      </c>
      <c r="R429" s="233">
        <f>IF(Sales!R113=0,0,'GM CostSvcs'!R229/Sales!R113)</f>
        <v>0</v>
      </c>
      <c r="S429" s="233">
        <f>IF(Sales!S113=0,0,'GM CostSvcs'!S229/Sales!S113)</f>
        <v>0</v>
      </c>
      <c r="T429" s="233">
        <f>IF(Sales!T113=0,0,'GM CostSvcs'!T229/Sales!T113)</f>
        <v>0</v>
      </c>
      <c r="U429" s="234">
        <f>IF(SUM(Sales!R113:T113)=0,0,SUM('GM CostSvcs'!R229:T229)/SUM(Sales!R113:T113))</f>
        <v>0</v>
      </c>
      <c r="V429" s="233">
        <f>IF(Sales!V113=0,0,'GM CostSvcs'!V229/Sales!V113)</f>
        <v>0</v>
      </c>
      <c r="W429" s="233">
        <f>IF(Sales!W113=0,0,'GM CostSvcs'!W229/Sales!W113)</f>
        <v>0</v>
      </c>
      <c r="X429" s="233">
        <f>IF(Sales!X113=0,0,'GM CostSvcs'!X229/Sales!X113)</f>
        <v>0</v>
      </c>
      <c r="Y429" s="234">
        <f>IF(SUM(Sales!V113:X113)=0,0,SUM('GM CostSvcs'!V229:X229)/SUM(Sales!V113:X113))</f>
        <v>0</v>
      </c>
    </row>
    <row r="430" spans="1:25" ht="12.75" hidden="1" customHeight="1" outlineLevel="1" x14ac:dyDescent="0.2">
      <c r="A430" s="188" t="str">
        <f>"      "&amp;Labels!C384</f>
        <v xml:space="preserve">      Total</v>
      </c>
      <c r="B430" s="31"/>
      <c r="C430" s="31"/>
      <c r="D430" s="31"/>
      <c r="E430" s="188"/>
      <c r="F430" s="31"/>
      <c r="G430" s="31"/>
      <c r="H430" s="31"/>
      <c r="I430" s="188"/>
      <c r="J430" s="31"/>
      <c r="K430" s="31"/>
      <c r="L430" s="31"/>
      <c r="M430" s="188"/>
      <c r="N430" s="31"/>
      <c r="O430" s="31"/>
      <c r="P430" s="31"/>
      <c r="Q430" s="188"/>
      <c r="R430" s="31"/>
      <c r="S430" s="31"/>
      <c r="T430" s="31"/>
      <c r="U430" s="188"/>
      <c r="V430" s="31"/>
      <c r="W430" s="31"/>
      <c r="X430" s="31"/>
      <c r="Y430" s="188"/>
    </row>
    <row r="431" spans="1:25" ht="12.75" hidden="1" customHeight="1" outlineLevel="1" x14ac:dyDescent="0.2">
      <c r="A431" s="198" t="str">
        <f>"         "&amp;Labels!B99</f>
        <v xml:space="preserve">         Gross Margin</v>
      </c>
      <c r="B431" s="226">
        <f>SUM(B425,B428)</f>
        <v>0</v>
      </c>
      <c r="C431" s="226">
        <f>SUM(C425,C428)</f>
        <v>0</v>
      </c>
      <c r="D431" s="226">
        <f>SUM(D425,D428)</f>
        <v>55000</v>
      </c>
      <c r="E431" s="227">
        <f>SUM(B431:D431)</f>
        <v>55000</v>
      </c>
      <c r="F431" s="226">
        <f>SUM(F425,F428)</f>
        <v>55000</v>
      </c>
      <c r="G431" s="226">
        <f>SUM(G425,G428)</f>
        <v>0</v>
      </c>
      <c r="H431" s="226">
        <f>SUM(H425,H428)</f>
        <v>40000</v>
      </c>
      <c r="I431" s="227">
        <f>SUM(F431:H431)</f>
        <v>95000</v>
      </c>
      <c r="J431" s="226">
        <f>SUM(J425,J428)</f>
        <v>11739.10702893999</v>
      </c>
      <c r="K431" s="226">
        <f>SUM(K425,K428)</f>
        <v>4586.7600535839529</v>
      </c>
      <c r="L431" s="226">
        <f>SUM(L425,L428)</f>
        <v>0</v>
      </c>
      <c r="M431" s="227">
        <f>SUM(J431:L431)</f>
        <v>16325.867082523942</v>
      </c>
      <c r="N431" s="226">
        <f>SUM(N425,N428)</f>
        <v>0</v>
      </c>
      <c r="O431" s="226">
        <f>SUM(O425,O428)</f>
        <v>0</v>
      </c>
      <c r="P431" s="226">
        <f>SUM(P425,P428)</f>
        <v>0</v>
      </c>
      <c r="Q431" s="227">
        <f>SUM(N431:P431)</f>
        <v>0</v>
      </c>
      <c r="R431" s="226">
        <f>SUM(R425,R428)</f>
        <v>0</v>
      </c>
      <c r="S431" s="226">
        <f>SUM(S425,S428)</f>
        <v>0</v>
      </c>
      <c r="T431" s="226">
        <f>SUM(T425,T428)</f>
        <v>0</v>
      </c>
      <c r="U431" s="227">
        <f>SUM(R431:T431)</f>
        <v>0</v>
      </c>
      <c r="V431" s="226">
        <f>SUM(V425,V428)</f>
        <v>0</v>
      </c>
      <c r="W431" s="226">
        <f>SUM(W425,W428)</f>
        <v>0</v>
      </c>
      <c r="X431" s="226">
        <f>SUM(X425,X428)</f>
        <v>0</v>
      </c>
      <c r="Y431" s="227">
        <f>SUM(V431:X431)</f>
        <v>0</v>
      </c>
    </row>
    <row r="432" spans="1:25" ht="12.75" hidden="1" customHeight="1" outlineLevel="1" x14ac:dyDescent="0.2">
      <c r="A432" s="198" t="str">
        <f>"         "&amp;Labels!B101</f>
        <v xml:space="preserve">         Gross Margin %</v>
      </c>
      <c r="B432" s="233">
        <f>IF(Practices!B48=0,0,Practices!B112/Practices!B48)</f>
        <v>0</v>
      </c>
      <c r="C432" s="233">
        <f>IF(Practices!C48=0,0,Practices!C112/Practices!C48)</f>
        <v>0</v>
      </c>
      <c r="D432" s="233">
        <f>IF(Practices!D48=0,0,Practices!D112/Practices!D48)</f>
        <v>0.95238095238095233</v>
      </c>
      <c r="E432" s="234">
        <f>IF(SUM(Practices!B48:D48)=0,0,SUM(Practices!B112:D112)/SUM(Practices!B48:D48))</f>
        <v>0.95238095238095233</v>
      </c>
      <c r="F432" s="233">
        <f>IF(Practices!F48=0,0,Practices!F112/Practices!F48)</f>
        <v>0.95238095238095233</v>
      </c>
      <c r="G432" s="233">
        <f>IF(Practices!G48=0,0,Practices!G112/Practices!G48)</f>
        <v>0</v>
      </c>
      <c r="H432" s="233">
        <f>IF(Practices!H48=0,0,Practices!H112/Practices!H48)</f>
        <v>0.95238095238095233</v>
      </c>
      <c r="I432" s="234">
        <f>IF(SUM(Practices!F48:H48)=0,0,SUM(Practices!F112:H112)/SUM(Practices!F48:H48))</f>
        <v>0.95238095238095233</v>
      </c>
      <c r="J432" s="233">
        <f>IF(Practices!J48=0,0,Practices!J112/Practices!J48)</f>
        <v>0.27950254830809501</v>
      </c>
      <c r="K432" s="233">
        <f>IF(Practices!K48=0,0,Practices!K112/Practices!K48)</f>
        <v>0.10920857270437984</v>
      </c>
      <c r="L432" s="233">
        <f>IF(Practices!L48=0,0,Practices!L112/Practices!L48)</f>
        <v>0</v>
      </c>
      <c r="M432" s="234">
        <f>IF(SUM(Practices!J48:L48)=0,0,SUM(Practices!J112:L112)/SUM(Practices!J48:L48))</f>
        <v>0.1943555605062374</v>
      </c>
      <c r="N432" s="233">
        <f>IF(Practices!N48=0,0,Practices!N112/Practices!N48)</f>
        <v>0</v>
      </c>
      <c r="O432" s="233">
        <f>IF(Practices!O48=0,0,Practices!O112/Practices!O48)</f>
        <v>0</v>
      </c>
      <c r="P432" s="233">
        <f>IF(Practices!P48=0,0,Practices!P112/Practices!P48)</f>
        <v>0</v>
      </c>
      <c r="Q432" s="234">
        <f>IF(SUM(Practices!N48:P48)=0,0,SUM(Practices!N112:P112)/SUM(Practices!N48:P48))</f>
        <v>0</v>
      </c>
      <c r="R432" s="233">
        <f>IF(Practices!R48=0,0,Practices!R112/Practices!R48)</f>
        <v>0</v>
      </c>
      <c r="S432" s="233">
        <f>IF(Practices!S48=0,0,Practices!S112/Practices!S48)</f>
        <v>0</v>
      </c>
      <c r="T432" s="233">
        <f>IF(Practices!T48=0,0,Practices!T112/Practices!T48)</f>
        <v>0</v>
      </c>
      <c r="U432" s="234">
        <f>IF(SUM(Practices!R48:T48)=0,0,SUM(Practices!R112:T112)/SUM(Practices!R48:T48))</f>
        <v>0</v>
      </c>
      <c r="V432" s="233">
        <f>IF(Practices!V48=0,0,Practices!V112/Practices!V48)</f>
        <v>0</v>
      </c>
      <c r="W432" s="233">
        <f>IF(Practices!W48=0,0,Practices!W112/Practices!W48)</f>
        <v>0</v>
      </c>
      <c r="X432" s="233">
        <f>IF(Practices!X48=0,0,Practices!X112/Practices!X48)</f>
        <v>0</v>
      </c>
      <c r="Y432" s="234">
        <f>IF(SUM(Practices!V48:X48)=0,0,SUM(Practices!V112:X112)/SUM(Practices!V48:X48))</f>
        <v>0</v>
      </c>
    </row>
    <row r="433" spans="1:25" ht="12.75" hidden="1" customHeight="1" outlineLevel="1" x14ac:dyDescent="0.2">
      <c r="A433" s="188" t="str">
        <f>"   "&amp;Labels!B382</f>
        <v xml:space="preserve">   Practice 2</v>
      </c>
      <c r="B433" s="31"/>
      <c r="C433" s="31"/>
      <c r="D433" s="31"/>
      <c r="E433" s="188"/>
      <c r="F433" s="31"/>
      <c r="G433" s="31"/>
      <c r="H433" s="31"/>
      <c r="I433" s="188"/>
      <c r="J433" s="31"/>
      <c r="K433" s="31"/>
      <c r="L433" s="31"/>
      <c r="M433" s="188"/>
      <c r="N433" s="31"/>
      <c r="O433" s="31"/>
      <c r="P433" s="31"/>
      <c r="Q433" s="188"/>
      <c r="R433" s="31"/>
      <c r="S433" s="31"/>
      <c r="T433" s="31"/>
      <c r="U433" s="188"/>
      <c r="V433" s="31"/>
      <c r="W433" s="31"/>
      <c r="X433" s="31"/>
      <c r="Y433" s="188"/>
    </row>
    <row r="434" spans="1:25" ht="12.75" hidden="1" customHeight="1" outlineLevel="1" x14ac:dyDescent="0.2">
      <c r="A434" s="198" t="str">
        <f>"      "&amp;Labels!B385</f>
        <v xml:space="preserve">      Prof Level 1</v>
      </c>
      <c r="B434" s="43"/>
      <c r="C434" s="43"/>
      <c r="D434" s="43"/>
      <c r="E434" s="198"/>
      <c r="F434" s="43"/>
      <c r="G434" s="43"/>
      <c r="H434" s="43"/>
      <c r="I434" s="198"/>
      <c r="J434" s="43"/>
      <c r="K434" s="43"/>
      <c r="L434" s="43"/>
      <c r="M434" s="198"/>
      <c r="N434" s="43"/>
      <c r="O434" s="43"/>
      <c r="P434" s="43"/>
      <c r="Q434" s="198"/>
      <c r="R434" s="43"/>
      <c r="S434" s="43"/>
      <c r="T434" s="43"/>
      <c r="U434" s="198"/>
      <c r="V434" s="43"/>
      <c r="W434" s="43"/>
      <c r="X434" s="43"/>
      <c r="Y434" s="198"/>
    </row>
    <row r="435" spans="1:25" ht="12.75" hidden="1" customHeight="1" outlineLevel="1" x14ac:dyDescent="0.2">
      <c r="A435" s="198" t="str">
        <f>"         "&amp;Labels!B99</f>
        <v xml:space="preserve">         Gross Margin</v>
      </c>
      <c r="B435" s="226">
        <f>Sales!B122-Practices!B82/2-'GM CostSvcs'!B394/2</f>
        <v>0</v>
      </c>
      <c r="C435" s="226">
        <f>Sales!C122-Practices!C82/2-'GM CostSvcs'!C394/2</f>
        <v>0</v>
      </c>
      <c r="D435" s="226">
        <f>Sales!D122-Practices!D82/2-'GM CostSvcs'!D394/2</f>
        <v>0</v>
      </c>
      <c r="E435" s="227">
        <f>SUM(B435:D435)</f>
        <v>0</v>
      </c>
      <c r="F435" s="226">
        <f>Sales!F122-Practices!F82/2-'GM CostSvcs'!F394/2</f>
        <v>0</v>
      </c>
      <c r="G435" s="226">
        <f>Sales!G122-Practices!G82/2-'GM CostSvcs'!G394/2</f>
        <v>0</v>
      </c>
      <c r="H435" s="226">
        <f>Sales!H122-Practices!H82/2-'GM CostSvcs'!H394/2</f>
        <v>0</v>
      </c>
      <c r="I435" s="227">
        <f>SUM(F435:H435)</f>
        <v>0</v>
      </c>
      <c r="J435" s="226">
        <f>Sales!J122-Practices!J82/2-'GM CostSvcs'!J394/2</f>
        <v>0</v>
      </c>
      <c r="K435" s="226">
        <f>Sales!K122-Practices!K82/2-'GM CostSvcs'!K394/2</f>
        <v>0</v>
      </c>
      <c r="L435" s="226">
        <f>Sales!L122-Practices!L82/2-'GM CostSvcs'!L394/2</f>
        <v>0</v>
      </c>
      <c r="M435" s="227">
        <f>SUM(J435:L435)</f>
        <v>0</v>
      </c>
      <c r="N435" s="226">
        <f>Sales!N122-Practices!N82/2-'GM CostSvcs'!N394/2</f>
        <v>0</v>
      </c>
      <c r="O435" s="226">
        <f>Sales!O122-Practices!O82/2-'GM CostSvcs'!O394/2</f>
        <v>0</v>
      </c>
      <c r="P435" s="226">
        <f>Sales!P122-Practices!P82/2-'GM CostSvcs'!P394/2</f>
        <v>0</v>
      </c>
      <c r="Q435" s="227">
        <f>SUM(N435:P435)</f>
        <v>0</v>
      </c>
      <c r="R435" s="226">
        <f>Sales!R122-Practices!R82/2-'GM CostSvcs'!R394/2</f>
        <v>0</v>
      </c>
      <c r="S435" s="226">
        <f>Sales!S122-Practices!S82/2-'GM CostSvcs'!S394/2</f>
        <v>0</v>
      </c>
      <c r="T435" s="226">
        <f>Sales!T122-Practices!T82/2-'GM CostSvcs'!T394/2</f>
        <v>0</v>
      </c>
      <c r="U435" s="227">
        <f>SUM(R435:T435)</f>
        <v>0</v>
      </c>
      <c r="V435" s="226">
        <f>Sales!V122-Practices!V82/2-'GM CostSvcs'!V394/2</f>
        <v>0</v>
      </c>
      <c r="W435" s="226">
        <f>Sales!W122-Practices!W82/2-'GM CostSvcs'!W394/2</f>
        <v>0</v>
      </c>
      <c r="X435" s="226">
        <f>Sales!X122-Practices!X82/2-'GM CostSvcs'!X394/2</f>
        <v>0</v>
      </c>
      <c r="Y435" s="227">
        <f>SUM(V435:X435)</f>
        <v>0</v>
      </c>
    </row>
    <row r="436" spans="1:25" ht="12.75" hidden="1" customHeight="1" outlineLevel="1" x14ac:dyDescent="0.2">
      <c r="A436" s="198" t="str">
        <f>"         "&amp;Labels!B101</f>
        <v xml:space="preserve">         Gross Margin %</v>
      </c>
      <c r="B436" s="233">
        <f>IF(Sales!B122=0,0,'GM CostSvcs'!B250/Sales!B122)</f>
        <v>0</v>
      </c>
      <c r="C436" s="233">
        <f>IF(Sales!C122=0,0,'GM CostSvcs'!C250/Sales!C122)</f>
        <v>0</v>
      </c>
      <c r="D436" s="233">
        <f>IF(Sales!D122=0,0,'GM CostSvcs'!D250/Sales!D122)</f>
        <v>0</v>
      </c>
      <c r="E436" s="234">
        <f>IF(SUM(Sales!B122:D122)=0,0,SUM('GM CostSvcs'!B250:D250)/SUM(Sales!B122:D122))</f>
        <v>0</v>
      </c>
      <c r="F436" s="233">
        <f>IF(Sales!F122=0,0,'GM CostSvcs'!F250/Sales!F122)</f>
        <v>0</v>
      </c>
      <c r="G436" s="233">
        <f>IF(Sales!G122=0,0,'GM CostSvcs'!G250/Sales!G122)</f>
        <v>0</v>
      </c>
      <c r="H436" s="233">
        <f>IF(Sales!H122=0,0,'GM CostSvcs'!H250/Sales!H122)</f>
        <v>0</v>
      </c>
      <c r="I436" s="234">
        <f>IF(SUM(Sales!F122:H122)=0,0,SUM('GM CostSvcs'!F250:H250)/SUM(Sales!F122:H122))</f>
        <v>0</v>
      </c>
      <c r="J436" s="233">
        <f>IF(Sales!J122=0,0,'GM CostSvcs'!J250/Sales!J122)</f>
        <v>0</v>
      </c>
      <c r="K436" s="233">
        <f>IF(Sales!K122=0,0,'GM CostSvcs'!K250/Sales!K122)</f>
        <v>0</v>
      </c>
      <c r="L436" s="233">
        <f>IF(Sales!L122=0,0,'GM CostSvcs'!L250/Sales!L122)</f>
        <v>0</v>
      </c>
      <c r="M436" s="234">
        <f>IF(SUM(Sales!J122:L122)=0,0,SUM('GM CostSvcs'!J250:L250)/SUM(Sales!J122:L122))</f>
        <v>0</v>
      </c>
      <c r="N436" s="233">
        <f>IF(Sales!N122=0,0,'GM CostSvcs'!N250/Sales!N122)</f>
        <v>0</v>
      </c>
      <c r="O436" s="233">
        <f>IF(Sales!O122=0,0,'GM CostSvcs'!O250/Sales!O122)</f>
        <v>0</v>
      </c>
      <c r="P436" s="233">
        <f>IF(Sales!P122=0,0,'GM CostSvcs'!P250/Sales!P122)</f>
        <v>0</v>
      </c>
      <c r="Q436" s="234">
        <f>IF(SUM(Sales!N122:P122)=0,0,SUM('GM CostSvcs'!N250:P250)/SUM(Sales!N122:P122))</f>
        <v>0</v>
      </c>
      <c r="R436" s="233">
        <f>IF(Sales!R122=0,0,'GM CostSvcs'!R250/Sales!R122)</f>
        <v>0</v>
      </c>
      <c r="S436" s="233">
        <f>IF(Sales!S122=0,0,'GM CostSvcs'!S250/Sales!S122)</f>
        <v>0</v>
      </c>
      <c r="T436" s="233">
        <f>IF(Sales!T122=0,0,'GM CostSvcs'!T250/Sales!T122)</f>
        <v>0</v>
      </c>
      <c r="U436" s="234">
        <f>IF(SUM(Sales!R122:T122)=0,0,SUM('GM CostSvcs'!R250:T250)/SUM(Sales!R122:T122))</f>
        <v>0</v>
      </c>
      <c r="V436" s="233">
        <f>IF(Sales!V122=0,0,'GM CostSvcs'!V250/Sales!V122)</f>
        <v>0</v>
      </c>
      <c r="W436" s="233">
        <f>IF(Sales!W122=0,0,'GM CostSvcs'!W250/Sales!W122)</f>
        <v>0</v>
      </c>
      <c r="X436" s="233">
        <f>IF(Sales!X122=0,0,'GM CostSvcs'!X250/Sales!X122)</f>
        <v>0</v>
      </c>
      <c r="Y436" s="234">
        <f>IF(SUM(Sales!V122:X122)=0,0,SUM('GM CostSvcs'!V250:X250)/SUM(Sales!V122:X122))</f>
        <v>0</v>
      </c>
    </row>
    <row r="437" spans="1:25" ht="12.75" hidden="1" customHeight="1" outlineLevel="1" x14ac:dyDescent="0.2">
      <c r="A437" s="198" t="str">
        <f>"      "&amp;Labels!B386</f>
        <v xml:space="preserve">      Prof Level 2</v>
      </c>
      <c r="B437" s="43"/>
      <c r="C437" s="43"/>
      <c r="D437" s="43"/>
      <c r="E437" s="198"/>
      <c r="F437" s="43"/>
      <c r="G437" s="43"/>
      <c r="H437" s="43"/>
      <c r="I437" s="198"/>
      <c r="J437" s="43"/>
      <c r="K437" s="43"/>
      <c r="L437" s="43"/>
      <c r="M437" s="198"/>
      <c r="N437" s="43"/>
      <c r="O437" s="43"/>
      <c r="P437" s="43"/>
      <c r="Q437" s="198"/>
      <c r="R437" s="43"/>
      <c r="S437" s="43"/>
      <c r="T437" s="43"/>
      <c r="U437" s="198"/>
      <c r="V437" s="43"/>
      <c r="W437" s="43"/>
      <c r="X437" s="43"/>
      <c r="Y437" s="198"/>
    </row>
    <row r="438" spans="1:25" ht="12.75" hidden="1" customHeight="1" outlineLevel="1" x14ac:dyDescent="0.2">
      <c r="A438" s="198" t="str">
        <f>"         "&amp;Labels!B99</f>
        <v xml:space="preserve">         Gross Margin</v>
      </c>
      <c r="B438" s="226">
        <f>Sales!B126-Practices!B82/2-'GM CostSvcs'!B395/2</f>
        <v>0</v>
      </c>
      <c r="C438" s="226">
        <f>Sales!C126-Practices!C82/2-'GM CostSvcs'!C395/2</f>
        <v>0</v>
      </c>
      <c r="D438" s="226">
        <f>Sales!D126-Practices!D82/2-'GM CostSvcs'!D395/2</f>
        <v>0</v>
      </c>
      <c r="E438" s="227">
        <f>SUM(B438:D438)</f>
        <v>0</v>
      </c>
      <c r="F438" s="226">
        <f>Sales!F126-Practices!F82/2-'GM CostSvcs'!F395/2</f>
        <v>0</v>
      </c>
      <c r="G438" s="226">
        <f>Sales!G126-Practices!G82/2-'GM CostSvcs'!G395/2</f>
        <v>0</v>
      </c>
      <c r="H438" s="226">
        <f>Sales!H126-Practices!H82/2-'GM CostSvcs'!H395/2</f>
        <v>0</v>
      </c>
      <c r="I438" s="227">
        <f>SUM(F438:H438)</f>
        <v>0</v>
      </c>
      <c r="J438" s="226">
        <f>Sales!J126-Practices!J82/2-'GM CostSvcs'!J395/2</f>
        <v>0</v>
      </c>
      <c r="K438" s="226">
        <f>Sales!K126-Practices!K82/2-'GM CostSvcs'!K395/2</f>
        <v>0</v>
      </c>
      <c r="L438" s="226">
        <f>Sales!L126-Practices!L82/2-'GM CostSvcs'!L395/2</f>
        <v>0</v>
      </c>
      <c r="M438" s="227">
        <f>SUM(J438:L438)</f>
        <v>0</v>
      </c>
      <c r="N438" s="226">
        <f>Sales!N126-Practices!N82/2-'GM CostSvcs'!N395/2</f>
        <v>0</v>
      </c>
      <c r="O438" s="226">
        <f>Sales!O126-Practices!O82/2-'GM CostSvcs'!O395/2</f>
        <v>0</v>
      </c>
      <c r="P438" s="226">
        <f>Sales!P126-Practices!P82/2-'GM CostSvcs'!P395/2</f>
        <v>0</v>
      </c>
      <c r="Q438" s="227">
        <f>SUM(N438:P438)</f>
        <v>0</v>
      </c>
      <c r="R438" s="226">
        <f>Sales!R126-Practices!R82/2-'GM CostSvcs'!R395/2</f>
        <v>0</v>
      </c>
      <c r="S438" s="226">
        <f>Sales!S126-Practices!S82/2-'GM CostSvcs'!S395/2</f>
        <v>0</v>
      </c>
      <c r="T438" s="226">
        <f>Sales!T126-Practices!T82/2-'GM CostSvcs'!T395/2</f>
        <v>0</v>
      </c>
      <c r="U438" s="227">
        <f>SUM(R438:T438)</f>
        <v>0</v>
      </c>
      <c r="V438" s="226">
        <f>Sales!V126-Practices!V82/2-'GM CostSvcs'!V395/2</f>
        <v>0</v>
      </c>
      <c r="W438" s="226">
        <f>Sales!W126-Practices!W82/2-'GM CostSvcs'!W395/2</f>
        <v>0</v>
      </c>
      <c r="X438" s="226">
        <f>Sales!X126-Practices!X82/2-'GM CostSvcs'!X395/2</f>
        <v>0</v>
      </c>
      <c r="Y438" s="227">
        <f>SUM(V438:X438)</f>
        <v>0</v>
      </c>
    </row>
    <row r="439" spans="1:25" ht="12.75" hidden="1" customHeight="1" outlineLevel="1" x14ac:dyDescent="0.2">
      <c r="A439" s="198" t="str">
        <f>"         "&amp;Labels!B101</f>
        <v xml:space="preserve">         Gross Margin %</v>
      </c>
      <c r="B439" s="233">
        <f>IF(Sales!B126=0,0,'GM CostSvcs'!B260/Sales!B126)</f>
        <v>0</v>
      </c>
      <c r="C439" s="233">
        <f>IF(Sales!C126=0,0,'GM CostSvcs'!C260/Sales!C126)</f>
        <v>0</v>
      </c>
      <c r="D439" s="233">
        <f>IF(Sales!D126=0,0,'GM CostSvcs'!D260/Sales!D126)</f>
        <v>0</v>
      </c>
      <c r="E439" s="234">
        <f>IF(SUM(Sales!B126:D126)=0,0,SUM('GM CostSvcs'!B260:D260)/SUM(Sales!B126:D126))</f>
        <v>0</v>
      </c>
      <c r="F439" s="233">
        <f>IF(Sales!F126=0,0,'GM CostSvcs'!F260/Sales!F126)</f>
        <v>0</v>
      </c>
      <c r="G439" s="233">
        <f>IF(Sales!G126=0,0,'GM CostSvcs'!G260/Sales!G126)</f>
        <v>0</v>
      </c>
      <c r="H439" s="233">
        <f>IF(Sales!H126=0,0,'GM CostSvcs'!H260/Sales!H126)</f>
        <v>0</v>
      </c>
      <c r="I439" s="234">
        <f>IF(SUM(Sales!F126:H126)=0,0,SUM('GM CostSvcs'!F260:H260)/SUM(Sales!F126:H126))</f>
        <v>0</v>
      </c>
      <c r="J439" s="233">
        <f>IF(Sales!J126=0,0,'GM CostSvcs'!J260/Sales!J126)</f>
        <v>0</v>
      </c>
      <c r="K439" s="233">
        <f>IF(Sales!K126=0,0,'GM CostSvcs'!K260/Sales!K126)</f>
        <v>0</v>
      </c>
      <c r="L439" s="233">
        <f>IF(Sales!L126=0,0,'GM CostSvcs'!L260/Sales!L126)</f>
        <v>0</v>
      </c>
      <c r="M439" s="234">
        <f>IF(SUM(Sales!J126:L126)=0,0,SUM('GM CostSvcs'!J260:L260)/SUM(Sales!J126:L126))</f>
        <v>0</v>
      </c>
      <c r="N439" s="233">
        <f>IF(Sales!N126=0,0,'GM CostSvcs'!N260/Sales!N126)</f>
        <v>0</v>
      </c>
      <c r="O439" s="233">
        <f>IF(Sales!O126=0,0,'GM CostSvcs'!O260/Sales!O126)</f>
        <v>0</v>
      </c>
      <c r="P439" s="233">
        <f>IF(Sales!P126=0,0,'GM CostSvcs'!P260/Sales!P126)</f>
        <v>0</v>
      </c>
      <c r="Q439" s="234">
        <f>IF(SUM(Sales!N126:P126)=0,0,SUM('GM CostSvcs'!N260:P260)/SUM(Sales!N126:P126))</f>
        <v>0</v>
      </c>
      <c r="R439" s="233">
        <f>IF(Sales!R126=0,0,'GM CostSvcs'!R260/Sales!R126)</f>
        <v>0</v>
      </c>
      <c r="S439" s="233">
        <f>IF(Sales!S126=0,0,'GM CostSvcs'!S260/Sales!S126)</f>
        <v>0</v>
      </c>
      <c r="T439" s="233">
        <f>IF(Sales!T126=0,0,'GM CostSvcs'!T260/Sales!T126)</f>
        <v>0</v>
      </c>
      <c r="U439" s="234">
        <f>IF(SUM(Sales!R126:T126)=0,0,SUM('GM CostSvcs'!R260:T260)/SUM(Sales!R126:T126))</f>
        <v>0</v>
      </c>
      <c r="V439" s="233">
        <f>IF(Sales!V126=0,0,'GM CostSvcs'!V260/Sales!V126)</f>
        <v>0</v>
      </c>
      <c r="W439" s="233">
        <f>IF(Sales!W126=0,0,'GM CostSvcs'!W260/Sales!W126)</f>
        <v>0</v>
      </c>
      <c r="X439" s="233">
        <f>IF(Sales!X126=0,0,'GM CostSvcs'!X260/Sales!X126)</f>
        <v>0</v>
      </c>
      <c r="Y439" s="234">
        <f>IF(SUM(Sales!V126:X126)=0,0,SUM('GM CostSvcs'!V260:X260)/SUM(Sales!V126:X126))</f>
        <v>0</v>
      </c>
    </row>
    <row r="440" spans="1:25" ht="12.75" hidden="1" customHeight="1" outlineLevel="1" x14ac:dyDescent="0.2">
      <c r="A440" s="188" t="str">
        <f>"      "&amp;Labels!C384</f>
        <v xml:space="preserve">      Total</v>
      </c>
      <c r="B440" s="31"/>
      <c r="C440" s="31"/>
      <c r="D440" s="31"/>
      <c r="E440" s="188"/>
      <c r="F440" s="31"/>
      <c r="G440" s="31"/>
      <c r="H440" s="31"/>
      <c r="I440" s="188"/>
      <c r="J440" s="31"/>
      <c r="K440" s="31"/>
      <c r="L440" s="31"/>
      <c r="M440" s="188"/>
      <c r="N440" s="31"/>
      <c r="O440" s="31"/>
      <c r="P440" s="31"/>
      <c r="Q440" s="188"/>
      <c r="R440" s="31"/>
      <c r="S440" s="31"/>
      <c r="T440" s="31"/>
      <c r="U440" s="188"/>
      <c r="V440" s="31"/>
      <c r="W440" s="31"/>
      <c r="X440" s="31"/>
      <c r="Y440" s="188"/>
    </row>
    <row r="441" spans="1:25" ht="12.75" hidden="1" customHeight="1" outlineLevel="1" x14ac:dyDescent="0.2">
      <c r="A441" s="198" t="str">
        <f>"         "&amp;Labels!B99</f>
        <v xml:space="preserve">         Gross Margin</v>
      </c>
      <c r="B441" s="226">
        <f>SUM(B435,B438)</f>
        <v>0</v>
      </c>
      <c r="C441" s="226">
        <f>SUM(C435,C438)</f>
        <v>0</v>
      </c>
      <c r="D441" s="226">
        <f>SUM(D435,D438)</f>
        <v>0</v>
      </c>
      <c r="E441" s="227">
        <f>SUM(B441:D441)</f>
        <v>0</v>
      </c>
      <c r="F441" s="226">
        <f>SUM(F435,F438)</f>
        <v>0</v>
      </c>
      <c r="G441" s="226">
        <f>SUM(G435,G438)</f>
        <v>0</v>
      </c>
      <c r="H441" s="226">
        <f>SUM(H435,H438)</f>
        <v>0</v>
      </c>
      <c r="I441" s="227">
        <f>SUM(F441:H441)</f>
        <v>0</v>
      </c>
      <c r="J441" s="226">
        <f>SUM(J435,J438)</f>
        <v>0</v>
      </c>
      <c r="K441" s="226">
        <f>SUM(K435,K438)</f>
        <v>0</v>
      </c>
      <c r="L441" s="226">
        <f>SUM(L435,L438)</f>
        <v>0</v>
      </c>
      <c r="M441" s="227">
        <f>SUM(J441:L441)</f>
        <v>0</v>
      </c>
      <c r="N441" s="226">
        <f>SUM(N435,N438)</f>
        <v>0</v>
      </c>
      <c r="O441" s="226">
        <f>SUM(O435,O438)</f>
        <v>0</v>
      </c>
      <c r="P441" s="226">
        <f>SUM(P435,P438)</f>
        <v>0</v>
      </c>
      <c r="Q441" s="227">
        <f>SUM(N441:P441)</f>
        <v>0</v>
      </c>
      <c r="R441" s="226">
        <f>SUM(R435,R438)</f>
        <v>0</v>
      </c>
      <c r="S441" s="226">
        <f>SUM(S435,S438)</f>
        <v>0</v>
      </c>
      <c r="T441" s="226">
        <f>SUM(T435,T438)</f>
        <v>0</v>
      </c>
      <c r="U441" s="227">
        <f>SUM(R441:T441)</f>
        <v>0</v>
      </c>
      <c r="V441" s="226">
        <f>SUM(V435,V438)</f>
        <v>0</v>
      </c>
      <c r="W441" s="226">
        <f>SUM(W435,W438)</f>
        <v>0</v>
      </c>
      <c r="X441" s="226">
        <f>SUM(X435,X438)</f>
        <v>0</v>
      </c>
      <c r="Y441" s="227">
        <f>SUM(V441:X441)</f>
        <v>0</v>
      </c>
    </row>
    <row r="442" spans="1:25" ht="12.75" hidden="1" customHeight="1" outlineLevel="1" x14ac:dyDescent="0.2">
      <c r="A442" s="198" t="str">
        <f>"         "&amp;Labels!B101</f>
        <v xml:space="preserve">         Gross Margin %</v>
      </c>
      <c r="B442" s="233">
        <f>IF(Practices!B52=0,0,Practices!B122/Practices!B52)</f>
        <v>0</v>
      </c>
      <c r="C442" s="233">
        <f>IF(Practices!C52=0,0,Practices!C122/Practices!C52)</f>
        <v>0</v>
      </c>
      <c r="D442" s="233">
        <f>IF(Practices!D52=0,0,Practices!D122/Practices!D52)</f>
        <v>0</v>
      </c>
      <c r="E442" s="234">
        <f>IF(SUM(Practices!B52:D52)=0,0,SUM(Practices!B122:D122)/SUM(Practices!B52:D52))</f>
        <v>0</v>
      </c>
      <c r="F442" s="233">
        <f>IF(Practices!F52=0,0,Practices!F122/Practices!F52)</f>
        <v>0</v>
      </c>
      <c r="G442" s="233">
        <f>IF(Practices!G52=0,0,Practices!G122/Practices!G52)</f>
        <v>0</v>
      </c>
      <c r="H442" s="233">
        <f>IF(Practices!H52=0,0,Practices!H122/Practices!H52)</f>
        <v>0</v>
      </c>
      <c r="I442" s="234">
        <f>IF(SUM(Practices!F52:H52)=0,0,SUM(Practices!F122:H122)/SUM(Practices!F52:H52))</f>
        <v>0</v>
      </c>
      <c r="J442" s="233">
        <f>IF(Practices!J52=0,0,Practices!J122/Practices!J52)</f>
        <v>0</v>
      </c>
      <c r="K442" s="233">
        <f>IF(Practices!K52=0,0,Practices!K122/Practices!K52)</f>
        <v>0</v>
      </c>
      <c r="L442" s="233">
        <f>IF(Practices!L52=0,0,Practices!L122/Practices!L52)</f>
        <v>0</v>
      </c>
      <c r="M442" s="234">
        <f>IF(SUM(Practices!J52:L52)=0,0,SUM(Practices!J122:L122)/SUM(Practices!J52:L52))</f>
        <v>0</v>
      </c>
      <c r="N442" s="233">
        <f>IF(Practices!N52=0,0,Practices!N122/Practices!N52)</f>
        <v>0</v>
      </c>
      <c r="O442" s="233">
        <f>IF(Practices!O52=0,0,Practices!O122/Practices!O52)</f>
        <v>0</v>
      </c>
      <c r="P442" s="233">
        <f>IF(Practices!P52=0,0,Practices!P122/Practices!P52)</f>
        <v>0</v>
      </c>
      <c r="Q442" s="234">
        <f>IF(SUM(Practices!N52:P52)=0,0,SUM(Practices!N122:P122)/SUM(Practices!N52:P52))</f>
        <v>0</v>
      </c>
      <c r="R442" s="233">
        <f>IF(Practices!R52=0,0,Practices!R122/Practices!R52)</f>
        <v>0</v>
      </c>
      <c r="S442" s="233">
        <f>IF(Practices!S52=0,0,Practices!S122/Practices!S52)</f>
        <v>0</v>
      </c>
      <c r="T442" s="233">
        <f>IF(Practices!T52=0,0,Practices!T122/Practices!T52)</f>
        <v>0</v>
      </c>
      <c r="U442" s="234">
        <f>IF(SUM(Practices!R52:T52)=0,0,SUM(Practices!R122:T122)/SUM(Practices!R52:T52))</f>
        <v>0</v>
      </c>
      <c r="V442" s="233">
        <f>IF(Practices!V52=0,0,Practices!V122/Practices!V52)</f>
        <v>0</v>
      </c>
      <c r="W442" s="233">
        <f>IF(Practices!W52=0,0,Practices!W122/Practices!W52)</f>
        <v>0</v>
      </c>
      <c r="X442" s="233">
        <f>IF(Practices!X52=0,0,Practices!X122/Practices!X52)</f>
        <v>0</v>
      </c>
      <c r="Y442" s="234">
        <f>IF(SUM(Practices!V52:X52)=0,0,SUM(Practices!V122:X122)/SUM(Practices!V52:X52))</f>
        <v>0</v>
      </c>
    </row>
    <row r="443" spans="1:25" ht="12.75" hidden="1" customHeight="1" outlineLevel="1" x14ac:dyDescent="0.2">
      <c r="A443" s="191" t="str">
        <f>"   "&amp;Labels!C380</f>
        <v xml:space="preserve">   Total</v>
      </c>
      <c r="B443" s="3"/>
      <c r="C443" s="3"/>
      <c r="D443" s="3"/>
      <c r="E443" s="191"/>
      <c r="F443" s="3"/>
      <c r="G443" s="3"/>
      <c r="H443" s="3"/>
      <c r="I443" s="191"/>
      <c r="J443" s="3"/>
      <c r="K443" s="3"/>
      <c r="L443" s="3"/>
      <c r="M443" s="191"/>
      <c r="N443" s="3"/>
      <c r="O443" s="3"/>
      <c r="P443" s="3"/>
      <c r="Q443" s="191"/>
      <c r="R443" s="3"/>
      <c r="S443" s="3"/>
      <c r="T443" s="3"/>
      <c r="U443" s="191"/>
      <c r="V443" s="3"/>
      <c r="W443" s="3"/>
      <c r="X443" s="3"/>
      <c r="Y443" s="191"/>
    </row>
    <row r="444" spans="1:25" ht="12.75" hidden="1" customHeight="1" outlineLevel="1" x14ac:dyDescent="0.2">
      <c r="A444" s="198" t="str">
        <f>"      "&amp;Labels!B385</f>
        <v xml:space="preserve">      Prof Level 1</v>
      </c>
      <c r="B444" s="43"/>
      <c r="C444" s="43"/>
      <c r="D444" s="43"/>
      <c r="E444" s="198"/>
      <c r="F444" s="43"/>
      <c r="G444" s="43"/>
      <c r="H444" s="43"/>
      <c r="I444" s="198"/>
      <c r="J444" s="43"/>
      <c r="K444" s="43"/>
      <c r="L444" s="43"/>
      <c r="M444" s="198"/>
      <c r="N444" s="43"/>
      <c r="O444" s="43"/>
      <c r="P444" s="43"/>
      <c r="Q444" s="198"/>
      <c r="R444" s="43"/>
      <c r="S444" s="43"/>
      <c r="T444" s="43"/>
      <c r="U444" s="198"/>
      <c r="V444" s="43"/>
      <c r="W444" s="43"/>
      <c r="X444" s="43"/>
      <c r="Y444" s="198"/>
    </row>
    <row r="445" spans="1:25" ht="12.75" hidden="1" customHeight="1" outlineLevel="1" x14ac:dyDescent="0.2">
      <c r="A445" s="198" t="str">
        <f>"         "&amp;Labels!B99</f>
        <v xml:space="preserve">         Gross Margin</v>
      </c>
      <c r="B445" s="226">
        <f>SUM(B425,B435)</f>
        <v>0</v>
      </c>
      <c r="C445" s="226">
        <f>SUM(C425,C435)</f>
        <v>0</v>
      </c>
      <c r="D445" s="226">
        <f>SUM(D425,D435)</f>
        <v>27500</v>
      </c>
      <c r="E445" s="227">
        <f>SUM(B445:D445)</f>
        <v>27500</v>
      </c>
      <c r="F445" s="226">
        <f>SUM(F425,F435)</f>
        <v>27500</v>
      </c>
      <c r="G445" s="226">
        <f>SUM(G425,G435)</f>
        <v>0</v>
      </c>
      <c r="H445" s="226">
        <f>SUM(H425,H435)</f>
        <v>20000</v>
      </c>
      <c r="I445" s="227">
        <f>SUM(F445:H445)</f>
        <v>47500</v>
      </c>
      <c r="J445" s="226">
        <f>SUM(J425,J435)</f>
        <v>5869.5535144699952</v>
      </c>
      <c r="K445" s="226">
        <f>SUM(K425,K435)</f>
        <v>2293.3800267919764</v>
      </c>
      <c r="L445" s="226">
        <f>SUM(L425,L435)</f>
        <v>0</v>
      </c>
      <c r="M445" s="227">
        <f>SUM(J445:L445)</f>
        <v>8162.9335412619712</v>
      </c>
      <c r="N445" s="226">
        <f>SUM(N425,N435)</f>
        <v>0</v>
      </c>
      <c r="O445" s="226">
        <f>SUM(O425,O435)</f>
        <v>0</v>
      </c>
      <c r="P445" s="226">
        <f>SUM(P425,P435)</f>
        <v>0</v>
      </c>
      <c r="Q445" s="227">
        <f>SUM(N445:P445)</f>
        <v>0</v>
      </c>
      <c r="R445" s="226">
        <f>SUM(R425,R435)</f>
        <v>0</v>
      </c>
      <c r="S445" s="226">
        <f>SUM(S425,S435)</f>
        <v>0</v>
      </c>
      <c r="T445" s="226">
        <f>SUM(T425,T435)</f>
        <v>0</v>
      </c>
      <c r="U445" s="227">
        <f>SUM(R445:T445)</f>
        <v>0</v>
      </c>
      <c r="V445" s="226">
        <f>SUM(V425,V435)</f>
        <v>0</v>
      </c>
      <c r="W445" s="226">
        <f>SUM(W425,W435)</f>
        <v>0</v>
      </c>
      <c r="X445" s="226">
        <f>SUM(X425,X435)</f>
        <v>0</v>
      </c>
      <c r="Y445" s="227">
        <f>SUM(V445:X445)</f>
        <v>0</v>
      </c>
    </row>
    <row r="446" spans="1:25" ht="12.75" hidden="1" customHeight="1" outlineLevel="1" x14ac:dyDescent="0.2">
      <c r="A446" s="198" t="str">
        <f>"         "&amp;Labels!B101</f>
        <v xml:space="preserve">         Gross Margin %</v>
      </c>
      <c r="B446" s="233">
        <f>IF(Sales!B135=0,0,'GM CostSvcs'!B281/Sales!B135)</f>
        <v>0</v>
      </c>
      <c r="C446" s="233">
        <f>IF(Sales!C135=0,0,'GM CostSvcs'!C281/Sales!C135)</f>
        <v>0</v>
      </c>
      <c r="D446" s="233">
        <f>IF(Sales!D135=0,0,'GM CostSvcs'!D281/Sales!D135)</f>
        <v>0.95238095238095233</v>
      </c>
      <c r="E446" s="234">
        <f>IF(SUM(Sales!B135:D135)=0,0,SUM('GM CostSvcs'!B281:D281)/SUM(Sales!B135:D135))</f>
        <v>0.95238095238095233</v>
      </c>
      <c r="F446" s="233">
        <f>IF(Sales!F135=0,0,'GM CostSvcs'!F281/Sales!F135)</f>
        <v>0.95238095238095233</v>
      </c>
      <c r="G446" s="233">
        <f>IF(Sales!G135=0,0,'GM CostSvcs'!G281/Sales!G135)</f>
        <v>0</v>
      </c>
      <c r="H446" s="233">
        <f>IF(Sales!H135=0,0,'GM CostSvcs'!H281/Sales!H135)</f>
        <v>0.95238095238095233</v>
      </c>
      <c r="I446" s="234">
        <f>IF(SUM(Sales!F135:H135)=0,0,SUM('GM CostSvcs'!F281:H281)/SUM(Sales!F135:H135))</f>
        <v>0.95238095238095233</v>
      </c>
      <c r="J446" s="233">
        <f>IF(Sales!J135=0,0,'GM CostSvcs'!J281/Sales!J135)</f>
        <v>0.27950254830809501</v>
      </c>
      <c r="K446" s="233">
        <f>IF(Sales!K135=0,0,'GM CostSvcs'!K281/Sales!K135)</f>
        <v>0.10920857270437984</v>
      </c>
      <c r="L446" s="233">
        <f>IF(Sales!L135=0,0,'GM CostSvcs'!L281/Sales!L135)</f>
        <v>0</v>
      </c>
      <c r="M446" s="234">
        <f>IF(SUM(Sales!J135:L135)=0,0,SUM('GM CostSvcs'!J281:L281)/SUM(Sales!J135:L135))</f>
        <v>0.1943555605062374</v>
      </c>
      <c r="N446" s="233">
        <f>IF(Sales!N135=0,0,'GM CostSvcs'!N281/Sales!N135)</f>
        <v>0</v>
      </c>
      <c r="O446" s="233">
        <f>IF(Sales!O135=0,0,'GM CostSvcs'!O281/Sales!O135)</f>
        <v>0</v>
      </c>
      <c r="P446" s="233">
        <f>IF(Sales!P135=0,0,'GM CostSvcs'!P281/Sales!P135)</f>
        <v>0</v>
      </c>
      <c r="Q446" s="234">
        <f>IF(SUM(Sales!N135:P135)=0,0,SUM('GM CostSvcs'!N281:P281)/SUM(Sales!N135:P135))</f>
        <v>0</v>
      </c>
      <c r="R446" s="233">
        <f>IF(Sales!R135=0,0,'GM CostSvcs'!R281/Sales!R135)</f>
        <v>0</v>
      </c>
      <c r="S446" s="233">
        <f>IF(Sales!S135=0,0,'GM CostSvcs'!S281/Sales!S135)</f>
        <v>0</v>
      </c>
      <c r="T446" s="233">
        <f>IF(Sales!T135=0,0,'GM CostSvcs'!T281/Sales!T135)</f>
        <v>0</v>
      </c>
      <c r="U446" s="234">
        <f>IF(SUM(Sales!R135:T135)=0,0,SUM('GM CostSvcs'!R281:T281)/SUM(Sales!R135:T135))</f>
        <v>0</v>
      </c>
      <c r="V446" s="233">
        <f>IF(Sales!V135=0,0,'GM CostSvcs'!V281/Sales!V135)</f>
        <v>0</v>
      </c>
      <c r="W446" s="233">
        <f>IF(Sales!W135=0,0,'GM CostSvcs'!W281/Sales!W135)</f>
        <v>0</v>
      </c>
      <c r="X446" s="233">
        <f>IF(Sales!X135=0,0,'GM CostSvcs'!X281/Sales!X135)</f>
        <v>0</v>
      </c>
      <c r="Y446" s="234">
        <f>IF(SUM(Sales!V135:X135)=0,0,SUM('GM CostSvcs'!V281:X281)/SUM(Sales!V135:X135))</f>
        <v>0</v>
      </c>
    </row>
    <row r="447" spans="1:25" ht="12.75" hidden="1" customHeight="1" outlineLevel="1" x14ac:dyDescent="0.2">
      <c r="A447" s="198" t="str">
        <f>"      "&amp;Labels!B386</f>
        <v xml:space="preserve">      Prof Level 2</v>
      </c>
      <c r="B447" s="43"/>
      <c r="C447" s="43"/>
      <c r="D447" s="43"/>
      <c r="E447" s="198"/>
      <c r="F447" s="43"/>
      <c r="G447" s="43"/>
      <c r="H447" s="43"/>
      <c r="I447" s="198"/>
      <c r="J447" s="43"/>
      <c r="K447" s="43"/>
      <c r="L447" s="43"/>
      <c r="M447" s="198"/>
      <c r="N447" s="43"/>
      <c r="O447" s="43"/>
      <c r="P447" s="43"/>
      <c r="Q447" s="198"/>
      <c r="R447" s="43"/>
      <c r="S447" s="43"/>
      <c r="T447" s="43"/>
      <c r="U447" s="198"/>
      <c r="V447" s="43"/>
      <c r="W447" s="43"/>
      <c r="X447" s="43"/>
      <c r="Y447" s="198"/>
    </row>
    <row r="448" spans="1:25" ht="12.75" hidden="1" customHeight="1" outlineLevel="1" x14ac:dyDescent="0.2">
      <c r="A448" s="198" t="str">
        <f>"         "&amp;Labels!B99</f>
        <v xml:space="preserve">         Gross Margin</v>
      </c>
      <c r="B448" s="226">
        <f>SUM(B428,B438)</f>
        <v>0</v>
      </c>
      <c r="C448" s="226">
        <f>SUM(C428,C438)</f>
        <v>0</v>
      </c>
      <c r="D448" s="226">
        <f>SUM(D428,D438)</f>
        <v>27500</v>
      </c>
      <c r="E448" s="227">
        <f>SUM(B448:D448)</f>
        <v>27500</v>
      </c>
      <c r="F448" s="226">
        <f>SUM(F428,F438)</f>
        <v>27500</v>
      </c>
      <c r="G448" s="226">
        <f>SUM(G428,G438)</f>
        <v>0</v>
      </c>
      <c r="H448" s="226">
        <f>SUM(H428,H438)</f>
        <v>20000</v>
      </c>
      <c r="I448" s="227">
        <f>SUM(F448:H448)</f>
        <v>47500</v>
      </c>
      <c r="J448" s="226">
        <f>SUM(J428,J438)</f>
        <v>5869.5535144699952</v>
      </c>
      <c r="K448" s="226">
        <f>SUM(K428,K438)</f>
        <v>2293.3800267919764</v>
      </c>
      <c r="L448" s="226">
        <f>SUM(L428,L438)</f>
        <v>0</v>
      </c>
      <c r="M448" s="227">
        <f>SUM(J448:L448)</f>
        <v>8162.9335412619712</v>
      </c>
      <c r="N448" s="226">
        <f>SUM(N428,N438)</f>
        <v>0</v>
      </c>
      <c r="O448" s="226">
        <f>SUM(O428,O438)</f>
        <v>0</v>
      </c>
      <c r="P448" s="226">
        <f>SUM(P428,P438)</f>
        <v>0</v>
      </c>
      <c r="Q448" s="227">
        <f>SUM(N448:P448)</f>
        <v>0</v>
      </c>
      <c r="R448" s="226">
        <f>SUM(R428,R438)</f>
        <v>0</v>
      </c>
      <c r="S448" s="226">
        <f>SUM(S428,S438)</f>
        <v>0</v>
      </c>
      <c r="T448" s="226">
        <f>SUM(T428,T438)</f>
        <v>0</v>
      </c>
      <c r="U448" s="227">
        <f>SUM(R448:T448)</f>
        <v>0</v>
      </c>
      <c r="V448" s="226">
        <f>SUM(V428,V438)</f>
        <v>0</v>
      </c>
      <c r="W448" s="226">
        <f>SUM(W428,W438)</f>
        <v>0</v>
      </c>
      <c r="X448" s="226">
        <f>SUM(X428,X438)</f>
        <v>0</v>
      </c>
      <c r="Y448" s="227">
        <f>SUM(V448:X448)</f>
        <v>0</v>
      </c>
    </row>
    <row r="449" spans="1:25" ht="12.75" hidden="1" customHeight="1" outlineLevel="1" x14ac:dyDescent="0.2">
      <c r="A449" s="198" t="str">
        <f>"         "&amp;Labels!B101</f>
        <v xml:space="preserve">         Gross Margin %</v>
      </c>
      <c r="B449" s="233">
        <f>IF(Sales!B139=0,0,'GM CostSvcs'!B291/Sales!B139)</f>
        <v>0</v>
      </c>
      <c r="C449" s="233">
        <f>IF(Sales!C139=0,0,'GM CostSvcs'!C291/Sales!C139)</f>
        <v>0</v>
      </c>
      <c r="D449" s="233">
        <f>IF(Sales!D139=0,0,'GM CostSvcs'!D291/Sales!D139)</f>
        <v>0.95238095238095233</v>
      </c>
      <c r="E449" s="234">
        <f>IF(SUM(Sales!B139:D139)=0,0,SUM('GM CostSvcs'!B291:D291)/SUM(Sales!B139:D139))</f>
        <v>0.95238095238095233</v>
      </c>
      <c r="F449" s="233">
        <f>IF(Sales!F139=0,0,'GM CostSvcs'!F291/Sales!F139)</f>
        <v>0.95238095238095233</v>
      </c>
      <c r="G449" s="233">
        <f>IF(Sales!G139=0,0,'GM CostSvcs'!G291/Sales!G139)</f>
        <v>0</v>
      </c>
      <c r="H449" s="233">
        <f>IF(Sales!H139=0,0,'GM CostSvcs'!H291/Sales!H139)</f>
        <v>0.95238095238095233</v>
      </c>
      <c r="I449" s="234">
        <f>IF(SUM(Sales!F139:H139)=0,0,SUM('GM CostSvcs'!F291:H291)/SUM(Sales!F139:H139))</f>
        <v>0.95238095238095233</v>
      </c>
      <c r="J449" s="233">
        <f>IF(Sales!J139=0,0,'GM CostSvcs'!J291/Sales!J139)</f>
        <v>0.27950254830809501</v>
      </c>
      <c r="K449" s="233">
        <f>IF(Sales!K139=0,0,'GM CostSvcs'!K291/Sales!K139)</f>
        <v>0.10920857270437984</v>
      </c>
      <c r="L449" s="233">
        <f>IF(Sales!L139=0,0,'GM CostSvcs'!L291/Sales!L139)</f>
        <v>0</v>
      </c>
      <c r="M449" s="234">
        <f>IF(SUM(Sales!J139:L139)=0,0,SUM('GM CostSvcs'!J291:L291)/SUM(Sales!J139:L139))</f>
        <v>0.1943555605062374</v>
      </c>
      <c r="N449" s="233">
        <f>IF(Sales!N139=0,0,'GM CostSvcs'!N291/Sales!N139)</f>
        <v>0</v>
      </c>
      <c r="O449" s="233">
        <f>IF(Sales!O139=0,0,'GM CostSvcs'!O291/Sales!O139)</f>
        <v>0</v>
      </c>
      <c r="P449" s="233">
        <f>IF(Sales!P139=0,0,'GM CostSvcs'!P291/Sales!P139)</f>
        <v>0</v>
      </c>
      <c r="Q449" s="234">
        <f>IF(SUM(Sales!N139:P139)=0,0,SUM('GM CostSvcs'!N291:P291)/SUM(Sales!N139:P139))</f>
        <v>0</v>
      </c>
      <c r="R449" s="233">
        <f>IF(Sales!R139=0,0,'GM CostSvcs'!R291/Sales!R139)</f>
        <v>0</v>
      </c>
      <c r="S449" s="233">
        <f>IF(Sales!S139=0,0,'GM CostSvcs'!S291/Sales!S139)</f>
        <v>0</v>
      </c>
      <c r="T449" s="233">
        <f>IF(Sales!T139=0,0,'GM CostSvcs'!T291/Sales!T139)</f>
        <v>0</v>
      </c>
      <c r="U449" s="234">
        <f>IF(SUM(Sales!R139:T139)=0,0,SUM('GM CostSvcs'!R291:T291)/SUM(Sales!R139:T139))</f>
        <v>0</v>
      </c>
      <c r="V449" s="233">
        <f>IF(Sales!V139=0,0,'GM CostSvcs'!V291/Sales!V139)</f>
        <v>0</v>
      </c>
      <c r="W449" s="233">
        <f>IF(Sales!W139=0,0,'GM CostSvcs'!W291/Sales!W139)</f>
        <v>0</v>
      </c>
      <c r="X449" s="233">
        <f>IF(Sales!X139=0,0,'GM CostSvcs'!X291/Sales!X139)</f>
        <v>0</v>
      </c>
      <c r="Y449" s="234">
        <f>IF(SUM(Sales!V139:X139)=0,0,SUM('GM CostSvcs'!V291:X291)/SUM(Sales!V139:X139))</f>
        <v>0</v>
      </c>
    </row>
    <row r="450" spans="1:25" ht="12.75" hidden="1" customHeight="1" outlineLevel="1" x14ac:dyDescent="0.2">
      <c r="A450" s="188" t="str">
        <f>"      "&amp;Labels!C384</f>
        <v xml:space="preserve">      Total</v>
      </c>
      <c r="B450" s="31"/>
      <c r="C450" s="31"/>
      <c r="D450" s="31"/>
      <c r="E450" s="188"/>
      <c r="F450" s="31"/>
      <c r="G450" s="31"/>
      <c r="H450" s="31"/>
      <c r="I450" s="188"/>
      <c r="J450" s="31"/>
      <c r="K450" s="31"/>
      <c r="L450" s="31"/>
      <c r="M450" s="188"/>
      <c r="N450" s="31"/>
      <c r="O450" s="31"/>
      <c r="P450" s="31"/>
      <c r="Q450" s="188"/>
      <c r="R450" s="31"/>
      <c r="S450" s="31"/>
      <c r="T450" s="31"/>
      <c r="U450" s="188"/>
      <c r="V450" s="31"/>
      <c r="W450" s="31"/>
      <c r="X450" s="31"/>
      <c r="Y450" s="188"/>
    </row>
    <row r="451" spans="1:25" ht="12.75" hidden="1" customHeight="1" outlineLevel="1" x14ac:dyDescent="0.2">
      <c r="A451" s="198" t="str">
        <f>"         "&amp;Labels!B99</f>
        <v xml:space="preserve">         Gross Margin</v>
      </c>
      <c r="B451" s="226">
        <f>SUM(B431,B441)</f>
        <v>0</v>
      </c>
      <c r="C451" s="226">
        <f>SUM(C431,C441)</f>
        <v>0</v>
      </c>
      <c r="D451" s="226">
        <f>SUM(D431,D441)</f>
        <v>55000</v>
      </c>
      <c r="E451" s="227">
        <f>SUM(B451:D451)</f>
        <v>55000</v>
      </c>
      <c r="F451" s="226">
        <f>SUM(F431,F441)</f>
        <v>55000</v>
      </c>
      <c r="G451" s="226">
        <f>SUM(G431,G441)</f>
        <v>0</v>
      </c>
      <c r="H451" s="226">
        <f>SUM(H431,H441)</f>
        <v>40000</v>
      </c>
      <c r="I451" s="227">
        <f>SUM(F451:H451)</f>
        <v>95000</v>
      </c>
      <c r="J451" s="226">
        <f>SUM(J431,J441)</f>
        <v>11739.10702893999</v>
      </c>
      <c r="K451" s="226">
        <f>SUM(K431,K441)</f>
        <v>4586.7600535839529</v>
      </c>
      <c r="L451" s="226">
        <f>SUM(L431,L441)</f>
        <v>0</v>
      </c>
      <c r="M451" s="227">
        <f>SUM(J451:L451)</f>
        <v>16325.867082523942</v>
      </c>
      <c r="N451" s="226">
        <f>SUM(N431,N441)</f>
        <v>0</v>
      </c>
      <c r="O451" s="226">
        <f>SUM(O431,O441)</f>
        <v>0</v>
      </c>
      <c r="P451" s="226">
        <f>SUM(P431,P441)</f>
        <v>0</v>
      </c>
      <c r="Q451" s="227">
        <f>SUM(N451:P451)</f>
        <v>0</v>
      </c>
      <c r="R451" s="226">
        <f>SUM(R431,R441)</f>
        <v>0</v>
      </c>
      <c r="S451" s="226">
        <f>SUM(S431,S441)</f>
        <v>0</v>
      </c>
      <c r="T451" s="226">
        <f>SUM(T431,T441)</f>
        <v>0</v>
      </c>
      <c r="U451" s="227">
        <f>SUM(R451:T451)</f>
        <v>0</v>
      </c>
      <c r="V451" s="226">
        <f>SUM(V431,V441)</f>
        <v>0</v>
      </c>
      <c r="W451" s="226">
        <f>SUM(W431,W441)</f>
        <v>0</v>
      </c>
      <c r="X451" s="226">
        <f>SUM(X431,X441)</f>
        <v>0</v>
      </c>
      <c r="Y451" s="227">
        <f>SUM(V451:X451)</f>
        <v>0</v>
      </c>
    </row>
    <row r="452" spans="1:25" ht="12.75" hidden="1" customHeight="1" outlineLevel="1" x14ac:dyDescent="0.2">
      <c r="A452" s="198" t="str">
        <f>"         "&amp;Labels!B101</f>
        <v xml:space="preserve">         Gross Margin %</v>
      </c>
      <c r="B452" s="233">
        <f>IF(Practices!B56=0,0,Practices!B132/Practices!B56)</f>
        <v>0</v>
      </c>
      <c r="C452" s="233">
        <f>IF(Practices!C56=0,0,Practices!C132/Practices!C56)</f>
        <v>0</v>
      </c>
      <c r="D452" s="233">
        <f>IF(Practices!D56=0,0,Practices!D132/Practices!D56)</f>
        <v>0.95238095238095233</v>
      </c>
      <c r="E452" s="234">
        <f>IF(SUM(Practices!B56:D56)=0,0,SUM(Practices!B132:D132)/SUM(Practices!B56:D56))</f>
        <v>0.95238095238095233</v>
      </c>
      <c r="F452" s="233">
        <f>IF(Practices!F56=0,0,Practices!F132/Practices!F56)</f>
        <v>0.95238095238095233</v>
      </c>
      <c r="G452" s="233">
        <f>IF(Practices!G56=0,0,Practices!G132/Practices!G56)</f>
        <v>0</v>
      </c>
      <c r="H452" s="233">
        <f>IF(Practices!H56=0,0,Practices!H132/Practices!H56)</f>
        <v>0.95238095238095233</v>
      </c>
      <c r="I452" s="234">
        <f>IF(SUM(Practices!F56:H56)=0,0,SUM(Practices!F132:H132)/SUM(Practices!F56:H56))</f>
        <v>0.95238095238095233</v>
      </c>
      <c r="J452" s="233">
        <f>IF(Practices!J56=0,0,Practices!J132/Practices!J56)</f>
        <v>0.27950254830809501</v>
      </c>
      <c r="K452" s="233">
        <f>IF(Practices!K56=0,0,Practices!K132/Practices!K56)</f>
        <v>0.10920857270437984</v>
      </c>
      <c r="L452" s="233">
        <f>IF(Practices!L56=0,0,Practices!L132/Practices!L56)</f>
        <v>0</v>
      </c>
      <c r="M452" s="234">
        <f>IF(SUM(Practices!J56:L56)=0,0,SUM(Practices!J132:L132)/SUM(Practices!J56:L56))</f>
        <v>0.1943555605062374</v>
      </c>
      <c r="N452" s="233">
        <f>IF(Practices!N56=0,0,Practices!N132/Practices!N56)</f>
        <v>0</v>
      </c>
      <c r="O452" s="233">
        <f>IF(Practices!O56=0,0,Practices!O132/Practices!O56)</f>
        <v>0</v>
      </c>
      <c r="P452" s="233">
        <f>IF(Practices!P56=0,0,Practices!P132/Practices!P56)</f>
        <v>0</v>
      </c>
      <c r="Q452" s="234">
        <f>IF(SUM(Practices!N56:P56)=0,0,SUM(Practices!N132:P132)/SUM(Practices!N56:P56))</f>
        <v>0</v>
      </c>
      <c r="R452" s="233">
        <f>IF(Practices!R56=0,0,Practices!R132/Practices!R56)</f>
        <v>0</v>
      </c>
      <c r="S452" s="233">
        <f>IF(Practices!S56=0,0,Practices!S132/Practices!S56)</f>
        <v>0</v>
      </c>
      <c r="T452" s="233">
        <f>IF(Practices!T56=0,0,Practices!T132/Practices!T56)</f>
        <v>0</v>
      </c>
      <c r="U452" s="234">
        <f>IF(SUM(Practices!R56:T56)=0,0,SUM(Practices!R132:T132)/SUM(Practices!R56:T56))</f>
        <v>0</v>
      </c>
      <c r="V452" s="233">
        <f>IF(Practices!V56=0,0,Practices!V132/Practices!V56)</f>
        <v>0</v>
      </c>
      <c r="W452" s="233">
        <f>IF(Practices!W56=0,0,Practices!W132/Practices!W56)</f>
        <v>0</v>
      </c>
      <c r="X452" s="233">
        <f>IF(Practices!X56=0,0,Practices!X132/Practices!X56)</f>
        <v>0</v>
      </c>
      <c r="Y452" s="234">
        <f>IF(SUM(Practices!V56:X56)=0,0,SUM(Practices!V132:X132)/SUM(Practices!V56:X56))</f>
        <v>0</v>
      </c>
    </row>
    <row r="453" spans="1:25" ht="12.75" hidden="1" customHeight="1" outlineLevel="1" x14ac:dyDescent="0.2">
      <c r="A453" s="191" t="str">
        <f>Labels!B318</f>
        <v>Channels 2</v>
      </c>
      <c r="B453" s="3"/>
      <c r="C453" s="3"/>
      <c r="D453" s="3"/>
      <c r="E453" s="191"/>
      <c r="F453" s="3"/>
      <c r="G453" s="3"/>
      <c r="H453" s="3"/>
      <c r="I453" s="191"/>
      <c r="J453" s="3"/>
      <c r="K453" s="3"/>
      <c r="L453" s="3"/>
      <c r="M453" s="191"/>
      <c r="N453" s="3"/>
      <c r="O453" s="3"/>
      <c r="P453" s="3"/>
      <c r="Q453" s="191"/>
      <c r="R453" s="3"/>
      <c r="S453" s="3"/>
      <c r="T453" s="3"/>
      <c r="U453" s="191"/>
      <c r="V453" s="3"/>
      <c r="W453" s="3"/>
      <c r="X453" s="3"/>
      <c r="Y453" s="191"/>
    </row>
    <row r="454" spans="1:25" ht="12.75" hidden="1" customHeight="1" outlineLevel="1" x14ac:dyDescent="0.2">
      <c r="A454" s="188" t="str">
        <f>"   "&amp;Labels!B381</f>
        <v xml:space="preserve">   Practice 1</v>
      </c>
      <c r="B454" s="31"/>
      <c r="C454" s="31"/>
      <c r="D454" s="31"/>
      <c r="E454" s="188"/>
      <c r="F454" s="31"/>
      <c r="G454" s="31"/>
      <c r="H454" s="31"/>
      <c r="I454" s="188"/>
      <c r="J454" s="31"/>
      <c r="K454" s="31"/>
      <c r="L454" s="31"/>
      <c r="M454" s="188"/>
      <c r="N454" s="31"/>
      <c r="O454" s="31"/>
      <c r="P454" s="31"/>
      <c r="Q454" s="188"/>
      <c r="R454" s="31"/>
      <c r="S454" s="31"/>
      <c r="T454" s="31"/>
      <c r="U454" s="188"/>
      <c r="V454" s="31"/>
      <c r="W454" s="31"/>
      <c r="X454" s="31"/>
      <c r="Y454" s="188"/>
    </row>
    <row r="455" spans="1:25" ht="12.75" hidden="1" customHeight="1" outlineLevel="1" x14ac:dyDescent="0.2">
      <c r="A455" s="198" t="str">
        <f>"      "&amp;Labels!B385</f>
        <v xml:space="preserve">      Prof Level 1</v>
      </c>
      <c r="B455" s="43"/>
      <c r="C455" s="43"/>
      <c r="D455" s="43"/>
      <c r="E455" s="198"/>
      <c r="F455" s="43"/>
      <c r="G455" s="43"/>
      <c r="H455" s="43"/>
      <c r="I455" s="198"/>
      <c r="J455" s="43"/>
      <c r="K455" s="43"/>
      <c r="L455" s="43"/>
      <c r="M455" s="198"/>
      <c r="N455" s="43"/>
      <c r="O455" s="43"/>
      <c r="P455" s="43"/>
      <c r="Q455" s="198"/>
      <c r="R455" s="43"/>
      <c r="S455" s="43"/>
      <c r="T455" s="43"/>
      <c r="U455" s="198"/>
      <c r="V455" s="43"/>
      <c r="W455" s="43"/>
      <c r="X455" s="43"/>
      <c r="Y455" s="198"/>
    </row>
    <row r="456" spans="1:25" ht="12.75" hidden="1" customHeight="1" outlineLevel="1" x14ac:dyDescent="0.2">
      <c r="A456" s="198" t="str">
        <f>"         "&amp;Labels!B99</f>
        <v xml:space="preserve">         Gross Margin</v>
      </c>
      <c r="B456" s="226">
        <f>Sales!B110-Practices!B71/2-'GM CostSvcs'!B390/2</f>
        <v>0</v>
      </c>
      <c r="C456" s="226">
        <f>Sales!C110-Practices!C71/2-'GM CostSvcs'!C390/2</f>
        <v>0</v>
      </c>
      <c r="D456" s="226">
        <f>Sales!D110-Practices!D71/2-'GM CostSvcs'!D390/2</f>
        <v>27500</v>
      </c>
      <c r="E456" s="227">
        <f>SUM(B456:D456)</f>
        <v>27500</v>
      </c>
      <c r="F456" s="226">
        <f>Sales!F110-Practices!F71/2-'GM CostSvcs'!F390/2</f>
        <v>27500</v>
      </c>
      <c r="G456" s="226">
        <f>Sales!G110-Practices!G71/2-'GM CostSvcs'!G390/2</f>
        <v>0</v>
      </c>
      <c r="H456" s="226">
        <f>Sales!H110-Practices!H71/2-'GM CostSvcs'!H390/2</f>
        <v>20000</v>
      </c>
      <c r="I456" s="227">
        <f>SUM(F456:H456)</f>
        <v>47500</v>
      </c>
      <c r="J456" s="226">
        <f>Sales!J110-Practices!J71/2-'GM CostSvcs'!J390/2</f>
        <v>20000</v>
      </c>
      <c r="K456" s="226">
        <f>Sales!K110-Practices!K71/2-'GM CostSvcs'!K390/2</f>
        <v>16458.676005358397</v>
      </c>
      <c r="L456" s="226">
        <f>Sales!L110-Practices!L71/2-'GM CostSvcs'!L390/2</f>
        <v>0</v>
      </c>
      <c r="M456" s="227">
        <f>SUM(J456:L456)</f>
        <v>36458.6760053584</v>
      </c>
      <c r="N456" s="226">
        <f>Sales!N110-Practices!N71/2-'GM CostSvcs'!N390/2</f>
        <v>0</v>
      </c>
      <c r="O456" s="226">
        <f>Sales!O110-Practices!O71/2-'GM CostSvcs'!O390/2</f>
        <v>0</v>
      </c>
      <c r="P456" s="226">
        <f>Sales!P110-Practices!P71/2-'GM CostSvcs'!P390/2</f>
        <v>0</v>
      </c>
      <c r="Q456" s="227">
        <f>SUM(N456:P456)</f>
        <v>0</v>
      </c>
      <c r="R456" s="226">
        <f>Sales!R110-Practices!R71/2-'GM CostSvcs'!R390/2</f>
        <v>0</v>
      </c>
      <c r="S456" s="226">
        <f>Sales!S110-Practices!S71/2-'GM CostSvcs'!S390/2</f>
        <v>0</v>
      </c>
      <c r="T456" s="226">
        <f>Sales!T110-Practices!T71/2-'GM CostSvcs'!T390/2</f>
        <v>0</v>
      </c>
      <c r="U456" s="227">
        <f>SUM(R456:T456)</f>
        <v>0</v>
      </c>
      <c r="V456" s="226">
        <f>Sales!V110-Practices!V71/2-'GM CostSvcs'!V390/2</f>
        <v>0</v>
      </c>
      <c r="W456" s="226">
        <f>Sales!W110-Practices!W71/2-'GM CostSvcs'!W390/2</f>
        <v>0</v>
      </c>
      <c r="X456" s="226">
        <f>Sales!X110-Practices!X71/2-'GM CostSvcs'!X390/2</f>
        <v>0</v>
      </c>
      <c r="Y456" s="227">
        <f>SUM(V456:X456)</f>
        <v>0</v>
      </c>
    </row>
    <row r="457" spans="1:25" ht="12.75" hidden="1" customHeight="1" outlineLevel="1" x14ac:dyDescent="0.2">
      <c r="A457" s="198" t="str">
        <f>"         "&amp;Labels!B101</f>
        <v xml:space="preserve">         Gross Margin %</v>
      </c>
      <c r="B457" s="233">
        <f>IF(Sales!B110=0,0,'GM CostSvcs'!B222/Sales!B110)</f>
        <v>0</v>
      </c>
      <c r="C457" s="233">
        <f>IF(Sales!C110=0,0,'GM CostSvcs'!C222/Sales!C110)</f>
        <v>0</v>
      </c>
      <c r="D457" s="233">
        <f>IF(Sales!D110=0,0,'GM CostSvcs'!D222/Sales!D110)</f>
        <v>1</v>
      </c>
      <c r="E457" s="234">
        <f>IF(SUM(Sales!B110:D110)=0,0,SUM('GM CostSvcs'!B222:D222)/SUM(Sales!B110:D110))</f>
        <v>1</v>
      </c>
      <c r="F457" s="233">
        <f>IF(Sales!F110=0,0,'GM CostSvcs'!F222/Sales!F110)</f>
        <v>1</v>
      </c>
      <c r="G457" s="233">
        <f>IF(Sales!G110=0,0,'GM CostSvcs'!G222/Sales!G110)</f>
        <v>0</v>
      </c>
      <c r="H457" s="233">
        <f>IF(Sales!H110=0,0,'GM CostSvcs'!H222/Sales!H110)</f>
        <v>1</v>
      </c>
      <c r="I457" s="234">
        <f>IF(SUM(Sales!F110:H110)=0,0,SUM('GM CostSvcs'!F222:H222)/SUM(Sales!F110:H110))</f>
        <v>1</v>
      </c>
      <c r="J457" s="233">
        <f>IF(Sales!J110=0,0,'GM CostSvcs'!J222/Sales!J110)</f>
        <v>1</v>
      </c>
      <c r="K457" s="233">
        <f>IF(Sales!K110=0,0,'GM CostSvcs'!K222/Sales!K110)</f>
        <v>0.82293380026791985</v>
      </c>
      <c r="L457" s="233">
        <f>IF(Sales!L110=0,0,'GM CostSvcs'!L222/Sales!L110)</f>
        <v>0</v>
      </c>
      <c r="M457" s="234">
        <f>IF(SUM(Sales!J110:L110)=0,0,SUM('GM CostSvcs'!J222:L222)/SUM(Sales!J110:L110))</f>
        <v>0.91146690013396003</v>
      </c>
      <c r="N457" s="233">
        <f>IF(Sales!N110=0,0,'GM CostSvcs'!N222/Sales!N110)</f>
        <v>0</v>
      </c>
      <c r="O457" s="233">
        <f>IF(Sales!O110=0,0,'GM CostSvcs'!O222/Sales!O110)</f>
        <v>0</v>
      </c>
      <c r="P457" s="233">
        <f>IF(Sales!P110=0,0,'GM CostSvcs'!P222/Sales!P110)</f>
        <v>0</v>
      </c>
      <c r="Q457" s="234">
        <f>IF(SUM(Sales!N110:P110)=0,0,SUM('GM CostSvcs'!N222:P222)/SUM(Sales!N110:P110))</f>
        <v>0</v>
      </c>
      <c r="R457" s="233">
        <f>IF(Sales!R110=0,0,'GM CostSvcs'!R222/Sales!R110)</f>
        <v>0</v>
      </c>
      <c r="S457" s="233">
        <f>IF(Sales!S110=0,0,'GM CostSvcs'!S222/Sales!S110)</f>
        <v>0</v>
      </c>
      <c r="T457" s="233">
        <f>IF(Sales!T110=0,0,'GM CostSvcs'!T222/Sales!T110)</f>
        <v>0</v>
      </c>
      <c r="U457" s="234">
        <f>IF(SUM(Sales!R110:T110)=0,0,SUM('GM CostSvcs'!R222:T222)/SUM(Sales!R110:T110))</f>
        <v>0</v>
      </c>
      <c r="V457" s="233">
        <f>IF(Sales!V110=0,0,'GM CostSvcs'!V222/Sales!V110)</f>
        <v>0</v>
      </c>
      <c r="W457" s="233">
        <f>IF(Sales!W110=0,0,'GM CostSvcs'!W222/Sales!W110)</f>
        <v>0</v>
      </c>
      <c r="X457" s="233">
        <f>IF(Sales!X110=0,0,'GM CostSvcs'!X222/Sales!X110)</f>
        <v>0</v>
      </c>
      <c r="Y457" s="234">
        <f>IF(SUM(Sales!V110:X110)=0,0,SUM('GM CostSvcs'!V222:X222)/SUM(Sales!V110:X110))</f>
        <v>0</v>
      </c>
    </row>
    <row r="458" spans="1:25" ht="12.75" hidden="1" customHeight="1" outlineLevel="1" x14ac:dyDescent="0.2">
      <c r="A458" s="198" t="str">
        <f>"      "&amp;Labels!B386</f>
        <v xml:space="preserve">      Prof Level 2</v>
      </c>
      <c r="B458" s="43"/>
      <c r="C458" s="43"/>
      <c r="D458" s="43"/>
      <c r="E458" s="198"/>
      <c r="F458" s="43"/>
      <c r="G458" s="43"/>
      <c r="H458" s="43"/>
      <c r="I458" s="198"/>
      <c r="J458" s="43"/>
      <c r="K458" s="43"/>
      <c r="L458" s="43"/>
      <c r="M458" s="198"/>
      <c r="N458" s="43"/>
      <c r="O458" s="43"/>
      <c r="P458" s="43"/>
      <c r="Q458" s="198"/>
      <c r="R458" s="43"/>
      <c r="S458" s="43"/>
      <c r="T458" s="43"/>
      <c r="U458" s="198"/>
      <c r="V458" s="43"/>
      <c r="W458" s="43"/>
      <c r="X458" s="43"/>
      <c r="Y458" s="198"/>
    </row>
    <row r="459" spans="1:25" ht="12.75" hidden="1" customHeight="1" outlineLevel="1" x14ac:dyDescent="0.2">
      <c r="A459" s="198" t="str">
        <f>"         "&amp;Labels!B99</f>
        <v xml:space="preserve">         Gross Margin</v>
      </c>
      <c r="B459" s="226">
        <f>Sales!B114-Practices!B71/2-'GM CostSvcs'!B391/2</f>
        <v>0</v>
      </c>
      <c r="C459" s="226">
        <f>Sales!C114-Practices!C71/2-'GM CostSvcs'!C391/2</f>
        <v>0</v>
      </c>
      <c r="D459" s="226">
        <f>Sales!D114-Practices!D71/2-'GM CostSvcs'!D391/2</f>
        <v>27500</v>
      </c>
      <c r="E459" s="227">
        <f>SUM(B459:D459)</f>
        <v>27500</v>
      </c>
      <c r="F459" s="226">
        <f>Sales!F114-Practices!F71/2-'GM CostSvcs'!F391/2</f>
        <v>27500</v>
      </c>
      <c r="G459" s="226">
        <f>Sales!G114-Practices!G71/2-'GM CostSvcs'!G391/2</f>
        <v>0</v>
      </c>
      <c r="H459" s="226">
        <f>Sales!H114-Practices!H71/2-'GM CostSvcs'!H391/2</f>
        <v>20000</v>
      </c>
      <c r="I459" s="227">
        <f>SUM(F459:H459)</f>
        <v>47500</v>
      </c>
      <c r="J459" s="226">
        <f>Sales!J114-Practices!J71/2-'GM CostSvcs'!J391/2</f>
        <v>20000</v>
      </c>
      <c r="K459" s="226">
        <f>Sales!K114-Practices!K71/2-'GM CostSvcs'!K391/2</f>
        <v>16458.676005358397</v>
      </c>
      <c r="L459" s="226">
        <f>Sales!L114-Practices!L71/2-'GM CostSvcs'!L391/2</f>
        <v>0</v>
      </c>
      <c r="M459" s="227">
        <f>SUM(J459:L459)</f>
        <v>36458.6760053584</v>
      </c>
      <c r="N459" s="226">
        <f>Sales!N114-Practices!N71/2-'GM CostSvcs'!N391/2</f>
        <v>0</v>
      </c>
      <c r="O459" s="226">
        <f>Sales!O114-Practices!O71/2-'GM CostSvcs'!O391/2</f>
        <v>0</v>
      </c>
      <c r="P459" s="226">
        <f>Sales!P114-Practices!P71/2-'GM CostSvcs'!P391/2</f>
        <v>0</v>
      </c>
      <c r="Q459" s="227">
        <f>SUM(N459:P459)</f>
        <v>0</v>
      </c>
      <c r="R459" s="226">
        <f>Sales!R114-Practices!R71/2-'GM CostSvcs'!R391/2</f>
        <v>0</v>
      </c>
      <c r="S459" s="226">
        <f>Sales!S114-Practices!S71/2-'GM CostSvcs'!S391/2</f>
        <v>0</v>
      </c>
      <c r="T459" s="226">
        <f>Sales!T114-Practices!T71/2-'GM CostSvcs'!T391/2</f>
        <v>0</v>
      </c>
      <c r="U459" s="227">
        <f>SUM(R459:T459)</f>
        <v>0</v>
      </c>
      <c r="V459" s="226">
        <f>Sales!V114-Practices!V71/2-'GM CostSvcs'!V391/2</f>
        <v>0</v>
      </c>
      <c r="W459" s="226">
        <f>Sales!W114-Practices!W71/2-'GM CostSvcs'!W391/2</f>
        <v>0</v>
      </c>
      <c r="X459" s="226">
        <f>Sales!X114-Practices!X71/2-'GM CostSvcs'!X391/2</f>
        <v>0</v>
      </c>
      <c r="Y459" s="227">
        <f>SUM(V459:X459)</f>
        <v>0</v>
      </c>
    </row>
    <row r="460" spans="1:25" ht="12.75" hidden="1" customHeight="1" outlineLevel="1" x14ac:dyDescent="0.2">
      <c r="A460" s="198" t="str">
        <f>"         "&amp;Labels!B101</f>
        <v xml:space="preserve">         Gross Margin %</v>
      </c>
      <c r="B460" s="233">
        <f>IF(Sales!B114=0,0,'GM CostSvcs'!B232/Sales!B114)</f>
        <v>0</v>
      </c>
      <c r="C460" s="233">
        <f>IF(Sales!C114=0,0,'GM CostSvcs'!C232/Sales!C114)</f>
        <v>0</v>
      </c>
      <c r="D460" s="233">
        <f>IF(Sales!D114=0,0,'GM CostSvcs'!D232/Sales!D114)</f>
        <v>1</v>
      </c>
      <c r="E460" s="234">
        <f>IF(SUM(Sales!B114:D114)=0,0,SUM('GM CostSvcs'!B232:D232)/SUM(Sales!B114:D114))</f>
        <v>1</v>
      </c>
      <c r="F460" s="233">
        <f>IF(Sales!F114=0,0,'GM CostSvcs'!F232/Sales!F114)</f>
        <v>1</v>
      </c>
      <c r="G460" s="233">
        <f>IF(Sales!G114=0,0,'GM CostSvcs'!G232/Sales!G114)</f>
        <v>0</v>
      </c>
      <c r="H460" s="233">
        <f>IF(Sales!H114=0,0,'GM CostSvcs'!H232/Sales!H114)</f>
        <v>1</v>
      </c>
      <c r="I460" s="234">
        <f>IF(SUM(Sales!F114:H114)=0,0,SUM('GM CostSvcs'!F232:H232)/SUM(Sales!F114:H114))</f>
        <v>1</v>
      </c>
      <c r="J460" s="233">
        <f>IF(Sales!J114=0,0,'GM CostSvcs'!J232/Sales!J114)</f>
        <v>1</v>
      </c>
      <c r="K460" s="233">
        <f>IF(Sales!K114=0,0,'GM CostSvcs'!K232/Sales!K114)</f>
        <v>0.82293380026791985</v>
      </c>
      <c r="L460" s="233">
        <f>IF(Sales!L114=0,0,'GM CostSvcs'!L232/Sales!L114)</f>
        <v>0</v>
      </c>
      <c r="M460" s="234">
        <f>IF(SUM(Sales!J114:L114)=0,0,SUM('GM CostSvcs'!J232:L232)/SUM(Sales!J114:L114))</f>
        <v>0.91146690013396003</v>
      </c>
      <c r="N460" s="233">
        <f>IF(Sales!N114=0,0,'GM CostSvcs'!N232/Sales!N114)</f>
        <v>0</v>
      </c>
      <c r="O460" s="233">
        <f>IF(Sales!O114=0,0,'GM CostSvcs'!O232/Sales!O114)</f>
        <v>0</v>
      </c>
      <c r="P460" s="233">
        <f>IF(Sales!P114=0,0,'GM CostSvcs'!P232/Sales!P114)</f>
        <v>0</v>
      </c>
      <c r="Q460" s="234">
        <f>IF(SUM(Sales!N114:P114)=0,0,SUM('GM CostSvcs'!N232:P232)/SUM(Sales!N114:P114))</f>
        <v>0</v>
      </c>
      <c r="R460" s="233">
        <f>IF(Sales!R114=0,0,'GM CostSvcs'!R232/Sales!R114)</f>
        <v>0</v>
      </c>
      <c r="S460" s="233">
        <f>IF(Sales!S114=0,0,'GM CostSvcs'!S232/Sales!S114)</f>
        <v>0</v>
      </c>
      <c r="T460" s="233">
        <f>IF(Sales!T114=0,0,'GM CostSvcs'!T232/Sales!T114)</f>
        <v>0</v>
      </c>
      <c r="U460" s="234">
        <f>IF(SUM(Sales!R114:T114)=0,0,SUM('GM CostSvcs'!R232:T232)/SUM(Sales!R114:T114))</f>
        <v>0</v>
      </c>
      <c r="V460" s="233">
        <f>IF(Sales!V114=0,0,'GM CostSvcs'!V232/Sales!V114)</f>
        <v>0</v>
      </c>
      <c r="W460" s="233">
        <f>IF(Sales!W114=0,0,'GM CostSvcs'!W232/Sales!W114)</f>
        <v>0</v>
      </c>
      <c r="X460" s="233">
        <f>IF(Sales!X114=0,0,'GM CostSvcs'!X232/Sales!X114)</f>
        <v>0</v>
      </c>
      <c r="Y460" s="234">
        <f>IF(SUM(Sales!V114:X114)=0,0,SUM('GM CostSvcs'!V232:X232)/SUM(Sales!V114:X114))</f>
        <v>0</v>
      </c>
    </row>
    <row r="461" spans="1:25" ht="12.75" hidden="1" customHeight="1" outlineLevel="1" x14ac:dyDescent="0.2">
      <c r="A461" s="188" t="str">
        <f>"      "&amp;Labels!C384</f>
        <v xml:space="preserve">      Total</v>
      </c>
      <c r="B461" s="31"/>
      <c r="C461" s="31"/>
      <c r="D461" s="31"/>
      <c r="E461" s="188"/>
      <c r="F461" s="31"/>
      <c r="G461" s="31"/>
      <c r="H461" s="31"/>
      <c r="I461" s="188"/>
      <c r="J461" s="31"/>
      <c r="K461" s="31"/>
      <c r="L461" s="31"/>
      <c r="M461" s="188"/>
      <c r="N461" s="31"/>
      <c r="O461" s="31"/>
      <c r="P461" s="31"/>
      <c r="Q461" s="188"/>
      <c r="R461" s="31"/>
      <c r="S461" s="31"/>
      <c r="T461" s="31"/>
      <c r="U461" s="188"/>
      <c r="V461" s="31"/>
      <c r="W461" s="31"/>
      <c r="X461" s="31"/>
      <c r="Y461" s="188"/>
    </row>
    <row r="462" spans="1:25" ht="12.75" hidden="1" customHeight="1" outlineLevel="1" x14ac:dyDescent="0.2">
      <c r="A462" s="198" t="str">
        <f>"         "&amp;Labels!B99</f>
        <v xml:space="preserve">         Gross Margin</v>
      </c>
      <c r="B462" s="226">
        <f>SUM(B456,B459)</f>
        <v>0</v>
      </c>
      <c r="C462" s="226">
        <f>SUM(C456,C459)</f>
        <v>0</v>
      </c>
      <c r="D462" s="226">
        <f>SUM(D456,D459)</f>
        <v>55000</v>
      </c>
      <c r="E462" s="227">
        <f>SUM(B462:D462)</f>
        <v>55000</v>
      </c>
      <c r="F462" s="226">
        <f>SUM(F456,F459)</f>
        <v>55000</v>
      </c>
      <c r="G462" s="226">
        <f>SUM(G456,G459)</f>
        <v>0</v>
      </c>
      <c r="H462" s="226">
        <f>SUM(H456,H459)</f>
        <v>40000</v>
      </c>
      <c r="I462" s="227">
        <f>SUM(F462:H462)</f>
        <v>95000</v>
      </c>
      <c r="J462" s="226">
        <f>SUM(J456,J459)</f>
        <v>40000</v>
      </c>
      <c r="K462" s="226">
        <f>SUM(K456,K459)</f>
        <v>32917.352010716793</v>
      </c>
      <c r="L462" s="226">
        <f>SUM(L456,L459)</f>
        <v>0</v>
      </c>
      <c r="M462" s="227">
        <f>SUM(J462:L462)</f>
        <v>72917.352010716801</v>
      </c>
      <c r="N462" s="226">
        <f>SUM(N456,N459)</f>
        <v>0</v>
      </c>
      <c r="O462" s="226">
        <f>SUM(O456,O459)</f>
        <v>0</v>
      </c>
      <c r="P462" s="226">
        <f>SUM(P456,P459)</f>
        <v>0</v>
      </c>
      <c r="Q462" s="227">
        <f>SUM(N462:P462)</f>
        <v>0</v>
      </c>
      <c r="R462" s="226">
        <f>SUM(R456,R459)</f>
        <v>0</v>
      </c>
      <c r="S462" s="226">
        <f>SUM(S456,S459)</f>
        <v>0</v>
      </c>
      <c r="T462" s="226">
        <f>SUM(T456,T459)</f>
        <v>0</v>
      </c>
      <c r="U462" s="227">
        <f>SUM(R462:T462)</f>
        <v>0</v>
      </c>
      <c r="V462" s="226">
        <f>SUM(V456,V459)</f>
        <v>0</v>
      </c>
      <c r="W462" s="226">
        <f>SUM(W456,W459)</f>
        <v>0</v>
      </c>
      <c r="X462" s="226">
        <f>SUM(X456,X459)</f>
        <v>0</v>
      </c>
      <c r="Y462" s="227">
        <f>SUM(V462:X462)</f>
        <v>0</v>
      </c>
    </row>
    <row r="463" spans="1:25" ht="12.75" hidden="1" customHeight="1" outlineLevel="1" x14ac:dyDescent="0.2">
      <c r="A463" s="198" t="str">
        <f>"         "&amp;Labels!B101</f>
        <v xml:space="preserve">         Gross Margin %</v>
      </c>
      <c r="B463" s="233">
        <f>IF(Practices!B49=0,0,Practices!B115/Practices!B49)</f>
        <v>0</v>
      </c>
      <c r="C463" s="233">
        <f>IF(Practices!C49=0,0,Practices!C115/Practices!C49)</f>
        <v>0</v>
      </c>
      <c r="D463" s="233">
        <f>IF(Practices!D49=0,0,Practices!D115/Practices!D49)</f>
        <v>1</v>
      </c>
      <c r="E463" s="234">
        <f>IF(SUM(Practices!B49:D49)=0,0,SUM(Practices!B115:D115)/SUM(Practices!B49:D49))</f>
        <v>1</v>
      </c>
      <c r="F463" s="233">
        <f>IF(Practices!F49=0,0,Practices!F115/Practices!F49)</f>
        <v>1</v>
      </c>
      <c r="G463" s="233">
        <f>IF(Practices!G49=0,0,Practices!G115/Practices!G49)</f>
        <v>0</v>
      </c>
      <c r="H463" s="233">
        <f>IF(Practices!H49=0,0,Practices!H115/Practices!H49)</f>
        <v>1</v>
      </c>
      <c r="I463" s="234">
        <f>IF(SUM(Practices!F49:H49)=0,0,SUM(Practices!F115:H115)/SUM(Practices!F49:H49))</f>
        <v>1</v>
      </c>
      <c r="J463" s="233">
        <f>IF(Practices!J49=0,0,Practices!J115/Practices!J49)</f>
        <v>1</v>
      </c>
      <c r="K463" s="233">
        <f>IF(Practices!K49=0,0,Practices!K115/Practices!K49)</f>
        <v>0.82293380026791985</v>
      </c>
      <c r="L463" s="233">
        <f>IF(Practices!L49=0,0,Practices!L115/Practices!L49)</f>
        <v>0</v>
      </c>
      <c r="M463" s="234">
        <f>IF(SUM(Practices!J49:L49)=0,0,SUM(Practices!J115:L115)/SUM(Practices!J49:L49))</f>
        <v>0.91146690013396003</v>
      </c>
      <c r="N463" s="233">
        <f>IF(Practices!N49=0,0,Practices!N115/Practices!N49)</f>
        <v>0</v>
      </c>
      <c r="O463" s="233">
        <f>IF(Practices!O49=0,0,Practices!O115/Practices!O49)</f>
        <v>0</v>
      </c>
      <c r="P463" s="233">
        <f>IF(Practices!P49=0,0,Practices!P115/Practices!P49)</f>
        <v>0</v>
      </c>
      <c r="Q463" s="234">
        <f>IF(SUM(Practices!N49:P49)=0,0,SUM(Practices!N115:P115)/SUM(Practices!N49:P49))</f>
        <v>0</v>
      </c>
      <c r="R463" s="233">
        <f>IF(Practices!R49=0,0,Practices!R115/Practices!R49)</f>
        <v>0</v>
      </c>
      <c r="S463" s="233">
        <f>IF(Practices!S49=0,0,Practices!S115/Practices!S49)</f>
        <v>0</v>
      </c>
      <c r="T463" s="233">
        <f>IF(Practices!T49=0,0,Practices!T115/Practices!T49)</f>
        <v>0</v>
      </c>
      <c r="U463" s="234">
        <f>IF(SUM(Practices!R49:T49)=0,0,SUM(Practices!R115:T115)/SUM(Practices!R49:T49))</f>
        <v>0</v>
      </c>
      <c r="V463" s="233">
        <f>IF(Practices!V49=0,0,Practices!V115/Practices!V49)</f>
        <v>0</v>
      </c>
      <c r="W463" s="233">
        <f>IF(Practices!W49=0,0,Practices!W115/Practices!W49)</f>
        <v>0</v>
      </c>
      <c r="X463" s="233">
        <f>IF(Practices!X49=0,0,Practices!X115/Practices!X49)</f>
        <v>0</v>
      </c>
      <c r="Y463" s="234">
        <f>IF(SUM(Practices!V49:X49)=0,0,SUM(Practices!V115:X115)/SUM(Practices!V49:X49))</f>
        <v>0</v>
      </c>
    </row>
    <row r="464" spans="1:25" ht="12.75" hidden="1" customHeight="1" outlineLevel="1" x14ac:dyDescent="0.2">
      <c r="A464" s="188" t="str">
        <f>"   "&amp;Labels!B382</f>
        <v xml:space="preserve">   Practice 2</v>
      </c>
      <c r="B464" s="31"/>
      <c r="C464" s="31"/>
      <c r="D464" s="31"/>
      <c r="E464" s="188"/>
      <c r="F464" s="31"/>
      <c r="G464" s="31"/>
      <c r="H464" s="31"/>
      <c r="I464" s="188"/>
      <c r="J464" s="31"/>
      <c r="K464" s="31"/>
      <c r="L464" s="31"/>
      <c r="M464" s="188"/>
      <c r="N464" s="31"/>
      <c r="O464" s="31"/>
      <c r="P464" s="31"/>
      <c r="Q464" s="188"/>
      <c r="R464" s="31"/>
      <c r="S464" s="31"/>
      <c r="T464" s="31"/>
      <c r="U464" s="188"/>
      <c r="V464" s="31"/>
      <c r="W464" s="31"/>
      <c r="X464" s="31"/>
      <c r="Y464" s="188"/>
    </row>
    <row r="465" spans="1:25" ht="12.75" hidden="1" customHeight="1" outlineLevel="1" x14ac:dyDescent="0.2">
      <c r="A465" s="198" t="str">
        <f>"      "&amp;Labels!B385</f>
        <v xml:space="preserve">      Prof Level 1</v>
      </c>
      <c r="B465" s="43"/>
      <c r="C465" s="43"/>
      <c r="D465" s="43"/>
      <c r="E465" s="198"/>
      <c r="F465" s="43"/>
      <c r="G465" s="43"/>
      <c r="H465" s="43"/>
      <c r="I465" s="198"/>
      <c r="J465" s="43"/>
      <c r="K465" s="43"/>
      <c r="L465" s="43"/>
      <c r="M465" s="198"/>
      <c r="N465" s="43"/>
      <c r="O465" s="43"/>
      <c r="P465" s="43"/>
      <c r="Q465" s="198"/>
      <c r="R465" s="43"/>
      <c r="S465" s="43"/>
      <c r="T465" s="43"/>
      <c r="U465" s="198"/>
      <c r="V465" s="43"/>
      <c r="W465" s="43"/>
      <c r="X465" s="43"/>
      <c r="Y465" s="198"/>
    </row>
    <row r="466" spans="1:25" ht="12.75" hidden="1" customHeight="1" outlineLevel="1" x14ac:dyDescent="0.2">
      <c r="A466" s="198" t="str">
        <f>"         "&amp;Labels!B99</f>
        <v xml:space="preserve">         Gross Margin</v>
      </c>
      <c r="B466" s="226">
        <f>Sales!B123-Practices!B87/2-'GM CostSvcs'!B394/2</f>
        <v>0</v>
      </c>
      <c r="C466" s="226">
        <f>Sales!C123-Practices!C87/2-'GM CostSvcs'!C394/2</f>
        <v>0</v>
      </c>
      <c r="D466" s="226">
        <f>Sales!D123-Practices!D87/2-'GM CostSvcs'!D394/2</f>
        <v>0</v>
      </c>
      <c r="E466" s="227">
        <f>SUM(B466:D466)</f>
        <v>0</v>
      </c>
      <c r="F466" s="226">
        <f>Sales!F123-Practices!F87/2-'GM CostSvcs'!F394/2</f>
        <v>0</v>
      </c>
      <c r="G466" s="226">
        <f>Sales!G123-Practices!G87/2-'GM CostSvcs'!G394/2</f>
        <v>0</v>
      </c>
      <c r="H466" s="226">
        <f>Sales!H123-Practices!H87/2-'GM CostSvcs'!H394/2</f>
        <v>0</v>
      </c>
      <c r="I466" s="227">
        <f>SUM(F466:H466)</f>
        <v>0</v>
      </c>
      <c r="J466" s="226">
        <f>Sales!J123-Practices!J87/2-'GM CostSvcs'!J394/2</f>
        <v>0</v>
      </c>
      <c r="K466" s="226">
        <f>Sales!K123-Practices!K87/2-'GM CostSvcs'!K394/2</f>
        <v>0</v>
      </c>
      <c r="L466" s="226">
        <f>Sales!L123-Practices!L87/2-'GM CostSvcs'!L394/2</f>
        <v>0</v>
      </c>
      <c r="M466" s="227">
        <f>SUM(J466:L466)</f>
        <v>0</v>
      </c>
      <c r="N466" s="226">
        <f>Sales!N123-Practices!N87/2-'GM CostSvcs'!N394/2</f>
        <v>0</v>
      </c>
      <c r="O466" s="226">
        <f>Sales!O123-Practices!O87/2-'GM CostSvcs'!O394/2</f>
        <v>0</v>
      </c>
      <c r="P466" s="226">
        <f>Sales!P123-Practices!P87/2-'GM CostSvcs'!P394/2</f>
        <v>0</v>
      </c>
      <c r="Q466" s="227">
        <f>SUM(N466:P466)</f>
        <v>0</v>
      </c>
      <c r="R466" s="226">
        <f>Sales!R123-Practices!R87/2-'GM CostSvcs'!R394/2</f>
        <v>0</v>
      </c>
      <c r="S466" s="226">
        <f>Sales!S123-Practices!S87/2-'GM CostSvcs'!S394/2</f>
        <v>0</v>
      </c>
      <c r="T466" s="226">
        <f>Sales!T123-Practices!T87/2-'GM CostSvcs'!T394/2</f>
        <v>0</v>
      </c>
      <c r="U466" s="227">
        <f>SUM(R466:T466)</f>
        <v>0</v>
      </c>
      <c r="V466" s="226">
        <f>Sales!V123-Practices!V87/2-'GM CostSvcs'!V394/2</f>
        <v>0</v>
      </c>
      <c r="W466" s="226">
        <f>Sales!W123-Practices!W87/2-'GM CostSvcs'!W394/2</f>
        <v>0</v>
      </c>
      <c r="X466" s="226">
        <f>Sales!X123-Practices!X87/2-'GM CostSvcs'!X394/2</f>
        <v>0</v>
      </c>
      <c r="Y466" s="227">
        <f>SUM(V466:X466)</f>
        <v>0</v>
      </c>
    </row>
    <row r="467" spans="1:25" ht="12.75" hidden="1" customHeight="1" outlineLevel="1" x14ac:dyDescent="0.2">
      <c r="A467" s="198" t="str">
        <f>"         "&amp;Labels!B101</f>
        <v xml:space="preserve">         Gross Margin %</v>
      </c>
      <c r="B467" s="233">
        <f>IF(Sales!B123=0,0,'GM CostSvcs'!B253/Sales!B123)</f>
        <v>0</v>
      </c>
      <c r="C467" s="233">
        <f>IF(Sales!C123=0,0,'GM CostSvcs'!C253/Sales!C123)</f>
        <v>0</v>
      </c>
      <c r="D467" s="233">
        <f>IF(Sales!D123=0,0,'GM CostSvcs'!D253/Sales!D123)</f>
        <v>0</v>
      </c>
      <c r="E467" s="234">
        <f>IF(SUM(Sales!B123:D123)=0,0,SUM('GM CostSvcs'!B253:D253)/SUM(Sales!B123:D123))</f>
        <v>0</v>
      </c>
      <c r="F467" s="233">
        <f>IF(Sales!F123=0,0,'GM CostSvcs'!F253/Sales!F123)</f>
        <v>0</v>
      </c>
      <c r="G467" s="233">
        <f>IF(Sales!G123=0,0,'GM CostSvcs'!G253/Sales!G123)</f>
        <v>0</v>
      </c>
      <c r="H467" s="233">
        <f>IF(Sales!H123=0,0,'GM CostSvcs'!H253/Sales!H123)</f>
        <v>0</v>
      </c>
      <c r="I467" s="234">
        <f>IF(SUM(Sales!F123:H123)=0,0,SUM('GM CostSvcs'!F253:H253)/SUM(Sales!F123:H123))</f>
        <v>0</v>
      </c>
      <c r="J467" s="233">
        <f>IF(Sales!J123=0,0,'GM CostSvcs'!J253/Sales!J123)</f>
        <v>0</v>
      </c>
      <c r="K467" s="233">
        <f>IF(Sales!K123=0,0,'GM CostSvcs'!K253/Sales!K123)</f>
        <v>0</v>
      </c>
      <c r="L467" s="233">
        <f>IF(Sales!L123=0,0,'GM CostSvcs'!L253/Sales!L123)</f>
        <v>0</v>
      </c>
      <c r="M467" s="234">
        <f>IF(SUM(Sales!J123:L123)=0,0,SUM('GM CostSvcs'!J253:L253)/SUM(Sales!J123:L123))</f>
        <v>0</v>
      </c>
      <c r="N467" s="233">
        <f>IF(Sales!N123=0,0,'GM CostSvcs'!N253/Sales!N123)</f>
        <v>0</v>
      </c>
      <c r="O467" s="233">
        <f>IF(Sales!O123=0,0,'GM CostSvcs'!O253/Sales!O123)</f>
        <v>0</v>
      </c>
      <c r="P467" s="233">
        <f>IF(Sales!P123=0,0,'GM CostSvcs'!P253/Sales!P123)</f>
        <v>0</v>
      </c>
      <c r="Q467" s="234">
        <f>IF(SUM(Sales!N123:P123)=0,0,SUM('GM CostSvcs'!N253:P253)/SUM(Sales!N123:P123))</f>
        <v>0</v>
      </c>
      <c r="R467" s="233">
        <f>IF(Sales!R123=0,0,'GM CostSvcs'!R253/Sales!R123)</f>
        <v>0</v>
      </c>
      <c r="S467" s="233">
        <f>IF(Sales!S123=0,0,'GM CostSvcs'!S253/Sales!S123)</f>
        <v>0</v>
      </c>
      <c r="T467" s="233">
        <f>IF(Sales!T123=0,0,'GM CostSvcs'!T253/Sales!T123)</f>
        <v>0</v>
      </c>
      <c r="U467" s="234">
        <f>IF(SUM(Sales!R123:T123)=0,0,SUM('GM CostSvcs'!R253:T253)/SUM(Sales!R123:T123))</f>
        <v>0</v>
      </c>
      <c r="V467" s="233">
        <f>IF(Sales!V123=0,0,'GM CostSvcs'!V253/Sales!V123)</f>
        <v>0</v>
      </c>
      <c r="W467" s="233">
        <f>IF(Sales!W123=0,0,'GM CostSvcs'!W253/Sales!W123)</f>
        <v>0</v>
      </c>
      <c r="X467" s="233">
        <f>IF(Sales!X123=0,0,'GM CostSvcs'!X253/Sales!X123)</f>
        <v>0</v>
      </c>
      <c r="Y467" s="234">
        <f>IF(SUM(Sales!V123:X123)=0,0,SUM('GM CostSvcs'!V253:X253)/SUM(Sales!V123:X123))</f>
        <v>0</v>
      </c>
    </row>
    <row r="468" spans="1:25" ht="12.75" hidden="1" customHeight="1" outlineLevel="1" x14ac:dyDescent="0.2">
      <c r="A468" s="198" t="str">
        <f>"      "&amp;Labels!B386</f>
        <v xml:space="preserve">      Prof Level 2</v>
      </c>
      <c r="B468" s="43"/>
      <c r="C468" s="43"/>
      <c r="D468" s="43"/>
      <c r="E468" s="198"/>
      <c r="F468" s="43"/>
      <c r="G468" s="43"/>
      <c r="H468" s="43"/>
      <c r="I468" s="198"/>
      <c r="J468" s="43"/>
      <c r="K468" s="43"/>
      <c r="L468" s="43"/>
      <c r="M468" s="198"/>
      <c r="N468" s="43"/>
      <c r="O468" s="43"/>
      <c r="P468" s="43"/>
      <c r="Q468" s="198"/>
      <c r="R468" s="43"/>
      <c r="S468" s="43"/>
      <c r="T468" s="43"/>
      <c r="U468" s="198"/>
      <c r="V468" s="43"/>
      <c r="W468" s="43"/>
      <c r="X468" s="43"/>
      <c r="Y468" s="198"/>
    </row>
    <row r="469" spans="1:25" ht="12.75" hidden="1" customHeight="1" outlineLevel="1" x14ac:dyDescent="0.2">
      <c r="A469" s="198" t="str">
        <f>"         "&amp;Labels!B99</f>
        <v xml:space="preserve">         Gross Margin</v>
      </c>
      <c r="B469" s="226">
        <f>Sales!B127-Practices!B87/2-'GM CostSvcs'!B395/2</f>
        <v>0</v>
      </c>
      <c r="C469" s="226">
        <f>Sales!C127-Practices!C87/2-'GM CostSvcs'!C395/2</f>
        <v>0</v>
      </c>
      <c r="D469" s="226">
        <f>Sales!D127-Practices!D87/2-'GM CostSvcs'!D395/2</f>
        <v>0</v>
      </c>
      <c r="E469" s="227">
        <f>SUM(B469:D469)</f>
        <v>0</v>
      </c>
      <c r="F469" s="226">
        <f>Sales!F127-Practices!F87/2-'GM CostSvcs'!F395/2</f>
        <v>0</v>
      </c>
      <c r="G469" s="226">
        <f>Sales!G127-Practices!G87/2-'GM CostSvcs'!G395/2</f>
        <v>0</v>
      </c>
      <c r="H469" s="226">
        <f>Sales!H127-Practices!H87/2-'GM CostSvcs'!H395/2</f>
        <v>0</v>
      </c>
      <c r="I469" s="227">
        <f>SUM(F469:H469)</f>
        <v>0</v>
      </c>
      <c r="J469" s="226">
        <f>Sales!J127-Practices!J87/2-'GM CostSvcs'!J395/2</f>
        <v>0</v>
      </c>
      <c r="K469" s="226">
        <f>Sales!K127-Practices!K87/2-'GM CostSvcs'!K395/2</f>
        <v>0</v>
      </c>
      <c r="L469" s="226">
        <f>Sales!L127-Practices!L87/2-'GM CostSvcs'!L395/2</f>
        <v>0</v>
      </c>
      <c r="M469" s="227">
        <f>SUM(J469:L469)</f>
        <v>0</v>
      </c>
      <c r="N469" s="226">
        <f>Sales!N127-Practices!N87/2-'GM CostSvcs'!N395/2</f>
        <v>0</v>
      </c>
      <c r="O469" s="226">
        <f>Sales!O127-Practices!O87/2-'GM CostSvcs'!O395/2</f>
        <v>0</v>
      </c>
      <c r="P469" s="226">
        <f>Sales!P127-Practices!P87/2-'GM CostSvcs'!P395/2</f>
        <v>0</v>
      </c>
      <c r="Q469" s="227">
        <f>SUM(N469:P469)</f>
        <v>0</v>
      </c>
      <c r="R469" s="226">
        <f>Sales!R127-Practices!R87/2-'GM CostSvcs'!R395/2</f>
        <v>0</v>
      </c>
      <c r="S469" s="226">
        <f>Sales!S127-Practices!S87/2-'GM CostSvcs'!S395/2</f>
        <v>0</v>
      </c>
      <c r="T469" s="226">
        <f>Sales!T127-Practices!T87/2-'GM CostSvcs'!T395/2</f>
        <v>0</v>
      </c>
      <c r="U469" s="227">
        <f>SUM(R469:T469)</f>
        <v>0</v>
      </c>
      <c r="V469" s="226">
        <f>Sales!V127-Practices!V87/2-'GM CostSvcs'!V395/2</f>
        <v>0</v>
      </c>
      <c r="W469" s="226">
        <f>Sales!W127-Practices!W87/2-'GM CostSvcs'!W395/2</f>
        <v>0</v>
      </c>
      <c r="X469" s="226">
        <f>Sales!X127-Practices!X87/2-'GM CostSvcs'!X395/2</f>
        <v>0</v>
      </c>
      <c r="Y469" s="227">
        <f>SUM(V469:X469)</f>
        <v>0</v>
      </c>
    </row>
    <row r="470" spans="1:25" ht="12.75" hidden="1" customHeight="1" outlineLevel="1" x14ac:dyDescent="0.2">
      <c r="A470" s="198" t="str">
        <f>"         "&amp;Labels!B101</f>
        <v xml:space="preserve">         Gross Margin %</v>
      </c>
      <c r="B470" s="233">
        <f>IF(Sales!B127=0,0,'GM CostSvcs'!B263/Sales!B127)</f>
        <v>0</v>
      </c>
      <c r="C470" s="233">
        <f>IF(Sales!C127=0,0,'GM CostSvcs'!C263/Sales!C127)</f>
        <v>0</v>
      </c>
      <c r="D470" s="233">
        <f>IF(Sales!D127=0,0,'GM CostSvcs'!D263/Sales!D127)</f>
        <v>0</v>
      </c>
      <c r="E470" s="234">
        <f>IF(SUM(Sales!B127:D127)=0,0,SUM('GM CostSvcs'!B263:D263)/SUM(Sales!B127:D127))</f>
        <v>0</v>
      </c>
      <c r="F470" s="233">
        <f>IF(Sales!F127=0,0,'GM CostSvcs'!F263/Sales!F127)</f>
        <v>0</v>
      </c>
      <c r="G470" s="233">
        <f>IF(Sales!G127=0,0,'GM CostSvcs'!G263/Sales!G127)</f>
        <v>0</v>
      </c>
      <c r="H470" s="233">
        <f>IF(Sales!H127=0,0,'GM CostSvcs'!H263/Sales!H127)</f>
        <v>0</v>
      </c>
      <c r="I470" s="234">
        <f>IF(SUM(Sales!F127:H127)=0,0,SUM('GM CostSvcs'!F263:H263)/SUM(Sales!F127:H127))</f>
        <v>0</v>
      </c>
      <c r="J470" s="233">
        <f>IF(Sales!J127=0,0,'GM CostSvcs'!J263/Sales!J127)</f>
        <v>0</v>
      </c>
      <c r="K470" s="233">
        <f>IF(Sales!K127=0,0,'GM CostSvcs'!K263/Sales!K127)</f>
        <v>0</v>
      </c>
      <c r="L470" s="233">
        <f>IF(Sales!L127=0,0,'GM CostSvcs'!L263/Sales!L127)</f>
        <v>0</v>
      </c>
      <c r="M470" s="234">
        <f>IF(SUM(Sales!J127:L127)=0,0,SUM('GM CostSvcs'!J263:L263)/SUM(Sales!J127:L127))</f>
        <v>0</v>
      </c>
      <c r="N470" s="233">
        <f>IF(Sales!N127=0,0,'GM CostSvcs'!N263/Sales!N127)</f>
        <v>0</v>
      </c>
      <c r="O470" s="233">
        <f>IF(Sales!O127=0,0,'GM CostSvcs'!O263/Sales!O127)</f>
        <v>0</v>
      </c>
      <c r="P470" s="233">
        <f>IF(Sales!P127=0,0,'GM CostSvcs'!P263/Sales!P127)</f>
        <v>0</v>
      </c>
      <c r="Q470" s="234">
        <f>IF(SUM(Sales!N127:P127)=0,0,SUM('GM CostSvcs'!N263:P263)/SUM(Sales!N127:P127))</f>
        <v>0</v>
      </c>
      <c r="R470" s="233">
        <f>IF(Sales!R127=0,0,'GM CostSvcs'!R263/Sales!R127)</f>
        <v>0</v>
      </c>
      <c r="S470" s="233">
        <f>IF(Sales!S127=0,0,'GM CostSvcs'!S263/Sales!S127)</f>
        <v>0</v>
      </c>
      <c r="T470" s="233">
        <f>IF(Sales!T127=0,0,'GM CostSvcs'!T263/Sales!T127)</f>
        <v>0</v>
      </c>
      <c r="U470" s="234">
        <f>IF(SUM(Sales!R127:T127)=0,0,SUM('GM CostSvcs'!R263:T263)/SUM(Sales!R127:T127))</f>
        <v>0</v>
      </c>
      <c r="V470" s="233">
        <f>IF(Sales!V127=0,0,'GM CostSvcs'!V263/Sales!V127)</f>
        <v>0</v>
      </c>
      <c r="W470" s="233">
        <f>IF(Sales!W127=0,0,'GM CostSvcs'!W263/Sales!W127)</f>
        <v>0</v>
      </c>
      <c r="X470" s="233">
        <f>IF(Sales!X127=0,0,'GM CostSvcs'!X263/Sales!X127)</f>
        <v>0</v>
      </c>
      <c r="Y470" s="234">
        <f>IF(SUM(Sales!V127:X127)=0,0,SUM('GM CostSvcs'!V263:X263)/SUM(Sales!V127:X127))</f>
        <v>0</v>
      </c>
    </row>
    <row r="471" spans="1:25" ht="12.75" hidden="1" customHeight="1" outlineLevel="1" x14ac:dyDescent="0.2">
      <c r="A471" s="188" t="str">
        <f>"      "&amp;Labels!C384</f>
        <v xml:space="preserve">      Total</v>
      </c>
      <c r="B471" s="31"/>
      <c r="C471" s="31"/>
      <c r="D471" s="31"/>
      <c r="E471" s="188"/>
      <c r="F471" s="31"/>
      <c r="G471" s="31"/>
      <c r="H471" s="31"/>
      <c r="I471" s="188"/>
      <c r="J471" s="31"/>
      <c r="K471" s="31"/>
      <c r="L471" s="31"/>
      <c r="M471" s="188"/>
      <c r="N471" s="31"/>
      <c r="O471" s="31"/>
      <c r="P471" s="31"/>
      <c r="Q471" s="188"/>
      <c r="R471" s="31"/>
      <c r="S471" s="31"/>
      <c r="T471" s="31"/>
      <c r="U471" s="188"/>
      <c r="V471" s="31"/>
      <c r="W471" s="31"/>
      <c r="X471" s="31"/>
      <c r="Y471" s="188"/>
    </row>
    <row r="472" spans="1:25" ht="12.75" hidden="1" customHeight="1" outlineLevel="1" x14ac:dyDescent="0.2">
      <c r="A472" s="198" t="str">
        <f>"         "&amp;Labels!B99</f>
        <v xml:space="preserve">         Gross Margin</v>
      </c>
      <c r="B472" s="226">
        <f>SUM(B466,B469)</f>
        <v>0</v>
      </c>
      <c r="C472" s="226">
        <f>SUM(C466,C469)</f>
        <v>0</v>
      </c>
      <c r="D472" s="226">
        <f>SUM(D466,D469)</f>
        <v>0</v>
      </c>
      <c r="E472" s="227">
        <f>SUM(B472:D472)</f>
        <v>0</v>
      </c>
      <c r="F472" s="226">
        <f>SUM(F466,F469)</f>
        <v>0</v>
      </c>
      <c r="G472" s="226">
        <f>SUM(G466,G469)</f>
        <v>0</v>
      </c>
      <c r="H472" s="226">
        <f>SUM(H466,H469)</f>
        <v>0</v>
      </c>
      <c r="I472" s="227">
        <f>SUM(F472:H472)</f>
        <v>0</v>
      </c>
      <c r="J472" s="226">
        <f>SUM(J466,J469)</f>
        <v>0</v>
      </c>
      <c r="K472" s="226">
        <f>SUM(K466,K469)</f>
        <v>0</v>
      </c>
      <c r="L472" s="226">
        <f>SUM(L466,L469)</f>
        <v>0</v>
      </c>
      <c r="M472" s="227">
        <f>SUM(J472:L472)</f>
        <v>0</v>
      </c>
      <c r="N472" s="226">
        <f>SUM(N466,N469)</f>
        <v>0</v>
      </c>
      <c r="O472" s="226">
        <f>SUM(O466,O469)</f>
        <v>0</v>
      </c>
      <c r="P472" s="226">
        <f>SUM(P466,P469)</f>
        <v>0</v>
      </c>
      <c r="Q472" s="227">
        <f>SUM(N472:P472)</f>
        <v>0</v>
      </c>
      <c r="R472" s="226">
        <f>SUM(R466,R469)</f>
        <v>0</v>
      </c>
      <c r="S472" s="226">
        <f>SUM(S466,S469)</f>
        <v>0</v>
      </c>
      <c r="T472" s="226">
        <f>SUM(T466,T469)</f>
        <v>0</v>
      </c>
      <c r="U472" s="227">
        <f>SUM(R472:T472)</f>
        <v>0</v>
      </c>
      <c r="V472" s="226">
        <f>SUM(V466,V469)</f>
        <v>0</v>
      </c>
      <c r="W472" s="226">
        <f>SUM(W466,W469)</f>
        <v>0</v>
      </c>
      <c r="X472" s="226">
        <f>SUM(X466,X469)</f>
        <v>0</v>
      </c>
      <c r="Y472" s="227">
        <f>SUM(V472:X472)</f>
        <v>0</v>
      </c>
    </row>
    <row r="473" spans="1:25" ht="12.75" hidden="1" customHeight="1" outlineLevel="1" x14ac:dyDescent="0.2">
      <c r="A473" s="198" t="str">
        <f>"         "&amp;Labels!B101</f>
        <v xml:space="preserve">         Gross Margin %</v>
      </c>
      <c r="B473" s="233">
        <f>IF(Practices!B53=0,0,Practices!B125/Practices!B53)</f>
        <v>0</v>
      </c>
      <c r="C473" s="233">
        <f>IF(Practices!C53=0,0,Practices!C125/Practices!C53)</f>
        <v>0</v>
      </c>
      <c r="D473" s="233">
        <f>IF(Practices!D53=0,0,Practices!D125/Practices!D53)</f>
        <v>0</v>
      </c>
      <c r="E473" s="234">
        <f>IF(SUM(Practices!B53:D53)=0,0,SUM(Practices!B125:D125)/SUM(Practices!B53:D53))</f>
        <v>0</v>
      </c>
      <c r="F473" s="233">
        <f>IF(Practices!F53=0,0,Practices!F125/Practices!F53)</f>
        <v>0</v>
      </c>
      <c r="G473" s="233">
        <f>IF(Practices!G53=0,0,Practices!G125/Practices!G53)</f>
        <v>0</v>
      </c>
      <c r="H473" s="233">
        <f>IF(Practices!H53=0,0,Practices!H125/Practices!H53)</f>
        <v>0</v>
      </c>
      <c r="I473" s="234">
        <f>IF(SUM(Practices!F53:H53)=0,0,SUM(Practices!F125:H125)/SUM(Practices!F53:H53))</f>
        <v>0</v>
      </c>
      <c r="J473" s="233">
        <f>IF(Practices!J53=0,0,Practices!J125/Practices!J53)</f>
        <v>0</v>
      </c>
      <c r="K473" s="233">
        <f>IF(Practices!K53=0,0,Practices!K125/Practices!K53)</f>
        <v>0</v>
      </c>
      <c r="L473" s="233">
        <f>IF(Practices!L53=0,0,Practices!L125/Practices!L53)</f>
        <v>0</v>
      </c>
      <c r="M473" s="234">
        <f>IF(SUM(Practices!J53:L53)=0,0,SUM(Practices!J125:L125)/SUM(Practices!J53:L53))</f>
        <v>0</v>
      </c>
      <c r="N473" s="233">
        <f>IF(Practices!N53=0,0,Practices!N125/Practices!N53)</f>
        <v>0</v>
      </c>
      <c r="O473" s="233">
        <f>IF(Practices!O53=0,0,Practices!O125/Practices!O53)</f>
        <v>0</v>
      </c>
      <c r="P473" s="233">
        <f>IF(Practices!P53=0,0,Practices!P125/Practices!P53)</f>
        <v>0</v>
      </c>
      <c r="Q473" s="234">
        <f>IF(SUM(Practices!N53:P53)=0,0,SUM(Practices!N125:P125)/SUM(Practices!N53:P53))</f>
        <v>0</v>
      </c>
      <c r="R473" s="233">
        <f>IF(Practices!R53=0,0,Practices!R125/Practices!R53)</f>
        <v>0</v>
      </c>
      <c r="S473" s="233">
        <f>IF(Practices!S53=0,0,Practices!S125/Practices!S53)</f>
        <v>0</v>
      </c>
      <c r="T473" s="233">
        <f>IF(Practices!T53=0,0,Practices!T125/Practices!T53)</f>
        <v>0</v>
      </c>
      <c r="U473" s="234">
        <f>IF(SUM(Practices!R53:T53)=0,0,SUM(Practices!R125:T125)/SUM(Practices!R53:T53))</f>
        <v>0</v>
      </c>
      <c r="V473" s="233">
        <f>IF(Practices!V53=0,0,Practices!V125/Practices!V53)</f>
        <v>0</v>
      </c>
      <c r="W473" s="233">
        <f>IF(Practices!W53=0,0,Practices!W125/Practices!W53)</f>
        <v>0</v>
      </c>
      <c r="X473" s="233">
        <f>IF(Practices!X53=0,0,Practices!X125/Practices!X53)</f>
        <v>0</v>
      </c>
      <c r="Y473" s="234">
        <f>IF(SUM(Practices!V53:X53)=0,0,SUM(Practices!V125:X125)/SUM(Practices!V53:X53))</f>
        <v>0</v>
      </c>
    </row>
    <row r="474" spans="1:25" ht="12.75" hidden="1" customHeight="1" outlineLevel="1" x14ac:dyDescent="0.2">
      <c r="A474" s="191" t="str">
        <f>"   "&amp;Labels!C380</f>
        <v xml:space="preserve">   Total</v>
      </c>
      <c r="B474" s="3"/>
      <c r="C474" s="3"/>
      <c r="D474" s="3"/>
      <c r="E474" s="191"/>
      <c r="F474" s="3"/>
      <c r="G474" s="3"/>
      <c r="H474" s="3"/>
      <c r="I474" s="191"/>
      <c r="J474" s="3"/>
      <c r="K474" s="3"/>
      <c r="L474" s="3"/>
      <c r="M474" s="191"/>
      <c r="N474" s="3"/>
      <c r="O474" s="3"/>
      <c r="P474" s="3"/>
      <c r="Q474" s="191"/>
      <c r="R474" s="3"/>
      <c r="S474" s="3"/>
      <c r="T474" s="3"/>
      <c r="U474" s="191"/>
      <c r="V474" s="3"/>
      <c r="W474" s="3"/>
      <c r="X474" s="3"/>
      <c r="Y474" s="191"/>
    </row>
    <row r="475" spans="1:25" ht="12.75" hidden="1" customHeight="1" outlineLevel="1" x14ac:dyDescent="0.2">
      <c r="A475" s="198" t="str">
        <f>"      "&amp;Labels!B385</f>
        <v xml:space="preserve">      Prof Level 1</v>
      </c>
      <c r="B475" s="43"/>
      <c r="C475" s="43"/>
      <c r="D475" s="43"/>
      <c r="E475" s="198"/>
      <c r="F475" s="43"/>
      <c r="G475" s="43"/>
      <c r="H475" s="43"/>
      <c r="I475" s="198"/>
      <c r="J475" s="43"/>
      <c r="K475" s="43"/>
      <c r="L475" s="43"/>
      <c r="M475" s="198"/>
      <c r="N475" s="43"/>
      <c r="O475" s="43"/>
      <c r="P475" s="43"/>
      <c r="Q475" s="198"/>
      <c r="R475" s="43"/>
      <c r="S475" s="43"/>
      <c r="T475" s="43"/>
      <c r="U475" s="198"/>
      <c r="V475" s="43"/>
      <c r="W475" s="43"/>
      <c r="X475" s="43"/>
      <c r="Y475" s="198"/>
    </row>
    <row r="476" spans="1:25" ht="12.75" hidden="1" customHeight="1" outlineLevel="1" x14ac:dyDescent="0.2">
      <c r="A476" s="198" t="str">
        <f>"         "&amp;Labels!B99</f>
        <v xml:space="preserve">         Gross Margin</v>
      </c>
      <c r="B476" s="226">
        <f>SUM(B456,B466)</f>
        <v>0</v>
      </c>
      <c r="C476" s="226">
        <f>SUM(C456,C466)</f>
        <v>0</v>
      </c>
      <c r="D476" s="226">
        <f>SUM(D456,D466)</f>
        <v>27500</v>
      </c>
      <c r="E476" s="227">
        <f>SUM(B476:D476)</f>
        <v>27500</v>
      </c>
      <c r="F476" s="226">
        <f>SUM(F456,F466)</f>
        <v>27500</v>
      </c>
      <c r="G476" s="226">
        <f>SUM(G456,G466)</f>
        <v>0</v>
      </c>
      <c r="H476" s="226">
        <f>SUM(H456,H466)</f>
        <v>20000</v>
      </c>
      <c r="I476" s="227">
        <f>SUM(F476:H476)</f>
        <v>47500</v>
      </c>
      <c r="J476" s="226">
        <f>SUM(J456,J466)</f>
        <v>20000</v>
      </c>
      <c r="K476" s="226">
        <f>SUM(K456,K466)</f>
        <v>16458.676005358397</v>
      </c>
      <c r="L476" s="226">
        <f>SUM(L456,L466)</f>
        <v>0</v>
      </c>
      <c r="M476" s="227">
        <f>SUM(J476:L476)</f>
        <v>36458.6760053584</v>
      </c>
      <c r="N476" s="226">
        <f>SUM(N456,N466)</f>
        <v>0</v>
      </c>
      <c r="O476" s="226">
        <f>SUM(O456,O466)</f>
        <v>0</v>
      </c>
      <c r="P476" s="226">
        <f>SUM(P456,P466)</f>
        <v>0</v>
      </c>
      <c r="Q476" s="227">
        <f>SUM(N476:P476)</f>
        <v>0</v>
      </c>
      <c r="R476" s="226">
        <f>SUM(R456,R466)</f>
        <v>0</v>
      </c>
      <c r="S476" s="226">
        <f>SUM(S456,S466)</f>
        <v>0</v>
      </c>
      <c r="T476" s="226">
        <f>SUM(T456,T466)</f>
        <v>0</v>
      </c>
      <c r="U476" s="227">
        <f>SUM(R476:T476)</f>
        <v>0</v>
      </c>
      <c r="V476" s="226">
        <f>SUM(V456,V466)</f>
        <v>0</v>
      </c>
      <c r="W476" s="226">
        <f>SUM(W456,W466)</f>
        <v>0</v>
      </c>
      <c r="X476" s="226">
        <f>SUM(X456,X466)</f>
        <v>0</v>
      </c>
      <c r="Y476" s="227">
        <f>SUM(V476:X476)</f>
        <v>0</v>
      </c>
    </row>
    <row r="477" spans="1:25" ht="12.75" hidden="1" customHeight="1" outlineLevel="1" x14ac:dyDescent="0.2">
      <c r="A477" s="198" t="str">
        <f>"         "&amp;Labels!B101</f>
        <v xml:space="preserve">         Gross Margin %</v>
      </c>
      <c r="B477" s="233">
        <f>IF(Sales!B136=0,0,'GM CostSvcs'!B284/Sales!B136)</f>
        <v>0</v>
      </c>
      <c r="C477" s="233">
        <f>IF(Sales!C136=0,0,'GM CostSvcs'!C284/Sales!C136)</f>
        <v>0</v>
      </c>
      <c r="D477" s="233">
        <f>IF(Sales!D136=0,0,'GM CostSvcs'!D284/Sales!D136)</f>
        <v>1</v>
      </c>
      <c r="E477" s="234">
        <f>IF(SUM(Sales!B136:D136)=0,0,SUM('GM CostSvcs'!B284:D284)/SUM(Sales!B136:D136))</f>
        <v>1</v>
      </c>
      <c r="F477" s="233">
        <f>IF(Sales!F136=0,0,'GM CostSvcs'!F284/Sales!F136)</f>
        <v>1</v>
      </c>
      <c r="G477" s="233">
        <f>IF(Sales!G136=0,0,'GM CostSvcs'!G284/Sales!G136)</f>
        <v>0</v>
      </c>
      <c r="H477" s="233">
        <f>IF(Sales!H136=0,0,'GM CostSvcs'!H284/Sales!H136)</f>
        <v>1</v>
      </c>
      <c r="I477" s="234">
        <f>IF(SUM(Sales!F136:H136)=0,0,SUM('GM CostSvcs'!F284:H284)/SUM(Sales!F136:H136))</f>
        <v>1</v>
      </c>
      <c r="J477" s="233">
        <f>IF(Sales!J136=0,0,'GM CostSvcs'!J284/Sales!J136)</f>
        <v>1</v>
      </c>
      <c r="K477" s="233">
        <f>IF(Sales!K136=0,0,'GM CostSvcs'!K284/Sales!K136)</f>
        <v>0.82293380026791985</v>
      </c>
      <c r="L477" s="233">
        <f>IF(Sales!L136=0,0,'GM CostSvcs'!L284/Sales!L136)</f>
        <v>0</v>
      </c>
      <c r="M477" s="234">
        <f>IF(SUM(Sales!J136:L136)=0,0,SUM('GM CostSvcs'!J284:L284)/SUM(Sales!J136:L136))</f>
        <v>0.91146690013396003</v>
      </c>
      <c r="N477" s="233">
        <f>IF(Sales!N136=0,0,'GM CostSvcs'!N284/Sales!N136)</f>
        <v>0</v>
      </c>
      <c r="O477" s="233">
        <f>IF(Sales!O136=0,0,'GM CostSvcs'!O284/Sales!O136)</f>
        <v>0</v>
      </c>
      <c r="P477" s="233">
        <f>IF(Sales!P136=0,0,'GM CostSvcs'!P284/Sales!P136)</f>
        <v>0</v>
      </c>
      <c r="Q477" s="234">
        <f>IF(SUM(Sales!N136:P136)=0,0,SUM('GM CostSvcs'!N284:P284)/SUM(Sales!N136:P136))</f>
        <v>0</v>
      </c>
      <c r="R477" s="233">
        <f>IF(Sales!R136=0,0,'GM CostSvcs'!R284/Sales!R136)</f>
        <v>0</v>
      </c>
      <c r="S477" s="233">
        <f>IF(Sales!S136=0,0,'GM CostSvcs'!S284/Sales!S136)</f>
        <v>0</v>
      </c>
      <c r="T477" s="233">
        <f>IF(Sales!T136=0,0,'GM CostSvcs'!T284/Sales!T136)</f>
        <v>0</v>
      </c>
      <c r="U477" s="234">
        <f>IF(SUM(Sales!R136:T136)=0,0,SUM('GM CostSvcs'!R284:T284)/SUM(Sales!R136:T136))</f>
        <v>0</v>
      </c>
      <c r="V477" s="233">
        <f>IF(Sales!V136=0,0,'GM CostSvcs'!V284/Sales!V136)</f>
        <v>0</v>
      </c>
      <c r="W477" s="233">
        <f>IF(Sales!W136=0,0,'GM CostSvcs'!W284/Sales!W136)</f>
        <v>0</v>
      </c>
      <c r="X477" s="233">
        <f>IF(Sales!X136=0,0,'GM CostSvcs'!X284/Sales!X136)</f>
        <v>0</v>
      </c>
      <c r="Y477" s="234">
        <f>IF(SUM(Sales!V136:X136)=0,0,SUM('GM CostSvcs'!V284:X284)/SUM(Sales!V136:X136))</f>
        <v>0</v>
      </c>
    </row>
    <row r="478" spans="1:25" ht="12.75" hidden="1" customHeight="1" outlineLevel="1" x14ac:dyDescent="0.2">
      <c r="A478" s="198" t="str">
        <f>"      "&amp;Labels!B386</f>
        <v xml:space="preserve">      Prof Level 2</v>
      </c>
      <c r="B478" s="43"/>
      <c r="C478" s="43"/>
      <c r="D478" s="43"/>
      <c r="E478" s="198"/>
      <c r="F478" s="43"/>
      <c r="G478" s="43"/>
      <c r="H478" s="43"/>
      <c r="I478" s="198"/>
      <c r="J478" s="43"/>
      <c r="K478" s="43"/>
      <c r="L478" s="43"/>
      <c r="M478" s="198"/>
      <c r="N478" s="43"/>
      <c r="O478" s="43"/>
      <c r="P478" s="43"/>
      <c r="Q478" s="198"/>
      <c r="R478" s="43"/>
      <c r="S478" s="43"/>
      <c r="T478" s="43"/>
      <c r="U478" s="198"/>
      <c r="V478" s="43"/>
      <c r="W478" s="43"/>
      <c r="X478" s="43"/>
      <c r="Y478" s="198"/>
    </row>
    <row r="479" spans="1:25" ht="12.75" hidden="1" customHeight="1" outlineLevel="1" x14ac:dyDescent="0.2">
      <c r="A479" s="198" t="str">
        <f>"         "&amp;Labels!B99</f>
        <v xml:space="preserve">         Gross Margin</v>
      </c>
      <c r="B479" s="226">
        <f>SUM(B459,B469)</f>
        <v>0</v>
      </c>
      <c r="C479" s="226">
        <f>SUM(C459,C469)</f>
        <v>0</v>
      </c>
      <c r="D479" s="226">
        <f>SUM(D459,D469)</f>
        <v>27500</v>
      </c>
      <c r="E479" s="227">
        <f>SUM(B479:D479)</f>
        <v>27500</v>
      </c>
      <c r="F479" s="226">
        <f>SUM(F459,F469)</f>
        <v>27500</v>
      </c>
      <c r="G479" s="226">
        <f>SUM(G459,G469)</f>
        <v>0</v>
      </c>
      <c r="H479" s="226">
        <f>SUM(H459,H469)</f>
        <v>20000</v>
      </c>
      <c r="I479" s="227">
        <f>SUM(F479:H479)</f>
        <v>47500</v>
      </c>
      <c r="J479" s="226">
        <f>SUM(J459,J469)</f>
        <v>20000</v>
      </c>
      <c r="K479" s="226">
        <f>SUM(K459,K469)</f>
        <v>16458.676005358397</v>
      </c>
      <c r="L479" s="226">
        <f>SUM(L459,L469)</f>
        <v>0</v>
      </c>
      <c r="M479" s="227">
        <f>SUM(J479:L479)</f>
        <v>36458.6760053584</v>
      </c>
      <c r="N479" s="226">
        <f>SUM(N459,N469)</f>
        <v>0</v>
      </c>
      <c r="O479" s="226">
        <f>SUM(O459,O469)</f>
        <v>0</v>
      </c>
      <c r="P479" s="226">
        <f>SUM(P459,P469)</f>
        <v>0</v>
      </c>
      <c r="Q479" s="227">
        <f>SUM(N479:P479)</f>
        <v>0</v>
      </c>
      <c r="R479" s="226">
        <f>SUM(R459,R469)</f>
        <v>0</v>
      </c>
      <c r="S479" s="226">
        <f>SUM(S459,S469)</f>
        <v>0</v>
      </c>
      <c r="T479" s="226">
        <f>SUM(T459,T469)</f>
        <v>0</v>
      </c>
      <c r="U479" s="227">
        <f>SUM(R479:T479)</f>
        <v>0</v>
      </c>
      <c r="V479" s="226">
        <f>SUM(V459,V469)</f>
        <v>0</v>
      </c>
      <c r="W479" s="226">
        <f>SUM(W459,W469)</f>
        <v>0</v>
      </c>
      <c r="X479" s="226">
        <f>SUM(X459,X469)</f>
        <v>0</v>
      </c>
      <c r="Y479" s="227">
        <f>SUM(V479:X479)</f>
        <v>0</v>
      </c>
    </row>
    <row r="480" spans="1:25" ht="12.75" hidden="1" customHeight="1" outlineLevel="1" x14ac:dyDescent="0.2">
      <c r="A480" s="198" t="str">
        <f>"         "&amp;Labels!B101</f>
        <v xml:space="preserve">         Gross Margin %</v>
      </c>
      <c r="B480" s="233">
        <f>IF(Sales!B140=0,0,'GM CostSvcs'!B294/Sales!B140)</f>
        <v>0</v>
      </c>
      <c r="C480" s="233">
        <f>IF(Sales!C140=0,0,'GM CostSvcs'!C294/Sales!C140)</f>
        <v>0</v>
      </c>
      <c r="D480" s="233">
        <f>IF(Sales!D140=0,0,'GM CostSvcs'!D294/Sales!D140)</f>
        <v>1</v>
      </c>
      <c r="E480" s="234">
        <f>IF(SUM(Sales!B140:D140)=0,0,SUM('GM CostSvcs'!B294:D294)/SUM(Sales!B140:D140))</f>
        <v>1</v>
      </c>
      <c r="F480" s="233">
        <f>IF(Sales!F140=0,0,'GM CostSvcs'!F294/Sales!F140)</f>
        <v>1</v>
      </c>
      <c r="G480" s="233">
        <f>IF(Sales!G140=0,0,'GM CostSvcs'!G294/Sales!G140)</f>
        <v>0</v>
      </c>
      <c r="H480" s="233">
        <f>IF(Sales!H140=0,0,'GM CostSvcs'!H294/Sales!H140)</f>
        <v>1</v>
      </c>
      <c r="I480" s="234">
        <f>IF(SUM(Sales!F140:H140)=0,0,SUM('GM CostSvcs'!F294:H294)/SUM(Sales!F140:H140))</f>
        <v>1</v>
      </c>
      <c r="J480" s="233">
        <f>IF(Sales!J140=0,0,'GM CostSvcs'!J294/Sales!J140)</f>
        <v>1</v>
      </c>
      <c r="K480" s="233">
        <f>IF(Sales!K140=0,0,'GM CostSvcs'!K294/Sales!K140)</f>
        <v>0.82293380026791985</v>
      </c>
      <c r="L480" s="233">
        <f>IF(Sales!L140=0,0,'GM CostSvcs'!L294/Sales!L140)</f>
        <v>0</v>
      </c>
      <c r="M480" s="234">
        <f>IF(SUM(Sales!J140:L140)=0,0,SUM('GM CostSvcs'!J294:L294)/SUM(Sales!J140:L140))</f>
        <v>0.91146690013396003</v>
      </c>
      <c r="N480" s="233">
        <f>IF(Sales!N140=0,0,'GM CostSvcs'!N294/Sales!N140)</f>
        <v>0</v>
      </c>
      <c r="O480" s="233">
        <f>IF(Sales!O140=0,0,'GM CostSvcs'!O294/Sales!O140)</f>
        <v>0</v>
      </c>
      <c r="P480" s="233">
        <f>IF(Sales!P140=0,0,'GM CostSvcs'!P294/Sales!P140)</f>
        <v>0</v>
      </c>
      <c r="Q480" s="234">
        <f>IF(SUM(Sales!N140:P140)=0,0,SUM('GM CostSvcs'!N294:P294)/SUM(Sales!N140:P140))</f>
        <v>0</v>
      </c>
      <c r="R480" s="233">
        <f>IF(Sales!R140=0,0,'GM CostSvcs'!R294/Sales!R140)</f>
        <v>0</v>
      </c>
      <c r="S480" s="233">
        <f>IF(Sales!S140=0,0,'GM CostSvcs'!S294/Sales!S140)</f>
        <v>0</v>
      </c>
      <c r="T480" s="233">
        <f>IF(Sales!T140=0,0,'GM CostSvcs'!T294/Sales!T140)</f>
        <v>0</v>
      </c>
      <c r="U480" s="234">
        <f>IF(SUM(Sales!R140:T140)=0,0,SUM('GM CostSvcs'!R294:T294)/SUM(Sales!R140:T140))</f>
        <v>0</v>
      </c>
      <c r="V480" s="233">
        <f>IF(Sales!V140=0,0,'GM CostSvcs'!V294/Sales!V140)</f>
        <v>0</v>
      </c>
      <c r="W480" s="233">
        <f>IF(Sales!W140=0,0,'GM CostSvcs'!W294/Sales!W140)</f>
        <v>0</v>
      </c>
      <c r="X480" s="233">
        <f>IF(Sales!X140=0,0,'GM CostSvcs'!X294/Sales!X140)</f>
        <v>0</v>
      </c>
      <c r="Y480" s="234">
        <f>IF(SUM(Sales!V140:X140)=0,0,SUM('GM CostSvcs'!V294:X294)/SUM(Sales!V140:X140))</f>
        <v>0</v>
      </c>
    </row>
    <row r="481" spans="1:25" ht="12.75" hidden="1" customHeight="1" outlineLevel="1" x14ac:dyDescent="0.2">
      <c r="A481" s="188" t="str">
        <f>"      "&amp;Labels!C384</f>
        <v xml:space="preserve">      Total</v>
      </c>
      <c r="B481" s="31"/>
      <c r="C481" s="31"/>
      <c r="D481" s="31"/>
      <c r="E481" s="188"/>
      <c r="F481" s="31"/>
      <c r="G481" s="31"/>
      <c r="H481" s="31"/>
      <c r="I481" s="188"/>
      <c r="J481" s="31"/>
      <c r="K481" s="31"/>
      <c r="L481" s="31"/>
      <c r="M481" s="188"/>
      <c r="N481" s="31"/>
      <c r="O481" s="31"/>
      <c r="P481" s="31"/>
      <c r="Q481" s="188"/>
      <c r="R481" s="31"/>
      <c r="S481" s="31"/>
      <c r="T481" s="31"/>
      <c r="U481" s="188"/>
      <c r="V481" s="31"/>
      <c r="W481" s="31"/>
      <c r="X481" s="31"/>
      <c r="Y481" s="188"/>
    </row>
    <row r="482" spans="1:25" ht="12.75" hidden="1" customHeight="1" outlineLevel="1" x14ac:dyDescent="0.2">
      <c r="A482" s="198" t="str">
        <f>"         "&amp;Labels!B99</f>
        <v xml:space="preserve">         Gross Margin</v>
      </c>
      <c r="B482" s="226">
        <f>SUM(B462,B472)</f>
        <v>0</v>
      </c>
      <c r="C482" s="226">
        <f>SUM(C462,C472)</f>
        <v>0</v>
      </c>
      <c r="D482" s="226">
        <f>SUM(D462,D472)</f>
        <v>55000</v>
      </c>
      <c r="E482" s="227">
        <f>SUM(B482:D482)</f>
        <v>55000</v>
      </c>
      <c r="F482" s="226">
        <f>SUM(F462,F472)</f>
        <v>55000</v>
      </c>
      <c r="G482" s="226">
        <f>SUM(G462,G472)</f>
        <v>0</v>
      </c>
      <c r="H482" s="226">
        <f>SUM(H462,H472)</f>
        <v>40000</v>
      </c>
      <c r="I482" s="227">
        <f>SUM(F482:H482)</f>
        <v>95000</v>
      </c>
      <c r="J482" s="226">
        <f>SUM(J462,J472)</f>
        <v>40000</v>
      </c>
      <c r="K482" s="226">
        <f>SUM(K462,K472)</f>
        <v>32917.352010716793</v>
      </c>
      <c r="L482" s="226">
        <f>SUM(L462,L472)</f>
        <v>0</v>
      </c>
      <c r="M482" s="227">
        <f>SUM(J482:L482)</f>
        <v>72917.352010716801</v>
      </c>
      <c r="N482" s="226">
        <f>SUM(N462,N472)</f>
        <v>0</v>
      </c>
      <c r="O482" s="226">
        <f>SUM(O462,O472)</f>
        <v>0</v>
      </c>
      <c r="P482" s="226">
        <f>SUM(P462,P472)</f>
        <v>0</v>
      </c>
      <c r="Q482" s="227">
        <f>SUM(N482:P482)</f>
        <v>0</v>
      </c>
      <c r="R482" s="226">
        <f>SUM(R462,R472)</f>
        <v>0</v>
      </c>
      <c r="S482" s="226">
        <f>SUM(S462,S472)</f>
        <v>0</v>
      </c>
      <c r="T482" s="226">
        <f>SUM(T462,T472)</f>
        <v>0</v>
      </c>
      <c r="U482" s="227">
        <f>SUM(R482:T482)</f>
        <v>0</v>
      </c>
      <c r="V482" s="226">
        <f>SUM(V462,V472)</f>
        <v>0</v>
      </c>
      <c r="W482" s="226">
        <f>SUM(W462,W472)</f>
        <v>0</v>
      </c>
      <c r="X482" s="226">
        <f>SUM(X462,X472)</f>
        <v>0</v>
      </c>
      <c r="Y482" s="227">
        <f>SUM(V482:X482)</f>
        <v>0</v>
      </c>
    </row>
    <row r="483" spans="1:25" ht="12.75" hidden="1" customHeight="1" outlineLevel="1" x14ac:dyDescent="0.2">
      <c r="A483" s="198" t="str">
        <f>"         "&amp;Labels!B101</f>
        <v xml:space="preserve">         Gross Margin %</v>
      </c>
      <c r="B483" s="233">
        <f>IF(Practices!B57=0,0,Practices!B135/Practices!B57)</f>
        <v>0</v>
      </c>
      <c r="C483" s="233">
        <f>IF(Practices!C57=0,0,Practices!C135/Practices!C57)</f>
        <v>0</v>
      </c>
      <c r="D483" s="233">
        <f>IF(Practices!D57=0,0,Practices!D135/Practices!D57)</f>
        <v>1</v>
      </c>
      <c r="E483" s="234">
        <f>IF(SUM(Practices!B57:D57)=0,0,SUM(Practices!B135:D135)/SUM(Practices!B57:D57))</f>
        <v>1</v>
      </c>
      <c r="F483" s="233">
        <f>IF(Practices!F57=0,0,Practices!F135/Practices!F57)</f>
        <v>1</v>
      </c>
      <c r="G483" s="233">
        <f>IF(Practices!G57=0,0,Practices!G135/Practices!G57)</f>
        <v>0</v>
      </c>
      <c r="H483" s="233">
        <f>IF(Practices!H57=0,0,Practices!H135/Practices!H57)</f>
        <v>1</v>
      </c>
      <c r="I483" s="234">
        <f>IF(SUM(Practices!F57:H57)=0,0,SUM(Practices!F135:H135)/SUM(Practices!F57:H57))</f>
        <v>1</v>
      </c>
      <c r="J483" s="233">
        <f>IF(Practices!J57=0,0,Practices!J135/Practices!J57)</f>
        <v>1</v>
      </c>
      <c r="K483" s="233">
        <f>IF(Practices!K57=0,0,Practices!K135/Practices!K57)</f>
        <v>0.82293380026791985</v>
      </c>
      <c r="L483" s="233">
        <f>IF(Practices!L57=0,0,Practices!L135/Practices!L57)</f>
        <v>0</v>
      </c>
      <c r="M483" s="234">
        <f>IF(SUM(Practices!J57:L57)=0,0,SUM(Practices!J135:L135)/SUM(Practices!J57:L57))</f>
        <v>0.91146690013396003</v>
      </c>
      <c r="N483" s="233">
        <f>IF(Practices!N57=0,0,Practices!N135/Practices!N57)</f>
        <v>0</v>
      </c>
      <c r="O483" s="233">
        <f>IF(Practices!O57=0,0,Practices!O135/Practices!O57)</f>
        <v>0</v>
      </c>
      <c r="P483" s="233">
        <f>IF(Practices!P57=0,0,Practices!P135/Practices!P57)</f>
        <v>0</v>
      </c>
      <c r="Q483" s="234">
        <f>IF(SUM(Practices!N57:P57)=0,0,SUM(Practices!N135:P135)/SUM(Practices!N57:P57))</f>
        <v>0</v>
      </c>
      <c r="R483" s="233">
        <f>IF(Practices!R57=0,0,Practices!R135/Practices!R57)</f>
        <v>0</v>
      </c>
      <c r="S483" s="233">
        <f>IF(Practices!S57=0,0,Practices!S135/Practices!S57)</f>
        <v>0</v>
      </c>
      <c r="T483" s="233">
        <f>IF(Practices!T57=0,0,Practices!T135/Practices!T57)</f>
        <v>0</v>
      </c>
      <c r="U483" s="234">
        <f>IF(SUM(Practices!R57:T57)=0,0,SUM(Practices!R135:T135)/SUM(Practices!R57:T57))</f>
        <v>0</v>
      </c>
      <c r="V483" s="233">
        <f>IF(Practices!V57=0,0,Practices!V135/Practices!V57)</f>
        <v>0</v>
      </c>
      <c r="W483" s="233">
        <f>IF(Practices!W57=0,0,Practices!W135/Practices!W57)</f>
        <v>0</v>
      </c>
      <c r="X483" s="233">
        <f>IF(Practices!X57=0,0,Practices!X135/Practices!X57)</f>
        <v>0</v>
      </c>
      <c r="Y483" s="234">
        <f>IF(SUM(Practices!V57:X57)=0,0,SUM(Practices!V135:X135)/SUM(Practices!V57:X57))</f>
        <v>0</v>
      </c>
    </row>
    <row r="484" spans="1:25" ht="12.75" hidden="1" customHeight="1" outlineLevel="1" x14ac:dyDescent="0.2">
      <c r="A484" s="97" t="str">
        <f>Labels!C316</f>
        <v>Total</v>
      </c>
      <c r="B484" s="6"/>
      <c r="C484" s="6"/>
      <c r="D484" s="6"/>
      <c r="E484" s="97"/>
      <c r="F484" s="6"/>
      <c r="G484" s="6"/>
      <c r="H484" s="6"/>
      <c r="I484" s="97"/>
      <c r="J484" s="6"/>
      <c r="K484" s="6"/>
      <c r="L484" s="6"/>
      <c r="M484" s="97"/>
      <c r="N484" s="6"/>
      <c r="O484" s="6"/>
      <c r="P484" s="6"/>
      <c r="Q484" s="97"/>
      <c r="R484" s="6"/>
      <c r="S484" s="6"/>
      <c r="T484" s="6"/>
      <c r="U484" s="97"/>
      <c r="V484" s="6"/>
      <c r="W484" s="6"/>
      <c r="X484" s="6"/>
      <c r="Y484" s="97"/>
    </row>
    <row r="485" spans="1:25" ht="12.75" hidden="1" customHeight="1" outlineLevel="1" x14ac:dyDescent="0.2">
      <c r="A485" s="188" t="str">
        <f>"   "&amp;Labels!B381</f>
        <v xml:space="preserve">   Practice 1</v>
      </c>
      <c r="B485" s="31"/>
      <c r="C485" s="31"/>
      <c r="D485" s="31"/>
      <c r="E485" s="188"/>
      <c r="F485" s="31"/>
      <c r="G485" s="31"/>
      <c r="H485" s="31"/>
      <c r="I485" s="188"/>
      <c r="J485" s="31"/>
      <c r="K485" s="31"/>
      <c r="L485" s="31"/>
      <c r="M485" s="188"/>
      <c r="N485" s="31"/>
      <c r="O485" s="31"/>
      <c r="P485" s="31"/>
      <c r="Q485" s="188"/>
      <c r="R485" s="31"/>
      <c r="S485" s="31"/>
      <c r="T485" s="31"/>
      <c r="U485" s="188"/>
      <c r="V485" s="31"/>
      <c r="W485" s="31"/>
      <c r="X485" s="31"/>
      <c r="Y485" s="188"/>
    </row>
    <row r="486" spans="1:25" ht="12.75" hidden="1" customHeight="1" outlineLevel="1" x14ac:dyDescent="0.2">
      <c r="A486" s="198" t="str">
        <f>"      "&amp;Labels!B385</f>
        <v xml:space="preserve">      Prof Level 1</v>
      </c>
      <c r="B486" s="43"/>
      <c r="C486" s="43"/>
      <c r="D486" s="43"/>
      <c r="E486" s="198"/>
      <c r="F486" s="43"/>
      <c r="G486" s="43"/>
      <c r="H486" s="43"/>
      <c r="I486" s="198"/>
      <c r="J486" s="43"/>
      <c r="K486" s="43"/>
      <c r="L486" s="43"/>
      <c r="M486" s="198"/>
      <c r="N486" s="43"/>
      <c r="O486" s="43"/>
      <c r="P486" s="43"/>
      <c r="Q486" s="198"/>
      <c r="R486" s="43"/>
      <c r="S486" s="43"/>
      <c r="T486" s="43"/>
      <c r="U486" s="198"/>
      <c r="V486" s="43"/>
      <c r="W486" s="43"/>
      <c r="X486" s="43"/>
      <c r="Y486" s="198"/>
    </row>
    <row r="487" spans="1:25" ht="12.75" hidden="1" customHeight="1" outlineLevel="1" x14ac:dyDescent="0.2">
      <c r="A487" s="198" t="str">
        <f>"         "&amp;Labels!B99</f>
        <v xml:space="preserve">         Gross Margin</v>
      </c>
      <c r="B487" s="226">
        <f>SUM(B425,B456)</f>
        <v>0</v>
      </c>
      <c r="C487" s="226">
        <f>SUM(C425,C456)</f>
        <v>0</v>
      </c>
      <c r="D487" s="226">
        <f>SUM(D425,D456)</f>
        <v>55000</v>
      </c>
      <c r="E487" s="227">
        <f>SUM(B487:D487)</f>
        <v>55000</v>
      </c>
      <c r="F487" s="226">
        <f>SUM(F425,F456)</f>
        <v>55000</v>
      </c>
      <c r="G487" s="226">
        <f>SUM(G425,G456)</f>
        <v>0</v>
      </c>
      <c r="H487" s="226">
        <f>SUM(H425,H456)</f>
        <v>40000</v>
      </c>
      <c r="I487" s="227">
        <f>SUM(F487:H487)</f>
        <v>95000</v>
      </c>
      <c r="J487" s="226">
        <f>SUM(J425,J456)</f>
        <v>25869.553514469997</v>
      </c>
      <c r="K487" s="226">
        <f>SUM(K425,K456)</f>
        <v>18752.056032150373</v>
      </c>
      <c r="L487" s="226">
        <f>SUM(L425,L456)</f>
        <v>0</v>
      </c>
      <c r="M487" s="227">
        <f>SUM(J487:L487)</f>
        <v>44621.60954662037</v>
      </c>
      <c r="N487" s="226">
        <f>SUM(N425,N456)</f>
        <v>0</v>
      </c>
      <c r="O487" s="226">
        <f>SUM(O425,O456)</f>
        <v>0</v>
      </c>
      <c r="P487" s="226">
        <f>SUM(P425,P456)</f>
        <v>0</v>
      </c>
      <c r="Q487" s="227">
        <f>SUM(N487:P487)</f>
        <v>0</v>
      </c>
      <c r="R487" s="226">
        <f>SUM(R425,R456)</f>
        <v>0</v>
      </c>
      <c r="S487" s="226">
        <f>SUM(S425,S456)</f>
        <v>0</v>
      </c>
      <c r="T487" s="226">
        <f>SUM(T425,T456)</f>
        <v>0</v>
      </c>
      <c r="U487" s="227">
        <f>SUM(R487:T487)</f>
        <v>0</v>
      </c>
      <c r="V487" s="226">
        <f>SUM(V425,V456)</f>
        <v>0</v>
      </c>
      <c r="W487" s="226">
        <f>SUM(W425,W456)</f>
        <v>0</v>
      </c>
      <c r="X487" s="226">
        <f>SUM(X425,X456)</f>
        <v>0</v>
      </c>
      <c r="Y487" s="227">
        <f>SUM(V487:X487)</f>
        <v>0</v>
      </c>
    </row>
    <row r="488" spans="1:25" ht="12.75" hidden="1" customHeight="1" outlineLevel="1" x14ac:dyDescent="0.2">
      <c r="A488" s="198" t="str">
        <f>"         "&amp;Labels!B101</f>
        <v xml:space="preserve">         Gross Margin %</v>
      </c>
      <c r="B488" s="233">
        <f>IF(Practices!B179=0,0,Practices!B262/Practices!B179)</f>
        <v>0</v>
      </c>
      <c r="C488" s="233">
        <f>IF(Practices!C179=0,0,Practices!C262/Practices!C179)</f>
        <v>0</v>
      </c>
      <c r="D488" s="233">
        <f>IF(Practices!D179=0,0,Practices!D262/Practices!D179)</f>
        <v>0.97560975609756095</v>
      </c>
      <c r="E488" s="234">
        <f>IF(SUM(Practices!B179:D179)=0,0,SUM(Practices!B262:D262)/SUM(Practices!B179:D179))</f>
        <v>0.97560975609756095</v>
      </c>
      <c r="F488" s="233">
        <f>IF(Practices!F179=0,0,Practices!F262/Practices!F179)</f>
        <v>0.97560975609756095</v>
      </c>
      <c r="G488" s="233">
        <f>IF(Practices!G179=0,0,Practices!G262/Practices!G179)</f>
        <v>0</v>
      </c>
      <c r="H488" s="233">
        <f>IF(Practices!H179=0,0,Practices!H262/Practices!H179)</f>
        <v>0.97560975609756095</v>
      </c>
      <c r="I488" s="234">
        <f>IF(SUM(Practices!F179:H179)=0,0,SUM(Practices!F262:H262)/SUM(Practices!F179:H179))</f>
        <v>0.97560975609756095</v>
      </c>
      <c r="J488" s="233">
        <f>IF(Practices!J179=0,0,Practices!J262/Practices!J179)</f>
        <v>0.63096471986512193</v>
      </c>
      <c r="K488" s="233">
        <f>IF(Practices!K179=0,0,Practices!K262/Practices!K179)</f>
        <v>0.45736722029635057</v>
      </c>
      <c r="L488" s="233">
        <f>IF(Practices!L179=0,0,Practices!L262/Practices!L179)</f>
        <v>0</v>
      </c>
      <c r="M488" s="234">
        <f>IF(SUM(Practices!J179:L179)=0,0,SUM(Practices!J262:L262)/SUM(Practices!J179:L179))</f>
        <v>0.54416597008073619</v>
      </c>
      <c r="N488" s="233">
        <f>IF(Practices!N179=0,0,Practices!N262/Practices!N179)</f>
        <v>0</v>
      </c>
      <c r="O488" s="233">
        <f>IF(Practices!O179=0,0,Practices!O262/Practices!O179)</f>
        <v>0</v>
      </c>
      <c r="P488" s="233">
        <f>IF(Practices!P179=0,0,Practices!P262/Practices!P179)</f>
        <v>0</v>
      </c>
      <c r="Q488" s="234">
        <f>IF(SUM(Practices!N179:P179)=0,0,SUM(Practices!N262:P262)/SUM(Practices!N179:P179))</f>
        <v>0</v>
      </c>
      <c r="R488" s="233">
        <f>IF(Practices!R179=0,0,Practices!R262/Practices!R179)</f>
        <v>0</v>
      </c>
      <c r="S488" s="233">
        <f>IF(Practices!S179=0,0,Practices!S262/Practices!S179)</f>
        <v>0</v>
      </c>
      <c r="T488" s="233">
        <f>IF(Practices!T179=0,0,Practices!T262/Practices!T179)</f>
        <v>0</v>
      </c>
      <c r="U488" s="234">
        <f>IF(SUM(Practices!R179:T179)=0,0,SUM(Practices!R262:T262)/SUM(Practices!R179:T179))</f>
        <v>0</v>
      </c>
      <c r="V488" s="233">
        <f>IF(Practices!V179=0,0,Practices!V262/Practices!V179)</f>
        <v>0</v>
      </c>
      <c r="W488" s="233">
        <f>IF(Practices!W179=0,0,Practices!W262/Practices!W179)</f>
        <v>0</v>
      </c>
      <c r="X488" s="233">
        <f>IF(Practices!X179=0,0,Practices!X262/Practices!X179)</f>
        <v>0</v>
      </c>
      <c r="Y488" s="234">
        <f>IF(SUM(Practices!V179:X179)=0,0,SUM(Practices!V262:X262)/SUM(Practices!V179:X179))</f>
        <v>0</v>
      </c>
    </row>
    <row r="489" spans="1:25" ht="12.75" hidden="1" customHeight="1" outlineLevel="1" x14ac:dyDescent="0.2">
      <c r="A489" s="198" t="str">
        <f>"      "&amp;Labels!B386</f>
        <v xml:space="preserve">      Prof Level 2</v>
      </c>
      <c r="B489" s="43"/>
      <c r="C489" s="43"/>
      <c r="D489" s="43"/>
      <c r="E489" s="198"/>
      <c r="F489" s="43"/>
      <c r="G489" s="43"/>
      <c r="H489" s="43"/>
      <c r="I489" s="198"/>
      <c r="J489" s="43"/>
      <c r="K489" s="43"/>
      <c r="L489" s="43"/>
      <c r="M489" s="198"/>
      <c r="N489" s="43"/>
      <c r="O489" s="43"/>
      <c r="P489" s="43"/>
      <c r="Q489" s="198"/>
      <c r="R489" s="43"/>
      <c r="S489" s="43"/>
      <c r="T489" s="43"/>
      <c r="U489" s="198"/>
      <c r="V489" s="43"/>
      <c r="W489" s="43"/>
      <c r="X489" s="43"/>
      <c r="Y489" s="198"/>
    </row>
    <row r="490" spans="1:25" ht="12.75" hidden="1" customHeight="1" outlineLevel="1" x14ac:dyDescent="0.2">
      <c r="A490" s="198" t="str">
        <f>"         "&amp;Labels!B99</f>
        <v xml:space="preserve">         Gross Margin</v>
      </c>
      <c r="B490" s="226">
        <f>SUM(B428,B459)</f>
        <v>0</v>
      </c>
      <c r="C490" s="226">
        <f>SUM(C428,C459)</f>
        <v>0</v>
      </c>
      <c r="D490" s="226">
        <f>SUM(D428,D459)</f>
        <v>55000</v>
      </c>
      <c r="E490" s="227">
        <f>SUM(B490:D490)</f>
        <v>55000</v>
      </c>
      <c r="F490" s="226">
        <f>SUM(F428,F459)</f>
        <v>55000</v>
      </c>
      <c r="G490" s="226">
        <f>SUM(G428,G459)</f>
        <v>0</v>
      </c>
      <c r="H490" s="226">
        <f>SUM(H428,H459)</f>
        <v>40000</v>
      </c>
      <c r="I490" s="227">
        <f>SUM(F490:H490)</f>
        <v>95000</v>
      </c>
      <c r="J490" s="226">
        <f>SUM(J428,J459)</f>
        <v>25869.553514469997</v>
      </c>
      <c r="K490" s="226">
        <f>SUM(K428,K459)</f>
        <v>18752.056032150373</v>
      </c>
      <c r="L490" s="226">
        <f>SUM(L428,L459)</f>
        <v>0</v>
      </c>
      <c r="M490" s="227">
        <f>SUM(J490:L490)</f>
        <v>44621.60954662037</v>
      </c>
      <c r="N490" s="226">
        <f>SUM(N428,N459)</f>
        <v>0</v>
      </c>
      <c r="O490" s="226">
        <f>SUM(O428,O459)</f>
        <v>0</v>
      </c>
      <c r="P490" s="226">
        <f>SUM(P428,P459)</f>
        <v>0</v>
      </c>
      <c r="Q490" s="227">
        <f>SUM(N490:P490)</f>
        <v>0</v>
      </c>
      <c r="R490" s="226">
        <f>SUM(R428,R459)</f>
        <v>0</v>
      </c>
      <c r="S490" s="226">
        <f>SUM(S428,S459)</f>
        <v>0</v>
      </c>
      <c r="T490" s="226">
        <f>SUM(T428,T459)</f>
        <v>0</v>
      </c>
      <c r="U490" s="227">
        <f>SUM(R490:T490)</f>
        <v>0</v>
      </c>
      <c r="V490" s="226">
        <f>SUM(V428,V459)</f>
        <v>0</v>
      </c>
      <c r="W490" s="226">
        <f>SUM(W428,W459)</f>
        <v>0</v>
      </c>
      <c r="X490" s="226">
        <f>SUM(X428,X459)</f>
        <v>0</v>
      </c>
      <c r="Y490" s="227">
        <f>SUM(V490:X490)</f>
        <v>0</v>
      </c>
    </row>
    <row r="491" spans="1:25" ht="12.75" hidden="1" customHeight="1" outlineLevel="1" x14ac:dyDescent="0.2">
      <c r="A491" s="198" t="str">
        <f>"         "&amp;Labels!B101</f>
        <v xml:space="preserve">         Gross Margin %</v>
      </c>
      <c r="B491" s="233">
        <f>IF(Practices!B180=0,0,Practices!B265/Practices!B180)</f>
        <v>0</v>
      </c>
      <c r="C491" s="233">
        <f>IF(Practices!C180=0,0,Practices!C265/Practices!C180)</f>
        <v>0</v>
      </c>
      <c r="D491" s="233">
        <f>IF(Practices!D180=0,0,Practices!D265/Practices!D180)</f>
        <v>0.97560975609756095</v>
      </c>
      <c r="E491" s="234">
        <f>IF(SUM(Practices!B180:D180)=0,0,SUM(Practices!B265:D265)/SUM(Practices!B180:D180))</f>
        <v>0.97560975609756095</v>
      </c>
      <c r="F491" s="233">
        <f>IF(Practices!F180=0,0,Practices!F265/Practices!F180)</f>
        <v>0.97560975609756095</v>
      </c>
      <c r="G491" s="233">
        <f>IF(Practices!G180=0,0,Practices!G265/Practices!G180)</f>
        <v>0</v>
      </c>
      <c r="H491" s="233">
        <f>IF(Practices!H180=0,0,Practices!H265/Practices!H180)</f>
        <v>0.97560975609756095</v>
      </c>
      <c r="I491" s="234">
        <f>IF(SUM(Practices!F180:H180)=0,0,SUM(Practices!F265:H265)/SUM(Practices!F180:H180))</f>
        <v>0.97560975609756095</v>
      </c>
      <c r="J491" s="233">
        <f>IF(Practices!J180=0,0,Practices!J265/Practices!J180)</f>
        <v>0.63096471986512193</v>
      </c>
      <c r="K491" s="233">
        <f>IF(Practices!K180=0,0,Practices!K265/Practices!K180)</f>
        <v>0.45736722029635057</v>
      </c>
      <c r="L491" s="233">
        <f>IF(Practices!L180=0,0,Practices!L265/Practices!L180)</f>
        <v>0</v>
      </c>
      <c r="M491" s="234">
        <f>IF(SUM(Practices!J180:L180)=0,0,SUM(Practices!J265:L265)/SUM(Practices!J180:L180))</f>
        <v>0.54416597008073619</v>
      </c>
      <c r="N491" s="233">
        <f>IF(Practices!N180=0,0,Practices!N265/Practices!N180)</f>
        <v>0</v>
      </c>
      <c r="O491" s="233">
        <f>IF(Practices!O180=0,0,Practices!O265/Practices!O180)</f>
        <v>0</v>
      </c>
      <c r="P491" s="233">
        <f>IF(Practices!P180=0,0,Practices!P265/Practices!P180)</f>
        <v>0</v>
      </c>
      <c r="Q491" s="234">
        <f>IF(SUM(Practices!N180:P180)=0,0,SUM(Practices!N265:P265)/SUM(Practices!N180:P180))</f>
        <v>0</v>
      </c>
      <c r="R491" s="233">
        <f>IF(Practices!R180=0,0,Practices!R265/Practices!R180)</f>
        <v>0</v>
      </c>
      <c r="S491" s="233">
        <f>IF(Practices!S180=0,0,Practices!S265/Practices!S180)</f>
        <v>0</v>
      </c>
      <c r="T491" s="233">
        <f>IF(Practices!T180=0,0,Practices!T265/Practices!T180)</f>
        <v>0</v>
      </c>
      <c r="U491" s="234">
        <f>IF(SUM(Practices!R180:T180)=0,0,SUM(Practices!R265:T265)/SUM(Practices!R180:T180))</f>
        <v>0</v>
      </c>
      <c r="V491" s="233">
        <f>IF(Practices!V180=0,0,Practices!V265/Practices!V180)</f>
        <v>0</v>
      </c>
      <c r="W491" s="233">
        <f>IF(Practices!W180=0,0,Practices!W265/Practices!W180)</f>
        <v>0</v>
      </c>
      <c r="X491" s="233">
        <f>IF(Practices!X180=0,0,Practices!X265/Practices!X180)</f>
        <v>0</v>
      </c>
      <c r="Y491" s="234">
        <f>IF(SUM(Practices!V180:X180)=0,0,SUM(Practices!V265:X265)/SUM(Practices!V180:X180))</f>
        <v>0</v>
      </c>
    </row>
    <row r="492" spans="1:25" ht="12.75" hidden="1" customHeight="1" outlineLevel="1" x14ac:dyDescent="0.2">
      <c r="A492" s="188" t="str">
        <f>"      "&amp;Labels!C384</f>
        <v xml:space="preserve">      Total</v>
      </c>
      <c r="B492" s="31"/>
      <c r="C492" s="31"/>
      <c r="D492" s="31"/>
      <c r="E492" s="188"/>
      <c r="F492" s="31"/>
      <c r="G492" s="31"/>
      <c r="H492" s="31"/>
      <c r="I492" s="188"/>
      <c r="J492" s="31"/>
      <c r="K492" s="31"/>
      <c r="L492" s="31"/>
      <c r="M492" s="188"/>
      <c r="N492" s="31"/>
      <c r="O492" s="31"/>
      <c r="P492" s="31"/>
      <c r="Q492" s="188"/>
      <c r="R492" s="31"/>
      <c r="S492" s="31"/>
      <c r="T492" s="31"/>
      <c r="U492" s="188"/>
      <c r="V492" s="31"/>
      <c r="W492" s="31"/>
      <c r="X492" s="31"/>
      <c r="Y492" s="188"/>
    </row>
    <row r="493" spans="1:25" ht="12.75" hidden="1" customHeight="1" outlineLevel="1" x14ac:dyDescent="0.2">
      <c r="A493" s="198" t="str">
        <f>"         "&amp;Labels!B99</f>
        <v xml:space="preserve">         Gross Margin</v>
      </c>
      <c r="B493" s="226">
        <f>SUM(B431,B462)</f>
        <v>0</v>
      </c>
      <c r="C493" s="226">
        <f>SUM(C431,C462)</f>
        <v>0</v>
      </c>
      <c r="D493" s="226">
        <f>SUM(D431,D462)</f>
        <v>110000</v>
      </c>
      <c r="E493" s="227">
        <f>SUM(B493:D493)</f>
        <v>110000</v>
      </c>
      <c r="F493" s="226">
        <f>SUM(F431,F462)</f>
        <v>110000</v>
      </c>
      <c r="G493" s="226">
        <f>SUM(G431,G462)</f>
        <v>0</v>
      </c>
      <c r="H493" s="226">
        <f>SUM(H431,H462)</f>
        <v>80000</v>
      </c>
      <c r="I493" s="227">
        <f>SUM(F493:H493)</f>
        <v>190000</v>
      </c>
      <c r="J493" s="226">
        <f>SUM(J431,J462)</f>
        <v>51739.107028939994</v>
      </c>
      <c r="K493" s="226">
        <f>SUM(K431,K462)</f>
        <v>37504.112064300745</v>
      </c>
      <c r="L493" s="226">
        <f>SUM(L431,L462)</f>
        <v>0</v>
      </c>
      <c r="M493" s="227">
        <f>SUM(J493:L493)</f>
        <v>89243.219093240739</v>
      </c>
      <c r="N493" s="226">
        <f>SUM(N431,N462)</f>
        <v>0</v>
      </c>
      <c r="O493" s="226">
        <f>SUM(O431,O462)</f>
        <v>0</v>
      </c>
      <c r="P493" s="226">
        <f>SUM(P431,P462)</f>
        <v>0</v>
      </c>
      <c r="Q493" s="227">
        <f>SUM(N493:P493)</f>
        <v>0</v>
      </c>
      <c r="R493" s="226">
        <f>SUM(R431,R462)</f>
        <v>0</v>
      </c>
      <c r="S493" s="226">
        <f>SUM(S431,S462)</f>
        <v>0</v>
      </c>
      <c r="T493" s="226">
        <f>SUM(T431,T462)</f>
        <v>0</v>
      </c>
      <c r="U493" s="227">
        <f>SUM(R493:T493)</f>
        <v>0</v>
      </c>
      <c r="V493" s="226">
        <f>SUM(V431,V462)</f>
        <v>0</v>
      </c>
      <c r="W493" s="226">
        <f>SUM(W431,W462)</f>
        <v>0</v>
      </c>
      <c r="X493" s="226">
        <f>SUM(X431,X462)</f>
        <v>0</v>
      </c>
      <c r="Y493" s="227">
        <f>SUM(V493:X493)</f>
        <v>0</v>
      </c>
    </row>
    <row r="494" spans="1:25" ht="12.75" hidden="1" customHeight="1" outlineLevel="1" x14ac:dyDescent="0.2">
      <c r="A494" s="198" t="str">
        <f>"         "&amp;Labels!B101</f>
        <v xml:space="preserve">         Gross Margin %</v>
      </c>
      <c r="B494" s="233">
        <f>IF(Practices!B9=0,0,Practices!B19/Practices!B9)</f>
        <v>0</v>
      </c>
      <c r="C494" s="233">
        <f>IF(Practices!C9=0,0,Practices!C19/Practices!C9)</f>
        <v>0</v>
      </c>
      <c r="D494" s="233">
        <f>IF(Practices!D9=0,0,Practices!D19/Practices!D9)</f>
        <v>0.97560975609756095</v>
      </c>
      <c r="E494" s="234">
        <f>IF(SUM(Practices!B9:D9)=0,0,SUM(Practices!B19:D19)/SUM(Practices!B9:D9))</f>
        <v>0.97560975609756095</v>
      </c>
      <c r="F494" s="233">
        <f>IF(Practices!F9=0,0,Practices!F19/Practices!F9)</f>
        <v>0.97560975609756095</v>
      </c>
      <c r="G494" s="233">
        <f>IF(Practices!G9=0,0,Practices!G19/Practices!G9)</f>
        <v>0</v>
      </c>
      <c r="H494" s="233">
        <f>IF(Practices!H9=0,0,Practices!H19/Practices!H9)</f>
        <v>0.97560975609756095</v>
      </c>
      <c r="I494" s="234">
        <f>IF(SUM(Practices!F9:H9)=0,0,SUM(Practices!F19:H19)/SUM(Practices!F9:H9))</f>
        <v>0.97560975609756095</v>
      </c>
      <c r="J494" s="233">
        <f>IF(Practices!J9=0,0,Practices!J19/Practices!J9)</f>
        <v>0.63096471986512193</v>
      </c>
      <c r="K494" s="233">
        <f>IF(Practices!K9=0,0,Practices!K19/Practices!K9)</f>
        <v>0.45736722029635057</v>
      </c>
      <c r="L494" s="233">
        <f>IF(Practices!L9=0,0,Practices!L19/Practices!L9)</f>
        <v>0</v>
      </c>
      <c r="M494" s="234">
        <f>IF(SUM(Practices!J9:L9)=0,0,SUM(Practices!J19:L19)/SUM(Practices!J9:L9))</f>
        <v>0.54416597008073619</v>
      </c>
      <c r="N494" s="233">
        <f>IF(Practices!N9=0,0,Practices!N19/Practices!N9)</f>
        <v>0</v>
      </c>
      <c r="O494" s="233">
        <f>IF(Practices!O9=0,0,Practices!O19/Practices!O9)</f>
        <v>0</v>
      </c>
      <c r="P494" s="233">
        <f>IF(Practices!P9=0,0,Practices!P19/Practices!P9)</f>
        <v>0</v>
      </c>
      <c r="Q494" s="234">
        <f>IF(SUM(Practices!N9:P9)=0,0,SUM(Practices!N19:P19)/SUM(Practices!N9:P9))</f>
        <v>0</v>
      </c>
      <c r="R494" s="233">
        <f>IF(Practices!R9=0,0,Practices!R19/Practices!R9)</f>
        <v>0</v>
      </c>
      <c r="S494" s="233">
        <f>IF(Practices!S9=0,0,Practices!S19/Practices!S9)</f>
        <v>0</v>
      </c>
      <c r="T494" s="233">
        <f>IF(Practices!T9=0,0,Practices!T19/Practices!T9)</f>
        <v>0</v>
      </c>
      <c r="U494" s="234">
        <f>IF(SUM(Practices!R9:T9)=0,0,SUM(Practices!R19:T19)/SUM(Practices!R9:T9))</f>
        <v>0</v>
      </c>
      <c r="V494" s="233">
        <f>IF(Practices!V9=0,0,Practices!V19/Practices!V9)</f>
        <v>0</v>
      </c>
      <c r="W494" s="233">
        <f>IF(Practices!W9=0,0,Practices!W19/Practices!W9)</f>
        <v>0</v>
      </c>
      <c r="X494" s="233">
        <f>IF(Practices!X9=0,0,Practices!X19/Practices!X9)</f>
        <v>0</v>
      </c>
      <c r="Y494" s="234">
        <f>IF(SUM(Practices!V9:X9)=0,0,SUM(Practices!V19:X19)/SUM(Practices!V9:X9))</f>
        <v>0</v>
      </c>
    </row>
    <row r="495" spans="1:25" ht="12.75" hidden="1" customHeight="1" outlineLevel="1" x14ac:dyDescent="0.2">
      <c r="A495" s="188" t="str">
        <f>"   "&amp;Labels!B382</f>
        <v xml:space="preserve">   Practice 2</v>
      </c>
      <c r="B495" s="31"/>
      <c r="C495" s="31"/>
      <c r="D495" s="31"/>
      <c r="E495" s="188"/>
      <c r="F495" s="31"/>
      <c r="G495" s="31"/>
      <c r="H495" s="31"/>
      <c r="I495" s="188"/>
      <c r="J495" s="31"/>
      <c r="K495" s="31"/>
      <c r="L495" s="31"/>
      <c r="M495" s="188"/>
      <c r="N495" s="31"/>
      <c r="O495" s="31"/>
      <c r="P495" s="31"/>
      <c r="Q495" s="188"/>
      <c r="R495" s="31"/>
      <c r="S495" s="31"/>
      <c r="T495" s="31"/>
      <c r="U495" s="188"/>
      <c r="V495" s="31"/>
      <c r="W495" s="31"/>
      <c r="X495" s="31"/>
      <c r="Y495" s="188"/>
    </row>
    <row r="496" spans="1:25" ht="12.75" hidden="1" customHeight="1" outlineLevel="1" x14ac:dyDescent="0.2">
      <c r="A496" s="198" t="str">
        <f>"      "&amp;Labels!B385</f>
        <v xml:space="preserve">      Prof Level 1</v>
      </c>
      <c r="B496" s="43"/>
      <c r="C496" s="43"/>
      <c r="D496" s="43"/>
      <c r="E496" s="198"/>
      <c r="F496" s="43"/>
      <c r="G496" s="43"/>
      <c r="H496" s="43"/>
      <c r="I496" s="198"/>
      <c r="J496" s="43"/>
      <c r="K496" s="43"/>
      <c r="L496" s="43"/>
      <c r="M496" s="198"/>
      <c r="N496" s="43"/>
      <c r="O496" s="43"/>
      <c r="P496" s="43"/>
      <c r="Q496" s="198"/>
      <c r="R496" s="43"/>
      <c r="S496" s="43"/>
      <c r="T496" s="43"/>
      <c r="U496" s="198"/>
      <c r="V496" s="43"/>
      <c r="W496" s="43"/>
      <c r="X496" s="43"/>
      <c r="Y496" s="198"/>
    </row>
    <row r="497" spans="1:25" ht="12.75" hidden="1" customHeight="1" outlineLevel="1" x14ac:dyDescent="0.2">
      <c r="A497" s="198" t="str">
        <f>"         "&amp;Labels!B99</f>
        <v xml:space="preserve">         Gross Margin</v>
      </c>
      <c r="B497" s="226">
        <f>SUM(B435,B466)</f>
        <v>0</v>
      </c>
      <c r="C497" s="226">
        <f>SUM(C435,C466)</f>
        <v>0</v>
      </c>
      <c r="D497" s="226">
        <f>SUM(D435,D466)</f>
        <v>0</v>
      </c>
      <c r="E497" s="227">
        <f>SUM(B497:D497)</f>
        <v>0</v>
      </c>
      <c r="F497" s="226">
        <f>SUM(F435,F466)</f>
        <v>0</v>
      </c>
      <c r="G497" s="226">
        <f>SUM(G435,G466)</f>
        <v>0</v>
      </c>
      <c r="H497" s="226">
        <f>SUM(H435,H466)</f>
        <v>0</v>
      </c>
      <c r="I497" s="227">
        <f>SUM(F497:H497)</f>
        <v>0</v>
      </c>
      <c r="J497" s="226">
        <f>SUM(J435,J466)</f>
        <v>0</v>
      </c>
      <c r="K497" s="226">
        <f>SUM(K435,K466)</f>
        <v>0</v>
      </c>
      <c r="L497" s="226">
        <f>SUM(L435,L466)</f>
        <v>0</v>
      </c>
      <c r="M497" s="227">
        <f>SUM(J497:L497)</f>
        <v>0</v>
      </c>
      <c r="N497" s="226">
        <f>SUM(N435,N466)</f>
        <v>0</v>
      </c>
      <c r="O497" s="226">
        <f>SUM(O435,O466)</f>
        <v>0</v>
      </c>
      <c r="P497" s="226">
        <f>SUM(P435,P466)</f>
        <v>0</v>
      </c>
      <c r="Q497" s="227">
        <f>SUM(N497:P497)</f>
        <v>0</v>
      </c>
      <c r="R497" s="226">
        <f>SUM(R435,R466)</f>
        <v>0</v>
      </c>
      <c r="S497" s="226">
        <f>SUM(S435,S466)</f>
        <v>0</v>
      </c>
      <c r="T497" s="226">
        <f>SUM(T435,T466)</f>
        <v>0</v>
      </c>
      <c r="U497" s="227">
        <f>SUM(R497:T497)</f>
        <v>0</v>
      </c>
      <c r="V497" s="226">
        <f>SUM(V435,V466)</f>
        <v>0</v>
      </c>
      <c r="W497" s="226">
        <f>SUM(W435,W466)</f>
        <v>0</v>
      </c>
      <c r="X497" s="226">
        <f>SUM(X435,X466)</f>
        <v>0</v>
      </c>
      <c r="Y497" s="227">
        <f>SUM(V497:X497)</f>
        <v>0</v>
      </c>
    </row>
    <row r="498" spans="1:25" ht="12.75" hidden="1" customHeight="1" outlineLevel="1" x14ac:dyDescent="0.2">
      <c r="A498" s="198" t="str">
        <f>"         "&amp;Labels!B101</f>
        <v xml:space="preserve">         Gross Margin %</v>
      </c>
      <c r="B498" s="233">
        <f>IF(Practices!B183=0,0,Practices!B272/Practices!B183)</f>
        <v>0</v>
      </c>
      <c r="C498" s="233">
        <f>IF(Practices!C183=0,0,Practices!C272/Practices!C183)</f>
        <v>0</v>
      </c>
      <c r="D498" s="233">
        <f>IF(Practices!D183=0,0,Practices!D272/Practices!D183)</f>
        <v>0</v>
      </c>
      <c r="E498" s="234">
        <f>IF(SUM(Practices!B183:D183)=0,0,SUM(Practices!B272:D272)/SUM(Practices!B183:D183))</f>
        <v>0</v>
      </c>
      <c r="F498" s="233">
        <f>IF(Practices!F183=0,0,Practices!F272/Practices!F183)</f>
        <v>0</v>
      </c>
      <c r="G498" s="233">
        <f>IF(Practices!G183=0,0,Practices!G272/Practices!G183)</f>
        <v>0</v>
      </c>
      <c r="H498" s="233">
        <f>IF(Practices!H183=0,0,Practices!H272/Practices!H183)</f>
        <v>0</v>
      </c>
      <c r="I498" s="234">
        <f>IF(SUM(Practices!F183:H183)=0,0,SUM(Practices!F272:H272)/SUM(Practices!F183:H183))</f>
        <v>0</v>
      </c>
      <c r="J498" s="233">
        <f>IF(Practices!J183=0,0,Practices!J272/Practices!J183)</f>
        <v>0</v>
      </c>
      <c r="K498" s="233">
        <f>IF(Practices!K183=0,0,Practices!K272/Practices!K183)</f>
        <v>0</v>
      </c>
      <c r="L498" s="233">
        <f>IF(Practices!L183=0,0,Practices!L272/Practices!L183)</f>
        <v>0</v>
      </c>
      <c r="M498" s="234">
        <f>IF(SUM(Practices!J183:L183)=0,0,SUM(Practices!J272:L272)/SUM(Practices!J183:L183))</f>
        <v>0</v>
      </c>
      <c r="N498" s="233">
        <f>IF(Practices!N183=0,0,Practices!N272/Practices!N183)</f>
        <v>0</v>
      </c>
      <c r="O498" s="233">
        <f>IF(Practices!O183=0,0,Practices!O272/Practices!O183)</f>
        <v>0</v>
      </c>
      <c r="P498" s="233">
        <f>IF(Practices!P183=0,0,Practices!P272/Practices!P183)</f>
        <v>0</v>
      </c>
      <c r="Q498" s="234">
        <f>IF(SUM(Practices!N183:P183)=0,0,SUM(Practices!N272:P272)/SUM(Practices!N183:P183))</f>
        <v>0</v>
      </c>
      <c r="R498" s="233">
        <f>IF(Practices!R183=0,0,Practices!R272/Practices!R183)</f>
        <v>0</v>
      </c>
      <c r="S498" s="233">
        <f>IF(Practices!S183=0,0,Practices!S272/Practices!S183)</f>
        <v>0</v>
      </c>
      <c r="T498" s="233">
        <f>IF(Practices!T183=0,0,Practices!T272/Practices!T183)</f>
        <v>0</v>
      </c>
      <c r="U498" s="234">
        <f>IF(SUM(Practices!R183:T183)=0,0,SUM(Practices!R272:T272)/SUM(Practices!R183:T183))</f>
        <v>0</v>
      </c>
      <c r="V498" s="233">
        <f>IF(Practices!V183=0,0,Practices!V272/Practices!V183)</f>
        <v>0</v>
      </c>
      <c r="W498" s="233">
        <f>IF(Practices!W183=0,0,Practices!W272/Practices!W183)</f>
        <v>0</v>
      </c>
      <c r="X498" s="233">
        <f>IF(Practices!X183=0,0,Practices!X272/Practices!X183)</f>
        <v>0</v>
      </c>
      <c r="Y498" s="234">
        <f>IF(SUM(Practices!V183:X183)=0,0,SUM(Practices!V272:X272)/SUM(Practices!V183:X183))</f>
        <v>0</v>
      </c>
    </row>
    <row r="499" spans="1:25" ht="12.75" hidden="1" customHeight="1" outlineLevel="1" x14ac:dyDescent="0.2">
      <c r="A499" s="198" t="str">
        <f>"      "&amp;Labels!B386</f>
        <v xml:space="preserve">      Prof Level 2</v>
      </c>
      <c r="B499" s="43"/>
      <c r="C499" s="43"/>
      <c r="D499" s="43"/>
      <c r="E499" s="198"/>
      <c r="F499" s="43"/>
      <c r="G499" s="43"/>
      <c r="H499" s="43"/>
      <c r="I499" s="198"/>
      <c r="J499" s="43"/>
      <c r="K499" s="43"/>
      <c r="L499" s="43"/>
      <c r="M499" s="198"/>
      <c r="N499" s="43"/>
      <c r="O499" s="43"/>
      <c r="P499" s="43"/>
      <c r="Q499" s="198"/>
      <c r="R499" s="43"/>
      <c r="S499" s="43"/>
      <c r="T499" s="43"/>
      <c r="U499" s="198"/>
      <c r="V499" s="43"/>
      <c r="W499" s="43"/>
      <c r="X499" s="43"/>
      <c r="Y499" s="198"/>
    </row>
    <row r="500" spans="1:25" ht="12.75" hidden="1" customHeight="1" outlineLevel="1" x14ac:dyDescent="0.2">
      <c r="A500" s="198" t="str">
        <f>"         "&amp;Labels!B99</f>
        <v xml:space="preserve">         Gross Margin</v>
      </c>
      <c r="B500" s="226">
        <f>SUM(B438,B469)</f>
        <v>0</v>
      </c>
      <c r="C500" s="226">
        <f>SUM(C438,C469)</f>
        <v>0</v>
      </c>
      <c r="D500" s="226">
        <f>SUM(D438,D469)</f>
        <v>0</v>
      </c>
      <c r="E500" s="227">
        <f>SUM(B500:D500)</f>
        <v>0</v>
      </c>
      <c r="F500" s="226">
        <f>SUM(F438,F469)</f>
        <v>0</v>
      </c>
      <c r="G500" s="226">
        <f>SUM(G438,G469)</f>
        <v>0</v>
      </c>
      <c r="H500" s="226">
        <f>SUM(H438,H469)</f>
        <v>0</v>
      </c>
      <c r="I500" s="227">
        <f>SUM(F500:H500)</f>
        <v>0</v>
      </c>
      <c r="J500" s="226">
        <f>SUM(J438,J469)</f>
        <v>0</v>
      </c>
      <c r="K500" s="226">
        <f>SUM(K438,K469)</f>
        <v>0</v>
      </c>
      <c r="L500" s="226">
        <f>SUM(L438,L469)</f>
        <v>0</v>
      </c>
      <c r="M500" s="227">
        <f>SUM(J500:L500)</f>
        <v>0</v>
      </c>
      <c r="N500" s="226">
        <f>SUM(N438,N469)</f>
        <v>0</v>
      </c>
      <c r="O500" s="226">
        <f>SUM(O438,O469)</f>
        <v>0</v>
      </c>
      <c r="P500" s="226">
        <f>SUM(P438,P469)</f>
        <v>0</v>
      </c>
      <c r="Q500" s="227">
        <f>SUM(N500:P500)</f>
        <v>0</v>
      </c>
      <c r="R500" s="226">
        <f>SUM(R438,R469)</f>
        <v>0</v>
      </c>
      <c r="S500" s="226">
        <f>SUM(S438,S469)</f>
        <v>0</v>
      </c>
      <c r="T500" s="226">
        <f>SUM(T438,T469)</f>
        <v>0</v>
      </c>
      <c r="U500" s="227">
        <f>SUM(R500:T500)</f>
        <v>0</v>
      </c>
      <c r="V500" s="226">
        <f>SUM(V438,V469)</f>
        <v>0</v>
      </c>
      <c r="W500" s="226">
        <f>SUM(W438,W469)</f>
        <v>0</v>
      </c>
      <c r="X500" s="226">
        <f>SUM(X438,X469)</f>
        <v>0</v>
      </c>
      <c r="Y500" s="227">
        <f>SUM(V500:X500)</f>
        <v>0</v>
      </c>
    </row>
    <row r="501" spans="1:25" ht="12.75" hidden="1" customHeight="1" outlineLevel="1" x14ac:dyDescent="0.2">
      <c r="A501" s="198" t="str">
        <f>"         "&amp;Labels!B101</f>
        <v xml:space="preserve">         Gross Margin %</v>
      </c>
      <c r="B501" s="233">
        <f>IF(Practices!B184=0,0,Practices!B275/Practices!B184)</f>
        <v>0</v>
      </c>
      <c r="C501" s="233">
        <f>IF(Practices!C184=0,0,Practices!C275/Practices!C184)</f>
        <v>0</v>
      </c>
      <c r="D501" s="233">
        <f>IF(Practices!D184=0,0,Practices!D275/Practices!D184)</f>
        <v>0</v>
      </c>
      <c r="E501" s="234">
        <f>IF(SUM(Practices!B184:D184)=0,0,SUM(Practices!B275:D275)/SUM(Practices!B184:D184))</f>
        <v>0</v>
      </c>
      <c r="F501" s="233">
        <f>IF(Practices!F184=0,0,Practices!F275/Practices!F184)</f>
        <v>0</v>
      </c>
      <c r="G501" s="233">
        <f>IF(Practices!G184=0,0,Practices!G275/Practices!G184)</f>
        <v>0</v>
      </c>
      <c r="H501" s="233">
        <f>IF(Practices!H184=0,0,Practices!H275/Practices!H184)</f>
        <v>0</v>
      </c>
      <c r="I501" s="234">
        <f>IF(SUM(Practices!F184:H184)=0,0,SUM(Practices!F275:H275)/SUM(Practices!F184:H184))</f>
        <v>0</v>
      </c>
      <c r="J501" s="233">
        <f>IF(Practices!J184=0,0,Practices!J275/Practices!J184)</f>
        <v>0</v>
      </c>
      <c r="K501" s="233">
        <f>IF(Practices!K184=0,0,Practices!K275/Practices!K184)</f>
        <v>0</v>
      </c>
      <c r="L501" s="233">
        <f>IF(Practices!L184=0,0,Practices!L275/Practices!L184)</f>
        <v>0</v>
      </c>
      <c r="M501" s="234">
        <f>IF(SUM(Practices!J184:L184)=0,0,SUM(Practices!J275:L275)/SUM(Practices!J184:L184))</f>
        <v>0</v>
      </c>
      <c r="N501" s="233">
        <f>IF(Practices!N184=0,0,Practices!N275/Practices!N184)</f>
        <v>0</v>
      </c>
      <c r="O501" s="233">
        <f>IF(Practices!O184=0,0,Practices!O275/Practices!O184)</f>
        <v>0</v>
      </c>
      <c r="P501" s="233">
        <f>IF(Practices!P184=0,0,Practices!P275/Practices!P184)</f>
        <v>0</v>
      </c>
      <c r="Q501" s="234">
        <f>IF(SUM(Practices!N184:P184)=0,0,SUM(Practices!N275:P275)/SUM(Practices!N184:P184))</f>
        <v>0</v>
      </c>
      <c r="R501" s="233">
        <f>IF(Practices!R184=0,0,Practices!R275/Practices!R184)</f>
        <v>0</v>
      </c>
      <c r="S501" s="233">
        <f>IF(Practices!S184=0,0,Practices!S275/Practices!S184)</f>
        <v>0</v>
      </c>
      <c r="T501" s="233">
        <f>IF(Practices!T184=0,0,Practices!T275/Practices!T184)</f>
        <v>0</v>
      </c>
      <c r="U501" s="234">
        <f>IF(SUM(Practices!R184:T184)=0,0,SUM(Practices!R275:T275)/SUM(Practices!R184:T184))</f>
        <v>0</v>
      </c>
      <c r="V501" s="233">
        <f>IF(Practices!V184=0,0,Practices!V275/Practices!V184)</f>
        <v>0</v>
      </c>
      <c r="W501" s="233">
        <f>IF(Practices!W184=0,0,Practices!W275/Practices!W184)</f>
        <v>0</v>
      </c>
      <c r="X501" s="233">
        <f>IF(Practices!X184=0,0,Practices!X275/Practices!X184)</f>
        <v>0</v>
      </c>
      <c r="Y501" s="234">
        <f>IF(SUM(Practices!V184:X184)=0,0,SUM(Practices!V275:X275)/SUM(Practices!V184:X184))</f>
        <v>0</v>
      </c>
    </row>
    <row r="502" spans="1:25" ht="12.75" hidden="1" customHeight="1" outlineLevel="1" x14ac:dyDescent="0.2">
      <c r="A502" s="188" t="str">
        <f>"      "&amp;Labels!C384</f>
        <v xml:space="preserve">      Total</v>
      </c>
      <c r="B502" s="31"/>
      <c r="C502" s="31"/>
      <c r="D502" s="31"/>
      <c r="E502" s="188"/>
      <c r="F502" s="31"/>
      <c r="G502" s="31"/>
      <c r="H502" s="31"/>
      <c r="I502" s="188"/>
      <c r="J502" s="31"/>
      <c r="K502" s="31"/>
      <c r="L502" s="31"/>
      <c r="M502" s="188"/>
      <c r="N502" s="31"/>
      <c r="O502" s="31"/>
      <c r="P502" s="31"/>
      <c r="Q502" s="188"/>
      <c r="R502" s="31"/>
      <c r="S502" s="31"/>
      <c r="T502" s="31"/>
      <c r="U502" s="188"/>
      <c r="V502" s="31"/>
      <c r="W502" s="31"/>
      <c r="X502" s="31"/>
      <c r="Y502" s="188"/>
    </row>
    <row r="503" spans="1:25" ht="12.75" hidden="1" customHeight="1" outlineLevel="1" x14ac:dyDescent="0.2">
      <c r="A503" s="198" t="str">
        <f>"         "&amp;Labels!B99</f>
        <v xml:space="preserve">         Gross Margin</v>
      </c>
      <c r="B503" s="226">
        <f>SUM(B441,B472)</f>
        <v>0</v>
      </c>
      <c r="C503" s="226">
        <f>SUM(C441,C472)</f>
        <v>0</v>
      </c>
      <c r="D503" s="226">
        <f>SUM(D441,D472)</f>
        <v>0</v>
      </c>
      <c r="E503" s="227">
        <f>SUM(B503:D503)</f>
        <v>0</v>
      </c>
      <c r="F503" s="226">
        <f>SUM(F441,F472)</f>
        <v>0</v>
      </c>
      <c r="G503" s="226">
        <f>SUM(G441,G472)</f>
        <v>0</v>
      </c>
      <c r="H503" s="226">
        <f>SUM(H441,H472)</f>
        <v>0</v>
      </c>
      <c r="I503" s="227">
        <f>SUM(F503:H503)</f>
        <v>0</v>
      </c>
      <c r="J503" s="226">
        <f>SUM(J441,J472)</f>
        <v>0</v>
      </c>
      <c r="K503" s="226">
        <f>SUM(K441,K472)</f>
        <v>0</v>
      </c>
      <c r="L503" s="226">
        <f>SUM(L441,L472)</f>
        <v>0</v>
      </c>
      <c r="M503" s="227">
        <f>SUM(J503:L503)</f>
        <v>0</v>
      </c>
      <c r="N503" s="226">
        <f>SUM(N441,N472)</f>
        <v>0</v>
      </c>
      <c r="O503" s="226">
        <f>SUM(O441,O472)</f>
        <v>0</v>
      </c>
      <c r="P503" s="226">
        <f>SUM(P441,P472)</f>
        <v>0</v>
      </c>
      <c r="Q503" s="227">
        <f>SUM(N503:P503)</f>
        <v>0</v>
      </c>
      <c r="R503" s="226">
        <f>SUM(R441,R472)</f>
        <v>0</v>
      </c>
      <c r="S503" s="226">
        <f>SUM(S441,S472)</f>
        <v>0</v>
      </c>
      <c r="T503" s="226">
        <f>SUM(T441,T472)</f>
        <v>0</v>
      </c>
      <c r="U503" s="227">
        <f>SUM(R503:T503)</f>
        <v>0</v>
      </c>
      <c r="V503" s="226">
        <f>SUM(V441,V472)</f>
        <v>0</v>
      </c>
      <c r="W503" s="226">
        <f>SUM(W441,W472)</f>
        <v>0</v>
      </c>
      <c r="X503" s="226">
        <f>SUM(X441,X472)</f>
        <v>0</v>
      </c>
      <c r="Y503" s="227">
        <f>SUM(V503:X503)</f>
        <v>0</v>
      </c>
    </row>
    <row r="504" spans="1:25" ht="12.75" hidden="1" customHeight="1" outlineLevel="1" x14ac:dyDescent="0.2">
      <c r="A504" s="198" t="str">
        <f>"         "&amp;Labels!B101</f>
        <v xml:space="preserve">         Gross Margin %</v>
      </c>
      <c r="B504" s="233">
        <f>IF(Practices!B10=0,0,Practices!B22/Practices!B10)</f>
        <v>0</v>
      </c>
      <c r="C504" s="233">
        <f>IF(Practices!C10=0,0,Practices!C22/Practices!C10)</f>
        <v>0</v>
      </c>
      <c r="D504" s="233">
        <f>IF(Practices!D10=0,0,Practices!D22/Practices!D10)</f>
        <v>0</v>
      </c>
      <c r="E504" s="234">
        <f>IF(SUM(Practices!B10:D10)=0,0,SUM(Practices!B22:D22)/SUM(Practices!B10:D10))</f>
        <v>0</v>
      </c>
      <c r="F504" s="233">
        <f>IF(Practices!F10=0,0,Practices!F22/Practices!F10)</f>
        <v>0</v>
      </c>
      <c r="G504" s="233">
        <f>IF(Practices!G10=0,0,Practices!G22/Practices!G10)</f>
        <v>0</v>
      </c>
      <c r="H504" s="233">
        <f>IF(Practices!H10=0,0,Practices!H22/Practices!H10)</f>
        <v>0</v>
      </c>
      <c r="I504" s="234">
        <f>IF(SUM(Practices!F10:H10)=0,0,SUM(Practices!F22:H22)/SUM(Practices!F10:H10))</f>
        <v>0</v>
      </c>
      <c r="J504" s="233">
        <f>IF(Practices!J10=0,0,Practices!J22/Practices!J10)</f>
        <v>0</v>
      </c>
      <c r="K504" s="233">
        <f>IF(Practices!K10=0,0,Practices!K22/Practices!K10)</f>
        <v>0</v>
      </c>
      <c r="L504" s="233">
        <f>IF(Practices!L10=0,0,Practices!L22/Practices!L10)</f>
        <v>0</v>
      </c>
      <c r="M504" s="234">
        <f>IF(SUM(Practices!J10:L10)=0,0,SUM(Practices!J22:L22)/SUM(Practices!J10:L10))</f>
        <v>0</v>
      </c>
      <c r="N504" s="233">
        <f>IF(Practices!N10=0,0,Practices!N22/Practices!N10)</f>
        <v>0</v>
      </c>
      <c r="O504" s="233">
        <f>IF(Practices!O10=0,0,Practices!O22/Practices!O10)</f>
        <v>0</v>
      </c>
      <c r="P504" s="233">
        <f>IF(Practices!P10=0,0,Practices!P22/Practices!P10)</f>
        <v>0</v>
      </c>
      <c r="Q504" s="234">
        <f>IF(SUM(Practices!N10:P10)=0,0,SUM(Practices!N22:P22)/SUM(Practices!N10:P10))</f>
        <v>0</v>
      </c>
      <c r="R504" s="233">
        <f>IF(Practices!R10=0,0,Practices!R22/Practices!R10)</f>
        <v>0</v>
      </c>
      <c r="S504" s="233">
        <f>IF(Practices!S10=0,0,Practices!S22/Practices!S10)</f>
        <v>0</v>
      </c>
      <c r="T504" s="233">
        <f>IF(Practices!T10=0,0,Practices!T22/Practices!T10)</f>
        <v>0</v>
      </c>
      <c r="U504" s="234">
        <f>IF(SUM(Practices!R10:T10)=0,0,SUM(Practices!R22:T22)/SUM(Practices!R10:T10))</f>
        <v>0</v>
      </c>
      <c r="V504" s="233">
        <f>IF(Practices!V10=0,0,Practices!V22/Practices!V10)</f>
        <v>0</v>
      </c>
      <c r="W504" s="233">
        <f>IF(Practices!W10=0,0,Practices!W22/Practices!W10)</f>
        <v>0</v>
      </c>
      <c r="X504" s="233">
        <f>IF(Practices!X10=0,0,Practices!X22/Practices!X10)</f>
        <v>0</v>
      </c>
      <c r="Y504" s="234">
        <f>IF(SUM(Practices!V10:X10)=0,0,SUM(Practices!V22:X22)/SUM(Practices!V10:X10))</f>
        <v>0</v>
      </c>
    </row>
    <row r="505" spans="1:25" ht="12.75" hidden="1" customHeight="1" outlineLevel="1" x14ac:dyDescent="0.2">
      <c r="A505" s="191" t="str">
        <f>"   "&amp;Labels!C380</f>
        <v xml:space="preserve">   Total</v>
      </c>
      <c r="B505" s="3"/>
      <c r="C505" s="3"/>
      <c r="D505" s="3"/>
      <c r="E505" s="191"/>
      <c r="F505" s="3"/>
      <c r="G505" s="3"/>
      <c r="H505" s="3"/>
      <c r="I505" s="191"/>
      <c r="J505" s="3"/>
      <c r="K505" s="3"/>
      <c r="L505" s="3"/>
      <c r="M505" s="191"/>
      <c r="N505" s="3"/>
      <c r="O505" s="3"/>
      <c r="P505" s="3"/>
      <c r="Q505" s="191"/>
      <c r="R505" s="3"/>
      <c r="S505" s="3"/>
      <c r="T505" s="3"/>
      <c r="U505" s="191"/>
      <c r="V505" s="3"/>
      <c r="W505" s="3"/>
      <c r="X505" s="3"/>
      <c r="Y505" s="191"/>
    </row>
    <row r="506" spans="1:25" ht="12.75" hidden="1" customHeight="1" outlineLevel="1" x14ac:dyDescent="0.2">
      <c r="A506" s="198" t="str">
        <f>"      "&amp;Labels!B385</f>
        <v xml:space="preserve">      Prof Level 1</v>
      </c>
      <c r="B506" s="43"/>
      <c r="C506" s="43"/>
      <c r="D506" s="43"/>
      <c r="E506" s="198"/>
      <c r="F506" s="43"/>
      <c r="G506" s="43"/>
      <c r="H506" s="43"/>
      <c r="I506" s="198"/>
      <c r="J506" s="43"/>
      <c r="K506" s="43"/>
      <c r="L506" s="43"/>
      <c r="M506" s="198"/>
      <c r="N506" s="43"/>
      <c r="O506" s="43"/>
      <c r="P506" s="43"/>
      <c r="Q506" s="198"/>
      <c r="R506" s="43"/>
      <c r="S506" s="43"/>
      <c r="T506" s="43"/>
      <c r="U506" s="198"/>
      <c r="V506" s="43"/>
      <c r="W506" s="43"/>
      <c r="X506" s="43"/>
      <c r="Y506" s="198"/>
    </row>
    <row r="507" spans="1:25" ht="12.75" hidden="1" customHeight="1" outlineLevel="1" x14ac:dyDescent="0.2">
      <c r="A507" s="198" t="str">
        <f>"         "&amp;Labels!B99</f>
        <v xml:space="preserve">         Gross Margin</v>
      </c>
      <c r="B507" s="226">
        <f>SUM(B445,B476)</f>
        <v>0</v>
      </c>
      <c r="C507" s="226">
        <f>SUM(C445,C476)</f>
        <v>0</v>
      </c>
      <c r="D507" s="226">
        <f>SUM(D445,D476)</f>
        <v>55000</v>
      </c>
      <c r="E507" s="227">
        <f>SUM(B507:D507)</f>
        <v>55000</v>
      </c>
      <c r="F507" s="226">
        <f>SUM(F445,F476)</f>
        <v>55000</v>
      </c>
      <c r="G507" s="226">
        <f>SUM(G445,G476)</f>
        <v>0</v>
      </c>
      <c r="H507" s="226">
        <f>SUM(H445,H476)</f>
        <v>40000</v>
      </c>
      <c r="I507" s="227">
        <f>SUM(F507:H507)</f>
        <v>95000</v>
      </c>
      <c r="J507" s="226">
        <f>SUM(J445,J476)</f>
        <v>25869.553514469997</v>
      </c>
      <c r="K507" s="226">
        <f>SUM(K445,K476)</f>
        <v>18752.056032150373</v>
      </c>
      <c r="L507" s="226">
        <f>SUM(L445,L476)</f>
        <v>0</v>
      </c>
      <c r="M507" s="227">
        <f>SUM(J507:L507)</f>
        <v>44621.60954662037</v>
      </c>
      <c r="N507" s="226">
        <f>SUM(N445,N476)</f>
        <v>0</v>
      </c>
      <c r="O507" s="226">
        <f>SUM(O445,O476)</f>
        <v>0</v>
      </c>
      <c r="P507" s="226">
        <f>SUM(P445,P476)</f>
        <v>0</v>
      </c>
      <c r="Q507" s="227">
        <f>SUM(N507:P507)</f>
        <v>0</v>
      </c>
      <c r="R507" s="226">
        <f>SUM(R445,R476)</f>
        <v>0</v>
      </c>
      <c r="S507" s="226">
        <f>SUM(S445,S476)</f>
        <v>0</v>
      </c>
      <c r="T507" s="226">
        <f>SUM(T445,T476)</f>
        <v>0</v>
      </c>
      <c r="U507" s="227">
        <f>SUM(R507:T507)</f>
        <v>0</v>
      </c>
      <c r="V507" s="226">
        <f>SUM(V445,V476)</f>
        <v>0</v>
      </c>
      <c r="W507" s="226">
        <f>SUM(W445,W476)</f>
        <v>0</v>
      </c>
      <c r="X507" s="226">
        <f>SUM(X445,X476)</f>
        <v>0</v>
      </c>
      <c r="Y507" s="227">
        <f>SUM(V507:X507)</f>
        <v>0</v>
      </c>
    </row>
    <row r="508" spans="1:25" ht="12.75" hidden="1" customHeight="1" outlineLevel="1" x14ac:dyDescent="0.2">
      <c r="A508" s="198" t="str">
        <f>"         "&amp;Labels!B101</f>
        <v xml:space="preserve">         Gross Margin %</v>
      </c>
      <c r="B508" s="233">
        <f>IF(Practices!B187=0,0,Practices!B282/Practices!B187)</f>
        <v>0</v>
      </c>
      <c r="C508" s="233">
        <f>IF(Practices!C187=0,0,Practices!C282/Practices!C187)</f>
        <v>0</v>
      </c>
      <c r="D508" s="233">
        <f>IF(Practices!D187=0,0,Practices!D282/Practices!D187)</f>
        <v>0.97560975609756095</v>
      </c>
      <c r="E508" s="234">
        <f>IF(SUM(Practices!B187:D187)=0,0,SUM(Practices!B282:D282)/SUM(Practices!B187:D187))</f>
        <v>0.97560975609756095</v>
      </c>
      <c r="F508" s="233">
        <f>IF(Practices!F187=0,0,Practices!F282/Practices!F187)</f>
        <v>0.97560975609756095</v>
      </c>
      <c r="G508" s="233">
        <f>IF(Practices!G187=0,0,Practices!G282/Practices!G187)</f>
        <v>0</v>
      </c>
      <c r="H508" s="233">
        <f>IF(Practices!H187=0,0,Practices!H282/Practices!H187)</f>
        <v>0.97560975609756095</v>
      </c>
      <c r="I508" s="234">
        <f>IF(SUM(Practices!F187:H187)=0,0,SUM(Practices!F282:H282)/SUM(Practices!F187:H187))</f>
        <v>0.97560975609756095</v>
      </c>
      <c r="J508" s="233">
        <f>IF(Practices!J187=0,0,Practices!J282/Practices!J187)</f>
        <v>0.63096471986512193</v>
      </c>
      <c r="K508" s="233">
        <f>IF(Practices!K187=0,0,Practices!K282/Practices!K187)</f>
        <v>0.45736722029635057</v>
      </c>
      <c r="L508" s="233">
        <f>IF(Practices!L187=0,0,Practices!L282/Practices!L187)</f>
        <v>0</v>
      </c>
      <c r="M508" s="234">
        <f>IF(SUM(Practices!J187:L187)=0,0,SUM(Practices!J282:L282)/SUM(Practices!J187:L187))</f>
        <v>0.54416597008073619</v>
      </c>
      <c r="N508" s="233">
        <f>IF(Practices!N187=0,0,Practices!N282/Practices!N187)</f>
        <v>0</v>
      </c>
      <c r="O508" s="233">
        <f>IF(Practices!O187=0,0,Practices!O282/Practices!O187)</f>
        <v>0</v>
      </c>
      <c r="P508" s="233">
        <f>IF(Practices!P187=0,0,Practices!P282/Practices!P187)</f>
        <v>0</v>
      </c>
      <c r="Q508" s="234">
        <f>IF(SUM(Practices!N187:P187)=0,0,SUM(Practices!N282:P282)/SUM(Practices!N187:P187))</f>
        <v>0</v>
      </c>
      <c r="R508" s="233">
        <f>IF(Practices!R187=0,0,Practices!R282/Practices!R187)</f>
        <v>0</v>
      </c>
      <c r="S508" s="233">
        <f>IF(Practices!S187=0,0,Practices!S282/Practices!S187)</f>
        <v>0</v>
      </c>
      <c r="T508" s="233">
        <f>IF(Practices!T187=0,0,Practices!T282/Practices!T187)</f>
        <v>0</v>
      </c>
      <c r="U508" s="234">
        <f>IF(SUM(Practices!R187:T187)=0,0,SUM(Practices!R282:T282)/SUM(Practices!R187:T187))</f>
        <v>0</v>
      </c>
      <c r="V508" s="233">
        <f>IF(Practices!V187=0,0,Practices!V282/Practices!V187)</f>
        <v>0</v>
      </c>
      <c r="W508" s="233">
        <f>IF(Practices!W187=0,0,Practices!W282/Practices!W187)</f>
        <v>0</v>
      </c>
      <c r="X508" s="233">
        <f>IF(Practices!X187=0,0,Practices!X282/Practices!X187)</f>
        <v>0</v>
      </c>
      <c r="Y508" s="234">
        <f>IF(SUM(Practices!V187:X187)=0,0,SUM(Practices!V282:X282)/SUM(Practices!V187:X187))</f>
        <v>0</v>
      </c>
    </row>
    <row r="509" spans="1:25" ht="12.75" hidden="1" customHeight="1" outlineLevel="1" x14ac:dyDescent="0.2">
      <c r="A509" s="198" t="str">
        <f>"      "&amp;Labels!B386</f>
        <v xml:space="preserve">      Prof Level 2</v>
      </c>
      <c r="B509" s="43"/>
      <c r="C509" s="43"/>
      <c r="D509" s="43"/>
      <c r="E509" s="198"/>
      <c r="F509" s="43"/>
      <c r="G509" s="43"/>
      <c r="H509" s="43"/>
      <c r="I509" s="198"/>
      <c r="J509" s="43"/>
      <c r="K509" s="43"/>
      <c r="L509" s="43"/>
      <c r="M509" s="198"/>
      <c r="N509" s="43"/>
      <c r="O509" s="43"/>
      <c r="P509" s="43"/>
      <c r="Q509" s="198"/>
      <c r="R509" s="43"/>
      <c r="S509" s="43"/>
      <c r="T509" s="43"/>
      <c r="U509" s="198"/>
      <c r="V509" s="43"/>
      <c r="W509" s="43"/>
      <c r="X509" s="43"/>
      <c r="Y509" s="198"/>
    </row>
    <row r="510" spans="1:25" ht="12.75" hidden="1" customHeight="1" outlineLevel="1" x14ac:dyDescent="0.2">
      <c r="A510" s="198" t="str">
        <f>"         "&amp;Labels!B99</f>
        <v xml:space="preserve">         Gross Margin</v>
      </c>
      <c r="B510" s="226">
        <f>SUM(B448,B479)</f>
        <v>0</v>
      </c>
      <c r="C510" s="226">
        <f>SUM(C448,C479)</f>
        <v>0</v>
      </c>
      <c r="D510" s="226">
        <f>SUM(D448,D479)</f>
        <v>55000</v>
      </c>
      <c r="E510" s="227">
        <f>SUM(B510:D510)</f>
        <v>55000</v>
      </c>
      <c r="F510" s="226">
        <f>SUM(F448,F479)</f>
        <v>55000</v>
      </c>
      <c r="G510" s="226">
        <f>SUM(G448,G479)</f>
        <v>0</v>
      </c>
      <c r="H510" s="226">
        <f>SUM(H448,H479)</f>
        <v>40000</v>
      </c>
      <c r="I510" s="227">
        <f>SUM(F510:H510)</f>
        <v>95000</v>
      </c>
      <c r="J510" s="226">
        <f>SUM(J448,J479)</f>
        <v>25869.553514469997</v>
      </c>
      <c r="K510" s="226">
        <f>SUM(K448,K479)</f>
        <v>18752.056032150373</v>
      </c>
      <c r="L510" s="226">
        <f>SUM(L448,L479)</f>
        <v>0</v>
      </c>
      <c r="M510" s="227">
        <f>SUM(J510:L510)</f>
        <v>44621.60954662037</v>
      </c>
      <c r="N510" s="226">
        <f>SUM(N448,N479)</f>
        <v>0</v>
      </c>
      <c r="O510" s="226">
        <f>SUM(O448,O479)</f>
        <v>0</v>
      </c>
      <c r="P510" s="226">
        <f>SUM(P448,P479)</f>
        <v>0</v>
      </c>
      <c r="Q510" s="227">
        <f>SUM(N510:P510)</f>
        <v>0</v>
      </c>
      <c r="R510" s="226">
        <f>SUM(R448,R479)</f>
        <v>0</v>
      </c>
      <c r="S510" s="226">
        <f>SUM(S448,S479)</f>
        <v>0</v>
      </c>
      <c r="T510" s="226">
        <f>SUM(T448,T479)</f>
        <v>0</v>
      </c>
      <c r="U510" s="227">
        <f>SUM(R510:T510)</f>
        <v>0</v>
      </c>
      <c r="V510" s="226">
        <f>SUM(V448,V479)</f>
        <v>0</v>
      </c>
      <c r="W510" s="226">
        <f>SUM(W448,W479)</f>
        <v>0</v>
      </c>
      <c r="X510" s="226">
        <f>SUM(X448,X479)</f>
        <v>0</v>
      </c>
      <c r="Y510" s="227">
        <f>SUM(V510:X510)</f>
        <v>0</v>
      </c>
    </row>
    <row r="511" spans="1:25" ht="12.75" hidden="1" customHeight="1" outlineLevel="1" x14ac:dyDescent="0.2">
      <c r="A511" s="198" t="str">
        <f>"         "&amp;Labels!B101</f>
        <v xml:space="preserve">         Gross Margin %</v>
      </c>
      <c r="B511" s="233">
        <f>IF(Practices!B188=0,0,Practices!B285/Practices!B188)</f>
        <v>0</v>
      </c>
      <c r="C511" s="233">
        <f>IF(Practices!C188=0,0,Practices!C285/Practices!C188)</f>
        <v>0</v>
      </c>
      <c r="D511" s="233">
        <f>IF(Practices!D188=0,0,Practices!D285/Practices!D188)</f>
        <v>0.97560975609756095</v>
      </c>
      <c r="E511" s="234">
        <f>IF(SUM(Practices!B188:D188)=0,0,SUM(Practices!B285:D285)/SUM(Practices!B188:D188))</f>
        <v>0.97560975609756095</v>
      </c>
      <c r="F511" s="233">
        <f>IF(Practices!F188=0,0,Practices!F285/Practices!F188)</f>
        <v>0.97560975609756095</v>
      </c>
      <c r="G511" s="233">
        <f>IF(Practices!G188=0,0,Practices!G285/Practices!G188)</f>
        <v>0</v>
      </c>
      <c r="H511" s="233">
        <f>IF(Practices!H188=0,0,Practices!H285/Practices!H188)</f>
        <v>0.97560975609756095</v>
      </c>
      <c r="I511" s="234">
        <f>IF(SUM(Practices!F188:H188)=0,0,SUM(Practices!F285:H285)/SUM(Practices!F188:H188))</f>
        <v>0.97560975609756095</v>
      </c>
      <c r="J511" s="233">
        <f>IF(Practices!J188=0,0,Practices!J285/Practices!J188)</f>
        <v>0.63096471986512193</v>
      </c>
      <c r="K511" s="233">
        <f>IF(Practices!K188=0,0,Practices!K285/Practices!K188)</f>
        <v>0.45736722029635057</v>
      </c>
      <c r="L511" s="233">
        <f>IF(Practices!L188=0,0,Practices!L285/Practices!L188)</f>
        <v>0</v>
      </c>
      <c r="M511" s="234">
        <f>IF(SUM(Practices!J188:L188)=0,0,SUM(Practices!J285:L285)/SUM(Practices!J188:L188))</f>
        <v>0.54416597008073619</v>
      </c>
      <c r="N511" s="233">
        <f>IF(Practices!N188=0,0,Practices!N285/Practices!N188)</f>
        <v>0</v>
      </c>
      <c r="O511" s="233">
        <f>IF(Practices!O188=0,0,Practices!O285/Practices!O188)</f>
        <v>0</v>
      </c>
      <c r="P511" s="233">
        <f>IF(Practices!P188=0,0,Practices!P285/Practices!P188)</f>
        <v>0</v>
      </c>
      <c r="Q511" s="234">
        <f>IF(SUM(Practices!N188:P188)=0,0,SUM(Practices!N285:P285)/SUM(Practices!N188:P188))</f>
        <v>0</v>
      </c>
      <c r="R511" s="233">
        <f>IF(Practices!R188=0,0,Practices!R285/Practices!R188)</f>
        <v>0</v>
      </c>
      <c r="S511" s="233">
        <f>IF(Practices!S188=0,0,Practices!S285/Practices!S188)</f>
        <v>0</v>
      </c>
      <c r="T511" s="233">
        <f>IF(Practices!T188=0,0,Practices!T285/Practices!T188)</f>
        <v>0</v>
      </c>
      <c r="U511" s="234">
        <f>IF(SUM(Practices!R188:T188)=0,0,SUM(Practices!R285:T285)/SUM(Practices!R188:T188))</f>
        <v>0</v>
      </c>
      <c r="V511" s="233">
        <f>IF(Practices!V188=0,0,Practices!V285/Practices!V188)</f>
        <v>0</v>
      </c>
      <c r="W511" s="233">
        <f>IF(Practices!W188=0,0,Practices!W285/Practices!W188)</f>
        <v>0</v>
      </c>
      <c r="X511" s="233">
        <f>IF(Practices!X188=0,0,Practices!X285/Practices!X188)</f>
        <v>0</v>
      </c>
      <c r="Y511" s="234">
        <f>IF(SUM(Practices!V188:X188)=0,0,SUM(Practices!V285:X285)/SUM(Practices!V188:X188))</f>
        <v>0</v>
      </c>
    </row>
    <row r="512" spans="1:25" ht="12.75" hidden="1" customHeight="1" outlineLevel="1" x14ac:dyDescent="0.2">
      <c r="A512" s="188" t="str">
        <f>"      "&amp;Labels!C384</f>
        <v xml:space="preserve">      Total</v>
      </c>
      <c r="B512" s="31"/>
      <c r="C512" s="31"/>
      <c r="D512" s="31"/>
      <c r="E512" s="188"/>
      <c r="F512" s="31"/>
      <c r="G512" s="31"/>
      <c r="H512" s="31"/>
      <c r="I512" s="188"/>
      <c r="J512" s="31"/>
      <c r="K512" s="31"/>
      <c r="L512" s="31"/>
      <c r="M512" s="188"/>
      <c r="N512" s="31"/>
      <c r="O512" s="31"/>
      <c r="P512" s="31"/>
      <c r="Q512" s="188"/>
      <c r="R512" s="31"/>
      <c r="S512" s="31"/>
      <c r="T512" s="31"/>
      <c r="U512" s="188"/>
      <c r="V512" s="31"/>
      <c r="W512" s="31"/>
      <c r="X512" s="31"/>
      <c r="Y512" s="188"/>
    </row>
    <row r="513" spans="1:25" ht="12.75" hidden="1" customHeight="1" outlineLevel="1" x14ac:dyDescent="0.2">
      <c r="A513" s="198" t="str">
        <f>"         "&amp;Labels!B99</f>
        <v xml:space="preserve">         Gross Margin</v>
      </c>
      <c r="B513" s="226">
        <f>SUM(B451,B482)</f>
        <v>0</v>
      </c>
      <c r="C513" s="226">
        <f>SUM(C451,C482)</f>
        <v>0</v>
      </c>
      <c r="D513" s="226">
        <f>SUM(D451,D482)</f>
        <v>110000</v>
      </c>
      <c r="E513" s="227">
        <f>SUM(B513:D513)</f>
        <v>110000</v>
      </c>
      <c r="F513" s="226">
        <f>SUM(F451,F482)</f>
        <v>110000</v>
      </c>
      <c r="G513" s="226">
        <f>SUM(G451,G482)</f>
        <v>0</v>
      </c>
      <c r="H513" s="226">
        <f>SUM(H451,H482)</f>
        <v>80000</v>
      </c>
      <c r="I513" s="227">
        <f>SUM(F513:H513)</f>
        <v>190000</v>
      </c>
      <c r="J513" s="226">
        <f>SUM(J451,J482)</f>
        <v>51739.107028939994</v>
      </c>
      <c r="K513" s="226">
        <f>SUM(K451,K482)</f>
        <v>37504.112064300745</v>
      </c>
      <c r="L513" s="226">
        <f>SUM(L451,L482)</f>
        <v>0</v>
      </c>
      <c r="M513" s="227">
        <f>SUM(J513:L513)</f>
        <v>89243.219093240739</v>
      </c>
      <c r="N513" s="226">
        <f>SUM(N451,N482)</f>
        <v>0</v>
      </c>
      <c r="O513" s="226">
        <f>SUM(O451,O482)</f>
        <v>0</v>
      </c>
      <c r="P513" s="226">
        <f>SUM(P451,P482)</f>
        <v>0</v>
      </c>
      <c r="Q513" s="227">
        <f>SUM(N513:P513)</f>
        <v>0</v>
      </c>
      <c r="R513" s="226">
        <f>SUM(R451,R482)</f>
        <v>0</v>
      </c>
      <c r="S513" s="226">
        <f>SUM(S451,S482)</f>
        <v>0</v>
      </c>
      <c r="T513" s="226">
        <f>SUM(T451,T482)</f>
        <v>0</v>
      </c>
      <c r="U513" s="227">
        <f>SUM(R513:T513)</f>
        <v>0</v>
      </c>
      <c r="V513" s="226">
        <f>SUM(V451,V482)</f>
        <v>0</v>
      </c>
      <c r="W513" s="226">
        <f>SUM(W451,W482)</f>
        <v>0</v>
      </c>
      <c r="X513" s="226">
        <f>SUM(X451,X482)</f>
        <v>0</v>
      </c>
      <c r="Y513" s="227">
        <f>SUM(V513:X513)</f>
        <v>0</v>
      </c>
    </row>
    <row r="514" spans="1:25" ht="12.75" hidden="1" customHeight="1" outlineLevel="1" x14ac:dyDescent="0.2">
      <c r="A514" s="230" t="str">
        <f>"         "&amp;Labels!B101</f>
        <v xml:space="preserve">         Gross Margin %</v>
      </c>
      <c r="B514" s="235">
        <f>IF(IncStmt!B6=0,0,IncStmt!B16/IncStmt!B6)</f>
        <v>0</v>
      </c>
      <c r="C514" s="235">
        <f>IF(IncStmt!C6=0,0,IncStmt!C16/IncStmt!C6)</f>
        <v>0</v>
      </c>
      <c r="D514" s="235">
        <f>IF(IncStmt!D6=0,0,IncStmt!D16/IncStmt!D6)</f>
        <v>0.97560975609756095</v>
      </c>
      <c r="E514" s="236">
        <f>IF(SUM(IncStmt!B6:D6)=0,0,SUM(IncStmt!B16:D16)/SUM(IncStmt!B6:D6))</f>
        <v>0.97560975609756095</v>
      </c>
      <c r="F514" s="235">
        <f>IF(IncStmt!F6=0,0,IncStmt!F16/IncStmt!F6)</f>
        <v>0.97560975609756095</v>
      </c>
      <c r="G514" s="235">
        <f>IF(IncStmt!G6=0,0,IncStmt!G16/IncStmt!G6)</f>
        <v>0</v>
      </c>
      <c r="H514" s="235">
        <f>IF(IncStmt!H6=0,0,IncStmt!H16/IncStmt!H6)</f>
        <v>0.97560975609756095</v>
      </c>
      <c r="I514" s="236">
        <f>IF(SUM(IncStmt!F6:H6)=0,0,SUM(IncStmt!F16:H16)/SUM(IncStmt!F6:H6))</f>
        <v>0.97560975609756095</v>
      </c>
      <c r="J514" s="235">
        <f>IF(IncStmt!J6=0,0,IncStmt!J16/IncStmt!J6)</f>
        <v>0.63096471986512193</v>
      </c>
      <c r="K514" s="235">
        <f>IF(IncStmt!K6=0,0,IncStmt!K16/IncStmt!K6)</f>
        <v>0.45736722029635057</v>
      </c>
      <c r="L514" s="235">
        <f>IF(IncStmt!L6=0,0,IncStmt!L16/IncStmt!L6)</f>
        <v>0</v>
      </c>
      <c r="M514" s="236">
        <f>IF(SUM(IncStmt!J6:L6)=0,0,SUM(IncStmt!J16:L16)/SUM(IncStmt!J6:L6))</f>
        <v>0.54416597008073619</v>
      </c>
      <c r="N514" s="235">
        <f>IF(IncStmt!N6=0,0,IncStmt!N16/IncStmt!N6)</f>
        <v>0</v>
      </c>
      <c r="O514" s="235">
        <f>IF(IncStmt!O6=0,0,IncStmt!O16/IncStmt!O6)</f>
        <v>0</v>
      </c>
      <c r="P514" s="235">
        <f>IF(IncStmt!P6=0,0,IncStmt!P16/IncStmt!P6)</f>
        <v>0</v>
      </c>
      <c r="Q514" s="236">
        <f>IF(SUM(IncStmt!N6:P6)=0,0,SUM(IncStmt!N16:P16)/SUM(IncStmt!N6:P6))</f>
        <v>0</v>
      </c>
      <c r="R514" s="235">
        <f>IF(IncStmt!R6=0,0,IncStmt!R16/IncStmt!R6)</f>
        <v>0</v>
      </c>
      <c r="S514" s="235">
        <f>IF(IncStmt!S6=0,0,IncStmt!S16/IncStmt!S6)</f>
        <v>0</v>
      </c>
      <c r="T514" s="235">
        <f>IF(IncStmt!T6=0,0,IncStmt!T16/IncStmt!T6)</f>
        <v>0</v>
      </c>
      <c r="U514" s="236">
        <f>IF(SUM(IncStmt!R6:T6)=0,0,SUM(IncStmt!R16:T16)/SUM(IncStmt!R6:T6))</f>
        <v>0</v>
      </c>
      <c r="V514" s="235">
        <f>IF(IncStmt!V6=0,0,IncStmt!V16/IncStmt!V6)</f>
        <v>0</v>
      </c>
      <c r="W514" s="235">
        <f>IF(IncStmt!W6=0,0,IncStmt!W16/IncStmt!W6)</f>
        <v>0</v>
      </c>
      <c r="X514" s="235">
        <f>IF(IncStmt!X6=0,0,IncStmt!X16/IncStmt!X6)</f>
        <v>0</v>
      </c>
      <c r="Y514" s="236">
        <f>IF(SUM(IncStmt!V6:X6)=0,0,SUM(IncStmt!V16:X16)/SUM(IncStmt!V6:X6))</f>
        <v>0</v>
      </c>
    </row>
    <row r="515" spans="1:25" ht="12.75" hidden="1" customHeight="1" outlineLevel="1" x14ac:dyDescent="0.2"/>
    <row r="516" spans="1:25" ht="12.75" hidden="1" customHeight="1" outlineLevel="1" x14ac:dyDescent="0.2">
      <c r="A516" s="3" t="str">
        <f>"Billed Hours"</f>
        <v>Billed Hours</v>
      </c>
    </row>
    <row r="517" spans="1:25" ht="12.75" hidden="1" customHeight="1" outlineLevel="2" x14ac:dyDescent="0.2">
      <c r="B517" s="9" t="str">
        <f>'(FnCalls 1)'!F41</f>
        <v>MMM 2010</v>
      </c>
      <c r="C517" s="10" t="str">
        <f>'(FnCalls 1)'!F42</f>
        <v>MMM 2010</v>
      </c>
      <c r="D517" s="10" t="str">
        <f>'(FnCalls 1)'!F43</f>
        <v>MMM 2010</v>
      </c>
      <c r="E517" s="181" t="str">
        <f>'(FnCalls 1)'!G41</f>
        <v>Q1 2010</v>
      </c>
      <c r="F517" s="10" t="str">
        <f>'(FnCalls 1)'!F44</f>
        <v>MMM 2010</v>
      </c>
      <c r="G517" s="10" t="str">
        <f>'(FnCalls 1)'!F45</f>
        <v>MMM 2010</v>
      </c>
      <c r="H517" s="10" t="str">
        <f>'(FnCalls 1)'!F46</f>
        <v>MMM 2010</v>
      </c>
      <c r="I517" s="181" t="str">
        <f>'(FnCalls 1)'!G44</f>
        <v>Q2 2010</v>
      </c>
      <c r="J517" s="10" t="str">
        <f>'(FnCalls 1)'!F47</f>
        <v>MMM 2010</v>
      </c>
      <c r="K517" s="10" t="str">
        <f>'(FnCalls 1)'!F48</f>
        <v>MMM 2010</v>
      </c>
      <c r="L517" s="10" t="str">
        <f>'(FnCalls 1)'!F49</f>
        <v>MMM 2010</v>
      </c>
      <c r="M517" s="181" t="str">
        <f>'(FnCalls 1)'!G47</f>
        <v>Q3 2010</v>
      </c>
      <c r="N517" s="10" t="str">
        <f>'(FnCalls 1)'!F50</f>
        <v>MMM 2010</v>
      </c>
      <c r="O517" s="10" t="str">
        <f>'(FnCalls 1)'!F51</f>
        <v>MMM 2010</v>
      </c>
      <c r="P517" s="10" t="str">
        <f>'(FnCalls 1)'!F52</f>
        <v>MMM 2010</v>
      </c>
      <c r="Q517" s="181" t="str">
        <f>'(FnCalls 1)'!G50</f>
        <v>Q4 2010</v>
      </c>
      <c r="R517" s="10" t="str">
        <f>'(FnCalls 1)'!F53</f>
        <v>MMM 2011</v>
      </c>
      <c r="S517" s="10" t="str">
        <f>'(FnCalls 1)'!F54</f>
        <v>MMM 2011</v>
      </c>
      <c r="T517" s="10" t="str">
        <f>'(FnCalls 1)'!F55</f>
        <v>MMM 2011</v>
      </c>
      <c r="U517" s="181" t="str">
        <f>'(FnCalls 1)'!G53</f>
        <v>Q1 2011</v>
      </c>
      <c r="V517" s="10" t="str">
        <f>'(FnCalls 1)'!F56</f>
        <v>MMM 2011</v>
      </c>
      <c r="W517" s="10" t="str">
        <f>'(FnCalls 1)'!F57</f>
        <v>MMM 2011</v>
      </c>
      <c r="X517" s="10" t="str">
        <f>'(FnCalls 1)'!F58</f>
        <v>MMM 2011</v>
      </c>
      <c r="Y517" s="181" t="str">
        <f>'(FnCalls 1)'!G56</f>
        <v>Q2 2011</v>
      </c>
    </row>
    <row r="518" spans="1:25" ht="12.75" hidden="1" customHeight="1" outlineLevel="2" x14ac:dyDescent="0.2">
      <c r="A518" s="182" t="str">
        <f>Labels!B183</f>
        <v>Prof Staff Hours Billed</v>
      </c>
      <c r="B518" s="223"/>
      <c r="C518" s="223"/>
      <c r="D518" s="223"/>
      <c r="E518" s="224"/>
      <c r="F518" s="223"/>
      <c r="G518" s="223"/>
      <c r="H518" s="223"/>
      <c r="I518" s="224"/>
      <c r="J518" s="223"/>
      <c r="K518" s="223"/>
      <c r="L518" s="223"/>
      <c r="M518" s="224"/>
      <c r="N518" s="223"/>
      <c r="O518" s="223"/>
      <c r="P518" s="223"/>
      <c r="Q518" s="224"/>
      <c r="R518" s="223"/>
      <c r="S518" s="223"/>
      <c r="T518" s="223"/>
      <c r="U518" s="224"/>
      <c r="V518" s="223"/>
      <c r="W518" s="223"/>
      <c r="X518" s="223"/>
      <c r="Y518" s="224"/>
    </row>
    <row r="519" spans="1:25" ht="12.75" hidden="1" customHeight="1" outlineLevel="2" x14ac:dyDescent="0.2">
      <c r="A519" s="188" t="str">
        <f>"   "&amp;Labels!B381</f>
        <v xml:space="preserve">   Practice 1</v>
      </c>
      <c r="B519" s="166"/>
      <c r="C519" s="166"/>
      <c r="D519" s="166"/>
      <c r="E519" s="225"/>
      <c r="F519" s="166"/>
      <c r="G519" s="166"/>
      <c r="H519" s="166"/>
      <c r="I519" s="225"/>
      <c r="J519" s="166"/>
      <c r="K519" s="166"/>
      <c r="L519" s="166"/>
      <c r="M519" s="225"/>
      <c r="N519" s="166"/>
      <c r="O519" s="166"/>
      <c r="P519" s="166"/>
      <c r="Q519" s="225"/>
      <c r="R519" s="166"/>
      <c r="S519" s="166"/>
      <c r="T519" s="166"/>
      <c r="U519" s="225"/>
      <c r="V519" s="166"/>
      <c r="W519" s="166"/>
      <c r="X519" s="166"/>
      <c r="Y519" s="225"/>
    </row>
    <row r="520" spans="1:25" ht="12.75" hidden="1" customHeight="1" outlineLevel="2" x14ac:dyDescent="0.2">
      <c r="A520" s="198" t="str">
        <f>"      "&amp;Labels!B385</f>
        <v xml:space="preserve">      Prof Level 1</v>
      </c>
      <c r="B520" s="237"/>
      <c r="C520" s="237"/>
      <c r="D520" s="237"/>
      <c r="E520" s="238"/>
      <c r="F520" s="237"/>
      <c r="G520" s="237"/>
      <c r="H520" s="237"/>
      <c r="I520" s="238"/>
      <c r="J520" s="237"/>
      <c r="K520" s="237"/>
      <c r="L520" s="237"/>
      <c r="M520" s="238"/>
      <c r="N520" s="237"/>
      <c r="O520" s="237"/>
      <c r="P520" s="237"/>
      <c r="Q520" s="238"/>
      <c r="R520" s="237"/>
      <c r="S520" s="237"/>
      <c r="T520" s="237"/>
      <c r="U520" s="238"/>
      <c r="V520" s="237"/>
      <c r="W520" s="237"/>
      <c r="X520" s="237"/>
      <c r="Y520" s="238"/>
    </row>
    <row r="521" spans="1:25" ht="12.75" hidden="1" customHeight="1" outlineLevel="2" x14ac:dyDescent="0.2">
      <c r="A521" s="198" t="str">
        <f>"         "&amp;Labels!B317</f>
        <v xml:space="preserve">         Channels 1</v>
      </c>
      <c r="B521" s="237">
        <f>('(Tables)'!B410*Engage!B177+'(Tables)'!B411*Engage!B181)/2+Engage!B254</f>
        <v>0</v>
      </c>
      <c r="C521" s="237">
        <f>('(Tables)'!B410*Engage!C177+'(Tables)'!B411*Engage!C181)/2+Engage!C254</f>
        <v>0</v>
      </c>
      <c r="D521" s="237">
        <f>('(Tables)'!B410*Engage!D177+'(Tables)'!B411*Engage!D181)/2+Engage!D254</f>
        <v>137.5</v>
      </c>
      <c r="E521" s="238">
        <f>SUM(B521:D521)</f>
        <v>137.5</v>
      </c>
      <c r="F521" s="237">
        <f>('(Tables)'!B410*Engage!E177+'(Tables)'!B411*Engage!E181)/2+Engage!E254</f>
        <v>137.5</v>
      </c>
      <c r="G521" s="237">
        <f>('(Tables)'!B410*Engage!F177+'(Tables)'!B411*Engage!F181)/2+Engage!F254</f>
        <v>0</v>
      </c>
      <c r="H521" s="237">
        <f>('(Tables)'!B410*Engage!G177+'(Tables)'!B411*Engage!G181)/2+Engage!G254</f>
        <v>100</v>
      </c>
      <c r="I521" s="238">
        <f>SUM(F521:H521)</f>
        <v>237.5</v>
      </c>
      <c r="J521" s="237">
        <f>('(Tables)'!B410*Engage!H177+'(Tables)'!B411*Engage!H181)/2+Engage!H254</f>
        <v>100</v>
      </c>
      <c r="K521" s="237">
        <f>('(Tables)'!B410*Engage!I177+'(Tables)'!B411*Engage!I181)/2+Engage!I254</f>
        <v>100</v>
      </c>
      <c r="L521" s="237">
        <f>('(Tables)'!B410*Engage!J177+'(Tables)'!B411*Engage!J181)/2+Engage!J254</f>
        <v>0</v>
      </c>
      <c r="M521" s="238">
        <f>SUM(J521:L521)</f>
        <v>200</v>
      </c>
      <c r="N521" s="237">
        <f>('(Tables)'!B410*Engage!K177+'(Tables)'!B411*Engage!K181)/2+Engage!K254</f>
        <v>0</v>
      </c>
      <c r="O521" s="237">
        <f>('(Tables)'!B410*Engage!L177+'(Tables)'!B411*Engage!L181)/2+Engage!L254</f>
        <v>0</v>
      </c>
      <c r="P521" s="237">
        <f>('(Tables)'!B410*Engage!M177+'(Tables)'!B411*Engage!M181)/2+Engage!M254</f>
        <v>0</v>
      </c>
      <c r="Q521" s="238">
        <f>SUM(N521:P521)</f>
        <v>0</v>
      </c>
      <c r="R521" s="237">
        <f>('(Tables)'!B410*Engage!N177+'(Tables)'!B411*Engage!N181)/2+Engage!N254</f>
        <v>0</v>
      </c>
      <c r="S521" s="237">
        <f>('(Tables)'!B410*Engage!O177+'(Tables)'!B411*Engage!O181)/2+Engage!O254</f>
        <v>0</v>
      </c>
      <c r="T521" s="237">
        <f>('(Tables)'!B410*Engage!P177+'(Tables)'!B411*Engage!P181)/2+Engage!P254</f>
        <v>0</v>
      </c>
      <c r="U521" s="238">
        <f>SUM(R521:T521)</f>
        <v>0</v>
      </c>
      <c r="V521" s="237">
        <f>('(Tables)'!B410*Engage!Q177+'(Tables)'!B411*Engage!Q181)/2+Engage!Q254</f>
        <v>0</v>
      </c>
      <c r="W521" s="237">
        <f>('(Tables)'!B410*Engage!R177+'(Tables)'!B411*Engage!R181)/2+Engage!R254</f>
        <v>0</v>
      </c>
      <c r="X521" s="237">
        <f>('(Tables)'!B410*Engage!S177+'(Tables)'!B411*Engage!S181)/2+Engage!S254</f>
        <v>0</v>
      </c>
      <c r="Y521" s="238">
        <f>SUM(V521:X521)</f>
        <v>0</v>
      </c>
    </row>
    <row r="522" spans="1:25" ht="12.75" hidden="1" customHeight="1" outlineLevel="2" x14ac:dyDescent="0.2">
      <c r="A522" s="198" t="str">
        <f>"         "&amp;Labels!B318</f>
        <v xml:space="preserve">         Channels 2</v>
      </c>
      <c r="B522" s="237">
        <f>('(Tables)'!B410*Engage!B177+'(Tables)'!B411*Engage!B181)/2+Engage!B255</f>
        <v>0</v>
      </c>
      <c r="C522" s="237">
        <f>('(Tables)'!B410*Engage!C177+'(Tables)'!B411*Engage!C181)/2+Engage!C255</f>
        <v>0</v>
      </c>
      <c r="D522" s="237">
        <f>('(Tables)'!B410*Engage!D177+'(Tables)'!B411*Engage!D181)/2+Engage!D255</f>
        <v>137.5</v>
      </c>
      <c r="E522" s="238">
        <f>SUM(B522:D522)</f>
        <v>137.5</v>
      </c>
      <c r="F522" s="237">
        <f>('(Tables)'!B410*Engage!E177+'(Tables)'!B411*Engage!E181)/2+Engage!E255</f>
        <v>137.5</v>
      </c>
      <c r="G522" s="237">
        <f>('(Tables)'!B410*Engage!F177+'(Tables)'!B411*Engage!F181)/2+Engage!F255</f>
        <v>0</v>
      </c>
      <c r="H522" s="237">
        <f>('(Tables)'!B410*Engage!G177+'(Tables)'!B411*Engage!G181)/2+Engage!G255</f>
        <v>100</v>
      </c>
      <c r="I522" s="238">
        <f>SUM(F522:H522)</f>
        <v>237.5</v>
      </c>
      <c r="J522" s="237">
        <f>('(Tables)'!B410*Engage!H177+'(Tables)'!B411*Engage!H181)/2+Engage!H255</f>
        <v>100</v>
      </c>
      <c r="K522" s="237">
        <f>('(Tables)'!B410*Engage!I177+'(Tables)'!B411*Engage!I181)/2+Engage!I255</f>
        <v>100</v>
      </c>
      <c r="L522" s="237">
        <f>('(Tables)'!B410*Engage!J177+'(Tables)'!B411*Engage!J181)/2+Engage!J255</f>
        <v>0</v>
      </c>
      <c r="M522" s="238">
        <f>SUM(J522:L522)</f>
        <v>200</v>
      </c>
      <c r="N522" s="237">
        <f>('(Tables)'!B410*Engage!K177+'(Tables)'!B411*Engage!K181)/2+Engage!K255</f>
        <v>0</v>
      </c>
      <c r="O522" s="237">
        <f>('(Tables)'!B410*Engage!L177+'(Tables)'!B411*Engage!L181)/2+Engage!L255</f>
        <v>0</v>
      </c>
      <c r="P522" s="237">
        <f>('(Tables)'!B410*Engage!M177+'(Tables)'!B411*Engage!M181)/2+Engage!M255</f>
        <v>0</v>
      </c>
      <c r="Q522" s="238">
        <f>SUM(N522:P522)</f>
        <v>0</v>
      </c>
      <c r="R522" s="237">
        <f>('(Tables)'!B410*Engage!N177+'(Tables)'!B411*Engage!N181)/2+Engage!N255</f>
        <v>0</v>
      </c>
      <c r="S522" s="237">
        <f>('(Tables)'!B410*Engage!O177+'(Tables)'!B411*Engage!O181)/2+Engage!O255</f>
        <v>0</v>
      </c>
      <c r="T522" s="237">
        <f>('(Tables)'!B410*Engage!P177+'(Tables)'!B411*Engage!P181)/2+Engage!P255</f>
        <v>0</v>
      </c>
      <c r="U522" s="238">
        <f>SUM(R522:T522)</f>
        <v>0</v>
      </c>
      <c r="V522" s="237">
        <f>('(Tables)'!B410*Engage!Q177+'(Tables)'!B411*Engage!Q181)/2+Engage!Q255</f>
        <v>0</v>
      </c>
      <c r="W522" s="237">
        <f>('(Tables)'!B410*Engage!R177+'(Tables)'!B411*Engage!R181)/2+Engage!R255</f>
        <v>0</v>
      </c>
      <c r="X522" s="237">
        <f>('(Tables)'!B410*Engage!S177+'(Tables)'!B411*Engage!S181)/2+Engage!S255</f>
        <v>0</v>
      </c>
      <c r="Y522" s="238">
        <f>SUM(V522:X522)</f>
        <v>0</v>
      </c>
    </row>
    <row r="523" spans="1:25" ht="12.75" hidden="1" customHeight="1" outlineLevel="2" x14ac:dyDescent="0.2">
      <c r="A523" s="198" t="str">
        <f>"         "&amp;Labels!C316</f>
        <v xml:space="preserve">         Total</v>
      </c>
      <c r="B523" s="237">
        <f>SUM(B521:B522)</f>
        <v>0</v>
      </c>
      <c r="C523" s="237">
        <f>SUM(C521:C522)</f>
        <v>0</v>
      </c>
      <c r="D523" s="237">
        <f>SUM(D521:D522)</f>
        <v>275</v>
      </c>
      <c r="E523" s="238">
        <f>SUM(B523:D523)</f>
        <v>275</v>
      </c>
      <c r="F523" s="237">
        <f>SUM(F521:F522)</f>
        <v>275</v>
      </c>
      <c r="G523" s="237">
        <f>SUM(G521:G522)</f>
        <v>0</v>
      </c>
      <c r="H523" s="237">
        <f>SUM(H521:H522)</f>
        <v>200</v>
      </c>
      <c r="I523" s="238">
        <f>SUM(F523:H523)</f>
        <v>475</v>
      </c>
      <c r="J523" s="237">
        <f>SUM(J521:J522)</f>
        <v>200</v>
      </c>
      <c r="K523" s="237">
        <f>SUM(K521:K522)</f>
        <v>200</v>
      </c>
      <c r="L523" s="237">
        <f>SUM(L521:L522)</f>
        <v>0</v>
      </c>
      <c r="M523" s="238">
        <f>SUM(J523:L523)</f>
        <v>400</v>
      </c>
      <c r="N523" s="237">
        <f>SUM(N521:N522)</f>
        <v>0</v>
      </c>
      <c r="O523" s="237">
        <f>SUM(O521:O522)</f>
        <v>0</v>
      </c>
      <c r="P523" s="237">
        <f>SUM(P521:P522)</f>
        <v>0</v>
      </c>
      <c r="Q523" s="238">
        <f>SUM(N523:P523)</f>
        <v>0</v>
      </c>
      <c r="R523" s="237">
        <f>SUM(R521:R522)</f>
        <v>0</v>
      </c>
      <c r="S523" s="237">
        <f>SUM(S521:S522)</f>
        <v>0</v>
      </c>
      <c r="T523" s="237">
        <f>SUM(T521:T522)</f>
        <v>0</v>
      </c>
      <c r="U523" s="238">
        <f>SUM(R523:T523)</f>
        <v>0</v>
      </c>
      <c r="V523" s="237">
        <f>SUM(V521:V522)</f>
        <v>0</v>
      </c>
      <c r="W523" s="237">
        <f>SUM(W521:W522)</f>
        <v>0</v>
      </c>
      <c r="X523" s="237">
        <f>SUM(X521:X522)</f>
        <v>0</v>
      </c>
      <c r="Y523" s="238">
        <f>SUM(V523:X523)</f>
        <v>0</v>
      </c>
    </row>
    <row r="524" spans="1:25" ht="12.75" hidden="1" customHeight="1" outlineLevel="2" x14ac:dyDescent="0.2">
      <c r="A524" s="198" t="str">
        <f>"      "&amp;Labels!B386</f>
        <v xml:space="preserve">      Prof Level 2</v>
      </c>
      <c r="B524" s="237"/>
      <c r="C524" s="237"/>
      <c r="D524" s="237"/>
      <c r="E524" s="238"/>
      <c r="F524" s="237"/>
      <c r="G524" s="237"/>
      <c r="H524" s="237"/>
      <c r="I524" s="238"/>
      <c r="J524" s="237"/>
      <c r="K524" s="237"/>
      <c r="L524" s="237"/>
      <c r="M524" s="238"/>
      <c r="N524" s="237"/>
      <c r="O524" s="237"/>
      <c r="P524" s="237"/>
      <c r="Q524" s="238"/>
      <c r="R524" s="237"/>
      <c r="S524" s="237"/>
      <c r="T524" s="237"/>
      <c r="U524" s="238"/>
      <c r="V524" s="237"/>
      <c r="W524" s="237"/>
      <c r="X524" s="237"/>
      <c r="Y524" s="238"/>
    </row>
    <row r="525" spans="1:25" ht="12.75" hidden="1" customHeight="1" outlineLevel="2" x14ac:dyDescent="0.2">
      <c r="A525" s="198" t="str">
        <f>"         "&amp;Labels!B317</f>
        <v xml:space="preserve">         Channels 1</v>
      </c>
      <c r="B525" s="237">
        <f>('(Tables)'!B410*Engage!B178+'(Tables)'!B411*Engage!B182)/2+Engage!B258</f>
        <v>0</v>
      </c>
      <c r="C525" s="237">
        <f>('(Tables)'!B410*Engage!C178+'(Tables)'!B411*Engage!C182)/2+Engage!C258</f>
        <v>0</v>
      </c>
      <c r="D525" s="237">
        <f>('(Tables)'!B410*Engage!D178+'(Tables)'!B411*Engage!D182)/2+Engage!D258</f>
        <v>137.5</v>
      </c>
      <c r="E525" s="238">
        <f t="shared" ref="E525:E530" si="312">SUM(B525:D525)</f>
        <v>137.5</v>
      </c>
      <c r="F525" s="237">
        <f>('(Tables)'!B410*Engage!E178+'(Tables)'!B411*Engage!E182)/2+Engage!E258</f>
        <v>137.5</v>
      </c>
      <c r="G525" s="237">
        <f>('(Tables)'!B410*Engage!F178+'(Tables)'!B411*Engage!F182)/2+Engage!F258</f>
        <v>0</v>
      </c>
      <c r="H525" s="237">
        <f>('(Tables)'!B410*Engage!G178+'(Tables)'!B411*Engage!G182)/2+Engage!G258</f>
        <v>100</v>
      </c>
      <c r="I525" s="238">
        <f t="shared" ref="I525:I530" si="313">SUM(F525:H525)</f>
        <v>237.5</v>
      </c>
      <c r="J525" s="237">
        <f>('(Tables)'!B410*Engage!H178+'(Tables)'!B411*Engage!H182)/2+Engage!H258</f>
        <v>100</v>
      </c>
      <c r="K525" s="237">
        <f>('(Tables)'!B410*Engage!I178+'(Tables)'!B411*Engage!I182)/2+Engage!I258</f>
        <v>100</v>
      </c>
      <c r="L525" s="237">
        <f>('(Tables)'!B410*Engage!J178+'(Tables)'!B411*Engage!J182)/2+Engage!J258</f>
        <v>0</v>
      </c>
      <c r="M525" s="238">
        <f t="shared" ref="M525:M530" si="314">SUM(J525:L525)</f>
        <v>200</v>
      </c>
      <c r="N525" s="237">
        <f>('(Tables)'!B410*Engage!K178+'(Tables)'!B411*Engage!K182)/2+Engage!K258</f>
        <v>0</v>
      </c>
      <c r="O525" s="237">
        <f>('(Tables)'!B410*Engage!L178+'(Tables)'!B411*Engage!L182)/2+Engage!L258</f>
        <v>0</v>
      </c>
      <c r="P525" s="237">
        <f>('(Tables)'!B410*Engage!M178+'(Tables)'!B411*Engage!M182)/2+Engage!M258</f>
        <v>0</v>
      </c>
      <c r="Q525" s="238">
        <f t="shared" ref="Q525:Q530" si="315">SUM(N525:P525)</f>
        <v>0</v>
      </c>
      <c r="R525" s="237">
        <f>('(Tables)'!B410*Engage!N178+'(Tables)'!B411*Engage!N182)/2+Engage!N258</f>
        <v>0</v>
      </c>
      <c r="S525" s="237">
        <f>('(Tables)'!B410*Engage!O178+'(Tables)'!B411*Engage!O182)/2+Engage!O258</f>
        <v>0</v>
      </c>
      <c r="T525" s="237">
        <f>('(Tables)'!B410*Engage!P178+'(Tables)'!B411*Engage!P182)/2+Engage!P258</f>
        <v>0</v>
      </c>
      <c r="U525" s="238">
        <f t="shared" ref="U525:U530" si="316">SUM(R525:T525)</f>
        <v>0</v>
      </c>
      <c r="V525" s="237">
        <f>('(Tables)'!B410*Engage!Q178+'(Tables)'!B411*Engage!Q182)/2+Engage!Q258</f>
        <v>0</v>
      </c>
      <c r="W525" s="237">
        <f>('(Tables)'!B410*Engage!R178+'(Tables)'!B411*Engage!R182)/2+Engage!R258</f>
        <v>0</v>
      </c>
      <c r="X525" s="237">
        <f>('(Tables)'!B410*Engage!S178+'(Tables)'!B411*Engage!S182)/2+Engage!S258</f>
        <v>0</v>
      </c>
      <c r="Y525" s="238">
        <f t="shared" ref="Y525:Y530" si="317">SUM(V525:X525)</f>
        <v>0</v>
      </c>
    </row>
    <row r="526" spans="1:25" ht="12.75" hidden="1" customHeight="1" outlineLevel="2" x14ac:dyDescent="0.2">
      <c r="A526" s="198" t="str">
        <f>"         "&amp;Labels!B318</f>
        <v xml:space="preserve">         Channels 2</v>
      </c>
      <c r="B526" s="237">
        <f>('(Tables)'!B410*Engage!B178+'(Tables)'!B411*Engage!B182)/2+Engage!B259</f>
        <v>0</v>
      </c>
      <c r="C526" s="237">
        <f>('(Tables)'!B410*Engage!C178+'(Tables)'!B411*Engage!C182)/2+Engage!C259</f>
        <v>0</v>
      </c>
      <c r="D526" s="237">
        <f>('(Tables)'!B410*Engage!D178+'(Tables)'!B411*Engage!D182)/2+Engage!D259</f>
        <v>137.5</v>
      </c>
      <c r="E526" s="238">
        <f t="shared" si="312"/>
        <v>137.5</v>
      </c>
      <c r="F526" s="237">
        <f>('(Tables)'!B410*Engage!E178+'(Tables)'!B411*Engage!E182)/2+Engage!E259</f>
        <v>137.5</v>
      </c>
      <c r="G526" s="237">
        <f>('(Tables)'!B410*Engage!F178+'(Tables)'!B411*Engage!F182)/2+Engage!F259</f>
        <v>0</v>
      </c>
      <c r="H526" s="237">
        <f>('(Tables)'!B410*Engage!G178+'(Tables)'!B411*Engage!G182)/2+Engage!G259</f>
        <v>100</v>
      </c>
      <c r="I526" s="238">
        <f t="shared" si="313"/>
        <v>237.5</v>
      </c>
      <c r="J526" s="237">
        <f>('(Tables)'!B410*Engage!H178+'(Tables)'!B411*Engage!H182)/2+Engage!H259</f>
        <v>100</v>
      </c>
      <c r="K526" s="237">
        <f>('(Tables)'!B410*Engage!I178+'(Tables)'!B411*Engage!I182)/2+Engage!I259</f>
        <v>100</v>
      </c>
      <c r="L526" s="237">
        <f>('(Tables)'!B410*Engage!J178+'(Tables)'!B411*Engage!J182)/2+Engage!J259</f>
        <v>0</v>
      </c>
      <c r="M526" s="238">
        <f t="shared" si="314"/>
        <v>200</v>
      </c>
      <c r="N526" s="237">
        <f>('(Tables)'!B410*Engage!K178+'(Tables)'!B411*Engage!K182)/2+Engage!K259</f>
        <v>0</v>
      </c>
      <c r="O526" s="237">
        <f>('(Tables)'!B410*Engage!L178+'(Tables)'!B411*Engage!L182)/2+Engage!L259</f>
        <v>0</v>
      </c>
      <c r="P526" s="237">
        <f>('(Tables)'!B410*Engage!M178+'(Tables)'!B411*Engage!M182)/2+Engage!M259</f>
        <v>0</v>
      </c>
      <c r="Q526" s="238">
        <f t="shared" si="315"/>
        <v>0</v>
      </c>
      <c r="R526" s="237">
        <f>('(Tables)'!B410*Engage!N178+'(Tables)'!B411*Engage!N182)/2+Engage!N259</f>
        <v>0</v>
      </c>
      <c r="S526" s="237">
        <f>('(Tables)'!B410*Engage!O178+'(Tables)'!B411*Engage!O182)/2+Engage!O259</f>
        <v>0</v>
      </c>
      <c r="T526" s="237">
        <f>('(Tables)'!B410*Engage!P178+'(Tables)'!B411*Engage!P182)/2+Engage!P259</f>
        <v>0</v>
      </c>
      <c r="U526" s="238">
        <f t="shared" si="316"/>
        <v>0</v>
      </c>
      <c r="V526" s="237">
        <f>('(Tables)'!B410*Engage!Q178+'(Tables)'!B411*Engage!Q182)/2+Engage!Q259</f>
        <v>0</v>
      </c>
      <c r="W526" s="237">
        <f>('(Tables)'!B410*Engage!R178+'(Tables)'!B411*Engage!R182)/2+Engage!R259</f>
        <v>0</v>
      </c>
      <c r="X526" s="237">
        <f>('(Tables)'!B410*Engage!S178+'(Tables)'!B411*Engage!S182)/2+Engage!S259</f>
        <v>0</v>
      </c>
      <c r="Y526" s="238">
        <f t="shared" si="317"/>
        <v>0</v>
      </c>
    </row>
    <row r="527" spans="1:25" ht="12.75" hidden="1" customHeight="1" outlineLevel="2" x14ac:dyDescent="0.2">
      <c r="A527" s="198" t="str">
        <f>"         "&amp;Labels!C316</f>
        <v xml:space="preserve">         Total</v>
      </c>
      <c r="B527" s="237">
        <f>SUM(B525:B526)</f>
        <v>0</v>
      </c>
      <c r="C527" s="237">
        <f>SUM(C525:C526)</f>
        <v>0</v>
      </c>
      <c r="D527" s="237">
        <f>SUM(D525:D526)</f>
        <v>275</v>
      </c>
      <c r="E527" s="238">
        <f t="shared" si="312"/>
        <v>275</v>
      </c>
      <c r="F527" s="237">
        <f>SUM(F525:F526)</f>
        <v>275</v>
      </c>
      <c r="G527" s="237">
        <f>SUM(G525:G526)</f>
        <v>0</v>
      </c>
      <c r="H527" s="237">
        <f>SUM(H525:H526)</f>
        <v>200</v>
      </c>
      <c r="I527" s="238">
        <f t="shared" si="313"/>
        <v>475</v>
      </c>
      <c r="J527" s="237">
        <f>SUM(J525:J526)</f>
        <v>200</v>
      </c>
      <c r="K527" s="237">
        <f>SUM(K525:K526)</f>
        <v>200</v>
      </c>
      <c r="L527" s="237">
        <f>SUM(L525:L526)</f>
        <v>0</v>
      </c>
      <c r="M527" s="238">
        <f t="shared" si="314"/>
        <v>400</v>
      </c>
      <c r="N527" s="237">
        <f>SUM(N525:N526)</f>
        <v>0</v>
      </c>
      <c r="O527" s="237">
        <f>SUM(O525:O526)</f>
        <v>0</v>
      </c>
      <c r="P527" s="237">
        <f>SUM(P525:P526)</f>
        <v>0</v>
      </c>
      <c r="Q527" s="238">
        <f t="shared" si="315"/>
        <v>0</v>
      </c>
      <c r="R527" s="237">
        <f>SUM(R525:R526)</f>
        <v>0</v>
      </c>
      <c r="S527" s="237">
        <f>SUM(S525:S526)</f>
        <v>0</v>
      </c>
      <c r="T527" s="237">
        <f>SUM(T525:T526)</f>
        <v>0</v>
      </c>
      <c r="U527" s="238">
        <f t="shared" si="316"/>
        <v>0</v>
      </c>
      <c r="V527" s="237">
        <f>SUM(V525:V526)</f>
        <v>0</v>
      </c>
      <c r="W527" s="237">
        <f>SUM(W525:W526)</f>
        <v>0</v>
      </c>
      <c r="X527" s="237">
        <f>SUM(X525:X526)</f>
        <v>0</v>
      </c>
      <c r="Y527" s="238">
        <f t="shared" si="317"/>
        <v>0</v>
      </c>
    </row>
    <row r="528" spans="1:25" ht="12.75" hidden="1" customHeight="1" outlineLevel="2" x14ac:dyDescent="0.2">
      <c r="A528" s="188" t="str">
        <f>"      "&amp;Labels!C384</f>
        <v xml:space="preserve">      Total</v>
      </c>
      <c r="B528" s="166">
        <f>SUM(B529:B530)</f>
        <v>0</v>
      </c>
      <c r="C528" s="166">
        <f>SUM(C529:C530)</f>
        <v>0</v>
      </c>
      <c r="D528" s="166">
        <f>SUM(D529:D530)</f>
        <v>550</v>
      </c>
      <c r="E528" s="225">
        <f t="shared" si="312"/>
        <v>550</v>
      </c>
      <c r="F528" s="166">
        <f>SUM(F529:F530)</f>
        <v>550</v>
      </c>
      <c r="G528" s="166">
        <f>SUM(G529:G530)</f>
        <v>0</v>
      </c>
      <c r="H528" s="166">
        <f>SUM(H529:H530)</f>
        <v>400</v>
      </c>
      <c r="I528" s="225">
        <f t="shared" si="313"/>
        <v>950</v>
      </c>
      <c r="J528" s="166">
        <f>SUM(J529:J530)</f>
        <v>400</v>
      </c>
      <c r="K528" s="166">
        <f>SUM(K529:K530)</f>
        <v>400</v>
      </c>
      <c r="L528" s="166">
        <f>SUM(L529:L530)</f>
        <v>0</v>
      </c>
      <c r="M528" s="225">
        <f t="shared" si="314"/>
        <v>800</v>
      </c>
      <c r="N528" s="166">
        <f>SUM(N529:N530)</f>
        <v>0</v>
      </c>
      <c r="O528" s="166">
        <f>SUM(O529:O530)</f>
        <v>0</v>
      </c>
      <c r="P528" s="166">
        <f>SUM(P529:P530)</f>
        <v>0</v>
      </c>
      <c r="Q528" s="225">
        <f t="shared" si="315"/>
        <v>0</v>
      </c>
      <c r="R528" s="166">
        <f>SUM(R529:R530)</f>
        <v>0</v>
      </c>
      <c r="S528" s="166">
        <f>SUM(S529:S530)</f>
        <v>0</v>
      </c>
      <c r="T528" s="166">
        <f>SUM(T529:T530)</f>
        <v>0</v>
      </c>
      <c r="U528" s="225">
        <f t="shared" si="316"/>
        <v>0</v>
      </c>
      <c r="V528" s="166">
        <f>SUM(V529:V530)</f>
        <v>0</v>
      </c>
      <c r="W528" s="166">
        <f>SUM(W529:W530)</f>
        <v>0</v>
      </c>
      <c r="X528" s="166">
        <f>SUM(X529:X530)</f>
        <v>0</v>
      </c>
      <c r="Y528" s="225">
        <f t="shared" si="317"/>
        <v>0</v>
      </c>
    </row>
    <row r="529" spans="1:25" ht="12.75" hidden="1" customHeight="1" outlineLevel="2" x14ac:dyDescent="0.2">
      <c r="A529" s="198" t="str">
        <f>"         "&amp;Labels!B317</f>
        <v xml:space="preserve">         Channels 1</v>
      </c>
      <c r="B529" s="237">
        <f t="shared" ref="B529:D531" si="318">SUM(B521,B525)</f>
        <v>0</v>
      </c>
      <c r="C529" s="237">
        <f t="shared" si="318"/>
        <v>0</v>
      </c>
      <c r="D529" s="237">
        <f t="shared" si="318"/>
        <v>275</v>
      </c>
      <c r="E529" s="238">
        <f t="shared" si="312"/>
        <v>275</v>
      </c>
      <c r="F529" s="237">
        <f t="shared" ref="F529:H531" si="319">SUM(F521,F525)</f>
        <v>275</v>
      </c>
      <c r="G529" s="237">
        <f t="shared" si="319"/>
        <v>0</v>
      </c>
      <c r="H529" s="237">
        <f t="shared" si="319"/>
        <v>200</v>
      </c>
      <c r="I529" s="238">
        <f t="shared" si="313"/>
        <v>475</v>
      </c>
      <c r="J529" s="237">
        <f t="shared" ref="J529:L531" si="320">SUM(J521,J525)</f>
        <v>200</v>
      </c>
      <c r="K529" s="237">
        <f t="shared" si="320"/>
        <v>200</v>
      </c>
      <c r="L529" s="237">
        <f t="shared" si="320"/>
        <v>0</v>
      </c>
      <c r="M529" s="238">
        <f t="shared" si="314"/>
        <v>400</v>
      </c>
      <c r="N529" s="237">
        <f t="shared" ref="N529:P531" si="321">SUM(N521,N525)</f>
        <v>0</v>
      </c>
      <c r="O529" s="237">
        <f t="shared" si="321"/>
        <v>0</v>
      </c>
      <c r="P529" s="237">
        <f t="shared" si="321"/>
        <v>0</v>
      </c>
      <c r="Q529" s="238">
        <f t="shared" si="315"/>
        <v>0</v>
      </c>
      <c r="R529" s="237">
        <f t="shared" ref="R529:T531" si="322">SUM(R521,R525)</f>
        <v>0</v>
      </c>
      <c r="S529" s="237">
        <f t="shared" si="322"/>
        <v>0</v>
      </c>
      <c r="T529" s="237">
        <f t="shared" si="322"/>
        <v>0</v>
      </c>
      <c r="U529" s="238">
        <f t="shared" si="316"/>
        <v>0</v>
      </c>
      <c r="V529" s="237">
        <f t="shared" ref="V529:X531" si="323">SUM(V521,V525)</f>
        <v>0</v>
      </c>
      <c r="W529" s="237">
        <f t="shared" si="323"/>
        <v>0</v>
      </c>
      <c r="X529" s="237">
        <f t="shared" si="323"/>
        <v>0</v>
      </c>
      <c r="Y529" s="238">
        <f t="shared" si="317"/>
        <v>0</v>
      </c>
    </row>
    <row r="530" spans="1:25" ht="12.75" hidden="1" customHeight="1" outlineLevel="2" x14ac:dyDescent="0.2">
      <c r="A530" s="198" t="str">
        <f>"         "&amp;Labels!B318</f>
        <v xml:space="preserve">         Channels 2</v>
      </c>
      <c r="B530" s="237">
        <f t="shared" si="318"/>
        <v>0</v>
      </c>
      <c r="C530" s="237">
        <f t="shared" si="318"/>
        <v>0</v>
      </c>
      <c r="D530" s="237">
        <f t="shared" si="318"/>
        <v>275</v>
      </c>
      <c r="E530" s="238">
        <f t="shared" si="312"/>
        <v>275</v>
      </c>
      <c r="F530" s="237">
        <f t="shared" si="319"/>
        <v>275</v>
      </c>
      <c r="G530" s="237">
        <f t="shared" si="319"/>
        <v>0</v>
      </c>
      <c r="H530" s="237">
        <f t="shared" si="319"/>
        <v>200</v>
      </c>
      <c r="I530" s="238">
        <f t="shared" si="313"/>
        <v>475</v>
      </c>
      <c r="J530" s="237">
        <f t="shared" si="320"/>
        <v>200</v>
      </c>
      <c r="K530" s="237">
        <f t="shared" si="320"/>
        <v>200</v>
      </c>
      <c r="L530" s="237">
        <f t="shared" si="320"/>
        <v>0</v>
      </c>
      <c r="M530" s="238">
        <f t="shared" si="314"/>
        <v>400</v>
      </c>
      <c r="N530" s="237">
        <f t="shared" si="321"/>
        <v>0</v>
      </c>
      <c r="O530" s="237">
        <f t="shared" si="321"/>
        <v>0</v>
      </c>
      <c r="P530" s="237">
        <f t="shared" si="321"/>
        <v>0</v>
      </c>
      <c r="Q530" s="238">
        <f t="shared" si="315"/>
        <v>0</v>
      </c>
      <c r="R530" s="237">
        <f t="shared" si="322"/>
        <v>0</v>
      </c>
      <c r="S530" s="237">
        <f t="shared" si="322"/>
        <v>0</v>
      </c>
      <c r="T530" s="237">
        <f t="shared" si="322"/>
        <v>0</v>
      </c>
      <c r="U530" s="238">
        <f t="shared" si="316"/>
        <v>0</v>
      </c>
      <c r="V530" s="237">
        <f t="shared" si="323"/>
        <v>0</v>
      </c>
      <c r="W530" s="237">
        <f t="shared" si="323"/>
        <v>0</v>
      </c>
      <c r="X530" s="237">
        <f t="shared" si="323"/>
        <v>0</v>
      </c>
      <c r="Y530" s="238">
        <f t="shared" si="317"/>
        <v>0</v>
      </c>
    </row>
    <row r="531" spans="1:25" ht="12.75" hidden="1" customHeight="1" outlineLevel="2" x14ac:dyDescent="0.2">
      <c r="A531" s="198" t="str">
        <f>"         "&amp;Labels!C316</f>
        <v xml:space="preserve">         Total</v>
      </c>
      <c r="B531" s="237">
        <f t="shared" si="318"/>
        <v>0</v>
      </c>
      <c r="C531" s="237">
        <f t="shared" si="318"/>
        <v>0</v>
      </c>
      <c r="D531" s="237">
        <f t="shared" si="318"/>
        <v>550</v>
      </c>
      <c r="E531" s="238">
        <f>SUM(B528:D528)</f>
        <v>550</v>
      </c>
      <c r="F531" s="237">
        <f t="shared" si="319"/>
        <v>550</v>
      </c>
      <c r="G531" s="237">
        <f t="shared" si="319"/>
        <v>0</v>
      </c>
      <c r="H531" s="237">
        <f t="shared" si="319"/>
        <v>400</v>
      </c>
      <c r="I531" s="238">
        <f>SUM(F528:H528)</f>
        <v>950</v>
      </c>
      <c r="J531" s="237">
        <f t="shared" si="320"/>
        <v>400</v>
      </c>
      <c r="K531" s="237">
        <f t="shared" si="320"/>
        <v>400</v>
      </c>
      <c r="L531" s="237">
        <f t="shared" si="320"/>
        <v>0</v>
      </c>
      <c r="M531" s="238">
        <f>SUM(J528:L528)</f>
        <v>800</v>
      </c>
      <c r="N531" s="237">
        <f t="shared" si="321"/>
        <v>0</v>
      </c>
      <c r="O531" s="237">
        <f t="shared" si="321"/>
        <v>0</v>
      </c>
      <c r="P531" s="237">
        <f t="shared" si="321"/>
        <v>0</v>
      </c>
      <c r="Q531" s="238">
        <f>SUM(N528:P528)</f>
        <v>0</v>
      </c>
      <c r="R531" s="237">
        <f t="shared" si="322"/>
        <v>0</v>
      </c>
      <c r="S531" s="237">
        <f t="shared" si="322"/>
        <v>0</v>
      </c>
      <c r="T531" s="237">
        <f t="shared" si="322"/>
        <v>0</v>
      </c>
      <c r="U531" s="238">
        <f>SUM(R528:T528)</f>
        <v>0</v>
      </c>
      <c r="V531" s="237">
        <f t="shared" si="323"/>
        <v>0</v>
      </c>
      <c r="W531" s="237">
        <f t="shared" si="323"/>
        <v>0</v>
      </c>
      <c r="X531" s="237">
        <f t="shared" si="323"/>
        <v>0</v>
      </c>
      <c r="Y531" s="238">
        <f>SUM(V528:X528)</f>
        <v>0</v>
      </c>
    </row>
    <row r="532" spans="1:25" ht="12.75" hidden="1" customHeight="1" outlineLevel="2" x14ac:dyDescent="0.2">
      <c r="A532" s="188" t="str">
        <f>"   "&amp;Labels!B382</f>
        <v xml:space="preserve">   Practice 2</v>
      </c>
      <c r="B532" s="166"/>
      <c r="C532" s="166"/>
      <c r="D532" s="166"/>
      <c r="E532" s="225"/>
      <c r="F532" s="166"/>
      <c r="G532" s="166"/>
      <c r="H532" s="166"/>
      <c r="I532" s="225"/>
      <c r="J532" s="166"/>
      <c r="K532" s="166"/>
      <c r="L532" s="166"/>
      <c r="M532" s="225"/>
      <c r="N532" s="166"/>
      <c r="O532" s="166"/>
      <c r="P532" s="166"/>
      <c r="Q532" s="225"/>
      <c r="R532" s="166"/>
      <c r="S532" s="166"/>
      <c r="T532" s="166"/>
      <c r="U532" s="225"/>
      <c r="V532" s="166"/>
      <c r="W532" s="166"/>
      <c r="X532" s="166"/>
      <c r="Y532" s="225"/>
    </row>
    <row r="533" spans="1:25" ht="12.75" hidden="1" customHeight="1" outlineLevel="2" x14ac:dyDescent="0.2">
      <c r="A533" s="198" t="str">
        <f>"      "&amp;Labels!B385</f>
        <v xml:space="preserve">      Prof Level 1</v>
      </c>
      <c r="B533" s="237"/>
      <c r="C533" s="237"/>
      <c r="D533" s="237"/>
      <c r="E533" s="238"/>
      <c r="F533" s="237"/>
      <c r="G533" s="237"/>
      <c r="H533" s="237"/>
      <c r="I533" s="238"/>
      <c r="J533" s="237"/>
      <c r="K533" s="237"/>
      <c r="L533" s="237"/>
      <c r="M533" s="238"/>
      <c r="N533" s="237"/>
      <c r="O533" s="237"/>
      <c r="P533" s="237"/>
      <c r="Q533" s="238"/>
      <c r="R533" s="237"/>
      <c r="S533" s="237"/>
      <c r="T533" s="237"/>
      <c r="U533" s="238"/>
      <c r="V533" s="237"/>
      <c r="W533" s="237"/>
      <c r="X533" s="237"/>
      <c r="Y533" s="238"/>
    </row>
    <row r="534" spans="1:25" ht="12.75" hidden="1" customHeight="1" outlineLevel="2" x14ac:dyDescent="0.2">
      <c r="A534" s="198" t="str">
        <f>"         "&amp;Labels!B317</f>
        <v xml:space="preserve">         Channels 1</v>
      </c>
      <c r="B534" s="237">
        <f>('(Tables)'!C410*Engage!B177+'(Tables)'!C411*Engage!B181)/2+Engage!B267</f>
        <v>0</v>
      </c>
      <c r="C534" s="237">
        <f>('(Tables)'!C410*Engage!C177+'(Tables)'!C411*Engage!C181)/2+Engage!C267</f>
        <v>0</v>
      </c>
      <c r="D534" s="237">
        <f>('(Tables)'!C410*Engage!D177+'(Tables)'!C411*Engage!D181)/2+Engage!D267</f>
        <v>0</v>
      </c>
      <c r="E534" s="238">
        <f>SUM(B534:D534)</f>
        <v>0</v>
      </c>
      <c r="F534" s="237">
        <f>('(Tables)'!C410*Engage!E177+'(Tables)'!C411*Engage!E181)/2+Engage!E267</f>
        <v>0</v>
      </c>
      <c r="G534" s="237">
        <f>('(Tables)'!C410*Engage!F177+'(Tables)'!C411*Engage!F181)/2+Engage!F267</f>
        <v>0</v>
      </c>
      <c r="H534" s="237">
        <f>('(Tables)'!C410*Engage!G177+'(Tables)'!C411*Engage!G181)/2+Engage!G267</f>
        <v>0</v>
      </c>
      <c r="I534" s="238">
        <f>SUM(F534:H534)</f>
        <v>0</v>
      </c>
      <c r="J534" s="237">
        <f>('(Tables)'!C410*Engage!H177+'(Tables)'!C411*Engage!H181)/2+Engage!H267</f>
        <v>0</v>
      </c>
      <c r="K534" s="237">
        <f>('(Tables)'!C410*Engage!I177+'(Tables)'!C411*Engage!I181)/2+Engage!I267</f>
        <v>0</v>
      </c>
      <c r="L534" s="237">
        <f>('(Tables)'!C410*Engage!J177+'(Tables)'!C411*Engage!J181)/2+Engage!J267</f>
        <v>0</v>
      </c>
      <c r="M534" s="238">
        <f>SUM(J534:L534)</f>
        <v>0</v>
      </c>
      <c r="N534" s="237">
        <f>('(Tables)'!C410*Engage!K177+'(Tables)'!C411*Engage!K181)/2+Engage!K267</f>
        <v>0</v>
      </c>
      <c r="O534" s="237">
        <f>('(Tables)'!C410*Engage!L177+'(Tables)'!C411*Engage!L181)/2+Engage!L267</f>
        <v>0</v>
      </c>
      <c r="P534" s="237">
        <f>('(Tables)'!C410*Engage!M177+'(Tables)'!C411*Engage!M181)/2+Engage!M267</f>
        <v>0</v>
      </c>
      <c r="Q534" s="238">
        <f>SUM(N534:P534)</f>
        <v>0</v>
      </c>
      <c r="R534" s="237">
        <f>('(Tables)'!C410*Engage!N177+'(Tables)'!C411*Engage!N181)/2+Engage!N267</f>
        <v>0</v>
      </c>
      <c r="S534" s="237">
        <f>('(Tables)'!C410*Engage!O177+'(Tables)'!C411*Engage!O181)/2+Engage!O267</f>
        <v>0</v>
      </c>
      <c r="T534" s="237">
        <f>('(Tables)'!C410*Engage!P177+'(Tables)'!C411*Engage!P181)/2+Engage!P267</f>
        <v>0</v>
      </c>
      <c r="U534" s="238">
        <f>SUM(R534:T534)</f>
        <v>0</v>
      </c>
      <c r="V534" s="237">
        <f>('(Tables)'!C410*Engage!Q177+'(Tables)'!C411*Engage!Q181)/2+Engage!Q267</f>
        <v>0</v>
      </c>
      <c r="W534" s="237">
        <f>('(Tables)'!C410*Engage!R177+'(Tables)'!C411*Engage!R181)/2+Engage!R267</f>
        <v>0</v>
      </c>
      <c r="X534" s="237">
        <f>('(Tables)'!C410*Engage!S177+'(Tables)'!C411*Engage!S181)/2+Engage!S267</f>
        <v>0</v>
      </c>
      <c r="Y534" s="238">
        <f>SUM(V534:X534)</f>
        <v>0</v>
      </c>
    </row>
    <row r="535" spans="1:25" ht="12.75" hidden="1" customHeight="1" outlineLevel="2" x14ac:dyDescent="0.2">
      <c r="A535" s="198" t="str">
        <f>"         "&amp;Labels!B318</f>
        <v xml:space="preserve">         Channels 2</v>
      </c>
      <c r="B535" s="237">
        <f>('(Tables)'!C410*Engage!B177+'(Tables)'!C411*Engage!B181)/2+Engage!B268</f>
        <v>0</v>
      </c>
      <c r="C535" s="237">
        <f>('(Tables)'!C410*Engage!C177+'(Tables)'!C411*Engage!C181)/2+Engage!C268</f>
        <v>0</v>
      </c>
      <c r="D535" s="237">
        <f>('(Tables)'!C410*Engage!D177+'(Tables)'!C411*Engage!D181)/2+Engage!D268</f>
        <v>0</v>
      </c>
      <c r="E535" s="238">
        <f>SUM(B535:D535)</f>
        <v>0</v>
      </c>
      <c r="F535" s="237">
        <f>('(Tables)'!C410*Engage!E177+'(Tables)'!C411*Engage!E181)/2+Engage!E268</f>
        <v>0</v>
      </c>
      <c r="G535" s="237">
        <f>('(Tables)'!C410*Engage!F177+'(Tables)'!C411*Engage!F181)/2+Engage!F268</f>
        <v>0</v>
      </c>
      <c r="H535" s="237">
        <f>('(Tables)'!C410*Engage!G177+'(Tables)'!C411*Engage!G181)/2+Engage!G268</f>
        <v>0</v>
      </c>
      <c r="I535" s="238">
        <f>SUM(F535:H535)</f>
        <v>0</v>
      </c>
      <c r="J535" s="237">
        <f>('(Tables)'!C410*Engage!H177+'(Tables)'!C411*Engage!H181)/2+Engage!H268</f>
        <v>0</v>
      </c>
      <c r="K535" s="237">
        <f>('(Tables)'!C410*Engage!I177+'(Tables)'!C411*Engage!I181)/2+Engage!I268</f>
        <v>0</v>
      </c>
      <c r="L535" s="237">
        <f>('(Tables)'!C410*Engage!J177+'(Tables)'!C411*Engage!J181)/2+Engage!J268</f>
        <v>0</v>
      </c>
      <c r="M535" s="238">
        <f>SUM(J535:L535)</f>
        <v>0</v>
      </c>
      <c r="N535" s="237">
        <f>('(Tables)'!C410*Engage!K177+'(Tables)'!C411*Engage!K181)/2+Engage!K268</f>
        <v>0</v>
      </c>
      <c r="O535" s="237">
        <f>('(Tables)'!C410*Engage!L177+'(Tables)'!C411*Engage!L181)/2+Engage!L268</f>
        <v>0</v>
      </c>
      <c r="P535" s="237">
        <f>('(Tables)'!C410*Engage!M177+'(Tables)'!C411*Engage!M181)/2+Engage!M268</f>
        <v>0</v>
      </c>
      <c r="Q535" s="238">
        <f>SUM(N535:P535)</f>
        <v>0</v>
      </c>
      <c r="R535" s="237">
        <f>('(Tables)'!C410*Engage!N177+'(Tables)'!C411*Engage!N181)/2+Engage!N268</f>
        <v>0</v>
      </c>
      <c r="S535" s="237">
        <f>('(Tables)'!C410*Engage!O177+'(Tables)'!C411*Engage!O181)/2+Engage!O268</f>
        <v>0</v>
      </c>
      <c r="T535" s="237">
        <f>('(Tables)'!C410*Engage!P177+'(Tables)'!C411*Engage!P181)/2+Engage!P268</f>
        <v>0</v>
      </c>
      <c r="U535" s="238">
        <f>SUM(R535:T535)</f>
        <v>0</v>
      </c>
      <c r="V535" s="237">
        <f>('(Tables)'!C410*Engage!Q177+'(Tables)'!C411*Engage!Q181)/2+Engage!Q268</f>
        <v>0</v>
      </c>
      <c r="W535" s="237">
        <f>('(Tables)'!C410*Engage!R177+'(Tables)'!C411*Engage!R181)/2+Engage!R268</f>
        <v>0</v>
      </c>
      <c r="X535" s="237">
        <f>('(Tables)'!C410*Engage!S177+'(Tables)'!C411*Engage!S181)/2+Engage!S268</f>
        <v>0</v>
      </c>
      <c r="Y535" s="238">
        <f>SUM(V535:X535)</f>
        <v>0</v>
      </c>
    </row>
    <row r="536" spans="1:25" ht="12.75" hidden="1" customHeight="1" outlineLevel="2" x14ac:dyDescent="0.2">
      <c r="A536" s="198" t="str">
        <f>"         "&amp;Labels!C316</f>
        <v xml:space="preserve">         Total</v>
      </c>
      <c r="B536" s="237">
        <f>SUM(B534:B535)</f>
        <v>0</v>
      </c>
      <c r="C536" s="237">
        <f>SUM(C534:C535)</f>
        <v>0</v>
      </c>
      <c r="D536" s="237">
        <f>SUM(D534:D535)</f>
        <v>0</v>
      </c>
      <c r="E536" s="238">
        <f>SUM(B536:D536)</f>
        <v>0</v>
      </c>
      <c r="F536" s="237">
        <f>SUM(F534:F535)</f>
        <v>0</v>
      </c>
      <c r="G536" s="237">
        <f>SUM(G534:G535)</f>
        <v>0</v>
      </c>
      <c r="H536" s="237">
        <f>SUM(H534:H535)</f>
        <v>0</v>
      </c>
      <c r="I536" s="238">
        <f>SUM(F536:H536)</f>
        <v>0</v>
      </c>
      <c r="J536" s="237">
        <f>SUM(J534:J535)</f>
        <v>0</v>
      </c>
      <c r="K536" s="237">
        <f>SUM(K534:K535)</f>
        <v>0</v>
      </c>
      <c r="L536" s="237">
        <f>SUM(L534:L535)</f>
        <v>0</v>
      </c>
      <c r="M536" s="238">
        <f>SUM(J536:L536)</f>
        <v>0</v>
      </c>
      <c r="N536" s="237">
        <f>SUM(N534:N535)</f>
        <v>0</v>
      </c>
      <c r="O536" s="237">
        <f>SUM(O534:O535)</f>
        <v>0</v>
      </c>
      <c r="P536" s="237">
        <f>SUM(P534:P535)</f>
        <v>0</v>
      </c>
      <c r="Q536" s="238">
        <f>SUM(N536:P536)</f>
        <v>0</v>
      </c>
      <c r="R536" s="237">
        <f>SUM(R534:R535)</f>
        <v>0</v>
      </c>
      <c r="S536" s="237">
        <f>SUM(S534:S535)</f>
        <v>0</v>
      </c>
      <c r="T536" s="237">
        <f>SUM(T534:T535)</f>
        <v>0</v>
      </c>
      <c r="U536" s="238">
        <f>SUM(R536:T536)</f>
        <v>0</v>
      </c>
      <c r="V536" s="237">
        <f>SUM(V534:V535)</f>
        <v>0</v>
      </c>
      <c r="W536" s="237">
        <f>SUM(W534:W535)</f>
        <v>0</v>
      </c>
      <c r="X536" s="237">
        <f>SUM(X534:X535)</f>
        <v>0</v>
      </c>
      <c r="Y536" s="238">
        <f>SUM(V536:X536)</f>
        <v>0</v>
      </c>
    </row>
    <row r="537" spans="1:25" ht="12.75" hidden="1" customHeight="1" outlineLevel="2" x14ac:dyDescent="0.2">
      <c r="A537" s="198" t="str">
        <f>"      "&amp;Labels!B386</f>
        <v xml:space="preserve">      Prof Level 2</v>
      </c>
      <c r="B537" s="237"/>
      <c r="C537" s="237"/>
      <c r="D537" s="237"/>
      <c r="E537" s="238"/>
      <c r="F537" s="237"/>
      <c r="G537" s="237"/>
      <c r="H537" s="237"/>
      <c r="I537" s="238"/>
      <c r="J537" s="237"/>
      <c r="K537" s="237"/>
      <c r="L537" s="237"/>
      <c r="M537" s="238"/>
      <c r="N537" s="237"/>
      <c r="O537" s="237"/>
      <c r="P537" s="237"/>
      <c r="Q537" s="238"/>
      <c r="R537" s="237"/>
      <c r="S537" s="237"/>
      <c r="T537" s="237"/>
      <c r="U537" s="238"/>
      <c r="V537" s="237"/>
      <c r="W537" s="237"/>
      <c r="X537" s="237"/>
      <c r="Y537" s="238"/>
    </row>
    <row r="538" spans="1:25" ht="12.75" hidden="1" customHeight="1" outlineLevel="2" x14ac:dyDescent="0.2">
      <c r="A538" s="198" t="str">
        <f>"         "&amp;Labels!B317</f>
        <v xml:space="preserve">         Channels 1</v>
      </c>
      <c r="B538" s="237">
        <f>('(Tables)'!C410*Engage!B178+'(Tables)'!C411*Engage!B182)/2+Engage!B271</f>
        <v>0</v>
      </c>
      <c r="C538" s="237">
        <f>('(Tables)'!C410*Engage!C178+'(Tables)'!C411*Engage!C182)/2+Engage!C271</f>
        <v>0</v>
      </c>
      <c r="D538" s="237">
        <f>('(Tables)'!C410*Engage!D178+'(Tables)'!C411*Engage!D182)/2+Engage!D271</f>
        <v>0</v>
      </c>
      <c r="E538" s="238">
        <f t="shared" ref="E538:E543" si="324">SUM(B538:D538)</f>
        <v>0</v>
      </c>
      <c r="F538" s="237">
        <f>('(Tables)'!C410*Engage!E178+'(Tables)'!C411*Engage!E182)/2+Engage!E271</f>
        <v>0</v>
      </c>
      <c r="G538" s="237">
        <f>('(Tables)'!C410*Engage!F178+'(Tables)'!C411*Engage!F182)/2+Engage!F271</f>
        <v>0</v>
      </c>
      <c r="H538" s="237">
        <f>('(Tables)'!C410*Engage!G178+'(Tables)'!C411*Engage!G182)/2+Engage!G271</f>
        <v>0</v>
      </c>
      <c r="I538" s="238">
        <f t="shared" ref="I538:I543" si="325">SUM(F538:H538)</f>
        <v>0</v>
      </c>
      <c r="J538" s="237">
        <f>('(Tables)'!C410*Engage!H178+'(Tables)'!C411*Engage!H182)/2+Engage!H271</f>
        <v>0</v>
      </c>
      <c r="K538" s="237">
        <f>('(Tables)'!C410*Engage!I178+'(Tables)'!C411*Engage!I182)/2+Engage!I271</f>
        <v>0</v>
      </c>
      <c r="L538" s="237">
        <f>('(Tables)'!C410*Engage!J178+'(Tables)'!C411*Engage!J182)/2+Engage!J271</f>
        <v>0</v>
      </c>
      <c r="M538" s="238">
        <f t="shared" ref="M538:M543" si="326">SUM(J538:L538)</f>
        <v>0</v>
      </c>
      <c r="N538" s="237">
        <f>('(Tables)'!C410*Engage!K178+'(Tables)'!C411*Engage!K182)/2+Engage!K271</f>
        <v>0</v>
      </c>
      <c r="O538" s="237">
        <f>('(Tables)'!C410*Engage!L178+'(Tables)'!C411*Engage!L182)/2+Engage!L271</f>
        <v>0</v>
      </c>
      <c r="P538" s="237">
        <f>('(Tables)'!C410*Engage!M178+'(Tables)'!C411*Engage!M182)/2+Engage!M271</f>
        <v>0</v>
      </c>
      <c r="Q538" s="238">
        <f t="shared" ref="Q538:Q543" si="327">SUM(N538:P538)</f>
        <v>0</v>
      </c>
      <c r="R538" s="237">
        <f>('(Tables)'!C410*Engage!N178+'(Tables)'!C411*Engage!N182)/2+Engage!N271</f>
        <v>0</v>
      </c>
      <c r="S538" s="237">
        <f>('(Tables)'!C410*Engage!O178+'(Tables)'!C411*Engage!O182)/2+Engage!O271</f>
        <v>0</v>
      </c>
      <c r="T538" s="237">
        <f>('(Tables)'!C410*Engage!P178+'(Tables)'!C411*Engage!P182)/2+Engage!P271</f>
        <v>0</v>
      </c>
      <c r="U538" s="238">
        <f t="shared" ref="U538:U543" si="328">SUM(R538:T538)</f>
        <v>0</v>
      </c>
      <c r="V538" s="237">
        <f>('(Tables)'!C410*Engage!Q178+'(Tables)'!C411*Engage!Q182)/2+Engage!Q271</f>
        <v>0</v>
      </c>
      <c r="W538" s="237">
        <f>('(Tables)'!C410*Engage!R178+'(Tables)'!C411*Engage!R182)/2+Engage!R271</f>
        <v>0</v>
      </c>
      <c r="X538" s="237">
        <f>('(Tables)'!C410*Engage!S178+'(Tables)'!C411*Engage!S182)/2+Engage!S271</f>
        <v>0</v>
      </c>
      <c r="Y538" s="238">
        <f t="shared" ref="Y538:Y543" si="329">SUM(V538:X538)</f>
        <v>0</v>
      </c>
    </row>
    <row r="539" spans="1:25" ht="12.75" hidden="1" customHeight="1" outlineLevel="2" x14ac:dyDescent="0.2">
      <c r="A539" s="198" t="str">
        <f>"         "&amp;Labels!B318</f>
        <v xml:space="preserve">         Channels 2</v>
      </c>
      <c r="B539" s="237">
        <f>('(Tables)'!C410*Engage!B178+'(Tables)'!C411*Engage!B182)/2+Engage!B272</f>
        <v>0</v>
      </c>
      <c r="C539" s="237">
        <f>('(Tables)'!C410*Engage!C178+'(Tables)'!C411*Engage!C182)/2+Engage!C272</f>
        <v>0</v>
      </c>
      <c r="D539" s="237">
        <f>('(Tables)'!C410*Engage!D178+'(Tables)'!C411*Engage!D182)/2+Engage!D272</f>
        <v>0</v>
      </c>
      <c r="E539" s="238">
        <f t="shared" si="324"/>
        <v>0</v>
      </c>
      <c r="F539" s="237">
        <f>('(Tables)'!C410*Engage!E178+'(Tables)'!C411*Engage!E182)/2+Engage!E272</f>
        <v>0</v>
      </c>
      <c r="G539" s="237">
        <f>('(Tables)'!C410*Engage!F178+'(Tables)'!C411*Engage!F182)/2+Engage!F272</f>
        <v>0</v>
      </c>
      <c r="H539" s="237">
        <f>('(Tables)'!C410*Engage!G178+'(Tables)'!C411*Engage!G182)/2+Engage!G272</f>
        <v>0</v>
      </c>
      <c r="I539" s="238">
        <f t="shared" si="325"/>
        <v>0</v>
      </c>
      <c r="J539" s="237">
        <f>('(Tables)'!C410*Engage!H178+'(Tables)'!C411*Engage!H182)/2+Engage!H272</f>
        <v>0</v>
      </c>
      <c r="K539" s="237">
        <f>('(Tables)'!C410*Engage!I178+'(Tables)'!C411*Engage!I182)/2+Engage!I272</f>
        <v>0</v>
      </c>
      <c r="L539" s="237">
        <f>('(Tables)'!C410*Engage!J178+'(Tables)'!C411*Engage!J182)/2+Engage!J272</f>
        <v>0</v>
      </c>
      <c r="M539" s="238">
        <f t="shared" si="326"/>
        <v>0</v>
      </c>
      <c r="N539" s="237">
        <f>('(Tables)'!C410*Engage!K178+'(Tables)'!C411*Engage!K182)/2+Engage!K272</f>
        <v>0</v>
      </c>
      <c r="O539" s="237">
        <f>('(Tables)'!C410*Engage!L178+'(Tables)'!C411*Engage!L182)/2+Engage!L272</f>
        <v>0</v>
      </c>
      <c r="P539" s="237">
        <f>('(Tables)'!C410*Engage!M178+'(Tables)'!C411*Engage!M182)/2+Engage!M272</f>
        <v>0</v>
      </c>
      <c r="Q539" s="238">
        <f t="shared" si="327"/>
        <v>0</v>
      </c>
      <c r="R539" s="237">
        <f>('(Tables)'!C410*Engage!N178+'(Tables)'!C411*Engage!N182)/2+Engage!N272</f>
        <v>0</v>
      </c>
      <c r="S539" s="237">
        <f>('(Tables)'!C410*Engage!O178+'(Tables)'!C411*Engage!O182)/2+Engage!O272</f>
        <v>0</v>
      </c>
      <c r="T539" s="237">
        <f>('(Tables)'!C410*Engage!P178+'(Tables)'!C411*Engage!P182)/2+Engage!P272</f>
        <v>0</v>
      </c>
      <c r="U539" s="238">
        <f t="shared" si="328"/>
        <v>0</v>
      </c>
      <c r="V539" s="237">
        <f>('(Tables)'!C410*Engage!Q178+'(Tables)'!C411*Engage!Q182)/2+Engage!Q272</f>
        <v>0</v>
      </c>
      <c r="W539" s="237">
        <f>('(Tables)'!C410*Engage!R178+'(Tables)'!C411*Engage!R182)/2+Engage!R272</f>
        <v>0</v>
      </c>
      <c r="X539" s="237">
        <f>('(Tables)'!C410*Engage!S178+'(Tables)'!C411*Engage!S182)/2+Engage!S272</f>
        <v>0</v>
      </c>
      <c r="Y539" s="238">
        <f t="shared" si="329"/>
        <v>0</v>
      </c>
    </row>
    <row r="540" spans="1:25" ht="12.75" hidden="1" customHeight="1" outlineLevel="2" x14ac:dyDescent="0.2">
      <c r="A540" s="198" t="str">
        <f>"         "&amp;Labels!C316</f>
        <v xml:space="preserve">         Total</v>
      </c>
      <c r="B540" s="237">
        <f>SUM(B538:B539)</f>
        <v>0</v>
      </c>
      <c r="C540" s="237">
        <f>SUM(C538:C539)</f>
        <v>0</v>
      </c>
      <c r="D540" s="237">
        <f>SUM(D538:D539)</f>
        <v>0</v>
      </c>
      <c r="E540" s="238">
        <f t="shared" si="324"/>
        <v>0</v>
      </c>
      <c r="F540" s="237">
        <f>SUM(F538:F539)</f>
        <v>0</v>
      </c>
      <c r="G540" s="237">
        <f>SUM(G538:G539)</f>
        <v>0</v>
      </c>
      <c r="H540" s="237">
        <f>SUM(H538:H539)</f>
        <v>0</v>
      </c>
      <c r="I540" s="238">
        <f t="shared" si="325"/>
        <v>0</v>
      </c>
      <c r="J540" s="237">
        <f>SUM(J538:J539)</f>
        <v>0</v>
      </c>
      <c r="K540" s="237">
        <f>SUM(K538:K539)</f>
        <v>0</v>
      </c>
      <c r="L540" s="237">
        <f>SUM(L538:L539)</f>
        <v>0</v>
      </c>
      <c r="M540" s="238">
        <f t="shared" si="326"/>
        <v>0</v>
      </c>
      <c r="N540" s="237">
        <f>SUM(N538:N539)</f>
        <v>0</v>
      </c>
      <c r="O540" s="237">
        <f>SUM(O538:O539)</f>
        <v>0</v>
      </c>
      <c r="P540" s="237">
        <f>SUM(P538:P539)</f>
        <v>0</v>
      </c>
      <c r="Q540" s="238">
        <f t="shared" si="327"/>
        <v>0</v>
      </c>
      <c r="R540" s="237">
        <f>SUM(R538:R539)</f>
        <v>0</v>
      </c>
      <c r="S540" s="237">
        <f>SUM(S538:S539)</f>
        <v>0</v>
      </c>
      <c r="T540" s="237">
        <f>SUM(T538:T539)</f>
        <v>0</v>
      </c>
      <c r="U540" s="238">
        <f t="shared" si="328"/>
        <v>0</v>
      </c>
      <c r="V540" s="237">
        <f>SUM(V538:V539)</f>
        <v>0</v>
      </c>
      <c r="W540" s="237">
        <f>SUM(W538:W539)</f>
        <v>0</v>
      </c>
      <c r="X540" s="237">
        <f>SUM(X538:X539)</f>
        <v>0</v>
      </c>
      <c r="Y540" s="238">
        <f t="shared" si="329"/>
        <v>0</v>
      </c>
    </row>
    <row r="541" spans="1:25" ht="12.75" hidden="1" customHeight="1" outlineLevel="2" x14ac:dyDescent="0.2">
      <c r="A541" s="188" t="str">
        <f>"      "&amp;Labels!C384</f>
        <v xml:space="preserve">      Total</v>
      </c>
      <c r="B541" s="166">
        <f>SUM(B542:B543)</f>
        <v>0</v>
      </c>
      <c r="C541" s="166">
        <f>SUM(C542:C543)</f>
        <v>0</v>
      </c>
      <c r="D541" s="166">
        <f>SUM(D542:D543)</f>
        <v>0</v>
      </c>
      <c r="E541" s="225">
        <f t="shared" si="324"/>
        <v>0</v>
      </c>
      <c r="F541" s="166">
        <f>SUM(F542:F543)</f>
        <v>0</v>
      </c>
      <c r="G541" s="166">
        <f>SUM(G542:G543)</f>
        <v>0</v>
      </c>
      <c r="H541" s="166">
        <f>SUM(H542:H543)</f>
        <v>0</v>
      </c>
      <c r="I541" s="225">
        <f t="shared" si="325"/>
        <v>0</v>
      </c>
      <c r="J541" s="166">
        <f>SUM(J542:J543)</f>
        <v>0</v>
      </c>
      <c r="K541" s="166">
        <f>SUM(K542:K543)</f>
        <v>0</v>
      </c>
      <c r="L541" s="166">
        <f>SUM(L542:L543)</f>
        <v>0</v>
      </c>
      <c r="M541" s="225">
        <f t="shared" si="326"/>
        <v>0</v>
      </c>
      <c r="N541" s="166">
        <f>SUM(N542:N543)</f>
        <v>0</v>
      </c>
      <c r="O541" s="166">
        <f>SUM(O542:O543)</f>
        <v>0</v>
      </c>
      <c r="P541" s="166">
        <f>SUM(P542:P543)</f>
        <v>0</v>
      </c>
      <c r="Q541" s="225">
        <f t="shared" si="327"/>
        <v>0</v>
      </c>
      <c r="R541" s="166">
        <f>SUM(R542:R543)</f>
        <v>0</v>
      </c>
      <c r="S541" s="166">
        <f>SUM(S542:S543)</f>
        <v>0</v>
      </c>
      <c r="T541" s="166">
        <f>SUM(T542:T543)</f>
        <v>0</v>
      </c>
      <c r="U541" s="225">
        <f t="shared" si="328"/>
        <v>0</v>
      </c>
      <c r="V541" s="166">
        <f>SUM(V542:V543)</f>
        <v>0</v>
      </c>
      <c r="W541" s="166">
        <f>SUM(W542:W543)</f>
        <v>0</v>
      </c>
      <c r="X541" s="166">
        <f>SUM(X542:X543)</f>
        <v>0</v>
      </c>
      <c r="Y541" s="225">
        <f t="shared" si="329"/>
        <v>0</v>
      </c>
    </row>
    <row r="542" spans="1:25" ht="12.75" hidden="1" customHeight="1" outlineLevel="2" x14ac:dyDescent="0.2">
      <c r="A542" s="198" t="str">
        <f>"         "&amp;Labels!B317</f>
        <v xml:space="preserve">         Channels 1</v>
      </c>
      <c r="B542" s="237">
        <f t="shared" ref="B542:D544" si="330">SUM(B534,B538)</f>
        <v>0</v>
      </c>
      <c r="C542" s="237">
        <f t="shared" si="330"/>
        <v>0</v>
      </c>
      <c r="D542" s="237">
        <f t="shared" si="330"/>
        <v>0</v>
      </c>
      <c r="E542" s="238">
        <f t="shared" si="324"/>
        <v>0</v>
      </c>
      <c r="F542" s="237">
        <f t="shared" ref="F542:H544" si="331">SUM(F534,F538)</f>
        <v>0</v>
      </c>
      <c r="G542" s="237">
        <f t="shared" si="331"/>
        <v>0</v>
      </c>
      <c r="H542" s="237">
        <f t="shared" si="331"/>
        <v>0</v>
      </c>
      <c r="I542" s="238">
        <f t="shared" si="325"/>
        <v>0</v>
      </c>
      <c r="J542" s="237">
        <f t="shared" ref="J542:L544" si="332">SUM(J534,J538)</f>
        <v>0</v>
      </c>
      <c r="K542" s="237">
        <f t="shared" si="332"/>
        <v>0</v>
      </c>
      <c r="L542" s="237">
        <f t="shared" si="332"/>
        <v>0</v>
      </c>
      <c r="M542" s="238">
        <f t="shared" si="326"/>
        <v>0</v>
      </c>
      <c r="N542" s="237">
        <f t="shared" ref="N542:P544" si="333">SUM(N534,N538)</f>
        <v>0</v>
      </c>
      <c r="O542" s="237">
        <f t="shared" si="333"/>
        <v>0</v>
      </c>
      <c r="P542" s="237">
        <f t="shared" si="333"/>
        <v>0</v>
      </c>
      <c r="Q542" s="238">
        <f t="shared" si="327"/>
        <v>0</v>
      </c>
      <c r="R542" s="237">
        <f t="shared" ref="R542:T544" si="334">SUM(R534,R538)</f>
        <v>0</v>
      </c>
      <c r="S542" s="237">
        <f t="shared" si="334"/>
        <v>0</v>
      </c>
      <c r="T542" s="237">
        <f t="shared" si="334"/>
        <v>0</v>
      </c>
      <c r="U542" s="238">
        <f t="shared" si="328"/>
        <v>0</v>
      </c>
      <c r="V542" s="237">
        <f t="shared" ref="V542:X544" si="335">SUM(V534,V538)</f>
        <v>0</v>
      </c>
      <c r="W542" s="237">
        <f t="shared" si="335"/>
        <v>0</v>
      </c>
      <c r="X542" s="237">
        <f t="shared" si="335"/>
        <v>0</v>
      </c>
      <c r="Y542" s="238">
        <f t="shared" si="329"/>
        <v>0</v>
      </c>
    </row>
    <row r="543" spans="1:25" ht="12.75" hidden="1" customHeight="1" outlineLevel="2" x14ac:dyDescent="0.2">
      <c r="A543" s="198" t="str">
        <f>"         "&amp;Labels!B318</f>
        <v xml:space="preserve">         Channels 2</v>
      </c>
      <c r="B543" s="237">
        <f t="shared" si="330"/>
        <v>0</v>
      </c>
      <c r="C543" s="237">
        <f t="shared" si="330"/>
        <v>0</v>
      </c>
      <c r="D543" s="237">
        <f t="shared" si="330"/>
        <v>0</v>
      </c>
      <c r="E543" s="238">
        <f t="shared" si="324"/>
        <v>0</v>
      </c>
      <c r="F543" s="237">
        <f t="shared" si="331"/>
        <v>0</v>
      </c>
      <c r="G543" s="237">
        <f t="shared" si="331"/>
        <v>0</v>
      </c>
      <c r="H543" s="237">
        <f t="shared" si="331"/>
        <v>0</v>
      </c>
      <c r="I543" s="238">
        <f t="shared" si="325"/>
        <v>0</v>
      </c>
      <c r="J543" s="237">
        <f t="shared" si="332"/>
        <v>0</v>
      </c>
      <c r="K543" s="237">
        <f t="shared" si="332"/>
        <v>0</v>
      </c>
      <c r="L543" s="237">
        <f t="shared" si="332"/>
        <v>0</v>
      </c>
      <c r="M543" s="238">
        <f t="shared" si="326"/>
        <v>0</v>
      </c>
      <c r="N543" s="237">
        <f t="shared" si="333"/>
        <v>0</v>
      </c>
      <c r="O543" s="237">
        <f t="shared" si="333"/>
        <v>0</v>
      </c>
      <c r="P543" s="237">
        <f t="shared" si="333"/>
        <v>0</v>
      </c>
      <c r="Q543" s="238">
        <f t="shared" si="327"/>
        <v>0</v>
      </c>
      <c r="R543" s="237">
        <f t="shared" si="334"/>
        <v>0</v>
      </c>
      <c r="S543" s="237">
        <f t="shared" si="334"/>
        <v>0</v>
      </c>
      <c r="T543" s="237">
        <f t="shared" si="334"/>
        <v>0</v>
      </c>
      <c r="U543" s="238">
        <f t="shared" si="328"/>
        <v>0</v>
      </c>
      <c r="V543" s="237">
        <f t="shared" si="335"/>
        <v>0</v>
      </c>
      <c r="W543" s="237">
        <f t="shared" si="335"/>
        <v>0</v>
      </c>
      <c r="X543" s="237">
        <f t="shared" si="335"/>
        <v>0</v>
      </c>
      <c r="Y543" s="238">
        <f t="shared" si="329"/>
        <v>0</v>
      </c>
    </row>
    <row r="544" spans="1:25" ht="12.75" hidden="1" customHeight="1" outlineLevel="2" x14ac:dyDescent="0.2">
      <c r="A544" s="198" t="str">
        <f>"         "&amp;Labels!C316</f>
        <v xml:space="preserve">         Total</v>
      </c>
      <c r="B544" s="237">
        <f t="shared" si="330"/>
        <v>0</v>
      </c>
      <c r="C544" s="237">
        <f t="shared" si="330"/>
        <v>0</v>
      </c>
      <c r="D544" s="237">
        <f t="shared" si="330"/>
        <v>0</v>
      </c>
      <c r="E544" s="238">
        <f>SUM(B541:D541)</f>
        <v>0</v>
      </c>
      <c r="F544" s="237">
        <f t="shared" si="331"/>
        <v>0</v>
      </c>
      <c r="G544" s="237">
        <f t="shared" si="331"/>
        <v>0</v>
      </c>
      <c r="H544" s="237">
        <f t="shared" si="331"/>
        <v>0</v>
      </c>
      <c r="I544" s="238">
        <f>SUM(F541:H541)</f>
        <v>0</v>
      </c>
      <c r="J544" s="237">
        <f t="shared" si="332"/>
        <v>0</v>
      </c>
      <c r="K544" s="237">
        <f t="shared" si="332"/>
        <v>0</v>
      </c>
      <c r="L544" s="237">
        <f t="shared" si="332"/>
        <v>0</v>
      </c>
      <c r="M544" s="238">
        <f>SUM(J541:L541)</f>
        <v>0</v>
      </c>
      <c r="N544" s="237">
        <f t="shared" si="333"/>
        <v>0</v>
      </c>
      <c r="O544" s="237">
        <f t="shared" si="333"/>
        <v>0</v>
      </c>
      <c r="P544" s="237">
        <f t="shared" si="333"/>
        <v>0</v>
      </c>
      <c r="Q544" s="238">
        <f>SUM(N541:P541)</f>
        <v>0</v>
      </c>
      <c r="R544" s="237">
        <f t="shared" si="334"/>
        <v>0</v>
      </c>
      <c r="S544" s="237">
        <f t="shared" si="334"/>
        <v>0</v>
      </c>
      <c r="T544" s="237">
        <f t="shared" si="334"/>
        <v>0</v>
      </c>
      <c r="U544" s="238">
        <f>SUM(R541:T541)</f>
        <v>0</v>
      </c>
      <c r="V544" s="237">
        <f t="shared" si="335"/>
        <v>0</v>
      </c>
      <c r="W544" s="237">
        <f t="shared" si="335"/>
        <v>0</v>
      </c>
      <c r="X544" s="237">
        <f t="shared" si="335"/>
        <v>0</v>
      </c>
      <c r="Y544" s="238">
        <f>SUM(V541:X541)</f>
        <v>0</v>
      </c>
    </row>
    <row r="545" spans="1:25" ht="12.75" hidden="1" customHeight="1" outlineLevel="2" x14ac:dyDescent="0.2">
      <c r="A545" s="191" t="str">
        <f>"   "&amp;Labels!C380</f>
        <v xml:space="preserve">   Total</v>
      </c>
      <c r="B545" s="216">
        <f>SUM(B528,B541)</f>
        <v>0</v>
      </c>
      <c r="C545" s="216">
        <f>SUM(C528,C541)</f>
        <v>0</v>
      </c>
      <c r="D545" s="216">
        <f>SUM(D528,D541)</f>
        <v>550</v>
      </c>
      <c r="E545" s="217">
        <f>SUM(B545:D545)</f>
        <v>550</v>
      </c>
      <c r="F545" s="216">
        <f>SUM(F528,F541)</f>
        <v>550</v>
      </c>
      <c r="G545" s="216">
        <f>SUM(G528,G541)</f>
        <v>0</v>
      </c>
      <c r="H545" s="216">
        <f>SUM(H528,H541)</f>
        <v>400</v>
      </c>
      <c r="I545" s="217">
        <f>SUM(F545:H545)</f>
        <v>950</v>
      </c>
      <c r="J545" s="216">
        <f>SUM(J528,J541)</f>
        <v>400</v>
      </c>
      <c r="K545" s="216">
        <f>SUM(K528,K541)</f>
        <v>400</v>
      </c>
      <c r="L545" s="216">
        <f>SUM(L528,L541)</f>
        <v>0</v>
      </c>
      <c r="M545" s="217">
        <f>SUM(J545:L545)</f>
        <v>800</v>
      </c>
      <c r="N545" s="216">
        <f>SUM(N528,N541)</f>
        <v>0</v>
      </c>
      <c r="O545" s="216">
        <f>SUM(O528,O541)</f>
        <v>0</v>
      </c>
      <c r="P545" s="216">
        <f>SUM(P528,P541)</f>
        <v>0</v>
      </c>
      <c r="Q545" s="217">
        <f>SUM(N545:P545)</f>
        <v>0</v>
      </c>
      <c r="R545" s="216">
        <f>SUM(R528,R541)</f>
        <v>0</v>
      </c>
      <c r="S545" s="216">
        <f>SUM(S528,S541)</f>
        <v>0</v>
      </c>
      <c r="T545" s="216">
        <f>SUM(T528,T541)</f>
        <v>0</v>
      </c>
      <c r="U545" s="217">
        <f>SUM(R545:T545)</f>
        <v>0</v>
      </c>
      <c r="V545" s="216">
        <f>SUM(V528,V541)</f>
        <v>0</v>
      </c>
      <c r="W545" s="216">
        <f>SUM(W528,W541)</f>
        <v>0</v>
      </c>
      <c r="X545" s="216">
        <f>SUM(X528,X541)</f>
        <v>0</v>
      </c>
      <c r="Y545" s="217">
        <f>SUM(V545:X545)</f>
        <v>0</v>
      </c>
    </row>
    <row r="546" spans="1:25" ht="12.75" hidden="1" customHeight="1" outlineLevel="2" x14ac:dyDescent="0.2">
      <c r="A546" s="198" t="str">
        <f>"      "&amp;Labels!B385</f>
        <v xml:space="preserve">      Prof Level 1</v>
      </c>
      <c r="B546" s="237"/>
      <c r="C546" s="237"/>
      <c r="D546" s="237"/>
      <c r="E546" s="238"/>
      <c r="F546" s="237"/>
      <c r="G546" s="237"/>
      <c r="H546" s="237"/>
      <c r="I546" s="238"/>
      <c r="J546" s="237"/>
      <c r="K546" s="237"/>
      <c r="L546" s="237"/>
      <c r="M546" s="238"/>
      <c r="N546" s="237"/>
      <c r="O546" s="237"/>
      <c r="P546" s="237"/>
      <c r="Q546" s="238"/>
      <c r="R546" s="237"/>
      <c r="S546" s="237"/>
      <c r="T546" s="237"/>
      <c r="U546" s="238"/>
      <c r="V546" s="237"/>
      <c r="W546" s="237"/>
      <c r="X546" s="237"/>
      <c r="Y546" s="238"/>
    </row>
    <row r="547" spans="1:25" ht="12.75" hidden="1" customHeight="1" outlineLevel="2" x14ac:dyDescent="0.2">
      <c r="A547" s="198" t="str">
        <f>"         "&amp;Labels!B317</f>
        <v xml:space="preserve">         Channels 1</v>
      </c>
      <c r="B547" s="237">
        <f t="shared" ref="B547:D549" si="336">SUM(B521,B534)</f>
        <v>0</v>
      </c>
      <c r="C547" s="237">
        <f t="shared" si="336"/>
        <v>0</v>
      </c>
      <c r="D547" s="237">
        <f t="shared" si="336"/>
        <v>137.5</v>
      </c>
      <c r="E547" s="238">
        <f>SUM(B547:D547)</f>
        <v>137.5</v>
      </c>
      <c r="F547" s="237">
        <f t="shared" ref="F547:H549" si="337">SUM(F521,F534)</f>
        <v>137.5</v>
      </c>
      <c r="G547" s="237">
        <f t="shared" si="337"/>
        <v>0</v>
      </c>
      <c r="H547" s="237">
        <f t="shared" si="337"/>
        <v>100</v>
      </c>
      <c r="I547" s="238">
        <f>SUM(F547:H547)</f>
        <v>237.5</v>
      </c>
      <c r="J547" s="237">
        <f t="shared" ref="J547:L549" si="338">SUM(J521,J534)</f>
        <v>100</v>
      </c>
      <c r="K547" s="237">
        <f t="shared" si="338"/>
        <v>100</v>
      </c>
      <c r="L547" s="237">
        <f t="shared" si="338"/>
        <v>0</v>
      </c>
      <c r="M547" s="238">
        <f>SUM(J547:L547)</f>
        <v>200</v>
      </c>
      <c r="N547" s="237">
        <f t="shared" ref="N547:P549" si="339">SUM(N521,N534)</f>
        <v>0</v>
      </c>
      <c r="O547" s="237">
        <f t="shared" si="339"/>
        <v>0</v>
      </c>
      <c r="P547" s="237">
        <f t="shared" si="339"/>
        <v>0</v>
      </c>
      <c r="Q547" s="238">
        <f>SUM(N547:P547)</f>
        <v>0</v>
      </c>
      <c r="R547" s="237">
        <f t="shared" ref="R547:T549" si="340">SUM(R521,R534)</f>
        <v>0</v>
      </c>
      <c r="S547" s="237">
        <f t="shared" si="340"/>
        <v>0</v>
      </c>
      <c r="T547" s="237">
        <f t="shared" si="340"/>
        <v>0</v>
      </c>
      <c r="U547" s="238">
        <f>SUM(R547:T547)</f>
        <v>0</v>
      </c>
      <c r="V547" s="237">
        <f t="shared" ref="V547:X549" si="341">SUM(V521,V534)</f>
        <v>0</v>
      </c>
      <c r="W547" s="237">
        <f t="shared" si="341"/>
        <v>0</v>
      </c>
      <c r="X547" s="237">
        <f t="shared" si="341"/>
        <v>0</v>
      </c>
      <c r="Y547" s="238">
        <f>SUM(V547:X547)</f>
        <v>0</v>
      </c>
    </row>
    <row r="548" spans="1:25" ht="12.75" hidden="1" customHeight="1" outlineLevel="2" x14ac:dyDescent="0.2">
      <c r="A548" s="198" t="str">
        <f>"         "&amp;Labels!B318</f>
        <v xml:space="preserve">         Channels 2</v>
      </c>
      <c r="B548" s="237">
        <f t="shared" si="336"/>
        <v>0</v>
      </c>
      <c r="C548" s="237">
        <f t="shared" si="336"/>
        <v>0</v>
      </c>
      <c r="D548" s="237">
        <f t="shared" si="336"/>
        <v>137.5</v>
      </c>
      <c r="E548" s="238">
        <f>SUM(B548:D548)</f>
        <v>137.5</v>
      </c>
      <c r="F548" s="237">
        <f t="shared" si="337"/>
        <v>137.5</v>
      </c>
      <c r="G548" s="237">
        <f t="shared" si="337"/>
        <v>0</v>
      </c>
      <c r="H548" s="237">
        <f t="shared" si="337"/>
        <v>100</v>
      </c>
      <c r="I548" s="238">
        <f>SUM(F548:H548)</f>
        <v>237.5</v>
      </c>
      <c r="J548" s="237">
        <f t="shared" si="338"/>
        <v>100</v>
      </c>
      <c r="K548" s="237">
        <f t="shared" si="338"/>
        <v>100</v>
      </c>
      <c r="L548" s="237">
        <f t="shared" si="338"/>
        <v>0</v>
      </c>
      <c r="M548" s="238">
        <f>SUM(J548:L548)</f>
        <v>200</v>
      </c>
      <c r="N548" s="237">
        <f t="shared" si="339"/>
        <v>0</v>
      </c>
      <c r="O548" s="237">
        <f t="shared" si="339"/>
        <v>0</v>
      </c>
      <c r="P548" s="237">
        <f t="shared" si="339"/>
        <v>0</v>
      </c>
      <c r="Q548" s="238">
        <f>SUM(N548:P548)</f>
        <v>0</v>
      </c>
      <c r="R548" s="237">
        <f t="shared" si="340"/>
        <v>0</v>
      </c>
      <c r="S548" s="237">
        <f t="shared" si="340"/>
        <v>0</v>
      </c>
      <c r="T548" s="237">
        <f t="shared" si="340"/>
        <v>0</v>
      </c>
      <c r="U548" s="238">
        <f>SUM(R548:T548)</f>
        <v>0</v>
      </c>
      <c r="V548" s="237">
        <f t="shared" si="341"/>
        <v>0</v>
      </c>
      <c r="W548" s="237">
        <f t="shared" si="341"/>
        <v>0</v>
      </c>
      <c r="X548" s="237">
        <f t="shared" si="341"/>
        <v>0</v>
      </c>
      <c r="Y548" s="238">
        <f>SUM(V548:X548)</f>
        <v>0</v>
      </c>
    </row>
    <row r="549" spans="1:25" ht="12.75" hidden="1" customHeight="1" outlineLevel="2" x14ac:dyDescent="0.2">
      <c r="A549" s="198" t="str">
        <f>"         "&amp;Labels!C316</f>
        <v xml:space="preserve">         Total</v>
      </c>
      <c r="B549" s="237">
        <f t="shared" si="336"/>
        <v>0</v>
      </c>
      <c r="C549" s="237">
        <f t="shared" si="336"/>
        <v>0</v>
      </c>
      <c r="D549" s="237">
        <f t="shared" si="336"/>
        <v>275</v>
      </c>
      <c r="E549" s="238">
        <f>SUM(B549:D549)</f>
        <v>275</v>
      </c>
      <c r="F549" s="237">
        <f t="shared" si="337"/>
        <v>275</v>
      </c>
      <c r="G549" s="237">
        <f t="shared" si="337"/>
        <v>0</v>
      </c>
      <c r="H549" s="237">
        <f t="shared" si="337"/>
        <v>200</v>
      </c>
      <c r="I549" s="238">
        <f>SUM(F549:H549)</f>
        <v>475</v>
      </c>
      <c r="J549" s="237">
        <f t="shared" si="338"/>
        <v>200</v>
      </c>
      <c r="K549" s="237">
        <f t="shared" si="338"/>
        <v>200</v>
      </c>
      <c r="L549" s="237">
        <f t="shared" si="338"/>
        <v>0</v>
      </c>
      <c r="M549" s="238">
        <f>SUM(J549:L549)</f>
        <v>400</v>
      </c>
      <c r="N549" s="237">
        <f t="shared" si="339"/>
        <v>0</v>
      </c>
      <c r="O549" s="237">
        <f t="shared" si="339"/>
        <v>0</v>
      </c>
      <c r="P549" s="237">
        <f t="shared" si="339"/>
        <v>0</v>
      </c>
      <c r="Q549" s="238">
        <f>SUM(N549:P549)</f>
        <v>0</v>
      </c>
      <c r="R549" s="237">
        <f t="shared" si="340"/>
        <v>0</v>
      </c>
      <c r="S549" s="237">
        <f t="shared" si="340"/>
        <v>0</v>
      </c>
      <c r="T549" s="237">
        <f t="shared" si="340"/>
        <v>0</v>
      </c>
      <c r="U549" s="238">
        <f>SUM(R549:T549)</f>
        <v>0</v>
      </c>
      <c r="V549" s="237">
        <f t="shared" si="341"/>
        <v>0</v>
      </c>
      <c r="W549" s="237">
        <f t="shared" si="341"/>
        <v>0</v>
      </c>
      <c r="X549" s="237">
        <f t="shared" si="341"/>
        <v>0</v>
      </c>
      <c r="Y549" s="238">
        <f>SUM(V549:X549)</f>
        <v>0</v>
      </c>
    </row>
    <row r="550" spans="1:25" ht="12.75" hidden="1" customHeight="1" outlineLevel="2" x14ac:dyDescent="0.2">
      <c r="A550" s="198" t="str">
        <f>"      "&amp;Labels!B386</f>
        <v xml:space="preserve">      Prof Level 2</v>
      </c>
      <c r="B550" s="237"/>
      <c r="C550" s="237"/>
      <c r="D550" s="237"/>
      <c r="E550" s="238"/>
      <c r="F550" s="237"/>
      <c r="G550" s="237"/>
      <c r="H550" s="237"/>
      <c r="I550" s="238"/>
      <c r="J550" s="237"/>
      <c r="K550" s="237"/>
      <c r="L550" s="237"/>
      <c r="M550" s="238"/>
      <c r="N550" s="237"/>
      <c r="O550" s="237"/>
      <c r="P550" s="237"/>
      <c r="Q550" s="238"/>
      <c r="R550" s="237"/>
      <c r="S550" s="237"/>
      <c r="T550" s="237"/>
      <c r="U550" s="238"/>
      <c r="V550" s="237"/>
      <c r="W550" s="237"/>
      <c r="X550" s="237"/>
      <c r="Y550" s="238"/>
    </row>
    <row r="551" spans="1:25" ht="12.75" hidden="1" customHeight="1" outlineLevel="2" x14ac:dyDescent="0.2">
      <c r="A551" s="198" t="str">
        <f>"         "&amp;Labels!B317</f>
        <v xml:space="preserve">         Channels 1</v>
      </c>
      <c r="B551" s="237">
        <f t="shared" ref="B551:D556" si="342">SUM(B525,B538)</f>
        <v>0</v>
      </c>
      <c r="C551" s="237">
        <f t="shared" si="342"/>
        <v>0</v>
      </c>
      <c r="D551" s="237">
        <f t="shared" si="342"/>
        <v>137.5</v>
      </c>
      <c r="E551" s="238">
        <f>SUM(B551:D551)</f>
        <v>137.5</v>
      </c>
      <c r="F551" s="237">
        <f t="shared" ref="F551:H556" si="343">SUM(F525,F538)</f>
        <v>137.5</v>
      </c>
      <c r="G551" s="237">
        <f t="shared" si="343"/>
        <v>0</v>
      </c>
      <c r="H551" s="237">
        <f t="shared" si="343"/>
        <v>100</v>
      </c>
      <c r="I551" s="238">
        <f>SUM(F551:H551)</f>
        <v>237.5</v>
      </c>
      <c r="J551" s="237">
        <f t="shared" ref="J551:L556" si="344">SUM(J525,J538)</f>
        <v>100</v>
      </c>
      <c r="K551" s="237">
        <f t="shared" si="344"/>
        <v>100</v>
      </c>
      <c r="L551" s="237">
        <f t="shared" si="344"/>
        <v>0</v>
      </c>
      <c r="M551" s="238">
        <f>SUM(J551:L551)</f>
        <v>200</v>
      </c>
      <c r="N551" s="237">
        <f t="shared" ref="N551:P556" si="345">SUM(N525,N538)</f>
        <v>0</v>
      </c>
      <c r="O551" s="237">
        <f t="shared" si="345"/>
        <v>0</v>
      </c>
      <c r="P551" s="237">
        <f t="shared" si="345"/>
        <v>0</v>
      </c>
      <c r="Q551" s="238">
        <f>SUM(N551:P551)</f>
        <v>0</v>
      </c>
      <c r="R551" s="237">
        <f t="shared" ref="R551:T556" si="346">SUM(R525,R538)</f>
        <v>0</v>
      </c>
      <c r="S551" s="237">
        <f t="shared" si="346"/>
        <v>0</v>
      </c>
      <c r="T551" s="237">
        <f t="shared" si="346"/>
        <v>0</v>
      </c>
      <c r="U551" s="238">
        <f>SUM(R551:T551)</f>
        <v>0</v>
      </c>
      <c r="V551" s="237">
        <f t="shared" ref="V551:X556" si="347">SUM(V525,V538)</f>
        <v>0</v>
      </c>
      <c r="W551" s="237">
        <f t="shared" si="347"/>
        <v>0</v>
      </c>
      <c r="X551" s="237">
        <f t="shared" si="347"/>
        <v>0</v>
      </c>
      <c r="Y551" s="238">
        <f>SUM(V551:X551)</f>
        <v>0</v>
      </c>
    </row>
    <row r="552" spans="1:25" ht="12.75" hidden="1" customHeight="1" outlineLevel="2" x14ac:dyDescent="0.2">
      <c r="A552" s="198" t="str">
        <f>"         "&amp;Labels!B318</f>
        <v xml:space="preserve">         Channels 2</v>
      </c>
      <c r="B552" s="237">
        <f t="shared" si="342"/>
        <v>0</v>
      </c>
      <c r="C552" s="237">
        <f t="shared" si="342"/>
        <v>0</v>
      </c>
      <c r="D552" s="237">
        <f t="shared" si="342"/>
        <v>137.5</v>
      </c>
      <c r="E552" s="238">
        <f>SUM(B552:D552)</f>
        <v>137.5</v>
      </c>
      <c r="F552" s="237">
        <f t="shared" si="343"/>
        <v>137.5</v>
      </c>
      <c r="G552" s="237">
        <f t="shared" si="343"/>
        <v>0</v>
      </c>
      <c r="H552" s="237">
        <f t="shared" si="343"/>
        <v>100</v>
      </c>
      <c r="I552" s="238">
        <f>SUM(F552:H552)</f>
        <v>237.5</v>
      </c>
      <c r="J552" s="237">
        <f t="shared" si="344"/>
        <v>100</v>
      </c>
      <c r="K552" s="237">
        <f t="shared" si="344"/>
        <v>100</v>
      </c>
      <c r="L552" s="237">
        <f t="shared" si="344"/>
        <v>0</v>
      </c>
      <c r="M552" s="238">
        <f>SUM(J552:L552)</f>
        <v>200</v>
      </c>
      <c r="N552" s="237">
        <f t="shared" si="345"/>
        <v>0</v>
      </c>
      <c r="O552" s="237">
        <f t="shared" si="345"/>
        <v>0</v>
      </c>
      <c r="P552" s="237">
        <f t="shared" si="345"/>
        <v>0</v>
      </c>
      <c r="Q552" s="238">
        <f>SUM(N552:P552)</f>
        <v>0</v>
      </c>
      <c r="R552" s="237">
        <f t="shared" si="346"/>
        <v>0</v>
      </c>
      <c r="S552" s="237">
        <f t="shared" si="346"/>
        <v>0</v>
      </c>
      <c r="T552" s="237">
        <f t="shared" si="346"/>
        <v>0</v>
      </c>
      <c r="U552" s="238">
        <f>SUM(R552:T552)</f>
        <v>0</v>
      </c>
      <c r="V552" s="237">
        <f t="shared" si="347"/>
        <v>0</v>
      </c>
      <c r="W552" s="237">
        <f t="shared" si="347"/>
        <v>0</v>
      </c>
      <c r="X552" s="237">
        <f t="shared" si="347"/>
        <v>0</v>
      </c>
      <c r="Y552" s="238">
        <f>SUM(V552:X552)</f>
        <v>0</v>
      </c>
    </row>
    <row r="553" spans="1:25" ht="12.75" hidden="1" customHeight="1" outlineLevel="2" x14ac:dyDescent="0.2">
      <c r="A553" s="198" t="str">
        <f>"         "&amp;Labels!C316</f>
        <v xml:space="preserve">         Total</v>
      </c>
      <c r="B553" s="237">
        <f t="shared" si="342"/>
        <v>0</v>
      </c>
      <c r="C553" s="237">
        <f t="shared" si="342"/>
        <v>0</v>
      </c>
      <c r="D553" s="237">
        <f t="shared" si="342"/>
        <v>275</v>
      </c>
      <c r="E553" s="238">
        <f>SUM(B553:D553)</f>
        <v>275</v>
      </c>
      <c r="F553" s="237">
        <f t="shared" si="343"/>
        <v>275</v>
      </c>
      <c r="G553" s="237">
        <f t="shared" si="343"/>
        <v>0</v>
      </c>
      <c r="H553" s="237">
        <f t="shared" si="343"/>
        <v>200</v>
      </c>
      <c r="I553" s="238">
        <f>SUM(F553:H553)</f>
        <v>475</v>
      </c>
      <c r="J553" s="237">
        <f t="shared" si="344"/>
        <v>200</v>
      </c>
      <c r="K553" s="237">
        <f t="shared" si="344"/>
        <v>200</v>
      </c>
      <c r="L553" s="237">
        <f t="shared" si="344"/>
        <v>0</v>
      </c>
      <c r="M553" s="238">
        <f>SUM(J553:L553)</f>
        <v>400</v>
      </c>
      <c r="N553" s="237">
        <f t="shared" si="345"/>
        <v>0</v>
      </c>
      <c r="O553" s="237">
        <f t="shared" si="345"/>
        <v>0</v>
      </c>
      <c r="P553" s="237">
        <f t="shared" si="345"/>
        <v>0</v>
      </c>
      <c r="Q553" s="238">
        <f>SUM(N553:P553)</f>
        <v>0</v>
      </c>
      <c r="R553" s="237">
        <f t="shared" si="346"/>
        <v>0</v>
      </c>
      <c r="S553" s="237">
        <f t="shared" si="346"/>
        <v>0</v>
      </c>
      <c r="T553" s="237">
        <f t="shared" si="346"/>
        <v>0</v>
      </c>
      <c r="U553" s="238">
        <f>SUM(R553:T553)</f>
        <v>0</v>
      </c>
      <c r="V553" s="237">
        <f t="shared" si="347"/>
        <v>0</v>
      </c>
      <c r="W553" s="237">
        <f t="shared" si="347"/>
        <v>0</v>
      </c>
      <c r="X553" s="237">
        <f t="shared" si="347"/>
        <v>0</v>
      </c>
      <c r="Y553" s="238">
        <f>SUM(V553:X553)</f>
        <v>0</v>
      </c>
    </row>
    <row r="554" spans="1:25" ht="12.75" hidden="1" customHeight="1" outlineLevel="2" x14ac:dyDescent="0.2">
      <c r="A554" s="188" t="str">
        <f>"      "&amp;Labels!C384</f>
        <v xml:space="preserve">      Total</v>
      </c>
      <c r="B554" s="166">
        <f t="shared" si="342"/>
        <v>0</v>
      </c>
      <c r="C554" s="166">
        <f t="shared" si="342"/>
        <v>0</v>
      </c>
      <c r="D554" s="166">
        <f t="shared" si="342"/>
        <v>550</v>
      </c>
      <c r="E554" s="225">
        <f>SUM(B545:D545)</f>
        <v>550</v>
      </c>
      <c r="F554" s="166">
        <f t="shared" si="343"/>
        <v>550</v>
      </c>
      <c r="G554" s="166">
        <f t="shared" si="343"/>
        <v>0</v>
      </c>
      <c r="H554" s="166">
        <f t="shared" si="343"/>
        <v>400</v>
      </c>
      <c r="I554" s="225">
        <f>SUM(F545:H545)</f>
        <v>950</v>
      </c>
      <c r="J554" s="166">
        <f t="shared" si="344"/>
        <v>400</v>
      </c>
      <c r="K554" s="166">
        <f t="shared" si="344"/>
        <v>400</v>
      </c>
      <c r="L554" s="166">
        <f t="shared" si="344"/>
        <v>0</v>
      </c>
      <c r="M554" s="225">
        <f>SUM(J545:L545)</f>
        <v>800</v>
      </c>
      <c r="N554" s="166">
        <f t="shared" si="345"/>
        <v>0</v>
      </c>
      <c r="O554" s="166">
        <f t="shared" si="345"/>
        <v>0</v>
      </c>
      <c r="P554" s="166">
        <f t="shared" si="345"/>
        <v>0</v>
      </c>
      <c r="Q554" s="225">
        <f>SUM(N545:P545)</f>
        <v>0</v>
      </c>
      <c r="R554" s="166">
        <f t="shared" si="346"/>
        <v>0</v>
      </c>
      <c r="S554" s="166">
        <f t="shared" si="346"/>
        <v>0</v>
      </c>
      <c r="T554" s="166">
        <f t="shared" si="346"/>
        <v>0</v>
      </c>
      <c r="U554" s="225">
        <f>SUM(R545:T545)</f>
        <v>0</v>
      </c>
      <c r="V554" s="166">
        <f t="shared" si="347"/>
        <v>0</v>
      </c>
      <c r="W554" s="166">
        <f t="shared" si="347"/>
        <v>0</v>
      </c>
      <c r="X554" s="166">
        <f t="shared" si="347"/>
        <v>0</v>
      </c>
      <c r="Y554" s="225">
        <f>SUM(V545:X545)</f>
        <v>0</v>
      </c>
    </row>
    <row r="555" spans="1:25" ht="12.75" hidden="1" customHeight="1" outlineLevel="2" x14ac:dyDescent="0.2">
      <c r="A555" s="198" t="str">
        <f>"         "&amp;Labels!B317</f>
        <v xml:space="preserve">         Channels 1</v>
      </c>
      <c r="B555" s="237">
        <f t="shared" si="342"/>
        <v>0</v>
      </c>
      <c r="C555" s="237">
        <f t="shared" si="342"/>
        <v>0</v>
      </c>
      <c r="D555" s="237">
        <f t="shared" si="342"/>
        <v>275</v>
      </c>
      <c r="E555" s="238">
        <f>SUM(B555:D555)</f>
        <v>275</v>
      </c>
      <c r="F555" s="237">
        <f t="shared" si="343"/>
        <v>275</v>
      </c>
      <c r="G555" s="237">
        <f t="shared" si="343"/>
        <v>0</v>
      </c>
      <c r="H555" s="237">
        <f t="shared" si="343"/>
        <v>200</v>
      </c>
      <c r="I555" s="238">
        <f>SUM(F555:H555)</f>
        <v>475</v>
      </c>
      <c r="J555" s="237">
        <f t="shared" si="344"/>
        <v>200</v>
      </c>
      <c r="K555" s="237">
        <f t="shared" si="344"/>
        <v>200</v>
      </c>
      <c r="L555" s="237">
        <f t="shared" si="344"/>
        <v>0</v>
      </c>
      <c r="M555" s="238">
        <f>SUM(J555:L555)</f>
        <v>400</v>
      </c>
      <c r="N555" s="237">
        <f t="shared" si="345"/>
        <v>0</v>
      </c>
      <c r="O555" s="237">
        <f t="shared" si="345"/>
        <v>0</v>
      </c>
      <c r="P555" s="237">
        <f t="shared" si="345"/>
        <v>0</v>
      </c>
      <c r="Q555" s="238">
        <f>SUM(N555:P555)</f>
        <v>0</v>
      </c>
      <c r="R555" s="237">
        <f t="shared" si="346"/>
        <v>0</v>
      </c>
      <c r="S555" s="237">
        <f t="shared" si="346"/>
        <v>0</v>
      </c>
      <c r="T555" s="237">
        <f t="shared" si="346"/>
        <v>0</v>
      </c>
      <c r="U555" s="238">
        <f>SUM(R555:T555)</f>
        <v>0</v>
      </c>
      <c r="V555" s="237">
        <f t="shared" si="347"/>
        <v>0</v>
      </c>
      <c r="W555" s="237">
        <f t="shared" si="347"/>
        <v>0</v>
      </c>
      <c r="X555" s="237">
        <f t="shared" si="347"/>
        <v>0</v>
      </c>
      <c r="Y555" s="238">
        <f>SUM(V555:X555)</f>
        <v>0</v>
      </c>
    </row>
    <row r="556" spans="1:25" ht="12.75" hidden="1" customHeight="1" outlineLevel="2" x14ac:dyDescent="0.2">
      <c r="A556" s="198" t="str">
        <f>"         "&amp;Labels!B318</f>
        <v xml:space="preserve">         Channels 2</v>
      </c>
      <c r="B556" s="237">
        <f t="shared" si="342"/>
        <v>0</v>
      </c>
      <c r="C556" s="237">
        <f t="shared" si="342"/>
        <v>0</v>
      </c>
      <c r="D556" s="237">
        <f t="shared" si="342"/>
        <v>275</v>
      </c>
      <c r="E556" s="238">
        <f>SUM(B556:D556)</f>
        <v>275</v>
      </c>
      <c r="F556" s="237">
        <f t="shared" si="343"/>
        <v>275</v>
      </c>
      <c r="G556" s="237">
        <f t="shared" si="343"/>
        <v>0</v>
      </c>
      <c r="H556" s="237">
        <f t="shared" si="343"/>
        <v>200</v>
      </c>
      <c r="I556" s="238">
        <f>SUM(F556:H556)</f>
        <v>475</v>
      </c>
      <c r="J556" s="237">
        <f t="shared" si="344"/>
        <v>200</v>
      </c>
      <c r="K556" s="237">
        <f t="shared" si="344"/>
        <v>200</v>
      </c>
      <c r="L556" s="237">
        <f t="shared" si="344"/>
        <v>0</v>
      </c>
      <c r="M556" s="238">
        <f>SUM(J556:L556)</f>
        <v>400</v>
      </c>
      <c r="N556" s="237">
        <f t="shared" si="345"/>
        <v>0</v>
      </c>
      <c r="O556" s="237">
        <f t="shared" si="345"/>
        <v>0</v>
      </c>
      <c r="P556" s="237">
        <f t="shared" si="345"/>
        <v>0</v>
      </c>
      <c r="Q556" s="238">
        <f>SUM(N556:P556)</f>
        <v>0</v>
      </c>
      <c r="R556" s="237">
        <f t="shared" si="346"/>
        <v>0</v>
      </c>
      <c r="S556" s="237">
        <f t="shared" si="346"/>
        <v>0</v>
      </c>
      <c r="T556" s="237">
        <f t="shared" si="346"/>
        <v>0</v>
      </c>
      <c r="U556" s="238">
        <f>SUM(R556:T556)</f>
        <v>0</v>
      </c>
      <c r="V556" s="237">
        <f t="shared" si="347"/>
        <v>0</v>
      </c>
      <c r="W556" s="237">
        <f t="shared" si="347"/>
        <v>0</v>
      </c>
      <c r="X556" s="237">
        <f t="shared" si="347"/>
        <v>0</v>
      </c>
      <c r="Y556" s="238">
        <f>SUM(V556:X556)</f>
        <v>0</v>
      </c>
    </row>
    <row r="557" spans="1:25" ht="12.75" hidden="1" customHeight="1" outlineLevel="2" x14ac:dyDescent="0.2">
      <c r="A557" s="198" t="str">
        <f>"         "&amp;Labels!C316</f>
        <v xml:space="preserve">         Total</v>
      </c>
      <c r="B557" s="237">
        <f>SUM(B528,B541)</f>
        <v>0</v>
      </c>
      <c r="C557" s="237">
        <f>SUM(C528,C541)</f>
        <v>0</v>
      </c>
      <c r="D557" s="237">
        <f>SUM(D528,D541)</f>
        <v>550</v>
      </c>
      <c r="E557" s="238">
        <f>SUM(B545:D545)</f>
        <v>550</v>
      </c>
      <c r="F557" s="237">
        <f>SUM(F528,F541)</f>
        <v>550</v>
      </c>
      <c r="G557" s="237">
        <f>SUM(G528,G541)</f>
        <v>0</v>
      </c>
      <c r="H557" s="237">
        <f>SUM(H528,H541)</f>
        <v>400</v>
      </c>
      <c r="I557" s="238">
        <f>SUM(F545:H545)</f>
        <v>950</v>
      </c>
      <c r="J557" s="237">
        <f>SUM(J528,J541)</f>
        <v>400</v>
      </c>
      <c r="K557" s="237">
        <f>SUM(K528,K541)</f>
        <v>400</v>
      </c>
      <c r="L557" s="237">
        <f>SUM(L528,L541)</f>
        <v>0</v>
      </c>
      <c r="M557" s="238">
        <f>SUM(J545:L545)</f>
        <v>800</v>
      </c>
      <c r="N557" s="237">
        <f>SUM(N528,N541)</f>
        <v>0</v>
      </c>
      <c r="O557" s="237">
        <f>SUM(O528,O541)</f>
        <v>0</v>
      </c>
      <c r="P557" s="237">
        <f>SUM(P528,P541)</f>
        <v>0</v>
      </c>
      <c r="Q557" s="238">
        <f>SUM(N545:P545)</f>
        <v>0</v>
      </c>
      <c r="R557" s="237">
        <f>SUM(R528,R541)</f>
        <v>0</v>
      </c>
      <c r="S557" s="237">
        <f>SUM(S528,S541)</f>
        <v>0</v>
      </c>
      <c r="T557" s="237">
        <f>SUM(T528,T541)</f>
        <v>0</v>
      </c>
      <c r="U557" s="238">
        <f>SUM(R545:T545)</f>
        <v>0</v>
      </c>
      <c r="V557" s="237">
        <f>SUM(V528,V541)</f>
        <v>0</v>
      </c>
      <c r="W557" s="237">
        <f>SUM(W528,W541)</f>
        <v>0</v>
      </c>
      <c r="X557" s="237">
        <f>SUM(X528,X541)</f>
        <v>0</v>
      </c>
      <c r="Y557" s="238">
        <f>SUM(V545:X545)</f>
        <v>0</v>
      </c>
    </row>
    <row r="558" spans="1:25" ht="12.75" hidden="1" customHeight="1" outlineLevel="2" x14ac:dyDescent="0.2">
      <c r="A558" s="97"/>
      <c r="B558" s="6"/>
      <c r="C558" s="6"/>
      <c r="D558" s="6"/>
      <c r="E558" s="97"/>
      <c r="F558" s="6"/>
      <c r="G558" s="6"/>
      <c r="H558" s="6"/>
      <c r="I558" s="97"/>
      <c r="J558" s="6"/>
      <c r="K558" s="6"/>
      <c r="L558" s="6"/>
      <c r="M558" s="97"/>
      <c r="N558" s="6"/>
      <c r="O558" s="6"/>
      <c r="P558" s="6"/>
      <c r="Q558" s="97"/>
      <c r="R558" s="6"/>
      <c r="S558" s="6"/>
      <c r="T558" s="6"/>
      <c r="U558" s="97"/>
      <c r="V558" s="6"/>
      <c r="W558" s="6"/>
      <c r="X558" s="6"/>
      <c r="Y558" s="97"/>
    </row>
    <row r="559" spans="1:25" ht="12.75" hidden="1" customHeight="1" outlineLevel="2" x14ac:dyDescent="0.2">
      <c r="A559" s="191" t="str">
        <f>Labels!B195</f>
        <v>Prof Staff Hours Unbilled</v>
      </c>
      <c r="B559" s="260"/>
      <c r="C559" s="260"/>
      <c r="D559" s="260"/>
      <c r="E559" s="261"/>
      <c r="F559" s="260"/>
      <c r="G559" s="260"/>
      <c r="H559" s="260"/>
      <c r="I559" s="261"/>
      <c r="J559" s="260"/>
      <c r="K559" s="260"/>
      <c r="L559" s="260"/>
      <c r="M559" s="261"/>
      <c r="N559" s="260"/>
      <c r="O559" s="260"/>
      <c r="P559" s="260"/>
      <c r="Q559" s="261"/>
      <c r="R559" s="260"/>
      <c r="S559" s="260"/>
      <c r="T559" s="260"/>
      <c r="U559" s="261"/>
      <c r="V559" s="260"/>
      <c r="W559" s="260"/>
      <c r="X559" s="260"/>
      <c r="Y559" s="261"/>
    </row>
    <row r="560" spans="1:25" ht="12.75" hidden="1" customHeight="1" outlineLevel="2" x14ac:dyDescent="0.2">
      <c r="A560" s="188" t="str">
        <f>"   "&amp;Labels!B381</f>
        <v xml:space="preserve">   Practice 1</v>
      </c>
      <c r="B560" s="256"/>
      <c r="C560" s="256"/>
      <c r="D560" s="256"/>
      <c r="E560" s="257"/>
      <c r="F560" s="256"/>
      <c r="G560" s="256"/>
      <c r="H560" s="256"/>
      <c r="I560" s="257"/>
      <c r="J560" s="256"/>
      <c r="K560" s="256"/>
      <c r="L560" s="256"/>
      <c r="M560" s="257"/>
      <c r="N560" s="256"/>
      <c r="O560" s="256"/>
      <c r="P560" s="256"/>
      <c r="Q560" s="257"/>
      <c r="R560" s="256"/>
      <c r="S560" s="256"/>
      <c r="T560" s="256"/>
      <c r="U560" s="257"/>
      <c r="V560" s="256"/>
      <c r="W560" s="256"/>
      <c r="X560" s="256"/>
      <c r="Y560" s="257"/>
    </row>
    <row r="561" spans="1:25" ht="12.75" hidden="1" customHeight="1" outlineLevel="2" x14ac:dyDescent="0.2">
      <c r="A561" s="198" t="str">
        <f>"      "&amp;Labels!B385</f>
        <v xml:space="preserve">      Prof Level 1</v>
      </c>
      <c r="B561" s="258">
        <f>MAX(0,'GM CostSvcs'!B351-Practices!B397-Practices!B296)</f>
        <v>0</v>
      </c>
      <c r="C561" s="258">
        <f>MAX(0,'GM CostSvcs'!C351-Practices!C397-Practices!C296)</f>
        <v>0</v>
      </c>
      <c r="D561" s="258">
        <f>MAX(0,'GM CostSvcs'!D351-Practices!D397-Practices!D296)</f>
        <v>0</v>
      </c>
      <c r="E561" s="259">
        <f>SUM(B561:D561)</f>
        <v>0</v>
      </c>
      <c r="F561" s="258">
        <f>MAX(0,'GM CostSvcs'!F351-Practices!F397-Practices!F296)</f>
        <v>0</v>
      </c>
      <c r="G561" s="258">
        <f>MAX(0,'GM CostSvcs'!G351-Practices!G397-Practices!G296)</f>
        <v>0</v>
      </c>
      <c r="H561" s="258">
        <f>MAX(0,'GM CostSvcs'!H351-Practices!H397-Practices!H296)</f>
        <v>0</v>
      </c>
      <c r="I561" s="259">
        <f>SUM(F561:H561)</f>
        <v>0</v>
      </c>
      <c r="J561" s="258">
        <f>MAX(0,'GM CostSvcs'!J351-Practices!J397-Practices!J296)</f>
        <v>0</v>
      </c>
      <c r="K561" s="258">
        <f>MAX(0,'GM CostSvcs'!K351-Practices!K397-Practices!K296)</f>
        <v>0</v>
      </c>
      <c r="L561" s="258">
        <f>MAX(0,'GM CostSvcs'!L351-Practices!L397-Practices!L296)</f>
        <v>0</v>
      </c>
      <c r="M561" s="259">
        <f>SUM(J561:L561)</f>
        <v>0</v>
      </c>
      <c r="N561" s="258">
        <f>MAX(0,'GM CostSvcs'!N351-Practices!N397-Practices!N296)</f>
        <v>0</v>
      </c>
      <c r="O561" s="258">
        <f>MAX(0,'GM CostSvcs'!O351-Practices!O397-Practices!O296)</f>
        <v>0</v>
      </c>
      <c r="P561" s="258">
        <f>MAX(0,'GM CostSvcs'!P351-Practices!P397-Practices!P296)</f>
        <v>0</v>
      </c>
      <c r="Q561" s="259">
        <f>SUM(N561:P561)</f>
        <v>0</v>
      </c>
      <c r="R561" s="258">
        <f>MAX(0,'GM CostSvcs'!R351-Practices!R397-Practices!R296)</f>
        <v>0</v>
      </c>
      <c r="S561" s="258">
        <f>MAX(0,'GM CostSvcs'!S351-Practices!S397-Practices!S296)</f>
        <v>0</v>
      </c>
      <c r="T561" s="258">
        <f>MAX(0,'GM CostSvcs'!T351-Practices!T397-Practices!T296)</f>
        <v>0</v>
      </c>
      <c r="U561" s="259">
        <f>SUM(R561:T561)</f>
        <v>0</v>
      </c>
      <c r="V561" s="258">
        <f>MAX(0,'GM CostSvcs'!V351-Practices!V397-Practices!V296)</f>
        <v>0</v>
      </c>
      <c r="W561" s="258">
        <f>MAX(0,'GM CostSvcs'!W351-Practices!W397-Practices!W296)</f>
        <v>0</v>
      </c>
      <c r="X561" s="258">
        <f>MAX(0,'GM CostSvcs'!X351-Practices!X397-Practices!X296)</f>
        <v>0</v>
      </c>
      <c r="Y561" s="259">
        <f>SUM(V561:X561)</f>
        <v>0</v>
      </c>
    </row>
    <row r="562" spans="1:25" ht="12.75" hidden="1" customHeight="1" outlineLevel="2" x14ac:dyDescent="0.2">
      <c r="A562" s="198" t="str">
        <f>"      "&amp;Labels!B386</f>
        <v xml:space="preserve">      Prof Level 2</v>
      </c>
      <c r="B562" s="258">
        <f>MAX(0,'GM CostSvcs'!B352-Practices!B398-Practices!B297)</f>
        <v>0</v>
      </c>
      <c r="C562" s="258">
        <f>MAX(0,'GM CostSvcs'!C352-Practices!C398-Practices!C297)</f>
        <v>0</v>
      </c>
      <c r="D562" s="258">
        <f>MAX(0,'GM CostSvcs'!D352-Practices!D398-Practices!D297)</f>
        <v>0</v>
      </c>
      <c r="E562" s="259">
        <f>SUM(B562:D562)</f>
        <v>0</v>
      </c>
      <c r="F562" s="258">
        <f>MAX(0,'GM CostSvcs'!F352-Practices!F398-Practices!F297)</f>
        <v>0</v>
      </c>
      <c r="G562" s="258">
        <f>MAX(0,'GM CostSvcs'!G352-Practices!G398-Practices!G297)</f>
        <v>0</v>
      </c>
      <c r="H562" s="258">
        <f>MAX(0,'GM CostSvcs'!H352-Practices!H398-Practices!H297)</f>
        <v>0</v>
      </c>
      <c r="I562" s="259">
        <f>SUM(F562:H562)</f>
        <v>0</v>
      </c>
      <c r="J562" s="258">
        <f>MAX(0,'GM CostSvcs'!J352-Practices!J398-Practices!J297)</f>
        <v>0</v>
      </c>
      <c r="K562" s="258">
        <f>MAX(0,'GM CostSvcs'!K352-Practices!K398-Practices!K297)</f>
        <v>0</v>
      </c>
      <c r="L562" s="258">
        <f>MAX(0,'GM CostSvcs'!L352-Practices!L398-Practices!L297)</f>
        <v>0</v>
      </c>
      <c r="M562" s="259">
        <f>SUM(J562:L562)</f>
        <v>0</v>
      </c>
      <c r="N562" s="258">
        <f>MAX(0,'GM CostSvcs'!N352-Practices!N398-Practices!N297)</f>
        <v>0</v>
      </c>
      <c r="O562" s="258">
        <f>MAX(0,'GM CostSvcs'!O352-Practices!O398-Practices!O297)</f>
        <v>0</v>
      </c>
      <c r="P562" s="258">
        <f>MAX(0,'GM CostSvcs'!P352-Practices!P398-Practices!P297)</f>
        <v>0</v>
      </c>
      <c r="Q562" s="259">
        <f>SUM(N562:P562)</f>
        <v>0</v>
      </c>
      <c r="R562" s="258">
        <f>MAX(0,'GM CostSvcs'!R352-Practices!R398-Practices!R297)</f>
        <v>0</v>
      </c>
      <c r="S562" s="258">
        <f>MAX(0,'GM CostSvcs'!S352-Practices!S398-Practices!S297)</f>
        <v>0</v>
      </c>
      <c r="T562" s="258">
        <f>MAX(0,'GM CostSvcs'!T352-Practices!T398-Practices!T297)</f>
        <v>0</v>
      </c>
      <c r="U562" s="259">
        <f>SUM(R562:T562)</f>
        <v>0</v>
      </c>
      <c r="V562" s="258">
        <f>MAX(0,'GM CostSvcs'!V352-Practices!V398-Practices!V297)</f>
        <v>0</v>
      </c>
      <c r="W562" s="258">
        <f>MAX(0,'GM CostSvcs'!W352-Practices!W398-Practices!W297)</f>
        <v>0</v>
      </c>
      <c r="X562" s="258">
        <f>MAX(0,'GM CostSvcs'!X352-Practices!X398-Practices!X297)</f>
        <v>0</v>
      </c>
      <c r="Y562" s="259">
        <f>SUM(V562:X562)</f>
        <v>0</v>
      </c>
    </row>
    <row r="563" spans="1:25" ht="12.75" hidden="1" customHeight="1" outlineLevel="2" x14ac:dyDescent="0.2">
      <c r="A563" s="188" t="str">
        <f>"      "&amp;Labels!C384</f>
        <v xml:space="preserve">      Total</v>
      </c>
      <c r="B563" s="256">
        <f>SUM(B561:B562)</f>
        <v>0</v>
      </c>
      <c r="C563" s="256">
        <f>SUM(C561:C562)</f>
        <v>0</v>
      </c>
      <c r="D563" s="256">
        <f>SUM(D561:D562)</f>
        <v>0</v>
      </c>
      <c r="E563" s="257">
        <f>SUM(B563:D563)</f>
        <v>0</v>
      </c>
      <c r="F563" s="256">
        <f>SUM(F561:F562)</f>
        <v>0</v>
      </c>
      <c r="G563" s="256">
        <f>SUM(G561:G562)</f>
        <v>0</v>
      </c>
      <c r="H563" s="256">
        <f>SUM(H561:H562)</f>
        <v>0</v>
      </c>
      <c r="I563" s="257">
        <f>SUM(F563:H563)</f>
        <v>0</v>
      </c>
      <c r="J563" s="256">
        <f>SUM(J561:J562)</f>
        <v>0</v>
      </c>
      <c r="K563" s="256">
        <f>SUM(K561:K562)</f>
        <v>0</v>
      </c>
      <c r="L563" s="256">
        <f>SUM(L561:L562)</f>
        <v>0</v>
      </c>
      <c r="M563" s="257">
        <f>SUM(J563:L563)</f>
        <v>0</v>
      </c>
      <c r="N563" s="256">
        <f>SUM(N561:N562)</f>
        <v>0</v>
      </c>
      <c r="O563" s="256">
        <f>SUM(O561:O562)</f>
        <v>0</v>
      </c>
      <c r="P563" s="256">
        <f>SUM(P561:P562)</f>
        <v>0</v>
      </c>
      <c r="Q563" s="257">
        <f>SUM(N563:P563)</f>
        <v>0</v>
      </c>
      <c r="R563" s="256">
        <f>SUM(R561:R562)</f>
        <v>0</v>
      </c>
      <c r="S563" s="256">
        <f>SUM(S561:S562)</f>
        <v>0</v>
      </c>
      <c r="T563" s="256">
        <f>SUM(T561:T562)</f>
        <v>0</v>
      </c>
      <c r="U563" s="257">
        <f>SUM(R563:T563)</f>
        <v>0</v>
      </c>
      <c r="V563" s="256">
        <f>SUM(V561:V562)</f>
        <v>0</v>
      </c>
      <c r="W563" s="256">
        <f>SUM(W561:W562)</f>
        <v>0</v>
      </c>
      <c r="X563" s="256">
        <f>SUM(X561:X562)</f>
        <v>0</v>
      </c>
      <c r="Y563" s="257">
        <f>SUM(V563:X563)</f>
        <v>0</v>
      </c>
    </row>
    <row r="564" spans="1:25" ht="12.75" hidden="1" customHeight="1" outlineLevel="2" x14ac:dyDescent="0.2">
      <c r="A564" s="188" t="str">
        <f>"   "&amp;Labels!B382</f>
        <v xml:space="preserve">   Practice 2</v>
      </c>
      <c r="B564" s="256"/>
      <c r="C564" s="256"/>
      <c r="D564" s="256"/>
      <c r="E564" s="257"/>
      <c r="F564" s="256"/>
      <c r="G564" s="256"/>
      <c r="H564" s="256"/>
      <c r="I564" s="257"/>
      <c r="J564" s="256"/>
      <c r="K564" s="256"/>
      <c r="L564" s="256"/>
      <c r="M564" s="257"/>
      <c r="N564" s="256"/>
      <c r="O564" s="256"/>
      <c r="P564" s="256"/>
      <c r="Q564" s="257"/>
      <c r="R564" s="256"/>
      <c r="S564" s="256"/>
      <c r="T564" s="256"/>
      <c r="U564" s="257"/>
      <c r="V564" s="256"/>
      <c r="W564" s="256"/>
      <c r="X564" s="256"/>
      <c r="Y564" s="257"/>
    </row>
    <row r="565" spans="1:25" ht="12.75" hidden="1" customHeight="1" outlineLevel="2" x14ac:dyDescent="0.2">
      <c r="A565" s="198" t="str">
        <f>"      "&amp;Labels!B385</f>
        <v xml:space="preserve">      Prof Level 1</v>
      </c>
      <c r="B565" s="258">
        <f>MAX(0,'GM CostSvcs'!B355-Practices!B401-Practices!B300)</f>
        <v>0</v>
      </c>
      <c r="C565" s="258">
        <f>MAX(0,'GM CostSvcs'!C355-Practices!C401-Practices!C300)</f>
        <v>0</v>
      </c>
      <c r="D565" s="258">
        <f>MAX(0,'GM CostSvcs'!D355-Practices!D401-Practices!D300)</f>
        <v>0</v>
      </c>
      <c r="E565" s="259">
        <f t="shared" ref="E565:E570" si="348">SUM(B565:D565)</f>
        <v>0</v>
      </c>
      <c r="F565" s="258">
        <f>MAX(0,'GM CostSvcs'!F355-Practices!F401-Practices!F300)</f>
        <v>0</v>
      </c>
      <c r="G565" s="258">
        <f>MAX(0,'GM CostSvcs'!G355-Practices!G401-Practices!G300)</f>
        <v>0</v>
      </c>
      <c r="H565" s="258">
        <f>MAX(0,'GM CostSvcs'!H355-Practices!H401-Practices!H300)</f>
        <v>0</v>
      </c>
      <c r="I565" s="259">
        <f t="shared" ref="I565:I570" si="349">SUM(F565:H565)</f>
        <v>0</v>
      </c>
      <c r="J565" s="258">
        <f>MAX(0,'GM CostSvcs'!J355-Practices!J401-Practices!J300)</f>
        <v>0</v>
      </c>
      <c r="K565" s="258">
        <f>MAX(0,'GM CostSvcs'!K355-Practices!K401-Practices!K300)</f>
        <v>0</v>
      </c>
      <c r="L565" s="258">
        <f>MAX(0,'GM CostSvcs'!L355-Practices!L401-Practices!L300)</f>
        <v>0</v>
      </c>
      <c r="M565" s="259">
        <f t="shared" ref="M565:M570" si="350">SUM(J565:L565)</f>
        <v>0</v>
      </c>
      <c r="N565" s="258">
        <f>MAX(0,'GM CostSvcs'!N355-Practices!N401-Practices!N300)</f>
        <v>0</v>
      </c>
      <c r="O565" s="258">
        <f>MAX(0,'GM CostSvcs'!O355-Practices!O401-Practices!O300)</f>
        <v>0</v>
      </c>
      <c r="P565" s="258">
        <f>MAX(0,'GM CostSvcs'!P355-Practices!P401-Practices!P300)</f>
        <v>0</v>
      </c>
      <c r="Q565" s="259">
        <f t="shared" ref="Q565:Q570" si="351">SUM(N565:P565)</f>
        <v>0</v>
      </c>
      <c r="R565" s="258">
        <f>MAX(0,'GM CostSvcs'!R355-Practices!R401-Practices!R300)</f>
        <v>0</v>
      </c>
      <c r="S565" s="258">
        <f>MAX(0,'GM CostSvcs'!S355-Practices!S401-Practices!S300)</f>
        <v>0</v>
      </c>
      <c r="T565" s="258">
        <f>MAX(0,'GM CostSvcs'!T355-Practices!T401-Practices!T300)</f>
        <v>0</v>
      </c>
      <c r="U565" s="259">
        <f t="shared" ref="U565:U570" si="352">SUM(R565:T565)</f>
        <v>0</v>
      </c>
      <c r="V565" s="258">
        <f>MAX(0,'GM CostSvcs'!V355-Practices!V401-Practices!V300)</f>
        <v>0</v>
      </c>
      <c r="W565" s="258">
        <f>MAX(0,'GM CostSvcs'!W355-Practices!W401-Practices!W300)</f>
        <v>0</v>
      </c>
      <c r="X565" s="258">
        <f>MAX(0,'GM CostSvcs'!X355-Practices!X401-Practices!X300)</f>
        <v>0</v>
      </c>
      <c r="Y565" s="259">
        <f t="shared" ref="Y565:Y570" si="353">SUM(V565:X565)</f>
        <v>0</v>
      </c>
    </row>
    <row r="566" spans="1:25" ht="12.75" hidden="1" customHeight="1" outlineLevel="2" x14ac:dyDescent="0.2">
      <c r="A566" s="198" t="str">
        <f>"      "&amp;Labels!B386</f>
        <v xml:space="preserve">      Prof Level 2</v>
      </c>
      <c r="B566" s="258">
        <f>MAX(0,'GM CostSvcs'!B356-Practices!B402-Practices!B301)</f>
        <v>0</v>
      </c>
      <c r="C566" s="258">
        <f>MAX(0,'GM CostSvcs'!C356-Practices!C402-Practices!C301)</f>
        <v>0</v>
      </c>
      <c r="D566" s="258">
        <f>MAX(0,'GM CostSvcs'!D356-Practices!D402-Practices!D301)</f>
        <v>0</v>
      </c>
      <c r="E566" s="259">
        <f t="shared" si="348"/>
        <v>0</v>
      </c>
      <c r="F566" s="258">
        <f>MAX(0,'GM CostSvcs'!F356-Practices!F402-Practices!F301)</f>
        <v>0</v>
      </c>
      <c r="G566" s="258">
        <f>MAX(0,'GM CostSvcs'!G356-Practices!G402-Practices!G301)</f>
        <v>0</v>
      </c>
      <c r="H566" s="258">
        <f>MAX(0,'GM CostSvcs'!H356-Practices!H402-Practices!H301)</f>
        <v>0</v>
      </c>
      <c r="I566" s="259">
        <f t="shared" si="349"/>
        <v>0</v>
      </c>
      <c r="J566" s="258">
        <f>MAX(0,'GM CostSvcs'!J356-Practices!J402-Practices!J301)</f>
        <v>0</v>
      </c>
      <c r="K566" s="258">
        <f>MAX(0,'GM CostSvcs'!K356-Practices!K402-Practices!K301)</f>
        <v>0</v>
      </c>
      <c r="L566" s="258">
        <f>MAX(0,'GM CostSvcs'!L356-Practices!L402-Practices!L301)</f>
        <v>0</v>
      </c>
      <c r="M566" s="259">
        <f t="shared" si="350"/>
        <v>0</v>
      </c>
      <c r="N566" s="258">
        <f>MAX(0,'GM CostSvcs'!N356-Practices!N402-Practices!N301)</f>
        <v>0</v>
      </c>
      <c r="O566" s="258">
        <f>MAX(0,'GM CostSvcs'!O356-Practices!O402-Practices!O301)</f>
        <v>0</v>
      </c>
      <c r="P566" s="258">
        <f>MAX(0,'GM CostSvcs'!P356-Practices!P402-Practices!P301)</f>
        <v>0</v>
      </c>
      <c r="Q566" s="259">
        <f t="shared" si="351"/>
        <v>0</v>
      </c>
      <c r="R566" s="258">
        <f>MAX(0,'GM CostSvcs'!R356-Practices!R402-Practices!R301)</f>
        <v>0</v>
      </c>
      <c r="S566" s="258">
        <f>MAX(0,'GM CostSvcs'!S356-Practices!S402-Practices!S301)</f>
        <v>0</v>
      </c>
      <c r="T566" s="258">
        <f>MAX(0,'GM CostSvcs'!T356-Practices!T402-Practices!T301)</f>
        <v>0</v>
      </c>
      <c r="U566" s="259">
        <f t="shared" si="352"/>
        <v>0</v>
      </c>
      <c r="V566" s="258">
        <f>MAX(0,'GM CostSvcs'!V356-Practices!V402-Practices!V301)</f>
        <v>0</v>
      </c>
      <c r="W566" s="258">
        <f>MAX(0,'GM CostSvcs'!W356-Practices!W402-Practices!W301)</f>
        <v>0</v>
      </c>
      <c r="X566" s="258">
        <f>MAX(0,'GM CostSvcs'!X356-Practices!X402-Practices!X301)</f>
        <v>0</v>
      </c>
      <c r="Y566" s="259">
        <f t="shared" si="353"/>
        <v>0</v>
      </c>
    </row>
    <row r="567" spans="1:25" ht="12.75" hidden="1" customHeight="1" outlineLevel="2" x14ac:dyDescent="0.2">
      <c r="A567" s="188" t="str">
        <f>"      "&amp;Labels!C384</f>
        <v xml:space="preserve">      Total</v>
      </c>
      <c r="B567" s="256">
        <f>SUM(B565:B566)</f>
        <v>0</v>
      </c>
      <c r="C567" s="256">
        <f>SUM(C565:C566)</f>
        <v>0</v>
      </c>
      <c r="D567" s="256">
        <f>SUM(D565:D566)</f>
        <v>0</v>
      </c>
      <c r="E567" s="257">
        <f t="shared" si="348"/>
        <v>0</v>
      </c>
      <c r="F567" s="256">
        <f>SUM(F565:F566)</f>
        <v>0</v>
      </c>
      <c r="G567" s="256">
        <f>SUM(G565:G566)</f>
        <v>0</v>
      </c>
      <c r="H567" s="256">
        <f>SUM(H565:H566)</f>
        <v>0</v>
      </c>
      <c r="I567" s="257">
        <f t="shared" si="349"/>
        <v>0</v>
      </c>
      <c r="J567" s="256">
        <f>SUM(J565:J566)</f>
        <v>0</v>
      </c>
      <c r="K567" s="256">
        <f>SUM(K565:K566)</f>
        <v>0</v>
      </c>
      <c r="L567" s="256">
        <f>SUM(L565:L566)</f>
        <v>0</v>
      </c>
      <c r="M567" s="257">
        <f t="shared" si="350"/>
        <v>0</v>
      </c>
      <c r="N567" s="256">
        <f>SUM(N565:N566)</f>
        <v>0</v>
      </c>
      <c r="O567" s="256">
        <f>SUM(O565:O566)</f>
        <v>0</v>
      </c>
      <c r="P567" s="256">
        <f>SUM(P565:P566)</f>
        <v>0</v>
      </c>
      <c r="Q567" s="257">
        <f t="shared" si="351"/>
        <v>0</v>
      </c>
      <c r="R567" s="256">
        <f>SUM(R565:R566)</f>
        <v>0</v>
      </c>
      <c r="S567" s="256">
        <f>SUM(S565:S566)</f>
        <v>0</v>
      </c>
      <c r="T567" s="256">
        <f>SUM(T565:T566)</f>
        <v>0</v>
      </c>
      <c r="U567" s="257">
        <f t="shared" si="352"/>
        <v>0</v>
      </c>
      <c r="V567" s="256">
        <f>SUM(V565:V566)</f>
        <v>0</v>
      </c>
      <c r="W567" s="256">
        <f>SUM(W565:W566)</f>
        <v>0</v>
      </c>
      <c r="X567" s="256">
        <f>SUM(X565:X566)</f>
        <v>0</v>
      </c>
      <c r="Y567" s="257">
        <f t="shared" si="353"/>
        <v>0</v>
      </c>
    </row>
    <row r="568" spans="1:25" ht="12.75" hidden="1" customHeight="1" outlineLevel="2" x14ac:dyDescent="0.2">
      <c r="A568" s="191" t="str">
        <f>"   "&amp;Labels!C380</f>
        <v xml:space="preserve">   Total</v>
      </c>
      <c r="B568" s="260">
        <f>SUM(B563,B567)</f>
        <v>0</v>
      </c>
      <c r="C568" s="260">
        <f>SUM(C563,C567)</f>
        <v>0</v>
      </c>
      <c r="D568" s="260">
        <f>SUM(D563,D567)</f>
        <v>0</v>
      </c>
      <c r="E568" s="261">
        <f t="shared" si="348"/>
        <v>0</v>
      </c>
      <c r="F568" s="260">
        <f>SUM(F563,F567)</f>
        <v>0</v>
      </c>
      <c r="G568" s="260">
        <f>SUM(G563,G567)</f>
        <v>0</v>
      </c>
      <c r="H568" s="260">
        <f>SUM(H563,H567)</f>
        <v>0</v>
      </c>
      <c r="I568" s="261">
        <f t="shared" si="349"/>
        <v>0</v>
      </c>
      <c r="J568" s="260">
        <f>SUM(J563,J567)</f>
        <v>0</v>
      </c>
      <c r="K568" s="260">
        <f>SUM(K563,K567)</f>
        <v>0</v>
      </c>
      <c r="L568" s="260">
        <f>SUM(L563,L567)</f>
        <v>0</v>
      </c>
      <c r="M568" s="261">
        <f t="shared" si="350"/>
        <v>0</v>
      </c>
      <c r="N568" s="260">
        <f>SUM(N563,N567)</f>
        <v>0</v>
      </c>
      <c r="O568" s="260">
        <f>SUM(O563,O567)</f>
        <v>0</v>
      </c>
      <c r="P568" s="260">
        <f>SUM(P563,P567)</f>
        <v>0</v>
      </c>
      <c r="Q568" s="261">
        <f t="shared" si="351"/>
        <v>0</v>
      </c>
      <c r="R568" s="260">
        <f>SUM(R563,R567)</f>
        <v>0</v>
      </c>
      <c r="S568" s="260">
        <f>SUM(S563,S567)</f>
        <v>0</v>
      </c>
      <c r="T568" s="260">
        <f>SUM(T563,T567)</f>
        <v>0</v>
      </c>
      <c r="U568" s="261">
        <f t="shared" si="352"/>
        <v>0</v>
      </c>
      <c r="V568" s="260">
        <f>SUM(V563,V567)</f>
        <v>0</v>
      </c>
      <c r="W568" s="260">
        <f>SUM(W563,W567)</f>
        <v>0</v>
      </c>
      <c r="X568" s="260">
        <f>SUM(X563,X567)</f>
        <v>0</v>
      </c>
      <c r="Y568" s="261">
        <f t="shared" si="353"/>
        <v>0</v>
      </c>
    </row>
    <row r="569" spans="1:25" ht="12.75" hidden="1" customHeight="1" outlineLevel="2" x14ac:dyDescent="0.2">
      <c r="A569" s="198" t="str">
        <f>"      "&amp;Labels!B385</f>
        <v xml:space="preserve">      Prof Level 1</v>
      </c>
      <c r="B569" s="258">
        <f t="shared" ref="B569:D571" si="354">SUM(B561,B565)</f>
        <v>0</v>
      </c>
      <c r="C569" s="258">
        <f t="shared" si="354"/>
        <v>0</v>
      </c>
      <c r="D569" s="258">
        <f t="shared" si="354"/>
        <v>0</v>
      </c>
      <c r="E569" s="259">
        <f t="shared" si="348"/>
        <v>0</v>
      </c>
      <c r="F569" s="258">
        <f t="shared" ref="F569:H571" si="355">SUM(F561,F565)</f>
        <v>0</v>
      </c>
      <c r="G569" s="258">
        <f t="shared" si="355"/>
        <v>0</v>
      </c>
      <c r="H569" s="258">
        <f t="shared" si="355"/>
        <v>0</v>
      </c>
      <c r="I569" s="259">
        <f t="shared" si="349"/>
        <v>0</v>
      </c>
      <c r="J569" s="258">
        <f t="shared" ref="J569:L571" si="356">SUM(J561,J565)</f>
        <v>0</v>
      </c>
      <c r="K569" s="258">
        <f t="shared" si="356"/>
        <v>0</v>
      </c>
      <c r="L569" s="258">
        <f t="shared" si="356"/>
        <v>0</v>
      </c>
      <c r="M569" s="259">
        <f t="shared" si="350"/>
        <v>0</v>
      </c>
      <c r="N569" s="258">
        <f t="shared" ref="N569:P571" si="357">SUM(N561,N565)</f>
        <v>0</v>
      </c>
      <c r="O569" s="258">
        <f t="shared" si="357"/>
        <v>0</v>
      </c>
      <c r="P569" s="258">
        <f t="shared" si="357"/>
        <v>0</v>
      </c>
      <c r="Q569" s="259">
        <f t="shared" si="351"/>
        <v>0</v>
      </c>
      <c r="R569" s="258">
        <f t="shared" ref="R569:T571" si="358">SUM(R561,R565)</f>
        <v>0</v>
      </c>
      <c r="S569" s="258">
        <f t="shared" si="358"/>
        <v>0</v>
      </c>
      <c r="T569" s="258">
        <f t="shared" si="358"/>
        <v>0</v>
      </c>
      <c r="U569" s="259">
        <f t="shared" si="352"/>
        <v>0</v>
      </c>
      <c r="V569" s="258">
        <f t="shared" ref="V569:X571" si="359">SUM(V561,V565)</f>
        <v>0</v>
      </c>
      <c r="W569" s="258">
        <f t="shared" si="359"/>
        <v>0</v>
      </c>
      <c r="X569" s="258">
        <f t="shared" si="359"/>
        <v>0</v>
      </c>
      <c r="Y569" s="259">
        <f t="shared" si="353"/>
        <v>0</v>
      </c>
    </row>
    <row r="570" spans="1:25" ht="12.75" hidden="1" customHeight="1" outlineLevel="2" x14ac:dyDescent="0.2">
      <c r="A570" s="198" t="str">
        <f>"      "&amp;Labels!B386</f>
        <v xml:space="preserve">      Prof Level 2</v>
      </c>
      <c r="B570" s="258">
        <f t="shared" si="354"/>
        <v>0</v>
      </c>
      <c r="C570" s="258">
        <f t="shared" si="354"/>
        <v>0</v>
      </c>
      <c r="D570" s="258">
        <f t="shared" si="354"/>
        <v>0</v>
      </c>
      <c r="E570" s="259">
        <f t="shared" si="348"/>
        <v>0</v>
      </c>
      <c r="F570" s="258">
        <f t="shared" si="355"/>
        <v>0</v>
      </c>
      <c r="G570" s="258">
        <f t="shared" si="355"/>
        <v>0</v>
      </c>
      <c r="H570" s="258">
        <f t="shared" si="355"/>
        <v>0</v>
      </c>
      <c r="I570" s="259">
        <f t="shared" si="349"/>
        <v>0</v>
      </c>
      <c r="J570" s="258">
        <f t="shared" si="356"/>
        <v>0</v>
      </c>
      <c r="K570" s="258">
        <f t="shared" si="356"/>
        <v>0</v>
      </c>
      <c r="L570" s="258">
        <f t="shared" si="356"/>
        <v>0</v>
      </c>
      <c r="M570" s="259">
        <f t="shared" si="350"/>
        <v>0</v>
      </c>
      <c r="N570" s="258">
        <f t="shared" si="357"/>
        <v>0</v>
      </c>
      <c r="O570" s="258">
        <f t="shared" si="357"/>
        <v>0</v>
      </c>
      <c r="P570" s="258">
        <f t="shared" si="357"/>
        <v>0</v>
      </c>
      <c r="Q570" s="259">
        <f t="shared" si="351"/>
        <v>0</v>
      </c>
      <c r="R570" s="258">
        <f t="shared" si="358"/>
        <v>0</v>
      </c>
      <c r="S570" s="258">
        <f t="shared" si="358"/>
        <v>0</v>
      </c>
      <c r="T570" s="258">
        <f t="shared" si="358"/>
        <v>0</v>
      </c>
      <c r="U570" s="259">
        <f t="shared" si="352"/>
        <v>0</v>
      </c>
      <c r="V570" s="258">
        <f t="shared" si="359"/>
        <v>0</v>
      </c>
      <c r="W570" s="258">
        <f t="shared" si="359"/>
        <v>0</v>
      </c>
      <c r="X570" s="258">
        <f t="shared" si="359"/>
        <v>0</v>
      </c>
      <c r="Y570" s="259">
        <f t="shared" si="353"/>
        <v>0</v>
      </c>
    </row>
    <row r="571" spans="1:25" ht="12.75" hidden="1" customHeight="1" outlineLevel="2" x14ac:dyDescent="0.2">
      <c r="A571" s="188" t="str">
        <f>"      "&amp;Labels!C384</f>
        <v xml:space="preserve">      Total</v>
      </c>
      <c r="B571" s="256">
        <f t="shared" si="354"/>
        <v>0</v>
      </c>
      <c r="C571" s="256">
        <f t="shared" si="354"/>
        <v>0</v>
      </c>
      <c r="D571" s="256">
        <f t="shared" si="354"/>
        <v>0</v>
      </c>
      <c r="E571" s="257">
        <f>SUM(B568:D568)</f>
        <v>0</v>
      </c>
      <c r="F571" s="256">
        <f t="shared" si="355"/>
        <v>0</v>
      </c>
      <c r="G571" s="256">
        <f t="shared" si="355"/>
        <v>0</v>
      </c>
      <c r="H571" s="256">
        <f t="shared" si="355"/>
        <v>0</v>
      </c>
      <c r="I571" s="257">
        <f>SUM(F568:H568)</f>
        <v>0</v>
      </c>
      <c r="J571" s="256">
        <f t="shared" si="356"/>
        <v>0</v>
      </c>
      <c r="K571" s="256">
        <f t="shared" si="356"/>
        <v>0</v>
      </c>
      <c r="L571" s="256">
        <f t="shared" si="356"/>
        <v>0</v>
      </c>
      <c r="M571" s="257">
        <f>SUM(J568:L568)</f>
        <v>0</v>
      </c>
      <c r="N571" s="256">
        <f t="shared" si="357"/>
        <v>0</v>
      </c>
      <c r="O571" s="256">
        <f t="shared" si="357"/>
        <v>0</v>
      </c>
      <c r="P571" s="256">
        <f t="shared" si="357"/>
        <v>0</v>
      </c>
      <c r="Q571" s="257">
        <f>SUM(N568:P568)</f>
        <v>0</v>
      </c>
      <c r="R571" s="256">
        <f t="shared" si="358"/>
        <v>0</v>
      </c>
      <c r="S571" s="256">
        <f t="shared" si="358"/>
        <v>0</v>
      </c>
      <c r="T571" s="256">
        <f t="shared" si="358"/>
        <v>0</v>
      </c>
      <c r="U571" s="257">
        <f>SUM(R568:T568)</f>
        <v>0</v>
      </c>
      <c r="V571" s="256">
        <f t="shared" si="359"/>
        <v>0</v>
      </c>
      <c r="W571" s="256">
        <f t="shared" si="359"/>
        <v>0</v>
      </c>
      <c r="X571" s="256">
        <f t="shared" si="359"/>
        <v>0</v>
      </c>
      <c r="Y571" s="257">
        <f>SUM(V568:X568)</f>
        <v>0</v>
      </c>
    </row>
    <row r="572" spans="1:25" ht="12.75" hidden="1" customHeight="1" outlineLevel="2" x14ac:dyDescent="0.2">
      <c r="A572" s="97"/>
      <c r="B572" s="6"/>
      <c r="C572" s="6"/>
      <c r="D572" s="6"/>
      <c r="E572" s="97"/>
      <c r="F572" s="6"/>
      <c r="G572" s="6"/>
      <c r="H572" s="6"/>
      <c r="I572" s="97"/>
      <c r="J572" s="6"/>
      <c r="K572" s="6"/>
      <c r="L572" s="6"/>
      <c r="M572" s="97"/>
      <c r="N572" s="6"/>
      <c r="O572" s="6"/>
      <c r="P572" s="6"/>
      <c r="Q572" s="97"/>
      <c r="R572" s="6"/>
      <c r="S572" s="6"/>
      <c r="T572" s="6"/>
      <c r="U572" s="97"/>
      <c r="V572" s="6"/>
      <c r="W572" s="6"/>
      <c r="X572" s="6"/>
      <c r="Y572" s="97"/>
    </row>
    <row r="573" spans="1:25" ht="12.75" hidden="1" customHeight="1" outlineLevel="2" x14ac:dyDescent="0.2">
      <c r="A573" s="191" t="str">
        <f>Labels!B186</f>
        <v>Billed Hours Growth</v>
      </c>
      <c r="B573" s="211"/>
      <c r="C573" s="211"/>
      <c r="D573" s="211"/>
      <c r="E573" s="210"/>
      <c r="F573" s="211"/>
      <c r="G573" s="211"/>
      <c r="H573" s="211"/>
      <c r="I573" s="210"/>
      <c r="J573" s="211"/>
      <c r="K573" s="211"/>
      <c r="L573" s="211"/>
      <c r="M573" s="210"/>
      <c r="N573" s="211"/>
      <c r="O573" s="211"/>
      <c r="P573" s="211"/>
      <c r="Q573" s="210"/>
      <c r="R573" s="211"/>
      <c r="S573" s="211"/>
      <c r="T573" s="211"/>
      <c r="U573" s="210"/>
      <c r="V573" s="211"/>
      <c r="W573" s="211"/>
      <c r="X573" s="211"/>
      <c r="Y573" s="210"/>
    </row>
    <row r="574" spans="1:25" ht="12.75" hidden="1" customHeight="1" outlineLevel="2" x14ac:dyDescent="0.2">
      <c r="A574" s="188" t="str">
        <f>"   "&amp;Labels!B317</f>
        <v xml:space="preserve">   Channels 1</v>
      </c>
      <c r="B574" s="218"/>
      <c r="C574" s="218"/>
      <c r="D574" s="218"/>
      <c r="E574" s="219"/>
      <c r="F574" s="218"/>
      <c r="G574" s="218"/>
      <c r="H574" s="218"/>
      <c r="I574" s="219"/>
      <c r="J574" s="218"/>
      <c r="K574" s="218"/>
      <c r="L574" s="218"/>
      <c r="M574" s="219"/>
      <c r="N574" s="218"/>
      <c r="O574" s="218"/>
      <c r="P574" s="218"/>
      <c r="Q574" s="219"/>
      <c r="R574" s="218"/>
      <c r="S574" s="218"/>
      <c r="T574" s="218"/>
      <c r="U574" s="219"/>
      <c r="V574" s="218"/>
      <c r="W574" s="218"/>
      <c r="X574" s="218"/>
      <c r="Y574" s="219"/>
    </row>
    <row r="575" spans="1:25" ht="12.75" hidden="1" customHeight="1" outlineLevel="2" x14ac:dyDescent="0.2">
      <c r="A575" s="198" t="str">
        <f>"      "&amp;Labels!B381</f>
        <v xml:space="preserve">      Practice 1</v>
      </c>
      <c r="B575" s="233"/>
      <c r="C575" s="233"/>
      <c r="D575" s="233"/>
      <c r="E575" s="234"/>
      <c r="F575" s="233"/>
      <c r="G575" s="233"/>
      <c r="H575" s="233"/>
      <c r="I575" s="234"/>
      <c r="J575" s="233"/>
      <c r="K575" s="233"/>
      <c r="L575" s="233"/>
      <c r="M575" s="234"/>
      <c r="N575" s="233"/>
      <c r="O575" s="233"/>
      <c r="P575" s="233"/>
      <c r="Q575" s="234"/>
      <c r="R575" s="233"/>
      <c r="S575" s="233"/>
      <c r="T575" s="233"/>
      <c r="U575" s="234"/>
      <c r="V575" s="233"/>
      <c r="W575" s="233"/>
      <c r="X575" s="233"/>
      <c r="Y575" s="234"/>
    </row>
    <row r="576" spans="1:25" ht="12.75" hidden="1" customHeight="1" outlineLevel="2" x14ac:dyDescent="0.2">
      <c r="A576" s="198" t="str">
        <f>"         "&amp;Labels!B385</f>
        <v xml:space="preserve">         Prof Level 1</v>
      </c>
      <c r="B576" s="233"/>
      <c r="C576" s="233" t="str">
        <f>IF(Sales!B184=0," ",Sales!C184/Sales!B184-1)</f>
        <v xml:space="preserve"> </v>
      </c>
      <c r="D576" s="233" t="str">
        <f>IF(Sales!C184=0," ",Sales!D184/Sales!C184-1)</f>
        <v xml:space="preserve"> </v>
      </c>
      <c r="E576" s="234" t="str">
        <f>IF(0=0," ",SUM(Sales!B184:D184)/0-1)</f>
        <v xml:space="preserve"> </v>
      </c>
      <c r="F576" s="233">
        <f>IF(Sales!D184=0," ",Sales!F184/Sales!D184-1)</f>
        <v>0</v>
      </c>
      <c r="G576" s="233">
        <f>IF(Sales!F184=0," ",Sales!G184/Sales!F184-1)</f>
        <v>-1</v>
      </c>
      <c r="H576" s="233" t="str">
        <f>IF(Sales!G184=0," ",Sales!H184/Sales!G184-1)</f>
        <v xml:space="preserve"> </v>
      </c>
      <c r="I576" s="234">
        <f>IF(SUM(Sales!B184:D184)=0," ",SUM(Sales!F184:H184)/SUM(Sales!B184:D184)-1)</f>
        <v>0.72727272727272729</v>
      </c>
      <c r="J576" s="233">
        <f>IF(Sales!H184=0," ",Sales!J184/Sales!H184-1)</f>
        <v>0</v>
      </c>
      <c r="K576" s="233">
        <f>IF(Sales!J184=0," ",Sales!K184/Sales!J184-1)</f>
        <v>0</v>
      </c>
      <c r="L576" s="233">
        <f>IF(Sales!K184=0," ",Sales!L184/Sales!K184-1)</f>
        <v>-1</v>
      </c>
      <c r="M576" s="234">
        <f>IF(SUM(Sales!F184:H184)=0," ",SUM(Sales!J184:L184)/SUM(Sales!F184:H184)-1)</f>
        <v>-0.15789473684210531</v>
      </c>
      <c r="N576" s="233" t="str">
        <f>IF(Sales!L184=0," ",Sales!N184/Sales!L184-1)</f>
        <v xml:space="preserve"> </v>
      </c>
      <c r="O576" s="233" t="str">
        <f>IF(Sales!N184=0," ",Sales!O184/Sales!N184-1)</f>
        <v xml:space="preserve"> </v>
      </c>
      <c r="P576" s="233" t="str">
        <f>IF(Sales!O184=0," ",Sales!P184/Sales!O184-1)</f>
        <v xml:space="preserve"> </v>
      </c>
      <c r="Q576" s="234">
        <f>IF(SUM(Sales!J184:L184)=0," ",SUM(Sales!N184:P184)/SUM(Sales!J184:L184)-1)</f>
        <v>-1</v>
      </c>
      <c r="R576" s="233" t="str">
        <f>IF(Sales!P184=0," ",Sales!R184/Sales!P184-1)</f>
        <v xml:space="preserve"> </v>
      </c>
      <c r="S576" s="233" t="str">
        <f>IF(Sales!R184=0," ",Sales!S184/Sales!R184-1)</f>
        <v xml:space="preserve"> </v>
      </c>
      <c r="T576" s="233" t="str">
        <f>IF(Sales!S184=0," ",Sales!T184/Sales!S184-1)</f>
        <v xml:space="preserve"> </v>
      </c>
      <c r="U576" s="234" t="str">
        <f>IF(SUM(Sales!N184:P184)=0," ",SUM(Sales!R184:T184)/SUM(Sales!N184:P184)-1)</f>
        <v xml:space="preserve"> </v>
      </c>
      <c r="V576" s="233" t="str">
        <f>IF(Sales!T184=0," ",Sales!V184/Sales!T184-1)</f>
        <v xml:space="preserve"> </v>
      </c>
      <c r="W576" s="233" t="str">
        <f>IF(Sales!V184=0," ",Sales!W184/Sales!V184-1)</f>
        <v xml:space="preserve"> </v>
      </c>
      <c r="X576" s="233" t="str">
        <f>IF(Sales!W184=0," ",Sales!X184/Sales!W184-1)</f>
        <v xml:space="preserve"> </v>
      </c>
      <c r="Y576" s="234" t="str">
        <f>IF(SUM(Sales!R184:T184)=0," ",SUM(Sales!V184:X184)/SUM(Sales!R184:T184)-1)</f>
        <v xml:space="preserve"> </v>
      </c>
    </row>
    <row r="577" spans="1:25" ht="12.75" hidden="1" customHeight="1" outlineLevel="2" x14ac:dyDescent="0.2">
      <c r="A577" s="198" t="str">
        <f>"         "&amp;Labels!B386</f>
        <v xml:space="preserve">         Prof Level 2</v>
      </c>
      <c r="B577" s="233"/>
      <c r="C577" s="233" t="str">
        <f>IF(Sales!B188=0," ",Sales!C188/Sales!B188-1)</f>
        <v xml:space="preserve"> </v>
      </c>
      <c r="D577" s="233" t="str">
        <f>IF(Sales!C188=0," ",Sales!D188/Sales!C188-1)</f>
        <v xml:space="preserve"> </v>
      </c>
      <c r="E577" s="234" t="str">
        <f>IF(0=0," ",SUM(Sales!B188:D188)/0-1)</f>
        <v xml:space="preserve"> </v>
      </c>
      <c r="F577" s="233">
        <f>IF(Sales!D188=0," ",Sales!F188/Sales!D188-1)</f>
        <v>0</v>
      </c>
      <c r="G577" s="233">
        <f>IF(Sales!F188=0," ",Sales!G188/Sales!F188-1)</f>
        <v>-1</v>
      </c>
      <c r="H577" s="233" t="str">
        <f>IF(Sales!G188=0," ",Sales!H188/Sales!G188-1)</f>
        <v xml:space="preserve"> </v>
      </c>
      <c r="I577" s="234">
        <f>IF(SUM(Sales!B188:D188)=0," ",SUM(Sales!F188:H188)/SUM(Sales!B188:D188)-1)</f>
        <v>0.72727272727272729</v>
      </c>
      <c r="J577" s="233">
        <f>IF(Sales!H188=0," ",Sales!J188/Sales!H188-1)</f>
        <v>0</v>
      </c>
      <c r="K577" s="233">
        <f>IF(Sales!J188=0," ",Sales!K188/Sales!J188-1)</f>
        <v>0</v>
      </c>
      <c r="L577" s="233">
        <f>IF(Sales!K188=0," ",Sales!L188/Sales!K188-1)</f>
        <v>-1</v>
      </c>
      <c r="M577" s="234">
        <f>IF(SUM(Sales!F188:H188)=0," ",SUM(Sales!J188:L188)/SUM(Sales!F188:H188)-1)</f>
        <v>-0.15789473684210531</v>
      </c>
      <c r="N577" s="233" t="str">
        <f>IF(Sales!L188=0," ",Sales!N188/Sales!L188-1)</f>
        <v xml:space="preserve"> </v>
      </c>
      <c r="O577" s="233" t="str">
        <f>IF(Sales!N188=0," ",Sales!O188/Sales!N188-1)</f>
        <v xml:space="preserve"> </v>
      </c>
      <c r="P577" s="233" t="str">
        <f>IF(Sales!O188=0," ",Sales!P188/Sales!O188-1)</f>
        <v xml:space="preserve"> </v>
      </c>
      <c r="Q577" s="234">
        <f>IF(SUM(Sales!J188:L188)=0," ",SUM(Sales!N188:P188)/SUM(Sales!J188:L188)-1)</f>
        <v>-1</v>
      </c>
      <c r="R577" s="233" t="str">
        <f>IF(Sales!P188=0," ",Sales!R188/Sales!P188-1)</f>
        <v xml:space="preserve"> </v>
      </c>
      <c r="S577" s="233" t="str">
        <f>IF(Sales!R188=0," ",Sales!S188/Sales!R188-1)</f>
        <v xml:space="preserve"> </v>
      </c>
      <c r="T577" s="233" t="str">
        <f>IF(Sales!S188=0," ",Sales!T188/Sales!S188-1)</f>
        <v xml:space="preserve"> </v>
      </c>
      <c r="U577" s="234" t="str">
        <f>IF(SUM(Sales!N188:P188)=0," ",SUM(Sales!R188:T188)/SUM(Sales!N188:P188)-1)</f>
        <v xml:space="preserve"> </v>
      </c>
      <c r="V577" s="233" t="str">
        <f>IF(Sales!T188=0," ",Sales!V188/Sales!T188-1)</f>
        <v xml:space="preserve"> </v>
      </c>
      <c r="W577" s="233" t="str">
        <f>IF(Sales!V188=0," ",Sales!W188/Sales!V188-1)</f>
        <v xml:space="preserve"> </v>
      </c>
      <c r="X577" s="233" t="str">
        <f>IF(Sales!W188=0," ",Sales!X188/Sales!W188-1)</f>
        <v xml:space="preserve"> </v>
      </c>
      <c r="Y577" s="234" t="str">
        <f>IF(SUM(Sales!R188:T188)=0," ",SUM(Sales!V188:X188)/SUM(Sales!R188:T188)-1)</f>
        <v xml:space="preserve"> </v>
      </c>
    </row>
    <row r="578" spans="1:25" ht="12.75" hidden="1" customHeight="1" outlineLevel="2" x14ac:dyDescent="0.2">
      <c r="A578" s="198" t="str">
        <f>"         "&amp;Labels!C384</f>
        <v xml:space="preserve">         Total</v>
      </c>
      <c r="B578" s="233"/>
      <c r="C578" s="233" t="str">
        <f>IF(Practices!B146=0," ",Practices!C146/Practices!B146-1)</f>
        <v xml:space="preserve"> </v>
      </c>
      <c r="D578" s="233" t="str">
        <f>IF(Practices!C146=0," ",Practices!D146/Practices!C146-1)</f>
        <v xml:space="preserve"> </v>
      </c>
      <c r="E578" s="234" t="str">
        <f>IF(0=0," ",SUM(Practices!B146:D146)/0-1)</f>
        <v xml:space="preserve"> </v>
      </c>
      <c r="F578" s="233">
        <f>IF(Practices!D146=0," ",Practices!F146/Practices!D146-1)</f>
        <v>0</v>
      </c>
      <c r="G578" s="233">
        <f>IF(Practices!F146=0," ",Practices!G146/Practices!F146-1)</f>
        <v>-1</v>
      </c>
      <c r="H578" s="233" t="str">
        <f>IF(Practices!G146=0," ",Practices!H146/Practices!G146-1)</f>
        <v xml:space="preserve"> </v>
      </c>
      <c r="I578" s="234">
        <f>IF(SUM(Practices!B146:D146)=0," ",SUM(Practices!F146:H146)/SUM(Practices!B146:D146)-1)</f>
        <v>0.72727272727272729</v>
      </c>
      <c r="J578" s="233">
        <f>IF(Practices!H146=0," ",Practices!J146/Practices!H146-1)</f>
        <v>0</v>
      </c>
      <c r="K578" s="233">
        <f>IF(Practices!J146=0," ",Practices!K146/Practices!J146-1)</f>
        <v>0</v>
      </c>
      <c r="L578" s="233">
        <f>IF(Practices!K146=0," ",Practices!L146/Practices!K146-1)</f>
        <v>-1</v>
      </c>
      <c r="M578" s="234">
        <f>IF(SUM(Practices!F146:H146)=0," ",SUM(Practices!J146:L146)/SUM(Practices!F146:H146)-1)</f>
        <v>-0.15789473684210531</v>
      </c>
      <c r="N578" s="233" t="str">
        <f>IF(Practices!L146=0," ",Practices!N146/Practices!L146-1)</f>
        <v xml:space="preserve"> </v>
      </c>
      <c r="O578" s="233" t="str">
        <f>IF(Practices!N146=0," ",Practices!O146/Practices!N146-1)</f>
        <v xml:space="preserve"> </v>
      </c>
      <c r="P578" s="233" t="str">
        <f>IF(Practices!O146=0," ",Practices!P146/Practices!O146-1)</f>
        <v xml:space="preserve"> </v>
      </c>
      <c r="Q578" s="234">
        <f>IF(SUM(Practices!J146:L146)=0," ",SUM(Practices!N146:P146)/SUM(Practices!J146:L146)-1)</f>
        <v>-1</v>
      </c>
      <c r="R578" s="233" t="str">
        <f>IF(Practices!P146=0," ",Practices!R146/Practices!P146-1)</f>
        <v xml:space="preserve"> </v>
      </c>
      <c r="S578" s="233" t="str">
        <f>IF(Practices!R146=0," ",Practices!S146/Practices!R146-1)</f>
        <v xml:space="preserve"> </v>
      </c>
      <c r="T578" s="233" t="str">
        <f>IF(Practices!S146=0," ",Practices!T146/Practices!S146-1)</f>
        <v xml:space="preserve"> </v>
      </c>
      <c r="U578" s="234" t="str">
        <f>IF(SUM(Practices!N146:P146)=0," ",SUM(Practices!R146:T146)/SUM(Practices!N146:P146)-1)</f>
        <v xml:space="preserve"> </v>
      </c>
      <c r="V578" s="233" t="str">
        <f>IF(Practices!T146=0," ",Practices!V146/Practices!T146-1)</f>
        <v xml:space="preserve"> </v>
      </c>
      <c r="W578" s="233" t="str">
        <f>IF(Practices!V146=0," ",Practices!W146/Practices!V146-1)</f>
        <v xml:space="preserve"> </v>
      </c>
      <c r="X578" s="233" t="str">
        <f>IF(Practices!W146=0," ",Practices!X146/Practices!W146-1)</f>
        <v xml:space="preserve"> </v>
      </c>
      <c r="Y578" s="234" t="str">
        <f>IF(SUM(Practices!R146:T146)=0," ",SUM(Practices!V146:X146)/SUM(Practices!R146:T146)-1)</f>
        <v xml:space="preserve"> </v>
      </c>
    </row>
    <row r="579" spans="1:25" ht="12.75" hidden="1" customHeight="1" outlineLevel="2" x14ac:dyDescent="0.2">
      <c r="A579" s="198" t="str">
        <f>"      "&amp;Labels!B382</f>
        <v xml:space="preserve">      Practice 2</v>
      </c>
      <c r="B579" s="233"/>
      <c r="C579" s="233"/>
      <c r="D579" s="233"/>
      <c r="E579" s="234"/>
      <c r="F579" s="233"/>
      <c r="G579" s="233"/>
      <c r="H579" s="233"/>
      <c r="I579" s="234"/>
      <c r="J579" s="233"/>
      <c r="K579" s="233"/>
      <c r="L579" s="233"/>
      <c r="M579" s="234"/>
      <c r="N579" s="233"/>
      <c r="O579" s="233"/>
      <c r="P579" s="233"/>
      <c r="Q579" s="234"/>
      <c r="R579" s="233"/>
      <c r="S579" s="233"/>
      <c r="T579" s="233"/>
      <c r="U579" s="234"/>
      <c r="V579" s="233"/>
      <c r="W579" s="233"/>
      <c r="X579" s="233"/>
      <c r="Y579" s="234"/>
    </row>
    <row r="580" spans="1:25" ht="12.75" hidden="1" customHeight="1" outlineLevel="2" x14ac:dyDescent="0.2">
      <c r="A580" s="198" t="str">
        <f>"         "&amp;Labels!B385</f>
        <v xml:space="preserve">         Prof Level 1</v>
      </c>
      <c r="B580" s="233"/>
      <c r="C580" s="233" t="str">
        <f>IF(Sales!B197=0," ",Sales!C197/Sales!B197-1)</f>
        <v xml:space="preserve"> </v>
      </c>
      <c r="D580" s="233" t="str">
        <f>IF(Sales!C197=0," ",Sales!D197/Sales!C197-1)</f>
        <v xml:space="preserve"> </v>
      </c>
      <c r="E580" s="234" t="str">
        <f>IF(0=0," ",SUM(Sales!B197:D197)/0-1)</f>
        <v xml:space="preserve"> </v>
      </c>
      <c r="F580" s="233" t="str">
        <f>IF(Sales!D197=0," ",Sales!F197/Sales!D197-1)</f>
        <v xml:space="preserve"> </v>
      </c>
      <c r="G580" s="233" t="str">
        <f>IF(Sales!F197=0," ",Sales!G197/Sales!F197-1)</f>
        <v xml:space="preserve"> </v>
      </c>
      <c r="H580" s="233" t="str">
        <f>IF(Sales!G197=0," ",Sales!H197/Sales!G197-1)</f>
        <v xml:space="preserve"> </v>
      </c>
      <c r="I580" s="234" t="str">
        <f>IF(SUM(Sales!B197:D197)=0," ",SUM(Sales!F197:H197)/SUM(Sales!B197:D197)-1)</f>
        <v xml:space="preserve"> </v>
      </c>
      <c r="J580" s="233" t="str">
        <f>IF(Sales!H197=0," ",Sales!J197/Sales!H197-1)</f>
        <v xml:space="preserve"> </v>
      </c>
      <c r="K580" s="233" t="str">
        <f>IF(Sales!J197=0," ",Sales!K197/Sales!J197-1)</f>
        <v xml:space="preserve"> </v>
      </c>
      <c r="L580" s="233" t="str">
        <f>IF(Sales!K197=0," ",Sales!L197/Sales!K197-1)</f>
        <v xml:space="preserve"> </v>
      </c>
      <c r="M580" s="234" t="str">
        <f>IF(SUM(Sales!F197:H197)=0," ",SUM(Sales!J197:L197)/SUM(Sales!F197:H197)-1)</f>
        <v xml:space="preserve"> </v>
      </c>
      <c r="N580" s="233" t="str">
        <f>IF(Sales!L197=0," ",Sales!N197/Sales!L197-1)</f>
        <v xml:space="preserve"> </v>
      </c>
      <c r="O580" s="233" t="str">
        <f>IF(Sales!N197=0," ",Sales!O197/Sales!N197-1)</f>
        <v xml:space="preserve"> </v>
      </c>
      <c r="P580" s="233" t="str">
        <f>IF(Sales!O197=0," ",Sales!P197/Sales!O197-1)</f>
        <v xml:space="preserve"> </v>
      </c>
      <c r="Q580" s="234" t="str">
        <f>IF(SUM(Sales!J197:L197)=0," ",SUM(Sales!N197:P197)/SUM(Sales!J197:L197)-1)</f>
        <v xml:space="preserve"> </v>
      </c>
      <c r="R580" s="233" t="str">
        <f>IF(Sales!P197=0," ",Sales!R197/Sales!P197-1)</f>
        <v xml:space="preserve"> </v>
      </c>
      <c r="S580" s="233" t="str">
        <f>IF(Sales!R197=0," ",Sales!S197/Sales!R197-1)</f>
        <v xml:space="preserve"> </v>
      </c>
      <c r="T580" s="233" t="str">
        <f>IF(Sales!S197=0," ",Sales!T197/Sales!S197-1)</f>
        <v xml:space="preserve"> </v>
      </c>
      <c r="U580" s="234" t="str">
        <f>IF(SUM(Sales!N197:P197)=0," ",SUM(Sales!R197:T197)/SUM(Sales!N197:P197)-1)</f>
        <v xml:space="preserve"> </v>
      </c>
      <c r="V580" s="233" t="str">
        <f>IF(Sales!T197=0," ",Sales!V197/Sales!T197-1)</f>
        <v xml:space="preserve"> </v>
      </c>
      <c r="W580" s="233" t="str">
        <f>IF(Sales!V197=0," ",Sales!W197/Sales!V197-1)</f>
        <v xml:space="preserve"> </v>
      </c>
      <c r="X580" s="233" t="str">
        <f>IF(Sales!W197=0," ",Sales!X197/Sales!W197-1)</f>
        <v xml:space="preserve"> </v>
      </c>
      <c r="Y580" s="234" t="str">
        <f>IF(SUM(Sales!R197:T197)=0," ",SUM(Sales!V197:X197)/SUM(Sales!R197:T197)-1)</f>
        <v xml:space="preserve"> </v>
      </c>
    </row>
    <row r="581" spans="1:25" ht="12.75" hidden="1" customHeight="1" outlineLevel="2" x14ac:dyDescent="0.2">
      <c r="A581" s="198" t="str">
        <f>"         "&amp;Labels!B386</f>
        <v xml:space="preserve">         Prof Level 2</v>
      </c>
      <c r="B581" s="233"/>
      <c r="C581" s="233" t="str">
        <f>IF(Sales!B201=0," ",Sales!C201/Sales!B201-1)</f>
        <v xml:space="preserve"> </v>
      </c>
      <c r="D581" s="233" t="str">
        <f>IF(Sales!C201=0," ",Sales!D201/Sales!C201-1)</f>
        <v xml:space="preserve"> </v>
      </c>
      <c r="E581" s="234" t="str">
        <f>IF(0=0," ",SUM(Sales!B201:D201)/0-1)</f>
        <v xml:space="preserve"> </v>
      </c>
      <c r="F581" s="233" t="str">
        <f>IF(Sales!D201=0," ",Sales!F201/Sales!D201-1)</f>
        <v xml:space="preserve"> </v>
      </c>
      <c r="G581" s="233" t="str">
        <f>IF(Sales!F201=0," ",Sales!G201/Sales!F201-1)</f>
        <v xml:space="preserve"> </v>
      </c>
      <c r="H581" s="233" t="str">
        <f>IF(Sales!G201=0," ",Sales!H201/Sales!G201-1)</f>
        <v xml:space="preserve"> </v>
      </c>
      <c r="I581" s="234" t="str">
        <f>IF(SUM(Sales!B201:D201)=0," ",SUM(Sales!F201:H201)/SUM(Sales!B201:D201)-1)</f>
        <v xml:space="preserve"> </v>
      </c>
      <c r="J581" s="233" t="str">
        <f>IF(Sales!H201=0," ",Sales!J201/Sales!H201-1)</f>
        <v xml:space="preserve"> </v>
      </c>
      <c r="K581" s="233" t="str">
        <f>IF(Sales!J201=0," ",Sales!K201/Sales!J201-1)</f>
        <v xml:space="preserve"> </v>
      </c>
      <c r="L581" s="233" t="str">
        <f>IF(Sales!K201=0," ",Sales!L201/Sales!K201-1)</f>
        <v xml:space="preserve"> </v>
      </c>
      <c r="M581" s="234" t="str">
        <f>IF(SUM(Sales!F201:H201)=0," ",SUM(Sales!J201:L201)/SUM(Sales!F201:H201)-1)</f>
        <v xml:space="preserve"> </v>
      </c>
      <c r="N581" s="233" t="str">
        <f>IF(Sales!L201=0," ",Sales!N201/Sales!L201-1)</f>
        <v xml:space="preserve"> </v>
      </c>
      <c r="O581" s="233" t="str">
        <f>IF(Sales!N201=0," ",Sales!O201/Sales!N201-1)</f>
        <v xml:space="preserve"> </v>
      </c>
      <c r="P581" s="233" t="str">
        <f>IF(Sales!O201=0," ",Sales!P201/Sales!O201-1)</f>
        <v xml:space="preserve"> </v>
      </c>
      <c r="Q581" s="234" t="str">
        <f>IF(SUM(Sales!J201:L201)=0," ",SUM(Sales!N201:P201)/SUM(Sales!J201:L201)-1)</f>
        <v xml:space="preserve"> </v>
      </c>
      <c r="R581" s="233" t="str">
        <f>IF(Sales!P201=0," ",Sales!R201/Sales!P201-1)</f>
        <v xml:space="preserve"> </v>
      </c>
      <c r="S581" s="233" t="str">
        <f>IF(Sales!R201=0," ",Sales!S201/Sales!R201-1)</f>
        <v xml:space="preserve"> </v>
      </c>
      <c r="T581" s="233" t="str">
        <f>IF(Sales!S201=0," ",Sales!T201/Sales!S201-1)</f>
        <v xml:space="preserve"> </v>
      </c>
      <c r="U581" s="234" t="str">
        <f>IF(SUM(Sales!N201:P201)=0," ",SUM(Sales!R201:T201)/SUM(Sales!N201:P201)-1)</f>
        <v xml:space="preserve"> </v>
      </c>
      <c r="V581" s="233" t="str">
        <f>IF(Sales!T201=0," ",Sales!V201/Sales!T201-1)</f>
        <v xml:space="preserve"> </v>
      </c>
      <c r="W581" s="233" t="str">
        <f>IF(Sales!V201=0," ",Sales!W201/Sales!V201-1)</f>
        <v xml:space="preserve"> </v>
      </c>
      <c r="X581" s="233" t="str">
        <f>IF(Sales!W201=0," ",Sales!X201/Sales!W201-1)</f>
        <v xml:space="preserve"> </v>
      </c>
      <c r="Y581" s="234" t="str">
        <f>IF(SUM(Sales!R201:T201)=0," ",SUM(Sales!V201:X201)/SUM(Sales!R201:T201)-1)</f>
        <v xml:space="preserve"> </v>
      </c>
    </row>
    <row r="582" spans="1:25" ht="12.75" hidden="1" customHeight="1" outlineLevel="2" x14ac:dyDescent="0.2">
      <c r="A582" s="198" t="str">
        <f>"         "&amp;Labels!C384</f>
        <v xml:space="preserve">         Total</v>
      </c>
      <c r="B582" s="233"/>
      <c r="C582" s="233" t="str">
        <f>IF(Practices!B150=0," ",Practices!C150/Practices!B150-1)</f>
        <v xml:space="preserve"> </v>
      </c>
      <c r="D582" s="233" t="str">
        <f>IF(Practices!C150=0," ",Practices!D150/Practices!C150-1)</f>
        <v xml:space="preserve"> </v>
      </c>
      <c r="E582" s="234" t="str">
        <f>IF(0=0," ",SUM(Practices!B150:D150)/0-1)</f>
        <v xml:space="preserve"> </v>
      </c>
      <c r="F582" s="233" t="str">
        <f>IF(Practices!D150=0," ",Practices!F150/Practices!D150-1)</f>
        <v xml:space="preserve"> </v>
      </c>
      <c r="G582" s="233" t="str">
        <f>IF(Practices!F150=0," ",Practices!G150/Practices!F150-1)</f>
        <v xml:space="preserve"> </v>
      </c>
      <c r="H582" s="233" t="str">
        <f>IF(Practices!G150=0," ",Practices!H150/Practices!G150-1)</f>
        <v xml:space="preserve"> </v>
      </c>
      <c r="I582" s="234" t="str">
        <f>IF(SUM(Practices!B150:D150)=0," ",SUM(Practices!F150:H150)/SUM(Practices!B150:D150)-1)</f>
        <v xml:space="preserve"> </v>
      </c>
      <c r="J582" s="233" t="str">
        <f>IF(Practices!H150=0," ",Practices!J150/Practices!H150-1)</f>
        <v xml:space="preserve"> </v>
      </c>
      <c r="K582" s="233" t="str">
        <f>IF(Practices!J150=0," ",Practices!K150/Practices!J150-1)</f>
        <v xml:space="preserve"> </v>
      </c>
      <c r="L582" s="233" t="str">
        <f>IF(Practices!K150=0," ",Practices!L150/Practices!K150-1)</f>
        <v xml:space="preserve"> </v>
      </c>
      <c r="M582" s="234" t="str">
        <f>IF(SUM(Practices!F150:H150)=0," ",SUM(Practices!J150:L150)/SUM(Practices!F150:H150)-1)</f>
        <v xml:space="preserve"> </v>
      </c>
      <c r="N582" s="233" t="str">
        <f>IF(Practices!L150=0," ",Practices!N150/Practices!L150-1)</f>
        <v xml:space="preserve"> </v>
      </c>
      <c r="O582" s="233" t="str">
        <f>IF(Practices!N150=0," ",Practices!O150/Practices!N150-1)</f>
        <v xml:space="preserve"> </v>
      </c>
      <c r="P582" s="233" t="str">
        <f>IF(Practices!O150=0," ",Practices!P150/Practices!O150-1)</f>
        <v xml:space="preserve"> </v>
      </c>
      <c r="Q582" s="234" t="str">
        <f>IF(SUM(Practices!J150:L150)=0," ",SUM(Practices!N150:P150)/SUM(Practices!J150:L150)-1)</f>
        <v xml:space="preserve"> </v>
      </c>
      <c r="R582" s="233" t="str">
        <f>IF(Practices!P150=0," ",Practices!R150/Practices!P150-1)</f>
        <v xml:space="preserve"> </v>
      </c>
      <c r="S582" s="233" t="str">
        <f>IF(Practices!R150=0," ",Practices!S150/Practices!R150-1)</f>
        <v xml:space="preserve"> </v>
      </c>
      <c r="T582" s="233" t="str">
        <f>IF(Practices!S150=0," ",Practices!T150/Practices!S150-1)</f>
        <v xml:space="preserve"> </v>
      </c>
      <c r="U582" s="234" t="str">
        <f>IF(SUM(Practices!N150:P150)=0," ",SUM(Practices!R150:T150)/SUM(Practices!N150:P150)-1)</f>
        <v xml:space="preserve"> </v>
      </c>
      <c r="V582" s="233" t="str">
        <f>IF(Practices!T150=0," ",Practices!V150/Practices!T150-1)</f>
        <v xml:space="preserve"> </v>
      </c>
      <c r="W582" s="233" t="str">
        <f>IF(Practices!V150=0," ",Practices!W150/Practices!V150-1)</f>
        <v xml:space="preserve"> </v>
      </c>
      <c r="X582" s="233" t="str">
        <f>IF(Practices!W150=0," ",Practices!X150/Practices!W150-1)</f>
        <v xml:space="preserve"> </v>
      </c>
      <c r="Y582" s="234" t="str">
        <f>IF(SUM(Practices!R150:T150)=0," ",SUM(Practices!V150:X150)/SUM(Practices!R150:T150)-1)</f>
        <v xml:space="preserve"> </v>
      </c>
    </row>
    <row r="583" spans="1:25" ht="12.75" hidden="1" customHeight="1" outlineLevel="2" x14ac:dyDescent="0.2">
      <c r="A583" s="188" t="str">
        <f>"      "&amp;Labels!C380</f>
        <v xml:space="preserve">      Total</v>
      </c>
      <c r="B583" s="218"/>
      <c r="C583" s="218" t="str">
        <f>IF(Practices!B154=0," ",Practices!C154/Practices!B154-1)</f>
        <v xml:space="preserve"> </v>
      </c>
      <c r="D583" s="218" t="str">
        <f>IF(Practices!C154=0," ",Practices!D154/Practices!C154-1)</f>
        <v xml:space="preserve"> </v>
      </c>
      <c r="E583" s="219" t="str">
        <f>IF(0=0," ",SUM(Practices!B154:D154)/0-1)</f>
        <v xml:space="preserve"> </v>
      </c>
      <c r="F583" s="218">
        <f>IF(Practices!D154=0," ",Practices!F154/Practices!D154-1)</f>
        <v>0</v>
      </c>
      <c r="G583" s="218">
        <f>IF(Practices!F154=0," ",Practices!G154/Practices!F154-1)</f>
        <v>-1</v>
      </c>
      <c r="H583" s="218" t="str">
        <f>IF(Practices!G154=0," ",Practices!H154/Practices!G154-1)</f>
        <v xml:space="preserve"> </v>
      </c>
      <c r="I583" s="219">
        <f>IF(SUM(Practices!B154:D154)=0," ",SUM(Practices!F154:H154)/SUM(Practices!B154:D154)-1)</f>
        <v>0.72727272727272729</v>
      </c>
      <c r="J583" s="218">
        <f>IF(Practices!H154=0," ",Practices!J154/Practices!H154-1)</f>
        <v>0</v>
      </c>
      <c r="K583" s="218">
        <f>IF(Practices!J154=0," ",Practices!K154/Practices!J154-1)</f>
        <v>0</v>
      </c>
      <c r="L583" s="218">
        <f>IF(Practices!K154=0," ",Practices!L154/Practices!K154-1)</f>
        <v>-1</v>
      </c>
      <c r="M583" s="219">
        <f>IF(SUM(Practices!F154:H154)=0," ",SUM(Practices!J154:L154)/SUM(Practices!F154:H154)-1)</f>
        <v>-0.15789473684210531</v>
      </c>
      <c r="N583" s="218" t="str">
        <f>IF(Practices!L154=0," ",Practices!N154/Practices!L154-1)</f>
        <v xml:space="preserve"> </v>
      </c>
      <c r="O583" s="218" t="str">
        <f>IF(Practices!N154=0," ",Practices!O154/Practices!N154-1)</f>
        <v xml:space="preserve"> </v>
      </c>
      <c r="P583" s="218" t="str">
        <f>IF(Practices!O154=0," ",Practices!P154/Practices!O154-1)</f>
        <v xml:space="preserve"> </v>
      </c>
      <c r="Q583" s="219">
        <f>IF(SUM(Practices!J154:L154)=0," ",SUM(Practices!N154:P154)/SUM(Practices!J154:L154)-1)</f>
        <v>-1</v>
      </c>
      <c r="R583" s="218" t="str">
        <f>IF(Practices!P154=0," ",Practices!R154/Practices!P154-1)</f>
        <v xml:space="preserve"> </v>
      </c>
      <c r="S583" s="218" t="str">
        <f>IF(Practices!R154=0," ",Practices!S154/Practices!R154-1)</f>
        <v xml:space="preserve"> </v>
      </c>
      <c r="T583" s="218" t="str">
        <f>IF(Practices!S154=0," ",Practices!T154/Practices!S154-1)</f>
        <v xml:space="preserve"> </v>
      </c>
      <c r="U583" s="219" t="str">
        <f>IF(SUM(Practices!N154:P154)=0," ",SUM(Practices!R154:T154)/SUM(Practices!N154:P154)-1)</f>
        <v xml:space="preserve"> </v>
      </c>
      <c r="V583" s="218" t="str">
        <f>IF(Practices!T154=0," ",Practices!V154/Practices!T154-1)</f>
        <v xml:space="preserve"> </v>
      </c>
      <c r="W583" s="218" t="str">
        <f>IF(Practices!V154=0," ",Practices!W154/Practices!V154-1)</f>
        <v xml:space="preserve"> </v>
      </c>
      <c r="X583" s="218" t="str">
        <f>IF(Practices!W154=0," ",Practices!X154/Practices!W154-1)</f>
        <v xml:space="preserve"> </v>
      </c>
      <c r="Y583" s="219" t="str">
        <f>IF(SUM(Practices!R154:T154)=0," ",SUM(Practices!V154:X154)/SUM(Practices!R154:T154)-1)</f>
        <v xml:space="preserve"> </v>
      </c>
    </row>
    <row r="584" spans="1:25" ht="12.75" hidden="1" customHeight="1" outlineLevel="2" x14ac:dyDescent="0.2">
      <c r="A584" s="198" t="str">
        <f>"         "&amp;Labels!B385</f>
        <v xml:space="preserve">         Prof Level 1</v>
      </c>
      <c r="B584" s="233"/>
      <c r="C584" s="233" t="str">
        <f>IF(Sales!B210=0," ",Sales!C210/Sales!B210-1)</f>
        <v xml:space="preserve"> </v>
      </c>
      <c r="D584" s="233" t="str">
        <f>IF(Sales!C210=0," ",Sales!D210/Sales!C210-1)</f>
        <v xml:space="preserve"> </v>
      </c>
      <c r="E584" s="234" t="str">
        <f>IF(0=0," ",SUM(Sales!B210:D210)/0-1)</f>
        <v xml:space="preserve"> </v>
      </c>
      <c r="F584" s="233">
        <f>IF(Sales!D210=0," ",Sales!F210/Sales!D210-1)</f>
        <v>0</v>
      </c>
      <c r="G584" s="233">
        <f>IF(Sales!F210=0," ",Sales!G210/Sales!F210-1)</f>
        <v>-1</v>
      </c>
      <c r="H584" s="233" t="str">
        <f>IF(Sales!G210=0," ",Sales!H210/Sales!G210-1)</f>
        <v xml:space="preserve"> </v>
      </c>
      <c r="I584" s="234">
        <f>IF(SUM(Sales!B210:D210)=0," ",SUM(Sales!F210:H210)/SUM(Sales!B210:D210)-1)</f>
        <v>0.72727272727272729</v>
      </c>
      <c r="J584" s="233">
        <f>IF(Sales!H210=0," ",Sales!J210/Sales!H210-1)</f>
        <v>0</v>
      </c>
      <c r="K584" s="233">
        <f>IF(Sales!J210=0," ",Sales!K210/Sales!J210-1)</f>
        <v>0</v>
      </c>
      <c r="L584" s="233">
        <f>IF(Sales!K210=0," ",Sales!L210/Sales!K210-1)</f>
        <v>-1</v>
      </c>
      <c r="M584" s="234">
        <f>IF(SUM(Sales!F210:H210)=0," ",SUM(Sales!J210:L210)/SUM(Sales!F210:H210)-1)</f>
        <v>-0.15789473684210531</v>
      </c>
      <c r="N584" s="233" t="str">
        <f>IF(Sales!L210=0," ",Sales!N210/Sales!L210-1)</f>
        <v xml:space="preserve"> </v>
      </c>
      <c r="O584" s="233" t="str">
        <f>IF(Sales!N210=0," ",Sales!O210/Sales!N210-1)</f>
        <v xml:space="preserve"> </v>
      </c>
      <c r="P584" s="233" t="str">
        <f>IF(Sales!O210=0," ",Sales!P210/Sales!O210-1)</f>
        <v xml:space="preserve"> </v>
      </c>
      <c r="Q584" s="234">
        <f>IF(SUM(Sales!J210:L210)=0," ",SUM(Sales!N210:P210)/SUM(Sales!J210:L210)-1)</f>
        <v>-1</v>
      </c>
      <c r="R584" s="233" t="str">
        <f>IF(Sales!P210=0," ",Sales!R210/Sales!P210-1)</f>
        <v xml:space="preserve"> </v>
      </c>
      <c r="S584" s="233" t="str">
        <f>IF(Sales!R210=0," ",Sales!S210/Sales!R210-1)</f>
        <v xml:space="preserve"> </v>
      </c>
      <c r="T584" s="233" t="str">
        <f>IF(Sales!S210=0," ",Sales!T210/Sales!S210-1)</f>
        <v xml:space="preserve"> </v>
      </c>
      <c r="U584" s="234" t="str">
        <f>IF(SUM(Sales!N210:P210)=0," ",SUM(Sales!R210:T210)/SUM(Sales!N210:P210)-1)</f>
        <v xml:space="preserve"> </v>
      </c>
      <c r="V584" s="233" t="str">
        <f>IF(Sales!T210=0," ",Sales!V210/Sales!T210-1)</f>
        <v xml:space="preserve"> </v>
      </c>
      <c r="W584" s="233" t="str">
        <f>IF(Sales!V210=0," ",Sales!W210/Sales!V210-1)</f>
        <v xml:space="preserve"> </v>
      </c>
      <c r="X584" s="233" t="str">
        <f>IF(Sales!W210=0," ",Sales!X210/Sales!W210-1)</f>
        <v xml:space="preserve"> </v>
      </c>
      <c r="Y584" s="234" t="str">
        <f>IF(SUM(Sales!R210:T210)=0," ",SUM(Sales!V210:X210)/SUM(Sales!R210:T210)-1)</f>
        <v xml:space="preserve"> </v>
      </c>
    </row>
    <row r="585" spans="1:25" ht="12.75" hidden="1" customHeight="1" outlineLevel="2" x14ac:dyDescent="0.2">
      <c r="A585" s="198" t="str">
        <f>"         "&amp;Labels!B386</f>
        <v xml:space="preserve">         Prof Level 2</v>
      </c>
      <c r="B585" s="233"/>
      <c r="C585" s="233" t="str">
        <f>IF(Sales!B214=0," ",Sales!C214/Sales!B214-1)</f>
        <v xml:space="preserve"> </v>
      </c>
      <c r="D585" s="233" t="str">
        <f>IF(Sales!C214=0," ",Sales!D214/Sales!C214-1)</f>
        <v xml:space="preserve"> </v>
      </c>
      <c r="E585" s="234" t="str">
        <f>IF(0=0," ",SUM(Sales!B214:D214)/0-1)</f>
        <v xml:space="preserve"> </v>
      </c>
      <c r="F585" s="233">
        <f>IF(Sales!D214=0," ",Sales!F214/Sales!D214-1)</f>
        <v>0</v>
      </c>
      <c r="G585" s="233">
        <f>IF(Sales!F214=0," ",Sales!G214/Sales!F214-1)</f>
        <v>-1</v>
      </c>
      <c r="H585" s="233" t="str">
        <f>IF(Sales!G214=0," ",Sales!H214/Sales!G214-1)</f>
        <v xml:space="preserve"> </v>
      </c>
      <c r="I585" s="234">
        <f>IF(SUM(Sales!B214:D214)=0," ",SUM(Sales!F214:H214)/SUM(Sales!B214:D214)-1)</f>
        <v>0.72727272727272729</v>
      </c>
      <c r="J585" s="233">
        <f>IF(Sales!H214=0," ",Sales!J214/Sales!H214-1)</f>
        <v>0</v>
      </c>
      <c r="K585" s="233">
        <f>IF(Sales!J214=0," ",Sales!K214/Sales!J214-1)</f>
        <v>0</v>
      </c>
      <c r="L585" s="233">
        <f>IF(Sales!K214=0," ",Sales!L214/Sales!K214-1)</f>
        <v>-1</v>
      </c>
      <c r="M585" s="234">
        <f>IF(SUM(Sales!F214:H214)=0," ",SUM(Sales!J214:L214)/SUM(Sales!F214:H214)-1)</f>
        <v>-0.15789473684210531</v>
      </c>
      <c r="N585" s="233" t="str">
        <f>IF(Sales!L214=0," ",Sales!N214/Sales!L214-1)</f>
        <v xml:space="preserve"> </v>
      </c>
      <c r="O585" s="233" t="str">
        <f>IF(Sales!N214=0," ",Sales!O214/Sales!N214-1)</f>
        <v xml:space="preserve"> </v>
      </c>
      <c r="P585" s="233" t="str">
        <f>IF(Sales!O214=0," ",Sales!P214/Sales!O214-1)</f>
        <v xml:space="preserve"> </v>
      </c>
      <c r="Q585" s="234">
        <f>IF(SUM(Sales!J214:L214)=0," ",SUM(Sales!N214:P214)/SUM(Sales!J214:L214)-1)</f>
        <v>-1</v>
      </c>
      <c r="R585" s="233" t="str">
        <f>IF(Sales!P214=0," ",Sales!R214/Sales!P214-1)</f>
        <v xml:space="preserve"> </v>
      </c>
      <c r="S585" s="233" t="str">
        <f>IF(Sales!R214=0," ",Sales!S214/Sales!R214-1)</f>
        <v xml:space="preserve"> </v>
      </c>
      <c r="T585" s="233" t="str">
        <f>IF(Sales!S214=0," ",Sales!T214/Sales!S214-1)</f>
        <v xml:space="preserve"> </v>
      </c>
      <c r="U585" s="234" t="str">
        <f>IF(SUM(Sales!N214:P214)=0," ",SUM(Sales!R214:T214)/SUM(Sales!N214:P214)-1)</f>
        <v xml:space="preserve"> </v>
      </c>
      <c r="V585" s="233" t="str">
        <f>IF(Sales!T214=0," ",Sales!V214/Sales!T214-1)</f>
        <v xml:space="preserve"> </v>
      </c>
      <c r="W585" s="233" t="str">
        <f>IF(Sales!V214=0," ",Sales!W214/Sales!V214-1)</f>
        <v xml:space="preserve"> </v>
      </c>
      <c r="X585" s="233" t="str">
        <f>IF(Sales!W214=0," ",Sales!X214/Sales!W214-1)</f>
        <v xml:space="preserve"> </v>
      </c>
      <c r="Y585" s="234" t="str">
        <f>IF(SUM(Sales!R214:T214)=0," ",SUM(Sales!V214:X214)/SUM(Sales!R214:T214)-1)</f>
        <v xml:space="preserve"> </v>
      </c>
    </row>
    <row r="586" spans="1:25" ht="12.75" hidden="1" customHeight="1" outlineLevel="2" x14ac:dyDescent="0.2">
      <c r="A586" s="198" t="str">
        <f>"         "&amp;Labels!C384</f>
        <v xml:space="preserve">         Total</v>
      </c>
      <c r="B586" s="233"/>
      <c r="C586" s="233" t="str">
        <f>IF(Practices!B154=0," ",Practices!C154/Practices!B154-1)</f>
        <v xml:space="preserve"> </v>
      </c>
      <c r="D586" s="233" t="str">
        <f>IF(Practices!C154=0," ",Practices!D154/Practices!C154-1)</f>
        <v xml:space="preserve"> </v>
      </c>
      <c r="E586" s="234" t="str">
        <f>IF(0=0," ",SUM(Practices!B154:D154)/0-1)</f>
        <v xml:space="preserve"> </v>
      </c>
      <c r="F586" s="233">
        <f>IF(Practices!D154=0," ",Practices!F154/Practices!D154-1)</f>
        <v>0</v>
      </c>
      <c r="G586" s="233">
        <f>IF(Practices!F154=0," ",Practices!G154/Practices!F154-1)</f>
        <v>-1</v>
      </c>
      <c r="H586" s="233" t="str">
        <f>IF(Practices!G154=0," ",Practices!H154/Practices!G154-1)</f>
        <v xml:space="preserve"> </v>
      </c>
      <c r="I586" s="234">
        <f>IF(SUM(Practices!B154:D154)=0," ",SUM(Practices!F154:H154)/SUM(Practices!B154:D154)-1)</f>
        <v>0.72727272727272729</v>
      </c>
      <c r="J586" s="233">
        <f>IF(Practices!H154=0," ",Practices!J154/Practices!H154-1)</f>
        <v>0</v>
      </c>
      <c r="K586" s="233">
        <f>IF(Practices!J154=0," ",Practices!K154/Practices!J154-1)</f>
        <v>0</v>
      </c>
      <c r="L586" s="233">
        <f>IF(Practices!K154=0," ",Practices!L154/Practices!K154-1)</f>
        <v>-1</v>
      </c>
      <c r="M586" s="234">
        <f>IF(SUM(Practices!F154:H154)=0," ",SUM(Practices!J154:L154)/SUM(Practices!F154:H154)-1)</f>
        <v>-0.15789473684210531</v>
      </c>
      <c r="N586" s="233" t="str">
        <f>IF(Practices!L154=0," ",Practices!N154/Practices!L154-1)</f>
        <v xml:space="preserve"> </v>
      </c>
      <c r="O586" s="233" t="str">
        <f>IF(Practices!N154=0," ",Practices!O154/Practices!N154-1)</f>
        <v xml:space="preserve"> </v>
      </c>
      <c r="P586" s="233" t="str">
        <f>IF(Practices!O154=0," ",Practices!P154/Practices!O154-1)</f>
        <v xml:space="preserve"> </v>
      </c>
      <c r="Q586" s="234">
        <f>IF(SUM(Practices!J154:L154)=0," ",SUM(Practices!N154:P154)/SUM(Practices!J154:L154)-1)</f>
        <v>-1</v>
      </c>
      <c r="R586" s="233" t="str">
        <f>IF(Practices!P154=0," ",Practices!R154/Practices!P154-1)</f>
        <v xml:space="preserve"> </v>
      </c>
      <c r="S586" s="233" t="str">
        <f>IF(Practices!R154=0," ",Practices!S154/Practices!R154-1)</f>
        <v xml:space="preserve"> </v>
      </c>
      <c r="T586" s="233" t="str">
        <f>IF(Practices!S154=0," ",Practices!T154/Practices!S154-1)</f>
        <v xml:space="preserve"> </v>
      </c>
      <c r="U586" s="234" t="str">
        <f>IF(SUM(Practices!N154:P154)=0," ",SUM(Practices!R154:T154)/SUM(Practices!N154:P154)-1)</f>
        <v xml:space="preserve"> </v>
      </c>
      <c r="V586" s="233" t="str">
        <f>IF(Practices!T154=0," ",Practices!V154/Practices!T154-1)</f>
        <v xml:space="preserve"> </v>
      </c>
      <c r="W586" s="233" t="str">
        <f>IF(Practices!V154=0," ",Practices!W154/Practices!V154-1)</f>
        <v xml:space="preserve"> </v>
      </c>
      <c r="X586" s="233" t="str">
        <f>IF(Practices!W154=0," ",Practices!X154/Practices!W154-1)</f>
        <v xml:space="preserve"> </v>
      </c>
      <c r="Y586" s="234" t="str">
        <f>IF(SUM(Practices!R154:T154)=0," ",SUM(Practices!V154:X154)/SUM(Practices!R154:T154)-1)</f>
        <v xml:space="preserve"> </v>
      </c>
    </row>
    <row r="587" spans="1:25" ht="12.75" hidden="1" customHeight="1" outlineLevel="2" x14ac:dyDescent="0.2">
      <c r="A587" s="188" t="str">
        <f>"   "&amp;Labels!B318</f>
        <v xml:space="preserve">   Channels 2</v>
      </c>
      <c r="B587" s="218"/>
      <c r="C587" s="218"/>
      <c r="D587" s="218"/>
      <c r="E587" s="219"/>
      <c r="F587" s="218"/>
      <c r="G587" s="218"/>
      <c r="H587" s="218"/>
      <c r="I587" s="219"/>
      <c r="J587" s="218"/>
      <c r="K587" s="218"/>
      <c r="L587" s="218"/>
      <c r="M587" s="219"/>
      <c r="N587" s="218"/>
      <c r="O587" s="218"/>
      <c r="P587" s="218"/>
      <c r="Q587" s="219"/>
      <c r="R587" s="218"/>
      <c r="S587" s="218"/>
      <c r="T587" s="218"/>
      <c r="U587" s="219"/>
      <c r="V587" s="218"/>
      <c r="W587" s="218"/>
      <c r="X587" s="218"/>
      <c r="Y587" s="219"/>
    </row>
    <row r="588" spans="1:25" ht="12.75" hidden="1" customHeight="1" outlineLevel="2" x14ac:dyDescent="0.2">
      <c r="A588" s="198" t="str">
        <f>"      "&amp;Labels!B381</f>
        <v xml:space="preserve">      Practice 1</v>
      </c>
      <c r="B588" s="233"/>
      <c r="C588" s="233"/>
      <c r="D588" s="233"/>
      <c r="E588" s="234"/>
      <c r="F588" s="233"/>
      <c r="G588" s="233"/>
      <c r="H588" s="233"/>
      <c r="I588" s="234"/>
      <c r="J588" s="233"/>
      <c r="K588" s="233"/>
      <c r="L588" s="233"/>
      <c r="M588" s="234"/>
      <c r="N588" s="233"/>
      <c r="O588" s="233"/>
      <c r="P588" s="233"/>
      <c r="Q588" s="234"/>
      <c r="R588" s="233"/>
      <c r="S588" s="233"/>
      <c r="T588" s="233"/>
      <c r="U588" s="234"/>
      <c r="V588" s="233"/>
      <c r="W588" s="233"/>
      <c r="X588" s="233"/>
      <c r="Y588" s="234"/>
    </row>
    <row r="589" spans="1:25" ht="12.75" hidden="1" customHeight="1" outlineLevel="2" x14ac:dyDescent="0.2">
      <c r="A589" s="198" t="str">
        <f>"         "&amp;Labels!B385</f>
        <v xml:space="preserve">         Prof Level 1</v>
      </c>
      <c r="B589" s="233"/>
      <c r="C589" s="233" t="str">
        <f>IF(Sales!B185=0," ",Sales!C185/Sales!B185-1)</f>
        <v xml:space="preserve"> </v>
      </c>
      <c r="D589" s="233" t="str">
        <f>IF(Sales!C185=0," ",Sales!D185/Sales!C185-1)</f>
        <v xml:space="preserve"> </v>
      </c>
      <c r="E589" s="234" t="str">
        <f>IF(0=0," ",SUM(Sales!B185:D185)/0-1)</f>
        <v xml:space="preserve"> </v>
      </c>
      <c r="F589" s="233">
        <f>IF(Sales!D185=0," ",Sales!F185/Sales!D185-1)</f>
        <v>0</v>
      </c>
      <c r="G589" s="233">
        <f>IF(Sales!F185=0," ",Sales!G185/Sales!F185-1)</f>
        <v>-1</v>
      </c>
      <c r="H589" s="233" t="str">
        <f>IF(Sales!G185=0," ",Sales!H185/Sales!G185-1)</f>
        <v xml:space="preserve"> </v>
      </c>
      <c r="I589" s="234">
        <f>IF(SUM(Sales!B185:D185)=0," ",SUM(Sales!F185:H185)/SUM(Sales!B185:D185)-1)</f>
        <v>0.72727272727272729</v>
      </c>
      <c r="J589" s="233">
        <f>IF(Sales!H185=0," ",Sales!J185/Sales!H185-1)</f>
        <v>0</v>
      </c>
      <c r="K589" s="233">
        <f>IF(Sales!J185=0," ",Sales!K185/Sales!J185-1)</f>
        <v>0</v>
      </c>
      <c r="L589" s="233">
        <f>IF(Sales!K185=0," ",Sales!L185/Sales!K185-1)</f>
        <v>-1</v>
      </c>
      <c r="M589" s="234">
        <f>IF(SUM(Sales!F185:H185)=0," ",SUM(Sales!J185:L185)/SUM(Sales!F185:H185)-1)</f>
        <v>-0.15789473684210531</v>
      </c>
      <c r="N589" s="233" t="str">
        <f>IF(Sales!L185=0," ",Sales!N185/Sales!L185-1)</f>
        <v xml:space="preserve"> </v>
      </c>
      <c r="O589" s="233" t="str">
        <f>IF(Sales!N185=0," ",Sales!O185/Sales!N185-1)</f>
        <v xml:space="preserve"> </v>
      </c>
      <c r="P589" s="233" t="str">
        <f>IF(Sales!O185=0," ",Sales!P185/Sales!O185-1)</f>
        <v xml:space="preserve"> </v>
      </c>
      <c r="Q589" s="234">
        <f>IF(SUM(Sales!J185:L185)=0," ",SUM(Sales!N185:P185)/SUM(Sales!J185:L185)-1)</f>
        <v>-1</v>
      </c>
      <c r="R589" s="233" t="str">
        <f>IF(Sales!P185=0," ",Sales!R185/Sales!P185-1)</f>
        <v xml:space="preserve"> </v>
      </c>
      <c r="S589" s="233" t="str">
        <f>IF(Sales!R185=0," ",Sales!S185/Sales!R185-1)</f>
        <v xml:space="preserve"> </v>
      </c>
      <c r="T589" s="233" t="str">
        <f>IF(Sales!S185=0," ",Sales!T185/Sales!S185-1)</f>
        <v xml:space="preserve"> </v>
      </c>
      <c r="U589" s="234" t="str">
        <f>IF(SUM(Sales!N185:P185)=0," ",SUM(Sales!R185:T185)/SUM(Sales!N185:P185)-1)</f>
        <v xml:space="preserve"> </v>
      </c>
      <c r="V589" s="233" t="str">
        <f>IF(Sales!T185=0," ",Sales!V185/Sales!T185-1)</f>
        <v xml:space="preserve"> </v>
      </c>
      <c r="W589" s="233" t="str">
        <f>IF(Sales!V185=0," ",Sales!W185/Sales!V185-1)</f>
        <v xml:space="preserve"> </v>
      </c>
      <c r="X589" s="233" t="str">
        <f>IF(Sales!W185=0," ",Sales!X185/Sales!W185-1)</f>
        <v xml:space="preserve"> </v>
      </c>
      <c r="Y589" s="234" t="str">
        <f>IF(SUM(Sales!R185:T185)=0," ",SUM(Sales!V185:X185)/SUM(Sales!R185:T185)-1)</f>
        <v xml:space="preserve"> </v>
      </c>
    </row>
    <row r="590" spans="1:25" ht="12.75" hidden="1" customHeight="1" outlineLevel="2" x14ac:dyDescent="0.2">
      <c r="A590" s="198" t="str">
        <f>"         "&amp;Labels!B386</f>
        <v xml:space="preserve">         Prof Level 2</v>
      </c>
      <c r="B590" s="233"/>
      <c r="C590" s="233" t="str">
        <f>IF(Sales!B189=0," ",Sales!C189/Sales!B189-1)</f>
        <v xml:space="preserve"> </v>
      </c>
      <c r="D590" s="233" t="str">
        <f>IF(Sales!C189=0," ",Sales!D189/Sales!C189-1)</f>
        <v xml:space="preserve"> </v>
      </c>
      <c r="E590" s="234" t="str">
        <f>IF(0=0," ",SUM(Sales!B189:D189)/0-1)</f>
        <v xml:space="preserve"> </v>
      </c>
      <c r="F590" s="233">
        <f>IF(Sales!D189=0," ",Sales!F189/Sales!D189-1)</f>
        <v>0</v>
      </c>
      <c r="G590" s="233">
        <f>IF(Sales!F189=0," ",Sales!G189/Sales!F189-1)</f>
        <v>-1</v>
      </c>
      <c r="H590" s="233" t="str">
        <f>IF(Sales!G189=0," ",Sales!H189/Sales!G189-1)</f>
        <v xml:space="preserve"> </v>
      </c>
      <c r="I590" s="234">
        <f>IF(SUM(Sales!B189:D189)=0," ",SUM(Sales!F189:H189)/SUM(Sales!B189:D189)-1)</f>
        <v>0.72727272727272729</v>
      </c>
      <c r="J590" s="233">
        <f>IF(Sales!H189=0," ",Sales!J189/Sales!H189-1)</f>
        <v>0</v>
      </c>
      <c r="K590" s="233">
        <f>IF(Sales!J189=0," ",Sales!K189/Sales!J189-1)</f>
        <v>0</v>
      </c>
      <c r="L590" s="233">
        <f>IF(Sales!K189=0," ",Sales!L189/Sales!K189-1)</f>
        <v>-1</v>
      </c>
      <c r="M590" s="234">
        <f>IF(SUM(Sales!F189:H189)=0," ",SUM(Sales!J189:L189)/SUM(Sales!F189:H189)-1)</f>
        <v>-0.15789473684210531</v>
      </c>
      <c r="N590" s="233" t="str">
        <f>IF(Sales!L189=0," ",Sales!N189/Sales!L189-1)</f>
        <v xml:space="preserve"> </v>
      </c>
      <c r="O590" s="233" t="str">
        <f>IF(Sales!N189=0," ",Sales!O189/Sales!N189-1)</f>
        <v xml:space="preserve"> </v>
      </c>
      <c r="P590" s="233" t="str">
        <f>IF(Sales!O189=0," ",Sales!P189/Sales!O189-1)</f>
        <v xml:space="preserve"> </v>
      </c>
      <c r="Q590" s="234">
        <f>IF(SUM(Sales!J189:L189)=0," ",SUM(Sales!N189:P189)/SUM(Sales!J189:L189)-1)</f>
        <v>-1</v>
      </c>
      <c r="R590" s="233" t="str">
        <f>IF(Sales!P189=0," ",Sales!R189/Sales!P189-1)</f>
        <v xml:space="preserve"> </v>
      </c>
      <c r="S590" s="233" t="str">
        <f>IF(Sales!R189=0," ",Sales!S189/Sales!R189-1)</f>
        <v xml:space="preserve"> </v>
      </c>
      <c r="T590" s="233" t="str">
        <f>IF(Sales!S189=0," ",Sales!T189/Sales!S189-1)</f>
        <v xml:space="preserve"> </v>
      </c>
      <c r="U590" s="234" t="str">
        <f>IF(SUM(Sales!N189:P189)=0," ",SUM(Sales!R189:T189)/SUM(Sales!N189:P189)-1)</f>
        <v xml:space="preserve"> </v>
      </c>
      <c r="V590" s="233" t="str">
        <f>IF(Sales!T189=0," ",Sales!V189/Sales!T189-1)</f>
        <v xml:space="preserve"> </v>
      </c>
      <c r="W590" s="233" t="str">
        <f>IF(Sales!V189=0," ",Sales!W189/Sales!V189-1)</f>
        <v xml:space="preserve"> </v>
      </c>
      <c r="X590" s="233" t="str">
        <f>IF(Sales!W189=0," ",Sales!X189/Sales!W189-1)</f>
        <v xml:space="preserve"> </v>
      </c>
      <c r="Y590" s="234" t="str">
        <f>IF(SUM(Sales!R189:T189)=0," ",SUM(Sales!V189:X189)/SUM(Sales!R189:T189)-1)</f>
        <v xml:space="preserve"> </v>
      </c>
    </row>
    <row r="591" spans="1:25" ht="12.75" hidden="1" customHeight="1" outlineLevel="2" x14ac:dyDescent="0.2">
      <c r="A591" s="198" t="str">
        <f>"         "&amp;Labels!C384</f>
        <v xml:space="preserve">         Total</v>
      </c>
      <c r="B591" s="233"/>
      <c r="C591" s="233" t="str">
        <f>IF(Practices!B147=0," ",Practices!C147/Practices!B147-1)</f>
        <v xml:space="preserve"> </v>
      </c>
      <c r="D591" s="233" t="str">
        <f>IF(Practices!C147=0," ",Practices!D147/Practices!C147-1)</f>
        <v xml:space="preserve"> </v>
      </c>
      <c r="E591" s="234" t="str">
        <f>IF(0=0," ",SUM(Practices!B147:D147)/0-1)</f>
        <v xml:space="preserve"> </v>
      </c>
      <c r="F591" s="233">
        <f>IF(Practices!D147=0," ",Practices!F147/Practices!D147-1)</f>
        <v>0</v>
      </c>
      <c r="G591" s="233">
        <f>IF(Practices!F147=0," ",Practices!G147/Practices!F147-1)</f>
        <v>-1</v>
      </c>
      <c r="H591" s="233" t="str">
        <f>IF(Practices!G147=0," ",Practices!H147/Practices!G147-1)</f>
        <v xml:space="preserve"> </v>
      </c>
      <c r="I591" s="234">
        <f>IF(SUM(Practices!B147:D147)=0," ",SUM(Practices!F147:H147)/SUM(Practices!B147:D147)-1)</f>
        <v>0.72727272727272729</v>
      </c>
      <c r="J591" s="233">
        <f>IF(Practices!H147=0," ",Practices!J147/Practices!H147-1)</f>
        <v>0</v>
      </c>
      <c r="K591" s="233">
        <f>IF(Practices!J147=0," ",Practices!K147/Practices!J147-1)</f>
        <v>0</v>
      </c>
      <c r="L591" s="233">
        <f>IF(Practices!K147=0," ",Practices!L147/Practices!K147-1)</f>
        <v>-1</v>
      </c>
      <c r="M591" s="234">
        <f>IF(SUM(Practices!F147:H147)=0," ",SUM(Practices!J147:L147)/SUM(Practices!F147:H147)-1)</f>
        <v>-0.15789473684210531</v>
      </c>
      <c r="N591" s="233" t="str">
        <f>IF(Practices!L147=0," ",Practices!N147/Practices!L147-1)</f>
        <v xml:space="preserve"> </v>
      </c>
      <c r="O591" s="233" t="str">
        <f>IF(Practices!N147=0," ",Practices!O147/Practices!N147-1)</f>
        <v xml:space="preserve"> </v>
      </c>
      <c r="P591" s="233" t="str">
        <f>IF(Practices!O147=0," ",Practices!P147/Practices!O147-1)</f>
        <v xml:space="preserve"> </v>
      </c>
      <c r="Q591" s="234">
        <f>IF(SUM(Practices!J147:L147)=0," ",SUM(Practices!N147:P147)/SUM(Practices!J147:L147)-1)</f>
        <v>-1</v>
      </c>
      <c r="R591" s="233" t="str">
        <f>IF(Practices!P147=0," ",Practices!R147/Practices!P147-1)</f>
        <v xml:space="preserve"> </v>
      </c>
      <c r="S591" s="233" t="str">
        <f>IF(Practices!R147=0," ",Practices!S147/Practices!R147-1)</f>
        <v xml:space="preserve"> </v>
      </c>
      <c r="T591" s="233" t="str">
        <f>IF(Practices!S147=0," ",Practices!T147/Practices!S147-1)</f>
        <v xml:space="preserve"> </v>
      </c>
      <c r="U591" s="234" t="str">
        <f>IF(SUM(Practices!N147:P147)=0," ",SUM(Practices!R147:T147)/SUM(Practices!N147:P147)-1)</f>
        <v xml:space="preserve"> </v>
      </c>
      <c r="V591" s="233" t="str">
        <f>IF(Practices!T147=0," ",Practices!V147/Practices!T147-1)</f>
        <v xml:space="preserve"> </v>
      </c>
      <c r="W591" s="233" t="str">
        <f>IF(Practices!V147=0," ",Practices!W147/Practices!V147-1)</f>
        <v xml:space="preserve"> </v>
      </c>
      <c r="X591" s="233" t="str">
        <f>IF(Practices!W147=0," ",Practices!X147/Practices!W147-1)</f>
        <v xml:space="preserve"> </v>
      </c>
      <c r="Y591" s="234" t="str">
        <f>IF(SUM(Practices!R147:T147)=0," ",SUM(Practices!V147:X147)/SUM(Practices!R147:T147)-1)</f>
        <v xml:space="preserve"> </v>
      </c>
    </row>
    <row r="592" spans="1:25" ht="12.75" hidden="1" customHeight="1" outlineLevel="2" x14ac:dyDescent="0.2">
      <c r="A592" s="198" t="str">
        <f>"      "&amp;Labels!B382</f>
        <v xml:space="preserve">      Practice 2</v>
      </c>
      <c r="B592" s="233"/>
      <c r="C592" s="233"/>
      <c r="D592" s="233"/>
      <c r="E592" s="234"/>
      <c r="F592" s="233"/>
      <c r="G592" s="233"/>
      <c r="H592" s="233"/>
      <c r="I592" s="234"/>
      <c r="J592" s="233"/>
      <c r="K592" s="233"/>
      <c r="L592" s="233"/>
      <c r="M592" s="234"/>
      <c r="N592" s="233"/>
      <c r="O592" s="233"/>
      <c r="P592" s="233"/>
      <c r="Q592" s="234"/>
      <c r="R592" s="233"/>
      <c r="S592" s="233"/>
      <c r="T592" s="233"/>
      <c r="U592" s="234"/>
      <c r="V592" s="233"/>
      <c r="W592" s="233"/>
      <c r="X592" s="233"/>
      <c r="Y592" s="234"/>
    </row>
    <row r="593" spans="1:25" ht="12.75" hidden="1" customHeight="1" outlineLevel="2" x14ac:dyDescent="0.2">
      <c r="A593" s="198" t="str">
        <f>"         "&amp;Labels!B385</f>
        <v xml:space="preserve">         Prof Level 1</v>
      </c>
      <c r="B593" s="233"/>
      <c r="C593" s="233" t="str">
        <f>IF(Sales!B198=0," ",Sales!C198/Sales!B198-1)</f>
        <v xml:space="preserve"> </v>
      </c>
      <c r="D593" s="233" t="str">
        <f>IF(Sales!C198=0," ",Sales!D198/Sales!C198-1)</f>
        <v xml:space="preserve"> </v>
      </c>
      <c r="E593" s="234" t="str">
        <f>IF(0=0," ",SUM(Sales!B198:D198)/0-1)</f>
        <v xml:space="preserve"> </v>
      </c>
      <c r="F593" s="233" t="str">
        <f>IF(Sales!D198=0," ",Sales!F198/Sales!D198-1)</f>
        <v xml:space="preserve"> </v>
      </c>
      <c r="G593" s="233" t="str">
        <f>IF(Sales!F198=0," ",Sales!G198/Sales!F198-1)</f>
        <v xml:space="preserve"> </v>
      </c>
      <c r="H593" s="233" t="str">
        <f>IF(Sales!G198=0," ",Sales!H198/Sales!G198-1)</f>
        <v xml:space="preserve"> </v>
      </c>
      <c r="I593" s="234" t="str">
        <f>IF(SUM(Sales!B198:D198)=0," ",SUM(Sales!F198:H198)/SUM(Sales!B198:D198)-1)</f>
        <v xml:space="preserve"> </v>
      </c>
      <c r="J593" s="233" t="str">
        <f>IF(Sales!H198=0," ",Sales!J198/Sales!H198-1)</f>
        <v xml:space="preserve"> </v>
      </c>
      <c r="K593" s="233" t="str">
        <f>IF(Sales!J198=0," ",Sales!K198/Sales!J198-1)</f>
        <v xml:space="preserve"> </v>
      </c>
      <c r="L593" s="233" t="str">
        <f>IF(Sales!K198=0," ",Sales!L198/Sales!K198-1)</f>
        <v xml:space="preserve"> </v>
      </c>
      <c r="M593" s="234" t="str">
        <f>IF(SUM(Sales!F198:H198)=0," ",SUM(Sales!J198:L198)/SUM(Sales!F198:H198)-1)</f>
        <v xml:space="preserve"> </v>
      </c>
      <c r="N593" s="233" t="str">
        <f>IF(Sales!L198=0," ",Sales!N198/Sales!L198-1)</f>
        <v xml:space="preserve"> </v>
      </c>
      <c r="O593" s="233" t="str">
        <f>IF(Sales!N198=0," ",Sales!O198/Sales!N198-1)</f>
        <v xml:space="preserve"> </v>
      </c>
      <c r="P593" s="233" t="str">
        <f>IF(Sales!O198=0," ",Sales!P198/Sales!O198-1)</f>
        <v xml:space="preserve"> </v>
      </c>
      <c r="Q593" s="234" t="str">
        <f>IF(SUM(Sales!J198:L198)=0," ",SUM(Sales!N198:P198)/SUM(Sales!J198:L198)-1)</f>
        <v xml:space="preserve"> </v>
      </c>
      <c r="R593" s="233" t="str">
        <f>IF(Sales!P198=0," ",Sales!R198/Sales!P198-1)</f>
        <v xml:space="preserve"> </v>
      </c>
      <c r="S593" s="233" t="str">
        <f>IF(Sales!R198=0," ",Sales!S198/Sales!R198-1)</f>
        <v xml:space="preserve"> </v>
      </c>
      <c r="T593" s="233" t="str">
        <f>IF(Sales!S198=0," ",Sales!T198/Sales!S198-1)</f>
        <v xml:space="preserve"> </v>
      </c>
      <c r="U593" s="234" t="str">
        <f>IF(SUM(Sales!N198:P198)=0," ",SUM(Sales!R198:T198)/SUM(Sales!N198:P198)-1)</f>
        <v xml:space="preserve"> </v>
      </c>
      <c r="V593" s="233" t="str">
        <f>IF(Sales!T198=0," ",Sales!V198/Sales!T198-1)</f>
        <v xml:space="preserve"> </v>
      </c>
      <c r="W593" s="233" t="str">
        <f>IF(Sales!V198=0," ",Sales!W198/Sales!V198-1)</f>
        <v xml:space="preserve"> </v>
      </c>
      <c r="X593" s="233" t="str">
        <f>IF(Sales!W198=0," ",Sales!X198/Sales!W198-1)</f>
        <v xml:space="preserve"> </v>
      </c>
      <c r="Y593" s="234" t="str">
        <f>IF(SUM(Sales!R198:T198)=0," ",SUM(Sales!V198:X198)/SUM(Sales!R198:T198)-1)</f>
        <v xml:space="preserve"> </v>
      </c>
    </row>
    <row r="594" spans="1:25" ht="12.75" hidden="1" customHeight="1" outlineLevel="2" x14ac:dyDescent="0.2">
      <c r="A594" s="198" t="str">
        <f>"         "&amp;Labels!B386</f>
        <v xml:space="preserve">         Prof Level 2</v>
      </c>
      <c r="B594" s="233"/>
      <c r="C594" s="233" t="str">
        <f>IF(Sales!B202=0," ",Sales!C202/Sales!B202-1)</f>
        <v xml:space="preserve"> </v>
      </c>
      <c r="D594" s="233" t="str">
        <f>IF(Sales!C202=0," ",Sales!D202/Sales!C202-1)</f>
        <v xml:space="preserve"> </v>
      </c>
      <c r="E594" s="234" t="str">
        <f>IF(0=0," ",SUM(Sales!B202:D202)/0-1)</f>
        <v xml:space="preserve"> </v>
      </c>
      <c r="F594" s="233" t="str">
        <f>IF(Sales!D202=0," ",Sales!F202/Sales!D202-1)</f>
        <v xml:space="preserve"> </v>
      </c>
      <c r="G594" s="233" t="str">
        <f>IF(Sales!F202=0," ",Sales!G202/Sales!F202-1)</f>
        <v xml:space="preserve"> </v>
      </c>
      <c r="H594" s="233" t="str">
        <f>IF(Sales!G202=0," ",Sales!H202/Sales!G202-1)</f>
        <v xml:space="preserve"> </v>
      </c>
      <c r="I594" s="234" t="str">
        <f>IF(SUM(Sales!B202:D202)=0," ",SUM(Sales!F202:H202)/SUM(Sales!B202:D202)-1)</f>
        <v xml:space="preserve"> </v>
      </c>
      <c r="J594" s="233" t="str">
        <f>IF(Sales!H202=0," ",Sales!J202/Sales!H202-1)</f>
        <v xml:space="preserve"> </v>
      </c>
      <c r="K594" s="233" t="str">
        <f>IF(Sales!J202=0," ",Sales!K202/Sales!J202-1)</f>
        <v xml:space="preserve"> </v>
      </c>
      <c r="L594" s="233" t="str">
        <f>IF(Sales!K202=0," ",Sales!L202/Sales!K202-1)</f>
        <v xml:space="preserve"> </v>
      </c>
      <c r="M594" s="234" t="str">
        <f>IF(SUM(Sales!F202:H202)=0," ",SUM(Sales!J202:L202)/SUM(Sales!F202:H202)-1)</f>
        <v xml:space="preserve"> </v>
      </c>
      <c r="N594" s="233" t="str">
        <f>IF(Sales!L202=0," ",Sales!N202/Sales!L202-1)</f>
        <v xml:space="preserve"> </v>
      </c>
      <c r="O594" s="233" t="str">
        <f>IF(Sales!N202=0," ",Sales!O202/Sales!N202-1)</f>
        <v xml:space="preserve"> </v>
      </c>
      <c r="P594" s="233" t="str">
        <f>IF(Sales!O202=0," ",Sales!P202/Sales!O202-1)</f>
        <v xml:space="preserve"> </v>
      </c>
      <c r="Q594" s="234" t="str">
        <f>IF(SUM(Sales!J202:L202)=0," ",SUM(Sales!N202:P202)/SUM(Sales!J202:L202)-1)</f>
        <v xml:space="preserve"> </v>
      </c>
      <c r="R594" s="233" t="str">
        <f>IF(Sales!P202=0," ",Sales!R202/Sales!P202-1)</f>
        <v xml:space="preserve"> </v>
      </c>
      <c r="S594" s="233" t="str">
        <f>IF(Sales!R202=0," ",Sales!S202/Sales!R202-1)</f>
        <v xml:space="preserve"> </v>
      </c>
      <c r="T594" s="233" t="str">
        <f>IF(Sales!S202=0," ",Sales!T202/Sales!S202-1)</f>
        <v xml:space="preserve"> </v>
      </c>
      <c r="U594" s="234" t="str">
        <f>IF(SUM(Sales!N202:P202)=0," ",SUM(Sales!R202:T202)/SUM(Sales!N202:P202)-1)</f>
        <v xml:space="preserve"> </v>
      </c>
      <c r="V594" s="233" t="str">
        <f>IF(Sales!T202=0," ",Sales!V202/Sales!T202-1)</f>
        <v xml:space="preserve"> </v>
      </c>
      <c r="W594" s="233" t="str">
        <f>IF(Sales!V202=0," ",Sales!W202/Sales!V202-1)</f>
        <v xml:space="preserve"> </v>
      </c>
      <c r="X594" s="233" t="str">
        <f>IF(Sales!W202=0," ",Sales!X202/Sales!W202-1)</f>
        <v xml:space="preserve"> </v>
      </c>
      <c r="Y594" s="234" t="str">
        <f>IF(SUM(Sales!R202:T202)=0," ",SUM(Sales!V202:X202)/SUM(Sales!R202:T202)-1)</f>
        <v xml:space="preserve"> </v>
      </c>
    </row>
    <row r="595" spans="1:25" ht="12.75" hidden="1" customHeight="1" outlineLevel="2" x14ac:dyDescent="0.2">
      <c r="A595" s="198" t="str">
        <f>"         "&amp;Labels!C384</f>
        <v xml:space="preserve">         Total</v>
      </c>
      <c r="B595" s="233"/>
      <c r="C595" s="233" t="str">
        <f>IF(Practices!B151=0," ",Practices!C151/Practices!B151-1)</f>
        <v xml:space="preserve"> </v>
      </c>
      <c r="D595" s="233" t="str">
        <f>IF(Practices!C151=0," ",Practices!D151/Practices!C151-1)</f>
        <v xml:space="preserve"> </v>
      </c>
      <c r="E595" s="234" t="str">
        <f>IF(0=0," ",SUM(Practices!B151:D151)/0-1)</f>
        <v xml:space="preserve"> </v>
      </c>
      <c r="F595" s="233" t="str">
        <f>IF(Practices!D151=0," ",Practices!F151/Practices!D151-1)</f>
        <v xml:space="preserve"> </v>
      </c>
      <c r="G595" s="233" t="str">
        <f>IF(Practices!F151=0," ",Practices!G151/Practices!F151-1)</f>
        <v xml:space="preserve"> </v>
      </c>
      <c r="H595" s="233" t="str">
        <f>IF(Practices!G151=0," ",Practices!H151/Practices!G151-1)</f>
        <v xml:space="preserve"> </v>
      </c>
      <c r="I595" s="234" t="str">
        <f>IF(SUM(Practices!B151:D151)=0," ",SUM(Practices!F151:H151)/SUM(Practices!B151:D151)-1)</f>
        <v xml:space="preserve"> </v>
      </c>
      <c r="J595" s="233" t="str">
        <f>IF(Practices!H151=0," ",Practices!J151/Practices!H151-1)</f>
        <v xml:space="preserve"> </v>
      </c>
      <c r="K595" s="233" t="str">
        <f>IF(Practices!J151=0," ",Practices!K151/Practices!J151-1)</f>
        <v xml:space="preserve"> </v>
      </c>
      <c r="L595" s="233" t="str">
        <f>IF(Practices!K151=0," ",Practices!L151/Practices!K151-1)</f>
        <v xml:space="preserve"> </v>
      </c>
      <c r="M595" s="234" t="str">
        <f>IF(SUM(Practices!F151:H151)=0," ",SUM(Practices!J151:L151)/SUM(Practices!F151:H151)-1)</f>
        <v xml:space="preserve"> </v>
      </c>
      <c r="N595" s="233" t="str">
        <f>IF(Practices!L151=0," ",Practices!N151/Practices!L151-1)</f>
        <v xml:space="preserve"> </v>
      </c>
      <c r="O595" s="233" t="str">
        <f>IF(Practices!N151=0," ",Practices!O151/Practices!N151-1)</f>
        <v xml:space="preserve"> </v>
      </c>
      <c r="P595" s="233" t="str">
        <f>IF(Practices!O151=0," ",Practices!P151/Practices!O151-1)</f>
        <v xml:space="preserve"> </v>
      </c>
      <c r="Q595" s="234" t="str">
        <f>IF(SUM(Practices!J151:L151)=0," ",SUM(Practices!N151:P151)/SUM(Practices!J151:L151)-1)</f>
        <v xml:space="preserve"> </v>
      </c>
      <c r="R595" s="233" t="str">
        <f>IF(Practices!P151=0," ",Practices!R151/Practices!P151-1)</f>
        <v xml:space="preserve"> </v>
      </c>
      <c r="S595" s="233" t="str">
        <f>IF(Practices!R151=0," ",Practices!S151/Practices!R151-1)</f>
        <v xml:space="preserve"> </v>
      </c>
      <c r="T595" s="233" t="str">
        <f>IF(Practices!S151=0," ",Practices!T151/Practices!S151-1)</f>
        <v xml:space="preserve"> </v>
      </c>
      <c r="U595" s="234" t="str">
        <f>IF(SUM(Practices!N151:P151)=0," ",SUM(Practices!R151:T151)/SUM(Practices!N151:P151)-1)</f>
        <v xml:space="preserve"> </v>
      </c>
      <c r="V595" s="233" t="str">
        <f>IF(Practices!T151=0," ",Practices!V151/Practices!T151-1)</f>
        <v xml:space="preserve"> </v>
      </c>
      <c r="W595" s="233" t="str">
        <f>IF(Practices!V151=0," ",Practices!W151/Practices!V151-1)</f>
        <v xml:space="preserve"> </v>
      </c>
      <c r="X595" s="233" t="str">
        <f>IF(Practices!W151=0," ",Practices!X151/Practices!W151-1)</f>
        <v xml:space="preserve"> </v>
      </c>
      <c r="Y595" s="234" t="str">
        <f>IF(SUM(Practices!R151:T151)=0," ",SUM(Practices!V151:X151)/SUM(Practices!R151:T151)-1)</f>
        <v xml:space="preserve"> </v>
      </c>
    </row>
    <row r="596" spans="1:25" ht="12.75" hidden="1" customHeight="1" outlineLevel="2" x14ac:dyDescent="0.2">
      <c r="A596" s="188" t="str">
        <f>"      "&amp;Labels!C380</f>
        <v xml:space="preserve">      Total</v>
      </c>
      <c r="B596" s="218"/>
      <c r="C596" s="218" t="str">
        <f>IF(Practices!B155=0," ",Practices!C155/Practices!B155-1)</f>
        <v xml:space="preserve"> </v>
      </c>
      <c r="D596" s="218" t="str">
        <f>IF(Practices!C155=0," ",Practices!D155/Practices!C155-1)</f>
        <v xml:space="preserve"> </v>
      </c>
      <c r="E596" s="219" t="str">
        <f>IF(0=0," ",SUM(Practices!B155:D155)/0-1)</f>
        <v xml:space="preserve"> </v>
      </c>
      <c r="F596" s="218">
        <f>IF(Practices!D155=0," ",Practices!F155/Practices!D155-1)</f>
        <v>0</v>
      </c>
      <c r="G596" s="218">
        <f>IF(Practices!F155=0," ",Practices!G155/Practices!F155-1)</f>
        <v>-1</v>
      </c>
      <c r="H596" s="218" t="str">
        <f>IF(Practices!G155=0," ",Practices!H155/Practices!G155-1)</f>
        <v xml:space="preserve"> </v>
      </c>
      <c r="I596" s="219">
        <f>IF(SUM(Practices!B155:D155)=0," ",SUM(Practices!F155:H155)/SUM(Practices!B155:D155)-1)</f>
        <v>0.72727272727272729</v>
      </c>
      <c r="J596" s="218">
        <f>IF(Practices!H155=0," ",Practices!J155/Practices!H155-1)</f>
        <v>0</v>
      </c>
      <c r="K596" s="218">
        <f>IF(Practices!J155=0," ",Practices!K155/Practices!J155-1)</f>
        <v>0</v>
      </c>
      <c r="L596" s="218">
        <f>IF(Practices!K155=0," ",Practices!L155/Practices!K155-1)</f>
        <v>-1</v>
      </c>
      <c r="M596" s="219">
        <f>IF(SUM(Practices!F155:H155)=0," ",SUM(Practices!J155:L155)/SUM(Practices!F155:H155)-1)</f>
        <v>-0.15789473684210531</v>
      </c>
      <c r="N596" s="218" t="str">
        <f>IF(Practices!L155=0," ",Practices!N155/Practices!L155-1)</f>
        <v xml:space="preserve"> </v>
      </c>
      <c r="O596" s="218" t="str">
        <f>IF(Practices!N155=0," ",Practices!O155/Practices!N155-1)</f>
        <v xml:space="preserve"> </v>
      </c>
      <c r="P596" s="218" t="str">
        <f>IF(Practices!O155=0," ",Practices!P155/Practices!O155-1)</f>
        <v xml:space="preserve"> </v>
      </c>
      <c r="Q596" s="219">
        <f>IF(SUM(Practices!J155:L155)=0," ",SUM(Practices!N155:P155)/SUM(Practices!J155:L155)-1)</f>
        <v>-1</v>
      </c>
      <c r="R596" s="218" t="str">
        <f>IF(Practices!P155=0," ",Practices!R155/Practices!P155-1)</f>
        <v xml:space="preserve"> </v>
      </c>
      <c r="S596" s="218" t="str">
        <f>IF(Practices!R155=0," ",Practices!S155/Practices!R155-1)</f>
        <v xml:space="preserve"> </v>
      </c>
      <c r="T596" s="218" t="str">
        <f>IF(Practices!S155=0," ",Practices!T155/Practices!S155-1)</f>
        <v xml:space="preserve"> </v>
      </c>
      <c r="U596" s="219" t="str">
        <f>IF(SUM(Practices!N155:P155)=0," ",SUM(Practices!R155:T155)/SUM(Practices!N155:P155)-1)</f>
        <v xml:space="preserve"> </v>
      </c>
      <c r="V596" s="218" t="str">
        <f>IF(Practices!T155=0," ",Practices!V155/Practices!T155-1)</f>
        <v xml:space="preserve"> </v>
      </c>
      <c r="W596" s="218" t="str">
        <f>IF(Practices!V155=0," ",Practices!W155/Practices!V155-1)</f>
        <v xml:space="preserve"> </v>
      </c>
      <c r="X596" s="218" t="str">
        <f>IF(Practices!W155=0," ",Practices!X155/Practices!W155-1)</f>
        <v xml:space="preserve"> </v>
      </c>
      <c r="Y596" s="219" t="str">
        <f>IF(SUM(Practices!R155:T155)=0," ",SUM(Practices!V155:X155)/SUM(Practices!R155:T155)-1)</f>
        <v xml:space="preserve"> </v>
      </c>
    </row>
    <row r="597" spans="1:25" ht="12.75" hidden="1" customHeight="1" outlineLevel="2" x14ac:dyDescent="0.2">
      <c r="A597" s="198" t="str">
        <f>"         "&amp;Labels!B385</f>
        <v xml:space="preserve">         Prof Level 1</v>
      </c>
      <c r="B597" s="233"/>
      <c r="C597" s="233" t="str">
        <f>IF(Sales!B211=0," ",Sales!C211/Sales!B211-1)</f>
        <v xml:space="preserve"> </v>
      </c>
      <c r="D597" s="233" t="str">
        <f>IF(Sales!C211=0," ",Sales!D211/Sales!C211-1)</f>
        <v xml:space="preserve"> </v>
      </c>
      <c r="E597" s="234" t="str">
        <f>IF(0=0," ",SUM(Sales!B211:D211)/0-1)</f>
        <v xml:space="preserve"> </v>
      </c>
      <c r="F597" s="233">
        <f>IF(Sales!D211=0," ",Sales!F211/Sales!D211-1)</f>
        <v>0</v>
      </c>
      <c r="G597" s="233">
        <f>IF(Sales!F211=0," ",Sales!G211/Sales!F211-1)</f>
        <v>-1</v>
      </c>
      <c r="H597" s="233" t="str">
        <f>IF(Sales!G211=0," ",Sales!H211/Sales!G211-1)</f>
        <v xml:space="preserve"> </v>
      </c>
      <c r="I597" s="234">
        <f>IF(SUM(Sales!B211:D211)=0," ",SUM(Sales!F211:H211)/SUM(Sales!B211:D211)-1)</f>
        <v>0.72727272727272729</v>
      </c>
      <c r="J597" s="233">
        <f>IF(Sales!H211=0," ",Sales!J211/Sales!H211-1)</f>
        <v>0</v>
      </c>
      <c r="K597" s="233">
        <f>IF(Sales!J211=0," ",Sales!K211/Sales!J211-1)</f>
        <v>0</v>
      </c>
      <c r="L597" s="233">
        <f>IF(Sales!K211=0," ",Sales!L211/Sales!K211-1)</f>
        <v>-1</v>
      </c>
      <c r="M597" s="234">
        <f>IF(SUM(Sales!F211:H211)=0," ",SUM(Sales!J211:L211)/SUM(Sales!F211:H211)-1)</f>
        <v>-0.15789473684210531</v>
      </c>
      <c r="N597" s="233" t="str">
        <f>IF(Sales!L211=0," ",Sales!N211/Sales!L211-1)</f>
        <v xml:space="preserve"> </v>
      </c>
      <c r="O597" s="233" t="str">
        <f>IF(Sales!N211=0," ",Sales!O211/Sales!N211-1)</f>
        <v xml:space="preserve"> </v>
      </c>
      <c r="P597" s="233" t="str">
        <f>IF(Sales!O211=0," ",Sales!P211/Sales!O211-1)</f>
        <v xml:space="preserve"> </v>
      </c>
      <c r="Q597" s="234">
        <f>IF(SUM(Sales!J211:L211)=0," ",SUM(Sales!N211:P211)/SUM(Sales!J211:L211)-1)</f>
        <v>-1</v>
      </c>
      <c r="R597" s="233" t="str">
        <f>IF(Sales!P211=0," ",Sales!R211/Sales!P211-1)</f>
        <v xml:space="preserve"> </v>
      </c>
      <c r="S597" s="233" t="str">
        <f>IF(Sales!R211=0," ",Sales!S211/Sales!R211-1)</f>
        <v xml:space="preserve"> </v>
      </c>
      <c r="T597" s="233" t="str">
        <f>IF(Sales!S211=0," ",Sales!T211/Sales!S211-1)</f>
        <v xml:space="preserve"> </v>
      </c>
      <c r="U597" s="234" t="str">
        <f>IF(SUM(Sales!N211:P211)=0," ",SUM(Sales!R211:T211)/SUM(Sales!N211:P211)-1)</f>
        <v xml:space="preserve"> </v>
      </c>
      <c r="V597" s="233" t="str">
        <f>IF(Sales!T211=0," ",Sales!V211/Sales!T211-1)</f>
        <v xml:space="preserve"> </v>
      </c>
      <c r="W597" s="233" t="str">
        <f>IF(Sales!V211=0," ",Sales!W211/Sales!V211-1)</f>
        <v xml:space="preserve"> </v>
      </c>
      <c r="X597" s="233" t="str">
        <f>IF(Sales!W211=0," ",Sales!X211/Sales!W211-1)</f>
        <v xml:space="preserve"> </v>
      </c>
      <c r="Y597" s="234" t="str">
        <f>IF(SUM(Sales!R211:T211)=0," ",SUM(Sales!V211:X211)/SUM(Sales!R211:T211)-1)</f>
        <v xml:space="preserve"> </v>
      </c>
    </row>
    <row r="598" spans="1:25" ht="12.75" hidden="1" customHeight="1" outlineLevel="2" x14ac:dyDescent="0.2">
      <c r="A598" s="198" t="str">
        <f>"         "&amp;Labels!B386</f>
        <v xml:space="preserve">         Prof Level 2</v>
      </c>
      <c r="B598" s="233"/>
      <c r="C598" s="233" t="str">
        <f>IF(Sales!B215=0," ",Sales!C215/Sales!B215-1)</f>
        <v xml:space="preserve"> </v>
      </c>
      <c r="D598" s="233" t="str">
        <f>IF(Sales!C215=0," ",Sales!D215/Sales!C215-1)</f>
        <v xml:space="preserve"> </v>
      </c>
      <c r="E598" s="234" t="str">
        <f>IF(0=0," ",SUM(Sales!B215:D215)/0-1)</f>
        <v xml:space="preserve"> </v>
      </c>
      <c r="F598" s="233">
        <f>IF(Sales!D215=0," ",Sales!F215/Sales!D215-1)</f>
        <v>0</v>
      </c>
      <c r="G598" s="233">
        <f>IF(Sales!F215=0," ",Sales!G215/Sales!F215-1)</f>
        <v>-1</v>
      </c>
      <c r="H598" s="233" t="str">
        <f>IF(Sales!G215=0," ",Sales!H215/Sales!G215-1)</f>
        <v xml:space="preserve"> </v>
      </c>
      <c r="I598" s="234">
        <f>IF(SUM(Sales!B215:D215)=0," ",SUM(Sales!F215:H215)/SUM(Sales!B215:D215)-1)</f>
        <v>0.72727272727272729</v>
      </c>
      <c r="J598" s="233">
        <f>IF(Sales!H215=0," ",Sales!J215/Sales!H215-1)</f>
        <v>0</v>
      </c>
      <c r="K598" s="233">
        <f>IF(Sales!J215=0," ",Sales!K215/Sales!J215-1)</f>
        <v>0</v>
      </c>
      <c r="L598" s="233">
        <f>IF(Sales!K215=0," ",Sales!L215/Sales!K215-1)</f>
        <v>-1</v>
      </c>
      <c r="M598" s="234">
        <f>IF(SUM(Sales!F215:H215)=0," ",SUM(Sales!J215:L215)/SUM(Sales!F215:H215)-1)</f>
        <v>-0.15789473684210531</v>
      </c>
      <c r="N598" s="233" t="str">
        <f>IF(Sales!L215=0," ",Sales!N215/Sales!L215-1)</f>
        <v xml:space="preserve"> </v>
      </c>
      <c r="O598" s="233" t="str">
        <f>IF(Sales!N215=0," ",Sales!O215/Sales!N215-1)</f>
        <v xml:space="preserve"> </v>
      </c>
      <c r="P598" s="233" t="str">
        <f>IF(Sales!O215=0," ",Sales!P215/Sales!O215-1)</f>
        <v xml:space="preserve"> </v>
      </c>
      <c r="Q598" s="234">
        <f>IF(SUM(Sales!J215:L215)=0," ",SUM(Sales!N215:P215)/SUM(Sales!J215:L215)-1)</f>
        <v>-1</v>
      </c>
      <c r="R598" s="233" t="str">
        <f>IF(Sales!P215=0," ",Sales!R215/Sales!P215-1)</f>
        <v xml:space="preserve"> </v>
      </c>
      <c r="S598" s="233" t="str">
        <f>IF(Sales!R215=0," ",Sales!S215/Sales!R215-1)</f>
        <v xml:space="preserve"> </v>
      </c>
      <c r="T598" s="233" t="str">
        <f>IF(Sales!S215=0," ",Sales!T215/Sales!S215-1)</f>
        <v xml:space="preserve"> </v>
      </c>
      <c r="U598" s="234" t="str">
        <f>IF(SUM(Sales!N215:P215)=0," ",SUM(Sales!R215:T215)/SUM(Sales!N215:P215)-1)</f>
        <v xml:space="preserve"> </v>
      </c>
      <c r="V598" s="233" t="str">
        <f>IF(Sales!T215=0," ",Sales!V215/Sales!T215-1)</f>
        <v xml:space="preserve"> </v>
      </c>
      <c r="W598" s="233" t="str">
        <f>IF(Sales!V215=0," ",Sales!W215/Sales!V215-1)</f>
        <v xml:space="preserve"> </v>
      </c>
      <c r="X598" s="233" t="str">
        <f>IF(Sales!W215=0," ",Sales!X215/Sales!W215-1)</f>
        <v xml:space="preserve"> </v>
      </c>
      <c r="Y598" s="234" t="str">
        <f>IF(SUM(Sales!R215:T215)=0," ",SUM(Sales!V215:X215)/SUM(Sales!R215:T215)-1)</f>
        <v xml:space="preserve"> </v>
      </c>
    </row>
    <row r="599" spans="1:25" ht="12.75" hidden="1" customHeight="1" outlineLevel="2" x14ac:dyDescent="0.2">
      <c r="A599" s="198" t="str">
        <f>"         "&amp;Labels!C384</f>
        <v xml:space="preserve">         Total</v>
      </c>
      <c r="B599" s="233"/>
      <c r="C599" s="233" t="str">
        <f>IF(Practices!B155=0," ",Practices!C155/Practices!B155-1)</f>
        <v xml:space="preserve"> </v>
      </c>
      <c r="D599" s="233" t="str">
        <f>IF(Practices!C155=0," ",Practices!D155/Practices!C155-1)</f>
        <v xml:space="preserve"> </v>
      </c>
      <c r="E599" s="234" t="str">
        <f>IF(0=0," ",SUM(Practices!B155:D155)/0-1)</f>
        <v xml:space="preserve"> </v>
      </c>
      <c r="F599" s="233">
        <f>IF(Practices!D155=0," ",Practices!F155/Practices!D155-1)</f>
        <v>0</v>
      </c>
      <c r="G599" s="233">
        <f>IF(Practices!F155=0," ",Practices!G155/Practices!F155-1)</f>
        <v>-1</v>
      </c>
      <c r="H599" s="233" t="str">
        <f>IF(Practices!G155=0," ",Practices!H155/Practices!G155-1)</f>
        <v xml:space="preserve"> </v>
      </c>
      <c r="I599" s="234">
        <f>IF(SUM(Practices!B155:D155)=0," ",SUM(Practices!F155:H155)/SUM(Practices!B155:D155)-1)</f>
        <v>0.72727272727272729</v>
      </c>
      <c r="J599" s="233">
        <f>IF(Practices!H155=0," ",Practices!J155/Practices!H155-1)</f>
        <v>0</v>
      </c>
      <c r="K599" s="233">
        <f>IF(Practices!J155=0," ",Practices!K155/Practices!J155-1)</f>
        <v>0</v>
      </c>
      <c r="L599" s="233">
        <f>IF(Practices!K155=0," ",Practices!L155/Practices!K155-1)</f>
        <v>-1</v>
      </c>
      <c r="M599" s="234">
        <f>IF(SUM(Practices!F155:H155)=0," ",SUM(Practices!J155:L155)/SUM(Practices!F155:H155)-1)</f>
        <v>-0.15789473684210531</v>
      </c>
      <c r="N599" s="233" t="str">
        <f>IF(Practices!L155=0," ",Practices!N155/Practices!L155-1)</f>
        <v xml:space="preserve"> </v>
      </c>
      <c r="O599" s="233" t="str">
        <f>IF(Practices!N155=0," ",Practices!O155/Practices!N155-1)</f>
        <v xml:space="preserve"> </v>
      </c>
      <c r="P599" s="233" t="str">
        <f>IF(Practices!O155=0," ",Practices!P155/Practices!O155-1)</f>
        <v xml:space="preserve"> </v>
      </c>
      <c r="Q599" s="234">
        <f>IF(SUM(Practices!J155:L155)=0," ",SUM(Practices!N155:P155)/SUM(Practices!J155:L155)-1)</f>
        <v>-1</v>
      </c>
      <c r="R599" s="233" t="str">
        <f>IF(Practices!P155=0," ",Practices!R155/Practices!P155-1)</f>
        <v xml:space="preserve"> </v>
      </c>
      <c r="S599" s="233" t="str">
        <f>IF(Practices!R155=0," ",Practices!S155/Practices!R155-1)</f>
        <v xml:space="preserve"> </v>
      </c>
      <c r="T599" s="233" t="str">
        <f>IF(Practices!S155=0," ",Practices!T155/Practices!S155-1)</f>
        <v xml:space="preserve"> </v>
      </c>
      <c r="U599" s="234" t="str">
        <f>IF(SUM(Practices!N155:P155)=0," ",SUM(Practices!R155:T155)/SUM(Practices!N155:P155)-1)</f>
        <v xml:space="preserve"> </v>
      </c>
      <c r="V599" s="233" t="str">
        <f>IF(Practices!T155=0," ",Practices!V155/Practices!T155-1)</f>
        <v xml:space="preserve"> </v>
      </c>
      <c r="W599" s="233" t="str">
        <f>IF(Practices!V155=0," ",Practices!W155/Practices!V155-1)</f>
        <v xml:space="preserve"> </v>
      </c>
      <c r="X599" s="233" t="str">
        <f>IF(Practices!W155=0," ",Practices!X155/Practices!W155-1)</f>
        <v xml:space="preserve"> </v>
      </c>
      <c r="Y599" s="234" t="str">
        <f>IF(SUM(Practices!R155:T155)=0," ",SUM(Practices!V155:X155)/SUM(Practices!R155:T155)-1)</f>
        <v xml:space="preserve"> </v>
      </c>
    </row>
    <row r="600" spans="1:25" ht="12.75" hidden="1" customHeight="1" outlineLevel="2" x14ac:dyDescent="0.2">
      <c r="A600" s="191" t="str">
        <f>"   "&amp;Labels!C316</f>
        <v xml:space="preserve">   Total</v>
      </c>
      <c r="B600" s="211"/>
      <c r="C600" s="211" t="str">
        <f>IF(Practices!B34=0," ",Practices!C34/Practices!B34-1)</f>
        <v xml:space="preserve"> </v>
      </c>
      <c r="D600" s="211" t="str">
        <f>IF(Practices!C34=0," ",Practices!D34/Practices!C34-1)</f>
        <v xml:space="preserve"> </v>
      </c>
      <c r="E600" s="210" t="str">
        <f>IF(0=0," ",SUM(Practices!B34:D34)/0-1)</f>
        <v xml:space="preserve"> </v>
      </c>
      <c r="F600" s="211">
        <f>IF(Practices!D34=0," ",Practices!F34/Practices!D34-1)</f>
        <v>0</v>
      </c>
      <c r="G600" s="211">
        <f>IF(Practices!F34=0," ",Practices!G34/Practices!F34-1)</f>
        <v>-1</v>
      </c>
      <c r="H600" s="211" t="str">
        <f>IF(Practices!G34=0," ",Practices!H34/Practices!G34-1)</f>
        <v xml:space="preserve"> </v>
      </c>
      <c r="I600" s="210">
        <f>IF(SUM(Practices!B34:D34)=0," ",SUM(Practices!F34:H34)/SUM(Practices!B34:D34)-1)</f>
        <v>0.72727272727272729</v>
      </c>
      <c r="J600" s="211">
        <f>IF(Practices!H34=0," ",Practices!J34/Practices!H34-1)</f>
        <v>0</v>
      </c>
      <c r="K600" s="211">
        <f>IF(Practices!J34=0," ",Practices!K34/Practices!J34-1)</f>
        <v>0</v>
      </c>
      <c r="L600" s="211">
        <f>IF(Practices!K34=0," ",Practices!L34/Practices!K34-1)</f>
        <v>-1</v>
      </c>
      <c r="M600" s="210">
        <f>IF(SUM(Practices!F34:H34)=0," ",SUM(Practices!J34:L34)/SUM(Practices!F34:H34)-1)</f>
        <v>-0.15789473684210531</v>
      </c>
      <c r="N600" s="211" t="str">
        <f>IF(Practices!L34=0," ",Practices!N34/Practices!L34-1)</f>
        <v xml:space="preserve"> </v>
      </c>
      <c r="O600" s="211" t="str">
        <f>IF(Practices!N34=0," ",Practices!O34/Practices!N34-1)</f>
        <v xml:space="preserve"> </v>
      </c>
      <c r="P600" s="211" t="str">
        <f>IF(Practices!O34=0," ",Practices!P34/Practices!O34-1)</f>
        <v xml:space="preserve"> </v>
      </c>
      <c r="Q600" s="210">
        <f>IF(SUM(Practices!J34:L34)=0," ",SUM(Practices!N34:P34)/SUM(Practices!J34:L34)-1)</f>
        <v>-1</v>
      </c>
      <c r="R600" s="211" t="str">
        <f>IF(Practices!P34=0," ",Practices!R34/Practices!P34-1)</f>
        <v xml:space="preserve"> </v>
      </c>
      <c r="S600" s="211" t="str">
        <f>IF(Practices!R34=0," ",Practices!S34/Practices!R34-1)</f>
        <v xml:space="preserve"> </v>
      </c>
      <c r="T600" s="211" t="str">
        <f>IF(Practices!S34=0," ",Practices!T34/Practices!S34-1)</f>
        <v xml:space="preserve"> </v>
      </c>
      <c r="U600" s="210" t="str">
        <f>IF(SUM(Practices!N34:P34)=0," ",SUM(Practices!R34:T34)/SUM(Practices!N34:P34)-1)</f>
        <v xml:space="preserve"> </v>
      </c>
      <c r="V600" s="211" t="str">
        <f>IF(Practices!T34=0," ",Practices!V34/Practices!T34-1)</f>
        <v xml:space="preserve"> </v>
      </c>
      <c r="W600" s="211" t="str">
        <f>IF(Practices!V34=0," ",Practices!W34/Practices!V34-1)</f>
        <v xml:space="preserve"> </v>
      </c>
      <c r="X600" s="211" t="str">
        <f>IF(Practices!W34=0," ",Practices!X34/Practices!W34-1)</f>
        <v xml:space="preserve"> </v>
      </c>
      <c r="Y600" s="210" t="str">
        <f>IF(SUM(Practices!R34:T34)=0," ",SUM(Practices!V34:X34)/SUM(Practices!R34:T34)-1)</f>
        <v xml:space="preserve"> </v>
      </c>
    </row>
    <row r="601" spans="1:25" ht="12.75" hidden="1" customHeight="1" outlineLevel="2" x14ac:dyDescent="0.2">
      <c r="A601" s="198" t="str">
        <f>"      "&amp;Labels!B381</f>
        <v xml:space="preserve">      Practice 1</v>
      </c>
      <c r="B601" s="233"/>
      <c r="C601" s="233"/>
      <c r="D601" s="233"/>
      <c r="E601" s="234"/>
      <c r="F601" s="233"/>
      <c r="G601" s="233"/>
      <c r="H601" s="233"/>
      <c r="I601" s="234"/>
      <c r="J601" s="233"/>
      <c r="K601" s="233"/>
      <c r="L601" s="233"/>
      <c r="M601" s="234"/>
      <c r="N601" s="233"/>
      <c r="O601" s="233"/>
      <c r="P601" s="233"/>
      <c r="Q601" s="234"/>
      <c r="R601" s="233"/>
      <c r="S601" s="233"/>
      <c r="T601" s="233"/>
      <c r="U601" s="234"/>
      <c r="V601" s="233"/>
      <c r="W601" s="233"/>
      <c r="X601" s="233"/>
      <c r="Y601" s="234"/>
    </row>
    <row r="602" spans="1:25" ht="12.75" hidden="1" customHeight="1" outlineLevel="2" x14ac:dyDescent="0.2">
      <c r="A602" s="198" t="str">
        <f>"         "&amp;Labels!B385</f>
        <v xml:space="preserve">         Prof Level 1</v>
      </c>
      <c r="B602" s="233"/>
      <c r="C602" s="233" t="str">
        <f>IF(Practices!B296=0," ",Practices!C296/Practices!B296-1)</f>
        <v xml:space="preserve"> </v>
      </c>
      <c r="D602" s="233" t="str">
        <f>IF(Practices!C296=0," ",Practices!D296/Practices!C296-1)</f>
        <v xml:space="preserve"> </v>
      </c>
      <c r="E602" s="234" t="str">
        <f>IF(0=0," ",SUM(Practices!B296:D296)/0-1)</f>
        <v xml:space="preserve"> </v>
      </c>
      <c r="F602" s="233">
        <f>IF(Practices!D296=0," ",Practices!F296/Practices!D296-1)</f>
        <v>0</v>
      </c>
      <c r="G602" s="233">
        <f>IF(Practices!F296=0," ",Practices!G296/Practices!F296-1)</f>
        <v>-1</v>
      </c>
      <c r="H602" s="233" t="str">
        <f>IF(Practices!G296=0," ",Practices!H296/Practices!G296-1)</f>
        <v xml:space="preserve"> </v>
      </c>
      <c r="I602" s="234">
        <f>IF(SUM(Practices!B296:D296)=0," ",SUM(Practices!F296:H296)/SUM(Practices!B296:D296)-1)</f>
        <v>0.72727272727272729</v>
      </c>
      <c r="J602" s="233">
        <f>IF(Practices!H296=0," ",Practices!J296/Practices!H296-1)</f>
        <v>0</v>
      </c>
      <c r="K602" s="233">
        <f>IF(Practices!J296=0," ",Practices!K296/Practices!J296-1)</f>
        <v>0</v>
      </c>
      <c r="L602" s="233">
        <f>IF(Practices!K296=0," ",Practices!L296/Practices!K296-1)</f>
        <v>-1</v>
      </c>
      <c r="M602" s="234">
        <f>IF(SUM(Practices!F296:H296)=0," ",SUM(Practices!J296:L296)/SUM(Practices!F296:H296)-1)</f>
        <v>-0.15789473684210531</v>
      </c>
      <c r="N602" s="233" t="str">
        <f>IF(Practices!L296=0," ",Practices!N296/Practices!L296-1)</f>
        <v xml:space="preserve"> </v>
      </c>
      <c r="O602" s="233" t="str">
        <f>IF(Practices!N296=0," ",Practices!O296/Practices!N296-1)</f>
        <v xml:space="preserve"> </v>
      </c>
      <c r="P602" s="233" t="str">
        <f>IF(Practices!O296=0," ",Practices!P296/Practices!O296-1)</f>
        <v xml:space="preserve"> </v>
      </c>
      <c r="Q602" s="234">
        <f>IF(SUM(Practices!J296:L296)=0," ",SUM(Practices!N296:P296)/SUM(Practices!J296:L296)-1)</f>
        <v>-1</v>
      </c>
      <c r="R602" s="233" t="str">
        <f>IF(Practices!P296=0," ",Practices!R296/Practices!P296-1)</f>
        <v xml:space="preserve"> </v>
      </c>
      <c r="S602" s="233" t="str">
        <f>IF(Practices!R296=0," ",Practices!S296/Practices!R296-1)</f>
        <v xml:space="preserve"> </v>
      </c>
      <c r="T602" s="233" t="str">
        <f>IF(Practices!S296=0," ",Practices!T296/Practices!S296-1)</f>
        <v xml:space="preserve"> </v>
      </c>
      <c r="U602" s="234" t="str">
        <f>IF(SUM(Practices!N296:P296)=0," ",SUM(Practices!R296:T296)/SUM(Practices!N296:P296)-1)</f>
        <v xml:space="preserve"> </v>
      </c>
      <c r="V602" s="233" t="str">
        <f>IF(Practices!T296=0," ",Practices!V296/Practices!T296-1)</f>
        <v xml:space="preserve"> </v>
      </c>
      <c r="W602" s="233" t="str">
        <f>IF(Practices!V296=0," ",Practices!W296/Practices!V296-1)</f>
        <v xml:space="preserve"> </v>
      </c>
      <c r="X602" s="233" t="str">
        <f>IF(Practices!W296=0," ",Practices!X296/Practices!W296-1)</f>
        <v xml:space="preserve"> </v>
      </c>
      <c r="Y602" s="234" t="str">
        <f>IF(SUM(Practices!R296:T296)=0," ",SUM(Practices!V296:X296)/SUM(Practices!R296:T296)-1)</f>
        <v xml:space="preserve"> </v>
      </c>
    </row>
    <row r="603" spans="1:25" ht="12.75" hidden="1" customHeight="1" outlineLevel="2" x14ac:dyDescent="0.2">
      <c r="A603" s="198" t="str">
        <f>"         "&amp;Labels!B386</f>
        <v xml:space="preserve">         Prof Level 2</v>
      </c>
      <c r="B603" s="233"/>
      <c r="C603" s="233" t="str">
        <f>IF(Practices!B297=0," ",Practices!C297/Practices!B297-1)</f>
        <v xml:space="preserve"> </v>
      </c>
      <c r="D603" s="233" t="str">
        <f>IF(Practices!C297=0," ",Practices!D297/Practices!C297-1)</f>
        <v xml:space="preserve"> </v>
      </c>
      <c r="E603" s="234" t="str">
        <f>IF(0=0," ",SUM(Practices!B297:D297)/0-1)</f>
        <v xml:space="preserve"> </v>
      </c>
      <c r="F603" s="233">
        <f>IF(Practices!D297=0," ",Practices!F297/Practices!D297-1)</f>
        <v>0</v>
      </c>
      <c r="G603" s="233">
        <f>IF(Practices!F297=0," ",Practices!G297/Practices!F297-1)</f>
        <v>-1</v>
      </c>
      <c r="H603" s="233" t="str">
        <f>IF(Practices!G297=0," ",Practices!H297/Practices!G297-1)</f>
        <v xml:space="preserve"> </v>
      </c>
      <c r="I603" s="234">
        <f>IF(SUM(Practices!B297:D297)=0," ",SUM(Practices!F297:H297)/SUM(Practices!B297:D297)-1)</f>
        <v>0.72727272727272729</v>
      </c>
      <c r="J603" s="233">
        <f>IF(Practices!H297=0," ",Practices!J297/Practices!H297-1)</f>
        <v>0</v>
      </c>
      <c r="K603" s="233">
        <f>IF(Practices!J297=0," ",Practices!K297/Practices!J297-1)</f>
        <v>0</v>
      </c>
      <c r="L603" s="233">
        <f>IF(Practices!K297=0," ",Practices!L297/Practices!K297-1)</f>
        <v>-1</v>
      </c>
      <c r="M603" s="234">
        <f>IF(SUM(Practices!F297:H297)=0," ",SUM(Practices!J297:L297)/SUM(Practices!F297:H297)-1)</f>
        <v>-0.15789473684210531</v>
      </c>
      <c r="N603" s="233" t="str">
        <f>IF(Practices!L297=0," ",Practices!N297/Practices!L297-1)</f>
        <v xml:space="preserve"> </v>
      </c>
      <c r="O603" s="233" t="str">
        <f>IF(Practices!N297=0," ",Practices!O297/Practices!N297-1)</f>
        <v xml:space="preserve"> </v>
      </c>
      <c r="P603" s="233" t="str">
        <f>IF(Practices!O297=0," ",Practices!P297/Practices!O297-1)</f>
        <v xml:space="preserve"> </v>
      </c>
      <c r="Q603" s="234">
        <f>IF(SUM(Practices!J297:L297)=0," ",SUM(Practices!N297:P297)/SUM(Practices!J297:L297)-1)</f>
        <v>-1</v>
      </c>
      <c r="R603" s="233" t="str">
        <f>IF(Practices!P297=0," ",Practices!R297/Practices!P297-1)</f>
        <v xml:space="preserve"> </v>
      </c>
      <c r="S603" s="233" t="str">
        <f>IF(Practices!R297=0," ",Practices!S297/Practices!R297-1)</f>
        <v xml:space="preserve"> </v>
      </c>
      <c r="T603" s="233" t="str">
        <f>IF(Practices!S297=0," ",Practices!T297/Practices!S297-1)</f>
        <v xml:space="preserve"> </v>
      </c>
      <c r="U603" s="234" t="str">
        <f>IF(SUM(Practices!N297:P297)=0," ",SUM(Practices!R297:T297)/SUM(Practices!N297:P297)-1)</f>
        <v xml:space="preserve"> </v>
      </c>
      <c r="V603" s="233" t="str">
        <f>IF(Practices!T297=0," ",Practices!V297/Practices!T297-1)</f>
        <v xml:space="preserve"> </v>
      </c>
      <c r="W603" s="233" t="str">
        <f>IF(Practices!V297=0," ",Practices!W297/Practices!V297-1)</f>
        <v xml:space="preserve"> </v>
      </c>
      <c r="X603" s="233" t="str">
        <f>IF(Practices!W297=0," ",Practices!X297/Practices!W297-1)</f>
        <v xml:space="preserve"> </v>
      </c>
      <c r="Y603" s="234" t="str">
        <f>IF(SUM(Practices!R297:T297)=0," ",SUM(Practices!V297:X297)/SUM(Practices!R297:T297)-1)</f>
        <v xml:space="preserve"> </v>
      </c>
    </row>
    <row r="604" spans="1:25" ht="12.75" hidden="1" customHeight="1" outlineLevel="2" x14ac:dyDescent="0.2">
      <c r="A604" s="198" t="str">
        <f>"         "&amp;Labels!C384</f>
        <v xml:space="preserve">         Total</v>
      </c>
      <c r="B604" s="233"/>
      <c r="C604" s="233" t="str">
        <f>IF(Practices!B32=0," ",Practices!C32/Practices!B32-1)</f>
        <v xml:space="preserve"> </v>
      </c>
      <c r="D604" s="233" t="str">
        <f>IF(Practices!C32=0," ",Practices!D32/Practices!C32-1)</f>
        <v xml:space="preserve"> </v>
      </c>
      <c r="E604" s="234" t="str">
        <f>IF(0=0," ",SUM(Practices!B32:D32)/0-1)</f>
        <v xml:space="preserve"> </v>
      </c>
      <c r="F604" s="233">
        <f>IF(Practices!D32=0," ",Practices!F32/Practices!D32-1)</f>
        <v>0</v>
      </c>
      <c r="G604" s="233">
        <f>IF(Practices!F32=0," ",Practices!G32/Practices!F32-1)</f>
        <v>-1</v>
      </c>
      <c r="H604" s="233" t="str">
        <f>IF(Practices!G32=0," ",Practices!H32/Practices!G32-1)</f>
        <v xml:space="preserve"> </v>
      </c>
      <c r="I604" s="234">
        <f>IF(SUM(Practices!B32:D32)=0," ",SUM(Practices!F32:H32)/SUM(Practices!B32:D32)-1)</f>
        <v>0.72727272727272729</v>
      </c>
      <c r="J604" s="233">
        <f>IF(Practices!H32=0," ",Practices!J32/Practices!H32-1)</f>
        <v>0</v>
      </c>
      <c r="K604" s="233">
        <f>IF(Practices!J32=0," ",Practices!K32/Practices!J32-1)</f>
        <v>0</v>
      </c>
      <c r="L604" s="233">
        <f>IF(Practices!K32=0," ",Practices!L32/Practices!K32-1)</f>
        <v>-1</v>
      </c>
      <c r="M604" s="234">
        <f>IF(SUM(Practices!F32:H32)=0," ",SUM(Practices!J32:L32)/SUM(Practices!F32:H32)-1)</f>
        <v>-0.15789473684210531</v>
      </c>
      <c r="N604" s="233" t="str">
        <f>IF(Practices!L32=0," ",Practices!N32/Practices!L32-1)</f>
        <v xml:space="preserve"> </v>
      </c>
      <c r="O604" s="233" t="str">
        <f>IF(Practices!N32=0," ",Practices!O32/Practices!N32-1)</f>
        <v xml:space="preserve"> </v>
      </c>
      <c r="P604" s="233" t="str">
        <f>IF(Practices!O32=0," ",Practices!P32/Practices!O32-1)</f>
        <v xml:space="preserve"> </v>
      </c>
      <c r="Q604" s="234">
        <f>IF(SUM(Practices!J32:L32)=0," ",SUM(Practices!N32:P32)/SUM(Practices!J32:L32)-1)</f>
        <v>-1</v>
      </c>
      <c r="R604" s="233" t="str">
        <f>IF(Practices!P32=0," ",Practices!R32/Practices!P32-1)</f>
        <v xml:space="preserve"> </v>
      </c>
      <c r="S604" s="233" t="str">
        <f>IF(Practices!R32=0," ",Practices!S32/Practices!R32-1)</f>
        <v xml:space="preserve"> </v>
      </c>
      <c r="T604" s="233" t="str">
        <f>IF(Practices!S32=0," ",Practices!T32/Practices!S32-1)</f>
        <v xml:space="preserve"> </v>
      </c>
      <c r="U604" s="234" t="str">
        <f>IF(SUM(Practices!N32:P32)=0," ",SUM(Practices!R32:T32)/SUM(Practices!N32:P32)-1)</f>
        <v xml:space="preserve"> </v>
      </c>
      <c r="V604" s="233" t="str">
        <f>IF(Practices!T32=0," ",Practices!V32/Practices!T32-1)</f>
        <v xml:space="preserve"> </v>
      </c>
      <c r="W604" s="233" t="str">
        <f>IF(Practices!V32=0," ",Practices!W32/Practices!V32-1)</f>
        <v xml:space="preserve"> </v>
      </c>
      <c r="X604" s="233" t="str">
        <f>IF(Practices!W32=0," ",Practices!X32/Practices!W32-1)</f>
        <v xml:space="preserve"> </v>
      </c>
      <c r="Y604" s="234" t="str">
        <f>IF(SUM(Practices!R32:T32)=0," ",SUM(Practices!V32:X32)/SUM(Practices!R32:T32)-1)</f>
        <v xml:space="preserve"> </v>
      </c>
    </row>
    <row r="605" spans="1:25" ht="12.75" hidden="1" customHeight="1" outlineLevel="2" x14ac:dyDescent="0.2">
      <c r="A605" s="198" t="str">
        <f>"      "&amp;Labels!B382</f>
        <v xml:space="preserve">      Practice 2</v>
      </c>
      <c r="B605" s="233"/>
      <c r="C605" s="233"/>
      <c r="D605" s="233"/>
      <c r="E605" s="234"/>
      <c r="F605" s="233"/>
      <c r="G605" s="233"/>
      <c r="H605" s="233"/>
      <c r="I605" s="234"/>
      <c r="J605" s="233"/>
      <c r="K605" s="233"/>
      <c r="L605" s="233"/>
      <c r="M605" s="234"/>
      <c r="N605" s="233"/>
      <c r="O605" s="233"/>
      <c r="P605" s="233"/>
      <c r="Q605" s="234"/>
      <c r="R605" s="233"/>
      <c r="S605" s="233"/>
      <c r="T605" s="233"/>
      <c r="U605" s="234"/>
      <c r="V605" s="233"/>
      <c r="W605" s="233"/>
      <c r="X605" s="233"/>
      <c r="Y605" s="234"/>
    </row>
    <row r="606" spans="1:25" ht="12.75" hidden="1" customHeight="1" outlineLevel="2" x14ac:dyDescent="0.2">
      <c r="A606" s="198" t="str">
        <f>"         "&amp;Labels!B385</f>
        <v xml:space="preserve">         Prof Level 1</v>
      </c>
      <c r="B606" s="233"/>
      <c r="C606" s="233" t="str">
        <f>IF(Practices!B300=0," ",Practices!C300/Practices!B300-1)</f>
        <v xml:space="preserve"> </v>
      </c>
      <c r="D606" s="233" t="str">
        <f>IF(Practices!C300=0," ",Practices!D300/Practices!C300-1)</f>
        <v xml:space="preserve"> </v>
      </c>
      <c r="E606" s="234" t="str">
        <f>IF(0=0," ",SUM(Practices!B300:D300)/0-1)</f>
        <v xml:space="preserve"> </v>
      </c>
      <c r="F606" s="233" t="str">
        <f>IF(Practices!D300=0," ",Practices!F300/Practices!D300-1)</f>
        <v xml:space="preserve"> </v>
      </c>
      <c r="G606" s="233" t="str">
        <f>IF(Practices!F300=0," ",Practices!G300/Practices!F300-1)</f>
        <v xml:space="preserve"> </v>
      </c>
      <c r="H606" s="233" t="str">
        <f>IF(Practices!G300=0," ",Practices!H300/Practices!G300-1)</f>
        <v xml:space="preserve"> </v>
      </c>
      <c r="I606" s="234" t="str">
        <f>IF(SUM(Practices!B300:D300)=0," ",SUM(Practices!F300:H300)/SUM(Practices!B300:D300)-1)</f>
        <v xml:space="preserve"> </v>
      </c>
      <c r="J606" s="233" t="str">
        <f>IF(Practices!H300=0," ",Practices!J300/Practices!H300-1)</f>
        <v xml:space="preserve"> </v>
      </c>
      <c r="K606" s="233" t="str">
        <f>IF(Practices!J300=0," ",Practices!K300/Practices!J300-1)</f>
        <v xml:space="preserve"> </v>
      </c>
      <c r="L606" s="233" t="str">
        <f>IF(Practices!K300=0," ",Practices!L300/Practices!K300-1)</f>
        <v xml:space="preserve"> </v>
      </c>
      <c r="M606" s="234" t="str">
        <f>IF(SUM(Practices!F300:H300)=0," ",SUM(Practices!J300:L300)/SUM(Practices!F300:H300)-1)</f>
        <v xml:space="preserve"> </v>
      </c>
      <c r="N606" s="233" t="str">
        <f>IF(Practices!L300=0," ",Practices!N300/Practices!L300-1)</f>
        <v xml:space="preserve"> </v>
      </c>
      <c r="O606" s="233" t="str">
        <f>IF(Practices!N300=0," ",Practices!O300/Practices!N300-1)</f>
        <v xml:space="preserve"> </v>
      </c>
      <c r="P606" s="233" t="str">
        <f>IF(Practices!O300=0," ",Practices!P300/Practices!O300-1)</f>
        <v xml:space="preserve"> </v>
      </c>
      <c r="Q606" s="234" t="str">
        <f>IF(SUM(Practices!J300:L300)=0," ",SUM(Practices!N300:P300)/SUM(Practices!J300:L300)-1)</f>
        <v xml:space="preserve"> </v>
      </c>
      <c r="R606" s="233" t="str">
        <f>IF(Practices!P300=0," ",Practices!R300/Practices!P300-1)</f>
        <v xml:space="preserve"> </v>
      </c>
      <c r="S606" s="233" t="str">
        <f>IF(Practices!R300=0," ",Practices!S300/Practices!R300-1)</f>
        <v xml:space="preserve"> </v>
      </c>
      <c r="T606" s="233" t="str">
        <f>IF(Practices!S300=0," ",Practices!T300/Practices!S300-1)</f>
        <v xml:space="preserve"> </v>
      </c>
      <c r="U606" s="234" t="str">
        <f>IF(SUM(Practices!N300:P300)=0," ",SUM(Practices!R300:T300)/SUM(Practices!N300:P300)-1)</f>
        <v xml:space="preserve"> </v>
      </c>
      <c r="V606" s="233" t="str">
        <f>IF(Practices!T300=0," ",Practices!V300/Practices!T300-1)</f>
        <v xml:space="preserve"> </v>
      </c>
      <c r="W606" s="233" t="str">
        <f>IF(Practices!V300=0," ",Practices!W300/Practices!V300-1)</f>
        <v xml:space="preserve"> </v>
      </c>
      <c r="X606" s="233" t="str">
        <f>IF(Practices!W300=0," ",Practices!X300/Practices!W300-1)</f>
        <v xml:space="preserve"> </v>
      </c>
      <c r="Y606" s="234" t="str">
        <f>IF(SUM(Practices!R300:T300)=0," ",SUM(Practices!V300:X300)/SUM(Practices!R300:T300)-1)</f>
        <v xml:space="preserve"> </v>
      </c>
    </row>
    <row r="607" spans="1:25" ht="12.75" hidden="1" customHeight="1" outlineLevel="2" x14ac:dyDescent="0.2">
      <c r="A607" s="198" t="str">
        <f>"         "&amp;Labels!B386</f>
        <v xml:space="preserve">         Prof Level 2</v>
      </c>
      <c r="B607" s="233"/>
      <c r="C607" s="233" t="str">
        <f>IF(Practices!B301=0," ",Practices!C301/Practices!B301-1)</f>
        <v xml:space="preserve"> </v>
      </c>
      <c r="D607" s="233" t="str">
        <f>IF(Practices!C301=0," ",Practices!D301/Practices!C301-1)</f>
        <v xml:space="preserve"> </v>
      </c>
      <c r="E607" s="234" t="str">
        <f>IF(0=0," ",SUM(Practices!B301:D301)/0-1)</f>
        <v xml:space="preserve"> </v>
      </c>
      <c r="F607" s="233" t="str">
        <f>IF(Practices!D301=0," ",Practices!F301/Practices!D301-1)</f>
        <v xml:space="preserve"> </v>
      </c>
      <c r="G607" s="233" t="str">
        <f>IF(Practices!F301=0," ",Practices!G301/Practices!F301-1)</f>
        <v xml:space="preserve"> </v>
      </c>
      <c r="H607" s="233" t="str">
        <f>IF(Practices!G301=0," ",Practices!H301/Practices!G301-1)</f>
        <v xml:space="preserve"> </v>
      </c>
      <c r="I607" s="234" t="str">
        <f>IF(SUM(Practices!B301:D301)=0," ",SUM(Practices!F301:H301)/SUM(Practices!B301:D301)-1)</f>
        <v xml:space="preserve"> </v>
      </c>
      <c r="J607" s="233" t="str">
        <f>IF(Practices!H301=0," ",Practices!J301/Practices!H301-1)</f>
        <v xml:space="preserve"> </v>
      </c>
      <c r="K607" s="233" t="str">
        <f>IF(Practices!J301=0," ",Practices!K301/Practices!J301-1)</f>
        <v xml:space="preserve"> </v>
      </c>
      <c r="L607" s="233" t="str">
        <f>IF(Practices!K301=0," ",Practices!L301/Practices!K301-1)</f>
        <v xml:space="preserve"> </v>
      </c>
      <c r="M607" s="234" t="str">
        <f>IF(SUM(Practices!F301:H301)=0," ",SUM(Practices!J301:L301)/SUM(Practices!F301:H301)-1)</f>
        <v xml:space="preserve"> </v>
      </c>
      <c r="N607" s="233" t="str">
        <f>IF(Practices!L301=0," ",Practices!N301/Practices!L301-1)</f>
        <v xml:space="preserve"> </v>
      </c>
      <c r="O607" s="233" t="str">
        <f>IF(Practices!N301=0," ",Practices!O301/Practices!N301-1)</f>
        <v xml:space="preserve"> </v>
      </c>
      <c r="P607" s="233" t="str">
        <f>IF(Practices!O301=0," ",Practices!P301/Practices!O301-1)</f>
        <v xml:space="preserve"> </v>
      </c>
      <c r="Q607" s="234" t="str">
        <f>IF(SUM(Practices!J301:L301)=0," ",SUM(Practices!N301:P301)/SUM(Practices!J301:L301)-1)</f>
        <v xml:space="preserve"> </v>
      </c>
      <c r="R607" s="233" t="str">
        <f>IF(Practices!P301=0," ",Practices!R301/Practices!P301-1)</f>
        <v xml:space="preserve"> </v>
      </c>
      <c r="S607" s="233" t="str">
        <f>IF(Practices!R301=0," ",Practices!S301/Practices!R301-1)</f>
        <v xml:space="preserve"> </v>
      </c>
      <c r="T607" s="233" t="str">
        <f>IF(Practices!S301=0," ",Practices!T301/Practices!S301-1)</f>
        <v xml:space="preserve"> </v>
      </c>
      <c r="U607" s="234" t="str">
        <f>IF(SUM(Practices!N301:P301)=0," ",SUM(Practices!R301:T301)/SUM(Practices!N301:P301)-1)</f>
        <v xml:space="preserve"> </v>
      </c>
      <c r="V607" s="233" t="str">
        <f>IF(Practices!T301=0," ",Practices!V301/Practices!T301-1)</f>
        <v xml:space="preserve"> </v>
      </c>
      <c r="W607" s="233" t="str">
        <f>IF(Practices!V301=0," ",Practices!W301/Practices!V301-1)</f>
        <v xml:space="preserve"> </v>
      </c>
      <c r="X607" s="233" t="str">
        <f>IF(Practices!W301=0," ",Practices!X301/Practices!W301-1)</f>
        <v xml:space="preserve"> </v>
      </c>
      <c r="Y607" s="234" t="str">
        <f>IF(SUM(Practices!R301:T301)=0," ",SUM(Practices!V301:X301)/SUM(Practices!R301:T301)-1)</f>
        <v xml:space="preserve"> </v>
      </c>
    </row>
    <row r="608" spans="1:25" ht="12.75" hidden="1" customHeight="1" outlineLevel="2" x14ac:dyDescent="0.2">
      <c r="A608" s="198" t="str">
        <f>"         "&amp;Labels!C384</f>
        <v xml:space="preserve">         Total</v>
      </c>
      <c r="B608" s="233"/>
      <c r="C608" s="233" t="str">
        <f>IF(Practices!B33=0," ",Practices!C33/Practices!B33-1)</f>
        <v xml:space="preserve"> </v>
      </c>
      <c r="D608" s="233" t="str">
        <f>IF(Practices!C33=0," ",Practices!D33/Practices!C33-1)</f>
        <v xml:space="preserve"> </v>
      </c>
      <c r="E608" s="234" t="str">
        <f>IF(0=0," ",SUM(Practices!B33:D33)/0-1)</f>
        <v xml:space="preserve"> </v>
      </c>
      <c r="F608" s="233" t="str">
        <f>IF(Practices!D33=0," ",Practices!F33/Practices!D33-1)</f>
        <v xml:space="preserve"> </v>
      </c>
      <c r="G608" s="233" t="str">
        <f>IF(Practices!F33=0," ",Practices!G33/Practices!F33-1)</f>
        <v xml:space="preserve"> </v>
      </c>
      <c r="H608" s="233" t="str">
        <f>IF(Practices!G33=0," ",Practices!H33/Practices!G33-1)</f>
        <v xml:space="preserve"> </v>
      </c>
      <c r="I608" s="234" t="str">
        <f>IF(SUM(Practices!B33:D33)=0," ",SUM(Practices!F33:H33)/SUM(Practices!B33:D33)-1)</f>
        <v xml:space="preserve"> </v>
      </c>
      <c r="J608" s="233" t="str">
        <f>IF(Practices!H33=0," ",Practices!J33/Practices!H33-1)</f>
        <v xml:space="preserve"> </v>
      </c>
      <c r="K608" s="233" t="str">
        <f>IF(Practices!J33=0," ",Practices!K33/Practices!J33-1)</f>
        <v xml:space="preserve"> </v>
      </c>
      <c r="L608" s="233" t="str">
        <f>IF(Practices!K33=0," ",Practices!L33/Practices!K33-1)</f>
        <v xml:space="preserve"> </v>
      </c>
      <c r="M608" s="234" t="str">
        <f>IF(SUM(Practices!F33:H33)=0," ",SUM(Practices!J33:L33)/SUM(Practices!F33:H33)-1)</f>
        <v xml:space="preserve"> </v>
      </c>
      <c r="N608" s="233" t="str">
        <f>IF(Practices!L33=0," ",Practices!N33/Practices!L33-1)</f>
        <v xml:space="preserve"> </v>
      </c>
      <c r="O608" s="233" t="str">
        <f>IF(Practices!N33=0," ",Practices!O33/Practices!N33-1)</f>
        <v xml:space="preserve"> </v>
      </c>
      <c r="P608" s="233" t="str">
        <f>IF(Practices!O33=0," ",Practices!P33/Practices!O33-1)</f>
        <v xml:space="preserve"> </v>
      </c>
      <c r="Q608" s="234" t="str">
        <f>IF(SUM(Practices!J33:L33)=0," ",SUM(Practices!N33:P33)/SUM(Practices!J33:L33)-1)</f>
        <v xml:space="preserve"> </v>
      </c>
      <c r="R608" s="233" t="str">
        <f>IF(Practices!P33=0," ",Practices!R33/Practices!P33-1)</f>
        <v xml:space="preserve"> </v>
      </c>
      <c r="S608" s="233" t="str">
        <f>IF(Practices!R33=0," ",Practices!S33/Practices!R33-1)</f>
        <v xml:space="preserve"> </v>
      </c>
      <c r="T608" s="233" t="str">
        <f>IF(Practices!S33=0," ",Practices!T33/Practices!S33-1)</f>
        <v xml:space="preserve"> </v>
      </c>
      <c r="U608" s="234" t="str">
        <f>IF(SUM(Practices!N33:P33)=0," ",SUM(Practices!R33:T33)/SUM(Practices!N33:P33)-1)</f>
        <v xml:space="preserve"> </v>
      </c>
      <c r="V608" s="233" t="str">
        <f>IF(Practices!T33=0," ",Practices!V33/Practices!T33-1)</f>
        <v xml:space="preserve"> </v>
      </c>
      <c r="W608" s="233" t="str">
        <f>IF(Practices!V33=0," ",Practices!W33/Practices!V33-1)</f>
        <v xml:space="preserve"> </v>
      </c>
      <c r="X608" s="233" t="str">
        <f>IF(Practices!W33=0," ",Practices!X33/Practices!W33-1)</f>
        <v xml:space="preserve"> </v>
      </c>
      <c r="Y608" s="234" t="str">
        <f>IF(SUM(Practices!R33:T33)=0," ",SUM(Practices!V33:X33)/SUM(Practices!R33:T33)-1)</f>
        <v xml:space="preserve"> </v>
      </c>
    </row>
    <row r="609" spans="1:25" ht="12.75" hidden="1" customHeight="1" outlineLevel="2" x14ac:dyDescent="0.2">
      <c r="A609" s="188" t="str">
        <f>"      "&amp;Labels!C380</f>
        <v xml:space="preserve">      Total</v>
      </c>
      <c r="B609" s="218"/>
      <c r="C609" s="218" t="str">
        <f>IF(Practices!B34=0," ",Practices!C34/Practices!B34-1)</f>
        <v xml:space="preserve"> </v>
      </c>
      <c r="D609" s="218" t="str">
        <f>IF(Practices!C34=0," ",Practices!D34/Practices!C34-1)</f>
        <v xml:space="preserve"> </v>
      </c>
      <c r="E609" s="219" t="str">
        <f>IF(0=0," ",SUM(Practices!B34:D34)/0-1)</f>
        <v xml:space="preserve"> </v>
      </c>
      <c r="F609" s="218">
        <f>IF(Practices!D34=0," ",Practices!F34/Practices!D34-1)</f>
        <v>0</v>
      </c>
      <c r="G609" s="218">
        <f>IF(Practices!F34=0," ",Practices!G34/Practices!F34-1)</f>
        <v>-1</v>
      </c>
      <c r="H609" s="218" t="str">
        <f>IF(Practices!G34=0," ",Practices!H34/Practices!G34-1)</f>
        <v xml:space="preserve"> </v>
      </c>
      <c r="I609" s="219">
        <f>IF(SUM(Practices!B34:D34)=0," ",SUM(Practices!F34:H34)/SUM(Practices!B34:D34)-1)</f>
        <v>0.72727272727272729</v>
      </c>
      <c r="J609" s="218">
        <f>IF(Practices!H34=0," ",Practices!J34/Practices!H34-1)</f>
        <v>0</v>
      </c>
      <c r="K609" s="218">
        <f>IF(Practices!J34=0," ",Practices!K34/Practices!J34-1)</f>
        <v>0</v>
      </c>
      <c r="L609" s="218">
        <f>IF(Practices!K34=0," ",Practices!L34/Practices!K34-1)</f>
        <v>-1</v>
      </c>
      <c r="M609" s="219">
        <f>IF(SUM(Practices!F34:H34)=0," ",SUM(Practices!J34:L34)/SUM(Practices!F34:H34)-1)</f>
        <v>-0.15789473684210531</v>
      </c>
      <c r="N609" s="218" t="str">
        <f>IF(Practices!L34=0," ",Practices!N34/Practices!L34-1)</f>
        <v xml:space="preserve"> </v>
      </c>
      <c r="O609" s="218" t="str">
        <f>IF(Practices!N34=0," ",Practices!O34/Practices!N34-1)</f>
        <v xml:space="preserve"> </v>
      </c>
      <c r="P609" s="218" t="str">
        <f>IF(Practices!O34=0," ",Practices!P34/Practices!O34-1)</f>
        <v xml:space="preserve"> </v>
      </c>
      <c r="Q609" s="219">
        <f>IF(SUM(Practices!J34:L34)=0," ",SUM(Practices!N34:P34)/SUM(Practices!J34:L34)-1)</f>
        <v>-1</v>
      </c>
      <c r="R609" s="218" t="str">
        <f>IF(Practices!P34=0," ",Practices!R34/Practices!P34-1)</f>
        <v xml:space="preserve"> </v>
      </c>
      <c r="S609" s="218" t="str">
        <f>IF(Practices!R34=0," ",Practices!S34/Practices!R34-1)</f>
        <v xml:space="preserve"> </v>
      </c>
      <c r="T609" s="218" t="str">
        <f>IF(Practices!S34=0," ",Practices!T34/Practices!S34-1)</f>
        <v xml:space="preserve"> </v>
      </c>
      <c r="U609" s="219" t="str">
        <f>IF(SUM(Practices!N34:P34)=0," ",SUM(Practices!R34:T34)/SUM(Practices!N34:P34)-1)</f>
        <v xml:space="preserve"> </v>
      </c>
      <c r="V609" s="218" t="str">
        <f>IF(Practices!T34=0," ",Practices!V34/Practices!T34-1)</f>
        <v xml:space="preserve"> </v>
      </c>
      <c r="W609" s="218" t="str">
        <f>IF(Practices!V34=0," ",Practices!W34/Practices!V34-1)</f>
        <v xml:space="preserve"> </v>
      </c>
      <c r="X609" s="218" t="str">
        <f>IF(Practices!W34=0," ",Practices!X34/Practices!W34-1)</f>
        <v xml:space="preserve"> </v>
      </c>
      <c r="Y609" s="219" t="str">
        <f>IF(SUM(Practices!R34:T34)=0," ",SUM(Practices!V34:X34)/SUM(Practices!R34:T34)-1)</f>
        <v xml:space="preserve"> </v>
      </c>
    </row>
    <row r="610" spans="1:25" ht="12.75" hidden="1" customHeight="1" outlineLevel="2" x14ac:dyDescent="0.2">
      <c r="A610" s="198" t="str">
        <f>"         "&amp;Labels!B385</f>
        <v xml:space="preserve">         Prof Level 1</v>
      </c>
      <c r="B610" s="233"/>
      <c r="C610" s="233" t="str">
        <f>IF(Practices!B304=0," ",Practices!C304/Practices!B304-1)</f>
        <v xml:space="preserve"> </v>
      </c>
      <c r="D610" s="233" t="str">
        <f>IF(Practices!C304=0," ",Practices!D304/Practices!C304-1)</f>
        <v xml:space="preserve"> </v>
      </c>
      <c r="E610" s="234" t="str">
        <f>IF(0=0," ",SUM(Practices!B304:D304)/0-1)</f>
        <v xml:space="preserve"> </v>
      </c>
      <c r="F610" s="233">
        <f>IF(Practices!D304=0," ",Practices!F304/Practices!D304-1)</f>
        <v>0</v>
      </c>
      <c r="G610" s="233">
        <f>IF(Practices!F304=0," ",Practices!G304/Practices!F304-1)</f>
        <v>-1</v>
      </c>
      <c r="H610" s="233" t="str">
        <f>IF(Practices!G304=0," ",Practices!H304/Practices!G304-1)</f>
        <v xml:space="preserve"> </v>
      </c>
      <c r="I610" s="234">
        <f>IF(SUM(Practices!B304:D304)=0," ",SUM(Practices!F304:H304)/SUM(Practices!B304:D304)-1)</f>
        <v>0.72727272727272729</v>
      </c>
      <c r="J610" s="233">
        <f>IF(Practices!H304=0," ",Practices!J304/Practices!H304-1)</f>
        <v>0</v>
      </c>
      <c r="K610" s="233">
        <f>IF(Practices!J304=0," ",Practices!K304/Practices!J304-1)</f>
        <v>0</v>
      </c>
      <c r="L610" s="233">
        <f>IF(Practices!K304=0," ",Practices!L304/Practices!K304-1)</f>
        <v>-1</v>
      </c>
      <c r="M610" s="234">
        <f>IF(SUM(Practices!F304:H304)=0," ",SUM(Practices!J304:L304)/SUM(Practices!F304:H304)-1)</f>
        <v>-0.15789473684210531</v>
      </c>
      <c r="N610" s="233" t="str">
        <f>IF(Practices!L304=0," ",Practices!N304/Practices!L304-1)</f>
        <v xml:space="preserve"> </v>
      </c>
      <c r="O610" s="233" t="str">
        <f>IF(Practices!N304=0," ",Practices!O304/Practices!N304-1)</f>
        <v xml:space="preserve"> </v>
      </c>
      <c r="P610" s="233" t="str">
        <f>IF(Practices!O304=0," ",Practices!P304/Practices!O304-1)</f>
        <v xml:space="preserve"> </v>
      </c>
      <c r="Q610" s="234">
        <f>IF(SUM(Practices!J304:L304)=0," ",SUM(Practices!N304:P304)/SUM(Practices!J304:L304)-1)</f>
        <v>-1</v>
      </c>
      <c r="R610" s="233" t="str">
        <f>IF(Practices!P304=0," ",Practices!R304/Practices!P304-1)</f>
        <v xml:space="preserve"> </v>
      </c>
      <c r="S610" s="233" t="str">
        <f>IF(Practices!R304=0," ",Practices!S304/Practices!R304-1)</f>
        <v xml:space="preserve"> </v>
      </c>
      <c r="T610" s="233" t="str">
        <f>IF(Practices!S304=0," ",Practices!T304/Practices!S304-1)</f>
        <v xml:space="preserve"> </v>
      </c>
      <c r="U610" s="234" t="str">
        <f>IF(SUM(Practices!N304:P304)=0," ",SUM(Practices!R304:T304)/SUM(Practices!N304:P304)-1)</f>
        <v xml:space="preserve"> </v>
      </c>
      <c r="V610" s="233" t="str">
        <f>IF(Practices!T304=0," ",Practices!V304/Practices!T304-1)</f>
        <v xml:space="preserve"> </v>
      </c>
      <c r="W610" s="233" t="str">
        <f>IF(Practices!V304=0," ",Practices!W304/Practices!V304-1)</f>
        <v xml:space="preserve"> </v>
      </c>
      <c r="X610" s="233" t="str">
        <f>IF(Practices!W304=0," ",Practices!X304/Practices!W304-1)</f>
        <v xml:space="preserve"> </v>
      </c>
      <c r="Y610" s="234" t="str">
        <f>IF(SUM(Practices!R304:T304)=0," ",SUM(Practices!V304:X304)/SUM(Practices!R304:T304)-1)</f>
        <v xml:space="preserve"> </v>
      </c>
    </row>
    <row r="611" spans="1:25" ht="12.75" hidden="1" customHeight="1" outlineLevel="2" x14ac:dyDescent="0.2">
      <c r="A611" s="198" t="str">
        <f>"         "&amp;Labels!B386</f>
        <v xml:space="preserve">         Prof Level 2</v>
      </c>
      <c r="B611" s="233"/>
      <c r="C611" s="233" t="str">
        <f>IF(Practices!B305=0," ",Practices!C305/Practices!B305-1)</f>
        <v xml:space="preserve"> </v>
      </c>
      <c r="D611" s="233" t="str">
        <f>IF(Practices!C305=0," ",Practices!D305/Practices!C305-1)</f>
        <v xml:space="preserve"> </v>
      </c>
      <c r="E611" s="234" t="str">
        <f>IF(0=0," ",SUM(Practices!B305:D305)/0-1)</f>
        <v xml:space="preserve"> </v>
      </c>
      <c r="F611" s="233">
        <f>IF(Practices!D305=0," ",Practices!F305/Practices!D305-1)</f>
        <v>0</v>
      </c>
      <c r="G611" s="233">
        <f>IF(Practices!F305=0," ",Practices!G305/Practices!F305-1)</f>
        <v>-1</v>
      </c>
      <c r="H611" s="233" t="str">
        <f>IF(Practices!G305=0," ",Practices!H305/Practices!G305-1)</f>
        <v xml:space="preserve"> </v>
      </c>
      <c r="I611" s="234">
        <f>IF(SUM(Practices!B305:D305)=0," ",SUM(Practices!F305:H305)/SUM(Practices!B305:D305)-1)</f>
        <v>0.72727272727272729</v>
      </c>
      <c r="J611" s="233">
        <f>IF(Practices!H305=0," ",Practices!J305/Practices!H305-1)</f>
        <v>0</v>
      </c>
      <c r="K611" s="233">
        <f>IF(Practices!J305=0," ",Practices!K305/Practices!J305-1)</f>
        <v>0</v>
      </c>
      <c r="L611" s="233">
        <f>IF(Practices!K305=0," ",Practices!L305/Practices!K305-1)</f>
        <v>-1</v>
      </c>
      <c r="M611" s="234">
        <f>IF(SUM(Practices!F305:H305)=0," ",SUM(Practices!J305:L305)/SUM(Practices!F305:H305)-1)</f>
        <v>-0.15789473684210531</v>
      </c>
      <c r="N611" s="233" t="str">
        <f>IF(Practices!L305=0," ",Practices!N305/Practices!L305-1)</f>
        <v xml:space="preserve"> </v>
      </c>
      <c r="O611" s="233" t="str">
        <f>IF(Practices!N305=0," ",Practices!O305/Practices!N305-1)</f>
        <v xml:space="preserve"> </v>
      </c>
      <c r="P611" s="233" t="str">
        <f>IF(Practices!O305=0," ",Practices!P305/Practices!O305-1)</f>
        <v xml:space="preserve"> </v>
      </c>
      <c r="Q611" s="234">
        <f>IF(SUM(Practices!J305:L305)=0," ",SUM(Practices!N305:P305)/SUM(Practices!J305:L305)-1)</f>
        <v>-1</v>
      </c>
      <c r="R611" s="233" t="str">
        <f>IF(Practices!P305=0," ",Practices!R305/Practices!P305-1)</f>
        <v xml:space="preserve"> </v>
      </c>
      <c r="S611" s="233" t="str">
        <f>IF(Practices!R305=0," ",Practices!S305/Practices!R305-1)</f>
        <v xml:space="preserve"> </v>
      </c>
      <c r="T611" s="233" t="str">
        <f>IF(Practices!S305=0," ",Practices!T305/Practices!S305-1)</f>
        <v xml:space="preserve"> </v>
      </c>
      <c r="U611" s="234" t="str">
        <f>IF(SUM(Practices!N305:P305)=0," ",SUM(Practices!R305:T305)/SUM(Practices!N305:P305)-1)</f>
        <v xml:space="preserve"> </v>
      </c>
      <c r="V611" s="233" t="str">
        <f>IF(Practices!T305=0," ",Practices!V305/Practices!T305-1)</f>
        <v xml:space="preserve"> </v>
      </c>
      <c r="W611" s="233" t="str">
        <f>IF(Practices!V305=0," ",Practices!W305/Practices!V305-1)</f>
        <v xml:space="preserve"> </v>
      </c>
      <c r="X611" s="233" t="str">
        <f>IF(Practices!W305=0," ",Practices!X305/Practices!W305-1)</f>
        <v xml:space="preserve"> </v>
      </c>
      <c r="Y611" s="234" t="str">
        <f>IF(SUM(Practices!R305:T305)=0," ",SUM(Practices!V305:X305)/SUM(Practices!R305:T305)-1)</f>
        <v xml:space="preserve"> </v>
      </c>
    </row>
    <row r="612" spans="1:25" ht="12.75" hidden="1" customHeight="1" outlineLevel="2" x14ac:dyDescent="0.2">
      <c r="A612" s="230" t="str">
        <f>"         "&amp;Labels!C384</f>
        <v xml:space="preserve">         Total</v>
      </c>
      <c r="B612" s="235"/>
      <c r="C612" s="235" t="str">
        <f>IF(Practices!B34=0," ",Practices!C34/Practices!B34-1)</f>
        <v xml:space="preserve"> </v>
      </c>
      <c r="D612" s="235" t="str">
        <f>IF(Practices!C34=0," ",Practices!D34/Practices!C34-1)</f>
        <v xml:space="preserve"> </v>
      </c>
      <c r="E612" s="236" t="str">
        <f>IF(0=0," ",SUM(Practices!B34:D34)/0-1)</f>
        <v xml:space="preserve"> </v>
      </c>
      <c r="F612" s="235">
        <f>IF(Practices!D34=0," ",Practices!F34/Practices!D34-1)</f>
        <v>0</v>
      </c>
      <c r="G612" s="235">
        <f>IF(Practices!F34=0," ",Practices!G34/Practices!F34-1)</f>
        <v>-1</v>
      </c>
      <c r="H612" s="235" t="str">
        <f>IF(Practices!G34=0," ",Practices!H34/Practices!G34-1)</f>
        <v xml:space="preserve"> </v>
      </c>
      <c r="I612" s="236">
        <f>IF(SUM(Practices!B34:D34)=0," ",SUM(Practices!F34:H34)/SUM(Practices!B34:D34)-1)</f>
        <v>0.72727272727272729</v>
      </c>
      <c r="J612" s="235">
        <f>IF(Practices!H34=0," ",Practices!J34/Practices!H34-1)</f>
        <v>0</v>
      </c>
      <c r="K612" s="235">
        <f>IF(Practices!J34=0," ",Practices!K34/Practices!J34-1)</f>
        <v>0</v>
      </c>
      <c r="L612" s="235">
        <f>IF(Practices!K34=0," ",Practices!L34/Practices!K34-1)</f>
        <v>-1</v>
      </c>
      <c r="M612" s="236">
        <f>IF(SUM(Practices!F34:H34)=0," ",SUM(Practices!J34:L34)/SUM(Practices!F34:H34)-1)</f>
        <v>-0.15789473684210531</v>
      </c>
      <c r="N612" s="235" t="str">
        <f>IF(Practices!L34=0," ",Practices!N34/Practices!L34-1)</f>
        <v xml:space="preserve"> </v>
      </c>
      <c r="O612" s="235" t="str">
        <f>IF(Practices!N34=0," ",Practices!O34/Practices!N34-1)</f>
        <v xml:space="preserve"> </v>
      </c>
      <c r="P612" s="235" t="str">
        <f>IF(Practices!O34=0," ",Practices!P34/Practices!O34-1)</f>
        <v xml:space="preserve"> </v>
      </c>
      <c r="Q612" s="236">
        <f>IF(SUM(Practices!J34:L34)=0," ",SUM(Practices!N34:P34)/SUM(Practices!J34:L34)-1)</f>
        <v>-1</v>
      </c>
      <c r="R612" s="235" t="str">
        <f>IF(Practices!P34=0," ",Practices!R34/Practices!P34-1)</f>
        <v xml:space="preserve"> </v>
      </c>
      <c r="S612" s="235" t="str">
        <f>IF(Practices!R34=0," ",Practices!S34/Practices!R34-1)</f>
        <v xml:space="preserve"> </v>
      </c>
      <c r="T612" s="235" t="str">
        <f>IF(Practices!S34=0," ",Practices!T34/Practices!S34-1)</f>
        <v xml:space="preserve"> </v>
      </c>
      <c r="U612" s="236" t="str">
        <f>IF(SUM(Practices!N34:P34)=0," ",SUM(Practices!R34:T34)/SUM(Practices!N34:P34)-1)</f>
        <v xml:space="preserve"> </v>
      </c>
      <c r="V612" s="235" t="str">
        <f>IF(Practices!T34=0," ",Practices!V34/Practices!T34-1)</f>
        <v xml:space="preserve"> </v>
      </c>
      <c r="W612" s="235" t="str">
        <f>IF(Practices!V34=0," ",Practices!W34/Practices!V34-1)</f>
        <v xml:space="preserve"> </v>
      </c>
      <c r="X612" s="235" t="str">
        <f>IF(Practices!W34=0," ",Practices!X34/Practices!W34-1)</f>
        <v xml:space="preserve"> </v>
      </c>
      <c r="Y612" s="236" t="str">
        <f>IF(SUM(Practices!R34:T34)=0," ",SUM(Practices!V34:X34)/SUM(Practices!R34:T34)-1)</f>
        <v xml:space="preserve"> </v>
      </c>
    </row>
    <row r="613" spans="1:25" ht="12.75" hidden="1" customHeight="1" outlineLevel="2" collapsed="1" x14ac:dyDescent="0.2"/>
    <row r="614" spans="1:25" ht="12.75" hidden="1" customHeight="1" outlineLevel="1" collapsed="1" x14ac:dyDescent="0.2">
      <c r="A614" t="s">
        <v>3402</v>
      </c>
      <c r="B614" t="s">
        <v>3402</v>
      </c>
      <c r="C614" t="s">
        <v>3402</v>
      </c>
      <c r="D614" t="s">
        <v>3402</v>
      </c>
      <c r="E614" t="s">
        <v>3402</v>
      </c>
      <c r="F614" t="s">
        <v>3402</v>
      </c>
      <c r="G614" t="s">
        <v>3402</v>
      </c>
      <c r="H614" t="s">
        <v>3402</v>
      </c>
      <c r="I614" t="s">
        <v>3402</v>
      </c>
      <c r="J614" t="s">
        <v>3402</v>
      </c>
      <c r="K614" t="s">
        <v>3402</v>
      </c>
      <c r="L614" t="s">
        <v>3402</v>
      </c>
      <c r="M614" t="s">
        <v>3402</v>
      </c>
      <c r="N614" t="s">
        <v>3402</v>
      </c>
      <c r="O614" t="s">
        <v>3402</v>
      </c>
      <c r="P614" t="s">
        <v>3402</v>
      </c>
      <c r="Q614" t="s">
        <v>3402</v>
      </c>
      <c r="R614" t="s">
        <v>3402</v>
      </c>
      <c r="S614" t="s">
        <v>3402</v>
      </c>
      <c r="T614" t="s">
        <v>3402</v>
      </c>
      <c r="U614" t="s">
        <v>3402</v>
      </c>
      <c r="V614" t="s">
        <v>3402</v>
      </c>
      <c r="W614" t="s">
        <v>3402</v>
      </c>
      <c r="X614" t="s">
        <v>3402</v>
      </c>
      <c r="Y614" t="s">
        <v>3402</v>
      </c>
    </row>
    <row r="615" spans="1:25" ht="12.75" customHeight="1" collapsed="1" x14ac:dyDescent="0.2"/>
  </sheetData>
  <mergeCells count="6">
    <mergeCell ref="A174:C174"/>
    <mergeCell ref="A1:C1"/>
    <mergeCell ref="A2:C2"/>
    <mergeCell ref="A3:C3"/>
    <mergeCell ref="A4:C4"/>
    <mergeCell ref="A43:B43"/>
  </mergeCells>
  <pageMargins left="0.25" right="0.25" top="0.5" bottom="0.5" header="0.5" footer="0.5"/>
  <pageSetup paperSize="9" fitToHeight="32767" orientation="landscape" horizontalDpi="300" verticalDpi="300"/>
  <headerFooter alignWithMargins="0"/>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mso-contentType ?>
<FormTemplates xmlns="http://schemas.microsoft.com/sharepoint/v3/contenttype/forms">
  <Display>DocumentLibraryForm</Display>
  <Edit>AssetEditForm</Edit>
  <New>DocumentLibraryForm</New>
</FormTemplates>
</file>

<file path=customXml/itemProps1.xml><?xml version="1.0" encoding="utf-8"?>
<ds:datastoreItem xmlns:ds="http://schemas.openxmlformats.org/officeDocument/2006/customXml" ds:itemID="{560999A9-5393-4694-A0B9-2BE1D1C5EDB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555</vt:i4>
      </vt:variant>
    </vt:vector>
  </HeadingPairs>
  <TitlesOfParts>
    <vt:vector size="583" baseType="lpstr">
      <vt:lpstr>Intro</vt:lpstr>
      <vt:lpstr>Graphs</vt:lpstr>
      <vt:lpstr>Inputs</vt:lpstr>
      <vt:lpstr>IncStmt</vt:lpstr>
      <vt:lpstr>BalSht</vt:lpstr>
      <vt:lpstr>CFStmt</vt:lpstr>
      <vt:lpstr>RatioRpt</vt:lpstr>
      <vt:lpstr>Practices</vt:lpstr>
      <vt:lpstr>Channels</vt:lpstr>
      <vt:lpstr>Engage</vt:lpstr>
      <vt:lpstr>Sales</vt:lpstr>
      <vt:lpstr>GM CostSvcs</vt:lpstr>
      <vt:lpstr>Prof Staff</vt:lpstr>
      <vt:lpstr>OpExp</vt:lpstr>
      <vt:lpstr>Sup Staff</vt:lpstr>
      <vt:lpstr>FinTax</vt:lpstr>
      <vt:lpstr>Assets</vt:lpstr>
      <vt:lpstr>Liab</vt:lpstr>
      <vt:lpstr>Equity</vt:lpstr>
      <vt:lpstr>Value</vt:lpstr>
      <vt:lpstr>Formulas</vt:lpstr>
      <vt:lpstr>Plot Support</vt:lpstr>
      <vt:lpstr>(Compute)</vt:lpstr>
      <vt:lpstr>(FnCalls 1)</vt:lpstr>
      <vt:lpstr>(Tables)</vt:lpstr>
      <vt:lpstr>Labels</vt:lpstr>
      <vt:lpstr>(Ranges)</vt:lpstr>
      <vt:lpstr>(Import)</vt:lpstr>
      <vt:lpstr>Assets_Assets</vt:lpstr>
      <vt:lpstr>Assets_Assets_Long</vt:lpstr>
      <vt:lpstr>Assets_Assets_Short</vt:lpstr>
      <vt:lpstr>Assets_Assets_Short_AcctsRec</vt:lpstr>
      <vt:lpstr>Assets_Assets_Short_Cash</vt:lpstr>
      <vt:lpstr>Assets_Assets_Short_Inventory</vt:lpstr>
      <vt:lpstr>Assets_Date</vt:lpstr>
      <vt:lpstr>Assets_Time_Period</vt:lpstr>
      <vt:lpstr>Engage_Billings_Date</vt:lpstr>
      <vt:lpstr>Engage_Billings_Engagements</vt:lpstr>
      <vt:lpstr>Engage_Billings_Engagements_Engage_1</vt:lpstr>
      <vt:lpstr>Engage_Billings_Engagements_Engage_1_Prof_Staff_Types</vt:lpstr>
      <vt:lpstr>Engage_Billings_Engagements_Engage_1_Prof_Staff_Types_Prof_Level_1</vt:lpstr>
      <vt:lpstr>Engage_Billings_Engagements_Engage_1_Prof_Staff_Types_Prof_Level_2</vt:lpstr>
      <vt:lpstr>Engage_Billings_Engagements_Engage_2</vt:lpstr>
      <vt:lpstr>Engage_Billings_Engagements_Engage_2_Prof_Staff_Types</vt:lpstr>
      <vt:lpstr>Engage_Billings_Engagements_Engage_2_Prof_Staff_Types_Prof_Level_1</vt:lpstr>
      <vt:lpstr>Engage_Billings_Engagements_Engage_2_Prof_Staff_Types_Prof_Level_2</vt:lpstr>
      <vt:lpstr>Engage_Billings_Time_Period</vt:lpstr>
      <vt:lpstr>Engage_Cost_Staff_Date</vt:lpstr>
      <vt:lpstr>Engage_Cost_Staff_Engagements</vt:lpstr>
      <vt:lpstr>Engage_Cost_Staff_Engagements_Engage_1</vt:lpstr>
      <vt:lpstr>Engage_Cost_Staff_Engagements_Engage_1_Prof_Staff_Types</vt:lpstr>
      <vt:lpstr>Engage_Cost_Staff_Engagements_Engage_1_Prof_Staff_Types_Prof_Level_1</vt:lpstr>
      <vt:lpstr>Engage_Cost_Staff_Engagements_Engage_1_Prof_Staff_Types_Prof_Level_2</vt:lpstr>
      <vt:lpstr>Engage_Cost_Staff_Engagements_Engage_2</vt:lpstr>
      <vt:lpstr>Engage_Cost_Staff_Engagements_Engage_2_Prof_Staff_Types</vt:lpstr>
      <vt:lpstr>Engage_Cost_Staff_Engagements_Engage_2_Prof_Staff_Types_Prof_Level_1</vt:lpstr>
      <vt:lpstr>Engage_Cost_Staff_Engagements_Engage_2_Prof_Staff_Types_Prof_Level_2</vt:lpstr>
      <vt:lpstr>Engage_Cost_Staff_Time_Period</vt:lpstr>
      <vt:lpstr>Engage_Cost_Supplies_Date</vt:lpstr>
      <vt:lpstr>Engage_Cost_Supplies_Engagements</vt:lpstr>
      <vt:lpstr>Engage_Cost_Supplies_Engagements_Engage_1</vt:lpstr>
      <vt:lpstr>Engage_Cost_Supplies_Engagements_Engage_1_Prof_Staff_Types</vt:lpstr>
      <vt:lpstr>Engage_Cost_Supplies_Engagements_Engage_1_Prof_Staff_Types_Prof_Level_1</vt:lpstr>
      <vt:lpstr>Engage_Cost_Supplies_Engagements_Engage_1_Prof_Staff_Types_Prof_Level_1_Supply_Types</vt:lpstr>
      <vt:lpstr>Engage_Cost_Supplies_Engagements_Engage_1_Prof_Staff_Types_Prof_Level_1_Supply_Types_Supply_Type_1</vt:lpstr>
      <vt:lpstr>Engage_Cost_Supplies_Engagements_Engage_1_Prof_Staff_Types_Prof_Level_1_Supply_Types_Supply_Type_2</vt:lpstr>
      <vt:lpstr>Engage_Cost_Supplies_Engagements_Engage_1_Prof_Staff_Types_Prof_Level_2</vt:lpstr>
      <vt:lpstr>Engage_Cost_Supplies_Engagements_Engage_1_Prof_Staff_Types_Prof_Level_2_Supply_Types</vt:lpstr>
      <vt:lpstr>Engage_Cost_Supplies_Engagements_Engage_1_Prof_Staff_Types_Prof_Level_2_Supply_Types_Supply_Type_1</vt:lpstr>
      <vt:lpstr>Engage_Cost_Supplies_Engagements_Engage_1_Prof_Staff_Types_Prof_Level_2_Supply_Types_Supply_Type_2</vt:lpstr>
      <vt:lpstr>Engage_Cost_Supplies_Engagements_Engage_2</vt:lpstr>
      <vt:lpstr>Engage_Cost_Supplies_Engagements_Engage_2_Prof_Staff_Types</vt:lpstr>
      <vt:lpstr>Engage_Cost_Supplies_Engagements_Engage_2_Prof_Staff_Types_Prof_Level_1</vt:lpstr>
      <vt:lpstr>Engage_Cost_Supplies_Engagements_Engage_2_Prof_Staff_Types_Prof_Level_1_Supply_Types</vt:lpstr>
      <vt:lpstr>Engage_Cost_Supplies_Engagements_Engage_2_Prof_Staff_Types_Prof_Level_1_Supply_Types_Supply_Type_1</vt:lpstr>
      <vt:lpstr>Engage_Cost_Supplies_Engagements_Engage_2_Prof_Staff_Types_Prof_Level_1_Supply_Types_Supply_Type_2</vt:lpstr>
      <vt:lpstr>Engage_Cost_Supplies_Engagements_Engage_2_Prof_Staff_Types_Prof_Level_2</vt:lpstr>
      <vt:lpstr>Engage_Cost_Supplies_Engagements_Engage_2_Prof_Staff_Types_Prof_Level_2_Supply_Types</vt:lpstr>
      <vt:lpstr>Engage_Cost_Supplies_Engagements_Engage_2_Prof_Staff_Types_Prof_Level_2_Supply_Types_Supply_Type_1</vt:lpstr>
      <vt:lpstr>Engage_Cost_Supplies_Engagements_Engage_2_Prof_Staff_Types_Prof_Level_2_Supply_Types_Supply_Type_2</vt:lpstr>
      <vt:lpstr>Engage_Cost_Supplies_Time_Period</vt:lpstr>
      <vt:lpstr>Engage_Cost_TandE_Date</vt:lpstr>
      <vt:lpstr>Engage_Cost_TandE_Engagements</vt:lpstr>
      <vt:lpstr>Engage_Cost_TandE_Engagements_Engage_1</vt:lpstr>
      <vt:lpstr>Engage_Cost_TandE_Engagements_Engage_1_Prof_Staff_Types</vt:lpstr>
      <vt:lpstr>Engage_Cost_TandE_Engagements_Engage_1_Prof_Staff_Types_Prof_Level_1</vt:lpstr>
      <vt:lpstr>Engage_Cost_TandE_Engagements_Engage_1_Prof_Staff_Types_Prof_Level_1_Supply_Types</vt:lpstr>
      <vt:lpstr>Engage_Cost_TandE_Engagements_Engage_1_Prof_Staff_Types_Prof_Level_1_Supply_Types_Supply_Type_1</vt:lpstr>
      <vt:lpstr>Engage_Cost_TandE_Engagements_Engage_1_Prof_Staff_Types_Prof_Level_1_Supply_Types_Supply_Type_2</vt:lpstr>
      <vt:lpstr>Engage_Cost_TandE_Engagements_Engage_1_Prof_Staff_Types_Prof_Level_2</vt:lpstr>
      <vt:lpstr>Engage_Cost_TandE_Engagements_Engage_1_Prof_Staff_Types_Prof_Level_2_Supply_Types</vt:lpstr>
      <vt:lpstr>Engage_Cost_TandE_Engagements_Engage_1_Prof_Staff_Types_Prof_Level_2_Supply_Types_Supply_Type_1</vt:lpstr>
      <vt:lpstr>Engage_Cost_TandE_Engagements_Engage_1_Prof_Staff_Types_Prof_Level_2_Supply_Types_Supply_Type_2</vt:lpstr>
      <vt:lpstr>Engage_Cost_TandE_Engagements_Engage_2</vt:lpstr>
      <vt:lpstr>Engage_Cost_TandE_Engagements_Engage_2_Prof_Staff_Types</vt:lpstr>
      <vt:lpstr>Engage_Cost_TandE_Engagements_Engage_2_Prof_Staff_Types_Prof_Level_1</vt:lpstr>
      <vt:lpstr>Engage_Cost_TandE_Engagements_Engage_2_Prof_Staff_Types_Prof_Level_1_Supply_Types</vt:lpstr>
      <vt:lpstr>Engage_Cost_TandE_Engagements_Engage_2_Prof_Staff_Types_Prof_Level_1_Supply_Types_Supply_Type_1</vt:lpstr>
      <vt:lpstr>Engage_Cost_TandE_Engagements_Engage_2_Prof_Staff_Types_Prof_Level_1_Supply_Types_Supply_Type_2</vt:lpstr>
      <vt:lpstr>Engage_Cost_TandE_Engagements_Engage_2_Prof_Staff_Types_Prof_Level_2</vt:lpstr>
      <vt:lpstr>Engage_Cost_TandE_Engagements_Engage_2_Prof_Staff_Types_Prof_Level_2_Supply_Types</vt:lpstr>
      <vt:lpstr>Engage_Cost_TandE_Engagements_Engage_2_Prof_Staff_Types_Prof_Level_2_Supply_Types_Supply_Type_1</vt:lpstr>
      <vt:lpstr>Engage_Cost_TandE_Engagements_Engage_2_Prof_Staff_Types_Prof_Level_2_Supply_Types_Supply_Type_2</vt:lpstr>
      <vt:lpstr>Engage_Cost_TandE_Time_Period</vt:lpstr>
      <vt:lpstr>Engage_Gross_Margin_Date</vt:lpstr>
      <vt:lpstr>Engage_Gross_Margin_Engagements</vt:lpstr>
      <vt:lpstr>Engage_Gross_Margin_Engagements_Engage_1</vt:lpstr>
      <vt:lpstr>Engage_Gross_Margin_Engagements_Engage_1_Prof_Staff_Types</vt:lpstr>
      <vt:lpstr>Engage_Gross_Margin_Engagements_Engage_1_Prof_Staff_Types_Prof_Level_1</vt:lpstr>
      <vt:lpstr>Engage_Gross_Margin_Engagements_Engage_1_Prof_Staff_Types_Prof_Level_2</vt:lpstr>
      <vt:lpstr>Engage_Gross_Margin_Engagements_Engage_2</vt:lpstr>
      <vt:lpstr>Engage_Gross_Margin_Engagements_Engage_2_Prof_Staff_Types</vt:lpstr>
      <vt:lpstr>Engage_Gross_Margin_Engagements_Engage_2_Prof_Staff_Types_Prof_Level_1</vt:lpstr>
      <vt:lpstr>Engage_Gross_Margin_Engagements_Engage_2_Prof_Staff_Types_Prof_Level_2</vt:lpstr>
      <vt:lpstr>Engage_Gross_Margin_pct_Date</vt:lpstr>
      <vt:lpstr>Engage_Gross_Margin_pct_Engagements</vt:lpstr>
      <vt:lpstr>Engage_Gross_Margin_pct_Engagements_Engage_1</vt:lpstr>
      <vt:lpstr>Engage_Gross_Margin_pct_Engagements_Engage_1_Prof_Staff_Types</vt:lpstr>
      <vt:lpstr>Engage_Gross_Margin_pct_Engagements_Engage_1_Prof_Staff_Types_Prof_Level_1</vt:lpstr>
      <vt:lpstr>Engage_Gross_Margin_pct_Engagements_Engage_1_Prof_Staff_Types_Prof_Level_2</vt:lpstr>
      <vt:lpstr>Engage_Gross_Margin_pct_Engagements_Engage_2</vt:lpstr>
      <vt:lpstr>Engage_Gross_Margin_pct_Engagements_Engage_2_Prof_Staff_Types</vt:lpstr>
      <vt:lpstr>Engage_Gross_Margin_pct_Engagements_Engage_2_Prof_Staff_Types_Prof_Level_1</vt:lpstr>
      <vt:lpstr>Engage_Gross_Margin_pct_Engagements_Engage_2_Prof_Staff_Types_Prof_Level_2</vt:lpstr>
      <vt:lpstr>Engage_Gross_Margin_pct_Time_Period</vt:lpstr>
      <vt:lpstr>Engage_Gross_Margin_Time_Period</vt:lpstr>
      <vt:lpstr>Engage_Hrs_Applied_ET_Engage_Time</vt:lpstr>
      <vt:lpstr>Engage_Hrs_Applied_ET_Engage_Time_Period_1</vt:lpstr>
      <vt:lpstr>Engage_Hrs_Applied_ET_Engage_Time_Period_1_Engagements</vt:lpstr>
      <vt:lpstr>Engage_Hrs_Applied_ET_Engage_Time_Period_1_Engagements_Engage_1</vt:lpstr>
      <vt:lpstr>Engage_Hrs_Applied_ET_Engage_Time_Period_1_Engagements_Engage_1_Prof_Staff_Types</vt:lpstr>
      <vt:lpstr>Engage_Hrs_Applied_ET_Engage_Time_Period_1_Engagements_Engage_1_Prof_Staff_Types_Prof_Level_1</vt:lpstr>
      <vt:lpstr>Engage_Hrs_Applied_ET_Engage_Time_Period_1_Engagements_Engage_1_Prof_Staff_Types_Prof_Level_2</vt:lpstr>
      <vt:lpstr>Engage_Hrs_Applied_ET_Engage_Time_Period_1_Engagements_Engage_2</vt:lpstr>
      <vt:lpstr>Engage_Hrs_Applied_ET_Engage_Time_Period_1_Engagements_Engage_2_Prof_Staff_Types</vt:lpstr>
      <vt:lpstr>Engage_Hrs_Applied_ET_Engage_Time_Period_1_Engagements_Engage_2_Prof_Staff_Types_Prof_Level_1</vt:lpstr>
      <vt:lpstr>Engage_Hrs_Applied_ET_Engage_Time_Period_1_Engagements_Engage_2_Prof_Staff_Types_Prof_Level_2</vt:lpstr>
      <vt:lpstr>Engage_Hrs_Applied_ET_Engage_Time_Period_2</vt:lpstr>
      <vt:lpstr>Engage_Hrs_Applied_ET_Engage_Time_Period_2_Engagements</vt:lpstr>
      <vt:lpstr>Engage_Hrs_Applied_ET_Engage_Time_Period_2_Engagements_Engage_1</vt:lpstr>
      <vt:lpstr>Engage_Hrs_Applied_ET_Engage_Time_Period_2_Engagements_Engage_1_Prof_Staff_Types</vt:lpstr>
      <vt:lpstr>Engage_Hrs_Applied_ET_Engage_Time_Period_2_Engagements_Engage_1_Prof_Staff_Types_Prof_Level_1</vt:lpstr>
      <vt:lpstr>Engage_Hrs_Applied_ET_Engage_Time_Period_2_Engagements_Engage_1_Prof_Staff_Types_Prof_Level_2</vt:lpstr>
      <vt:lpstr>Engage_Hrs_Applied_ET_Engage_Time_Period_2_Engagements_Engage_2</vt:lpstr>
      <vt:lpstr>Engage_Hrs_Applied_ET_Engage_Time_Period_2_Engagements_Engage_2_Prof_Staff_Types</vt:lpstr>
      <vt:lpstr>Engage_Hrs_Applied_ET_Engage_Time_Period_2_Engagements_Engage_2_Prof_Staff_Types_Prof_Level_1</vt:lpstr>
      <vt:lpstr>Engage_Hrs_Applied_ET_Engage_Time_Period_2_Engagements_Engage_2_Prof_Staff_Types_Prof_Level_2</vt:lpstr>
      <vt:lpstr>Engage_Hrs_Applied_ET_Engage_Time_Period_3</vt:lpstr>
      <vt:lpstr>Engage_Hrs_Applied_ET_Engage_Time_Period_3_Engagements</vt:lpstr>
      <vt:lpstr>Engage_Hrs_Applied_ET_Engage_Time_Period_3_Engagements_Engage_1</vt:lpstr>
      <vt:lpstr>Engage_Hrs_Applied_ET_Engage_Time_Period_3_Engagements_Engage_1_Prof_Staff_Types</vt:lpstr>
      <vt:lpstr>Engage_Hrs_Applied_ET_Engage_Time_Period_3_Engagements_Engage_1_Prof_Staff_Types_Prof_Level_1</vt:lpstr>
      <vt:lpstr>Engage_Hrs_Applied_ET_Engage_Time_Period_3_Engagements_Engage_1_Prof_Staff_Types_Prof_Level_2</vt:lpstr>
      <vt:lpstr>Engage_Hrs_Applied_ET_Engage_Time_Period_3_Engagements_Engage_2</vt:lpstr>
      <vt:lpstr>Engage_Hrs_Applied_ET_Engage_Time_Period_3_Engagements_Engage_2_Prof_Staff_Types</vt:lpstr>
      <vt:lpstr>Engage_Hrs_Applied_ET_Engage_Time_Period_3_Engagements_Engage_2_Prof_Staff_Types_Prof_Level_1</vt:lpstr>
      <vt:lpstr>Engage_Hrs_Applied_ET_Engage_Time_Period_3_Engagements_Engage_2_Prof_Staff_Types_Prof_Level_2</vt:lpstr>
      <vt:lpstr>Engage_Hrs_Applied_ET_Engage_Time_Period_4</vt:lpstr>
      <vt:lpstr>Engage_Hrs_Applied_ET_Engage_Time_Period_4_Engagements</vt:lpstr>
      <vt:lpstr>Engage_Hrs_Applied_ET_Engage_Time_Period_4_Engagements_Engage_1</vt:lpstr>
      <vt:lpstr>Engage_Hrs_Applied_ET_Engage_Time_Period_4_Engagements_Engage_1_Prof_Staff_Types</vt:lpstr>
      <vt:lpstr>Engage_Hrs_Applied_ET_Engage_Time_Period_4_Engagements_Engage_1_Prof_Staff_Types_Prof_Level_1</vt:lpstr>
      <vt:lpstr>Engage_Hrs_Applied_ET_Engage_Time_Period_4_Engagements_Engage_1_Prof_Staff_Types_Prof_Level_2</vt:lpstr>
      <vt:lpstr>Engage_Hrs_Applied_ET_Engage_Time_Period_4_Engagements_Engage_2</vt:lpstr>
      <vt:lpstr>Engage_Hrs_Applied_ET_Engage_Time_Period_4_Engagements_Engage_2_Prof_Staff_Types</vt:lpstr>
      <vt:lpstr>Engage_Hrs_Applied_ET_Engage_Time_Period_4_Engagements_Engage_2_Prof_Staff_Types_Prof_Level_1</vt:lpstr>
      <vt:lpstr>Engage_Hrs_Applied_ET_Engage_Time_Period_4_Engagements_Engage_2_Prof_Staff_Types_Prof_Level_2</vt:lpstr>
      <vt:lpstr>Engage_Hrs_Applied_Plot_Date</vt:lpstr>
      <vt:lpstr>Engage_Hrs_Applied_Plot_Prof_Staff_Types</vt:lpstr>
      <vt:lpstr>Engage_Hrs_Applied_Plot_Prof_Staff_Types_Prof_Level_1</vt:lpstr>
      <vt:lpstr>Engage_Hrs_Applied_Plot_Prof_Staff_Types_Prof_Level_2</vt:lpstr>
      <vt:lpstr>Engage_Hrs_Applied_Plot_Time_Period</vt:lpstr>
      <vt:lpstr>Engage_Hrs_Billed_Date</vt:lpstr>
      <vt:lpstr>Engage_Hrs_Billed_Engagements</vt:lpstr>
      <vt:lpstr>Engage_Hrs_Billed_Engagements_Engage_1</vt:lpstr>
      <vt:lpstr>Engage_Hrs_Billed_Engagements_Engage_1_Prof_Staff_Types</vt:lpstr>
      <vt:lpstr>Engage_Hrs_Billed_Engagements_Engage_1_Prof_Staff_Types_Prof_Level_1</vt:lpstr>
      <vt:lpstr>Engage_Hrs_Billed_Engagements_Engage_1_Prof_Staff_Types_Prof_Level_2</vt:lpstr>
      <vt:lpstr>Engage_Hrs_Billed_Engagements_Engage_2</vt:lpstr>
      <vt:lpstr>Engage_Hrs_Billed_Engagements_Engage_2_Prof_Staff_Types</vt:lpstr>
      <vt:lpstr>Engage_Hrs_Billed_Engagements_Engage_2_Prof_Staff_Types_Prof_Level_1</vt:lpstr>
      <vt:lpstr>Engage_Hrs_Billed_Engagements_Engage_2_Prof_Staff_Types_Prof_Level_2</vt:lpstr>
      <vt:lpstr>Engage_Hrs_Billed_Time_Period</vt:lpstr>
      <vt:lpstr>Engage_Hrs_pct_Billed_ET_Engage_Time</vt:lpstr>
      <vt:lpstr>Engage_Hrs_pct_Billed_ET_Engage_Time_Period_1</vt:lpstr>
      <vt:lpstr>Engage_Hrs_pct_Billed_ET_Engage_Time_Period_1_Engagements</vt:lpstr>
      <vt:lpstr>Engage_Hrs_pct_Billed_ET_Engage_Time_Period_1_Engagements_Engage_1</vt:lpstr>
      <vt:lpstr>Engage_Hrs_pct_Billed_ET_Engage_Time_Period_1_Engagements_Engage_1_Prof_Staff_Types</vt:lpstr>
      <vt:lpstr>Engage_Hrs_pct_Billed_ET_Engage_Time_Period_1_Engagements_Engage_1_Prof_Staff_Types_Prof_Level_1</vt:lpstr>
      <vt:lpstr>Engage_Hrs_pct_Billed_ET_Engage_Time_Period_1_Engagements_Engage_1_Prof_Staff_Types_Prof_Level_2</vt:lpstr>
      <vt:lpstr>Engage_Hrs_pct_Billed_ET_Engage_Time_Period_1_Engagements_Engage_2</vt:lpstr>
      <vt:lpstr>Engage_Hrs_pct_Billed_ET_Engage_Time_Period_1_Engagements_Engage_2_Prof_Staff_Types</vt:lpstr>
      <vt:lpstr>Engage_Hrs_pct_Billed_ET_Engage_Time_Period_1_Engagements_Engage_2_Prof_Staff_Types_Prof_Level_1</vt:lpstr>
      <vt:lpstr>Engage_Hrs_pct_Billed_ET_Engage_Time_Period_1_Engagements_Engage_2_Prof_Staff_Types_Prof_Level_2</vt:lpstr>
      <vt:lpstr>Engage_Hrs_pct_Billed_ET_Engage_Time_Period_2</vt:lpstr>
      <vt:lpstr>Engage_Hrs_pct_Billed_ET_Engage_Time_Period_2_Engagements</vt:lpstr>
      <vt:lpstr>Engage_Hrs_pct_Billed_ET_Engage_Time_Period_2_Engagements_Engage_1</vt:lpstr>
      <vt:lpstr>Engage_Hrs_pct_Billed_ET_Engage_Time_Period_2_Engagements_Engage_1_Prof_Staff_Types</vt:lpstr>
      <vt:lpstr>Engage_Hrs_pct_Billed_ET_Engage_Time_Period_2_Engagements_Engage_1_Prof_Staff_Types_Prof_Level_1</vt:lpstr>
      <vt:lpstr>Engage_Hrs_pct_Billed_ET_Engage_Time_Period_2_Engagements_Engage_1_Prof_Staff_Types_Prof_Level_2</vt:lpstr>
      <vt:lpstr>Engage_Hrs_pct_Billed_ET_Engage_Time_Period_2_Engagements_Engage_2</vt:lpstr>
      <vt:lpstr>Engage_Hrs_pct_Billed_ET_Engage_Time_Period_2_Engagements_Engage_2_Prof_Staff_Types</vt:lpstr>
      <vt:lpstr>Engage_Hrs_pct_Billed_ET_Engage_Time_Period_2_Engagements_Engage_2_Prof_Staff_Types_Prof_Level_1</vt:lpstr>
      <vt:lpstr>Engage_Hrs_pct_Billed_ET_Engage_Time_Period_2_Engagements_Engage_2_Prof_Staff_Types_Prof_Level_2</vt:lpstr>
      <vt:lpstr>Engage_Hrs_pct_Billed_ET_Engage_Time_Period_3</vt:lpstr>
      <vt:lpstr>Engage_Hrs_pct_Billed_ET_Engage_Time_Period_3_Engagements</vt:lpstr>
      <vt:lpstr>Engage_Hrs_pct_Billed_ET_Engage_Time_Period_3_Engagements_Engage_1</vt:lpstr>
      <vt:lpstr>Engage_Hrs_pct_Billed_ET_Engage_Time_Period_3_Engagements_Engage_1_Prof_Staff_Types</vt:lpstr>
      <vt:lpstr>Engage_Hrs_pct_Billed_ET_Engage_Time_Period_3_Engagements_Engage_1_Prof_Staff_Types_Prof_Level_1</vt:lpstr>
      <vt:lpstr>Engage_Hrs_pct_Billed_ET_Engage_Time_Period_3_Engagements_Engage_1_Prof_Staff_Types_Prof_Level_2</vt:lpstr>
      <vt:lpstr>Engage_Hrs_pct_Billed_ET_Engage_Time_Period_3_Engagements_Engage_2</vt:lpstr>
      <vt:lpstr>Engage_Hrs_pct_Billed_ET_Engage_Time_Period_3_Engagements_Engage_2_Prof_Staff_Types</vt:lpstr>
      <vt:lpstr>Engage_Hrs_pct_Billed_ET_Engage_Time_Period_3_Engagements_Engage_2_Prof_Staff_Types_Prof_Level_1</vt:lpstr>
      <vt:lpstr>Engage_Hrs_pct_Billed_ET_Engage_Time_Period_3_Engagements_Engage_2_Prof_Staff_Types_Prof_Level_2</vt:lpstr>
      <vt:lpstr>Engage_Hrs_pct_Billed_ET_Engage_Time_Period_4</vt:lpstr>
      <vt:lpstr>Engage_Hrs_pct_Billed_ET_Engage_Time_Period_4_Engagements</vt:lpstr>
      <vt:lpstr>Engage_Hrs_pct_Billed_ET_Engage_Time_Period_4_Engagements_Engage_1</vt:lpstr>
      <vt:lpstr>Engage_Hrs_pct_Billed_ET_Engage_Time_Period_4_Engagements_Engage_1_Prof_Staff_Types</vt:lpstr>
      <vt:lpstr>Engage_Hrs_pct_Billed_ET_Engage_Time_Period_4_Engagements_Engage_1_Prof_Staff_Types_Prof_Level_1</vt:lpstr>
      <vt:lpstr>Engage_Hrs_pct_Billed_ET_Engage_Time_Period_4_Engagements_Engage_1_Prof_Staff_Types_Prof_Level_2</vt:lpstr>
      <vt:lpstr>Engage_Hrs_pct_Billed_ET_Engage_Time_Period_4_Engagements_Engage_2</vt:lpstr>
      <vt:lpstr>Engage_Hrs_pct_Billed_ET_Engage_Time_Period_4_Engagements_Engage_2_Prof_Staff_Types</vt:lpstr>
      <vt:lpstr>Engage_Hrs_pct_Billed_ET_Engage_Time_Period_4_Engagements_Engage_2_Prof_Staff_Types_Prof_Level_1</vt:lpstr>
      <vt:lpstr>Engage_Hrs_pct_Billed_ET_Engage_Time_Period_4_Engagements_Engage_2_Prof_Staff_Types_Prof_Level_2</vt:lpstr>
      <vt:lpstr>Engage_Hrs_Unbilled_Date</vt:lpstr>
      <vt:lpstr>Engage_Hrs_Unbilled_Engagements</vt:lpstr>
      <vt:lpstr>Engage_Hrs_Unbilled_Engagements_Engage_1</vt:lpstr>
      <vt:lpstr>Engage_Hrs_Unbilled_Engagements_Engage_1_Prof_Staff_Types</vt:lpstr>
      <vt:lpstr>Engage_Hrs_Unbilled_Engagements_Engage_1_Prof_Staff_Types_Prof_Level_1</vt:lpstr>
      <vt:lpstr>Engage_Hrs_Unbilled_Engagements_Engage_1_Prof_Staff_Types_Prof_Level_2</vt:lpstr>
      <vt:lpstr>Engage_Hrs_Unbilled_Engagements_Engage_2</vt:lpstr>
      <vt:lpstr>Engage_Hrs_Unbilled_Engagements_Engage_2_Prof_Staff_Types</vt:lpstr>
      <vt:lpstr>Engage_Hrs_Unbilled_Engagements_Engage_2_Prof_Staff_Types_Prof_Level_1</vt:lpstr>
      <vt:lpstr>Engage_Hrs_Unbilled_Engagements_Engage_2_Prof_Staff_Types_Prof_Level_2</vt:lpstr>
      <vt:lpstr>Engage_Hrs_Unbilled_Time_Period</vt:lpstr>
      <vt:lpstr>Engage_Rev_Nominal_Fees_Date</vt:lpstr>
      <vt:lpstr>Engage_Rev_Nominal_Fees_Engagements</vt:lpstr>
      <vt:lpstr>Engage_Rev_Nominal_Fees_Engagements_Engage_1</vt:lpstr>
      <vt:lpstr>Engage_Rev_Nominal_Fees_Engagements_Engage_1_Prof_Staff_Types</vt:lpstr>
      <vt:lpstr>Engage_Rev_Nominal_Fees_Engagements_Engage_1_Prof_Staff_Types_Prof_Level_1</vt:lpstr>
      <vt:lpstr>Engage_Rev_Nominal_Fees_Engagements_Engage_1_Prof_Staff_Types_Prof_Level_2</vt:lpstr>
      <vt:lpstr>Engage_Rev_Nominal_Fees_Engagements_Engage_2</vt:lpstr>
      <vt:lpstr>Engage_Rev_Nominal_Fees_Engagements_Engage_2_Prof_Staff_Types</vt:lpstr>
      <vt:lpstr>Engage_Rev_Nominal_Fees_Engagements_Engage_2_Prof_Staff_Types_Prof_Level_1</vt:lpstr>
      <vt:lpstr>Engage_Rev_Nominal_Fees_Engagements_Engage_2_Prof_Staff_Types_Prof_Level_2</vt:lpstr>
      <vt:lpstr>Engage_Rev_Nominal_Fees_Time_Period</vt:lpstr>
      <vt:lpstr>Equity_Date</vt:lpstr>
      <vt:lpstr>Equity_Equity</vt:lpstr>
      <vt:lpstr>Equity_Equity_PaidinCap</vt:lpstr>
      <vt:lpstr>Equity_Equity_RetainedEarnings</vt:lpstr>
      <vt:lpstr>Equity_Time_Period</vt:lpstr>
      <vt:lpstr>Gross_Margin_Channel_Channels</vt:lpstr>
      <vt:lpstr>Gross_Margin_Channel_Channels_Channels_1</vt:lpstr>
      <vt:lpstr>Gross_Margin_Channel_Channels_Channels_1_Practice_Areas</vt:lpstr>
      <vt:lpstr>Gross_Margin_Channel_Channels_Channels_1_Practice_Areas_Practice_1</vt:lpstr>
      <vt:lpstr>Gross_Margin_Channel_Channels_Channels_1_Practice_Areas_Practice_1_Prof_Staff_Types</vt:lpstr>
      <vt:lpstr>Gross_Margin_Channel_Channels_Channels_1_Practice_Areas_Practice_1_Prof_Staff_Types_Prof_Level_1</vt:lpstr>
      <vt:lpstr>Gross_Margin_Channel_Channels_Channels_1_Practice_Areas_Practice_1_Prof_Staff_Types_Prof_Level_2</vt:lpstr>
      <vt:lpstr>Gross_Margin_Channel_Channels_Channels_1_Practice_Areas_Practice_2</vt:lpstr>
      <vt:lpstr>Gross_Margin_Channel_Channels_Channels_1_Practice_Areas_Practice_2_Prof_Staff_Types</vt:lpstr>
      <vt:lpstr>Gross_Margin_Channel_Channels_Channels_1_Practice_Areas_Practice_2_Prof_Staff_Types_Prof_Level_1</vt:lpstr>
      <vt:lpstr>Gross_Margin_Channel_Channels_Channels_1_Practice_Areas_Practice_2_Prof_Staff_Types_Prof_Level_2</vt:lpstr>
      <vt:lpstr>Gross_Margin_Channel_Channels_Channels_2</vt:lpstr>
      <vt:lpstr>Gross_Margin_Channel_Channels_Channels_2_Practice_Areas</vt:lpstr>
      <vt:lpstr>Gross_Margin_Channel_Channels_Channels_2_Practice_Areas_Practice_1</vt:lpstr>
      <vt:lpstr>Gross_Margin_Channel_Channels_Channels_2_Practice_Areas_Practice_1_Prof_Staff_Types</vt:lpstr>
      <vt:lpstr>Gross_Margin_Channel_Channels_Channels_2_Practice_Areas_Practice_1_Prof_Staff_Types_Prof_Level_1</vt:lpstr>
      <vt:lpstr>Gross_Margin_Channel_Channels_Channels_2_Practice_Areas_Practice_1_Prof_Staff_Types_Prof_Level_2</vt:lpstr>
      <vt:lpstr>Gross_Margin_Channel_Channels_Channels_2_Practice_Areas_Practice_2</vt:lpstr>
      <vt:lpstr>Gross_Margin_Channel_Channels_Channels_2_Practice_Areas_Practice_2_Prof_Staff_Types</vt:lpstr>
      <vt:lpstr>Gross_Margin_Channel_Channels_Channels_2_Practice_Areas_Practice_2_Prof_Staff_Types_Prof_Level_1</vt:lpstr>
      <vt:lpstr>Gross_Margin_Channel_Channels_Channels_2_Practice_Areas_Practice_2_Prof_Staff_Types_Prof_Level_2</vt:lpstr>
      <vt:lpstr>Gross_Margin_Channel_Date</vt:lpstr>
      <vt:lpstr>Gross_Margin_Channel_Time_Period</vt:lpstr>
      <vt:lpstr>Gross_Margin_Date</vt:lpstr>
      <vt:lpstr>Gross_Margin_Practice_Areas</vt:lpstr>
      <vt:lpstr>Gross_Margin_Practice_Areas_Practice_1</vt:lpstr>
      <vt:lpstr>Gross_Margin_Practice_Areas_Practice_1_Prof_Staff_Types</vt:lpstr>
      <vt:lpstr>Gross_Margin_Practice_Areas_Practice_1_Prof_Staff_Types_Prof_Level_1</vt:lpstr>
      <vt:lpstr>Gross_Margin_Practice_Areas_Practice_1_Prof_Staff_Types_Prof_Level_1_Channels</vt:lpstr>
      <vt:lpstr>Gross_Margin_Practice_Areas_Practice_1_Prof_Staff_Types_Prof_Level_1_Channels_Channels_1</vt:lpstr>
      <vt:lpstr>Gross_Margin_Practice_Areas_Practice_1_Prof_Staff_Types_Prof_Level_1_Channels_Channels_2</vt:lpstr>
      <vt:lpstr>Gross_Margin_Practice_Areas_Practice_1_Prof_Staff_Types_Prof_Level_2</vt:lpstr>
      <vt:lpstr>Gross_Margin_Practice_Areas_Practice_1_Prof_Staff_Types_Prof_Level_2_Channels</vt:lpstr>
      <vt:lpstr>Gross_Margin_Practice_Areas_Practice_1_Prof_Staff_Types_Prof_Level_2_Channels_Channels_1</vt:lpstr>
      <vt:lpstr>Gross_Margin_Practice_Areas_Practice_1_Prof_Staff_Types_Prof_Level_2_Channels_Channels_2</vt:lpstr>
      <vt:lpstr>Gross_Margin_Practice_Areas_Practice_2</vt:lpstr>
      <vt:lpstr>Gross_Margin_Practice_Areas_Practice_2_Prof_Staff_Types</vt:lpstr>
      <vt:lpstr>Gross_Margin_Practice_Areas_Practice_2_Prof_Staff_Types_Prof_Level_1</vt:lpstr>
      <vt:lpstr>Gross_Margin_Practice_Areas_Practice_2_Prof_Staff_Types_Prof_Level_1_Channels</vt:lpstr>
      <vt:lpstr>Gross_Margin_Practice_Areas_Practice_2_Prof_Staff_Types_Prof_Level_1_Channels_Channels_1</vt:lpstr>
      <vt:lpstr>Gross_Margin_Practice_Areas_Practice_2_Prof_Staff_Types_Prof_Level_1_Channels_Channels_2</vt:lpstr>
      <vt:lpstr>Gross_Margin_Practice_Areas_Practice_2_Prof_Staff_Types_Prof_Level_2</vt:lpstr>
      <vt:lpstr>Gross_Margin_Practice_Areas_Practice_2_Prof_Staff_Types_Prof_Level_2_Channels</vt:lpstr>
      <vt:lpstr>Gross_Margin_Practice_Areas_Practice_2_Prof_Staff_Types_Prof_Level_2_Channels_Channels_1</vt:lpstr>
      <vt:lpstr>Gross_Margin_Practice_Areas_Practice_2_Prof_Staff_Types_Prof_Level_2_Channels_Channels_2</vt:lpstr>
      <vt:lpstr>Gross_Margin_Time_Period</vt:lpstr>
      <vt:lpstr>Liabilities_Date</vt:lpstr>
      <vt:lpstr>Liabilities_Liabilities</vt:lpstr>
      <vt:lpstr>Liabilities_Liabilities_Long</vt:lpstr>
      <vt:lpstr>Liabilities_Liabilities_Long_Bonds</vt:lpstr>
      <vt:lpstr>Liabilities_Liabilities_Long_Long_Term_Loans</vt:lpstr>
      <vt:lpstr>Liabilities_Liabilities_Short</vt:lpstr>
      <vt:lpstr>Liabilities_Liabilities_Short_AcctsPay</vt:lpstr>
      <vt:lpstr>Liabilities_Liabilities_Short_ShortDebt</vt:lpstr>
      <vt:lpstr>Liabilities_Time_Period</vt:lpstr>
      <vt:lpstr>Model_Start_Date</vt:lpstr>
      <vt:lpstr>Net_Income</vt:lpstr>
      <vt:lpstr>Net_Income_Date</vt:lpstr>
      <vt:lpstr>Net_Income_Time_Period</vt:lpstr>
      <vt:lpstr>Operating_Exp_Date</vt:lpstr>
      <vt:lpstr>Operating_Exp_Depts</vt:lpstr>
      <vt:lpstr>Operating_Exp_Depts_Marketing</vt:lpstr>
      <vt:lpstr>Operating_Exp_Depts_Marketing_OpExpType</vt:lpstr>
      <vt:lpstr>Operating_Exp_Depts_Marketing_OpExpType_Dept_Exp_Accts</vt:lpstr>
      <vt:lpstr>Operating_Exp_Depts_Marketing_OpExpType_Employee_Rel_Exp</vt:lpstr>
      <vt:lpstr>Operating_Exp_Depts_Marketing_OpExpType_Facil_Util_Exp</vt:lpstr>
      <vt:lpstr>Operating_Exp_Depts_Marketing_OpExpType_Gen_Admin_Exp</vt:lpstr>
      <vt:lpstr>Operating_Exp_Depts_Marketing_OpExpType_Indir_Labor_Exp</vt:lpstr>
      <vt:lpstr>Operating_Exp_Depts_Marketing_OpExpType_Programs</vt:lpstr>
      <vt:lpstr>Operating_Exp_Depts_Sales</vt:lpstr>
      <vt:lpstr>Operating_Exp_Depts_Sales_OpExpType</vt:lpstr>
      <vt:lpstr>Operating_Exp_Depts_Sales_OpExpType_Dept_Exp_Accts</vt:lpstr>
      <vt:lpstr>Operating_Exp_Depts_Sales_OpExpType_Employee_Rel_Exp</vt:lpstr>
      <vt:lpstr>Operating_Exp_Depts_Sales_OpExpType_Facil_Util_Exp</vt:lpstr>
      <vt:lpstr>Operating_Exp_Depts_Sales_OpExpType_Gen_Admin_Exp</vt:lpstr>
      <vt:lpstr>Operating_Exp_Depts_Sales_OpExpType_Indir_Labor_Exp</vt:lpstr>
      <vt:lpstr>Operating_Exp_Depts_Sales_OpExpType_Programs</vt:lpstr>
      <vt:lpstr>Operating_Exp_Time_Period</vt:lpstr>
      <vt:lpstr>Operating_Margin</vt:lpstr>
      <vt:lpstr>Operating_Margin_Date</vt:lpstr>
      <vt:lpstr>Operating_Margin_Time_Period</vt:lpstr>
      <vt:lpstr>Orders_Filled_Date</vt:lpstr>
      <vt:lpstr>Orders_Filled_Hrs_Plot_Date</vt:lpstr>
      <vt:lpstr>Orders_Filled_Hrs_Plot_Prof_Staff_Types</vt:lpstr>
      <vt:lpstr>Orders_Filled_Hrs_Plot_Prof_Staff_Types_Prof_Level_1</vt:lpstr>
      <vt:lpstr>Orders_Filled_Hrs_Plot_Prof_Staff_Types_Prof_Level_2</vt:lpstr>
      <vt:lpstr>Orders_Filled_Hrs_Plot_Time_Period</vt:lpstr>
      <vt:lpstr>Orders_Filled_Practice_Areas</vt:lpstr>
      <vt:lpstr>Orders_Filled_Practice_Areas_Practice_1</vt:lpstr>
      <vt:lpstr>Orders_Filled_Practice_Areas_Practice_1_Prof_Staff_Types</vt:lpstr>
      <vt:lpstr>Orders_Filled_Practice_Areas_Practice_1_Prof_Staff_Types_Prof_Level_1</vt:lpstr>
      <vt:lpstr>Orders_Filled_Practice_Areas_Practice_1_Prof_Staff_Types_Prof_Level_1_Channels</vt:lpstr>
      <vt:lpstr>Orders_Filled_Practice_Areas_Practice_1_Prof_Staff_Types_Prof_Level_1_Channels_Channels_1</vt:lpstr>
      <vt:lpstr>Orders_Filled_Practice_Areas_Practice_1_Prof_Staff_Types_Prof_Level_1_Channels_Channels_2</vt:lpstr>
      <vt:lpstr>Orders_Filled_Practice_Areas_Practice_1_Prof_Staff_Types_Prof_Level_2</vt:lpstr>
      <vt:lpstr>Orders_Filled_Practice_Areas_Practice_1_Prof_Staff_Types_Prof_Level_2_Channels</vt:lpstr>
      <vt:lpstr>Orders_Filled_Practice_Areas_Practice_1_Prof_Staff_Types_Prof_Level_2_Channels_Channels_1</vt:lpstr>
      <vt:lpstr>Orders_Filled_Practice_Areas_Practice_1_Prof_Staff_Types_Prof_Level_2_Channels_Channels_2</vt:lpstr>
      <vt:lpstr>Orders_Filled_Practice_Areas_Practice_2</vt:lpstr>
      <vt:lpstr>Orders_Filled_Practice_Areas_Practice_2_Prof_Staff_Types</vt:lpstr>
      <vt:lpstr>Orders_Filled_Practice_Areas_Practice_2_Prof_Staff_Types_Prof_Level_1</vt:lpstr>
      <vt:lpstr>Orders_Filled_Practice_Areas_Practice_2_Prof_Staff_Types_Prof_Level_1_Channels</vt:lpstr>
      <vt:lpstr>Orders_Filled_Practice_Areas_Practice_2_Prof_Staff_Types_Prof_Level_1_Channels_Channels_1</vt:lpstr>
      <vt:lpstr>Orders_Filled_Practice_Areas_Practice_2_Prof_Staff_Types_Prof_Level_1_Channels_Channels_2</vt:lpstr>
      <vt:lpstr>Orders_Filled_Practice_Areas_Practice_2_Prof_Staff_Types_Prof_Level_2</vt:lpstr>
      <vt:lpstr>Orders_Filled_Practice_Areas_Practice_2_Prof_Staff_Types_Prof_Level_2_Channels</vt:lpstr>
      <vt:lpstr>Orders_Filled_Practice_Areas_Practice_2_Prof_Staff_Types_Prof_Level_2_Channels_Channels_1</vt:lpstr>
      <vt:lpstr>Orders_Filled_Practice_Areas_Practice_2_Prof_Staff_Types_Prof_Level_2_Channels_Channels_2</vt:lpstr>
      <vt:lpstr>Orders_Filled_Time_Period</vt:lpstr>
      <vt:lpstr>Practice_Dev_Prof_Staff_Hrs_Date</vt:lpstr>
      <vt:lpstr>Practice_Dev_Prof_Staff_Hrs_Practice_Areas</vt:lpstr>
      <vt:lpstr>Practice_Dev_Prof_Staff_Hrs_Practice_Areas_Practice_1</vt:lpstr>
      <vt:lpstr>Practice_Dev_Prof_Staff_Hrs_Practice_Areas_Practice_1_Prof_Staff_Types</vt:lpstr>
      <vt:lpstr>Practice_Dev_Prof_Staff_Hrs_Practice_Areas_Practice_1_Prof_Staff_Types_Prof_Level_1</vt:lpstr>
      <vt:lpstr>Practice_Dev_Prof_Staff_Hrs_Practice_Areas_Practice_1_Prof_Staff_Types_Prof_Level_2</vt:lpstr>
      <vt:lpstr>Practice_Dev_Prof_Staff_Hrs_Practice_Areas_Practice_2</vt:lpstr>
      <vt:lpstr>Practice_Dev_Prof_Staff_Hrs_Practice_Areas_Practice_2_Prof_Staff_Types</vt:lpstr>
      <vt:lpstr>Practice_Dev_Prof_Staff_Hrs_Practice_Areas_Practice_2_Prof_Staff_Types_Prof_Level_1</vt:lpstr>
      <vt:lpstr>Practice_Dev_Prof_Staff_Hrs_Practice_Areas_Practice_2_Prof_Staff_Types_Prof_Level_2</vt:lpstr>
      <vt:lpstr>Practice_Dev_Prof_Staff_Hrs_Time_Period</vt:lpstr>
      <vt:lpstr>Prof_Staff_Billings_Date</vt:lpstr>
      <vt:lpstr>Prof_Staff_Billings_Practice_Areas</vt:lpstr>
      <vt:lpstr>Prof_Staff_Billings_Practice_Areas_Practice_1</vt:lpstr>
      <vt:lpstr>Prof_Staff_Billings_Practice_Areas_Practice_1_Prof_Staff_Types</vt:lpstr>
      <vt:lpstr>Prof_Staff_Billings_Practice_Areas_Practice_1_Prof_Staff_Types_Prof_Level_1</vt:lpstr>
      <vt:lpstr>Prof_Staff_Billings_Practice_Areas_Practice_1_Prof_Staff_Types_Prof_Level_1_Channels</vt:lpstr>
      <vt:lpstr>Prof_Staff_Billings_Practice_Areas_Practice_1_Prof_Staff_Types_Prof_Level_1_Channels_Channels_1</vt:lpstr>
      <vt:lpstr>Prof_Staff_Billings_Practice_Areas_Practice_1_Prof_Staff_Types_Prof_Level_1_Channels_Channels_2</vt:lpstr>
      <vt:lpstr>Prof_Staff_Billings_Practice_Areas_Practice_1_Prof_Staff_Types_Prof_Level_2</vt:lpstr>
      <vt:lpstr>Prof_Staff_Billings_Practice_Areas_Practice_1_Prof_Staff_Types_Prof_Level_2_Channels</vt:lpstr>
      <vt:lpstr>Prof_Staff_Billings_Practice_Areas_Practice_1_Prof_Staff_Types_Prof_Level_2_Channels_Channels_1</vt:lpstr>
      <vt:lpstr>Prof_Staff_Billings_Practice_Areas_Practice_1_Prof_Staff_Types_Prof_Level_2_Channels_Channels_2</vt:lpstr>
      <vt:lpstr>Prof_Staff_Billings_Practice_Areas_Practice_2</vt:lpstr>
      <vt:lpstr>Prof_Staff_Billings_Practice_Areas_Practice_2_Prof_Staff_Types</vt:lpstr>
      <vt:lpstr>Prof_Staff_Billings_Practice_Areas_Practice_2_Prof_Staff_Types_Prof_Level_1</vt:lpstr>
      <vt:lpstr>Prof_Staff_Billings_Practice_Areas_Practice_2_Prof_Staff_Types_Prof_Level_1_Channels</vt:lpstr>
      <vt:lpstr>Prof_Staff_Billings_Practice_Areas_Practice_2_Prof_Staff_Types_Prof_Level_1_Channels_Channels_1</vt:lpstr>
      <vt:lpstr>Prof_Staff_Billings_Practice_Areas_Practice_2_Prof_Staff_Types_Prof_Level_1_Channels_Channels_2</vt:lpstr>
      <vt:lpstr>Prof_Staff_Billings_Practice_Areas_Practice_2_Prof_Staff_Types_Prof_Level_2</vt:lpstr>
      <vt:lpstr>Prof_Staff_Billings_Practice_Areas_Practice_2_Prof_Staff_Types_Prof_Level_2_Channels</vt:lpstr>
      <vt:lpstr>Prof_Staff_Billings_Practice_Areas_Practice_2_Prof_Staff_Types_Prof_Level_2_Channels_Channels_1</vt:lpstr>
      <vt:lpstr>Prof_Staff_Billings_Practice_Areas_Practice_2_Prof_Staff_Types_Prof_Level_2_Channels_Channels_2</vt:lpstr>
      <vt:lpstr>Prof_Staff_Billings_Time_Period</vt:lpstr>
      <vt:lpstr>Prof_Staff_Cost_Applied_Date</vt:lpstr>
      <vt:lpstr>Prof_Staff_Cost_Applied_Practice_Areas</vt:lpstr>
      <vt:lpstr>Prof_Staff_Cost_Applied_Practice_Areas_Practice_1</vt:lpstr>
      <vt:lpstr>Prof_Staff_Cost_Applied_Practice_Areas_Practice_1_Prof_Staff_Types</vt:lpstr>
      <vt:lpstr>Prof_Staff_Cost_Applied_Practice_Areas_Practice_1_Prof_Staff_Types_Prof_Level_1</vt:lpstr>
      <vt:lpstr>Prof_Staff_Cost_Applied_Practice_Areas_Practice_1_Prof_Staff_Types_Prof_Level_2</vt:lpstr>
      <vt:lpstr>Prof_Staff_Cost_Applied_Practice_Areas_Practice_2</vt:lpstr>
      <vt:lpstr>Prof_Staff_Cost_Applied_Practice_Areas_Practice_2_Prof_Staff_Types</vt:lpstr>
      <vt:lpstr>Prof_Staff_Cost_Applied_Practice_Areas_Practice_2_Prof_Staff_Types_Prof_Level_1</vt:lpstr>
      <vt:lpstr>Prof_Staff_Cost_Applied_Practice_Areas_Practice_2_Prof_Staff_Types_Prof_Level_2</vt:lpstr>
      <vt:lpstr>Prof_Staff_Cost_Applied_Time_Period</vt:lpstr>
      <vt:lpstr>Prof_Staff_Cost_Unapplied_Date</vt:lpstr>
      <vt:lpstr>Prof_Staff_Cost_Unapplied_Practice_Areas</vt:lpstr>
      <vt:lpstr>Prof_Staff_Cost_Unapplied_Practice_Areas_Practice_1</vt:lpstr>
      <vt:lpstr>Prof_Staff_Cost_Unapplied_Practice_Areas_Practice_1_Prof_Staff_Types</vt:lpstr>
      <vt:lpstr>Prof_Staff_Cost_Unapplied_Practice_Areas_Practice_1_Prof_Staff_Types_Prof_Level_1</vt:lpstr>
      <vt:lpstr>Prof_Staff_Cost_Unapplied_Practice_Areas_Practice_1_Prof_Staff_Types_Prof_Level_2</vt:lpstr>
      <vt:lpstr>Prof_Staff_Cost_Unapplied_Practice_Areas_Practice_2</vt:lpstr>
      <vt:lpstr>Prof_Staff_Cost_Unapplied_Practice_Areas_Practice_2_Prof_Staff_Types</vt:lpstr>
      <vt:lpstr>Prof_Staff_Cost_Unapplied_Practice_Areas_Practice_2_Prof_Staff_Types_Prof_Level_1</vt:lpstr>
      <vt:lpstr>Prof_Staff_Cost_Unapplied_Practice_Areas_Practice_2_Prof_Staff_Types_Prof_Level_2</vt:lpstr>
      <vt:lpstr>Prof_Staff_Cost_Unapplied_Time_Period</vt:lpstr>
      <vt:lpstr>Prof_Staff_Count_Date</vt:lpstr>
      <vt:lpstr>Prof_Staff_Count_plt</vt:lpstr>
      <vt:lpstr>Prof_Staff_Count_plt_Date</vt:lpstr>
      <vt:lpstr>Prof_Staff_Count_plt_Time_Period</vt:lpstr>
      <vt:lpstr>Prof_Staff_Count_Practice_Areas</vt:lpstr>
      <vt:lpstr>Prof_Staff_Count_Practice_Areas_Practice_1</vt:lpstr>
      <vt:lpstr>Prof_Staff_Count_Practice_Areas_Practice_1_Prof_Staff_Types</vt:lpstr>
      <vt:lpstr>Prof_Staff_Count_Practice_Areas_Practice_1_Prof_Staff_Types_Prof_Level_1</vt:lpstr>
      <vt:lpstr>Prof_Staff_Count_Practice_Areas_Practice_1_Prof_Staff_Types_Prof_Level_2</vt:lpstr>
      <vt:lpstr>Prof_Staff_Count_Practice_Areas_Practice_2</vt:lpstr>
      <vt:lpstr>Prof_Staff_Count_Practice_Areas_Practice_2_Prof_Staff_Types</vt:lpstr>
      <vt:lpstr>Prof_Staff_Count_Practice_Areas_Practice_2_Prof_Staff_Types_Prof_Level_1</vt:lpstr>
      <vt:lpstr>Prof_Staff_Count_Practice_Areas_Practice_2_Prof_Staff_Types_Prof_Level_2</vt:lpstr>
      <vt:lpstr>Prof_Staff_Count_Time_Period</vt:lpstr>
      <vt:lpstr>Prof_Staff_Count1_Date</vt:lpstr>
      <vt:lpstr>Prof_Staff_Count1_Practice_Areas</vt:lpstr>
      <vt:lpstr>Prof_Staff_Count1_Practice_Areas_Practice_1</vt:lpstr>
      <vt:lpstr>Prof_Staff_Count1_Practice_Areas_Practice_1_Prof_Staff_Types</vt:lpstr>
      <vt:lpstr>Prof_Staff_Count1_Practice_Areas_Practice_1_Prof_Staff_Types_Prof_Level_1</vt:lpstr>
      <vt:lpstr>Prof_Staff_Count1_Practice_Areas_Practice_1_Prof_Staff_Types_Prof_Level_2</vt:lpstr>
      <vt:lpstr>Prof_Staff_Count1_Practice_Areas_Practice_2</vt:lpstr>
      <vt:lpstr>Prof_Staff_Count1_Practice_Areas_Practice_2_Prof_Staff_Types</vt:lpstr>
      <vt:lpstr>Prof_Staff_Count1_Practice_Areas_Practice_2_Prof_Staff_Types_Prof_Level_1</vt:lpstr>
      <vt:lpstr>Prof_Staff_Count1_Practice_Areas_Practice_2_Prof_Staff_Types_Prof_Level_2</vt:lpstr>
      <vt:lpstr>Prof_Staff_Count1_Time_Period</vt:lpstr>
      <vt:lpstr>Prof_Staff_Hrs_Applied_Plot_Date</vt:lpstr>
      <vt:lpstr>Prof_Staff_Hrs_Applied_Plot_Prof_Staff_Types</vt:lpstr>
      <vt:lpstr>Prof_Staff_Hrs_Applied_Plot_Prof_Staff_Types_Prof_Level_1</vt:lpstr>
      <vt:lpstr>Prof_Staff_Hrs_Applied_Plot_Prof_Staff_Types_Prof_Level_2</vt:lpstr>
      <vt:lpstr>Prof_Staff_Hrs_Applied_Plot_Time_Period</vt:lpstr>
      <vt:lpstr>Prof_Staff_Hrs_Billed_Plot_Date</vt:lpstr>
      <vt:lpstr>Prof_Staff_Hrs_Billed_Plot_Prof_Staff_Types</vt:lpstr>
      <vt:lpstr>Prof_Staff_Hrs_Billed_Plot_Prof_Staff_Types_Prof_Level_1</vt:lpstr>
      <vt:lpstr>Prof_Staff_Hrs_Billed_Plot_Prof_Staff_Types_Prof_Level_2</vt:lpstr>
      <vt:lpstr>Prof_Staff_Hrs_Billed_Plot_Time_Period</vt:lpstr>
      <vt:lpstr>Prof_Staff_Hrs_Capacity_Date</vt:lpstr>
      <vt:lpstr>Prof_Staff_Hrs_Capacity_Plot_Date</vt:lpstr>
      <vt:lpstr>Prof_Staff_Hrs_Capacity_Plot_Prof_Staff_Types</vt:lpstr>
      <vt:lpstr>Prof_Staff_Hrs_Capacity_Plot_Prof_Staff_Types_Prof_Level_1</vt:lpstr>
      <vt:lpstr>Prof_Staff_Hrs_Capacity_Plot_Prof_Staff_Types_Prof_Level_2</vt:lpstr>
      <vt:lpstr>Prof_Staff_Hrs_Capacity_Plot_Time_Period</vt:lpstr>
      <vt:lpstr>Prof_Staff_Hrs_Capacity_Practice_Areas</vt:lpstr>
      <vt:lpstr>Prof_Staff_Hrs_Capacity_Practice_Areas_Practice_1</vt:lpstr>
      <vt:lpstr>Prof_Staff_Hrs_Capacity_Practice_Areas_Practice_1_Prof_Staff_Types</vt:lpstr>
      <vt:lpstr>Prof_Staff_Hrs_Capacity_Practice_Areas_Practice_1_Prof_Staff_Types_Prof_Level_1</vt:lpstr>
      <vt:lpstr>Prof_Staff_Hrs_Capacity_Practice_Areas_Practice_1_Prof_Staff_Types_Prof_Level_2</vt:lpstr>
      <vt:lpstr>Prof_Staff_Hrs_Capacity_Practice_Areas_Practice_2</vt:lpstr>
      <vt:lpstr>Prof_Staff_Hrs_Capacity_Practice_Areas_Practice_2_Prof_Staff_Types</vt:lpstr>
      <vt:lpstr>Prof_Staff_Hrs_Capacity_Practice_Areas_Practice_2_Prof_Staff_Types_Prof_Level_1</vt:lpstr>
      <vt:lpstr>Prof_Staff_Hrs_Capacity_Practice_Areas_Practice_2_Prof_Staff_Types_Prof_Level_2</vt:lpstr>
      <vt:lpstr>Prof_Staff_Hrs_Capacity_Time_Period</vt:lpstr>
      <vt:lpstr>Prof_Staff_Hrs_Engage_Date</vt:lpstr>
      <vt:lpstr>Prof_Staff_Hrs_Engage_Practice_Areas</vt:lpstr>
      <vt:lpstr>Prof_Staff_Hrs_Engage_Practice_Areas_Practice_1</vt:lpstr>
      <vt:lpstr>Prof_Staff_Hrs_Engage_Practice_Areas_Practice_1_Prof_Staff_Types</vt:lpstr>
      <vt:lpstr>Prof_Staff_Hrs_Engage_Practice_Areas_Practice_1_Prof_Staff_Types_Prof_Level_1</vt:lpstr>
      <vt:lpstr>Prof_Staff_Hrs_Engage_Practice_Areas_Practice_1_Prof_Staff_Types_Prof_Level_1_Channels</vt:lpstr>
      <vt:lpstr>Prof_Staff_Hrs_Engage_Practice_Areas_Practice_1_Prof_Staff_Types_Prof_Level_1_Channels_Channels_1</vt:lpstr>
      <vt:lpstr>Prof_Staff_Hrs_Engage_Practice_Areas_Practice_1_Prof_Staff_Types_Prof_Level_1_Channels_Channels_2</vt:lpstr>
      <vt:lpstr>Prof_Staff_Hrs_Engage_Practice_Areas_Practice_1_Prof_Staff_Types_Prof_Level_2</vt:lpstr>
      <vt:lpstr>Prof_Staff_Hrs_Engage_Practice_Areas_Practice_1_Prof_Staff_Types_Prof_Level_2_Channels</vt:lpstr>
      <vt:lpstr>Prof_Staff_Hrs_Engage_Practice_Areas_Practice_1_Prof_Staff_Types_Prof_Level_2_Channels_Channels_1</vt:lpstr>
      <vt:lpstr>Prof_Staff_Hrs_Engage_Practice_Areas_Practice_1_Prof_Staff_Types_Prof_Level_2_Channels_Channels_2</vt:lpstr>
      <vt:lpstr>Prof_Staff_Hrs_Engage_Practice_Areas_Practice_2</vt:lpstr>
      <vt:lpstr>Prof_Staff_Hrs_Engage_Practice_Areas_Practice_2_Prof_Staff_Types</vt:lpstr>
      <vt:lpstr>Prof_Staff_Hrs_Engage_Practice_Areas_Practice_2_Prof_Staff_Types_Prof_Level_1</vt:lpstr>
      <vt:lpstr>Prof_Staff_Hrs_Engage_Practice_Areas_Practice_2_Prof_Staff_Types_Prof_Level_1_Channels</vt:lpstr>
      <vt:lpstr>Prof_Staff_Hrs_Engage_Practice_Areas_Practice_2_Prof_Staff_Types_Prof_Level_1_Channels_Channels_1</vt:lpstr>
      <vt:lpstr>Prof_Staff_Hrs_Engage_Practice_Areas_Practice_2_Prof_Staff_Types_Prof_Level_1_Channels_Channels_2</vt:lpstr>
      <vt:lpstr>Prof_Staff_Hrs_Engage_Practice_Areas_Practice_2_Prof_Staff_Types_Prof_Level_2</vt:lpstr>
      <vt:lpstr>Prof_Staff_Hrs_Engage_Practice_Areas_Practice_2_Prof_Staff_Types_Prof_Level_2_Channels</vt:lpstr>
      <vt:lpstr>Prof_Staff_Hrs_Engage_Practice_Areas_Practice_2_Prof_Staff_Types_Prof_Level_2_Channels_Channels_1</vt:lpstr>
      <vt:lpstr>Prof_Staff_Hrs_Engage_Practice_Areas_Practice_2_Prof_Staff_Types_Prof_Level_2_Channels_Channels_2</vt:lpstr>
      <vt:lpstr>Prof_Staff_Hrs_Engage_Time_Period</vt:lpstr>
      <vt:lpstr>Prof_Staff_Hrs_Unapplied_Date</vt:lpstr>
      <vt:lpstr>Prof_Staff_Hrs_Unapplied_Practice_Areas</vt:lpstr>
      <vt:lpstr>Prof_Staff_Hrs_Unapplied_Practice_Areas_Practice_1</vt:lpstr>
      <vt:lpstr>Prof_Staff_Hrs_Unapplied_Practice_Areas_Practice_1_Prof_Staff_Types</vt:lpstr>
      <vt:lpstr>Prof_Staff_Hrs_Unapplied_Practice_Areas_Practice_1_Prof_Staff_Types_Prof_Level_1</vt:lpstr>
      <vt:lpstr>Prof_Staff_Hrs_Unapplied_Practice_Areas_Practice_1_Prof_Staff_Types_Prof_Level_2</vt:lpstr>
      <vt:lpstr>Prof_Staff_Hrs_Unapplied_Practice_Areas_Practice_2</vt:lpstr>
      <vt:lpstr>Prof_Staff_Hrs_Unapplied_Practice_Areas_Practice_2_Prof_Staff_Types</vt:lpstr>
      <vt:lpstr>Prof_Staff_Hrs_Unapplied_Practice_Areas_Practice_2_Prof_Staff_Types_Prof_Level_1</vt:lpstr>
      <vt:lpstr>Prof_Staff_Hrs_Unapplied_Practice_Areas_Practice_2_Prof_Staff_Types_Prof_Level_2</vt:lpstr>
      <vt:lpstr>Prof_Staff_Hrs_Unapplied_Time_Period</vt:lpstr>
      <vt:lpstr>Prof_Staff_Hrs_Unbilled_Channel_Date</vt:lpstr>
      <vt:lpstr>Prof_Staff_Hrs_Unbilled_Channel_Practice_Areas</vt:lpstr>
      <vt:lpstr>Prof_Staff_Hrs_Unbilled_Channel_Practice_Areas_Practice_1</vt:lpstr>
      <vt:lpstr>Prof_Staff_Hrs_Unbilled_Channel_Practice_Areas_Practice_1_Prof_Staff_Types</vt:lpstr>
      <vt:lpstr>Prof_Staff_Hrs_Unbilled_Channel_Practice_Areas_Practice_1_Prof_Staff_Types_Prof_Level_1</vt:lpstr>
      <vt:lpstr>Prof_Staff_Hrs_Unbilled_Channel_Practice_Areas_Practice_1_Prof_Staff_Types_Prof_Level_2</vt:lpstr>
      <vt:lpstr>Prof_Staff_Hrs_Unbilled_Channel_Practice_Areas_Practice_2</vt:lpstr>
      <vt:lpstr>Prof_Staff_Hrs_Unbilled_Channel_Practice_Areas_Practice_2_Prof_Staff_Types</vt:lpstr>
      <vt:lpstr>Prof_Staff_Hrs_Unbilled_Channel_Practice_Areas_Practice_2_Prof_Staff_Types_Prof_Level_1</vt:lpstr>
      <vt:lpstr>Prof_Staff_Hrs_Unbilled_Channel_Practice_Areas_Practice_2_Prof_Staff_Types_Prof_Level_2</vt:lpstr>
      <vt:lpstr>Prof_Staff_Hrs_Unbilled_Channel_Time_Period</vt:lpstr>
      <vt:lpstr>Prof_Staff_Hrs_Unbilled_Date</vt:lpstr>
      <vt:lpstr>Prof_Staff_Hrs_Unbilled_Practice_Areas</vt:lpstr>
      <vt:lpstr>Prof_Staff_Hrs_Unbilled_Practice_Areas_Practice_1</vt:lpstr>
      <vt:lpstr>Prof_Staff_Hrs_Unbilled_Practice_Areas_Practice_1_Prof_Staff_Types</vt:lpstr>
      <vt:lpstr>Prof_Staff_Hrs_Unbilled_Practice_Areas_Practice_1_Prof_Staff_Types_Prof_Level_1</vt:lpstr>
      <vt:lpstr>Prof_Staff_Hrs_Unbilled_Practice_Areas_Practice_1_Prof_Staff_Types_Prof_Level_2</vt:lpstr>
      <vt:lpstr>Prof_Staff_Hrs_Unbilled_Practice_Areas_Practice_2</vt:lpstr>
      <vt:lpstr>Prof_Staff_Hrs_Unbilled_Practice_Areas_Practice_2_Prof_Staff_Types</vt:lpstr>
      <vt:lpstr>Prof_Staff_Hrs_Unbilled_Practice_Areas_Practice_2_Prof_Staff_Types_Prof_Level_1</vt:lpstr>
      <vt:lpstr>Prof_Staff_Hrs_Unbilled_Practice_Areas_Practice_2_Prof_Staff_Types_Prof_Level_2</vt:lpstr>
      <vt:lpstr>Prof_Staff_Hrs_Unbilled_Time_Period</vt:lpstr>
      <vt:lpstr>Revenue_Channel_Channels</vt:lpstr>
      <vt:lpstr>Revenue_Channel_Channels_Channels_1</vt:lpstr>
      <vt:lpstr>Revenue_Channel_Channels_Channels_1_Practice_Areas</vt:lpstr>
      <vt:lpstr>Revenue_Channel_Channels_Channels_1_Practice_Areas_Practice_1</vt:lpstr>
      <vt:lpstr>Revenue_Channel_Channels_Channels_1_Practice_Areas_Practice_1_Prof_Staff_Types</vt:lpstr>
      <vt:lpstr>Revenue_Channel_Channels_Channels_1_Practice_Areas_Practice_1_Prof_Staff_Types_Prof_Level_1</vt:lpstr>
      <vt:lpstr>Revenue_Channel_Channels_Channels_1_Practice_Areas_Practice_1_Prof_Staff_Types_Prof_Level_2</vt:lpstr>
      <vt:lpstr>Revenue_Channel_Channels_Channels_1_Practice_Areas_Practice_2</vt:lpstr>
      <vt:lpstr>Revenue_Channel_Channels_Channels_1_Practice_Areas_Practice_2_Prof_Staff_Types</vt:lpstr>
      <vt:lpstr>Revenue_Channel_Channels_Channels_1_Practice_Areas_Practice_2_Prof_Staff_Types_Prof_Level_1</vt:lpstr>
      <vt:lpstr>Revenue_Channel_Channels_Channels_1_Practice_Areas_Practice_2_Prof_Staff_Types_Prof_Level_2</vt:lpstr>
      <vt:lpstr>Revenue_Channel_Channels_Channels_2</vt:lpstr>
      <vt:lpstr>Revenue_Channel_Channels_Channels_2_Practice_Areas</vt:lpstr>
      <vt:lpstr>Revenue_Channel_Channels_Channels_2_Practice_Areas_Practice_1</vt:lpstr>
      <vt:lpstr>Revenue_Channel_Channels_Channels_2_Practice_Areas_Practice_1_Prof_Staff_Types</vt:lpstr>
      <vt:lpstr>Revenue_Channel_Channels_Channels_2_Practice_Areas_Practice_1_Prof_Staff_Types_Prof_Level_1</vt:lpstr>
      <vt:lpstr>Revenue_Channel_Channels_Channels_2_Practice_Areas_Practice_1_Prof_Staff_Types_Prof_Level_2</vt:lpstr>
      <vt:lpstr>Revenue_Channel_Channels_Channels_2_Practice_Areas_Practice_2</vt:lpstr>
      <vt:lpstr>Revenue_Channel_Channels_Channels_2_Practice_Areas_Practice_2_Prof_Staff_Types</vt:lpstr>
      <vt:lpstr>Revenue_Channel_Channels_Channels_2_Practice_Areas_Practice_2_Prof_Staff_Types_Prof_Level_1</vt:lpstr>
      <vt:lpstr>Revenue_Channel_Channels_Channels_2_Practice_Areas_Practice_2_Prof_Staff_Types_Prof_Level_2</vt:lpstr>
      <vt:lpstr>Revenue_Channel_Date</vt:lpstr>
      <vt:lpstr>Revenue_Channel_Time_Period</vt:lpstr>
      <vt:lpstr>Revenue_Date</vt:lpstr>
      <vt:lpstr>Revenue_Practice_Areas</vt:lpstr>
      <vt:lpstr>Revenue_Practice_Areas_Practice_1</vt:lpstr>
      <vt:lpstr>Revenue_Practice_Areas_Practice_1_Prof_Staff_Types</vt:lpstr>
      <vt:lpstr>Revenue_Practice_Areas_Practice_1_Prof_Staff_Types_Prof_Level_1</vt:lpstr>
      <vt:lpstr>Revenue_Practice_Areas_Practice_1_Prof_Staff_Types_Prof_Level_1_Channels</vt:lpstr>
      <vt:lpstr>Revenue_Practice_Areas_Practice_1_Prof_Staff_Types_Prof_Level_1_Channels_Channels_1</vt:lpstr>
      <vt:lpstr>Revenue_Practice_Areas_Practice_1_Prof_Staff_Types_Prof_Level_1_Channels_Channels_2</vt:lpstr>
      <vt:lpstr>Revenue_Practice_Areas_Practice_1_Prof_Staff_Types_Prof_Level_2</vt:lpstr>
      <vt:lpstr>Revenue_Practice_Areas_Practice_1_Prof_Staff_Types_Prof_Level_2_Channels</vt:lpstr>
      <vt:lpstr>Revenue_Practice_Areas_Practice_1_Prof_Staff_Types_Prof_Level_2_Channels_Channels_1</vt:lpstr>
      <vt:lpstr>Revenue_Practice_Areas_Practice_1_Prof_Staff_Types_Prof_Level_2_Channels_Channels_2</vt:lpstr>
      <vt:lpstr>Revenue_Practice_Areas_Practice_2</vt:lpstr>
      <vt:lpstr>Revenue_Practice_Areas_Practice_2_Prof_Staff_Types</vt:lpstr>
      <vt:lpstr>Revenue_Practice_Areas_Practice_2_Prof_Staff_Types_Prof_Level_1</vt:lpstr>
      <vt:lpstr>Revenue_Practice_Areas_Practice_2_Prof_Staff_Types_Prof_Level_1_Channels</vt:lpstr>
      <vt:lpstr>Revenue_Practice_Areas_Practice_2_Prof_Staff_Types_Prof_Level_1_Channels_Channels_1</vt:lpstr>
      <vt:lpstr>Revenue_Practice_Areas_Practice_2_Prof_Staff_Types_Prof_Level_1_Channels_Channels_2</vt:lpstr>
      <vt:lpstr>Revenue_Practice_Areas_Practice_2_Prof_Staff_Types_Prof_Level_2</vt:lpstr>
      <vt:lpstr>Revenue_Practice_Areas_Practice_2_Prof_Staff_Types_Prof_Level_2_Channels</vt:lpstr>
      <vt:lpstr>Revenue_Practice_Areas_Practice_2_Prof_Staff_Types_Prof_Level_2_Channels_Channels_1</vt:lpstr>
      <vt:lpstr>Revenue_Practice_Areas_Practice_2_Prof_Staff_Types_Prof_Level_2_Channels_Channels_2</vt:lpstr>
      <vt:lpstr>Revenue_Time_Period</vt:lpstr>
      <vt:lpstr>Sup_Staff_Count_Date</vt:lpstr>
      <vt:lpstr>Sup_Staff_Count_Depts</vt:lpstr>
      <vt:lpstr>Sup_Staff_Count_Depts_Marketing</vt:lpstr>
      <vt:lpstr>Sup_Staff_Count_Depts_Marketing_Sup_Staff_Levels</vt:lpstr>
      <vt:lpstr>Sup_Staff_Count_Depts_Marketing_Sup_Staff_Levels_Contributor</vt:lpstr>
      <vt:lpstr>Sup_Staff_Count_Depts_Marketing_Sup_Staff_Levels_Manager</vt:lpstr>
      <vt:lpstr>Sup_Staff_Count_Depts_Sales</vt:lpstr>
      <vt:lpstr>Sup_Staff_Count_Depts_Sales_Sup_Staff_Levels</vt:lpstr>
      <vt:lpstr>Sup_Staff_Count_Depts_Sales_Sup_Staff_Levels_Contributor</vt:lpstr>
      <vt:lpstr>Sup_Staff_Count_Depts_Sales_Sup_Staff_Levels_Manager</vt:lpstr>
      <vt:lpstr>Sup_Staff_Count_Time_Period</vt:lpstr>
      <vt:lpstr>Valuation_Equity</vt:lpstr>
      <vt:lpstr>Valuation_Equity_Date</vt:lpstr>
      <vt:lpstr>Valuation_Equity_Time_Period</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Kenan Çılman</dc:creator>
  <cp:keywords/>
  <cp:lastModifiedBy>Kenan Çılman</cp:lastModifiedBy>
  <cp:lastPrinted>2009-11-01T04:00:13Z</cp:lastPrinted>
  <dcterms:created xsi:type="dcterms:W3CDTF">2014-10-25T20:31:20Z</dcterms:created>
  <dcterms:modified xsi:type="dcterms:W3CDTF">2014-10-25T20:31:21Z</dcterms:modified>
  <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TemplateID">
    <vt:lpwstr>TC018655429991</vt:lpwstr>
  </property>
</Properties>
</file>